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35.xml" ContentType="application/vnd.openxmlformats-officedocument.drawingml.chart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drawings/drawing5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ctrlProps/ctrlProp9.xml" ContentType="application/vnd.ms-excel.controlproperties+xml"/>
  <Override PartName="/xl/comments2.xml" ContentType="application/vnd.openxmlformats-officedocument.spreadsheetml.comments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harts/chart42.xml" ContentType="application/vnd.openxmlformats-officedocument.drawingml.chart+xml"/>
  <Override PartName="/xl/drawings/drawing8.xml" ContentType="application/vnd.openxmlformats-officedocument.drawing+xml"/>
  <Override PartName="/xl/ctrlProps/ctrlProp10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pe\Desktop\"/>
    </mc:Choice>
  </mc:AlternateContent>
  <xr:revisionPtr revIDLastSave="0" documentId="13_ncr:1_{D4BB3437-F2CE-435A-BEE1-56DDED00D27B}" xr6:coauthVersionLast="45" xr6:coauthVersionMax="45" xr10:uidLastSave="{00000000-0000-0000-0000-000000000000}"/>
  <bookViews>
    <workbookView xWindow="-108" yWindow="-108" windowWidth="23256" windowHeight="12576" tabRatio="546" xr2:uid="{00000000-000D-0000-FFFF-FFFF00000000}"/>
  </bookViews>
  <sheets>
    <sheet name="IN-OUT" sheetId="7" r:id="rId1"/>
    <sheet name="subsidence profile with z_0" sheetId="4" state="hidden" r:id="rId2"/>
    <sheet name="transversal subsidence profile" sheetId="5" r:id="rId3"/>
    <sheet name="transversal subsidence-gauss" sheetId="6" r:id="rId4"/>
    <sheet name="Damage classification-Rankin" sheetId="12" state="hidden" r:id="rId5"/>
    <sheet name="Burland damage classification" sheetId="10" state="hidden" r:id="rId6"/>
    <sheet name="Benchmark-Burland" sheetId="11" state="hidden" r:id="rId7"/>
    <sheet name="tunnel" sheetId="16" r:id="rId8"/>
    <sheet name="building" sheetId="18" r:id="rId9"/>
    <sheet name="Coord Tracciato" sheetId="19" r:id="rId10"/>
    <sheet name="Add3" sheetId="20" r:id="rId11"/>
    <sheet name="Febbraio" sheetId="21" r:id="rId12"/>
    <sheet name="Note" sheetId="22" r:id="rId13"/>
  </sheets>
  <functionGroups builtInGroupCount="19"/>
  <definedNames>
    <definedName name="_xlnm._FilterDatabase" localSheetId="8" hidden="1">building!$E$2:$E$101</definedName>
    <definedName name="_xlnm._FilterDatabase" localSheetId="11" hidden="1">Febbraio!$A$1:$M$66</definedName>
    <definedName name="_xlnm._FilterDatabase" localSheetId="0" hidden="1">'IN-OUT'!$E$14:$E$15</definedName>
    <definedName name="_xlnm._FilterDatabase" localSheetId="7" hidden="1">tunnel!$A$2:$J$374</definedName>
    <definedName name="_xlnm.Print_Area" localSheetId="8">building!$A$2:$Z$179</definedName>
    <definedName name="_xlnm.Print_Area" localSheetId="4">'Damage classification-Rankin'!$B$16:$L$136</definedName>
    <definedName name="_xlnm.Print_Area" localSheetId="0">'IN-OUT'!$A$1:$F$53,'IN-OUT'!$A$57:$F$107,'IN-OUT'!$A$109:$F$163,'IN-OUT'!$A$169:$F$204</definedName>
    <definedName name="_xlnm.Print_Area" localSheetId="2">'transversal subsidence profile'!$A$1:$P$30</definedName>
    <definedName name="_xlnm.Print_Area" localSheetId="3">'transversal subsidence-gauss'!$A$1:$P$30</definedName>
    <definedName name="solver_adj" localSheetId="4" hidden="1">'Damage classification-Rankin'!#REF!</definedName>
    <definedName name="solver_cvg" localSheetId="4" hidden="1">0.0001</definedName>
    <definedName name="solver_drv" localSheetId="4" hidden="1">1</definedName>
    <definedName name="solver_est" localSheetId="4" hidden="1">1</definedName>
    <definedName name="solver_itr" localSheetId="4" hidden="1">100</definedName>
    <definedName name="solver_lhs1" localSheetId="4" hidden="1">'Damage classification-Rankin'!#REF!</definedName>
    <definedName name="solver_lhs10" localSheetId="4" hidden="1">'Damage classification-Rankin'!#REF!</definedName>
    <definedName name="solver_lhs100" localSheetId="4" hidden="1">'Damage classification-Rankin'!#REF!</definedName>
    <definedName name="solver_lhs101" localSheetId="4" hidden="1">'Damage classification-Rankin'!#REF!</definedName>
    <definedName name="solver_lhs102" localSheetId="4" hidden="1">'Damage classification-Rankin'!#REF!</definedName>
    <definedName name="solver_lhs103" localSheetId="4" hidden="1">'Damage classification-Rankin'!#REF!</definedName>
    <definedName name="solver_lhs104" localSheetId="4" hidden="1">'Damage classification-Rankin'!#REF!</definedName>
    <definedName name="solver_lhs105" localSheetId="4" hidden="1">'Damage classification-Rankin'!#REF!</definedName>
    <definedName name="solver_lhs106" localSheetId="4" hidden="1">'Damage classification-Rankin'!#REF!</definedName>
    <definedName name="solver_lhs107" localSheetId="4" hidden="1">'Damage classification-Rankin'!#REF!</definedName>
    <definedName name="solver_lhs108" localSheetId="4" hidden="1">'Damage classification-Rankin'!#REF!</definedName>
    <definedName name="solver_lhs109" localSheetId="4" hidden="1">'Damage classification-Rankin'!#REF!</definedName>
    <definedName name="solver_lhs11" localSheetId="4" hidden="1">'Damage classification-Rankin'!#REF!</definedName>
    <definedName name="solver_lhs110" localSheetId="4" hidden="1">'Damage classification-Rankin'!#REF!</definedName>
    <definedName name="solver_lhs111" localSheetId="4" hidden="1">'Damage classification-Rankin'!#REF!</definedName>
    <definedName name="solver_lhs112" localSheetId="4" hidden="1">'Damage classification-Rankin'!#REF!</definedName>
    <definedName name="solver_lhs113" localSheetId="4" hidden="1">'Damage classification-Rankin'!#REF!</definedName>
    <definedName name="solver_lhs114" localSheetId="4" hidden="1">'Damage classification-Rankin'!#REF!</definedName>
    <definedName name="solver_lhs115" localSheetId="4" hidden="1">'Damage classification-Rankin'!#REF!</definedName>
    <definedName name="solver_lhs116" localSheetId="4" hidden="1">'Damage classification-Rankin'!#REF!</definedName>
    <definedName name="solver_lhs117" localSheetId="4" hidden="1">'Damage classification-Rankin'!#REF!</definedName>
    <definedName name="solver_lhs118" localSheetId="4" hidden="1">'Damage classification-Rankin'!#REF!</definedName>
    <definedName name="solver_lhs119" localSheetId="4" hidden="1">'Damage classification-Rankin'!#REF!</definedName>
    <definedName name="solver_lhs12" localSheetId="4" hidden="1">'Damage classification-Rankin'!#REF!</definedName>
    <definedName name="solver_lhs120" localSheetId="4" hidden="1">'Damage classification-Rankin'!#REF!</definedName>
    <definedName name="solver_lhs121" localSheetId="4" hidden="1">'Damage classification-Rankin'!#REF!</definedName>
    <definedName name="solver_lhs122" localSheetId="4" hidden="1">'Damage classification-Rankin'!#REF!</definedName>
    <definedName name="solver_lhs123" localSheetId="4" hidden="1">'Damage classification-Rankin'!#REF!</definedName>
    <definedName name="solver_lhs124" localSheetId="4" hidden="1">'Damage classification-Rankin'!#REF!</definedName>
    <definedName name="solver_lhs125" localSheetId="4" hidden="1">'Damage classification-Rankin'!#REF!</definedName>
    <definedName name="solver_lhs126" localSheetId="4" hidden="1">'Damage classification-Rankin'!#REF!</definedName>
    <definedName name="solver_lhs127" localSheetId="4" hidden="1">'Damage classification-Rankin'!#REF!</definedName>
    <definedName name="solver_lhs128" localSheetId="4" hidden="1">'Damage classification-Rankin'!#REF!</definedName>
    <definedName name="solver_lhs129" localSheetId="4" hidden="1">'Damage classification-Rankin'!#REF!</definedName>
    <definedName name="solver_lhs13" localSheetId="4" hidden="1">'Damage classification-Rankin'!#REF!</definedName>
    <definedName name="solver_lhs130" localSheetId="4" hidden="1">'Damage classification-Rankin'!#REF!</definedName>
    <definedName name="solver_lhs131" localSheetId="4" hidden="1">'Damage classification-Rankin'!#REF!</definedName>
    <definedName name="solver_lhs132" localSheetId="4" hidden="1">'Damage classification-Rankin'!#REF!</definedName>
    <definedName name="solver_lhs133" localSheetId="4" hidden="1">'Damage classification-Rankin'!#REF!</definedName>
    <definedName name="solver_lhs134" localSheetId="4" hidden="1">'Damage classification-Rankin'!#REF!</definedName>
    <definedName name="solver_lhs135" localSheetId="4" hidden="1">'Damage classification-Rankin'!#REF!</definedName>
    <definedName name="solver_lhs136" localSheetId="4" hidden="1">'Damage classification-Rankin'!#REF!</definedName>
    <definedName name="solver_lhs137" localSheetId="4" hidden="1">'Damage classification-Rankin'!#REF!</definedName>
    <definedName name="solver_lhs138" localSheetId="4" hidden="1">'Damage classification-Rankin'!#REF!</definedName>
    <definedName name="solver_lhs139" localSheetId="4" hidden="1">'Damage classification-Rankin'!#REF!</definedName>
    <definedName name="solver_lhs14" localSheetId="4" hidden="1">'Damage classification-Rankin'!#REF!</definedName>
    <definedName name="solver_lhs140" localSheetId="4" hidden="1">'Damage classification-Rankin'!#REF!</definedName>
    <definedName name="solver_lhs141" localSheetId="4" hidden="1">'Damage classification-Rankin'!#REF!</definedName>
    <definedName name="solver_lhs142" localSheetId="4" hidden="1">'Damage classification-Rankin'!#REF!</definedName>
    <definedName name="solver_lhs143" localSheetId="4" hidden="1">'Damage classification-Rankin'!#REF!</definedName>
    <definedName name="solver_lhs144" localSheetId="4" hidden="1">'Damage classification-Rankin'!#REF!</definedName>
    <definedName name="solver_lhs145" localSheetId="4" hidden="1">'Damage classification-Rankin'!#REF!</definedName>
    <definedName name="solver_lhs146" localSheetId="4" hidden="1">'Damage classification-Rankin'!#REF!</definedName>
    <definedName name="solver_lhs147" localSheetId="4" hidden="1">'Damage classification-Rankin'!#REF!</definedName>
    <definedName name="solver_lhs148" localSheetId="4" hidden="1">'Damage classification-Rankin'!#REF!</definedName>
    <definedName name="solver_lhs149" localSheetId="4" hidden="1">'Damage classification-Rankin'!#REF!</definedName>
    <definedName name="solver_lhs15" localSheetId="4" hidden="1">'Damage classification-Rankin'!#REF!</definedName>
    <definedName name="solver_lhs150" localSheetId="4" hidden="1">'Damage classification-Rankin'!#REF!</definedName>
    <definedName name="solver_lhs151" localSheetId="4" hidden="1">'Damage classification-Rankin'!#REF!</definedName>
    <definedName name="solver_lhs152" localSheetId="4" hidden="1">'Damage classification-Rankin'!#REF!</definedName>
    <definedName name="solver_lhs153" localSheetId="4" hidden="1">'Damage classification-Rankin'!#REF!</definedName>
    <definedName name="solver_lhs154" localSheetId="4" hidden="1">'Damage classification-Rankin'!#REF!</definedName>
    <definedName name="solver_lhs155" localSheetId="4" hidden="1">'Damage classification-Rankin'!#REF!</definedName>
    <definedName name="solver_lhs156" localSheetId="4" hidden="1">'Damage classification-Rankin'!#REF!</definedName>
    <definedName name="solver_lhs157" localSheetId="4" hidden="1">'Damage classification-Rankin'!#REF!</definedName>
    <definedName name="solver_lhs158" localSheetId="4" hidden="1">'Damage classification-Rankin'!#REF!</definedName>
    <definedName name="solver_lhs159" localSheetId="4" hidden="1">'Damage classification-Rankin'!#REF!</definedName>
    <definedName name="solver_lhs16" localSheetId="4" hidden="1">'Damage classification-Rankin'!#REF!</definedName>
    <definedName name="solver_lhs160" localSheetId="4" hidden="1">'Damage classification-Rankin'!#REF!</definedName>
    <definedName name="solver_lhs161" localSheetId="4" hidden="1">'Damage classification-Rankin'!#REF!</definedName>
    <definedName name="solver_lhs162" localSheetId="4" hidden="1">'Damage classification-Rankin'!#REF!</definedName>
    <definedName name="solver_lhs17" localSheetId="4" hidden="1">'Damage classification-Rankin'!#REF!</definedName>
    <definedName name="solver_lhs18" localSheetId="4" hidden="1">'Damage classification-Rankin'!#REF!</definedName>
    <definedName name="solver_lhs19" localSheetId="4" hidden="1">'Damage classification-Rankin'!#REF!</definedName>
    <definedName name="solver_lhs2" localSheetId="4" hidden="1">'Damage classification-Rankin'!#REF!</definedName>
    <definedName name="solver_lhs20" localSheetId="4" hidden="1">'Damage classification-Rankin'!#REF!</definedName>
    <definedName name="solver_lhs21" localSheetId="4" hidden="1">'Damage classification-Rankin'!#REF!</definedName>
    <definedName name="solver_lhs22" localSheetId="4" hidden="1">'Damage classification-Rankin'!#REF!</definedName>
    <definedName name="solver_lhs23" localSheetId="4" hidden="1">'Damage classification-Rankin'!#REF!</definedName>
    <definedName name="solver_lhs24" localSheetId="4" hidden="1">'Damage classification-Rankin'!#REF!</definedName>
    <definedName name="solver_lhs25" localSheetId="4" hidden="1">'Damage classification-Rankin'!#REF!</definedName>
    <definedName name="solver_lhs26" localSheetId="4" hidden="1">'Damage classification-Rankin'!#REF!</definedName>
    <definedName name="solver_lhs27" localSheetId="4" hidden="1">'Damage classification-Rankin'!#REF!</definedName>
    <definedName name="solver_lhs28" localSheetId="4" hidden="1">'Damage classification-Rankin'!#REF!</definedName>
    <definedName name="solver_lhs29" localSheetId="4" hidden="1">'Damage classification-Rankin'!#REF!</definedName>
    <definedName name="solver_lhs3" localSheetId="4" hidden="1">'Damage classification-Rankin'!#REF!</definedName>
    <definedName name="solver_lhs30" localSheetId="4" hidden="1">'Damage classification-Rankin'!#REF!</definedName>
    <definedName name="solver_lhs31" localSheetId="4" hidden="1">'Damage classification-Rankin'!#REF!</definedName>
    <definedName name="solver_lhs32" localSheetId="4" hidden="1">'Damage classification-Rankin'!#REF!</definedName>
    <definedName name="solver_lhs33" localSheetId="4" hidden="1">'Damage classification-Rankin'!#REF!</definedName>
    <definedName name="solver_lhs34" localSheetId="4" hidden="1">'Damage classification-Rankin'!#REF!</definedName>
    <definedName name="solver_lhs35" localSheetId="4" hidden="1">'Damage classification-Rankin'!#REF!</definedName>
    <definedName name="solver_lhs36" localSheetId="4" hidden="1">'Damage classification-Rankin'!#REF!</definedName>
    <definedName name="solver_lhs37" localSheetId="4" hidden="1">'Damage classification-Rankin'!#REF!</definedName>
    <definedName name="solver_lhs38" localSheetId="4" hidden="1">'Damage classification-Rankin'!#REF!</definedName>
    <definedName name="solver_lhs39" localSheetId="4" hidden="1">'Damage classification-Rankin'!#REF!</definedName>
    <definedName name="solver_lhs4" localSheetId="4" hidden="1">'Damage classification-Rankin'!#REF!</definedName>
    <definedName name="solver_lhs40" localSheetId="4" hidden="1">'Damage classification-Rankin'!#REF!</definedName>
    <definedName name="solver_lhs41" localSheetId="4" hidden="1">'Damage classification-Rankin'!#REF!</definedName>
    <definedName name="solver_lhs42" localSheetId="4" hidden="1">'Damage classification-Rankin'!#REF!</definedName>
    <definedName name="solver_lhs43" localSheetId="4" hidden="1">'Damage classification-Rankin'!#REF!</definedName>
    <definedName name="solver_lhs44" localSheetId="4" hidden="1">'Damage classification-Rankin'!#REF!</definedName>
    <definedName name="solver_lhs45" localSheetId="4" hidden="1">'Damage classification-Rankin'!#REF!</definedName>
    <definedName name="solver_lhs46" localSheetId="4" hidden="1">'Damage classification-Rankin'!#REF!</definedName>
    <definedName name="solver_lhs47" localSheetId="4" hidden="1">'Damage classification-Rankin'!#REF!</definedName>
    <definedName name="solver_lhs48" localSheetId="4" hidden="1">'Damage classification-Rankin'!#REF!</definedName>
    <definedName name="solver_lhs49" localSheetId="4" hidden="1">'Damage classification-Rankin'!#REF!</definedName>
    <definedName name="solver_lhs5" localSheetId="4" hidden="1">'Damage classification-Rankin'!#REF!</definedName>
    <definedName name="solver_lhs50" localSheetId="4" hidden="1">'Damage classification-Rankin'!#REF!</definedName>
    <definedName name="solver_lhs51" localSheetId="4" hidden="1">'Damage classification-Rankin'!#REF!</definedName>
    <definedName name="solver_lhs52" localSheetId="4" hidden="1">'Damage classification-Rankin'!#REF!</definedName>
    <definedName name="solver_lhs53" localSheetId="4" hidden="1">'Damage classification-Rankin'!#REF!</definedName>
    <definedName name="solver_lhs54" localSheetId="4" hidden="1">'Damage classification-Rankin'!#REF!</definedName>
    <definedName name="solver_lhs55" localSheetId="4" hidden="1">'Damage classification-Rankin'!#REF!</definedName>
    <definedName name="solver_lhs56" localSheetId="4" hidden="1">'Damage classification-Rankin'!#REF!</definedName>
    <definedName name="solver_lhs57" localSheetId="4" hidden="1">'Damage classification-Rankin'!#REF!</definedName>
    <definedName name="solver_lhs58" localSheetId="4" hidden="1">'Damage classification-Rankin'!#REF!</definedName>
    <definedName name="solver_lhs59" localSheetId="4" hidden="1">'Damage classification-Rankin'!#REF!</definedName>
    <definedName name="solver_lhs6" localSheetId="4" hidden="1">'Damage classification-Rankin'!#REF!</definedName>
    <definedName name="solver_lhs60" localSheetId="4" hidden="1">'Damage classification-Rankin'!#REF!</definedName>
    <definedName name="solver_lhs61" localSheetId="4" hidden="1">'Damage classification-Rankin'!#REF!</definedName>
    <definedName name="solver_lhs62" localSheetId="4" hidden="1">'Damage classification-Rankin'!#REF!</definedName>
    <definedName name="solver_lhs63" localSheetId="4" hidden="1">'Damage classification-Rankin'!#REF!</definedName>
    <definedName name="solver_lhs64" localSheetId="4" hidden="1">'Damage classification-Rankin'!#REF!</definedName>
    <definedName name="solver_lhs65" localSheetId="4" hidden="1">'Damage classification-Rankin'!#REF!</definedName>
    <definedName name="solver_lhs66" localSheetId="4" hidden="1">'Damage classification-Rankin'!#REF!</definedName>
    <definedName name="solver_lhs67" localSheetId="4" hidden="1">'Damage classification-Rankin'!#REF!</definedName>
    <definedName name="solver_lhs68" localSheetId="4" hidden="1">'Damage classification-Rankin'!#REF!</definedName>
    <definedName name="solver_lhs69" localSheetId="4" hidden="1">'Damage classification-Rankin'!#REF!</definedName>
    <definedName name="solver_lhs7" localSheetId="4" hidden="1">'Damage classification-Rankin'!#REF!</definedName>
    <definedName name="solver_lhs70" localSheetId="4" hidden="1">'Damage classification-Rankin'!#REF!</definedName>
    <definedName name="solver_lhs71" localSheetId="4" hidden="1">'Damage classification-Rankin'!#REF!</definedName>
    <definedName name="solver_lhs72" localSheetId="4" hidden="1">'Damage classification-Rankin'!#REF!</definedName>
    <definedName name="solver_lhs73" localSheetId="4" hidden="1">'Damage classification-Rankin'!#REF!</definedName>
    <definedName name="solver_lhs74" localSheetId="4" hidden="1">'Damage classification-Rankin'!#REF!</definedName>
    <definedName name="solver_lhs75" localSheetId="4" hidden="1">'Damage classification-Rankin'!#REF!</definedName>
    <definedName name="solver_lhs76" localSheetId="4" hidden="1">'Damage classification-Rankin'!#REF!</definedName>
    <definedName name="solver_lhs77" localSheetId="4" hidden="1">'Damage classification-Rankin'!#REF!</definedName>
    <definedName name="solver_lhs78" localSheetId="4" hidden="1">'Damage classification-Rankin'!#REF!</definedName>
    <definedName name="solver_lhs79" localSheetId="4" hidden="1">'Damage classification-Rankin'!#REF!</definedName>
    <definedName name="solver_lhs8" localSheetId="4" hidden="1">'Damage classification-Rankin'!#REF!</definedName>
    <definedName name="solver_lhs80" localSheetId="4" hidden="1">'Damage classification-Rankin'!#REF!</definedName>
    <definedName name="solver_lhs81" localSheetId="4" hidden="1">'Damage classification-Rankin'!#REF!</definedName>
    <definedName name="solver_lhs82" localSheetId="4" hidden="1">'Damage classification-Rankin'!#REF!</definedName>
    <definedName name="solver_lhs83" localSheetId="4" hidden="1">'Damage classification-Rankin'!#REF!</definedName>
    <definedName name="solver_lhs84" localSheetId="4" hidden="1">'Damage classification-Rankin'!#REF!</definedName>
    <definedName name="solver_lhs85" localSheetId="4" hidden="1">'Damage classification-Rankin'!#REF!</definedName>
    <definedName name="solver_lhs86" localSheetId="4" hidden="1">'Damage classification-Rankin'!#REF!</definedName>
    <definedName name="solver_lhs87" localSheetId="4" hidden="1">'Damage classification-Rankin'!#REF!</definedName>
    <definedName name="solver_lhs88" localSheetId="4" hidden="1">'Damage classification-Rankin'!#REF!</definedName>
    <definedName name="solver_lhs89" localSheetId="4" hidden="1">'Damage classification-Rankin'!#REF!</definedName>
    <definedName name="solver_lhs9" localSheetId="4" hidden="1">'Damage classification-Rankin'!#REF!</definedName>
    <definedName name="solver_lhs90" localSheetId="4" hidden="1">'Damage classification-Rankin'!#REF!</definedName>
    <definedName name="solver_lhs91" localSheetId="4" hidden="1">'Damage classification-Rankin'!#REF!</definedName>
    <definedName name="solver_lhs92" localSheetId="4" hidden="1">'Damage classification-Rankin'!#REF!</definedName>
    <definedName name="solver_lhs93" localSheetId="4" hidden="1">'Damage classification-Rankin'!#REF!</definedName>
    <definedName name="solver_lhs94" localSheetId="4" hidden="1">'Damage classification-Rankin'!#REF!</definedName>
    <definedName name="solver_lhs95" localSheetId="4" hidden="1">'Damage classification-Rankin'!#REF!</definedName>
    <definedName name="solver_lhs96" localSheetId="4" hidden="1">'Damage classification-Rankin'!#REF!</definedName>
    <definedName name="solver_lhs97" localSheetId="4" hidden="1">'Damage classification-Rankin'!#REF!</definedName>
    <definedName name="solver_lhs98" localSheetId="4" hidden="1">'Damage classification-Rankin'!#REF!</definedName>
    <definedName name="solver_lhs99" localSheetId="4" hidden="1">'Damage classification-Rankin'!#REF!</definedName>
    <definedName name="solver_lin" localSheetId="4" hidden="1">2</definedName>
    <definedName name="solver_neg" localSheetId="4" hidden="1">2</definedName>
    <definedName name="solver_num" localSheetId="4" hidden="1">162</definedName>
    <definedName name="solver_nwt" localSheetId="4" hidden="1">1</definedName>
    <definedName name="solver_opt" localSheetId="4" hidden="1">'Damage classification-Rankin'!#REF!</definedName>
    <definedName name="solver_pre" localSheetId="4" hidden="1">0.000001</definedName>
    <definedName name="solver_rel1" localSheetId="4" hidden="1">1</definedName>
    <definedName name="solver_rel10" localSheetId="4" hidden="1">3</definedName>
    <definedName name="solver_rel100" localSheetId="4" hidden="1">3</definedName>
    <definedName name="solver_rel101" localSheetId="4" hidden="1">1</definedName>
    <definedName name="solver_rel102" localSheetId="4" hidden="1">3</definedName>
    <definedName name="solver_rel103" localSheetId="4" hidden="1">1</definedName>
    <definedName name="solver_rel104" localSheetId="4" hidden="1">3</definedName>
    <definedName name="solver_rel105" localSheetId="4" hidden="1">1</definedName>
    <definedName name="solver_rel106" localSheetId="4" hidden="1">3</definedName>
    <definedName name="solver_rel107" localSheetId="4" hidden="1">1</definedName>
    <definedName name="solver_rel108" localSheetId="4" hidden="1">3</definedName>
    <definedName name="solver_rel109" localSheetId="4" hidden="1">1</definedName>
    <definedName name="solver_rel11" localSheetId="4" hidden="1">1</definedName>
    <definedName name="solver_rel110" localSheetId="4" hidden="1">3</definedName>
    <definedName name="solver_rel111" localSheetId="4" hidden="1">1</definedName>
    <definedName name="solver_rel112" localSheetId="4" hidden="1">3</definedName>
    <definedName name="solver_rel113" localSheetId="4" hidden="1">1</definedName>
    <definedName name="solver_rel114" localSheetId="4" hidden="1">3</definedName>
    <definedName name="solver_rel115" localSheetId="4" hidden="1">1</definedName>
    <definedName name="solver_rel116" localSheetId="4" hidden="1">3</definedName>
    <definedName name="solver_rel117" localSheetId="4" hidden="1">1</definedName>
    <definedName name="solver_rel118" localSheetId="4" hidden="1">3</definedName>
    <definedName name="solver_rel119" localSheetId="4" hidden="1">1</definedName>
    <definedName name="solver_rel12" localSheetId="4" hidden="1">3</definedName>
    <definedName name="solver_rel120" localSheetId="4" hidden="1">3</definedName>
    <definedName name="solver_rel121" localSheetId="4" hidden="1">1</definedName>
    <definedName name="solver_rel122" localSheetId="4" hidden="1">3</definedName>
    <definedName name="solver_rel123" localSheetId="4" hidden="1">1</definedName>
    <definedName name="solver_rel124" localSheetId="4" hidden="1">3</definedName>
    <definedName name="solver_rel125" localSheetId="4" hidden="1">1</definedName>
    <definedName name="solver_rel126" localSheetId="4" hidden="1">3</definedName>
    <definedName name="solver_rel127" localSheetId="4" hidden="1">1</definedName>
    <definedName name="solver_rel128" localSheetId="4" hidden="1">3</definedName>
    <definedName name="solver_rel129" localSheetId="4" hidden="1">1</definedName>
    <definedName name="solver_rel13" localSheetId="4" hidden="1">1</definedName>
    <definedName name="solver_rel130" localSheetId="4" hidden="1">3</definedName>
    <definedName name="solver_rel131" localSheetId="4" hidden="1">1</definedName>
    <definedName name="solver_rel132" localSheetId="4" hidden="1">3</definedName>
    <definedName name="solver_rel133" localSheetId="4" hidden="1">1</definedName>
    <definedName name="solver_rel134" localSheetId="4" hidden="1">3</definedName>
    <definedName name="solver_rel135" localSheetId="4" hidden="1">1</definedName>
    <definedName name="solver_rel136" localSheetId="4" hidden="1">3</definedName>
    <definedName name="solver_rel137" localSheetId="4" hidden="1">1</definedName>
    <definedName name="solver_rel138" localSheetId="4" hidden="1">3</definedName>
    <definedName name="solver_rel139" localSheetId="4" hidden="1">1</definedName>
    <definedName name="solver_rel14" localSheetId="4" hidden="1">3</definedName>
    <definedName name="solver_rel140" localSheetId="4" hidden="1">3</definedName>
    <definedName name="solver_rel141" localSheetId="4" hidden="1">1</definedName>
    <definedName name="solver_rel142" localSheetId="4" hidden="1">3</definedName>
    <definedName name="solver_rel143" localSheetId="4" hidden="1">1</definedName>
    <definedName name="solver_rel144" localSheetId="4" hidden="1">3</definedName>
    <definedName name="solver_rel145" localSheetId="4" hidden="1">1</definedName>
    <definedName name="solver_rel146" localSheetId="4" hidden="1">3</definedName>
    <definedName name="solver_rel147" localSheetId="4" hidden="1">1</definedName>
    <definedName name="solver_rel148" localSheetId="4" hidden="1">3</definedName>
    <definedName name="solver_rel149" localSheetId="4" hidden="1">1</definedName>
    <definedName name="solver_rel15" localSheetId="4" hidden="1">1</definedName>
    <definedName name="solver_rel150" localSheetId="4" hidden="1">3</definedName>
    <definedName name="solver_rel151" localSheetId="4" hidden="1">1</definedName>
    <definedName name="solver_rel152" localSheetId="4" hidden="1">3</definedName>
    <definedName name="solver_rel153" localSheetId="4" hidden="1">1</definedName>
    <definedName name="solver_rel154" localSheetId="4" hidden="1">3</definedName>
    <definedName name="solver_rel155" localSheetId="4" hidden="1">1</definedName>
    <definedName name="solver_rel156" localSheetId="4" hidden="1">3</definedName>
    <definedName name="solver_rel157" localSheetId="4" hidden="1">1</definedName>
    <definedName name="solver_rel158" localSheetId="4" hidden="1">3</definedName>
    <definedName name="solver_rel159" localSheetId="4" hidden="1">1</definedName>
    <definedName name="solver_rel16" localSheetId="4" hidden="1">3</definedName>
    <definedName name="solver_rel160" localSheetId="4" hidden="1">3</definedName>
    <definedName name="solver_rel161" localSheetId="4" hidden="1">1</definedName>
    <definedName name="solver_rel162" localSheetId="4" hidden="1">3</definedName>
    <definedName name="solver_rel17" localSheetId="4" hidden="1">1</definedName>
    <definedName name="solver_rel18" localSheetId="4" hidden="1">3</definedName>
    <definedName name="solver_rel19" localSheetId="4" hidden="1">1</definedName>
    <definedName name="solver_rel2" localSheetId="4" hidden="1">3</definedName>
    <definedName name="solver_rel20" localSheetId="4" hidden="1">3</definedName>
    <definedName name="solver_rel21" localSheetId="4" hidden="1">1</definedName>
    <definedName name="solver_rel22" localSheetId="4" hidden="1">3</definedName>
    <definedName name="solver_rel23" localSheetId="4" hidden="1">1</definedName>
    <definedName name="solver_rel24" localSheetId="4" hidden="1">3</definedName>
    <definedName name="solver_rel25" localSheetId="4" hidden="1">1</definedName>
    <definedName name="solver_rel26" localSheetId="4" hidden="1">3</definedName>
    <definedName name="solver_rel27" localSheetId="4" hidden="1">1</definedName>
    <definedName name="solver_rel28" localSheetId="4" hidden="1">3</definedName>
    <definedName name="solver_rel29" localSheetId="4" hidden="1">1</definedName>
    <definedName name="solver_rel3" localSheetId="4" hidden="1">3</definedName>
    <definedName name="solver_rel30" localSheetId="4" hidden="1">3</definedName>
    <definedName name="solver_rel31" localSheetId="4" hidden="1">1</definedName>
    <definedName name="solver_rel32" localSheetId="4" hidden="1">3</definedName>
    <definedName name="solver_rel33" localSheetId="4" hidden="1">1</definedName>
    <definedName name="solver_rel34" localSheetId="4" hidden="1">3</definedName>
    <definedName name="solver_rel35" localSheetId="4" hidden="1">1</definedName>
    <definedName name="solver_rel36" localSheetId="4" hidden="1">3</definedName>
    <definedName name="solver_rel37" localSheetId="4" hidden="1">1</definedName>
    <definedName name="solver_rel38" localSheetId="4" hidden="1">3</definedName>
    <definedName name="solver_rel39" localSheetId="4" hidden="1">1</definedName>
    <definedName name="solver_rel4" localSheetId="4" hidden="1">3</definedName>
    <definedName name="solver_rel40" localSheetId="4" hidden="1">3</definedName>
    <definedName name="solver_rel41" localSheetId="4" hidden="1">1</definedName>
    <definedName name="solver_rel42" localSheetId="4" hidden="1">3</definedName>
    <definedName name="solver_rel43" localSheetId="4" hidden="1">1</definedName>
    <definedName name="solver_rel44" localSheetId="4" hidden="1">3</definedName>
    <definedName name="solver_rel45" localSheetId="4" hidden="1">1</definedName>
    <definedName name="solver_rel46" localSheetId="4" hidden="1">3</definedName>
    <definedName name="solver_rel47" localSheetId="4" hidden="1">1</definedName>
    <definedName name="solver_rel48" localSheetId="4" hidden="1">3</definedName>
    <definedName name="solver_rel49" localSheetId="4" hidden="1">1</definedName>
    <definedName name="solver_rel5" localSheetId="4" hidden="1">1</definedName>
    <definedName name="solver_rel50" localSheetId="4" hidden="1">3</definedName>
    <definedName name="solver_rel51" localSheetId="4" hidden="1">1</definedName>
    <definedName name="solver_rel52" localSheetId="4" hidden="1">3</definedName>
    <definedName name="solver_rel53" localSheetId="4" hidden="1">1</definedName>
    <definedName name="solver_rel54" localSheetId="4" hidden="1">3</definedName>
    <definedName name="solver_rel55" localSheetId="4" hidden="1">1</definedName>
    <definedName name="solver_rel56" localSheetId="4" hidden="1">3</definedName>
    <definedName name="solver_rel57" localSheetId="4" hidden="1">1</definedName>
    <definedName name="solver_rel58" localSheetId="4" hidden="1">3</definedName>
    <definedName name="solver_rel59" localSheetId="4" hidden="1">1</definedName>
    <definedName name="solver_rel6" localSheetId="4" hidden="1">3</definedName>
    <definedName name="solver_rel60" localSheetId="4" hidden="1">3</definedName>
    <definedName name="solver_rel61" localSheetId="4" hidden="1">1</definedName>
    <definedName name="solver_rel62" localSheetId="4" hidden="1">3</definedName>
    <definedName name="solver_rel63" localSheetId="4" hidden="1">1</definedName>
    <definedName name="solver_rel64" localSheetId="4" hidden="1">3</definedName>
    <definedName name="solver_rel65" localSheetId="4" hidden="1">1</definedName>
    <definedName name="solver_rel66" localSheetId="4" hidden="1">3</definedName>
    <definedName name="solver_rel67" localSheetId="4" hidden="1">1</definedName>
    <definedName name="solver_rel68" localSheetId="4" hidden="1">3</definedName>
    <definedName name="solver_rel69" localSheetId="4" hidden="1">1</definedName>
    <definedName name="solver_rel7" localSheetId="4" hidden="1">1</definedName>
    <definedName name="solver_rel70" localSheetId="4" hidden="1">3</definedName>
    <definedName name="solver_rel71" localSheetId="4" hidden="1">1</definedName>
    <definedName name="solver_rel72" localSheetId="4" hidden="1">3</definedName>
    <definedName name="solver_rel73" localSheetId="4" hidden="1">1</definedName>
    <definedName name="solver_rel74" localSheetId="4" hidden="1">3</definedName>
    <definedName name="solver_rel75" localSheetId="4" hidden="1">1</definedName>
    <definedName name="solver_rel76" localSheetId="4" hidden="1">3</definedName>
    <definedName name="solver_rel77" localSheetId="4" hidden="1">1</definedName>
    <definedName name="solver_rel78" localSheetId="4" hidden="1">3</definedName>
    <definedName name="solver_rel79" localSheetId="4" hidden="1">1</definedName>
    <definedName name="solver_rel8" localSheetId="4" hidden="1">3</definedName>
    <definedName name="solver_rel80" localSheetId="4" hidden="1">3</definedName>
    <definedName name="solver_rel81" localSheetId="4" hidden="1">1</definedName>
    <definedName name="solver_rel82" localSheetId="4" hidden="1">3</definedName>
    <definedName name="solver_rel83" localSheetId="4" hidden="1">1</definedName>
    <definedName name="solver_rel84" localSheetId="4" hidden="1">3</definedName>
    <definedName name="solver_rel85" localSheetId="4" hidden="1">1</definedName>
    <definedName name="solver_rel86" localSheetId="4" hidden="1">3</definedName>
    <definedName name="solver_rel87" localSheetId="4" hidden="1">1</definedName>
    <definedName name="solver_rel88" localSheetId="4" hidden="1">3</definedName>
    <definedName name="solver_rel89" localSheetId="4" hidden="1">1</definedName>
    <definedName name="solver_rel9" localSheetId="4" hidden="1">1</definedName>
    <definedName name="solver_rel90" localSheetId="4" hidden="1">3</definedName>
    <definedName name="solver_rel91" localSheetId="4" hidden="1">1</definedName>
    <definedName name="solver_rel92" localSheetId="4" hidden="1">3</definedName>
    <definedName name="solver_rel93" localSheetId="4" hidden="1">1</definedName>
    <definedName name="solver_rel94" localSheetId="4" hidden="1">3</definedName>
    <definedName name="solver_rel95" localSheetId="4" hidden="1">1</definedName>
    <definedName name="solver_rel96" localSheetId="4" hidden="1">3</definedName>
    <definedName name="solver_rel97" localSheetId="4" hidden="1">1</definedName>
    <definedName name="solver_rel98" localSheetId="4" hidden="1">3</definedName>
    <definedName name="solver_rel99" localSheetId="4" hidden="1">1</definedName>
    <definedName name="solver_rhs1" localSheetId="4" hidden="1">'Damage classification-Rankin'!#REF!</definedName>
    <definedName name="solver_rhs10" localSheetId="4" hidden="1">'Damage classification-Rankin'!#REF!</definedName>
    <definedName name="solver_rhs100" localSheetId="4" hidden="1">'Damage classification-Rankin'!#REF!</definedName>
    <definedName name="solver_rhs101" localSheetId="4" hidden="1">'Damage classification-Rankin'!#REF!</definedName>
    <definedName name="solver_rhs102" localSheetId="4" hidden="1">'Damage classification-Rankin'!#REF!</definedName>
    <definedName name="solver_rhs103" localSheetId="4" hidden="1">'Damage classification-Rankin'!#REF!</definedName>
    <definedName name="solver_rhs104" localSheetId="4" hidden="1">'Damage classification-Rankin'!#REF!</definedName>
    <definedName name="solver_rhs105" localSheetId="4" hidden="1">'Damage classification-Rankin'!#REF!</definedName>
    <definedName name="solver_rhs106" localSheetId="4" hidden="1">'Damage classification-Rankin'!#REF!</definedName>
    <definedName name="solver_rhs107" localSheetId="4" hidden="1">'Damage classification-Rankin'!#REF!</definedName>
    <definedName name="solver_rhs108" localSheetId="4" hidden="1">'Damage classification-Rankin'!#REF!</definedName>
    <definedName name="solver_rhs109" localSheetId="4" hidden="1">'Damage classification-Rankin'!#REF!</definedName>
    <definedName name="solver_rhs11" localSheetId="4" hidden="1">'Damage classification-Rankin'!#REF!</definedName>
    <definedName name="solver_rhs110" localSheetId="4" hidden="1">'Damage classification-Rankin'!#REF!</definedName>
    <definedName name="solver_rhs111" localSheetId="4" hidden="1">'Damage classification-Rankin'!#REF!</definedName>
    <definedName name="solver_rhs112" localSheetId="4" hidden="1">'Damage classification-Rankin'!#REF!</definedName>
    <definedName name="solver_rhs113" localSheetId="4" hidden="1">'Damage classification-Rankin'!#REF!</definedName>
    <definedName name="solver_rhs114" localSheetId="4" hidden="1">'Damage classification-Rankin'!#REF!</definedName>
    <definedName name="solver_rhs115" localSheetId="4" hidden="1">'Damage classification-Rankin'!#REF!</definedName>
    <definedName name="solver_rhs116" localSheetId="4" hidden="1">'Damage classification-Rankin'!#REF!</definedName>
    <definedName name="solver_rhs117" localSheetId="4" hidden="1">'Damage classification-Rankin'!#REF!</definedName>
    <definedName name="solver_rhs118" localSheetId="4" hidden="1">'Damage classification-Rankin'!#REF!</definedName>
    <definedName name="solver_rhs119" localSheetId="4" hidden="1">'Damage classification-Rankin'!#REF!</definedName>
    <definedName name="solver_rhs12" localSheetId="4" hidden="1">'Damage classification-Rankin'!#REF!</definedName>
    <definedName name="solver_rhs120" localSheetId="4" hidden="1">'Damage classification-Rankin'!#REF!</definedName>
    <definedName name="solver_rhs121" localSheetId="4" hidden="1">'Damage classification-Rankin'!#REF!</definedName>
    <definedName name="solver_rhs122" localSheetId="4" hidden="1">'Damage classification-Rankin'!#REF!</definedName>
    <definedName name="solver_rhs123" localSheetId="4" hidden="1">'Damage classification-Rankin'!#REF!</definedName>
    <definedName name="solver_rhs124" localSheetId="4" hidden="1">'Damage classification-Rankin'!#REF!</definedName>
    <definedName name="solver_rhs125" localSheetId="4" hidden="1">'Damage classification-Rankin'!#REF!</definedName>
    <definedName name="solver_rhs126" localSheetId="4" hidden="1">'Damage classification-Rankin'!#REF!</definedName>
    <definedName name="solver_rhs127" localSheetId="4" hidden="1">'Damage classification-Rankin'!#REF!</definedName>
    <definedName name="solver_rhs128" localSheetId="4" hidden="1">'Damage classification-Rankin'!#REF!</definedName>
    <definedName name="solver_rhs129" localSheetId="4" hidden="1">'Damage classification-Rankin'!#REF!</definedName>
    <definedName name="solver_rhs13" localSheetId="4" hidden="1">'Damage classification-Rankin'!#REF!</definedName>
    <definedName name="solver_rhs130" localSheetId="4" hidden="1">'Damage classification-Rankin'!#REF!</definedName>
    <definedName name="solver_rhs131" localSheetId="4" hidden="1">'Damage classification-Rankin'!#REF!</definedName>
    <definedName name="solver_rhs132" localSheetId="4" hidden="1">'Damage classification-Rankin'!#REF!</definedName>
    <definedName name="solver_rhs133" localSheetId="4" hidden="1">'Damage classification-Rankin'!#REF!</definedName>
    <definedName name="solver_rhs134" localSheetId="4" hidden="1">'Damage classification-Rankin'!#REF!</definedName>
    <definedName name="solver_rhs135" localSheetId="4" hidden="1">'Damage classification-Rankin'!#REF!</definedName>
    <definedName name="solver_rhs136" localSheetId="4" hidden="1">'Damage classification-Rankin'!#REF!</definedName>
    <definedName name="solver_rhs137" localSheetId="4" hidden="1">'Damage classification-Rankin'!#REF!</definedName>
    <definedName name="solver_rhs138" localSheetId="4" hidden="1">'Damage classification-Rankin'!#REF!</definedName>
    <definedName name="solver_rhs139" localSheetId="4" hidden="1">'Damage classification-Rankin'!#REF!</definedName>
    <definedName name="solver_rhs14" localSheetId="4" hidden="1">'Damage classification-Rankin'!#REF!</definedName>
    <definedName name="solver_rhs140" localSheetId="4" hidden="1">'Damage classification-Rankin'!#REF!</definedName>
    <definedName name="solver_rhs141" localSheetId="4" hidden="1">'Damage classification-Rankin'!#REF!</definedName>
    <definedName name="solver_rhs142" localSheetId="4" hidden="1">'Damage classification-Rankin'!#REF!</definedName>
    <definedName name="solver_rhs143" localSheetId="4" hidden="1">'Damage classification-Rankin'!#REF!</definedName>
    <definedName name="solver_rhs144" localSheetId="4" hidden="1">'Damage classification-Rankin'!#REF!</definedName>
    <definedName name="solver_rhs145" localSheetId="4" hidden="1">'Damage classification-Rankin'!#REF!</definedName>
    <definedName name="solver_rhs146" localSheetId="4" hidden="1">'Damage classification-Rankin'!#REF!</definedName>
    <definedName name="solver_rhs147" localSheetId="4" hidden="1">'Damage classification-Rankin'!#REF!</definedName>
    <definedName name="solver_rhs148" localSheetId="4" hidden="1">'Damage classification-Rankin'!#REF!</definedName>
    <definedName name="solver_rhs149" localSheetId="4" hidden="1">'Damage classification-Rankin'!#REF!</definedName>
    <definedName name="solver_rhs15" localSheetId="4" hidden="1">'Damage classification-Rankin'!#REF!</definedName>
    <definedName name="solver_rhs150" localSheetId="4" hidden="1">'Damage classification-Rankin'!#REF!</definedName>
    <definedName name="solver_rhs151" localSheetId="4" hidden="1">'Damage classification-Rankin'!#REF!</definedName>
    <definedName name="solver_rhs152" localSheetId="4" hidden="1">'Damage classification-Rankin'!#REF!</definedName>
    <definedName name="solver_rhs153" localSheetId="4" hidden="1">'Damage classification-Rankin'!#REF!</definedName>
    <definedName name="solver_rhs154" localSheetId="4" hidden="1">'Damage classification-Rankin'!#REF!</definedName>
    <definedName name="solver_rhs155" localSheetId="4" hidden="1">'Damage classification-Rankin'!#REF!</definedName>
    <definedName name="solver_rhs156" localSheetId="4" hidden="1">'Damage classification-Rankin'!#REF!</definedName>
    <definedName name="solver_rhs157" localSheetId="4" hidden="1">'Damage classification-Rankin'!#REF!</definedName>
    <definedName name="solver_rhs158" localSheetId="4" hidden="1">'Damage classification-Rankin'!#REF!</definedName>
    <definedName name="solver_rhs159" localSheetId="4" hidden="1">'Damage classification-Rankin'!#REF!</definedName>
    <definedName name="solver_rhs16" localSheetId="4" hidden="1">'Damage classification-Rankin'!#REF!</definedName>
    <definedName name="solver_rhs160" localSheetId="4" hidden="1">'Damage classification-Rankin'!#REF!</definedName>
    <definedName name="solver_rhs161" localSheetId="4" hidden="1">'Damage classification-Rankin'!#REF!</definedName>
    <definedName name="solver_rhs162" localSheetId="4" hidden="1">'Damage classification-Rankin'!#REF!</definedName>
    <definedName name="solver_rhs17" localSheetId="4" hidden="1">'Damage classification-Rankin'!#REF!</definedName>
    <definedName name="solver_rhs18" localSheetId="4" hidden="1">'Damage classification-Rankin'!#REF!</definedName>
    <definedName name="solver_rhs19" localSheetId="4" hidden="1">'Damage classification-Rankin'!#REF!</definedName>
    <definedName name="solver_rhs2" localSheetId="4" hidden="1">'Damage classification-Rankin'!#REF!</definedName>
    <definedName name="solver_rhs20" localSheetId="4" hidden="1">'Damage classification-Rankin'!#REF!</definedName>
    <definedName name="solver_rhs21" localSheetId="4" hidden="1">'Damage classification-Rankin'!#REF!</definedName>
    <definedName name="solver_rhs22" localSheetId="4" hidden="1">'Damage classification-Rankin'!#REF!</definedName>
    <definedName name="solver_rhs23" localSheetId="4" hidden="1">'Damage classification-Rankin'!#REF!</definedName>
    <definedName name="solver_rhs24" localSheetId="4" hidden="1">'Damage classification-Rankin'!#REF!</definedName>
    <definedName name="solver_rhs25" localSheetId="4" hidden="1">'Damage classification-Rankin'!#REF!</definedName>
    <definedName name="solver_rhs26" localSheetId="4" hidden="1">'Damage classification-Rankin'!#REF!</definedName>
    <definedName name="solver_rhs27" localSheetId="4" hidden="1">'Damage classification-Rankin'!#REF!</definedName>
    <definedName name="solver_rhs28" localSheetId="4" hidden="1">'Damage classification-Rankin'!#REF!</definedName>
    <definedName name="solver_rhs29" localSheetId="4" hidden="1">'Damage classification-Rankin'!#REF!</definedName>
    <definedName name="solver_rhs3" localSheetId="4" hidden="1">'Damage classification-Rankin'!#REF!</definedName>
    <definedName name="solver_rhs30" localSheetId="4" hidden="1">'Damage classification-Rankin'!#REF!</definedName>
    <definedName name="solver_rhs31" localSheetId="4" hidden="1">'Damage classification-Rankin'!#REF!</definedName>
    <definedName name="solver_rhs32" localSheetId="4" hidden="1">'Damage classification-Rankin'!#REF!</definedName>
    <definedName name="solver_rhs33" localSheetId="4" hidden="1">'Damage classification-Rankin'!#REF!</definedName>
    <definedName name="solver_rhs34" localSheetId="4" hidden="1">'Damage classification-Rankin'!#REF!</definedName>
    <definedName name="solver_rhs35" localSheetId="4" hidden="1">'Damage classification-Rankin'!#REF!</definedName>
    <definedName name="solver_rhs36" localSheetId="4" hidden="1">'Damage classification-Rankin'!#REF!</definedName>
    <definedName name="solver_rhs37" localSheetId="4" hidden="1">'Damage classification-Rankin'!#REF!</definedName>
    <definedName name="solver_rhs38" localSheetId="4" hidden="1">'Damage classification-Rankin'!#REF!</definedName>
    <definedName name="solver_rhs39" localSheetId="4" hidden="1">'Damage classification-Rankin'!#REF!</definedName>
    <definedName name="solver_rhs4" localSheetId="4" hidden="1">'Damage classification-Rankin'!#REF!</definedName>
    <definedName name="solver_rhs40" localSheetId="4" hidden="1">'Damage classification-Rankin'!#REF!</definedName>
    <definedName name="solver_rhs41" localSheetId="4" hidden="1">'Damage classification-Rankin'!#REF!</definedName>
    <definedName name="solver_rhs42" localSheetId="4" hidden="1">'Damage classification-Rankin'!#REF!</definedName>
    <definedName name="solver_rhs43" localSheetId="4" hidden="1">'Damage classification-Rankin'!#REF!</definedName>
    <definedName name="solver_rhs44" localSheetId="4" hidden="1">'Damage classification-Rankin'!#REF!</definedName>
    <definedName name="solver_rhs45" localSheetId="4" hidden="1">'Damage classification-Rankin'!#REF!</definedName>
    <definedName name="solver_rhs46" localSheetId="4" hidden="1">'Damage classification-Rankin'!#REF!</definedName>
    <definedName name="solver_rhs47" localSheetId="4" hidden="1">'Damage classification-Rankin'!#REF!</definedName>
    <definedName name="solver_rhs48" localSheetId="4" hidden="1">'Damage classification-Rankin'!#REF!</definedName>
    <definedName name="solver_rhs49" localSheetId="4" hidden="1">'Damage classification-Rankin'!#REF!</definedName>
    <definedName name="solver_rhs5" localSheetId="4" hidden="1">'Damage classification-Rankin'!#REF!</definedName>
    <definedName name="solver_rhs50" localSheetId="4" hidden="1">'Damage classification-Rankin'!#REF!</definedName>
    <definedName name="solver_rhs51" localSheetId="4" hidden="1">'Damage classification-Rankin'!#REF!</definedName>
    <definedName name="solver_rhs52" localSheetId="4" hidden="1">'Damage classification-Rankin'!#REF!</definedName>
    <definedName name="solver_rhs53" localSheetId="4" hidden="1">'Damage classification-Rankin'!#REF!</definedName>
    <definedName name="solver_rhs54" localSheetId="4" hidden="1">'Damage classification-Rankin'!#REF!</definedName>
    <definedName name="solver_rhs55" localSheetId="4" hidden="1">'Damage classification-Rankin'!#REF!</definedName>
    <definedName name="solver_rhs56" localSheetId="4" hidden="1">'Damage classification-Rankin'!#REF!</definedName>
    <definedName name="solver_rhs57" localSheetId="4" hidden="1">'Damage classification-Rankin'!#REF!</definedName>
    <definedName name="solver_rhs58" localSheetId="4" hidden="1">'Damage classification-Rankin'!#REF!</definedName>
    <definedName name="solver_rhs59" localSheetId="4" hidden="1">'Damage classification-Rankin'!#REF!</definedName>
    <definedName name="solver_rhs6" localSheetId="4" hidden="1">'Damage classification-Rankin'!#REF!</definedName>
    <definedName name="solver_rhs60" localSheetId="4" hidden="1">'Damage classification-Rankin'!#REF!</definedName>
    <definedName name="solver_rhs61" localSheetId="4" hidden="1">'Damage classification-Rankin'!#REF!</definedName>
    <definedName name="solver_rhs62" localSheetId="4" hidden="1">'Damage classification-Rankin'!#REF!</definedName>
    <definedName name="solver_rhs63" localSheetId="4" hidden="1">'Damage classification-Rankin'!#REF!</definedName>
    <definedName name="solver_rhs64" localSheetId="4" hidden="1">'Damage classification-Rankin'!#REF!</definedName>
    <definedName name="solver_rhs65" localSheetId="4" hidden="1">'Damage classification-Rankin'!#REF!</definedName>
    <definedName name="solver_rhs66" localSheetId="4" hidden="1">'Damage classification-Rankin'!#REF!</definedName>
    <definedName name="solver_rhs67" localSheetId="4" hidden="1">'Damage classification-Rankin'!#REF!</definedName>
    <definedName name="solver_rhs68" localSheetId="4" hidden="1">'Damage classification-Rankin'!#REF!</definedName>
    <definedName name="solver_rhs69" localSheetId="4" hidden="1">'Damage classification-Rankin'!#REF!</definedName>
    <definedName name="solver_rhs7" localSheetId="4" hidden="1">'Damage classification-Rankin'!#REF!</definedName>
    <definedName name="solver_rhs70" localSheetId="4" hidden="1">'Damage classification-Rankin'!#REF!</definedName>
    <definedName name="solver_rhs71" localSheetId="4" hidden="1">'Damage classification-Rankin'!#REF!</definedName>
    <definedName name="solver_rhs72" localSheetId="4" hidden="1">'Damage classification-Rankin'!#REF!</definedName>
    <definedName name="solver_rhs73" localSheetId="4" hidden="1">'Damage classification-Rankin'!#REF!</definedName>
    <definedName name="solver_rhs74" localSheetId="4" hidden="1">'Damage classification-Rankin'!#REF!</definedName>
    <definedName name="solver_rhs75" localSheetId="4" hidden="1">'Damage classification-Rankin'!#REF!</definedName>
    <definedName name="solver_rhs76" localSheetId="4" hidden="1">'Damage classification-Rankin'!#REF!</definedName>
    <definedName name="solver_rhs77" localSheetId="4" hidden="1">'Damage classification-Rankin'!#REF!</definedName>
    <definedName name="solver_rhs78" localSheetId="4" hidden="1">'Damage classification-Rankin'!#REF!</definedName>
    <definedName name="solver_rhs79" localSheetId="4" hidden="1">'Damage classification-Rankin'!#REF!</definedName>
    <definedName name="solver_rhs8" localSheetId="4" hidden="1">'Damage classification-Rankin'!#REF!</definedName>
    <definedName name="solver_rhs80" localSheetId="4" hidden="1">'Damage classification-Rankin'!#REF!</definedName>
    <definedName name="solver_rhs81" localSheetId="4" hidden="1">'Damage classification-Rankin'!#REF!</definedName>
    <definedName name="solver_rhs82" localSheetId="4" hidden="1">'Damage classification-Rankin'!#REF!</definedName>
    <definedName name="solver_rhs83" localSheetId="4" hidden="1">'Damage classification-Rankin'!#REF!</definedName>
    <definedName name="solver_rhs84" localSheetId="4" hidden="1">'Damage classification-Rankin'!#REF!</definedName>
    <definedName name="solver_rhs85" localSheetId="4" hidden="1">'Damage classification-Rankin'!#REF!</definedName>
    <definedName name="solver_rhs86" localSheetId="4" hidden="1">'Damage classification-Rankin'!#REF!</definedName>
    <definedName name="solver_rhs87" localSheetId="4" hidden="1">'Damage classification-Rankin'!#REF!</definedName>
    <definedName name="solver_rhs88" localSheetId="4" hidden="1">'Damage classification-Rankin'!#REF!</definedName>
    <definedName name="solver_rhs89" localSheetId="4" hidden="1">'Damage classification-Rankin'!#REF!</definedName>
    <definedName name="solver_rhs9" localSheetId="4" hidden="1">'Damage classification-Rankin'!#REF!</definedName>
    <definedName name="solver_rhs90" localSheetId="4" hidden="1">'Damage classification-Rankin'!#REF!</definedName>
    <definedName name="solver_rhs91" localSheetId="4" hidden="1">'Damage classification-Rankin'!#REF!</definedName>
    <definedName name="solver_rhs92" localSheetId="4" hidden="1">'Damage classification-Rankin'!#REF!</definedName>
    <definedName name="solver_rhs93" localSheetId="4" hidden="1">'Damage classification-Rankin'!#REF!</definedName>
    <definedName name="solver_rhs94" localSheetId="4" hidden="1">'Damage classification-Rankin'!#REF!</definedName>
    <definedName name="solver_rhs95" localSheetId="4" hidden="1">'Damage classification-Rankin'!#REF!</definedName>
    <definedName name="solver_rhs96" localSheetId="4" hidden="1">'Damage classification-Rankin'!#REF!</definedName>
    <definedName name="solver_rhs97" localSheetId="4" hidden="1">'Damage classification-Rankin'!#REF!</definedName>
    <definedName name="solver_rhs98" localSheetId="4" hidden="1">'Damage classification-Rankin'!#REF!</definedName>
    <definedName name="solver_rhs99" localSheetId="4" hidden="1">'Damage classification-Rankin'!#REF!</definedName>
    <definedName name="solver_scl" localSheetId="4" hidden="1">2</definedName>
    <definedName name="solver_sho" localSheetId="4" hidden="1">2</definedName>
    <definedName name="solver_tim" localSheetId="4" hidden="1">100</definedName>
    <definedName name="solver_tol" localSheetId="4" hidden="1">0.05</definedName>
    <definedName name="solver_typ" localSheetId="4" hidden="1">1</definedName>
    <definedName name="solver_val" localSheetId="4" hidden="1">0</definedName>
    <definedName name="_xlnm.Print_Titles" localSheetId="8">building!$2:$3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5" i="18" l="1"/>
  <c r="T6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4" i="18"/>
  <c r="T25" i="18"/>
  <c r="T26" i="18"/>
  <c r="T27" i="18"/>
  <c r="T28" i="18"/>
  <c r="T29" i="18"/>
  <c r="T30" i="18"/>
  <c r="T31" i="18"/>
  <c r="T32" i="18"/>
  <c r="T33" i="18"/>
  <c r="T34" i="18"/>
  <c r="T35" i="18"/>
  <c r="T36" i="18"/>
  <c r="T37" i="18"/>
  <c r="T38" i="18"/>
  <c r="T39" i="18"/>
  <c r="T40" i="18"/>
  <c r="T41" i="18"/>
  <c r="T42" i="18"/>
  <c r="T43" i="18"/>
  <c r="T44" i="18"/>
  <c r="T45" i="18"/>
  <c r="T46" i="18"/>
  <c r="T47" i="18"/>
  <c r="T48" i="18"/>
  <c r="T49" i="18"/>
  <c r="T50" i="18"/>
  <c r="T51" i="18"/>
  <c r="T52" i="18"/>
  <c r="T53" i="18"/>
  <c r="T54" i="18"/>
  <c r="T55" i="18"/>
  <c r="T56" i="18"/>
  <c r="T57" i="18"/>
  <c r="T58" i="18"/>
  <c r="T59" i="18"/>
  <c r="T60" i="18"/>
  <c r="T61" i="18"/>
  <c r="T62" i="18"/>
  <c r="T63" i="18"/>
  <c r="T64" i="18"/>
  <c r="T65" i="18"/>
  <c r="T66" i="18"/>
  <c r="T67" i="18"/>
  <c r="T68" i="18"/>
  <c r="T69" i="18"/>
  <c r="T70" i="18"/>
  <c r="T71" i="18"/>
  <c r="T72" i="18"/>
  <c r="T73" i="18"/>
  <c r="T74" i="18"/>
  <c r="T75" i="18"/>
  <c r="T76" i="18"/>
  <c r="T77" i="18"/>
  <c r="T78" i="18"/>
  <c r="T79" i="18"/>
  <c r="T80" i="18"/>
  <c r="T81" i="18"/>
  <c r="T82" i="18"/>
  <c r="T83" i="18"/>
  <c r="T84" i="18"/>
  <c r="T85" i="18"/>
  <c r="T86" i="18"/>
  <c r="T87" i="18"/>
  <c r="T88" i="18"/>
  <c r="T89" i="18"/>
  <c r="T90" i="18"/>
  <c r="T91" i="18"/>
  <c r="T92" i="18"/>
  <c r="T93" i="18"/>
  <c r="T94" i="18"/>
  <c r="T95" i="18"/>
  <c r="T96" i="18"/>
  <c r="T97" i="18"/>
  <c r="T98" i="18"/>
  <c r="T99" i="18"/>
  <c r="T100" i="18"/>
  <c r="T101" i="18"/>
  <c r="T102" i="18"/>
  <c r="T103" i="18"/>
  <c r="T104" i="18"/>
  <c r="T105" i="18"/>
  <c r="T106" i="18"/>
  <c r="T107" i="18"/>
  <c r="T108" i="18"/>
  <c r="T109" i="18"/>
  <c r="T110" i="18"/>
  <c r="T111" i="18"/>
  <c r="T112" i="18"/>
  <c r="T113" i="18"/>
  <c r="T114" i="18"/>
  <c r="T115" i="18"/>
  <c r="T116" i="18"/>
  <c r="T117" i="18"/>
  <c r="T118" i="18"/>
  <c r="T119" i="18"/>
  <c r="T120" i="18"/>
  <c r="T121" i="18"/>
  <c r="T122" i="18"/>
  <c r="T123" i="18"/>
  <c r="T124" i="18"/>
  <c r="T125" i="18"/>
  <c r="T126" i="18"/>
  <c r="T127" i="18"/>
  <c r="T128" i="18"/>
  <c r="T129" i="18"/>
  <c r="T130" i="18"/>
  <c r="T131" i="18"/>
  <c r="T132" i="18"/>
  <c r="T133" i="18"/>
  <c r="T134" i="18"/>
  <c r="T135" i="18"/>
  <c r="T136" i="18"/>
  <c r="T137" i="18"/>
  <c r="T138" i="18"/>
  <c r="T139" i="18"/>
  <c r="T140" i="18"/>
  <c r="T141" i="18"/>
  <c r="T142" i="18"/>
  <c r="T143" i="18"/>
  <c r="T144" i="18"/>
  <c r="T145" i="18"/>
  <c r="T146" i="18"/>
  <c r="T147" i="18"/>
  <c r="T148" i="18"/>
  <c r="T149" i="18"/>
  <c r="T150" i="18"/>
  <c r="T151" i="18"/>
  <c r="T152" i="18"/>
  <c r="T153" i="18"/>
  <c r="T154" i="18"/>
  <c r="T155" i="18"/>
  <c r="T156" i="18"/>
  <c r="T157" i="18"/>
  <c r="T158" i="18"/>
  <c r="T159" i="18"/>
  <c r="T160" i="18"/>
  <c r="T161" i="18"/>
  <c r="T162" i="18"/>
  <c r="T163" i="18"/>
  <c r="T164" i="18"/>
  <c r="T165" i="18"/>
  <c r="T166" i="18"/>
  <c r="T167" i="18"/>
  <c r="T168" i="18"/>
  <c r="T169" i="18"/>
  <c r="T170" i="18"/>
  <c r="T171" i="18"/>
  <c r="T172" i="18"/>
  <c r="T173" i="18"/>
  <c r="T174" i="18"/>
  <c r="T175" i="18"/>
  <c r="T176" i="18"/>
  <c r="T177" i="18"/>
  <c r="T178" i="18"/>
  <c r="T179" i="18"/>
  <c r="T4" i="18"/>
  <c r="E4" i="16" l="1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72" i="16"/>
  <c r="E73" i="16"/>
  <c r="E74" i="16"/>
  <c r="E75" i="16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96" i="16"/>
  <c r="E97" i="16"/>
  <c r="E98" i="16"/>
  <c r="E99" i="16"/>
  <c r="E100" i="16"/>
  <c r="E101" i="16"/>
  <c r="E102" i="16"/>
  <c r="E103" i="16"/>
  <c r="E104" i="16"/>
  <c r="E105" i="16"/>
  <c r="E106" i="16"/>
  <c r="E107" i="16"/>
  <c r="E108" i="16"/>
  <c r="E109" i="16"/>
  <c r="E110" i="16"/>
  <c r="E111" i="16"/>
  <c r="E112" i="16"/>
  <c r="E113" i="16"/>
  <c r="E114" i="16"/>
  <c r="E115" i="16"/>
  <c r="E116" i="16"/>
  <c r="E117" i="16"/>
  <c r="E118" i="16"/>
  <c r="E119" i="16"/>
  <c r="E120" i="16"/>
  <c r="E121" i="16"/>
  <c r="E122" i="16"/>
  <c r="E123" i="16"/>
  <c r="E124" i="16"/>
  <c r="E125" i="16"/>
  <c r="E126" i="16"/>
  <c r="E127" i="16"/>
  <c r="E128" i="16"/>
  <c r="E129" i="16"/>
  <c r="E130" i="16"/>
  <c r="E131" i="16"/>
  <c r="E132" i="16"/>
  <c r="E133" i="16"/>
  <c r="E134" i="16"/>
  <c r="E135" i="16"/>
  <c r="E136" i="16"/>
  <c r="E137" i="16"/>
  <c r="E138" i="16"/>
  <c r="E139" i="16"/>
  <c r="E140" i="16"/>
  <c r="E141" i="16"/>
  <c r="E142" i="16"/>
  <c r="E143" i="16"/>
  <c r="E144" i="16"/>
  <c r="E145" i="16"/>
  <c r="E146" i="16"/>
  <c r="E147" i="16"/>
  <c r="E148" i="16"/>
  <c r="E149" i="16"/>
  <c r="E150" i="16"/>
  <c r="E151" i="16"/>
  <c r="E152" i="16"/>
  <c r="E153" i="16"/>
  <c r="E154" i="16"/>
  <c r="E155" i="16"/>
  <c r="E156" i="16"/>
  <c r="E157" i="16"/>
  <c r="E158" i="16"/>
  <c r="E159" i="16"/>
  <c r="E160" i="16"/>
  <c r="E161" i="16"/>
  <c r="E162" i="16"/>
  <c r="E163" i="16"/>
  <c r="E164" i="16"/>
  <c r="E165" i="16"/>
  <c r="E166" i="16"/>
  <c r="E167" i="16"/>
  <c r="E168" i="16"/>
  <c r="E169" i="16"/>
  <c r="E170" i="16"/>
  <c r="E171" i="16"/>
  <c r="E172" i="16"/>
  <c r="E173" i="16"/>
  <c r="E174" i="16"/>
  <c r="E175" i="16"/>
  <c r="E176" i="16"/>
  <c r="E177" i="16"/>
  <c r="E3" i="16" l="1"/>
  <c r="E2" i="16" l="1"/>
  <c r="L2" i="16" s="1"/>
  <c r="A4" i="18" l="1"/>
  <c r="J36" i="21"/>
  <c r="K36" i="21" s="1"/>
  <c r="J47" i="21"/>
  <c r="K47" i="21" s="1"/>
  <c r="J29" i="21"/>
  <c r="K29" i="21" s="1"/>
  <c r="J33" i="21"/>
  <c r="K33" i="21" s="1"/>
  <c r="J34" i="21"/>
  <c r="K34" i="21" s="1"/>
  <c r="J39" i="21"/>
  <c r="M39" i="21" s="1"/>
  <c r="J58" i="21"/>
  <c r="M58" i="21" s="1"/>
  <c r="J2" i="21"/>
  <c r="K2" i="21" s="1"/>
  <c r="J4" i="21"/>
  <c r="M4" i="21" s="1"/>
  <c r="J5" i="21"/>
  <c r="K5" i="21" s="1"/>
  <c r="J6" i="21"/>
  <c r="M6" i="21" s="1"/>
  <c r="J61" i="21"/>
  <c r="K61" i="21" s="1"/>
  <c r="J10" i="21"/>
  <c r="K10" i="21" s="1"/>
  <c r="J11" i="21"/>
  <c r="M11" i="21" s="1"/>
  <c r="J12" i="21"/>
  <c r="K12" i="21" s="1"/>
  <c r="J18" i="21"/>
  <c r="K18" i="21" s="1"/>
  <c r="J21" i="21"/>
  <c r="K21" i="21" s="1"/>
  <c r="J24" i="21"/>
  <c r="K24" i="21" s="1"/>
  <c r="J25" i="21"/>
  <c r="K25" i="21" s="1"/>
  <c r="J56" i="21"/>
  <c r="K56" i="21" s="1"/>
  <c r="J16" i="21"/>
  <c r="K16" i="21" s="1"/>
  <c r="J17" i="21"/>
  <c r="M17" i="21" s="1"/>
  <c r="J3" i="21"/>
  <c r="M3" i="21" s="1"/>
  <c r="J7" i="21"/>
  <c r="K7" i="21" s="1"/>
  <c r="J8" i="21"/>
  <c r="K8" i="21" s="1"/>
  <c r="J9" i="21"/>
  <c r="K9" i="21" s="1"/>
  <c r="J23" i="21"/>
  <c r="K23" i="21" s="1"/>
  <c r="J26" i="21"/>
  <c r="K26" i="21" s="1"/>
  <c r="J27" i="21"/>
  <c r="K27" i="21" s="1"/>
  <c r="J48" i="21"/>
  <c r="M48" i="21" s="1"/>
  <c r="J49" i="21"/>
  <c r="M49" i="21" s="1"/>
  <c r="J50" i="21"/>
  <c r="K50" i="21" s="1"/>
  <c r="J51" i="21"/>
  <c r="K51" i="21" s="1"/>
  <c r="J52" i="21"/>
  <c r="K52" i="21" s="1"/>
  <c r="J53" i="21"/>
  <c r="K53" i="21" s="1"/>
  <c r="J54" i="21"/>
  <c r="K54" i="21" s="1"/>
  <c r="J55" i="21"/>
  <c r="K55" i="21" s="1"/>
  <c r="J57" i="21"/>
  <c r="M57" i="21" s="1"/>
  <c r="J59" i="21"/>
  <c r="K59" i="21" s="1"/>
  <c r="J60" i="21"/>
  <c r="M60" i="21" s="1"/>
  <c r="J66" i="21"/>
  <c r="K66" i="21" s="1"/>
  <c r="J19" i="21"/>
  <c r="K19" i="21" s="1"/>
  <c r="J20" i="21"/>
  <c r="K20" i="21" s="1"/>
  <c r="J22" i="21"/>
  <c r="K22" i="21" s="1"/>
  <c r="J28" i="21"/>
  <c r="K28" i="21" s="1"/>
  <c r="J30" i="21"/>
  <c r="L30" i="21" s="1"/>
  <c r="J31" i="21"/>
  <c r="K31" i="21" s="1"/>
  <c r="J32" i="21"/>
  <c r="L32" i="21" s="1"/>
  <c r="J35" i="21"/>
  <c r="L35" i="21" s="1"/>
  <c r="J37" i="21"/>
  <c r="L37" i="21" s="1"/>
  <c r="J38" i="21"/>
  <c r="K38" i="21" s="1"/>
  <c r="J41" i="21"/>
  <c r="K41" i="21" s="1"/>
  <c r="J42" i="21"/>
  <c r="K42" i="21" s="1"/>
  <c r="J43" i="21"/>
  <c r="L43" i="21" s="1"/>
  <c r="J44" i="21"/>
  <c r="L44" i="21" s="1"/>
  <c r="J45" i="21"/>
  <c r="K45" i="21" s="1"/>
  <c r="J46" i="21"/>
  <c r="K46" i="21" s="1"/>
  <c r="J62" i="21"/>
  <c r="L62" i="21" s="1"/>
  <c r="J63" i="21"/>
  <c r="K63" i="21" s="1"/>
  <c r="J64" i="21"/>
  <c r="K64" i="21" s="1"/>
  <c r="J65" i="21"/>
  <c r="K65" i="21" s="1"/>
  <c r="J13" i="21"/>
  <c r="L13" i="21" s="1"/>
  <c r="J14" i="21"/>
  <c r="L14" i="21" s="1"/>
  <c r="J40" i="21"/>
  <c r="K40" i="21" s="1"/>
  <c r="M2" i="21"/>
  <c r="J15" i="21"/>
  <c r="M15" i="21" s="1"/>
  <c r="M23" i="21"/>
  <c r="M56" i="21"/>
  <c r="M52" i="21" l="1"/>
  <c r="M25" i="21"/>
  <c r="M33" i="21"/>
  <c r="M61" i="21"/>
  <c r="M26" i="21"/>
  <c r="L41" i="21"/>
  <c r="L22" i="21"/>
  <c r="M54" i="21"/>
  <c r="M36" i="21"/>
  <c r="M29" i="21"/>
  <c r="L20" i="21"/>
  <c r="M53" i="21"/>
  <c r="M10" i="21"/>
  <c r="M5" i="21"/>
  <c r="M24" i="21"/>
  <c r="M47" i="21"/>
  <c r="M66" i="21"/>
  <c r="M9" i="21"/>
  <c r="M19" i="21"/>
  <c r="L42" i="21"/>
  <c r="M27" i="21"/>
  <c r="M51" i="21"/>
  <c r="M55" i="21"/>
  <c r="M8" i="21"/>
  <c r="K15" i="21"/>
  <c r="L40" i="21"/>
  <c r="L64" i="21"/>
  <c r="M50" i="21"/>
  <c r="L45" i="21"/>
  <c r="M7" i="21"/>
  <c r="M18" i="21"/>
  <c r="M34" i="21"/>
  <c r="M21" i="21"/>
  <c r="L46" i="21"/>
  <c r="L65" i="21"/>
  <c r="M16" i="21"/>
  <c r="L63" i="21"/>
  <c r="L38" i="21"/>
  <c r="L28" i="21"/>
  <c r="K3" i="21"/>
  <c r="K13" i="21"/>
  <c r="K43" i="21"/>
  <c r="K57" i="21"/>
  <c r="K48" i="21"/>
  <c r="K17" i="21"/>
  <c r="K39" i="21"/>
  <c r="M59" i="21"/>
  <c r="K30" i="21"/>
  <c r="K11" i="21"/>
  <c r="L31" i="21"/>
  <c r="M12" i="21"/>
  <c r="K6" i="21"/>
  <c r="K44" i="21"/>
  <c r="K49" i="21"/>
  <c r="K62" i="21"/>
  <c r="K37" i="21"/>
  <c r="K35" i="21"/>
  <c r="K4" i="21"/>
  <c r="K14" i="21"/>
  <c r="K58" i="21"/>
  <c r="K32" i="21"/>
  <c r="K60" i="21"/>
  <c r="M40" i="21"/>
  <c r="M13" i="21"/>
  <c r="M64" i="21"/>
  <c r="M62" i="21"/>
  <c r="M45" i="21"/>
  <c r="M43" i="21"/>
  <c r="M41" i="21"/>
  <c r="M37" i="21"/>
  <c r="M32" i="21"/>
  <c r="M30" i="21"/>
  <c r="M22" i="21"/>
  <c r="M14" i="21"/>
  <c r="M65" i="21"/>
  <c r="M63" i="21"/>
  <c r="M46" i="21"/>
  <c r="M44" i="21"/>
  <c r="M42" i="21"/>
  <c r="M38" i="21"/>
  <c r="M35" i="21"/>
  <c r="M31" i="21"/>
  <c r="M28" i="21"/>
  <c r="M20" i="21"/>
  <c r="L36" i="21"/>
  <c r="L29" i="21"/>
  <c r="L34" i="21"/>
  <c r="L58" i="21"/>
  <c r="L4" i="21"/>
  <c r="L6" i="21"/>
  <c r="L10" i="21"/>
  <c r="L12" i="21"/>
  <c r="L21" i="21"/>
  <c r="L25" i="21"/>
  <c r="L16" i="21"/>
  <c r="L3" i="21"/>
  <c r="L8" i="21"/>
  <c r="L23" i="21"/>
  <c r="L27" i="21"/>
  <c r="L49" i="21"/>
  <c r="L51" i="21"/>
  <c r="L53" i="21"/>
  <c r="L55" i="21"/>
  <c r="L59" i="21"/>
  <c r="L66" i="21"/>
  <c r="L15" i="21"/>
  <c r="L47" i="21"/>
  <c r="L33" i="21"/>
  <c r="L39" i="21"/>
  <c r="L2" i="21"/>
  <c r="L5" i="21"/>
  <c r="L61" i="21"/>
  <c r="L11" i="21"/>
  <c r="L18" i="21"/>
  <c r="L24" i="21"/>
  <c r="L56" i="21"/>
  <c r="L17" i="21"/>
  <c r="L7" i="21"/>
  <c r="L9" i="21"/>
  <c r="L26" i="21"/>
  <c r="L48" i="21"/>
  <c r="L50" i="21"/>
  <c r="L52" i="21"/>
  <c r="L54" i="21"/>
  <c r="L57" i="21"/>
  <c r="L60" i="21"/>
  <c r="L19" i="21"/>
  <c r="J3" i="16"/>
  <c r="J4" i="16" s="1"/>
  <c r="I3" i="16"/>
  <c r="I4" i="16" s="1"/>
  <c r="I5" i="16" s="1"/>
  <c r="I6" i="16" s="1"/>
  <c r="I7" i="16" s="1"/>
  <c r="I8" i="16" s="1"/>
  <c r="I9" i="16" s="1"/>
  <c r="I10" i="16" s="1"/>
  <c r="I11" i="16" s="1"/>
  <c r="I12" i="16" s="1"/>
  <c r="I13" i="16" s="1"/>
  <c r="I14" i="16" s="1"/>
  <c r="I15" i="16" s="1"/>
  <c r="I16" i="16" s="1"/>
  <c r="I17" i="16" s="1"/>
  <c r="I18" i="16" s="1"/>
  <c r="I19" i="16" s="1"/>
  <c r="I20" i="16" s="1"/>
  <c r="I21" i="16" s="1"/>
  <c r="I22" i="16" s="1"/>
  <c r="I23" i="16" s="1"/>
  <c r="I24" i="16" s="1"/>
  <c r="I25" i="16" s="1"/>
  <c r="I26" i="16" s="1"/>
  <c r="I27" i="16" s="1"/>
  <c r="I28" i="16" s="1"/>
  <c r="I29" i="16" s="1"/>
  <c r="I30" i="16" s="1"/>
  <c r="I31" i="16" s="1"/>
  <c r="I32" i="16" s="1"/>
  <c r="I33" i="16" s="1"/>
  <c r="I34" i="16" s="1"/>
  <c r="I35" i="16" s="1"/>
  <c r="I36" i="16" s="1"/>
  <c r="I37" i="16" s="1"/>
  <c r="I38" i="16" s="1"/>
  <c r="I39" i="16" s="1"/>
  <c r="I40" i="16" s="1"/>
  <c r="I41" i="16" s="1"/>
  <c r="I42" i="16" s="1"/>
  <c r="I43" i="16" s="1"/>
  <c r="I44" i="16" s="1"/>
  <c r="I45" i="16" s="1"/>
  <c r="I46" i="16" s="1"/>
  <c r="I47" i="16" s="1"/>
  <c r="I48" i="16" s="1"/>
  <c r="I49" i="16" s="1"/>
  <c r="I50" i="16" s="1"/>
  <c r="I51" i="16" s="1"/>
  <c r="I52" i="16" s="1"/>
  <c r="I53" i="16" s="1"/>
  <c r="I54" i="16" s="1"/>
  <c r="I55" i="16" s="1"/>
  <c r="I56" i="16" s="1"/>
  <c r="I57" i="16" s="1"/>
  <c r="I58" i="16" s="1"/>
  <c r="I59" i="16" s="1"/>
  <c r="I60" i="16" s="1"/>
  <c r="I61" i="16" s="1"/>
  <c r="I62" i="16" s="1"/>
  <c r="I63" i="16" s="1"/>
  <c r="I64" i="16" s="1"/>
  <c r="I65" i="16" s="1"/>
  <c r="I66" i="16" s="1"/>
  <c r="I67" i="16" s="1"/>
  <c r="I68" i="16" s="1"/>
  <c r="I69" i="16" s="1"/>
  <c r="I70" i="16" s="1"/>
  <c r="I71" i="16" s="1"/>
  <c r="I72" i="16" s="1"/>
  <c r="I73" i="16" s="1"/>
  <c r="I74" i="16" s="1"/>
  <c r="I75" i="16" s="1"/>
  <c r="I76" i="16" s="1"/>
  <c r="I77" i="16" s="1"/>
  <c r="I78" i="16" s="1"/>
  <c r="I79" i="16" s="1"/>
  <c r="I80" i="16" s="1"/>
  <c r="I81" i="16" s="1"/>
  <c r="I82" i="16" s="1"/>
  <c r="I83" i="16" s="1"/>
  <c r="I84" i="16" s="1"/>
  <c r="I85" i="16" s="1"/>
  <c r="I86" i="16" s="1"/>
  <c r="I87" i="16" s="1"/>
  <c r="I88" i="16" s="1"/>
  <c r="I89" i="16" s="1"/>
  <c r="I90" i="16" s="1"/>
  <c r="I91" i="16" s="1"/>
  <c r="I92" i="16" s="1"/>
  <c r="I93" i="16" s="1"/>
  <c r="I94" i="16" s="1"/>
  <c r="I95" i="16" s="1"/>
  <c r="I96" i="16" s="1"/>
  <c r="I97" i="16" s="1"/>
  <c r="I98" i="16" s="1"/>
  <c r="I99" i="16" s="1"/>
  <c r="I100" i="16" s="1"/>
  <c r="I101" i="16" s="1"/>
  <c r="I102" i="16" s="1"/>
  <c r="I103" i="16" s="1"/>
  <c r="I104" i="16" s="1"/>
  <c r="I105" i="16" s="1"/>
  <c r="I106" i="16" s="1"/>
  <c r="I107" i="16" s="1"/>
  <c r="I108" i="16" s="1"/>
  <c r="I109" i="16" s="1"/>
  <c r="I110" i="16" s="1"/>
  <c r="I111" i="16" s="1"/>
  <c r="I112" i="16" s="1"/>
  <c r="I113" i="16" s="1"/>
  <c r="I114" i="16" s="1"/>
  <c r="I115" i="16" s="1"/>
  <c r="I116" i="16" s="1"/>
  <c r="I117" i="16" s="1"/>
  <c r="I118" i="16" s="1"/>
  <c r="I119" i="16" s="1"/>
  <c r="I120" i="16" s="1"/>
  <c r="I121" i="16" s="1"/>
  <c r="I122" i="16" s="1"/>
  <c r="I123" i="16" s="1"/>
  <c r="I124" i="16" s="1"/>
  <c r="I125" i="16" s="1"/>
  <c r="I126" i="16" s="1"/>
  <c r="I127" i="16" s="1"/>
  <c r="I128" i="16" s="1"/>
  <c r="I129" i="16" s="1"/>
  <c r="I130" i="16" s="1"/>
  <c r="I131" i="16" s="1"/>
  <c r="I132" i="16" s="1"/>
  <c r="I133" i="16" s="1"/>
  <c r="I134" i="16" s="1"/>
  <c r="I135" i="16" s="1"/>
  <c r="I136" i="16" s="1"/>
  <c r="I137" i="16" s="1"/>
  <c r="I138" i="16" s="1"/>
  <c r="I139" i="16" s="1"/>
  <c r="I140" i="16" s="1"/>
  <c r="I141" i="16" s="1"/>
  <c r="I142" i="16" s="1"/>
  <c r="I143" i="16" s="1"/>
  <c r="I144" i="16" s="1"/>
  <c r="I145" i="16" s="1"/>
  <c r="I146" i="16" s="1"/>
  <c r="I147" i="16" s="1"/>
  <c r="I148" i="16" s="1"/>
  <c r="I149" i="16" s="1"/>
  <c r="I150" i="16" s="1"/>
  <c r="I151" i="16" s="1"/>
  <c r="I152" i="16" s="1"/>
  <c r="I153" i="16" s="1"/>
  <c r="I154" i="16" s="1"/>
  <c r="I155" i="16" s="1"/>
  <c r="I156" i="16" s="1"/>
  <c r="I157" i="16" s="1"/>
  <c r="I158" i="16" s="1"/>
  <c r="I159" i="16" s="1"/>
  <c r="I160" i="16" s="1"/>
  <c r="I161" i="16" s="1"/>
  <c r="I162" i="16" s="1"/>
  <c r="I163" i="16" s="1"/>
  <c r="I164" i="16" s="1"/>
  <c r="I165" i="16" s="1"/>
  <c r="I166" i="16" s="1"/>
  <c r="I167" i="16" s="1"/>
  <c r="I168" i="16" s="1"/>
  <c r="I169" i="16" s="1"/>
  <c r="I170" i="16" s="1"/>
  <c r="I171" i="16" s="1"/>
  <c r="I172" i="16" s="1"/>
  <c r="I173" i="16" s="1"/>
  <c r="I174" i="16" s="1"/>
  <c r="I175" i="16" s="1"/>
  <c r="I176" i="16" s="1"/>
  <c r="I177" i="16" s="1"/>
  <c r="H3" i="16"/>
  <c r="H4" i="16" s="1"/>
  <c r="H5" i="16" s="1"/>
  <c r="H6" i="16" s="1"/>
  <c r="H7" i="16" s="1"/>
  <c r="H8" i="16" s="1"/>
  <c r="H9" i="16" s="1"/>
  <c r="H10" i="16" s="1"/>
  <c r="K3" i="16"/>
  <c r="K2" i="16"/>
  <c r="G2" i="16" s="1"/>
  <c r="J5" i="16" l="1"/>
  <c r="L4" i="16"/>
  <c r="K4" i="16"/>
  <c r="G4" i="16" s="1"/>
  <c r="H11" i="16"/>
  <c r="L3" i="16"/>
  <c r="I3" i="20"/>
  <c r="K3" i="20" s="1"/>
  <c r="I4" i="20"/>
  <c r="K4" i="20" s="1"/>
  <c r="I5" i="20"/>
  <c r="K5" i="20" s="1"/>
  <c r="I6" i="20"/>
  <c r="K6" i="20" s="1"/>
  <c r="I7" i="20"/>
  <c r="K7" i="20" s="1"/>
  <c r="I8" i="20"/>
  <c r="K8" i="20" s="1"/>
  <c r="I9" i="20"/>
  <c r="K9" i="20" s="1"/>
  <c r="I10" i="20"/>
  <c r="K10" i="20" s="1"/>
  <c r="I11" i="20"/>
  <c r="K11" i="20" s="1"/>
  <c r="I12" i="20"/>
  <c r="K12" i="20" s="1"/>
  <c r="I13" i="20"/>
  <c r="K13" i="20" s="1"/>
  <c r="I14" i="20"/>
  <c r="K14" i="20" s="1"/>
  <c r="I15" i="20"/>
  <c r="K15" i="20" s="1"/>
  <c r="I16" i="20"/>
  <c r="K16" i="20" s="1"/>
  <c r="I17" i="20"/>
  <c r="K17" i="20" s="1"/>
  <c r="I18" i="20"/>
  <c r="K18" i="20" s="1"/>
  <c r="I19" i="20"/>
  <c r="K19" i="20" s="1"/>
  <c r="I20" i="20"/>
  <c r="K20" i="20" s="1"/>
  <c r="I21" i="20"/>
  <c r="K21" i="20" s="1"/>
  <c r="I22" i="20"/>
  <c r="K22" i="20" s="1"/>
  <c r="I23" i="20"/>
  <c r="K23" i="20" s="1"/>
  <c r="I24" i="20"/>
  <c r="K24" i="20" s="1"/>
  <c r="I25" i="20"/>
  <c r="K25" i="20" s="1"/>
  <c r="I26" i="20"/>
  <c r="K26" i="20" s="1"/>
  <c r="I27" i="20"/>
  <c r="K27" i="20" s="1"/>
  <c r="I28" i="20"/>
  <c r="K28" i="20" s="1"/>
  <c r="I29" i="20"/>
  <c r="K29" i="20" s="1"/>
  <c r="I30" i="20"/>
  <c r="K30" i="20" s="1"/>
  <c r="I31" i="20"/>
  <c r="K31" i="20" s="1"/>
  <c r="I32" i="20"/>
  <c r="K32" i="20" s="1"/>
  <c r="I33" i="20"/>
  <c r="K33" i="20" s="1"/>
  <c r="I34" i="20"/>
  <c r="K34" i="20" s="1"/>
  <c r="I35" i="20"/>
  <c r="K35" i="20" s="1"/>
  <c r="I36" i="20"/>
  <c r="K36" i="20" s="1"/>
  <c r="I37" i="20"/>
  <c r="K37" i="20" s="1"/>
  <c r="I38" i="20"/>
  <c r="K38" i="20" s="1"/>
  <c r="I39" i="20"/>
  <c r="K39" i="20" s="1"/>
  <c r="I40" i="20"/>
  <c r="K40" i="20" s="1"/>
  <c r="I41" i="20"/>
  <c r="K41" i="20" s="1"/>
  <c r="I42" i="20"/>
  <c r="K42" i="20" s="1"/>
  <c r="I43" i="20"/>
  <c r="K43" i="20" s="1"/>
  <c r="I45" i="20"/>
  <c r="K45" i="20" s="1"/>
  <c r="I2" i="20"/>
  <c r="J6" i="16" l="1"/>
  <c r="L5" i="16"/>
  <c r="K5" i="16"/>
  <c r="G5" i="16" s="1"/>
  <c r="H12" i="16"/>
  <c r="J2" i="20"/>
  <c r="K2" i="20"/>
  <c r="L3" i="20"/>
  <c r="L4" i="20"/>
  <c r="L5" i="20"/>
  <c r="L6" i="20"/>
  <c r="L7" i="20"/>
  <c r="L8" i="20"/>
  <c r="L9" i="20"/>
  <c r="L10" i="20"/>
  <c r="L11" i="20"/>
  <c r="L12" i="20"/>
  <c r="L13" i="20"/>
  <c r="L14" i="20"/>
  <c r="L15" i="20"/>
  <c r="L16" i="20"/>
  <c r="L17" i="20"/>
  <c r="L18" i="20"/>
  <c r="L19" i="20"/>
  <c r="L20" i="20"/>
  <c r="L21" i="20"/>
  <c r="L22" i="20"/>
  <c r="L23" i="20"/>
  <c r="L24" i="20"/>
  <c r="L25" i="20"/>
  <c r="L26" i="20"/>
  <c r="L27" i="20"/>
  <c r="L28" i="20"/>
  <c r="L29" i="20"/>
  <c r="L30" i="20"/>
  <c r="L31" i="20"/>
  <c r="L32" i="20"/>
  <c r="L33" i="20"/>
  <c r="L34" i="20"/>
  <c r="L35" i="20"/>
  <c r="L36" i="20"/>
  <c r="L37" i="20"/>
  <c r="L38" i="20"/>
  <c r="L39" i="20"/>
  <c r="L40" i="20"/>
  <c r="L41" i="20"/>
  <c r="L42" i="20"/>
  <c r="L43" i="20"/>
  <c r="L45" i="20"/>
  <c r="L2" i="20"/>
  <c r="J7" i="16" l="1"/>
  <c r="K6" i="16"/>
  <c r="G6" i="16" s="1"/>
  <c r="L6" i="16"/>
  <c r="H13" i="16"/>
  <c r="J3" i="20"/>
  <c r="J4" i="20"/>
  <c r="J5" i="20"/>
  <c r="J6" i="20"/>
  <c r="J7" i="20"/>
  <c r="J8" i="20"/>
  <c r="J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5" i="20"/>
  <c r="J8" i="16" l="1"/>
  <c r="K7" i="16"/>
  <c r="G7" i="16" s="1"/>
  <c r="L7" i="16"/>
  <c r="H14" i="16"/>
  <c r="AC1" i="18"/>
  <c r="G3" i="16"/>
  <c r="J9" i="16" l="1"/>
  <c r="K8" i="16"/>
  <c r="G8" i="16" s="1"/>
  <c r="L8" i="16"/>
  <c r="H15" i="16"/>
  <c r="F26" i="7"/>
  <c r="C30" i="7" s="1"/>
  <c r="F35" i="7"/>
  <c r="C39" i="7" s="1"/>
  <c r="J10" i="16" l="1"/>
  <c r="K9" i="16"/>
  <c r="G9" i="16" s="1"/>
  <c r="L9" i="16"/>
  <c r="H16" i="16"/>
  <c r="L3" i="5"/>
  <c r="J4" i="5"/>
  <c r="B2" i="5"/>
  <c r="B2" i="6" s="1"/>
  <c r="B3" i="5"/>
  <c r="B3" i="6" s="1"/>
  <c r="L4" i="5"/>
  <c r="D2" i="5"/>
  <c r="F2" i="5"/>
  <c r="F2" i="6" s="1"/>
  <c r="F3" i="5"/>
  <c r="F3" i="6" s="1"/>
  <c r="E5" i="10"/>
  <c r="E6" i="10"/>
  <c r="C19" i="12"/>
  <c r="G10" i="12"/>
  <c r="AJ181" i="12"/>
  <c r="P28" i="10"/>
  <c r="P27" i="10"/>
  <c r="AR327" i="10" s="1"/>
  <c r="AR328" i="10" s="1"/>
  <c r="AR329" i="10" s="1"/>
  <c r="AR330" i="10" s="1"/>
  <c r="AR331" i="10" s="1"/>
  <c r="AR332" i="10" s="1"/>
  <c r="AR333" i="10" s="1"/>
  <c r="AR334" i="10" s="1"/>
  <c r="AR335" i="10" s="1"/>
  <c r="AR336" i="10" s="1"/>
  <c r="AR337" i="10" s="1"/>
  <c r="AR338" i="10" s="1"/>
  <c r="AR339" i="10" s="1"/>
  <c r="AR340" i="10" s="1"/>
  <c r="AR341" i="10" s="1"/>
  <c r="AR342" i="10" s="1"/>
  <c r="AR343" i="10" s="1"/>
  <c r="AR344" i="10" s="1"/>
  <c r="AR345" i="10" s="1"/>
  <c r="AR346" i="10" s="1"/>
  <c r="AR347" i="10" s="1"/>
  <c r="AR348" i="10" s="1"/>
  <c r="AR349" i="10" s="1"/>
  <c r="AR350" i="10" s="1"/>
  <c r="AR351" i="10" s="1"/>
  <c r="AR352" i="10" s="1"/>
  <c r="AR353" i="10" s="1"/>
  <c r="AR354" i="10" s="1"/>
  <c r="AR355" i="10" s="1"/>
  <c r="AR356" i="10" s="1"/>
  <c r="AR357" i="10" s="1"/>
  <c r="AR358" i="10" s="1"/>
  <c r="AR359" i="10" s="1"/>
  <c r="AR360" i="10" s="1"/>
  <c r="AR361" i="10" s="1"/>
  <c r="AR362" i="10" s="1"/>
  <c r="AR363" i="10" s="1"/>
  <c r="AR364" i="10" s="1"/>
  <c r="AR365" i="10" s="1"/>
  <c r="AR366" i="10" s="1"/>
  <c r="AR367" i="10" s="1"/>
  <c r="AR368" i="10" s="1"/>
  <c r="AR369" i="10" s="1"/>
  <c r="AR370" i="10" s="1"/>
  <c r="AR371" i="10" s="1"/>
  <c r="AR372" i="10" s="1"/>
  <c r="AR373" i="10" s="1"/>
  <c r="AR374" i="10" s="1"/>
  <c r="AR375" i="10" s="1"/>
  <c r="AR376" i="10" s="1"/>
  <c r="AR377" i="10" s="1"/>
  <c r="AR378" i="10" s="1"/>
  <c r="AR379" i="10" s="1"/>
  <c r="AR380" i="10" s="1"/>
  <c r="AR381" i="10" s="1"/>
  <c r="AR382" i="10" s="1"/>
  <c r="AR383" i="10" s="1"/>
  <c r="AR384" i="10" s="1"/>
  <c r="AR385" i="10" s="1"/>
  <c r="AR386" i="10" s="1"/>
  <c r="AR387" i="10" s="1"/>
  <c r="AR388" i="10" s="1"/>
  <c r="AR389" i="10" s="1"/>
  <c r="AR390" i="10" s="1"/>
  <c r="AR391" i="10" s="1"/>
  <c r="AR392" i="10" s="1"/>
  <c r="AR393" i="10" s="1"/>
  <c r="AR394" i="10" s="1"/>
  <c r="AR395" i="10" s="1"/>
  <c r="AR396" i="10" s="1"/>
  <c r="AR397" i="10" s="1"/>
  <c r="AR398" i="10" s="1"/>
  <c r="AR399" i="10" s="1"/>
  <c r="AR400" i="10" s="1"/>
  <c r="AR401" i="10" s="1"/>
  <c r="AR402" i="10" s="1"/>
  <c r="AR403" i="10" s="1"/>
  <c r="AR404" i="10" s="1"/>
  <c r="AR405" i="10" s="1"/>
  <c r="AR406" i="10" s="1"/>
  <c r="AR407" i="10" s="1"/>
  <c r="AR408" i="10" s="1"/>
  <c r="AR409" i="10" s="1"/>
  <c r="AR410" i="10" s="1"/>
  <c r="AR411" i="10" s="1"/>
  <c r="AR412" i="10" s="1"/>
  <c r="AR413" i="10" s="1"/>
  <c r="AR414" i="10" s="1"/>
  <c r="AR415" i="10" s="1"/>
  <c r="AR416" i="10" s="1"/>
  <c r="AR417" i="10" s="1"/>
  <c r="AR418" i="10" s="1"/>
  <c r="AR419" i="10" s="1"/>
  <c r="AR420" i="10" s="1"/>
  <c r="AR421" i="10" s="1"/>
  <c r="AR422" i="10" s="1"/>
  <c r="AR423" i="10" s="1"/>
  <c r="AR424" i="10" s="1"/>
  <c r="AR425" i="10" s="1"/>
  <c r="AR426" i="10" s="1"/>
  <c r="AR427" i="10" s="1"/>
  <c r="AR428" i="10" s="1"/>
  <c r="AR429" i="10" s="1"/>
  <c r="AR430" i="10" s="1"/>
  <c r="AR431" i="10" s="1"/>
  <c r="AR432" i="10" s="1"/>
  <c r="AR433" i="10" s="1"/>
  <c r="AR434" i="10" s="1"/>
  <c r="AR435" i="10" s="1"/>
  <c r="AR436" i="10" s="1"/>
  <c r="AR437" i="10" s="1"/>
  <c r="AR438" i="10" s="1"/>
  <c r="AR439" i="10" s="1"/>
  <c r="AR440" i="10" s="1"/>
  <c r="AR441" i="10" s="1"/>
  <c r="AR442" i="10" s="1"/>
  <c r="AR443" i="10" s="1"/>
  <c r="AR444" i="10" s="1"/>
  <c r="AR445" i="10" s="1"/>
  <c r="AR446" i="10" s="1"/>
  <c r="AR447" i="10" s="1"/>
  <c r="AR448" i="10" s="1"/>
  <c r="AR449" i="10" s="1"/>
  <c r="AR450" i="10" s="1"/>
  <c r="AR451" i="10" s="1"/>
  <c r="AR452" i="10" s="1"/>
  <c r="AR453" i="10" s="1"/>
  <c r="AR454" i="10" s="1"/>
  <c r="AR455" i="10" s="1"/>
  <c r="AR456" i="10" s="1"/>
  <c r="AR457" i="10" s="1"/>
  <c r="AR458" i="10" s="1"/>
  <c r="AR459" i="10" s="1"/>
  <c r="AR460" i="10" s="1"/>
  <c r="AR461" i="10" s="1"/>
  <c r="AR462" i="10" s="1"/>
  <c r="AR463" i="10" s="1"/>
  <c r="AR464" i="10" s="1"/>
  <c r="AR465" i="10" s="1"/>
  <c r="AR466" i="10" s="1"/>
  <c r="AR467" i="10" s="1"/>
  <c r="AR468" i="10" s="1"/>
  <c r="AR469" i="10" s="1"/>
  <c r="AR470" i="10" s="1"/>
  <c r="AR471" i="10" s="1"/>
  <c r="AR472" i="10" s="1"/>
  <c r="AR473" i="10" s="1"/>
  <c r="AR474" i="10" s="1"/>
  <c r="AR475" i="10" s="1"/>
  <c r="AR476" i="10" s="1"/>
  <c r="AR477" i="10" s="1"/>
  <c r="P26" i="10"/>
  <c r="P25" i="10"/>
  <c r="BJ327" i="10" s="1"/>
  <c r="BJ328" i="10" s="1"/>
  <c r="BJ329" i="10" s="1"/>
  <c r="BJ330" i="10" s="1"/>
  <c r="BJ331" i="10" s="1"/>
  <c r="BJ332" i="10" s="1"/>
  <c r="BJ333" i="10" s="1"/>
  <c r="BJ334" i="10" s="1"/>
  <c r="BJ335" i="10" s="1"/>
  <c r="BJ336" i="10" s="1"/>
  <c r="BJ337" i="10" s="1"/>
  <c r="BJ338" i="10" s="1"/>
  <c r="BJ339" i="10" s="1"/>
  <c r="BJ340" i="10" s="1"/>
  <c r="BJ341" i="10" s="1"/>
  <c r="BJ342" i="10" s="1"/>
  <c r="BJ343" i="10" s="1"/>
  <c r="BJ344" i="10" s="1"/>
  <c r="BJ345" i="10" s="1"/>
  <c r="BJ346" i="10" s="1"/>
  <c r="BJ347" i="10" s="1"/>
  <c r="BJ348" i="10" s="1"/>
  <c r="BJ349" i="10" s="1"/>
  <c r="BJ350" i="10" s="1"/>
  <c r="BJ351" i="10" s="1"/>
  <c r="BJ352" i="10" s="1"/>
  <c r="BJ353" i="10" s="1"/>
  <c r="BJ354" i="10" s="1"/>
  <c r="BJ355" i="10" s="1"/>
  <c r="BJ356" i="10" s="1"/>
  <c r="BJ357" i="10" s="1"/>
  <c r="BJ358" i="10" s="1"/>
  <c r="BJ359" i="10" s="1"/>
  <c r="BJ360" i="10" s="1"/>
  <c r="BJ361" i="10" s="1"/>
  <c r="BJ362" i="10" s="1"/>
  <c r="BJ363" i="10" s="1"/>
  <c r="BJ364" i="10" s="1"/>
  <c r="BJ365" i="10" s="1"/>
  <c r="BJ366" i="10" s="1"/>
  <c r="BJ367" i="10" s="1"/>
  <c r="BJ368" i="10" s="1"/>
  <c r="BJ369" i="10" s="1"/>
  <c r="BJ370" i="10" s="1"/>
  <c r="BJ371" i="10" s="1"/>
  <c r="BJ372" i="10" s="1"/>
  <c r="BJ373" i="10" s="1"/>
  <c r="BJ374" i="10" s="1"/>
  <c r="BJ375" i="10" s="1"/>
  <c r="BJ376" i="10" s="1"/>
  <c r="BJ377" i="10" s="1"/>
  <c r="F14" i="7"/>
  <c r="T2" i="7" s="1"/>
  <c r="AQ51" i="12"/>
  <c r="AQ50" i="12" s="1"/>
  <c r="AQ52" i="12" s="1"/>
  <c r="AK54" i="12"/>
  <c r="AK53" i="12"/>
  <c r="B37" i="12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115" i="12" s="1"/>
  <c r="B116" i="12" s="1"/>
  <c r="B117" i="12" s="1"/>
  <c r="B118" i="12" s="1"/>
  <c r="B119" i="12" s="1"/>
  <c r="B120" i="12" s="1"/>
  <c r="B121" i="12" s="1"/>
  <c r="B122" i="12" s="1"/>
  <c r="B123" i="12" s="1"/>
  <c r="B124" i="12" s="1"/>
  <c r="B125" i="12" s="1"/>
  <c r="B126" i="12" s="1"/>
  <c r="B127" i="12" s="1"/>
  <c r="B128" i="12" s="1"/>
  <c r="B129" i="12" s="1"/>
  <c r="B130" i="12" s="1"/>
  <c r="B131" i="12" s="1"/>
  <c r="B132" i="12" s="1"/>
  <c r="B133" i="12" s="1"/>
  <c r="B134" i="12" s="1"/>
  <c r="B135" i="12" s="1"/>
  <c r="B136" i="12" s="1"/>
  <c r="B137" i="12" s="1"/>
  <c r="B138" i="12" s="1"/>
  <c r="B139" i="12" s="1"/>
  <c r="B140" i="12" s="1"/>
  <c r="B141" i="12" s="1"/>
  <c r="B142" i="12" s="1"/>
  <c r="B143" i="12" s="1"/>
  <c r="B144" i="12" s="1"/>
  <c r="B145" i="12" s="1"/>
  <c r="B146" i="12" s="1"/>
  <c r="B147" i="12" s="1"/>
  <c r="B148" i="12" s="1"/>
  <c r="B149" i="12" s="1"/>
  <c r="B150" i="12" s="1"/>
  <c r="B151" i="12" s="1"/>
  <c r="B152" i="12" s="1"/>
  <c r="B153" i="12" s="1"/>
  <c r="B154" i="12" s="1"/>
  <c r="B155" i="12" s="1"/>
  <c r="B156" i="12" s="1"/>
  <c r="B157" i="12" s="1"/>
  <c r="B158" i="12" s="1"/>
  <c r="B159" i="12" s="1"/>
  <c r="B160" i="12" s="1"/>
  <c r="B161" i="12" s="1"/>
  <c r="B162" i="12" s="1"/>
  <c r="B163" i="12" s="1"/>
  <c r="B164" i="12" s="1"/>
  <c r="B165" i="12" s="1"/>
  <c r="B166" i="12" s="1"/>
  <c r="B167" i="12" s="1"/>
  <c r="B168" i="12" s="1"/>
  <c r="B169" i="12" s="1"/>
  <c r="B170" i="12" s="1"/>
  <c r="B171" i="12" s="1"/>
  <c r="B172" i="12" s="1"/>
  <c r="B173" i="12" s="1"/>
  <c r="B174" i="12" s="1"/>
  <c r="B175" i="12" s="1"/>
  <c r="B176" i="12" s="1"/>
  <c r="B177" i="12" s="1"/>
  <c r="B178" i="12" s="1"/>
  <c r="B179" i="12" s="1"/>
  <c r="B180" i="12" s="1"/>
  <c r="B181" i="12" s="1"/>
  <c r="B182" i="12" s="1"/>
  <c r="B183" i="12" s="1"/>
  <c r="B184" i="12" s="1"/>
  <c r="B185" i="12" s="1"/>
  <c r="B186" i="12" s="1"/>
  <c r="B187" i="12" s="1"/>
  <c r="B188" i="12" s="1"/>
  <c r="B189" i="12" s="1"/>
  <c r="B190" i="12" s="1"/>
  <c r="B191" i="12" s="1"/>
  <c r="B192" i="12" s="1"/>
  <c r="B193" i="12" s="1"/>
  <c r="B194" i="12" s="1"/>
  <c r="B195" i="12" s="1"/>
  <c r="B196" i="12" s="1"/>
  <c r="B197" i="12" s="1"/>
  <c r="B198" i="12" s="1"/>
  <c r="B199" i="12" s="1"/>
  <c r="B200" i="12" s="1"/>
  <c r="B201" i="12" s="1"/>
  <c r="B202" i="12" s="1"/>
  <c r="B203" i="12" s="1"/>
  <c r="B204" i="12" s="1"/>
  <c r="B205" i="12" s="1"/>
  <c r="B206" i="12" s="1"/>
  <c r="B207" i="12" s="1"/>
  <c r="B208" i="12" s="1"/>
  <c r="B209" i="12" s="1"/>
  <c r="B210" i="12" s="1"/>
  <c r="B211" i="12" s="1"/>
  <c r="B212" i="12" s="1"/>
  <c r="B213" i="12" s="1"/>
  <c r="B214" i="12" s="1"/>
  <c r="B215" i="12" s="1"/>
  <c r="B216" i="12" s="1"/>
  <c r="B217" i="12" s="1"/>
  <c r="B218" i="12" s="1"/>
  <c r="B219" i="12" s="1"/>
  <c r="B220" i="12" s="1"/>
  <c r="B221" i="12" s="1"/>
  <c r="B222" i="12" s="1"/>
  <c r="B223" i="12" s="1"/>
  <c r="B224" i="12" s="1"/>
  <c r="B225" i="12" s="1"/>
  <c r="B226" i="12" s="1"/>
  <c r="B227" i="12" s="1"/>
  <c r="B228" i="12" s="1"/>
  <c r="B229" i="12" s="1"/>
  <c r="B230" i="12" s="1"/>
  <c r="B231" i="12" s="1"/>
  <c r="B232" i="12" s="1"/>
  <c r="B233" i="12" s="1"/>
  <c r="B234" i="12" s="1"/>
  <c r="B235" i="12" s="1"/>
  <c r="B236" i="12" s="1"/>
  <c r="B237" i="12" s="1"/>
  <c r="B238" i="12" s="1"/>
  <c r="B239" i="12" s="1"/>
  <c r="B240" i="12" s="1"/>
  <c r="B241" i="12" s="1"/>
  <c r="B242" i="12" s="1"/>
  <c r="B243" i="12" s="1"/>
  <c r="B244" i="12" s="1"/>
  <c r="B245" i="12" s="1"/>
  <c r="B246" i="12" s="1"/>
  <c r="B247" i="12" s="1"/>
  <c r="B248" i="12" s="1"/>
  <c r="B249" i="12" s="1"/>
  <c r="B250" i="12" s="1"/>
  <c r="B251" i="12" s="1"/>
  <c r="B252" i="12" s="1"/>
  <c r="B253" i="12" s="1"/>
  <c r="B254" i="12" s="1"/>
  <c r="B255" i="12" s="1"/>
  <c r="B256" i="12" s="1"/>
  <c r="B257" i="12" s="1"/>
  <c r="B258" i="12" s="1"/>
  <c r="B259" i="12" s="1"/>
  <c r="B260" i="12" s="1"/>
  <c r="B261" i="12" s="1"/>
  <c r="B262" i="12" s="1"/>
  <c r="B263" i="12" s="1"/>
  <c r="B264" i="12" s="1"/>
  <c r="B265" i="12" s="1"/>
  <c r="B266" i="12" s="1"/>
  <c r="B267" i="12" s="1"/>
  <c r="B268" i="12" s="1"/>
  <c r="B269" i="12" s="1"/>
  <c r="B270" i="12" s="1"/>
  <c r="B271" i="12" s="1"/>
  <c r="B272" i="12" s="1"/>
  <c r="B273" i="12" s="1"/>
  <c r="B274" i="12" s="1"/>
  <c r="B275" i="12" s="1"/>
  <c r="B276" i="12" s="1"/>
  <c r="B277" i="12" s="1"/>
  <c r="B278" i="12" s="1"/>
  <c r="B279" i="12" s="1"/>
  <c r="B280" i="12" s="1"/>
  <c r="B281" i="12" s="1"/>
  <c r="B282" i="12" s="1"/>
  <c r="B283" i="12" s="1"/>
  <c r="B284" i="12" s="1"/>
  <c r="B285" i="12" s="1"/>
  <c r="B286" i="12" s="1"/>
  <c r="B287" i="12" s="1"/>
  <c r="B288" i="12" s="1"/>
  <c r="B289" i="12" s="1"/>
  <c r="B290" i="12" s="1"/>
  <c r="B291" i="12" s="1"/>
  <c r="B292" i="12" s="1"/>
  <c r="B293" i="12" s="1"/>
  <c r="B294" i="12" s="1"/>
  <c r="B295" i="12" s="1"/>
  <c r="B296" i="12" s="1"/>
  <c r="B297" i="12" s="1"/>
  <c r="B298" i="12" s="1"/>
  <c r="B299" i="12" s="1"/>
  <c r="B300" i="12" s="1"/>
  <c r="B301" i="12" s="1"/>
  <c r="B302" i="12" s="1"/>
  <c r="B303" i="12" s="1"/>
  <c r="B304" i="12" s="1"/>
  <c r="B305" i="12" s="1"/>
  <c r="B306" i="12" s="1"/>
  <c r="B307" i="12" s="1"/>
  <c r="B308" i="12" s="1"/>
  <c r="B309" i="12" s="1"/>
  <c r="B310" i="12" s="1"/>
  <c r="B311" i="12" s="1"/>
  <c r="B312" i="12" s="1"/>
  <c r="B313" i="12" s="1"/>
  <c r="B314" i="12" s="1"/>
  <c r="B315" i="12" s="1"/>
  <c r="B316" i="12" s="1"/>
  <c r="B317" i="12" s="1"/>
  <c r="B318" i="12" s="1"/>
  <c r="B319" i="12" s="1"/>
  <c r="B320" i="12" s="1"/>
  <c r="B321" i="12" s="1"/>
  <c r="B322" i="12" s="1"/>
  <c r="B323" i="12" s="1"/>
  <c r="B324" i="12" s="1"/>
  <c r="B325" i="12" s="1"/>
  <c r="B326" i="12" s="1"/>
  <c r="B327" i="12" s="1"/>
  <c r="B328" i="12" s="1"/>
  <c r="B329" i="12" s="1"/>
  <c r="B330" i="12" s="1"/>
  <c r="B331" i="12" s="1"/>
  <c r="B332" i="12" s="1"/>
  <c r="B333" i="12" s="1"/>
  <c r="B334" i="12" s="1"/>
  <c r="B335" i="12" s="1"/>
  <c r="B336" i="12" s="1"/>
  <c r="B337" i="12" s="1"/>
  <c r="B338" i="12" s="1"/>
  <c r="B339" i="12" s="1"/>
  <c r="B340" i="12" s="1"/>
  <c r="B341" i="12" s="1"/>
  <c r="B342" i="12" s="1"/>
  <c r="B343" i="12" s="1"/>
  <c r="B344" i="12" s="1"/>
  <c r="B345" i="12" s="1"/>
  <c r="B346" i="12" s="1"/>
  <c r="B347" i="12" s="1"/>
  <c r="B348" i="12" s="1"/>
  <c r="B349" i="12" s="1"/>
  <c r="B350" i="12" s="1"/>
  <c r="B351" i="12" s="1"/>
  <c r="B352" i="12" s="1"/>
  <c r="B353" i="12" s="1"/>
  <c r="B354" i="12" s="1"/>
  <c r="B355" i="12" s="1"/>
  <c r="B356" i="12" s="1"/>
  <c r="B357" i="12" s="1"/>
  <c r="B358" i="12" s="1"/>
  <c r="B359" i="12" s="1"/>
  <c r="B360" i="12" s="1"/>
  <c r="B361" i="12" s="1"/>
  <c r="B362" i="12" s="1"/>
  <c r="B363" i="12" s="1"/>
  <c r="B364" i="12" s="1"/>
  <c r="B365" i="12" s="1"/>
  <c r="B366" i="12" s="1"/>
  <c r="B367" i="12" s="1"/>
  <c r="B368" i="12" s="1"/>
  <c r="B369" i="12" s="1"/>
  <c r="B370" i="12" s="1"/>
  <c r="B371" i="12" s="1"/>
  <c r="B372" i="12" s="1"/>
  <c r="B373" i="12" s="1"/>
  <c r="B374" i="12" s="1"/>
  <c r="B375" i="12" s="1"/>
  <c r="B376" i="12" s="1"/>
  <c r="B377" i="12" s="1"/>
  <c r="B378" i="12" s="1"/>
  <c r="B379" i="12" s="1"/>
  <c r="B380" i="12" s="1"/>
  <c r="B381" i="12" s="1"/>
  <c r="B382" i="12" s="1"/>
  <c r="B383" i="12" s="1"/>
  <c r="B384" i="12" s="1"/>
  <c r="B385" i="12" s="1"/>
  <c r="B386" i="12" s="1"/>
  <c r="B387" i="12" s="1"/>
  <c r="B388" i="12" s="1"/>
  <c r="B389" i="12" s="1"/>
  <c r="B390" i="12" s="1"/>
  <c r="B391" i="12" s="1"/>
  <c r="B392" i="12" s="1"/>
  <c r="B393" i="12" s="1"/>
  <c r="B394" i="12" s="1"/>
  <c r="B395" i="12" s="1"/>
  <c r="B396" i="12" s="1"/>
  <c r="B397" i="12" s="1"/>
  <c r="B398" i="12" s="1"/>
  <c r="B399" i="12" s="1"/>
  <c r="B400" i="12" s="1"/>
  <c r="B401" i="12" s="1"/>
  <c r="B402" i="12" s="1"/>
  <c r="B403" i="12" s="1"/>
  <c r="B404" i="12" s="1"/>
  <c r="B405" i="12" s="1"/>
  <c r="B406" i="12" s="1"/>
  <c r="B407" i="12" s="1"/>
  <c r="B408" i="12" s="1"/>
  <c r="B409" i="12" s="1"/>
  <c r="B410" i="12" s="1"/>
  <c r="B411" i="12" s="1"/>
  <c r="B412" i="12" s="1"/>
  <c r="B413" i="12" s="1"/>
  <c r="B414" i="12" s="1"/>
  <c r="B415" i="12" s="1"/>
  <c r="B416" i="12" s="1"/>
  <c r="B417" i="12" s="1"/>
  <c r="B418" i="12" s="1"/>
  <c r="B419" i="12" s="1"/>
  <c r="B420" i="12" s="1"/>
  <c r="B421" i="12" s="1"/>
  <c r="B422" i="12" s="1"/>
  <c r="B423" i="12" s="1"/>
  <c r="B424" i="12" s="1"/>
  <c r="B425" i="12" s="1"/>
  <c r="B426" i="12" s="1"/>
  <c r="B427" i="12" s="1"/>
  <c r="B428" i="12" s="1"/>
  <c r="B429" i="12" s="1"/>
  <c r="B430" i="12" s="1"/>
  <c r="B431" i="12" s="1"/>
  <c r="B432" i="12" s="1"/>
  <c r="B433" i="12" s="1"/>
  <c r="B434" i="12" s="1"/>
  <c r="B435" i="12" s="1"/>
  <c r="B436" i="12" s="1"/>
  <c r="B437" i="12" s="1"/>
  <c r="B438" i="12" s="1"/>
  <c r="B439" i="12" s="1"/>
  <c r="B440" i="12" s="1"/>
  <c r="B441" i="12" s="1"/>
  <c r="B442" i="12" s="1"/>
  <c r="B443" i="12" s="1"/>
  <c r="B444" i="12" s="1"/>
  <c r="B445" i="12" s="1"/>
  <c r="B446" i="12" s="1"/>
  <c r="B447" i="12" s="1"/>
  <c r="B448" i="12" s="1"/>
  <c r="B449" i="12" s="1"/>
  <c r="B450" i="12" s="1"/>
  <c r="B451" i="12" s="1"/>
  <c r="B452" i="12" s="1"/>
  <c r="B453" i="12" s="1"/>
  <c r="B454" i="12" s="1"/>
  <c r="B455" i="12" s="1"/>
  <c r="B456" i="12" s="1"/>
  <c r="B457" i="12" s="1"/>
  <c r="B458" i="12" s="1"/>
  <c r="B459" i="12" s="1"/>
  <c r="B460" i="12" s="1"/>
  <c r="B461" i="12" s="1"/>
  <c r="B462" i="12" s="1"/>
  <c r="B463" i="12" s="1"/>
  <c r="B464" i="12" s="1"/>
  <c r="B465" i="12" s="1"/>
  <c r="B466" i="12" s="1"/>
  <c r="B467" i="12" s="1"/>
  <c r="B468" i="12" s="1"/>
  <c r="B469" i="12" s="1"/>
  <c r="B470" i="12" s="1"/>
  <c r="B471" i="12" s="1"/>
  <c r="B472" i="12" s="1"/>
  <c r="B473" i="12" s="1"/>
  <c r="B474" i="12" s="1"/>
  <c r="B475" i="12" s="1"/>
  <c r="B476" i="12" s="1"/>
  <c r="B477" i="12" s="1"/>
  <c r="B478" i="12" s="1"/>
  <c r="B479" i="12" s="1"/>
  <c r="B480" i="12" s="1"/>
  <c r="B481" i="12" s="1"/>
  <c r="B482" i="12" s="1"/>
  <c r="B483" i="12" s="1"/>
  <c r="B484" i="12" s="1"/>
  <c r="B485" i="12" s="1"/>
  <c r="B486" i="12" s="1"/>
  <c r="B487" i="12" s="1"/>
  <c r="B488" i="12" s="1"/>
  <c r="B489" i="12" s="1"/>
  <c r="B490" i="12" s="1"/>
  <c r="B491" i="12" s="1"/>
  <c r="B492" i="12" s="1"/>
  <c r="B493" i="12" s="1"/>
  <c r="B494" i="12" s="1"/>
  <c r="B495" i="12" s="1"/>
  <c r="B496" i="12" s="1"/>
  <c r="B497" i="12" s="1"/>
  <c r="B498" i="12" s="1"/>
  <c r="B499" i="12" s="1"/>
  <c r="B500" i="12" s="1"/>
  <c r="B501" i="12" s="1"/>
  <c r="B502" i="12" s="1"/>
  <c r="B503" i="12" s="1"/>
  <c r="B504" i="12" s="1"/>
  <c r="B505" i="12" s="1"/>
  <c r="B506" i="12" s="1"/>
  <c r="B507" i="12" s="1"/>
  <c r="B508" i="12" s="1"/>
  <c r="B509" i="12" s="1"/>
  <c r="B510" i="12" s="1"/>
  <c r="B511" i="12" s="1"/>
  <c r="B512" i="12" s="1"/>
  <c r="B513" i="12" s="1"/>
  <c r="B514" i="12" s="1"/>
  <c r="B515" i="12" s="1"/>
  <c r="B516" i="12" s="1"/>
  <c r="B517" i="12" s="1"/>
  <c r="B518" i="12" s="1"/>
  <c r="B519" i="12" s="1"/>
  <c r="B520" i="12" s="1"/>
  <c r="B521" i="12" s="1"/>
  <c r="B522" i="12" s="1"/>
  <c r="B523" i="12" s="1"/>
  <c r="B524" i="12" s="1"/>
  <c r="B525" i="12" s="1"/>
  <c r="B526" i="12" s="1"/>
  <c r="B527" i="12" s="1"/>
  <c r="B528" i="12" s="1"/>
  <c r="B529" i="12" s="1"/>
  <c r="B530" i="12" s="1"/>
  <c r="B531" i="12" s="1"/>
  <c r="B532" i="12" s="1"/>
  <c r="B533" i="12" s="1"/>
  <c r="B534" i="12" s="1"/>
  <c r="B535" i="12" s="1"/>
  <c r="B536" i="12" s="1"/>
  <c r="B537" i="12" s="1"/>
  <c r="B538" i="12" s="1"/>
  <c r="B539" i="12" s="1"/>
  <c r="B540" i="12" s="1"/>
  <c r="B541" i="12" s="1"/>
  <c r="B542" i="12" s="1"/>
  <c r="B543" i="12" s="1"/>
  <c r="B544" i="12" s="1"/>
  <c r="B545" i="12" s="1"/>
  <c r="B546" i="12" s="1"/>
  <c r="B547" i="12" s="1"/>
  <c r="B548" i="12" s="1"/>
  <c r="B549" i="12" s="1"/>
  <c r="B550" i="12" s="1"/>
  <c r="B551" i="12" s="1"/>
  <c r="B552" i="12" s="1"/>
  <c r="B553" i="12" s="1"/>
  <c r="B554" i="12" s="1"/>
  <c r="B555" i="12" s="1"/>
  <c r="B556" i="12" s="1"/>
  <c r="B557" i="12" s="1"/>
  <c r="B558" i="12" s="1"/>
  <c r="B559" i="12" s="1"/>
  <c r="B560" i="12" s="1"/>
  <c r="B561" i="12" s="1"/>
  <c r="B562" i="12" s="1"/>
  <c r="B563" i="12" s="1"/>
  <c r="B564" i="12" s="1"/>
  <c r="B565" i="12" s="1"/>
  <c r="B566" i="12" s="1"/>
  <c r="B567" i="12" s="1"/>
  <c r="B568" i="12" s="1"/>
  <c r="B569" i="12" s="1"/>
  <c r="B570" i="12" s="1"/>
  <c r="B571" i="12" s="1"/>
  <c r="B572" i="12" s="1"/>
  <c r="B573" i="12" s="1"/>
  <c r="B574" i="12" s="1"/>
  <c r="B575" i="12" s="1"/>
  <c r="B576" i="12" s="1"/>
  <c r="B577" i="12" s="1"/>
  <c r="B578" i="12" s="1"/>
  <c r="B579" i="12" s="1"/>
  <c r="B580" i="12" s="1"/>
  <c r="B581" i="12" s="1"/>
  <c r="B582" i="12" s="1"/>
  <c r="B583" i="12" s="1"/>
  <c r="B584" i="12" s="1"/>
  <c r="B585" i="12" s="1"/>
  <c r="B586" i="12" s="1"/>
  <c r="B587" i="12" s="1"/>
  <c r="B588" i="12" s="1"/>
  <c r="B589" i="12" s="1"/>
  <c r="B590" i="12" s="1"/>
  <c r="B591" i="12" s="1"/>
  <c r="B592" i="12" s="1"/>
  <c r="B593" i="12" s="1"/>
  <c r="B594" i="12" s="1"/>
  <c r="B595" i="12" s="1"/>
  <c r="B596" i="12" s="1"/>
  <c r="B597" i="12" s="1"/>
  <c r="B598" i="12" s="1"/>
  <c r="B599" i="12" s="1"/>
  <c r="B600" i="12" s="1"/>
  <c r="B601" i="12" s="1"/>
  <c r="B602" i="12" s="1"/>
  <c r="B603" i="12" s="1"/>
  <c r="B604" i="12" s="1"/>
  <c r="B605" i="12" s="1"/>
  <c r="B606" i="12" s="1"/>
  <c r="B607" i="12" s="1"/>
  <c r="B608" i="12" s="1"/>
  <c r="B609" i="12" s="1"/>
  <c r="B610" i="12" s="1"/>
  <c r="B611" i="12" s="1"/>
  <c r="B612" i="12" s="1"/>
  <c r="B613" i="12" s="1"/>
  <c r="B614" i="12" s="1"/>
  <c r="B615" i="12" s="1"/>
  <c r="B616" i="12" s="1"/>
  <c r="B617" i="12" s="1"/>
  <c r="B618" i="12" s="1"/>
  <c r="B619" i="12" s="1"/>
  <c r="B620" i="12" s="1"/>
  <c r="B621" i="12" s="1"/>
  <c r="B622" i="12" s="1"/>
  <c r="B623" i="12" s="1"/>
  <c r="B624" i="12" s="1"/>
  <c r="B625" i="12" s="1"/>
  <c r="B626" i="12" s="1"/>
  <c r="B627" i="12" s="1"/>
  <c r="B628" i="12" s="1"/>
  <c r="B629" i="12" s="1"/>
  <c r="B630" i="12" s="1"/>
  <c r="B631" i="12" s="1"/>
  <c r="B632" i="12" s="1"/>
  <c r="B633" i="12" s="1"/>
  <c r="B634" i="12" s="1"/>
  <c r="B635" i="12" s="1"/>
  <c r="B636" i="12" s="1"/>
  <c r="B637" i="12" s="1"/>
  <c r="B638" i="12" s="1"/>
  <c r="B639" i="12" s="1"/>
  <c r="B640" i="12" s="1"/>
  <c r="B641" i="12" s="1"/>
  <c r="B642" i="12" s="1"/>
  <c r="B643" i="12" s="1"/>
  <c r="B644" i="12" s="1"/>
  <c r="B645" i="12" s="1"/>
  <c r="B646" i="12" s="1"/>
  <c r="B647" i="12" s="1"/>
  <c r="B648" i="12" s="1"/>
  <c r="B649" i="12" s="1"/>
  <c r="B650" i="12" s="1"/>
  <c r="B651" i="12" s="1"/>
  <c r="B652" i="12" s="1"/>
  <c r="B653" i="12" s="1"/>
  <c r="B654" i="12" s="1"/>
  <c r="B655" i="12" s="1"/>
  <c r="B656" i="12" s="1"/>
  <c r="B657" i="12" s="1"/>
  <c r="B658" i="12" s="1"/>
  <c r="B659" i="12" s="1"/>
  <c r="B660" i="12" s="1"/>
  <c r="B661" i="12" s="1"/>
  <c r="B662" i="12" s="1"/>
  <c r="B663" i="12" s="1"/>
  <c r="B664" i="12" s="1"/>
  <c r="B665" i="12" s="1"/>
  <c r="B666" i="12" s="1"/>
  <c r="B667" i="12" s="1"/>
  <c r="B668" i="12" s="1"/>
  <c r="B669" i="12" s="1"/>
  <c r="B670" i="12" s="1"/>
  <c r="B671" i="12" s="1"/>
  <c r="B672" i="12" s="1"/>
  <c r="B673" i="12" s="1"/>
  <c r="B674" i="12" s="1"/>
  <c r="B675" i="12" s="1"/>
  <c r="B676" i="12" s="1"/>
  <c r="B677" i="12" s="1"/>
  <c r="B678" i="12" s="1"/>
  <c r="B679" i="12" s="1"/>
  <c r="B680" i="12" s="1"/>
  <c r="B681" i="12" s="1"/>
  <c r="B682" i="12" s="1"/>
  <c r="B683" i="12" s="1"/>
  <c r="B684" i="12" s="1"/>
  <c r="B685" i="12" s="1"/>
  <c r="B686" i="12" s="1"/>
  <c r="B687" i="12" s="1"/>
  <c r="B688" i="12" s="1"/>
  <c r="B689" i="12" s="1"/>
  <c r="B690" i="12" s="1"/>
  <c r="B691" i="12" s="1"/>
  <c r="B692" i="12" s="1"/>
  <c r="B693" i="12" s="1"/>
  <c r="B694" i="12" s="1"/>
  <c r="B695" i="12" s="1"/>
  <c r="B696" i="12" s="1"/>
  <c r="B697" i="12" s="1"/>
  <c r="B698" i="12" s="1"/>
  <c r="B699" i="12" s="1"/>
  <c r="B700" i="12" s="1"/>
  <c r="B701" i="12" s="1"/>
  <c r="B702" i="12" s="1"/>
  <c r="B703" i="12" s="1"/>
  <c r="B704" i="12" s="1"/>
  <c r="B705" i="12" s="1"/>
  <c r="B706" i="12" s="1"/>
  <c r="B707" i="12" s="1"/>
  <c r="B708" i="12" s="1"/>
  <c r="B709" i="12" s="1"/>
  <c r="B710" i="12" s="1"/>
  <c r="B711" i="12" s="1"/>
  <c r="B712" i="12" s="1"/>
  <c r="B713" i="12" s="1"/>
  <c r="B714" i="12" s="1"/>
  <c r="B715" i="12" s="1"/>
  <c r="B716" i="12" s="1"/>
  <c r="B717" i="12" s="1"/>
  <c r="B718" i="12" s="1"/>
  <c r="B719" i="12" s="1"/>
  <c r="B720" i="12" s="1"/>
  <c r="B721" i="12" s="1"/>
  <c r="B722" i="12" s="1"/>
  <c r="B723" i="12" s="1"/>
  <c r="B724" i="12" s="1"/>
  <c r="B725" i="12" s="1"/>
  <c r="B726" i="12" s="1"/>
  <c r="B727" i="12" s="1"/>
  <c r="B728" i="12" s="1"/>
  <c r="B729" i="12" s="1"/>
  <c r="B730" i="12" s="1"/>
  <c r="B731" i="12" s="1"/>
  <c r="B732" i="12" s="1"/>
  <c r="B733" i="12" s="1"/>
  <c r="B734" i="12" s="1"/>
  <c r="B735" i="12" s="1"/>
  <c r="B736" i="12" s="1"/>
  <c r="B737" i="12" s="1"/>
  <c r="B738" i="12" s="1"/>
  <c r="B739" i="12" s="1"/>
  <c r="B740" i="12" s="1"/>
  <c r="B741" i="12" s="1"/>
  <c r="B742" i="12" s="1"/>
  <c r="B743" i="12" s="1"/>
  <c r="B744" i="12" s="1"/>
  <c r="B745" i="12" s="1"/>
  <c r="B746" i="12" s="1"/>
  <c r="B747" i="12" s="1"/>
  <c r="B748" i="12" s="1"/>
  <c r="B749" i="12" s="1"/>
  <c r="B750" i="12" s="1"/>
  <c r="B751" i="12" s="1"/>
  <c r="B752" i="12" s="1"/>
  <c r="B753" i="12" s="1"/>
  <c r="B754" i="12" s="1"/>
  <c r="B755" i="12" s="1"/>
  <c r="B756" i="12" s="1"/>
  <c r="B757" i="12" s="1"/>
  <c r="B758" i="12" s="1"/>
  <c r="B759" i="12" s="1"/>
  <c r="B760" i="12" s="1"/>
  <c r="B761" i="12" s="1"/>
  <c r="B762" i="12" s="1"/>
  <c r="B763" i="12" s="1"/>
  <c r="B764" i="12" s="1"/>
  <c r="B765" i="12" s="1"/>
  <c r="B766" i="12" s="1"/>
  <c r="B767" i="12" s="1"/>
  <c r="B768" i="12" s="1"/>
  <c r="B769" i="12" s="1"/>
  <c r="B770" i="12" s="1"/>
  <c r="B771" i="12" s="1"/>
  <c r="B772" i="12" s="1"/>
  <c r="B773" i="12" s="1"/>
  <c r="B774" i="12" s="1"/>
  <c r="B775" i="12" s="1"/>
  <c r="B776" i="12" s="1"/>
  <c r="B777" i="12" s="1"/>
  <c r="B778" i="12" s="1"/>
  <c r="B779" i="12" s="1"/>
  <c r="B780" i="12" s="1"/>
  <c r="B781" i="12" s="1"/>
  <c r="B782" i="12" s="1"/>
  <c r="B783" i="12" s="1"/>
  <c r="B784" i="12" s="1"/>
  <c r="B785" i="12" s="1"/>
  <c r="B786" i="12" s="1"/>
  <c r="B787" i="12" s="1"/>
  <c r="B788" i="12" s="1"/>
  <c r="B789" i="12" s="1"/>
  <c r="B790" i="12" s="1"/>
  <c r="B791" i="12" s="1"/>
  <c r="B792" i="12" s="1"/>
  <c r="B793" i="12" s="1"/>
  <c r="B794" i="12" s="1"/>
  <c r="B795" i="12" s="1"/>
  <c r="B796" i="12" s="1"/>
  <c r="B797" i="12" s="1"/>
  <c r="B798" i="12" s="1"/>
  <c r="B799" i="12" s="1"/>
  <c r="B800" i="12" s="1"/>
  <c r="B801" i="12" s="1"/>
  <c r="B802" i="12" s="1"/>
  <c r="B803" i="12" s="1"/>
  <c r="B804" i="12" s="1"/>
  <c r="B805" i="12" s="1"/>
  <c r="B806" i="12" s="1"/>
  <c r="B807" i="12" s="1"/>
  <c r="B808" i="12" s="1"/>
  <c r="B809" i="12" s="1"/>
  <c r="B810" i="12" s="1"/>
  <c r="B811" i="12" s="1"/>
  <c r="B812" i="12" s="1"/>
  <c r="B813" i="12" s="1"/>
  <c r="B814" i="12" s="1"/>
  <c r="B815" i="12" s="1"/>
  <c r="B816" i="12" s="1"/>
  <c r="B817" i="12" s="1"/>
  <c r="B818" i="12" s="1"/>
  <c r="B819" i="12" s="1"/>
  <c r="B820" i="12" s="1"/>
  <c r="B821" i="12" s="1"/>
  <c r="B822" i="12" s="1"/>
  <c r="B823" i="12" s="1"/>
  <c r="B824" i="12" s="1"/>
  <c r="B825" i="12" s="1"/>
  <c r="B826" i="12" s="1"/>
  <c r="B827" i="12" s="1"/>
  <c r="B828" i="12" s="1"/>
  <c r="B829" i="12" s="1"/>
  <c r="B830" i="12" s="1"/>
  <c r="B831" i="12" s="1"/>
  <c r="B832" i="12" s="1"/>
  <c r="B833" i="12" s="1"/>
  <c r="B834" i="12" s="1"/>
  <c r="B835" i="12" s="1"/>
  <c r="B836" i="12" s="1"/>
  <c r="B837" i="12" s="1"/>
  <c r="B838" i="12" s="1"/>
  <c r="B839" i="12" s="1"/>
  <c r="B840" i="12" s="1"/>
  <c r="B841" i="12" s="1"/>
  <c r="B842" i="12" s="1"/>
  <c r="B843" i="12" s="1"/>
  <c r="B844" i="12" s="1"/>
  <c r="B845" i="12" s="1"/>
  <c r="B846" i="12" s="1"/>
  <c r="B847" i="12" s="1"/>
  <c r="B848" i="12" s="1"/>
  <c r="B849" i="12" s="1"/>
  <c r="B850" i="12" s="1"/>
  <c r="B851" i="12" s="1"/>
  <c r="B852" i="12" s="1"/>
  <c r="B853" i="12" s="1"/>
  <c r="B854" i="12" s="1"/>
  <c r="B855" i="12" s="1"/>
  <c r="B856" i="12" s="1"/>
  <c r="B857" i="12" s="1"/>
  <c r="B858" i="12" s="1"/>
  <c r="B859" i="12" s="1"/>
  <c r="B860" i="12" s="1"/>
  <c r="B861" i="12" s="1"/>
  <c r="B862" i="12" s="1"/>
  <c r="B863" i="12" s="1"/>
  <c r="B864" i="12" s="1"/>
  <c r="B865" i="12" s="1"/>
  <c r="B866" i="12" s="1"/>
  <c r="B867" i="12" s="1"/>
  <c r="B868" i="12" s="1"/>
  <c r="B869" i="12" s="1"/>
  <c r="B870" i="12" s="1"/>
  <c r="B871" i="12" s="1"/>
  <c r="B872" i="12" s="1"/>
  <c r="B873" i="12" s="1"/>
  <c r="B874" i="12" s="1"/>
  <c r="B875" i="12" s="1"/>
  <c r="B876" i="12" s="1"/>
  <c r="B877" i="12" s="1"/>
  <c r="B878" i="12" s="1"/>
  <c r="B879" i="12" s="1"/>
  <c r="B880" i="12" s="1"/>
  <c r="B881" i="12" s="1"/>
  <c r="B882" i="12" s="1"/>
  <c r="B883" i="12" s="1"/>
  <c r="B884" i="12" s="1"/>
  <c r="B885" i="12" s="1"/>
  <c r="B886" i="12" s="1"/>
  <c r="B887" i="12" s="1"/>
  <c r="B888" i="12" s="1"/>
  <c r="B889" i="12" s="1"/>
  <c r="B890" i="12" s="1"/>
  <c r="B891" i="12" s="1"/>
  <c r="B892" i="12" s="1"/>
  <c r="B893" i="12" s="1"/>
  <c r="B894" i="12" s="1"/>
  <c r="B895" i="12" s="1"/>
  <c r="B896" i="12" s="1"/>
  <c r="B897" i="12" s="1"/>
  <c r="B898" i="12" s="1"/>
  <c r="B899" i="12" s="1"/>
  <c r="B900" i="12" s="1"/>
  <c r="B901" i="12" s="1"/>
  <c r="B902" i="12" s="1"/>
  <c r="B903" i="12" s="1"/>
  <c r="B904" i="12" s="1"/>
  <c r="B905" i="12" s="1"/>
  <c r="B906" i="12" s="1"/>
  <c r="B907" i="12" s="1"/>
  <c r="B908" i="12" s="1"/>
  <c r="B909" i="12" s="1"/>
  <c r="B910" i="12" s="1"/>
  <c r="B911" i="12" s="1"/>
  <c r="B912" i="12" s="1"/>
  <c r="B913" i="12" s="1"/>
  <c r="B914" i="12" s="1"/>
  <c r="B915" i="12" s="1"/>
  <c r="B916" i="12" s="1"/>
  <c r="B917" i="12" s="1"/>
  <c r="B918" i="12" s="1"/>
  <c r="B919" i="12" s="1"/>
  <c r="B920" i="12" s="1"/>
  <c r="B921" i="12" s="1"/>
  <c r="B922" i="12" s="1"/>
  <c r="B923" i="12" s="1"/>
  <c r="B924" i="12" s="1"/>
  <c r="B925" i="12" s="1"/>
  <c r="B926" i="12" s="1"/>
  <c r="B927" i="12" s="1"/>
  <c r="B928" i="12" s="1"/>
  <c r="B929" i="12" s="1"/>
  <c r="B930" i="12" s="1"/>
  <c r="B931" i="12" s="1"/>
  <c r="B932" i="12" s="1"/>
  <c r="B933" i="12" s="1"/>
  <c r="B934" i="12" s="1"/>
  <c r="B935" i="12" s="1"/>
  <c r="B936" i="12" s="1"/>
  <c r="B937" i="12" s="1"/>
  <c r="B938" i="12" s="1"/>
  <c r="B939" i="12" s="1"/>
  <c r="B940" i="12" s="1"/>
  <c r="B941" i="12" s="1"/>
  <c r="B942" i="12" s="1"/>
  <c r="B943" i="12" s="1"/>
  <c r="B944" i="12" s="1"/>
  <c r="B945" i="12" s="1"/>
  <c r="B946" i="12" s="1"/>
  <c r="B947" i="12" s="1"/>
  <c r="B948" i="12" s="1"/>
  <c r="B949" i="12" s="1"/>
  <c r="B950" i="12" s="1"/>
  <c r="B951" i="12" s="1"/>
  <c r="B952" i="12" s="1"/>
  <c r="B953" i="12" s="1"/>
  <c r="B954" i="12" s="1"/>
  <c r="B955" i="12" s="1"/>
  <c r="B956" i="12" s="1"/>
  <c r="B957" i="12" s="1"/>
  <c r="B958" i="12" s="1"/>
  <c r="B959" i="12" s="1"/>
  <c r="B960" i="12" s="1"/>
  <c r="B961" i="12" s="1"/>
  <c r="B962" i="12" s="1"/>
  <c r="B963" i="12" s="1"/>
  <c r="B964" i="12" s="1"/>
  <c r="B965" i="12" s="1"/>
  <c r="B966" i="12" s="1"/>
  <c r="B967" i="12" s="1"/>
  <c r="B968" i="12" s="1"/>
  <c r="B969" i="12" s="1"/>
  <c r="B970" i="12" s="1"/>
  <c r="B971" i="12" s="1"/>
  <c r="B972" i="12" s="1"/>
  <c r="B973" i="12" s="1"/>
  <c r="B974" i="12" s="1"/>
  <c r="B975" i="12" s="1"/>
  <c r="B976" i="12" s="1"/>
  <c r="B977" i="12" s="1"/>
  <c r="B978" i="12" s="1"/>
  <c r="B979" i="12" s="1"/>
  <c r="B980" i="12" s="1"/>
  <c r="B981" i="12" s="1"/>
  <c r="B982" i="12" s="1"/>
  <c r="B983" i="12" s="1"/>
  <c r="B984" i="12" s="1"/>
  <c r="B985" i="12" s="1"/>
  <c r="B986" i="12" s="1"/>
  <c r="B987" i="12" s="1"/>
  <c r="B988" i="12" s="1"/>
  <c r="B989" i="12" s="1"/>
  <c r="B990" i="12" s="1"/>
  <c r="B991" i="12" s="1"/>
  <c r="B992" i="12" s="1"/>
  <c r="B993" i="12" s="1"/>
  <c r="B994" i="12" s="1"/>
  <c r="B995" i="12" s="1"/>
  <c r="B996" i="12" s="1"/>
  <c r="B997" i="12" s="1"/>
  <c r="B998" i="12" s="1"/>
  <c r="B999" i="12" s="1"/>
  <c r="B1000" i="12" s="1"/>
  <c r="B1001" i="12" s="1"/>
  <c r="B1002" i="12" s="1"/>
  <c r="B1003" i="12" s="1"/>
  <c r="B1004" i="12" s="1"/>
  <c r="B1005" i="12" s="1"/>
  <c r="B1006" i="12" s="1"/>
  <c r="B1007" i="12" s="1"/>
  <c r="B1008" i="12" s="1"/>
  <c r="B1009" i="12" s="1"/>
  <c r="B1010" i="12" s="1"/>
  <c r="B1011" i="12" s="1"/>
  <c r="B1012" i="12" s="1"/>
  <c r="B1013" i="12" s="1"/>
  <c r="B1014" i="12" s="1"/>
  <c r="B1015" i="12" s="1"/>
  <c r="B1016" i="12" s="1"/>
  <c r="B1017" i="12" s="1"/>
  <c r="B1018" i="12" s="1"/>
  <c r="B1019" i="12" s="1"/>
  <c r="B1020" i="12" s="1"/>
  <c r="B1021" i="12" s="1"/>
  <c r="AL53" i="12"/>
  <c r="AM53" i="12"/>
  <c r="AN53" i="12"/>
  <c r="AO53" i="12"/>
  <c r="AL54" i="12"/>
  <c r="AM54" i="12"/>
  <c r="AN54" i="12"/>
  <c r="AO54" i="12"/>
  <c r="AK57" i="12"/>
  <c r="AL57" i="12"/>
  <c r="AM57" i="12"/>
  <c r="AN57" i="12"/>
  <c r="AO57" i="12"/>
  <c r="AK59" i="12"/>
  <c r="AL59" i="12"/>
  <c r="AK60" i="12"/>
  <c r="AL60" i="12"/>
  <c r="AM60" i="12"/>
  <c r="AN60" i="12"/>
  <c r="AO60" i="12"/>
  <c r="AK62" i="12"/>
  <c r="AL62" i="12"/>
  <c r="AM62" i="12"/>
  <c r="AK63" i="12"/>
  <c r="AL63" i="12"/>
  <c r="AM63" i="12"/>
  <c r="AN63" i="12"/>
  <c r="AO63" i="12"/>
  <c r="U5" i="10"/>
  <c r="T15" i="10" s="1"/>
  <c r="DZ4" i="10"/>
  <c r="F15" i="7"/>
  <c r="T3" i="7" s="1"/>
  <c r="J3" i="5"/>
  <c r="CM327" i="10"/>
  <c r="CN327" i="10" s="1"/>
  <c r="BC327" i="10"/>
  <c r="BD327" i="10" s="1"/>
  <c r="DW16" i="10"/>
  <c r="DX16" i="10" s="1"/>
  <c r="CM16" i="10"/>
  <c r="CN16" i="10" s="1"/>
  <c r="CD327" i="10"/>
  <c r="CE327" i="10" s="1"/>
  <c r="AT327" i="10"/>
  <c r="AU327" i="10" s="1"/>
  <c r="DN16" i="10"/>
  <c r="DO16" i="10" s="1"/>
  <c r="CD16" i="10"/>
  <c r="CE16" i="10" s="1"/>
  <c r="BU327" i="10"/>
  <c r="AK327" i="10"/>
  <c r="AL327" i="10" s="1"/>
  <c r="DE16" i="10"/>
  <c r="BU16" i="10"/>
  <c r="BL327" i="10"/>
  <c r="BM327" i="10" s="1"/>
  <c r="AB327" i="10"/>
  <c r="AC327" i="10" s="1"/>
  <c r="CV16" i="10"/>
  <c r="CW16" i="10" s="1"/>
  <c r="BL16" i="10"/>
  <c r="BM16" i="10" s="1"/>
  <c r="L4" i="6"/>
  <c r="L3" i="6"/>
  <c r="D11" i="5"/>
  <c r="D12" i="5" s="1"/>
  <c r="D13" i="5" s="1"/>
  <c r="D14" i="5" s="1"/>
  <c r="D15" i="5" s="1"/>
  <c r="D16" i="5" s="1"/>
  <c r="D17" i="5" s="1"/>
  <c r="D18" i="5" s="1"/>
  <c r="D19" i="5" s="1"/>
  <c r="D20" i="5" s="1"/>
  <c r="I14" i="10"/>
  <c r="J14" i="10"/>
  <c r="F150" i="10"/>
  <c r="F149" i="10"/>
  <c r="F148" i="10"/>
  <c r="F147" i="10"/>
  <c r="F146" i="10"/>
  <c r="F145" i="10"/>
  <c r="F144" i="10"/>
  <c r="F143" i="10"/>
  <c r="F142" i="10"/>
  <c r="F141" i="10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02" i="11"/>
  <c r="F203" i="11"/>
  <c r="F204" i="11"/>
  <c r="F4" i="11"/>
  <c r="A11" i="5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  <c r="A305" i="5" s="1"/>
  <c r="A306" i="5" s="1"/>
  <c r="A307" i="5" s="1"/>
  <c r="A308" i="5" s="1"/>
  <c r="A309" i="5" s="1"/>
  <c r="A310" i="5" s="1"/>
  <c r="A311" i="5" s="1"/>
  <c r="A312" i="5" s="1"/>
  <c r="A313" i="5" s="1"/>
  <c r="A314" i="5" s="1"/>
  <c r="A315" i="5" s="1"/>
  <c r="A316" i="5" s="1"/>
  <c r="A317" i="5" s="1"/>
  <c r="A318" i="5" s="1"/>
  <c r="A319" i="5" s="1"/>
  <c r="A320" i="5" s="1"/>
  <c r="A321" i="5" s="1"/>
  <c r="A322" i="5" s="1"/>
  <c r="A323" i="5" s="1"/>
  <c r="A324" i="5" s="1"/>
  <c r="A325" i="5" s="1"/>
  <c r="A326" i="5" s="1"/>
  <c r="A327" i="5" s="1"/>
  <c r="A328" i="5" s="1"/>
  <c r="A329" i="5" s="1"/>
  <c r="A330" i="5" s="1"/>
  <c r="A331" i="5" s="1"/>
  <c r="A332" i="5" s="1"/>
  <c r="A333" i="5" s="1"/>
  <c r="A334" i="5" s="1"/>
  <c r="A335" i="5" s="1"/>
  <c r="A336" i="5" s="1"/>
  <c r="A337" i="5" s="1"/>
  <c r="A338" i="5" s="1"/>
  <c r="A339" i="5" s="1"/>
  <c r="A340" i="5" s="1"/>
  <c r="A341" i="5" s="1"/>
  <c r="A342" i="5" s="1"/>
  <c r="A343" i="5" s="1"/>
  <c r="A344" i="5" s="1"/>
  <c r="A345" i="5" s="1"/>
  <c r="A346" i="5" s="1"/>
  <c r="A347" i="5" s="1"/>
  <c r="A348" i="5" s="1"/>
  <c r="A349" i="5" s="1"/>
  <c r="A350" i="5" s="1"/>
  <c r="A351" i="5" s="1"/>
  <c r="A352" i="5" s="1"/>
  <c r="A353" i="5" s="1"/>
  <c r="A354" i="5" s="1"/>
  <c r="A355" i="5" s="1"/>
  <c r="A356" i="5" s="1"/>
  <c r="A357" i="5" s="1"/>
  <c r="A358" i="5" s="1"/>
  <c r="A359" i="5" s="1"/>
  <c r="A360" i="5" s="1"/>
  <c r="A361" i="5" s="1"/>
  <c r="A362" i="5" s="1"/>
  <c r="A363" i="5" s="1"/>
  <c r="A364" i="5" s="1"/>
  <c r="A365" i="5" s="1"/>
  <c r="A366" i="5" s="1"/>
  <c r="A367" i="5" s="1"/>
  <c r="A368" i="5" s="1"/>
  <c r="A369" i="5" s="1"/>
  <c r="A370" i="5" s="1"/>
  <c r="A371" i="5" s="1"/>
  <c r="A372" i="5" s="1"/>
  <c r="A373" i="5" s="1"/>
  <c r="A374" i="5" s="1"/>
  <c r="A375" i="5" s="1"/>
  <c r="A376" i="5" s="1"/>
  <c r="A377" i="5" s="1"/>
  <c r="A378" i="5" s="1"/>
  <c r="A379" i="5" s="1"/>
  <c r="A380" i="5" s="1"/>
  <c r="A381" i="5" s="1"/>
  <c r="A382" i="5" s="1"/>
  <c r="A383" i="5" s="1"/>
  <c r="A384" i="5" s="1"/>
  <c r="A385" i="5" s="1"/>
  <c r="A386" i="5" s="1"/>
  <c r="A387" i="5" s="1"/>
  <c r="A388" i="5" s="1"/>
  <c r="A389" i="5" s="1"/>
  <c r="A390" i="5" s="1"/>
  <c r="A391" i="5" s="1"/>
  <c r="A392" i="5" s="1"/>
  <c r="A393" i="5" s="1"/>
  <c r="A394" i="5" s="1"/>
  <c r="A395" i="5" s="1"/>
  <c r="A396" i="5" s="1"/>
  <c r="A397" i="5" s="1"/>
  <c r="A398" i="5" s="1"/>
  <c r="A399" i="5" s="1"/>
  <c r="A400" i="5" s="1"/>
  <c r="A401" i="5" s="1"/>
  <c r="A402" i="5" s="1"/>
  <c r="A403" i="5" s="1"/>
  <c r="A404" i="5" s="1"/>
  <c r="A405" i="5" s="1"/>
  <c r="A406" i="5" s="1"/>
  <c r="A407" i="5" s="1"/>
  <c r="A408" i="5" s="1"/>
  <c r="A409" i="5" s="1"/>
  <c r="A410" i="5" s="1"/>
  <c r="B5" i="11"/>
  <c r="D5" i="11" s="1"/>
  <c r="E204" i="11"/>
  <c r="G204" i="11"/>
  <c r="G203" i="11"/>
  <c r="E203" i="11"/>
  <c r="G202" i="11"/>
  <c r="E202" i="11"/>
  <c r="G201" i="11"/>
  <c r="E201" i="11"/>
  <c r="G200" i="11"/>
  <c r="E200" i="11"/>
  <c r="G199" i="11"/>
  <c r="E199" i="11"/>
  <c r="G198" i="11"/>
  <c r="E198" i="11"/>
  <c r="G197" i="11"/>
  <c r="E197" i="11"/>
  <c r="G196" i="11"/>
  <c r="E196" i="11"/>
  <c r="G195" i="11"/>
  <c r="E195" i="11"/>
  <c r="G194" i="11"/>
  <c r="E194" i="11"/>
  <c r="G193" i="11"/>
  <c r="E193" i="11"/>
  <c r="G192" i="11"/>
  <c r="E192" i="11"/>
  <c r="G191" i="11"/>
  <c r="E191" i="11"/>
  <c r="G190" i="11"/>
  <c r="E190" i="11"/>
  <c r="G189" i="11"/>
  <c r="E189" i="11"/>
  <c r="G188" i="11"/>
  <c r="E188" i="11"/>
  <c r="G187" i="11"/>
  <c r="E187" i="11"/>
  <c r="G186" i="11"/>
  <c r="E186" i="11"/>
  <c r="G185" i="11"/>
  <c r="E185" i="11"/>
  <c r="G184" i="11"/>
  <c r="E184" i="11"/>
  <c r="G183" i="11"/>
  <c r="E183" i="11"/>
  <c r="G182" i="11"/>
  <c r="E182" i="11"/>
  <c r="G181" i="11"/>
  <c r="E181" i="11"/>
  <c r="G180" i="11"/>
  <c r="E180" i="11"/>
  <c r="G179" i="11"/>
  <c r="E179" i="11"/>
  <c r="G178" i="11"/>
  <c r="E178" i="11"/>
  <c r="G177" i="11"/>
  <c r="E177" i="11"/>
  <c r="G176" i="11"/>
  <c r="E176" i="11"/>
  <c r="G175" i="11"/>
  <c r="E175" i="11"/>
  <c r="G174" i="11"/>
  <c r="E174" i="11"/>
  <c r="G173" i="11"/>
  <c r="E173" i="11"/>
  <c r="G172" i="11"/>
  <c r="E172" i="11"/>
  <c r="G171" i="11"/>
  <c r="E171" i="11"/>
  <c r="G170" i="11"/>
  <c r="E170" i="11"/>
  <c r="G169" i="11"/>
  <c r="E169" i="11"/>
  <c r="G168" i="11"/>
  <c r="E168" i="11"/>
  <c r="G167" i="11"/>
  <c r="E167" i="11"/>
  <c r="G166" i="11"/>
  <c r="E166" i="11"/>
  <c r="G165" i="11"/>
  <c r="E165" i="11"/>
  <c r="G164" i="11"/>
  <c r="E164" i="11"/>
  <c r="G163" i="11"/>
  <c r="E163" i="11"/>
  <c r="G162" i="11"/>
  <c r="E162" i="11"/>
  <c r="G161" i="11"/>
  <c r="E161" i="11"/>
  <c r="G160" i="11"/>
  <c r="E160" i="11"/>
  <c r="G159" i="11"/>
  <c r="E159" i="11"/>
  <c r="G158" i="11"/>
  <c r="E158" i="11"/>
  <c r="G157" i="11"/>
  <c r="E157" i="11"/>
  <c r="G156" i="11"/>
  <c r="E156" i="11"/>
  <c r="G155" i="11"/>
  <c r="E155" i="11"/>
  <c r="G154" i="11"/>
  <c r="E154" i="11"/>
  <c r="G153" i="11"/>
  <c r="E153" i="11"/>
  <c r="G152" i="11"/>
  <c r="E152" i="11"/>
  <c r="G151" i="11"/>
  <c r="E151" i="11"/>
  <c r="G150" i="11"/>
  <c r="E150" i="11"/>
  <c r="G149" i="11"/>
  <c r="E149" i="11"/>
  <c r="G148" i="11"/>
  <c r="E148" i="11"/>
  <c r="G147" i="11"/>
  <c r="E147" i="11"/>
  <c r="G146" i="11"/>
  <c r="E146" i="11"/>
  <c r="G145" i="11"/>
  <c r="E145" i="11"/>
  <c r="G144" i="11"/>
  <c r="E144" i="11"/>
  <c r="G143" i="11"/>
  <c r="E143" i="11"/>
  <c r="G142" i="11"/>
  <c r="E142" i="11"/>
  <c r="G141" i="11"/>
  <c r="E141" i="11"/>
  <c r="G140" i="11"/>
  <c r="E140" i="11"/>
  <c r="G139" i="11"/>
  <c r="E139" i="11"/>
  <c r="G138" i="11"/>
  <c r="E138" i="11"/>
  <c r="G137" i="11"/>
  <c r="E137" i="11"/>
  <c r="G136" i="11"/>
  <c r="E136" i="11"/>
  <c r="G135" i="11"/>
  <c r="E135" i="11"/>
  <c r="G134" i="11"/>
  <c r="E134" i="11"/>
  <c r="G133" i="11"/>
  <c r="E133" i="11"/>
  <c r="G132" i="11"/>
  <c r="E132" i="11"/>
  <c r="G131" i="11"/>
  <c r="E131" i="11"/>
  <c r="G130" i="11"/>
  <c r="E130" i="11"/>
  <c r="G129" i="11"/>
  <c r="E129" i="11"/>
  <c r="G128" i="11"/>
  <c r="E128" i="11"/>
  <c r="G127" i="11"/>
  <c r="E127" i="11"/>
  <c r="G126" i="11"/>
  <c r="E126" i="11"/>
  <c r="G125" i="11"/>
  <c r="E125" i="11"/>
  <c r="G124" i="11"/>
  <c r="E124" i="11"/>
  <c r="G123" i="11"/>
  <c r="E123" i="11"/>
  <c r="G122" i="11"/>
  <c r="E122" i="11"/>
  <c r="G121" i="11"/>
  <c r="E121" i="11"/>
  <c r="G120" i="11"/>
  <c r="E120" i="11"/>
  <c r="G119" i="11"/>
  <c r="E119" i="11"/>
  <c r="G118" i="11"/>
  <c r="E118" i="11"/>
  <c r="G117" i="11"/>
  <c r="E117" i="11"/>
  <c r="G116" i="11"/>
  <c r="E116" i="11"/>
  <c r="G115" i="11"/>
  <c r="E115" i="11"/>
  <c r="G114" i="11"/>
  <c r="E114" i="11"/>
  <c r="G113" i="11"/>
  <c r="E113" i="11"/>
  <c r="G112" i="11"/>
  <c r="E112" i="11"/>
  <c r="G111" i="11"/>
  <c r="E111" i="11"/>
  <c r="G110" i="11"/>
  <c r="E110" i="11"/>
  <c r="G109" i="11"/>
  <c r="E109" i="11"/>
  <c r="G108" i="11"/>
  <c r="E108" i="11"/>
  <c r="G107" i="11"/>
  <c r="E107" i="11"/>
  <c r="G106" i="11"/>
  <c r="E106" i="11"/>
  <c r="G105" i="11"/>
  <c r="E105" i="11"/>
  <c r="G104" i="11"/>
  <c r="E104" i="11"/>
  <c r="G103" i="11"/>
  <c r="E103" i="11"/>
  <c r="G102" i="11"/>
  <c r="E102" i="11"/>
  <c r="G101" i="11"/>
  <c r="E101" i="11"/>
  <c r="G100" i="11"/>
  <c r="E100" i="11"/>
  <c r="G99" i="11"/>
  <c r="E99" i="11"/>
  <c r="G98" i="11"/>
  <c r="E98" i="11"/>
  <c r="G97" i="11"/>
  <c r="E97" i="11"/>
  <c r="G96" i="11"/>
  <c r="E96" i="11"/>
  <c r="G95" i="11"/>
  <c r="E95" i="11"/>
  <c r="G94" i="11"/>
  <c r="E94" i="11"/>
  <c r="G93" i="11"/>
  <c r="E93" i="11"/>
  <c r="G92" i="11"/>
  <c r="E92" i="11"/>
  <c r="G91" i="11"/>
  <c r="E91" i="11"/>
  <c r="G90" i="11"/>
  <c r="E90" i="11"/>
  <c r="G89" i="11"/>
  <c r="E89" i="11"/>
  <c r="G88" i="11"/>
  <c r="E88" i="11"/>
  <c r="G87" i="11"/>
  <c r="E87" i="11"/>
  <c r="G86" i="11"/>
  <c r="E86" i="11"/>
  <c r="G85" i="11"/>
  <c r="E85" i="11"/>
  <c r="G84" i="11"/>
  <c r="E84" i="11"/>
  <c r="G83" i="11"/>
  <c r="E83" i="11"/>
  <c r="G82" i="11"/>
  <c r="E82" i="11"/>
  <c r="G81" i="11"/>
  <c r="E81" i="11"/>
  <c r="G80" i="11"/>
  <c r="E80" i="11"/>
  <c r="G79" i="11"/>
  <c r="E79" i="11"/>
  <c r="G78" i="11"/>
  <c r="E78" i="11"/>
  <c r="G77" i="11"/>
  <c r="E77" i="11"/>
  <c r="G76" i="11"/>
  <c r="E76" i="11"/>
  <c r="G75" i="11"/>
  <c r="E75" i="11"/>
  <c r="G74" i="11"/>
  <c r="E74" i="11"/>
  <c r="G73" i="11"/>
  <c r="E73" i="11"/>
  <c r="G72" i="11"/>
  <c r="E72" i="11"/>
  <c r="G71" i="11"/>
  <c r="E71" i="11"/>
  <c r="G70" i="11"/>
  <c r="E70" i="11"/>
  <c r="G69" i="11"/>
  <c r="E69" i="11"/>
  <c r="G68" i="11"/>
  <c r="E68" i="11"/>
  <c r="G67" i="11"/>
  <c r="E67" i="11"/>
  <c r="G66" i="11"/>
  <c r="E66" i="11"/>
  <c r="G65" i="11"/>
  <c r="E65" i="11"/>
  <c r="G64" i="11"/>
  <c r="E64" i="11"/>
  <c r="G63" i="11"/>
  <c r="E63" i="11"/>
  <c r="G62" i="11"/>
  <c r="E62" i="11"/>
  <c r="G61" i="11"/>
  <c r="E61" i="11"/>
  <c r="G60" i="11"/>
  <c r="E60" i="11"/>
  <c r="G59" i="11"/>
  <c r="E59" i="11"/>
  <c r="G58" i="11"/>
  <c r="E58" i="11"/>
  <c r="G57" i="11"/>
  <c r="E57" i="11"/>
  <c r="G56" i="11"/>
  <c r="E56" i="11"/>
  <c r="G55" i="11"/>
  <c r="E55" i="11"/>
  <c r="G54" i="11"/>
  <c r="E54" i="11"/>
  <c r="G53" i="11"/>
  <c r="E53" i="11"/>
  <c r="G52" i="11"/>
  <c r="E52" i="11"/>
  <c r="G51" i="11"/>
  <c r="E51" i="11"/>
  <c r="G50" i="11"/>
  <c r="E50" i="11"/>
  <c r="G49" i="11"/>
  <c r="E49" i="11"/>
  <c r="G48" i="11"/>
  <c r="E48" i="11"/>
  <c r="G47" i="11"/>
  <c r="E47" i="11"/>
  <c r="G46" i="11"/>
  <c r="E46" i="11"/>
  <c r="G45" i="11"/>
  <c r="E45" i="11"/>
  <c r="G44" i="11"/>
  <c r="E44" i="11"/>
  <c r="G43" i="11"/>
  <c r="E43" i="11"/>
  <c r="G42" i="11"/>
  <c r="E42" i="11"/>
  <c r="G41" i="11"/>
  <c r="E41" i="11"/>
  <c r="G40" i="11"/>
  <c r="E40" i="11"/>
  <c r="G39" i="11"/>
  <c r="E39" i="11"/>
  <c r="G38" i="11"/>
  <c r="E38" i="11"/>
  <c r="G37" i="11"/>
  <c r="E37" i="11"/>
  <c r="G36" i="11"/>
  <c r="E36" i="11"/>
  <c r="G35" i="11"/>
  <c r="E35" i="11"/>
  <c r="G34" i="11"/>
  <c r="E34" i="11"/>
  <c r="G33" i="11"/>
  <c r="E33" i="11"/>
  <c r="G32" i="11"/>
  <c r="E32" i="11"/>
  <c r="G31" i="11"/>
  <c r="E31" i="11"/>
  <c r="G30" i="11"/>
  <c r="E30" i="11"/>
  <c r="G29" i="11"/>
  <c r="E29" i="11"/>
  <c r="G28" i="11"/>
  <c r="E28" i="11"/>
  <c r="G27" i="11"/>
  <c r="E27" i="11"/>
  <c r="G26" i="11"/>
  <c r="E26" i="11"/>
  <c r="G25" i="11"/>
  <c r="E25" i="11"/>
  <c r="G24" i="11"/>
  <c r="E24" i="11"/>
  <c r="G23" i="11"/>
  <c r="E23" i="11"/>
  <c r="G22" i="11"/>
  <c r="E22" i="11"/>
  <c r="G21" i="11"/>
  <c r="E21" i="11"/>
  <c r="G20" i="11"/>
  <c r="E20" i="11"/>
  <c r="G19" i="11"/>
  <c r="E19" i="11"/>
  <c r="G18" i="11"/>
  <c r="E18" i="11"/>
  <c r="G17" i="11"/>
  <c r="E17" i="11"/>
  <c r="G16" i="11"/>
  <c r="E16" i="11"/>
  <c r="G15" i="11"/>
  <c r="E15" i="11"/>
  <c r="G14" i="11"/>
  <c r="E14" i="11"/>
  <c r="G13" i="11"/>
  <c r="E13" i="11"/>
  <c r="G12" i="11"/>
  <c r="E12" i="11"/>
  <c r="G11" i="11"/>
  <c r="E11" i="11"/>
  <c r="G10" i="11"/>
  <c r="E10" i="11"/>
  <c r="G9" i="11"/>
  <c r="E9" i="11"/>
  <c r="G8" i="11"/>
  <c r="E8" i="11"/>
  <c r="G7" i="11"/>
  <c r="E7" i="11"/>
  <c r="G6" i="11"/>
  <c r="E6" i="11"/>
  <c r="G5" i="11"/>
  <c r="E5" i="11"/>
  <c r="G4" i="11"/>
  <c r="E4" i="11"/>
  <c r="O4" i="11" s="1"/>
  <c r="D4" i="11"/>
  <c r="BV327" i="10"/>
  <c r="DF16" i="10"/>
  <c r="BC16" i="10"/>
  <c r="BD16" i="10" s="1"/>
  <c r="AT16" i="10"/>
  <c r="AU16" i="10" s="1"/>
  <c r="AK16" i="10"/>
  <c r="AL16" i="10" s="1"/>
  <c r="AB16" i="10"/>
  <c r="AC16" i="10" s="1"/>
  <c r="I27" i="10"/>
  <c r="D3" i="5"/>
  <c r="D4" i="5"/>
  <c r="M4" i="5" s="1"/>
  <c r="P1" i="5"/>
  <c r="P2" i="5" s="1"/>
  <c r="C5" i="4"/>
  <c r="H5" i="4" s="1"/>
  <c r="C8" i="4"/>
  <c r="E8" i="4" s="1"/>
  <c r="C1" i="4"/>
  <c r="C2" i="4"/>
  <c r="C3" i="4"/>
  <c r="R3" i="6"/>
  <c r="V3" i="6"/>
  <c r="R4" i="6"/>
  <c r="V4" i="6"/>
  <c r="R5" i="6"/>
  <c r="V5" i="6"/>
  <c r="R6" i="6"/>
  <c r="V6" i="6"/>
  <c r="R7" i="6"/>
  <c r="V7" i="6"/>
  <c r="R8" i="6"/>
  <c r="V8" i="6"/>
  <c r="R9" i="6"/>
  <c r="V9" i="6"/>
  <c r="R10" i="6"/>
  <c r="V10" i="6"/>
  <c r="R11" i="6"/>
  <c r="V11" i="6"/>
  <c r="R12" i="6"/>
  <c r="V12" i="6"/>
  <c r="R13" i="6"/>
  <c r="V13" i="6"/>
  <c r="R14" i="6"/>
  <c r="V14" i="6"/>
  <c r="R15" i="6"/>
  <c r="V15" i="6"/>
  <c r="R16" i="6"/>
  <c r="V16" i="6"/>
  <c r="R17" i="6"/>
  <c r="V17" i="6"/>
  <c r="R18" i="6"/>
  <c r="V18" i="6"/>
  <c r="R19" i="6"/>
  <c r="V19" i="6"/>
  <c r="R20" i="6"/>
  <c r="V20" i="6"/>
  <c r="R21" i="6"/>
  <c r="V21" i="6"/>
  <c r="R22" i="6"/>
  <c r="V22" i="6"/>
  <c r="R23" i="6"/>
  <c r="V23" i="6"/>
  <c r="R24" i="6"/>
  <c r="V24" i="6"/>
  <c r="R25" i="6"/>
  <c r="V25" i="6"/>
  <c r="R26" i="6"/>
  <c r="V26" i="6"/>
  <c r="R27" i="6"/>
  <c r="V27" i="6"/>
  <c r="R28" i="6"/>
  <c r="V28" i="6"/>
  <c r="R29" i="6"/>
  <c r="V29" i="6"/>
  <c r="R30" i="6"/>
  <c r="V30" i="6"/>
  <c r="R31" i="6"/>
  <c r="V31" i="6"/>
  <c r="R32" i="6"/>
  <c r="V32" i="6"/>
  <c r="R33" i="6"/>
  <c r="V33" i="6"/>
  <c r="R34" i="6"/>
  <c r="V34" i="6"/>
  <c r="R35" i="6"/>
  <c r="V35" i="6"/>
  <c r="R36" i="6"/>
  <c r="V36" i="6"/>
  <c r="R37" i="6"/>
  <c r="V37" i="6"/>
  <c r="R38" i="6"/>
  <c r="V38" i="6"/>
  <c r="R39" i="6"/>
  <c r="V39" i="6"/>
  <c r="R40" i="6"/>
  <c r="V40" i="6"/>
  <c r="R41" i="6"/>
  <c r="V41" i="6"/>
  <c r="R42" i="6"/>
  <c r="V42" i="6"/>
  <c r="R43" i="6"/>
  <c r="V43" i="6"/>
  <c r="R44" i="6"/>
  <c r="V44" i="6"/>
  <c r="R45" i="6"/>
  <c r="V45" i="6"/>
  <c r="R46" i="6"/>
  <c r="V46" i="6"/>
  <c r="R47" i="6"/>
  <c r="V47" i="6"/>
  <c r="R48" i="6"/>
  <c r="V48" i="6"/>
  <c r="R49" i="6"/>
  <c r="V49" i="6"/>
  <c r="R50" i="6"/>
  <c r="V50" i="6"/>
  <c r="R51" i="6"/>
  <c r="V51" i="6"/>
  <c r="R52" i="6"/>
  <c r="V52" i="6"/>
  <c r="R53" i="6"/>
  <c r="V53" i="6"/>
  <c r="R54" i="6"/>
  <c r="V54" i="6"/>
  <c r="R55" i="6"/>
  <c r="V55" i="6"/>
  <c r="R56" i="6"/>
  <c r="V56" i="6"/>
  <c r="R57" i="6"/>
  <c r="V57" i="6"/>
  <c r="R58" i="6"/>
  <c r="V58" i="6"/>
  <c r="R59" i="6"/>
  <c r="V59" i="6"/>
  <c r="R60" i="6"/>
  <c r="V60" i="6"/>
  <c r="R61" i="6"/>
  <c r="V61" i="6"/>
  <c r="R62" i="6"/>
  <c r="V62" i="6"/>
  <c r="R63" i="6"/>
  <c r="V63" i="6"/>
  <c r="R64" i="6"/>
  <c r="V64" i="6"/>
  <c r="R65" i="6"/>
  <c r="V65" i="6"/>
  <c r="R66" i="6"/>
  <c r="V66" i="6"/>
  <c r="R67" i="6"/>
  <c r="V67" i="6"/>
  <c r="R68" i="6"/>
  <c r="V68" i="6"/>
  <c r="R69" i="6"/>
  <c r="V69" i="6"/>
  <c r="R70" i="6"/>
  <c r="V70" i="6"/>
  <c r="R71" i="6"/>
  <c r="V71" i="6"/>
  <c r="R72" i="6"/>
  <c r="V72" i="6"/>
  <c r="R73" i="6"/>
  <c r="V73" i="6"/>
  <c r="R74" i="6"/>
  <c r="V74" i="6"/>
  <c r="R75" i="6"/>
  <c r="V75" i="6"/>
  <c r="R76" i="6"/>
  <c r="V76" i="6"/>
  <c r="R77" i="6"/>
  <c r="V77" i="6"/>
  <c r="R78" i="6"/>
  <c r="V78" i="6"/>
  <c r="R79" i="6"/>
  <c r="V79" i="6"/>
  <c r="R80" i="6"/>
  <c r="V80" i="6"/>
  <c r="R81" i="6"/>
  <c r="V81" i="6"/>
  <c r="R82" i="6"/>
  <c r="V82" i="6"/>
  <c r="R83" i="6"/>
  <c r="V83" i="6"/>
  <c r="R84" i="6"/>
  <c r="V84" i="6"/>
  <c r="R85" i="6"/>
  <c r="V85" i="6"/>
  <c r="R86" i="6"/>
  <c r="V86" i="6"/>
  <c r="R87" i="6"/>
  <c r="V87" i="6"/>
  <c r="R88" i="6"/>
  <c r="V88" i="6"/>
  <c r="R89" i="6"/>
  <c r="V89" i="6"/>
  <c r="R90" i="6"/>
  <c r="V90" i="6"/>
  <c r="R91" i="6"/>
  <c r="V91" i="6"/>
  <c r="R92" i="6"/>
  <c r="V92" i="6"/>
  <c r="R93" i="6"/>
  <c r="V93" i="6"/>
  <c r="R94" i="6"/>
  <c r="V94" i="6"/>
  <c r="R95" i="6"/>
  <c r="V95" i="6"/>
  <c r="R96" i="6"/>
  <c r="V96" i="6"/>
  <c r="R97" i="6"/>
  <c r="V97" i="6"/>
  <c r="R98" i="6"/>
  <c r="V98" i="6"/>
  <c r="R99" i="6"/>
  <c r="V99" i="6"/>
  <c r="R100" i="6"/>
  <c r="V100" i="6"/>
  <c r="R101" i="6"/>
  <c r="V101" i="6"/>
  <c r="R102" i="6"/>
  <c r="V102" i="6"/>
  <c r="R103" i="6"/>
  <c r="V103" i="6"/>
  <c r="R5" i="11"/>
  <c r="BV16" i="10"/>
  <c r="F5" i="5" l="1"/>
  <c r="F4" i="5" s="1"/>
  <c r="F5" i="6"/>
  <c r="F4" i="6" s="1"/>
  <c r="T4" i="11"/>
  <c r="J11" i="16"/>
  <c r="K10" i="16"/>
  <c r="G10" i="16" s="1"/>
  <c r="L10" i="16"/>
  <c r="H17" i="16"/>
  <c r="N5" i="11"/>
  <c r="M5" i="5"/>
  <c r="D3" i="6"/>
  <c r="M3" i="6" s="1"/>
  <c r="M3" i="5"/>
  <c r="Q4" i="11"/>
  <c r="R37" i="10"/>
  <c r="P29" i="10"/>
  <c r="J2" i="5"/>
  <c r="I8" i="4"/>
  <c r="U4" i="11"/>
  <c r="V4" i="11" s="1"/>
  <c r="R4" i="11"/>
  <c r="DE17" i="10"/>
  <c r="DF17" i="10" s="1"/>
  <c r="N4" i="11"/>
  <c r="T5" i="11"/>
  <c r="DD16" i="10"/>
  <c r="D8" i="4"/>
  <c r="CL327" i="10"/>
  <c r="G17" i="7"/>
  <c r="AI327" i="10"/>
  <c r="AI328" i="10" s="1"/>
  <c r="AI329" i="10" s="1"/>
  <c r="AI330" i="10" s="1"/>
  <c r="AI331" i="10" s="1"/>
  <c r="AI332" i="10" s="1"/>
  <c r="AI333" i="10" s="1"/>
  <c r="AI334" i="10" s="1"/>
  <c r="AI335" i="10" s="1"/>
  <c r="AI336" i="10" s="1"/>
  <c r="AI337" i="10" s="1"/>
  <c r="AI338" i="10" s="1"/>
  <c r="AI339" i="10" s="1"/>
  <c r="AI340" i="10" s="1"/>
  <c r="AI341" i="10" s="1"/>
  <c r="AI342" i="10" s="1"/>
  <c r="AI343" i="10" s="1"/>
  <c r="AI344" i="10" s="1"/>
  <c r="AI345" i="10" s="1"/>
  <c r="AI346" i="10" s="1"/>
  <c r="AI347" i="10" s="1"/>
  <c r="AI348" i="10" s="1"/>
  <c r="AI349" i="10" s="1"/>
  <c r="AI350" i="10" s="1"/>
  <c r="AI351" i="10" s="1"/>
  <c r="AI352" i="10" s="1"/>
  <c r="AI353" i="10" s="1"/>
  <c r="AI354" i="10" s="1"/>
  <c r="AI355" i="10" s="1"/>
  <c r="AI356" i="10" s="1"/>
  <c r="AI357" i="10" s="1"/>
  <c r="AI358" i="10" s="1"/>
  <c r="AI359" i="10" s="1"/>
  <c r="AI360" i="10" s="1"/>
  <c r="AI361" i="10" s="1"/>
  <c r="AI362" i="10" s="1"/>
  <c r="AI363" i="10" s="1"/>
  <c r="AI364" i="10" s="1"/>
  <c r="AI365" i="10" s="1"/>
  <c r="AI366" i="10" s="1"/>
  <c r="AI367" i="10" s="1"/>
  <c r="AI368" i="10" s="1"/>
  <c r="AI369" i="10" s="1"/>
  <c r="AI370" i="10" s="1"/>
  <c r="AI371" i="10" s="1"/>
  <c r="AI372" i="10" s="1"/>
  <c r="AI373" i="10" s="1"/>
  <c r="AI374" i="10" s="1"/>
  <c r="AI375" i="10" s="1"/>
  <c r="AI376" i="10" s="1"/>
  <c r="AI377" i="10" s="1"/>
  <c r="AI378" i="10" s="1"/>
  <c r="AI379" i="10" s="1"/>
  <c r="AI380" i="10" s="1"/>
  <c r="AI381" i="10" s="1"/>
  <c r="AI382" i="10" s="1"/>
  <c r="AI383" i="10" s="1"/>
  <c r="AI384" i="10" s="1"/>
  <c r="AI385" i="10" s="1"/>
  <c r="AI386" i="10" s="1"/>
  <c r="AI387" i="10" s="1"/>
  <c r="AI388" i="10" s="1"/>
  <c r="AI389" i="10" s="1"/>
  <c r="AI390" i="10" s="1"/>
  <c r="AI391" i="10" s="1"/>
  <c r="AI392" i="10" s="1"/>
  <c r="AI393" i="10" s="1"/>
  <c r="AI394" i="10" s="1"/>
  <c r="AI395" i="10" s="1"/>
  <c r="AI396" i="10" s="1"/>
  <c r="AI397" i="10" s="1"/>
  <c r="AI398" i="10" s="1"/>
  <c r="AI399" i="10" s="1"/>
  <c r="AI400" i="10" s="1"/>
  <c r="AI401" i="10" s="1"/>
  <c r="AI402" i="10" s="1"/>
  <c r="S19" i="10"/>
  <c r="J8" i="4"/>
  <c r="H8" i="4"/>
  <c r="G8" i="4"/>
  <c r="G5" i="4"/>
  <c r="BA327" i="10"/>
  <c r="BA328" i="10" s="1"/>
  <c r="BA329" i="10" s="1"/>
  <c r="BA330" i="10" s="1"/>
  <c r="BA331" i="10" s="1"/>
  <c r="BA332" i="10" s="1"/>
  <c r="BA333" i="10" s="1"/>
  <c r="BA334" i="10" s="1"/>
  <c r="BA335" i="10" s="1"/>
  <c r="BA336" i="10" s="1"/>
  <c r="BA337" i="10" s="1"/>
  <c r="BA338" i="10" s="1"/>
  <c r="BA339" i="10" s="1"/>
  <c r="BA340" i="10" s="1"/>
  <c r="BA341" i="10" s="1"/>
  <c r="BA342" i="10" s="1"/>
  <c r="BA343" i="10" s="1"/>
  <c r="BA344" i="10" s="1"/>
  <c r="BA345" i="10" s="1"/>
  <c r="BA346" i="10" s="1"/>
  <c r="BA347" i="10" s="1"/>
  <c r="BA348" i="10" s="1"/>
  <c r="BA349" i="10" s="1"/>
  <c r="BA350" i="10" s="1"/>
  <c r="BA351" i="10" s="1"/>
  <c r="BA352" i="10" s="1"/>
  <c r="BA353" i="10" s="1"/>
  <c r="BA354" i="10" s="1"/>
  <c r="BA355" i="10" s="1"/>
  <c r="BA356" i="10" s="1"/>
  <c r="BA357" i="10" s="1"/>
  <c r="BA358" i="10" s="1"/>
  <c r="BA359" i="10" s="1"/>
  <c r="BA360" i="10" s="1"/>
  <c r="BA361" i="10" s="1"/>
  <c r="BA362" i="10" s="1"/>
  <c r="BA363" i="10" s="1"/>
  <c r="BA364" i="10" s="1"/>
  <c r="BA365" i="10" s="1"/>
  <c r="BA366" i="10" s="1"/>
  <c r="BA367" i="10" s="1"/>
  <c r="BA368" i="10" s="1"/>
  <c r="BA369" i="10" s="1"/>
  <c r="BA370" i="10" s="1"/>
  <c r="BA371" i="10" s="1"/>
  <c r="BA372" i="10" s="1"/>
  <c r="BA373" i="10" s="1"/>
  <c r="BA374" i="10" s="1"/>
  <c r="BA375" i="10" s="1"/>
  <c r="BA376" i="10" s="1"/>
  <c r="BA377" i="10" s="1"/>
  <c r="BA378" i="10" s="1"/>
  <c r="BA379" i="10" s="1"/>
  <c r="BA380" i="10" s="1"/>
  <c r="BA381" i="10" s="1"/>
  <c r="BA382" i="10" s="1"/>
  <c r="BA383" i="10" s="1"/>
  <c r="BA384" i="10" s="1"/>
  <c r="BA385" i="10" s="1"/>
  <c r="BA386" i="10" s="1"/>
  <c r="BA387" i="10" s="1"/>
  <c r="BA388" i="10" s="1"/>
  <c r="BA389" i="10" s="1"/>
  <c r="BA390" i="10" s="1"/>
  <c r="BA391" i="10" s="1"/>
  <c r="BA392" i="10" s="1"/>
  <c r="BA393" i="10" s="1"/>
  <c r="BA394" i="10" s="1"/>
  <c r="BA395" i="10" s="1"/>
  <c r="BA396" i="10" s="1"/>
  <c r="BA397" i="10" s="1"/>
  <c r="BA398" i="10" s="1"/>
  <c r="BA399" i="10" s="1"/>
  <c r="BA400" i="10" s="1"/>
  <c r="BA401" i="10" s="1"/>
  <c r="BA402" i="10" s="1"/>
  <c r="BA403" i="10" s="1"/>
  <c r="BA404" i="10" s="1"/>
  <c r="BA405" i="10" s="1"/>
  <c r="BA406" i="10" s="1"/>
  <c r="BA407" i="10" s="1"/>
  <c r="BA408" i="10" s="1"/>
  <c r="BA409" i="10" s="1"/>
  <c r="BA410" i="10" s="1"/>
  <c r="BA411" i="10" s="1"/>
  <c r="BA412" i="10" s="1"/>
  <c r="BA413" i="10" s="1"/>
  <c r="BA414" i="10" s="1"/>
  <c r="BA415" i="10" s="1"/>
  <c r="BA416" i="10" s="1"/>
  <c r="BA417" i="10" s="1"/>
  <c r="BA418" i="10" s="1"/>
  <c r="BA419" i="10" s="1"/>
  <c r="BA420" i="10" s="1"/>
  <c r="BA421" i="10" s="1"/>
  <c r="BA422" i="10" s="1"/>
  <c r="BA423" i="10" s="1"/>
  <c r="BA424" i="10" s="1"/>
  <c r="BA425" i="10" s="1"/>
  <c r="BA426" i="10" s="1"/>
  <c r="BA427" i="10" s="1"/>
  <c r="BA428" i="10" s="1"/>
  <c r="BA429" i="10" s="1"/>
  <c r="BA430" i="10" s="1"/>
  <c r="BA431" i="10" s="1"/>
  <c r="BA432" i="10" s="1"/>
  <c r="BA433" i="10" s="1"/>
  <c r="BA434" i="10" s="1"/>
  <c r="BA435" i="10" s="1"/>
  <c r="BA436" i="10" s="1"/>
  <c r="BA437" i="10" s="1"/>
  <c r="BA438" i="10" s="1"/>
  <c r="BA439" i="10" s="1"/>
  <c r="BA440" i="10" s="1"/>
  <c r="BA441" i="10" s="1"/>
  <c r="BA442" i="10" s="1"/>
  <c r="BA443" i="10" s="1"/>
  <c r="BA444" i="10" s="1"/>
  <c r="BA445" i="10" s="1"/>
  <c r="BA446" i="10" s="1"/>
  <c r="BA447" i="10" s="1"/>
  <c r="BA448" i="10" s="1"/>
  <c r="BA449" i="10" s="1"/>
  <c r="BA450" i="10" s="1"/>
  <c r="BA451" i="10" s="1"/>
  <c r="BA452" i="10" s="1"/>
  <c r="BA453" i="10" s="1"/>
  <c r="BA454" i="10" s="1"/>
  <c r="BA455" i="10" s="1"/>
  <c r="BA456" i="10" s="1"/>
  <c r="BA457" i="10" s="1"/>
  <c r="BA458" i="10" s="1"/>
  <c r="BA459" i="10" s="1"/>
  <c r="BA460" i="10" s="1"/>
  <c r="BA461" i="10" s="1"/>
  <c r="BA462" i="10" s="1"/>
  <c r="BA463" i="10" s="1"/>
  <c r="BA464" i="10" s="1"/>
  <c r="BA465" i="10" s="1"/>
  <c r="BA466" i="10" s="1"/>
  <c r="BA467" i="10" s="1"/>
  <c r="BA468" i="10" s="1"/>
  <c r="BA469" i="10" s="1"/>
  <c r="BA470" i="10" s="1"/>
  <c r="BA471" i="10" s="1"/>
  <c r="BA472" i="10" s="1"/>
  <c r="BA473" i="10" s="1"/>
  <c r="BA474" i="10" s="1"/>
  <c r="BA475" i="10" s="1"/>
  <c r="BA476" i="10" s="1"/>
  <c r="BA477" i="10" s="1"/>
  <c r="BA478" i="10" s="1"/>
  <c r="BA479" i="10" s="1"/>
  <c r="BA480" i="10" s="1"/>
  <c r="BA481" i="10" s="1"/>
  <c r="BA482" i="10" s="1"/>
  <c r="BA483" i="10" s="1"/>
  <c r="BA484" i="10" s="1"/>
  <c r="BA485" i="10" s="1"/>
  <c r="BA486" i="10" s="1"/>
  <c r="BA487" i="10" s="1"/>
  <c r="BA488" i="10" s="1"/>
  <c r="BA489" i="10" s="1"/>
  <c r="BA490" i="10" s="1"/>
  <c r="BA491" i="10" s="1"/>
  <c r="BA492" i="10" s="1"/>
  <c r="BA493" i="10" s="1"/>
  <c r="BA494" i="10" s="1"/>
  <c r="BA495" i="10" s="1"/>
  <c r="BA496" i="10" s="1"/>
  <c r="BA497" i="10" s="1"/>
  <c r="BA498" i="10" s="1"/>
  <c r="BA499" i="10" s="1"/>
  <c r="BA500" i="10" s="1"/>
  <c r="BA501" i="10" s="1"/>
  <c r="BA502" i="10" s="1"/>
  <c r="BA503" i="10" s="1"/>
  <c r="BA504" i="10" s="1"/>
  <c r="BA505" i="10" s="1"/>
  <c r="BA506" i="10" s="1"/>
  <c r="BA507" i="10" s="1"/>
  <c r="BA508" i="10" s="1"/>
  <c r="BA509" i="10" s="1"/>
  <c r="BA510" i="10" s="1"/>
  <c r="BA511" i="10" s="1"/>
  <c r="BA512" i="10" s="1"/>
  <c r="BA513" i="10" s="1"/>
  <c r="BA514" i="10" s="1"/>
  <c r="BA515" i="10" s="1"/>
  <c r="BA516" i="10" s="1"/>
  <c r="BA517" i="10" s="1"/>
  <c r="BA518" i="10" s="1"/>
  <c r="BA519" i="10" s="1"/>
  <c r="BA520" i="10" s="1"/>
  <c r="BA521" i="10" s="1"/>
  <c r="BA522" i="10" s="1"/>
  <c r="BA523" i="10" s="1"/>
  <c r="BA524" i="10" s="1"/>
  <c r="BA525" i="10" s="1"/>
  <c r="BA526" i="10" s="1"/>
  <c r="BA527" i="10" s="1"/>
  <c r="BA528" i="10" s="1"/>
  <c r="BA529" i="10" s="1"/>
  <c r="BA530" i="10" s="1"/>
  <c r="BA531" i="10" s="1"/>
  <c r="BA532" i="10" s="1"/>
  <c r="BA533" i="10" s="1"/>
  <c r="BA534" i="10" s="1"/>
  <c r="BA535" i="10" s="1"/>
  <c r="BA536" i="10" s="1"/>
  <c r="BA537" i="10" s="1"/>
  <c r="BA538" i="10" s="1"/>
  <c r="BA539" i="10" s="1"/>
  <c r="BA540" i="10" s="1"/>
  <c r="BA541" i="10" s="1"/>
  <c r="BA542" i="10" s="1"/>
  <c r="BA543" i="10" s="1"/>
  <c r="BA544" i="10" s="1"/>
  <c r="BA545" i="10" s="1"/>
  <c r="BA546" i="10" s="1"/>
  <c r="BA547" i="10" s="1"/>
  <c r="BA548" i="10" s="1"/>
  <c r="BA549" i="10" s="1"/>
  <c r="BA550" i="10" s="1"/>
  <c r="BA551" i="10" s="1"/>
  <c r="BA552" i="10" s="1"/>
  <c r="BA553" i="10" s="1"/>
  <c r="BA554" i="10" s="1"/>
  <c r="BA555" i="10" s="1"/>
  <c r="BA556" i="10" s="1"/>
  <c r="BA557" i="10" s="1"/>
  <c r="BA558" i="10" s="1"/>
  <c r="BA559" i="10" s="1"/>
  <c r="BA560" i="10" s="1"/>
  <c r="BA561" i="10" s="1"/>
  <c r="BA562" i="10" s="1"/>
  <c r="BA563" i="10" s="1"/>
  <c r="BA564" i="10" s="1"/>
  <c r="BA565" i="10" s="1"/>
  <c r="BA566" i="10" s="1"/>
  <c r="BA567" i="10" s="1"/>
  <c r="BA568" i="10" s="1"/>
  <c r="BA569" i="10" s="1"/>
  <c r="BA570" i="10" s="1"/>
  <c r="BA571" i="10" s="1"/>
  <c r="BA572" i="10" s="1"/>
  <c r="BA573" i="10" s="1"/>
  <c r="BA574" i="10" s="1"/>
  <c r="BA575" i="10" s="1"/>
  <c r="BA576" i="10" s="1"/>
  <c r="BA577" i="10" s="1"/>
  <c r="BA578" i="10" s="1"/>
  <c r="BA579" i="10" s="1"/>
  <c r="BA580" i="10" s="1"/>
  <c r="BA581" i="10" s="1"/>
  <c r="BA582" i="10" s="1"/>
  <c r="BA583" i="10" s="1"/>
  <c r="BA584" i="10" s="1"/>
  <c r="BA585" i="10" s="1"/>
  <c r="BA586" i="10" s="1"/>
  <c r="BA587" i="10" s="1"/>
  <c r="BA588" i="10" s="1"/>
  <c r="BA589" i="10" s="1"/>
  <c r="BA590" i="10" s="1"/>
  <c r="BA591" i="10" s="1"/>
  <c r="BA592" i="10" s="1"/>
  <c r="BA593" i="10" s="1"/>
  <c r="BA594" i="10" s="1"/>
  <c r="BA595" i="10" s="1"/>
  <c r="BA596" i="10" s="1"/>
  <c r="BA597" i="10" s="1"/>
  <c r="BA598" i="10" s="1"/>
  <c r="BA599" i="10" s="1"/>
  <c r="BA600" i="10" s="1"/>
  <c r="BA601" i="10" s="1"/>
  <c r="BA602" i="10" s="1"/>
  <c r="BA603" i="10" s="1"/>
  <c r="BA604" i="10" s="1"/>
  <c r="BA605" i="10" s="1"/>
  <c r="BA606" i="10" s="1"/>
  <c r="BA607" i="10" s="1"/>
  <c r="BA608" i="10" s="1"/>
  <c r="BA609" i="10" s="1"/>
  <c r="BA610" i="10" s="1"/>
  <c r="BA611" i="10" s="1"/>
  <c r="BA612" i="10" s="1"/>
  <c r="BA613" i="10" s="1"/>
  <c r="BA614" i="10" s="1"/>
  <c r="BA615" i="10" s="1"/>
  <c r="BA616" i="10" s="1"/>
  <c r="BA617" i="10" s="1"/>
  <c r="BA618" i="10" s="1"/>
  <c r="BA619" i="10" s="1"/>
  <c r="BA620" i="10" s="1"/>
  <c r="BA621" i="10" s="1"/>
  <c r="BA622" i="10" s="1"/>
  <c r="BA623" i="10" s="1"/>
  <c r="BA624" i="10" s="1"/>
  <c r="BA625" i="10" s="1"/>
  <c r="BA626" i="10" s="1"/>
  <c r="BA627" i="10" s="1"/>
  <c r="BS327" i="10"/>
  <c r="BS328" i="10" s="1"/>
  <c r="BS329" i="10" s="1"/>
  <c r="BS330" i="10" s="1"/>
  <c r="BS331" i="10" s="1"/>
  <c r="BS332" i="10" s="1"/>
  <c r="BS333" i="10" s="1"/>
  <c r="BS334" i="10" s="1"/>
  <c r="BS335" i="10" s="1"/>
  <c r="BS336" i="10" s="1"/>
  <c r="BS337" i="10" s="1"/>
  <c r="BS338" i="10" s="1"/>
  <c r="BS339" i="10" s="1"/>
  <c r="BS340" i="10" s="1"/>
  <c r="BS341" i="10" s="1"/>
  <c r="BS342" i="10" s="1"/>
  <c r="BS343" i="10" s="1"/>
  <c r="BS344" i="10" s="1"/>
  <c r="BS345" i="10" s="1"/>
  <c r="BS346" i="10" s="1"/>
  <c r="BS347" i="10" s="1"/>
  <c r="BS348" i="10" s="1"/>
  <c r="BS349" i="10" s="1"/>
  <c r="BS350" i="10" s="1"/>
  <c r="BS351" i="10" s="1"/>
  <c r="BS352" i="10" s="1"/>
  <c r="BS353" i="10" s="1"/>
  <c r="BS354" i="10" s="1"/>
  <c r="BS355" i="10" s="1"/>
  <c r="BS356" i="10" s="1"/>
  <c r="BS357" i="10" s="1"/>
  <c r="BS358" i="10" s="1"/>
  <c r="BS359" i="10" s="1"/>
  <c r="BS360" i="10" s="1"/>
  <c r="BS361" i="10" s="1"/>
  <c r="BS362" i="10" s="1"/>
  <c r="BS363" i="10" s="1"/>
  <c r="BS364" i="10" s="1"/>
  <c r="BS365" i="10" s="1"/>
  <c r="BS366" i="10" s="1"/>
  <c r="BS367" i="10" s="1"/>
  <c r="BS368" i="10" s="1"/>
  <c r="BS369" i="10" s="1"/>
  <c r="BS370" i="10" s="1"/>
  <c r="BS371" i="10" s="1"/>
  <c r="BS372" i="10" s="1"/>
  <c r="BS373" i="10" s="1"/>
  <c r="BS374" i="10" s="1"/>
  <c r="BS375" i="10" s="1"/>
  <c r="BS376" i="10" s="1"/>
  <c r="BS377" i="10" s="1"/>
  <c r="BS378" i="10" s="1"/>
  <c r="BS379" i="10" s="1"/>
  <c r="BS380" i="10" s="1"/>
  <c r="BS381" i="10" s="1"/>
  <c r="BS382" i="10" s="1"/>
  <c r="BS383" i="10" s="1"/>
  <c r="BS384" i="10" s="1"/>
  <c r="BS385" i="10" s="1"/>
  <c r="BS386" i="10" s="1"/>
  <c r="BS387" i="10" s="1"/>
  <c r="BS388" i="10" s="1"/>
  <c r="BS389" i="10" s="1"/>
  <c r="BS390" i="10" s="1"/>
  <c r="BS391" i="10" s="1"/>
  <c r="BS392" i="10" s="1"/>
  <c r="BS393" i="10" s="1"/>
  <c r="BS394" i="10" s="1"/>
  <c r="BS395" i="10" s="1"/>
  <c r="BS396" i="10" s="1"/>
  <c r="BS397" i="10" s="1"/>
  <c r="BS398" i="10" s="1"/>
  <c r="BS399" i="10" s="1"/>
  <c r="BS400" i="10" s="1"/>
  <c r="BS401" i="10" s="1"/>
  <c r="BS402" i="10" s="1"/>
  <c r="BT327" i="10"/>
  <c r="BC328" i="10"/>
  <c r="BD328" i="10" s="1"/>
  <c r="BA16" i="10"/>
  <c r="BA17" i="10" s="1"/>
  <c r="BA18" i="10" s="1"/>
  <c r="BA19" i="10" s="1"/>
  <c r="BA20" i="10" s="1"/>
  <c r="BA21" i="10" s="1"/>
  <c r="BA22" i="10" s="1"/>
  <c r="BA23" i="10" s="1"/>
  <c r="BA24" i="10" s="1"/>
  <c r="BA25" i="10" s="1"/>
  <c r="BA26" i="10" s="1"/>
  <c r="BA27" i="10" s="1"/>
  <c r="BA28" i="10" s="1"/>
  <c r="BA29" i="10" s="1"/>
  <c r="BA30" i="10" s="1"/>
  <c r="BA31" i="10" s="1"/>
  <c r="BA32" i="10" s="1"/>
  <c r="BA33" i="10" s="1"/>
  <c r="BA34" i="10" s="1"/>
  <c r="BA35" i="10" s="1"/>
  <c r="BA36" i="10" s="1"/>
  <c r="BA37" i="10" s="1"/>
  <c r="BA38" i="10" s="1"/>
  <c r="BA39" i="10" s="1"/>
  <c r="BA40" i="10" s="1"/>
  <c r="BA41" i="10" s="1"/>
  <c r="BA42" i="10" s="1"/>
  <c r="BA43" i="10" s="1"/>
  <c r="BA44" i="10" s="1"/>
  <c r="BA45" i="10" s="1"/>
  <c r="BA46" i="10" s="1"/>
  <c r="BA47" i="10" s="1"/>
  <c r="BA48" i="10" s="1"/>
  <c r="BA49" i="10" s="1"/>
  <c r="BA50" i="10" s="1"/>
  <c r="BA51" i="10" s="1"/>
  <c r="BA52" i="10" s="1"/>
  <c r="BA53" i="10" s="1"/>
  <c r="BA54" i="10" s="1"/>
  <c r="BA55" i="10" s="1"/>
  <c r="BA56" i="10" s="1"/>
  <c r="BA57" i="10" s="1"/>
  <c r="BA58" i="10" s="1"/>
  <c r="BA59" i="10" s="1"/>
  <c r="BA60" i="10" s="1"/>
  <c r="BA61" i="10" s="1"/>
  <c r="BA62" i="10" s="1"/>
  <c r="BA63" i="10" s="1"/>
  <c r="BA64" i="10" s="1"/>
  <c r="BA65" i="10" s="1"/>
  <c r="BA66" i="10" s="1"/>
  <c r="BA67" i="10" s="1"/>
  <c r="BA68" i="10" s="1"/>
  <c r="BA69" i="10" s="1"/>
  <c r="BA70" i="10" s="1"/>
  <c r="BA71" i="10" s="1"/>
  <c r="BA72" i="10" s="1"/>
  <c r="BA73" i="10" s="1"/>
  <c r="BA74" i="10" s="1"/>
  <c r="BA75" i="10" s="1"/>
  <c r="BA76" i="10" s="1"/>
  <c r="BA77" i="10" s="1"/>
  <c r="BA78" i="10" s="1"/>
  <c r="BA79" i="10" s="1"/>
  <c r="BA80" i="10" s="1"/>
  <c r="BA81" i="10" s="1"/>
  <c r="BA82" i="10" s="1"/>
  <c r="BA83" i="10" s="1"/>
  <c r="BA84" i="10" s="1"/>
  <c r="BA85" i="10" s="1"/>
  <c r="BA86" i="10" s="1"/>
  <c r="BA87" i="10" s="1"/>
  <c r="BA88" i="10" s="1"/>
  <c r="BA89" i="10" s="1"/>
  <c r="BA90" i="10" s="1"/>
  <c r="BA91" i="10" s="1"/>
  <c r="BA92" i="10" s="1"/>
  <c r="BA93" i="10" s="1"/>
  <c r="BA94" i="10" s="1"/>
  <c r="BA95" i="10" s="1"/>
  <c r="BA96" i="10" s="1"/>
  <c r="BA97" i="10" s="1"/>
  <c r="BA98" i="10" s="1"/>
  <c r="BA99" i="10" s="1"/>
  <c r="BA100" i="10" s="1"/>
  <c r="BA101" i="10" s="1"/>
  <c r="BA102" i="10" s="1"/>
  <c r="BA103" i="10" s="1"/>
  <c r="BA104" i="10" s="1"/>
  <c r="BA105" i="10" s="1"/>
  <c r="BA106" i="10" s="1"/>
  <c r="BA107" i="10" s="1"/>
  <c r="BA108" i="10" s="1"/>
  <c r="BA109" i="10" s="1"/>
  <c r="BA110" i="10" s="1"/>
  <c r="BA111" i="10" s="1"/>
  <c r="BA112" i="10" s="1"/>
  <c r="BA113" i="10" s="1"/>
  <c r="BA114" i="10" s="1"/>
  <c r="BA115" i="10" s="1"/>
  <c r="BA116" i="10" s="1"/>
  <c r="BA117" i="10" s="1"/>
  <c r="BA118" i="10" s="1"/>
  <c r="BA119" i="10" s="1"/>
  <c r="BA120" i="10" s="1"/>
  <c r="BA121" i="10" s="1"/>
  <c r="BA122" i="10" s="1"/>
  <c r="BA123" i="10" s="1"/>
  <c r="BA124" i="10" s="1"/>
  <c r="BA125" i="10" s="1"/>
  <c r="BA126" i="10" s="1"/>
  <c r="BA127" i="10" s="1"/>
  <c r="BA128" i="10" s="1"/>
  <c r="BA129" i="10" s="1"/>
  <c r="BA130" i="10" s="1"/>
  <c r="BA131" i="10" s="1"/>
  <c r="BA132" i="10" s="1"/>
  <c r="BA133" i="10" s="1"/>
  <c r="BA134" i="10" s="1"/>
  <c r="BA135" i="10" s="1"/>
  <c r="BA136" i="10" s="1"/>
  <c r="BA137" i="10" s="1"/>
  <c r="BA138" i="10" s="1"/>
  <c r="BA139" i="10" s="1"/>
  <c r="BA140" i="10" s="1"/>
  <c r="BA141" i="10" s="1"/>
  <c r="BA142" i="10" s="1"/>
  <c r="BA143" i="10" s="1"/>
  <c r="BA144" i="10" s="1"/>
  <c r="BA145" i="10" s="1"/>
  <c r="BA146" i="10" s="1"/>
  <c r="BA147" i="10" s="1"/>
  <c r="BA148" i="10" s="1"/>
  <c r="BA149" i="10" s="1"/>
  <c r="BA150" i="10" s="1"/>
  <c r="BA151" i="10" s="1"/>
  <c r="BA152" i="10" s="1"/>
  <c r="BA153" i="10" s="1"/>
  <c r="BA154" i="10" s="1"/>
  <c r="BA155" i="10" s="1"/>
  <c r="BA156" i="10" s="1"/>
  <c r="BA157" i="10" s="1"/>
  <c r="BA158" i="10" s="1"/>
  <c r="BA159" i="10" s="1"/>
  <c r="BA160" i="10" s="1"/>
  <c r="BA161" i="10" s="1"/>
  <c r="BA162" i="10" s="1"/>
  <c r="BA163" i="10" s="1"/>
  <c r="BA164" i="10" s="1"/>
  <c r="BA165" i="10" s="1"/>
  <c r="BA166" i="10" s="1"/>
  <c r="BA167" i="10" s="1"/>
  <c r="BA168" i="10" s="1"/>
  <c r="BA169" i="10" s="1"/>
  <c r="BA170" i="10" s="1"/>
  <c r="BA171" i="10" s="1"/>
  <c r="BA172" i="10" s="1"/>
  <c r="BA173" i="10" s="1"/>
  <c r="BA174" i="10" s="1"/>
  <c r="BA175" i="10" s="1"/>
  <c r="BA176" i="10" s="1"/>
  <c r="BA177" i="10" s="1"/>
  <c r="BA178" i="10" s="1"/>
  <c r="BA179" i="10" s="1"/>
  <c r="BA180" i="10" s="1"/>
  <c r="BA181" i="10" s="1"/>
  <c r="BA182" i="10" s="1"/>
  <c r="BA183" i="10" s="1"/>
  <c r="BA184" i="10" s="1"/>
  <c r="BA185" i="10" s="1"/>
  <c r="BA186" i="10" s="1"/>
  <c r="BA187" i="10" s="1"/>
  <c r="BA188" i="10" s="1"/>
  <c r="BA189" i="10" s="1"/>
  <c r="BA190" i="10" s="1"/>
  <c r="BA191" i="10" s="1"/>
  <c r="BA192" i="10" s="1"/>
  <c r="BA193" i="10" s="1"/>
  <c r="BA194" i="10" s="1"/>
  <c r="BA195" i="10" s="1"/>
  <c r="BA196" i="10" s="1"/>
  <c r="BA197" i="10" s="1"/>
  <c r="BA198" i="10" s="1"/>
  <c r="BA199" i="10" s="1"/>
  <c r="BA200" i="10" s="1"/>
  <c r="BA201" i="10" s="1"/>
  <c r="BA202" i="10" s="1"/>
  <c r="BA203" i="10" s="1"/>
  <c r="BA204" i="10" s="1"/>
  <c r="BA205" i="10" s="1"/>
  <c r="BA206" i="10" s="1"/>
  <c r="BA207" i="10" s="1"/>
  <c r="BA208" i="10" s="1"/>
  <c r="BA209" i="10" s="1"/>
  <c r="BA210" i="10" s="1"/>
  <c r="BA211" i="10" s="1"/>
  <c r="BA212" i="10" s="1"/>
  <c r="BA213" i="10" s="1"/>
  <c r="BA214" i="10" s="1"/>
  <c r="BA215" i="10" s="1"/>
  <c r="BA216" i="10" s="1"/>
  <c r="BA217" i="10" s="1"/>
  <c r="BA218" i="10" s="1"/>
  <c r="BA219" i="10" s="1"/>
  <c r="BA220" i="10" s="1"/>
  <c r="BA221" i="10" s="1"/>
  <c r="BA222" i="10" s="1"/>
  <c r="BA223" i="10" s="1"/>
  <c r="BA224" i="10" s="1"/>
  <c r="BA225" i="10" s="1"/>
  <c r="BA226" i="10" s="1"/>
  <c r="BA227" i="10" s="1"/>
  <c r="BA228" i="10" s="1"/>
  <c r="BA229" i="10" s="1"/>
  <c r="BA230" i="10" s="1"/>
  <c r="BA231" i="10" s="1"/>
  <c r="BA232" i="10" s="1"/>
  <c r="BA233" i="10" s="1"/>
  <c r="BA234" i="10" s="1"/>
  <c r="BA235" i="10" s="1"/>
  <c r="BA236" i="10" s="1"/>
  <c r="BA237" i="10" s="1"/>
  <c r="BA238" i="10" s="1"/>
  <c r="BA239" i="10" s="1"/>
  <c r="BA240" i="10" s="1"/>
  <c r="BA241" i="10" s="1"/>
  <c r="BA242" i="10" s="1"/>
  <c r="BA243" i="10" s="1"/>
  <c r="BA244" i="10" s="1"/>
  <c r="BA245" i="10" s="1"/>
  <c r="BA246" i="10" s="1"/>
  <c r="BA247" i="10" s="1"/>
  <c r="BA248" i="10" s="1"/>
  <c r="BA249" i="10" s="1"/>
  <c r="BA250" i="10" s="1"/>
  <c r="BA251" i="10" s="1"/>
  <c r="BA252" i="10" s="1"/>
  <c r="BA253" i="10" s="1"/>
  <c r="BA254" i="10" s="1"/>
  <c r="BA255" i="10" s="1"/>
  <c r="BA256" i="10" s="1"/>
  <c r="BA257" i="10" s="1"/>
  <c r="BA258" i="10" s="1"/>
  <c r="BA259" i="10" s="1"/>
  <c r="BA260" i="10" s="1"/>
  <c r="BA261" i="10" s="1"/>
  <c r="BA262" i="10" s="1"/>
  <c r="BA263" i="10" s="1"/>
  <c r="BA264" i="10" s="1"/>
  <c r="BA265" i="10" s="1"/>
  <c r="BA266" i="10" s="1"/>
  <c r="BA267" i="10" s="1"/>
  <c r="BA268" i="10" s="1"/>
  <c r="BA269" i="10" s="1"/>
  <c r="BA270" i="10" s="1"/>
  <c r="BA271" i="10" s="1"/>
  <c r="BA272" i="10" s="1"/>
  <c r="BA273" i="10" s="1"/>
  <c r="BA274" i="10" s="1"/>
  <c r="BA275" i="10" s="1"/>
  <c r="BA276" i="10" s="1"/>
  <c r="BA277" i="10" s="1"/>
  <c r="BA278" i="10" s="1"/>
  <c r="BA279" i="10" s="1"/>
  <c r="BA280" i="10" s="1"/>
  <c r="BA281" i="10" s="1"/>
  <c r="BA282" i="10" s="1"/>
  <c r="BA283" i="10" s="1"/>
  <c r="BA284" i="10" s="1"/>
  <c r="BA285" i="10" s="1"/>
  <c r="BA286" i="10" s="1"/>
  <c r="BA287" i="10" s="1"/>
  <c r="BA288" i="10" s="1"/>
  <c r="BA289" i="10" s="1"/>
  <c r="BA290" i="10" s="1"/>
  <c r="BA291" i="10" s="1"/>
  <c r="BA292" i="10" s="1"/>
  <c r="BA293" i="10" s="1"/>
  <c r="BA294" i="10" s="1"/>
  <c r="BA295" i="10" s="1"/>
  <c r="BA296" i="10" s="1"/>
  <c r="BA297" i="10" s="1"/>
  <c r="BA298" i="10" s="1"/>
  <c r="BA299" i="10" s="1"/>
  <c r="BA300" i="10" s="1"/>
  <c r="BA301" i="10" s="1"/>
  <c r="BA302" i="10" s="1"/>
  <c r="BA303" i="10" s="1"/>
  <c r="BA304" i="10" s="1"/>
  <c r="BA305" i="10" s="1"/>
  <c r="BA306" i="10" s="1"/>
  <c r="BA307" i="10" s="1"/>
  <c r="BA308" i="10" s="1"/>
  <c r="BA309" i="10" s="1"/>
  <c r="BA310" i="10" s="1"/>
  <c r="BA311" i="10" s="1"/>
  <c r="BA312" i="10" s="1"/>
  <c r="BA313" i="10" s="1"/>
  <c r="BA314" i="10" s="1"/>
  <c r="BA315" i="10" s="1"/>
  <c r="BA316" i="10" s="1"/>
  <c r="B5" i="5"/>
  <c r="B4" i="5" s="1"/>
  <c r="J5" i="4"/>
  <c r="F5" i="4"/>
  <c r="E5" i="4"/>
  <c r="I5" i="4"/>
  <c r="F6" i="5"/>
  <c r="D5" i="4"/>
  <c r="Z16" i="10"/>
  <c r="Z17" i="10" s="1"/>
  <c r="Z18" i="10" s="1"/>
  <c r="Z19" i="10" s="1"/>
  <c r="Z20" i="10" s="1"/>
  <c r="Z21" i="10" s="1"/>
  <c r="Z22" i="10" s="1"/>
  <c r="Z23" i="10" s="1"/>
  <c r="Z24" i="10" s="1"/>
  <c r="Z25" i="10" s="1"/>
  <c r="Z26" i="10" s="1"/>
  <c r="Z27" i="10" s="1"/>
  <c r="Z28" i="10" s="1"/>
  <c r="Z29" i="10" s="1"/>
  <c r="Z30" i="10" s="1"/>
  <c r="Z31" i="10" s="1"/>
  <c r="Z32" i="10" s="1"/>
  <c r="Z33" i="10" s="1"/>
  <c r="Z34" i="10" s="1"/>
  <c r="Z35" i="10" s="1"/>
  <c r="Z36" i="10" s="1"/>
  <c r="Z37" i="10" s="1"/>
  <c r="Z38" i="10" s="1"/>
  <c r="Z39" i="10" s="1"/>
  <c r="Z40" i="10" s="1"/>
  <c r="Z41" i="10" s="1"/>
  <c r="Z42" i="10" s="1"/>
  <c r="Z43" i="10" s="1"/>
  <c r="Z44" i="10" s="1"/>
  <c r="Z45" i="10" s="1"/>
  <c r="Z46" i="10" s="1"/>
  <c r="Z47" i="10" s="1"/>
  <c r="Z48" i="10" s="1"/>
  <c r="Z49" i="10" s="1"/>
  <c r="Z50" i="10" s="1"/>
  <c r="Z51" i="10" s="1"/>
  <c r="Z52" i="10" s="1"/>
  <c r="Z53" i="10" s="1"/>
  <c r="Z54" i="10" s="1"/>
  <c r="Z55" i="10" s="1"/>
  <c r="Z56" i="10" s="1"/>
  <c r="Z57" i="10" s="1"/>
  <c r="Z58" i="10" s="1"/>
  <c r="Z59" i="10" s="1"/>
  <c r="Z60" i="10" s="1"/>
  <c r="Z61" i="10" s="1"/>
  <c r="Z62" i="10" s="1"/>
  <c r="Z63" i="10" s="1"/>
  <c r="Z64" i="10" s="1"/>
  <c r="Z65" i="10" s="1"/>
  <c r="Z66" i="10" s="1"/>
  <c r="BK327" i="10"/>
  <c r="Q15" i="10"/>
  <c r="D4" i="6"/>
  <c r="M4" i="6" s="1"/>
  <c r="P19" i="10"/>
  <c r="Q19" i="10"/>
  <c r="T19" i="10"/>
  <c r="R19" i="10"/>
  <c r="H29" i="7"/>
  <c r="DL16" i="10"/>
  <c r="DL17" i="10" s="1"/>
  <c r="DL18" i="10" s="1"/>
  <c r="DL19" i="10" s="1"/>
  <c r="DL20" i="10" s="1"/>
  <c r="DL21" i="10" s="1"/>
  <c r="DL22" i="10" s="1"/>
  <c r="DL23" i="10" s="1"/>
  <c r="DL24" i="10" s="1"/>
  <c r="DL25" i="10" s="1"/>
  <c r="DL26" i="10" s="1"/>
  <c r="DL27" i="10" s="1"/>
  <c r="DL28" i="10" s="1"/>
  <c r="DL29" i="10" s="1"/>
  <c r="DL30" i="10" s="1"/>
  <c r="DL31" i="10" s="1"/>
  <c r="DL32" i="10" s="1"/>
  <c r="DL33" i="10" s="1"/>
  <c r="DL34" i="10" s="1"/>
  <c r="DL35" i="10" s="1"/>
  <c r="DL36" i="10" s="1"/>
  <c r="DL37" i="10" s="1"/>
  <c r="DL38" i="10" s="1"/>
  <c r="DL39" i="10" s="1"/>
  <c r="DL40" i="10" s="1"/>
  <c r="DL41" i="10" s="1"/>
  <c r="DL42" i="10" s="1"/>
  <c r="DL43" i="10" s="1"/>
  <c r="DL44" i="10" s="1"/>
  <c r="DL45" i="10" s="1"/>
  <c r="DL46" i="10" s="1"/>
  <c r="DL47" i="10" s="1"/>
  <c r="DL48" i="10" s="1"/>
  <c r="DL49" i="10" s="1"/>
  <c r="DL50" i="10" s="1"/>
  <c r="DL51" i="10" s="1"/>
  <c r="DL52" i="10" s="1"/>
  <c r="DL53" i="10" s="1"/>
  <c r="DL54" i="10" s="1"/>
  <c r="DL55" i="10" s="1"/>
  <c r="DL56" i="10" s="1"/>
  <c r="DL57" i="10" s="1"/>
  <c r="DL58" i="10" s="1"/>
  <c r="DL59" i="10" s="1"/>
  <c r="DL60" i="10" s="1"/>
  <c r="DL61" i="10" s="1"/>
  <c r="DL62" i="10" s="1"/>
  <c r="DL63" i="10" s="1"/>
  <c r="DL64" i="10" s="1"/>
  <c r="DL65" i="10" s="1"/>
  <c r="DL66" i="10" s="1"/>
  <c r="DL67" i="10" s="1"/>
  <c r="DL68" i="10" s="1"/>
  <c r="DL69" i="10" s="1"/>
  <c r="DL70" i="10" s="1"/>
  <c r="DL71" i="10" s="1"/>
  <c r="DL72" i="10" s="1"/>
  <c r="DL73" i="10" s="1"/>
  <c r="DL74" i="10" s="1"/>
  <c r="DL75" i="10" s="1"/>
  <c r="DL76" i="10" s="1"/>
  <c r="DL77" i="10" s="1"/>
  <c r="DL78" i="10" s="1"/>
  <c r="DL79" i="10" s="1"/>
  <c r="DL80" i="10" s="1"/>
  <c r="DL81" i="10" s="1"/>
  <c r="DL82" i="10" s="1"/>
  <c r="DL83" i="10" s="1"/>
  <c r="DL84" i="10" s="1"/>
  <c r="DL85" i="10" s="1"/>
  <c r="DL86" i="10" s="1"/>
  <c r="DL87" i="10" s="1"/>
  <c r="DL88" i="10" s="1"/>
  <c r="DL89" i="10" s="1"/>
  <c r="DL90" i="10" s="1"/>
  <c r="DL91" i="10" s="1"/>
  <c r="DL92" i="10" s="1"/>
  <c r="DL93" i="10" s="1"/>
  <c r="DL94" i="10" s="1"/>
  <c r="DL95" i="10" s="1"/>
  <c r="DL96" i="10" s="1"/>
  <c r="DL97" i="10" s="1"/>
  <c r="DL98" i="10" s="1"/>
  <c r="DL99" i="10" s="1"/>
  <c r="DL100" i="10" s="1"/>
  <c r="DL101" i="10" s="1"/>
  <c r="DL102" i="10" s="1"/>
  <c r="DL103" i="10" s="1"/>
  <c r="DL104" i="10" s="1"/>
  <c r="DL105" i="10" s="1"/>
  <c r="DL106" i="10" s="1"/>
  <c r="DL107" i="10" s="1"/>
  <c r="DL108" i="10" s="1"/>
  <c r="DL109" i="10" s="1"/>
  <c r="DL110" i="10" s="1"/>
  <c r="DL111" i="10" s="1"/>
  <c r="DL112" i="10" s="1"/>
  <c r="DL113" i="10" s="1"/>
  <c r="DL114" i="10" s="1"/>
  <c r="DL115" i="10" s="1"/>
  <c r="DL116" i="10" s="1"/>
  <c r="DL117" i="10" s="1"/>
  <c r="DL118" i="10" s="1"/>
  <c r="DL119" i="10" s="1"/>
  <c r="DL120" i="10" s="1"/>
  <c r="DL121" i="10" s="1"/>
  <c r="DL122" i="10" s="1"/>
  <c r="DL123" i="10" s="1"/>
  <c r="DL124" i="10" s="1"/>
  <c r="DL125" i="10" s="1"/>
  <c r="DL126" i="10" s="1"/>
  <c r="DL127" i="10" s="1"/>
  <c r="DL128" i="10" s="1"/>
  <c r="DL129" i="10" s="1"/>
  <c r="DL130" i="10" s="1"/>
  <c r="DL131" i="10" s="1"/>
  <c r="DL132" i="10" s="1"/>
  <c r="DL133" i="10" s="1"/>
  <c r="DL134" i="10" s="1"/>
  <c r="DL135" i="10" s="1"/>
  <c r="DL136" i="10" s="1"/>
  <c r="DL137" i="10" s="1"/>
  <c r="DL138" i="10" s="1"/>
  <c r="DL139" i="10" s="1"/>
  <c r="DL140" i="10" s="1"/>
  <c r="DL141" i="10" s="1"/>
  <c r="DL142" i="10" s="1"/>
  <c r="DL143" i="10" s="1"/>
  <c r="DL144" i="10" s="1"/>
  <c r="DL145" i="10" s="1"/>
  <c r="DL146" i="10" s="1"/>
  <c r="DL147" i="10" s="1"/>
  <c r="DL148" i="10" s="1"/>
  <c r="DL149" i="10" s="1"/>
  <c r="DL150" i="10" s="1"/>
  <c r="DL151" i="10" s="1"/>
  <c r="DL152" i="10" s="1"/>
  <c r="DL153" i="10" s="1"/>
  <c r="DL154" i="10" s="1"/>
  <c r="DL155" i="10" s="1"/>
  <c r="DL156" i="10" s="1"/>
  <c r="DL157" i="10" s="1"/>
  <c r="DL158" i="10" s="1"/>
  <c r="DL159" i="10" s="1"/>
  <c r="DL160" i="10" s="1"/>
  <c r="DL161" i="10" s="1"/>
  <c r="DL162" i="10" s="1"/>
  <c r="DL163" i="10" s="1"/>
  <c r="DL164" i="10" s="1"/>
  <c r="DL165" i="10" s="1"/>
  <c r="DL166" i="10" s="1"/>
  <c r="DN17" i="10"/>
  <c r="DO17" i="10" s="1"/>
  <c r="CD328" i="10"/>
  <c r="CC328" i="10" s="1"/>
  <c r="BL17" i="10"/>
  <c r="BM17" i="10" s="1"/>
  <c r="BL328" i="10"/>
  <c r="BM328" i="10" s="1"/>
  <c r="AJ16" i="10"/>
  <c r="CL16" i="10"/>
  <c r="DU16" i="10"/>
  <c r="DU17" i="10" s="1"/>
  <c r="DU18" i="10" s="1"/>
  <c r="DU19" i="10" s="1"/>
  <c r="DU20" i="10" s="1"/>
  <c r="DU21" i="10" s="1"/>
  <c r="DU22" i="10" s="1"/>
  <c r="DU23" i="10" s="1"/>
  <c r="DU24" i="10" s="1"/>
  <c r="DU25" i="10" s="1"/>
  <c r="DU26" i="10" s="1"/>
  <c r="DU27" i="10" s="1"/>
  <c r="DU28" i="10" s="1"/>
  <c r="DU29" i="10" s="1"/>
  <c r="DU30" i="10" s="1"/>
  <c r="DU31" i="10" s="1"/>
  <c r="DU32" i="10" s="1"/>
  <c r="DU33" i="10" s="1"/>
  <c r="DU34" i="10" s="1"/>
  <c r="DU35" i="10" s="1"/>
  <c r="DU36" i="10" s="1"/>
  <c r="DU37" i="10" s="1"/>
  <c r="DU38" i="10" s="1"/>
  <c r="DU39" i="10" s="1"/>
  <c r="DU40" i="10" s="1"/>
  <c r="DU41" i="10" s="1"/>
  <c r="DU42" i="10" s="1"/>
  <c r="DU43" i="10" s="1"/>
  <c r="DU44" i="10" s="1"/>
  <c r="DU45" i="10" s="1"/>
  <c r="DU46" i="10" s="1"/>
  <c r="DU47" i="10" s="1"/>
  <c r="DU48" i="10" s="1"/>
  <c r="DU49" i="10" s="1"/>
  <c r="DU50" i="10" s="1"/>
  <c r="DU51" i="10" s="1"/>
  <c r="DU52" i="10" s="1"/>
  <c r="DU53" i="10" s="1"/>
  <c r="DU54" i="10" s="1"/>
  <c r="DU55" i="10" s="1"/>
  <c r="DU56" i="10" s="1"/>
  <c r="DU57" i="10" s="1"/>
  <c r="DU58" i="10" s="1"/>
  <c r="DU59" i="10" s="1"/>
  <c r="DU60" i="10" s="1"/>
  <c r="DU61" i="10" s="1"/>
  <c r="DU62" i="10" s="1"/>
  <c r="DU63" i="10" s="1"/>
  <c r="DU64" i="10" s="1"/>
  <c r="DU65" i="10" s="1"/>
  <c r="DU66" i="10" s="1"/>
  <c r="DU67" i="10" s="1"/>
  <c r="DU68" i="10" s="1"/>
  <c r="DU69" i="10" s="1"/>
  <c r="DU70" i="10" s="1"/>
  <c r="DU71" i="10" s="1"/>
  <c r="DU72" i="10" s="1"/>
  <c r="DU73" i="10" s="1"/>
  <c r="DU74" i="10" s="1"/>
  <c r="DU75" i="10" s="1"/>
  <c r="DU76" i="10" s="1"/>
  <c r="DU77" i="10" s="1"/>
  <c r="DU78" i="10" s="1"/>
  <c r="DU79" i="10" s="1"/>
  <c r="DU80" i="10" s="1"/>
  <c r="DU81" i="10" s="1"/>
  <c r="DU82" i="10" s="1"/>
  <c r="DU83" i="10" s="1"/>
  <c r="DU84" i="10" s="1"/>
  <c r="DU85" i="10" s="1"/>
  <c r="DU86" i="10" s="1"/>
  <c r="DU87" i="10" s="1"/>
  <c r="DU88" i="10" s="1"/>
  <c r="DU89" i="10" s="1"/>
  <c r="DU90" i="10" s="1"/>
  <c r="DU91" i="10" s="1"/>
  <c r="DU92" i="10" s="1"/>
  <c r="DU93" i="10" s="1"/>
  <c r="DU94" i="10" s="1"/>
  <c r="DU95" i="10" s="1"/>
  <c r="DU96" i="10" s="1"/>
  <c r="DU97" i="10" s="1"/>
  <c r="DU98" i="10" s="1"/>
  <c r="DU99" i="10" s="1"/>
  <c r="DU100" i="10" s="1"/>
  <c r="DU101" i="10" s="1"/>
  <c r="DU102" i="10" s="1"/>
  <c r="DU103" i="10" s="1"/>
  <c r="DU104" i="10" s="1"/>
  <c r="DU105" i="10" s="1"/>
  <c r="DU106" i="10" s="1"/>
  <c r="DU107" i="10" s="1"/>
  <c r="DU108" i="10" s="1"/>
  <c r="DU109" i="10" s="1"/>
  <c r="DU110" i="10" s="1"/>
  <c r="DU111" i="10" s="1"/>
  <c r="DU112" i="10" s="1"/>
  <c r="DU113" i="10" s="1"/>
  <c r="DU114" i="10" s="1"/>
  <c r="DU115" i="10" s="1"/>
  <c r="DU116" i="10" s="1"/>
  <c r="DU117" i="10" s="1"/>
  <c r="DU118" i="10" s="1"/>
  <c r="DU119" i="10" s="1"/>
  <c r="DU120" i="10" s="1"/>
  <c r="DU121" i="10" s="1"/>
  <c r="DU122" i="10" s="1"/>
  <c r="DU123" i="10" s="1"/>
  <c r="DU124" i="10" s="1"/>
  <c r="DU125" i="10" s="1"/>
  <c r="DU126" i="10" s="1"/>
  <c r="DU127" i="10" s="1"/>
  <c r="DU128" i="10" s="1"/>
  <c r="DU129" i="10" s="1"/>
  <c r="DU130" i="10" s="1"/>
  <c r="DU131" i="10" s="1"/>
  <c r="DU132" i="10" s="1"/>
  <c r="DU133" i="10" s="1"/>
  <c r="DU134" i="10" s="1"/>
  <c r="DU135" i="10" s="1"/>
  <c r="DU136" i="10" s="1"/>
  <c r="DU137" i="10" s="1"/>
  <c r="DU138" i="10" s="1"/>
  <c r="DU139" i="10" s="1"/>
  <c r="DU140" i="10" s="1"/>
  <c r="DU141" i="10" s="1"/>
  <c r="DU142" i="10" s="1"/>
  <c r="DU143" i="10" s="1"/>
  <c r="DU144" i="10" s="1"/>
  <c r="DU145" i="10" s="1"/>
  <c r="DU146" i="10" s="1"/>
  <c r="DU147" i="10" s="1"/>
  <c r="DU148" i="10" s="1"/>
  <c r="DU149" i="10" s="1"/>
  <c r="DU150" i="10" s="1"/>
  <c r="DU151" i="10" s="1"/>
  <c r="DU152" i="10" s="1"/>
  <c r="DU153" i="10" s="1"/>
  <c r="DU154" i="10" s="1"/>
  <c r="DU155" i="10" s="1"/>
  <c r="DU156" i="10" s="1"/>
  <c r="DU157" i="10" s="1"/>
  <c r="DU158" i="10" s="1"/>
  <c r="DU159" i="10" s="1"/>
  <c r="DU160" i="10" s="1"/>
  <c r="DU161" i="10" s="1"/>
  <c r="DU162" i="10" s="1"/>
  <c r="DU163" i="10" s="1"/>
  <c r="DU164" i="10" s="1"/>
  <c r="DU165" i="10" s="1"/>
  <c r="DU166" i="10" s="1"/>
  <c r="DU167" i="10" s="1"/>
  <c r="DU168" i="10" s="1"/>
  <c r="DU169" i="10" s="1"/>
  <c r="DU170" i="10" s="1"/>
  <c r="DU171" i="10" s="1"/>
  <c r="DU172" i="10" s="1"/>
  <c r="DU173" i="10" s="1"/>
  <c r="DU174" i="10" s="1"/>
  <c r="DU175" i="10" s="1"/>
  <c r="DU176" i="10" s="1"/>
  <c r="DU177" i="10" s="1"/>
  <c r="DU178" i="10" s="1"/>
  <c r="DU179" i="10" s="1"/>
  <c r="DU180" i="10" s="1"/>
  <c r="DU181" i="10" s="1"/>
  <c r="DU182" i="10" s="1"/>
  <c r="DU183" i="10" s="1"/>
  <c r="DU184" i="10" s="1"/>
  <c r="DU185" i="10" s="1"/>
  <c r="DU186" i="10" s="1"/>
  <c r="DU187" i="10" s="1"/>
  <c r="DU188" i="10" s="1"/>
  <c r="DU189" i="10" s="1"/>
  <c r="DU190" i="10" s="1"/>
  <c r="DU191" i="10" s="1"/>
  <c r="DU192" i="10" s="1"/>
  <c r="DU193" i="10" s="1"/>
  <c r="DU194" i="10" s="1"/>
  <c r="DU195" i="10" s="1"/>
  <c r="DU196" i="10" s="1"/>
  <c r="DU197" i="10" s="1"/>
  <c r="DU198" i="10" s="1"/>
  <c r="DU199" i="10" s="1"/>
  <c r="DU200" i="10" s="1"/>
  <c r="DU201" i="10" s="1"/>
  <c r="DU202" i="10" s="1"/>
  <c r="DU203" i="10" s="1"/>
  <c r="DU204" i="10" s="1"/>
  <c r="DU205" i="10" s="1"/>
  <c r="DU206" i="10" s="1"/>
  <c r="DU207" i="10" s="1"/>
  <c r="DU208" i="10" s="1"/>
  <c r="DU209" i="10" s="1"/>
  <c r="DU210" i="10" s="1"/>
  <c r="DU211" i="10" s="1"/>
  <c r="DU212" i="10" s="1"/>
  <c r="DU213" i="10" s="1"/>
  <c r="DU214" i="10" s="1"/>
  <c r="DU215" i="10" s="1"/>
  <c r="DU216" i="10" s="1"/>
  <c r="DU217" i="10" s="1"/>
  <c r="DU218" i="10" s="1"/>
  <c r="DU219" i="10" s="1"/>
  <c r="DU220" i="10" s="1"/>
  <c r="DU221" i="10" s="1"/>
  <c r="DU222" i="10" s="1"/>
  <c r="DU223" i="10" s="1"/>
  <c r="DU224" i="10" s="1"/>
  <c r="DU225" i="10" s="1"/>
  <c r="DU226" i="10" s="1"/>
  <c r="DU227" i="10" s="1"/>
  <c r="DU228" i="10" s="1"/>
  <c r="DU229" i="10" s="1"/>
  <c r="DU230" i="10" s="1"/>
  <c r="DU231" i="10" s="1"/>
  <c r="DU232" i="10" s="1"/>
  <c r="DU233" i="10" s="1"/>
  <c r="DU234" i="10" s="1"/>
  <c r="DU235" i="10" s="1"/>
  <c r="DU236" i="10" s="1"/>
  <c r="DU237" i="10" s="1"/>
  <c r="DU238" i="10" s="1"/>
  <c r="DU239" i="10" s="1"/>
  <c r="DU240" i="10" s="1"/>
  <c r="DU241" i="10" s="1"/>
  <c r="DU242" i="10" s="1"/>
  <c r="DU243" i="10" s="1"/>
  <c r="DU244" i="10" s="1"/>
  <c r="DU245" i="10" s="1"/>
  <c r="DU246" i="10" s="1"/>
  <c r="DU247" i="10" s="1"/>
  <c r="DU248" i="10" s="1"/>
  <c r="DU249" i="10" s="1"/>
  <c r="DU250" i="10" s="1"/>
  <c r="DU251" i="10" s="1"/>
  <c r="DU252" i="10" s="1"/>
  <c r="DU253" i="10" s="1"/>
  <c r="DU254" i="10" s="1"/>
  <c r="DU255" i="10" s="1"/>
  <c r="DU256" i="10" s="1"/>
  <c r="DU257" i="10" s="1"/>
  <c r="DU258" i="10" s="1"/>
  <c r="DU259" i="10" s="1"/>
  <c r="DU260" i="10" s="1"/>
  <c r="DU261" i="10" s="1"/>
  <c r="DU262" i="10" s="1"/>
  <c r="DU263" i="10" s="1"/>
  <c r="DU264" i="10" s="1"/>
  <c r="DU265" i="10" s="1"/>
  <c r="DU266" i="10" s="1"/>
  <c r="DU267" i="10" s="1"/>
  <c r="DU268" i="10" s="1"/>
  <c r="DU269" i="10" s="1"/>
  <c r="DU270" i="10" s="1"/>
  <c r="DU271" i="10" s="1"/>
  <c r="DU272" i="10" s="1"/>
  <c r="DU273" i="10" s="1"/>
  <c r="DU274" i="10" s="1"/>
  <c r="DU275" i="10" s="1"/>
  <c r="DU276" i="10" s="1"/>
  <c r="DU277" i="10" s="1"/>
  <c r="DU278" i="10" s="1"/>
  <c r="DU279" i="10" s="1"/>
  <c r="DU280" i="10" s="1"/>
  <c r="DU281" i="10" s="1"/>
  <c r="DU282" i="10" s="1"/>
  <c r="DU283" i="10" s="1"/>
  <c r="DU284" i="10" s="1"/>
  <c r="DU285" i="10" s="1"/>
  <c r="DU286" i="10" s="1"/>
  <c r="DU287" i="10" s="1"/>
  <c r="DU288" i="10" s="1"/>
  <c r="DU289" i="10" s="1"/>
  <c r="DU290" i="10" s="1"/>
  <c r="DU291" i="10" s="1"/>
  <c r="DU292" i="10" s="1"/>
  <c r="DU293" i="10" s="1"/>
  <c r="DU294" i="10" s="1"/>
  <c r="DU295" i="10" s="1"/>
  <c r="DU296" i="10" s="1"/>
  <c r="DU297" i="10" s="1"/>
  <c r="DU298" i="10" s="1"/>
  <c r="DU299" i="10" s="1"/>
  <c r="DU300" i="10" s="1"/>
  <c r="DU301" i="10" s="1"/>
  <c r="DU302" i="10" s="1"/>
  <c r="DU303" i="10" s="1"/>
  <c r="DU304" i="10" s="1"/>
  <c r="DU305" i="10" s="1"/>
  <c r="DU306" i="10" s="1"/>
  <c r="DU307" i="10" s="1"/>
  <c r="DU308" i="10" s="1"/>
  <c r="DU309" i="10" s="1"/>
  <c r="DU310" i="10" s="1"/>
  <c r="DU311" i="10" s="1"/>
  <c r="DU312" i="10" s="1"/>
  <c r="DU313" i="10" s="1"/>
  <c r="DU314" i="10" s="1"/>
  <c r="DU315" i="10" s="1"/>
  <c r="DU316" i="10" s="1"/>
  <c r="BU328" i="10"/>
  <c r="BU329" i="10" s="1"/>
  <c r="BU330" i="10" s="1"/>
  <c r="BT330" i="10" s="1"/>
  <c r="BB327" i="10"/>
  <c r="AK328" i="10"/>
  <c r="AK329" i="10" s="1"/>
  <c r="H28" i="7"/>
  <c r="CK16" i="10"/>
  <c r="CK17" i="10" s="1"/>
  <c r="CK18" i="10" s="1"/>
  <c r="CK19" i="10" s="1"/>
  <c r="CK20" i="10" s="1"/>
  <c r="CK21" i="10" s="1"/>
  <c r="CK22" i="10" s="1"/>
  <c r="CK23" i="10" s="1"/>
  <c r="CK24" i="10" s="1"/>
  <c r="CK25" i="10" s="1"/>
  <c r="CK26" i="10" s="1"/>
  <c r="CK27" i="10" s="1"/>
  <c r="CK28" i="10" s="1"/>
  <c r="CK29" i="10" s="1"/>
  <c r="CK30" i="10" s="1"/>
  <c r="CK31" i="10" s="1"/>
  <c r="CK32" i="10" s="1"/>
  <c r="CK33" i="10" s="1"/>
  <c r="CK34" i="10" s="1"/>
  <c r="CK35" i="10" s="1"/>
  <c r="CK36" i="10" s="1"/>
  <c r="CK37" i="10" s="1"/>
  <c r="CK38" i="10" s="1"/>
  <c r="CK39" i="10" s="1"/>
  <c r="CK40" i="10" s="1"/>
  <c r="CK41" i="10" s="1"/>
  <c r="CK42" i="10" s="1"/>
  <c r="CK43" i="10" s="1"/>
  <c r="CK44" i="10" s="1"/>
  <c r="CK45" i="10" s="1"/>
  <c r="CK46" i="10" s="1"/>
  <c r="CK47" i="10" s="1"/>
  <c r="CK48" i="10" s="1"/>
  <c r="CK49" i="10" s="1"/>
  <c r="CK50" i="10" s="1"/>
  <c r="CK51" i="10" s="1"/>
  <c r="CK52" i="10" s="1"/>
  <c r="CK53" i="10" s="1"/>
  <c r="CK54" i="10" s="1"/>
  <c r="CK55" i="10" s="1"/>
  <c r="CK56" i="10" s="1"/>
  <c r="CK57" i="10" s="1"/>
  <c r="CK58" i="10" s="1"/>
  <c r="CK59" i="10" s="1"/>
  <c r="CK60" i="10" s="1"/>
  <c r="CK61" i="10" s="1"/>
  <c r="CK62" i="10" s="1"/>
  <c r="CK63" i="10" s="1"/>
  <c r="CK64" i="10" s="1"/>
  <c r="CK65" i="10" s="1"/>
  <c r="CK66" i="10" s="1"/>
  <c r="CK67" i="10" s="1"/>
  <c r="CK68" i="10" s="1"/>
  <c r="CK69" i="10" s="1"/>
  <c r="CK70" i="10" s="1"/>
  <c r="CK71" i="10" s="1"/>
  <c r="CK72" i="10" s="1"/>
  <c r="CK73" i="10" s="1"/>
  <c r="CK74" i="10" s="1"/>
  <c r="CK75" i="10" s="1"/>
  <c r="CK76" i="10" s="1"/>
  <c r="CK77" i="10" s="1"/>
  <c r="CK78" i="10" s="1"/>
  <c r="CK79" i="10" s="1"/>
  <c r="CK80" i="10" s="1"/>
  <c r="CK81" i="10" s="1"/>
  <c r="CK82" i="10" s="1"/>
  <c r="CK83" i="10" s="1"/>
  <c r="CK84" i="10" s="1"/>
  <c r="CK85" i="10" s="1"/>
  <c r="CK86" i="10" s="1"/>
  <c r="CK87" i="10" s="1"/>
  <c r="CK88" i="10" s="1"/>
  <c r="CK89" i="10" s="1"/>
  <c r="CK90" i="10" s="1"/>
  <c r="CK91" i="10" s="1"/>
  <c r="CK92" i="10" s="1"/>
  <c r="CK93" i="10" s="1"/>
  <c r="CK94" i="10" s="1"/>
  <c r="CK95" i="10" s="1"/>
  <c r="CK96" i="10" s="1"/>
  <c r="CK97" i="10" s="1"/>
  <c r="CK98" i="10" s="1"/>
  <c r="CK99" i="10" s="1"/>
  <c r="CK100" i="10" s="1"/>
  <c r="CK101" i="10" s="1"/>
  <c r="CK102" i="10" s="1"/>
  <c r="CK103" i="10" s="1"/>
  <c r="CK104" i="10" s="1"/>
  <c r="CK105" i="10" s="1"/>
  <c r="CK106" i="10" s="1"/>
  <c r="CK107" i="10" s="1"/>
  <c r="CK108" i="10" s="1"/>
  <c r="CK109" i="10" s="1"/>
  <c r="CK110" i="10" s="1"/>
  <c r="CK111" i="10" s="1"/>
  <c r="CK112" i="10" s="1"/>
  <c r="CK113" i="10" s="1"/>
  <c r="CK114" i="10" s="1"/>
  <c r="CK115" i="10" s="1"/>
  <c r="CK116" i="10" s="1"/>
  <c r="CK117" i="10" s="1"/>
  <c r="CK118" i="10" s="1"/>
  <c r="CK119" i="10" s="1"/>
  <c r="CK120" i="10" s="1"/>
  <c r="CK121" i="10" s="1"/>
  <c r="CK122" i="10" s="1"/>
  <c r="CK123" i="10" s="1"/>
  <c r="CK124" i="10" s="1"/>
  <c r="CK125" i="10" s="1"/>
  <c r="CK126" i="10" s="1"/>
  <c r="CK127" i="10" s="1"/>
  <c r="CK128" i="10" s="1"/>
  <c r="CK129" i="10" s="1"/>
  <c r="CK130" i="10" s="1"/>
  <c r="CK131" i="10" s="1"/>
  <c r="CK132" i="10" s="1"/>
  <c r="CK133" i="10" s="1"/>
  <c r="CK134" i="10" s="1"/>
  <c r="CK135" i="10" s="1"/>
  <c r="CK136" i="10" s="1"/>
  <c r="CK137" i="10" s="1"/>
  <c r="CK138" i="10" s="1"/>
  <c r="CK139" i="10" s="1"/>
  <c r="CK140" i="10" s="1"/>
  <c r="CK141" i="10" s="1"/>
  <c r="CK142" i="10" s="1"/>
  <c r="CK143" i="10" s="1"/>
  <c r="CK144" i="10" s="1"/>
  <c r="CK145" i="10" s="1"/>
  <c r="CK146" i="10" s="1"/>
  <c r="CK147" i="10" s="1"/>
  <c r="CK148" i="10" s="1"/>
  <c r="CK149" i="10" s="1"/>
  <c r="CK150" i="10" s="1"/>
  <c r="CK151" i="10" s="1"/>
  <c r="CK152" i="10" s="1"/>
  <c r="CK153" i="10" s="1"/>
  <c r="CK154" i="10" s="1"/>
  <c r="CK155" i="10" s="1"/>
  <c r="CK156" i="10" s="1"/>
  <c r="CK157" i="10" s="1"/>
  <c r="CK158" i="10" s="1"/>
  <c r="CK159" i="10" s="1"/>
  <c r="CK160" i="10" s="1"/>
  <c r="CK161" i="10" s="1"/>
  <c r="CK162" i="10" s="1"/>
  <c r="CK163" i="10" s="1"/>
  <c r="CK164" i="10" s="1"/>
  <c r="CK165" i="10" s="1"/>
  <c r="CK166" i="10" s="1"/>
  <c r="CK167" i="10" s="1"/>
  <c r="CK168" i="10" s="1"/>
  <c r="CK169" i="10" s="1"/>
  <c r="CK170" i="10" s="1"/>
  <c r="CK171" i="10" s="1"/>
  <c r="CK172" i="10" s="1"/>
  <c r="CK173" i="10" s="1"/>
  <c r="CK174" i="10" s="1"/>
  <c r="CK175" i="10" s="1"/>
  <c r="CK176" i="10" s="1"/>
  <c r="CK177" i="10" s="1"/>
  <c r="CK178" i="10" s="1"/>
  <c r="CK179" i="10" s="1"/>
  <c r="CK180" i="10" s="1"/>
  <c r="CK181" i="10" s="1"/>
  <c r="CK182" i="10" s="1"/>
  <c r="CK183" i="10" s="1"/>
  <c r="CK184" i="10" s="1"/>
  <c r="CK185" i="10" s="1"/>
  <c r="CK186" i="10" s="1"/>
  <c r="CK187" i="10" s="1"/>
  <c r="CK188" i="10" s="1"/>
  <c r="CK189" i="10" s="1"/>
  <c r="CK190" i="10" s="1"/>
  <c r="CK191" i="10" s="1"/>
  <c r="CK192" i="10" s="1"/>
  <c r="CK193" i="10" s="1"/>
  <c r="CK194" i="10" s="1"/>
  <c r="CK195" i="10" s="1"/>
  <c r="CK196" i="10" s="1"/>
  <c r="CK197" i="10" s="1"/>
  <c r="CK198" i="10" s="1"/>
  <c r="CK199" i="10" s="1"/>
  <c r="CK200" i="10" s="1"/>
  <c r="CK201" i="10" s="1"/>
  <c r="CK202" i="10" s="1"/>
  <c r="CK203" i="10" s="1"/>
  <c r="CK204" i="10" s="1"/>
  <c r="CK205" i="10" s="1"/>
  <c r="CK206" i="10" s="1"/>
  <c r="CK207" i="10" s="1"/>
  <c r="CK208" i="10" s="1"/>
  <c r="CK209" i="10" s="1"/>
  <c r="CK210" i="10" s="1"/>
  <c r="CK211" i="10" s="1"/>
  <c r="CK212" i="10" s="1"/>
  <c r="CK213" i="10" s="1"/>
  <c r="CK214" i="10" s="1"/>
  <c r="CK215" i="10" s="1"/>
  <c r="CK216" i="10" s="1"/>
  <c r="CK217" i="10" s="1"/>
  <c r="CK218" i="10" s="1"/>
  <c r="CK219" i="10" s="1"/>
  <c r="CK220" i="10" s="1"/>
  <c r="CK221" i="10" s="1"/>
  <c r="CK222" i="10" s="1"/>
  <c r="CK223" i="10" s="1"/>
  <c r="CK224" i="10" s="1"/>
  <c r="CK225" i="10" s="1"/>
  <c r="CK226" i="10" s="1"/>
  <c r="CK227" i="10" s="1"/>
  <c r="CK228" i="10" s="1"/>
  <c r="CK229" i="10" s="1"/>
  <c r="CK230" i="10" s="1"/>
  <c r="CK231" i="10" s="1"/>
  <c r="CK232" i="10" s="1"/>
  <c r="CK233" i="10" s="1"/>
  <c r="CK234" i="10" s="1"/>
  <c r="CK235" i="10" s="1"/>
  <c r="CK236" i="10" s="1"/>
  <c r="CK237" i="10" s="1"/>
  <c r="CK238" i="10" s="1"/>
  <c r="CK239" i="10" s="1"/>
  <c r="CK240" i="10" s="1"/>
  <c r="CK241" i="10" s="1"/>
  <c r="CK242" i="10" s="1"/>
  <c r="CK243" i="10" s="1"/>
  <c r="CK244" i="10" s="1"/>
  <c r="CK245" i="10" s="1"/>
  <c r="CK246" i="10" s="1"/>
  <c r="CK247" i="10" s="1"/>
  <c r="CK248" i="10" s="1"/>
  <c r="CK249" i="10" s="1"/>
  <c r="CK250" i="10" s="1"/>
  <c r="CK251" i="10" s="1"/>
  <c r="CK252" i="10" s="1"/>
  <c r="CK253" i="10" s="1"/>
  <c r="CK254" i="10" s="1"/>
  <c r="CK255" i="10" s="1"/>
  <c r="CK256" i="10" s="1"/>
  <c r="CK257" i="10" s="1"/>
  <c r="CK258" i="10" s="1"/>
  <c r="CK259" i="10" s="1"/>
  <c r="CK260" i="10" s="1"/>
  <c r="CK261" i="10" s="1"/>
  <c r="CK262" i="10" s="1"/>
  <c r="CK263" i="10" s="1"/>
  <c r="CK264" i="10" s="1"/>
  <c r="CK265" i="10" s="1"/>
  <c r="CK266" i="10" s="1"/>
  <c r="CK267" i="10" s="1"/>
  <c r="CK268" i="10" s="1"/>
  <c r="CK269" i="10" s="1"/>
  <c r="CK270" i="10" s="1"/>
  <c r="CK271" i="10" s="1"/>
  <c r="CK272" i="10" s="1"/>
  <c r="CK273" i="10" s="1"/>
  <c r="CK274" i="10" s="1"/>
  <c r="CK275" i="10" s="1"/>
  <c r="CK276" i="10" s="1"/>
  <c r="CK277" i="10" s="1"/>
  <c r="CK278" i="10" s="1"/>
  <c r="CK279" i="10" s="1"/>
  <c r="CK280" i="10" s="1"/>
  <c r="CK281" i="10" s="1"/>
  <c r="CK282" i="10" s="1"/>
  <c r="CK283" i="10" s="1"/>
  <c r="CK284" i="10" s="1"/>
  <c r="CK285" i="10" s="1"/>
  <c r="CK286" i="10" s="1"/>
  <c r="CK287" i="10" s="1"/>
  <c r="CK288" i="10" s="1"/>
  <c r="CK289" i="10" s="1"/>
  <c r="CK290" i="10" s="1"/>
  <c r="CK291" i="10" s="1"/>
  <c r="CK292" i="10" s="1"/>
  <c r="CK293" i="10" s="1"/>
  <c r="CK294" i="10" s="1"/>
  <c r="CK295" i="10" s="1"/>
  <c r="CK296" i="10" s="1"/>
  <c r="CK297" i="10" s="1"/>
  <c r="CK298" i="10" s="1"/>
  <c r="CK299" i="10" s="1"/>
  <c r="CK300" i="10" s="1"/>
  <c r="CK301" i="10" s="1"/>
  <c r="CK302" i="10" s="1"/>
  <c r="CK303" i="10" s="1"/>
  <c r="CK304" i="10" s="1"/>
  <c r="CK305" i="10" s="1"/>
  <c r="CK306" i="10" s="1"/>
  <c r="CK307" i="10" s="1"/>
  <c r="CK308" i="10" s="1"/>
  <c r="CK309" i="10" s="1"/>
  <c r="CK310" i="10" s="1"/>
  <c r="CK311" i="10" s="1"/>
  <c r="CK312" i="10" s="1"/>
  <c r="CK313" i="10" s="1"/>
  <c r="CK314" i="10" s="1"/>
  <c r="CK315" i="10" s="1"/>
  <c r="CK316" i="10" s="1"/>
  <c r="AI16" i="10"/>
  <c r="AI17" i="10" s="1"/>
  <c r="AI18" i="10" s="1"/>
  <c r="AI19" i="10" s="1"/>
  <c r="AI20" i="10" s="1"/>
  <c r="AI21" i="10" s="1"/>
  <c r="AI22" i="10" s="1"/>
  <c r="AI23" i="10" s="1"/>
  <c r="AI24" i="10" s="1"/>
  <c r="AI25" i="10" s="1"/>
  <c r="AI26" i="10" s="1"/>
  <c r="AI27" i="10" s="1"/>
  <c r="AI28" i="10" s="1"/>
  <c r="AI29" i="10" s="1"/>
  <c r="AI30" i="10" s="1"/>
  <c r="AI31" i="10" s="1"/>
  <c r="AI32" i="10" s="1"/>
  <c r="AI33" i="10" s="1"/>
  <c r="AI34" i="10" s="1"/>
  <c r="AI35" i="10" s="1"/>
  <c r="AI36" i="10" s="1"/>
  <c r="AI37" i="10" s="1"/>
  <c r="AI38" i="10" s="1"/>
  <c r="AI39" i="10" s="1"/>
  <c r="AI40" i="10" s="1"/>
  <c r="AI41" i="10" s="1"/>
  <c r="AI42" i="10" s="1"/>
  <c r="AI43" i="10" s="1"/>
  <c r="AI44" i="10" s="1"/>
  <c r="AI45" i="10" s="1"/>
  <c r="AI46" i="10" s="1"/>
  <c r="AI47" i="10" s="1"/>
  <c r="AI48" i="10" s="1"/>
  <c r="AI49" i="10" s="1"/>
  <c r="AI50" i="10" s="1"/>
  <c r="AI51" i="10" s="1"/>
  <c r="AI52" i="10" s="1"/>
  <c r="AI53" i="10" s="1"/>
  <c r="AI54" i="10" s="1"/>
  <c r="AI55" i="10" s="1"/>
  <c r="AI56" i="10" s="1"/>
  <c r="AI57" i="10" s="1"/>
  <c r="AI58" i="10" s="1"/>
  <c r="AI59" i="10" s="1"/>
  <c r="AI60" i="10" s="1"/>
  <c r="AI61" i="10" s="1"/>
  <c r="AI62" i="10" s="1"/>
  <c r="AI63" i="10" s="1"/>
  <c r="AI64" i="10" s="1"/>
  <c r="AI65" i="10" s="1"/>
  <c r="AI66" i="10" s="1"/>
  <c r="AI67" i="10" s="1"/>
  <c r="AI68" i="10" s="1"/>
  <c r="AI69" i="10" s="1"/>
  <c r="AI70" i="10" s="1"/>
  <c r="AI71" i="10" s="1"/>
  <c r="AI72" i="10" s="1"/>
  <c r="AI73" i="10" s="1"/>
  <c r="AI74" i="10" s="1"/>
  <c r="AI75" i="10" s="1"/>
  <c r="AI76" i="10" s="1"/>
  <c r="AI77" i="10" s="1"/>
  <c r="AI78" i="10" s="1"/>
  <c r="AI79" i="10" s="1"/>
  <c r="AI80" i="10" s="1"/>
  <c r="AI81" i="10" s="1"/>
  <c r="AI82" i="10" s="1"/>
  <c r="AI83" i="10" s="1"/>
  <c r="AI84" i="10" s="1"/>
  <c r="AI85" i="10" s="1"/>
  <c r="AI86" i="10" s="1"/>
  <c r="AI87" i="10" s="1"/>
  <c r="AI88" i="10" s="1"/>
  <c r="AI89" i="10" s="1"/>
  <c r="AI90" i="10" s="1"/>
  <c r="AI91" i="10" s="1"/>
  <c r="DM16" i="10"/>
  <c r="AT328" i="10"/>
  <c r="AT329" i="10" s="1"/>
  <c r="AT330" i="10" s="1"/>
  <c r="CB16" i="10"/>
  <c r="CB17" i="10" s="1"/>
  <c r="CB18" i="10" s="1"/>
  <c r="CB19" i="10" s="1"/>
  <c r="CB20" i="10" s="1"/>
  <c r="CB21" i="10" s="1"/>
  <c r="CB22" i="10" s="1"/>
  <c r="CB23" i="10" s="1"/>
  <c r="CB24" i="10" s="1"/>
  <c r="CB25" i="10" s="1"/>
  <c r="CB26" i="10" s="1"/>
  <c r="CB27" i="10" s="1"/>
  <c r="CB28" i="10" s="1"/>
  <c r="CB29" i="10" s="1"/>
  <c r="CB30" i="10" s="1"/>
  <c r="CB31" i="10" s="1"/>
  <c r="CB32" i="10" s="1"/>
  <c r="CB33" i="10" s="1"/>
  <c r="CB34" i="10" s="1"/>
  <c r="CB35" i="10" s="1"/>
  <c r="CB36" i="10" s="1"/>
  <c r="CB37" i="10" s="1"/>
  <c r="CB38" i="10" s="1"/>
  <c r="CB39" i="10" s="1"/>
  <c r="CB40" i="10" s="1"/>
  <c r="CB41" i="10" s="1"/>
  <c r="CB42" i="10" s="1"/>
  <c r="CB43" i="10" s="1"/>
  <c r="CB44" i="10" s="1"/>
  <c r="CB45" i="10" s="1"/>
  <c r="CB46" i="10" s="1"/>
  <c r="CB47" i="10" s="1"/>
  <c r="CB48" i="10" s="1"/>
  <c r="CB49" i="10" s="1"/>
  <c r="CB50" i="10" s="1"/>
  <c r="CB51" i="10" s="1"/>
  <c r="CB52" i="10" s="1"/>
  <c r="CB53" i="10" s="1"/>
  <c r="CB54" i="10" s="1"/>
  <c r="CB55" i="10" s="1"/>
  <c r="CB56" i="10" s="1"/>
  <c r="CB57" i="10" s="1"/>
  <c r="CB58" i="10" s="1"/>
  <c r="CB59" i="10" s="1"/>
  <c r="CB60" i="10" s="1"/>
  <c r="CB61" i="10" s="1"/>
  <c r="CB62" i="10" s="1"/>
  <c r="CB63" i="10" s="1"/>
  <c r="CB64" i="10" s="1"/>
  <c r="CB65" i="10" s="1"/>
  <c r="CB66" i="10" s="1"/>
  <c r="CB67" i="10" s="1"/>
  <c r="CB68" i="10" s="1"/>
  <c r="CB69" i="10" s="1"/>
  <c r="CB70" i="10" s="1"/>
  <c r="CB71" i="10" s="1"/>
  <c r="CB72" i="10" s="1"/>
  <c r="CB73" i="10" s="1"/>
  <c r="CB74" i="10" s="1"/>
  <c r="CB75" i="10" s="1"/>
  <c r="CB76" i="10" s="1"/>
  <c r="CB77" i="10" s="1"/>
  <c r="CB78" i="10" s="1"/>
  <c r="CB79" i="10" s="1"/>
  <c r="CB80" i="10" s="1"/>
  <c r="CB81" i="10" s="1"/>
  <c r="CB82" i="10" s="1"/>
  <c r="CB83" i="10" s="1"/>
  <c r="CB84" i="10" s="1"/>
  <c r="CB85" i="10" s="1"/>
  <c r="CB86" i="10" s="1"/>
  <c r="CB87" i="10" s="1"/>
  <c r="CB88" i="10" s="1"/>
  <c r="CB89" i="10" s="1"/>
  <c r="CB90" i="10" s="1"/>
  <c r="CB91" i="10" s="1"/>
  <c r="CB92" i="10" s="1"/>
  <c r="CB93" i="10" s="1"/>
  <c r="CB94" i="10" s="1"/>
  <c r="CB95" i="10" s="1"/>
  <c r="CB96" i="10" s="1"/>
  <c r="CB97" i="10" s="1"/>
  <c r="CB98" i="10" s="1"/>
  <c r="CB99" i="10" s="1"/>
  <c r="CB100" i="10" s="1"/>
  <c r="CB101" i="10" s="1"/>
  <c r="CB102" i="10" s="1"/>
  <c r="CB103" i="10" s="1"/>
  <c r="CB104" i="10" s="1"/>
  <c r="CB105" i="10" s="1"/>
  <c r="CB106" i="10" s="1"/>
  <c r="CB107" i="10" s="1"/>
  <c r="CB108" i="10" s="1"/>
  <c r="CB109" i="10" s="1"/>
  <c r="CB110" i="10" s="1"/>
  <c r="CB111" i="10" s="1"/>
  <c r="CB112" i="10" s="1"/>
  <c r="CB113" i="10" s="1"/>
  <c r="CB114" i="10" s="1"/>
  <c r="CB115" i="10" s="1"/>
  <c r="CB116" i="10" s="1"/>
  <c r="CB117" i="10" s="1"/>
  <c r="CB118" i="10" s="1"/>
  <c r="CB119" i="10" s="1"/>
  <c r="CB120" i="10" s="1"/>
  <c r="CB121" i="10" s="1"/>
  <c r="CB122" i="10" s="1"/>
  <c r="CB123" i="10" s="1"/>
  <c r="CB124" i="10" s="1"/>
  <c r="CB125" i="10" s="1"/>
  <c r="CB126" i="10" s="1"/>
  <c r="CB127" i="10" s="1"/>
  <c r="CB128" i="10" s="1"/>
  <c r="CB129" i="10" s="1"/>
  <c r="CB130" i="10" s="1"/>
  <c r="CB131" i="10" s="1"/>
  <c r="CB132" i="10" s="1"/>
  <c r="CB133" i="10" s="1"/>
  <c r="CB134" i="10" s="1"/>
  <c r="CB135" i="10" s="1"/>
  <c r="CB136" i="10" s="1"/>
  <c r="CB137" i="10" s="1"/>
  <c r="CB138" i="10" s="1"/>
  <c r="CB139" i="10" s="1"/>
  <c r="CB140" i="10" s="1"/>
  <c r="CB141" i="10" s="1"/>
  <c r="CB142" i="10" s="1"/>
  <c r="CB143" i="10" s="1"/>
  <c r="CB144" i="10" s="1"/>
  <c r="CB145" i="10" s="1"/>
  <c r="CB146" i="10" s="1"/>
  <c r="CB147" i="10" s="1"/>
  <c r="CB148" i="10" s="1"/>
  <c r="CB149" i="10" s="1"/>
  <c r="CB150" i="10" s="1"/>
  <c r="CB151" i="10" s="1"/>
  <c r="CB152" i="10" s="1"/>
  <c r="CB153" i="10" s="1"/>
  <c r="CB154" i="10" s="1"/>
  <c r="CB155" i="10" s="1"/>
  <c r="CB156" i="10" s="1"/>
  <c r="CB157" i="10" s="1"/>
  <c r="CB158" i="10" s="1"/>
  <c r="CB159" i="10" s="1"/>
  <c r="CB160" i="10" s="1"/>
  <c r="CB161" i="10" s="1"/>
  <c r="CB162" i="10" s="1"/>
  <c r="CB163" i="10" s="1"/>
  <c r="CB164" i="10" s="1"/>
  <c r="CB165" i="10" s="1"/>
  <c r="CB166" i="10" s="1"/>
  <c r="AB17" i="10"/>
  <c r="AC17" i="10" s="1"/>
  <c r="R34" i="10"/>
  <c r="AS327" i="10"/>
  <c r="CC16" i="10"/>
  <c r="AR16" i="10"/>
  <c r="AR17" i="10" s="1"/>
  <c r="AR18" i="10" s="1"/>
  <c r="AR19" i="10" s="1"/>
  <c r="AR20" i="10" s="1"/>
  <c r="AR21" i="10" s="1"/>
  <c r="AR22" i="10" s="1"/>
  <c r="AR23" i="10" s="1"/>
  <c r="AR24" i="10" s="1"/>
  <c r="AR25" i="10" s="1"/>
  <c r="AR26" i="10" s="1"/>
  <c r="AR27" i="10" s="1"/>
  <c r="AR28" i="10" s="1"/>
  <c r="AR29" i="10" s="1"/>
  <c r="AR30" i="10" s="1"/>
  <c r="AR31" i="10" s="1"/>
  <c r="AR32" i="10" s="1"/>
  <c r="AR33" i="10" s="1"/>
  <c r="AR34" i="10" s="1"/>
  <c r="AR35" i="10" s="1"/>
  <c r="AR36" i="10" s="1"/>
  <c r="AR37" i="10" s="1"/>
  <c r="AR38" i="10" s="1"/>
  <c r="AR39" i="10" s="1"/>
  <c r="AR40" i="10" s="1"/>
  <c r="AR41" i="10" s="1"/>
  <c r="AR42" i="10" s="1"/>
  <c r="AR43" i="10" s="1"/>
  <c r="AR44" i="10" s="1"/>
  <c r="AR45" i="10" s="1"/>
  <c r="AR46" i="10" s="1"/>
  <c r="AR47" i="10" s="1"/>
  <c r="AR48" i="10" s="1"/>
  <c r="AR49" i="10" s="1"/>
  <c r="AR50" i="10" s="1"/>
  <c r="AR51" i="10" s="1"/>
  <c r="AR52" i="10" s="1"/>
  <c r="AR53" i="10" s="1"/>
  <c r="AR54" i="10" s="1"/>
  <c r="AR55" i="10" s="1"/>
  <c r="AR56" i="10" s="1"/>
  <c r="AR57" i="10" s="1"/>
  <c r="AR58" i="10" s="1"/>
  <c r="AR59" i="10" s="1"/>
  <c r="AR60" i="10" s="1"/>
  <c r="AR61" i="10" s="1"/>
  <c r="AR62" i="10" s="1"/>
  <c r="AR63" i="10" s="1"/>
  <c r="AR64" i="10" s="1"/>
  <c r="AR65" i="10" s="1"/>
  <c r="AR66" i="10" s="1"/>
  <c r="AR67" i="10" s="1"/>
  <c r="AR68" i="10" s="1"/>
  <c r="AR69" i="10" s="1"/>
  <c r="AR70" i="10" s="1"/>
  <c r="AR71" i="10" s="1"/>
  <c r="AR72" i="10" s="1"/>
  <c r="AR73" i="10" s="1"/>
  <c r="AR74" i="10" s="1"/>
  <c r="AR75" i="10" s="1"/>
  <c r="AR76" i="10" s="1"/>
  <c r="AR77" i="10" s="1"/>
  <c r="AR78" i="10" s="1"/>
  <c r="AR79" i="10" s="1"/>
  <c r="AR80" i="10" s="1"/>
  <c r="AR81" i="10" s="1"/>
  <c r="AR82" i="10" s="1"/>
  <c r="AR83" i="10" s="1"/>
  <c r="AR84" i="10" s="1"/>
  <c r="AR85" i="10" s="1"/>
  <c r="AR86" i="10" s="1"/>
  <c r="AR87" i="10" s="1"/>
  <c r="AR88" i="10" s="1"/>
  <c r="AR89" i="10" s="1"/>
  <c r="AR90" i="10" s="1"/>
  <c r="AR91" i="10" s="1"/>
  <c r="AR92" i="10" s="1"/>
  <c r="AR93" i="10" s="1"/>
  <c r="AR94" i="10" s="1"/>
  <c r="AR95" i="10" s="1"/>
  <c r="AR96" i="10" s="1"/>
  <c r="AR97" i="10" s="1"/>
  <c r="AR98" i="10" s="1"/>
  <c r="AR99" i="10" s="1"/>
  <c r="AR100" i="10" s="1"/>
  <c r="AR101" i="10" s="1"/>
  <c r="AR102" i="10" s="1"/>
  <c r="AR103" i="10" s="1"/>
  <c r="AR104" i="10" s="1"/>
  <c r="AR105" i="10" s="1"/>
  <c r="AR106" i="10" s="1"/>
  <c r="AR107" i="10" s="1"/>
  <c r="AR108" i="10" s="1"/>
  <c r="AR109" i="10" s="1"/>
  <c r="AR110" i="10" s="1"/>
  <c r="AR111" i="10" s="1"/>
  <c r="AR112" i="10" s="1"/>
  <c r="AR113" i="10" s="1"/>
  <c r="AR114" i="10" s="1"/>
  <c r="AR115" i="10" s="1"/>
  <c r="AR116" i="10" s="1"/>
  <c r="AR117" i="10" s="1"/>
  <c r="AR118" i="10" s="1"/>
  <c r="AR119" i="10" s="1"/>
  <c r="AR120" i="10" s="1"/>
  <c r="AR121" i="10" s="1"/>
  <c r="AR122" i="10" s="1"/>
  <c r="AR123" i="10" s="1"/>
  <c r="AR124" i="10" s="1"/>
  <c r="AR125" i="10" s="1"/>
  <c r="AR126" i="10" s="1"/>
  <c r="AR127" i="10" s="1"/>
  <c r="AR128" i="10" s="1"/>
  <c r="AR129" i="10" s="1"/>
  <c r="AR130" i="10" s="1"/>
  <c r="AR131" i="10" s="1"/>
  <c r="AR132" i="10" s="1"/>
  <c r="AR133" i="10" s="1"/>
  <c r="AR134" i="10" s="1"/>
  <c r="AR135" i="10" s="1"/>
  <c r="AR136" i="10" s="1"/>
  <c r="AR137" i="10" s="1"/>
  <c r="AR138" i="10" s="1"/>
  <c r="AR139" i="10" s="1"/>
  <c r="AR140" i="10" s="1"/>
  <c r="AR141" i="10" s="1"/>
  <c r="AR142" i="10" s="1"/>
  <c r="AR143" i="10" s="1"/>
  <c r="AR144" i="10" s="1"/>
  <c r="AR145" i="10" s="1"/>
  <c r="AR146" i="10" s="1"/>
  <c r="AR147" i="10" s="1"/>
  <c r="AR148" i="10" s="1"/>
  <c r="AR149" i="10" s="1"/>
  <c r="AR150" i="10" s="1"/>
  <c r="AR151" i="10" s="1"/>
  <c r="AR152" i="10" s="1"/>
  <c r="AR153" i="10" s="1"/>
  <c r="AR154" i="10" s="1"/>
  <c r="AR155" i="10" s="1"/>
  <c r="AR156" i="10" s="1"/>
  <c r="AR157" i="10" s="1"/>
  <c r="AR158" i="10" s="1"/>
  <c r="AR159" i="10" s="1"/>
  <c r="AR160" i="10" s="1"/>
  <c r="AR161" i="10" s="1"/>
  <c r="AR162" i="10" s="1"/>
  <c r="AR163" i="10" s="1"/>
  <c r="AR164" i="10" s="1"/>
  <c r="AR165" i="10" s="1"/>
  <c r="AR166" i="10" s="1"/>
  <c r="CU16" i="10"/>
  <c r="AB328" i="10"/>
  <c r="AC328" i="10" s="1"/>
  <c r="B6" i="5"/>
  <c r="D6" i="5" s="1"/>
  <c r="AT17" i="10"/>
  <c r="AS17" i="10" s="1"/>
  <c r="CC327" i="10"/>
  <c r="CD17" i="10"/>
  <c r="CC17" i="10" s="1"/>
  <c r="AS16" i="10"/>
  <c r="CB327" i="10"/>
  <c r="CB328" i="10" s="1"/>
  <c r="CB329" i="10" s="1"/>
  <c r="CB330" i="10" s="1"/>
  <c r="CB331" i="10" s="1"/>
  <c r="CB332" i="10" s="1"/>
  <c r="CB333" i="10" s="1"/>
  <c r="CB334" i="10" s="1"/>
  <c r="CB335" i="10" s="1"/>
  <c r="CB336" i="10" s="1"/>
  <c r="CB337" i="10" s="1"/>
  <c r="CB338" i="10" s="1"/>
  <c r="CB339" i="10" s="1"/>
  <c r="CB340" i="10" s="1"/>
  <c r="CB341" i="10" s="1"/>
  <c r="CB342" i="10" s="1"/>
  <c r="CB343" i="10" s="1"/>
  <c r="CB344" i="10" s="1"/>
  <c r="CB345" i="10" s="1"/>
  <c r="CB346" i="10" s="1"/>
  <c r="CB347" i="10" s="1"/>
  <c r="CB348" i="10" s="1"/>
  <c r="CB349" i="10" s="1"/>
  <c r="CB350" i="10" s="1"/>
  <c r="CB351" i="10" s="1"/>
  <c r="CB352" i="10" s="1"/>
  <c r="CB353" i="10" s="1"/>
  <c r="CB354" i="10" s="1"/>
  <c r="CB355" i="10" s="1"/>
  <c r="CB356" i="10" s="1"/>
  <c r="CB357" i="10" s="1"/>
  <c r="CB358" i="10" s="1"/>
  <c r="CB359" i="10" s="1"/>
  <c r="CB360" i="10" s="1"/>
  <c r="CB361" i="10" s="1"/>
  <c r="CB362" i="10" s="1"/>
  <c r="CB363" i="10" s="1"/>
  <c r="CB364" i="10" s="1"/>
  <c r="CB365" i="10" s="1"/>
  <c r="CB366" i="10" s="1"/>
  <c r="CB367" i="10" s="1"/>
  <c r="CB368" i="10" s="1"/>
  <c r="CB369" i="10" s="1"/>
  <c r="CB370" i="10" s="1"/>
  <c r="CB371" i="10" s="1"/>
  <c r="CB372" i="10" s="1"/>
  <c r="CB373" i="10" s="1"/>
  <c r="CB374" i="10" s="1"/>
  <c r="CB375" i="10" s="1"/>
  <c r="CB376" i="10" s="1"/>
  <c r="CB377" i="10" s="1"/>
  <c r="CB378" i="10" s="1"/>
  <c r="CB379" i="10" s="1"/>
  <c r="CB380" i="10" s="1"/>
  <c r="CB381" i="10" s="1"/>
  <c r="CB382" i="10" s="1"/>
  <c r="CB383" i="10" s="1"/>
  <c r="CB384" i="10" s="1"/>
  <c r="CB385" i="10" s="1"/>
  <c r="CB386" i="10" s="1"/>
  <c r="CB387" i="10" s="1"/>
  <c r="CB388" i="10" s="1"/>
  <c r="CB389" i="10" s="1"/>
  <c r="CB390" i="10" s="1"/>
  <c r="CB391" i="10" s="1"/>
  <c r="CB392" i="10" s="1"/>
  <c r="CB393" i="10" s="1"/>
  <c r="CB394" i="10" s="1"/>
  <c r="CB395" i="10" s="1"/>
  <c r="CB396" i="10" s="1"/>
  <c r="CB397" i="10" s="1"/>
  <c r="CB398" i="10" s="1"/>
  <c r="CB399" i="10" s="1"/>
  <c r="CB400" i="10" s="1"/>
  <c r="CB401" i="10" s="1"/>
  <c r="CB402" i="10" s="1"/>
  <c r="CB403" i="10" s="1"/>
  <c r="CB404" i="10" s="1"/>
  <c r="CB405" i="10" s="1"/>
  <c r="CB406" i="10" s="1"/>
  <c r="CB407" i="10" s="1"/>
  <c r="CB408" i="10" s="1"/>
  <c r="CB409" i="10" s="1"/>
  <c r="CB410" i="10" s="1"/>
  <c r="CB411" i="10" s="1"/>
  <c r="CB412" i="10" s="1"/>
  <c r="CB413" i="10" s="1"/>
  <c r="CB414" i="10" s="1"/>
  <c r="CB415" i="10" s="1"/>
  <c r="CB416" i="10" s="1"/>
  <c r="CB417" i="10" s="1"/>
  <c r="CB418" i="10" s="1"/>
  <c r="CB419" i="10" s="1"/>
  <c r="CB420" i="10" s="1"/>
  <c r="CB421" i="10" s="1"/>
  <c r="CB422" i="10" s="1"/>
  <c r="CB423" i="10" s="1"/>
  <c r="CB424" i="10" s="1"/>
  <c r="CB425" i="10" s="1"/>
  <c r="CB426" i="10" s="1"/>
  <c r="CB427" i="10" s="1"/>
  <c r="CB428" i="10" s="1"/>
  <c r="CB429" i="10" s="1"/>
  <c r="CB430" i="10" s="1"/>
  <c r="CB431" i="10" s="1"/>
  <c r="CB432" i="10" s="1"/>
  <c r="CB433" i="10" s="1"/>
  <c r="CB434" i="10" s="1"/>
  <c r="CB435" i="10" s="1"/>
  <c r="CB436" i="10" s="1"/>
  <c r="CB437" i="10" s="1"/>
  <c r="CB438" i="10" s="1"/>
  <c r="CB439" i="10" s="1"/>
  <c r="CB440" i="10" s="1"/>
  <c r="CB441" i="10" s="1"/>
  <c r="CB442" i="10" s="1"/>
  <c r="CB443" i="10" s="1"/>
  <c r="CB444" i="10" s="1"/>
  <c r="CB445" i="10" s="1"/>
  <c r="CB446" i="10" s="1"/>
  <c r="CB447" i="10" s="1"/>
  <c r="CB448" i="10" s="1"/>
  <c r="CB449" i="10" s="1"/>
  <c r="CB450" i="10" s="1"/>
  <c r="CB451" i="10" s="1"/>
  <c r="CB452" i="10" s="1"/>
  <c r="CB453" i="10" s="1"/>
  <c r="CB454" i="10" s="1"/>
  <c r="CB455" i="10" s="1"/>
  <c r="CB456" i="10" s="1"/>
  <c r="CB457" i="10" s="1"/>
  <c r="CB458" i="10" s="1"/>
  <c r="CB459" i="10" s="1"/>
  <c r="CB460" i="10" s="1"/>
  <c r="CB461" i="10" s="1"/>
  <c r="CB462" i="10" s="1"/>
  <c r="CB463" i="10" s="1"/>
  <c r="CB464" i="10" s="1"/>
  <c r="CB465" i="10" s="1"/>
  <c r="CB466" i="10" s="1"/>
  <c r="CB467" i="10" s="1"/>
  <c r="CB468" i="10" s="1"/>
  <c r="CB469" i="10" s="1"/>
  <c r="CB470" i="10" s="1"/>
  <c r="CB471" i="10" s="1"/>
  <c r="CB472" i="10" s="1"/>
  <c r="CB473" i="10" s="1"/>
  <c r="CB474" i="10" s="1"/>
  <c r="CB475" i="10" s="1"/>
  <c r="CB476" i="10" s="1"/>
  <c r="CB477" i="10" s="1"/>
  <c r="R36" i="10"/>
  <c r="BJ16" i="10"/>
  <c r="BJ17" i="10" s="1"/>
  <c r="BJ18" i="10" s="1"/>
  <c r="BJ19" i="10" s="1"/>
  <c r="BJ20" i="10" s="1"/>
  <c r="BJ21" i="10" s="1"/>
  <c r="BJ22" i="10" s="1"/>
  <c r="BJ23" i="10" s="1"/>
  <c r="BJ24" i="10" s="1"/>
  <c r="BJ25" i="10" s="1"/>
  <c r="BJ26" i="10" s="1"/>
  <c r="BJ27" i="10" s="1"/>
  <c r="BJ28" i="10" s="1"/>
  <c r="BJ29" i="10" s="1"/>
  <c r="BJ30" i="10" s="1"/>
  <c r="BJ31" i="10" s="1"/>
  <c r="BJ32" i="10" s="1"/>
  <c r="BJ33" i="10" s="1"/>
  <c r="BJ34" i="10" s="1"/>
  <c r="BJ35" i="10" s="1"/>
  <c r="BJ36" i="10" s="1"/>
  <c r="BJ37" i="10" s="1"/>
  <c r="BJ38" i="10" s="1"/>
  <c r="BJ39" i="10" s="1"/>
  <c r="BJ40" i="10" s="1"/>
  <c r="BJ41" i="10" s="1"/>
  <c r="BJ42" i="10" s="1"/>
  <c r="BJ43" i="10" s="1"/>
  <c r="BJ44" i="10" s="1"/>
  <c r="BJ45" i="10" s="1"/>
  <c r="BJ46" i="10" s="1"/>
  <c r="BJ47" i="10" s="1"/>
  <c r="BJ48" i="10" s="1"/>
  <c r="BJ49" i="10" s="1"/>
  <c r="BJ50" i="10" s="1"/>
  <c r="BJ51" i="10" s="1"/>
  <c r="BJ52" i="10" s="1"/>
  <c r="BJ53" i="10" s="1"/>
  <c r="BJ54" i="10" s="1"/>
  <c r="BJ55" i="10" s="1"/>
  <c r="BJ56" i="10" s="1"/>
  <c r="BJ57" i="10" s="1"/>
  <c r="BJ58" i="10" s="1"/>
  <c r="BJ59" i="10" s="1"/>
  <c r="BJ60" i="10" s="1"/>
  <c r="BJ61" i="10" s="1"/>
  <c r="BJ62" i="10" s="1"/>
  <c r="BJ63" i="10" s="1"/>
  <c r="BJ64" i="10" s="1"/>
  <c r="BJ65" i="10" s="1"/>
  <c r="BJ66" i="10" s="1"/>
  <c r="BK16" i="10"/>
  <c r="CV17" i="10"/>
  <c r="CU17" i="10" s="1"/>
  <c r="Z327" i="10"/>
  <c r="Z328" i="10" s="1"/>
  <c r="Z329" i="10" s="1"/>
  <c r="Z330" i="10" s="1"/>
  <c r="Z331" i="10" s="1"/>
  <c r="Z332" i="10" s="1"/>
  <c r="Z333" i="10" s="1"/>
  <c r="Z334" i="10" s="1"/>
  <c r="Z335" i="10" s="1"/>
  <c r="Z336" i="10" s="1"/>
  <c r="Z337" i="10" s="1"/>
  <c r="Z338" i="10" s="1"/>
  <c r="Z339" i="10" s="1"/>
  <c r="Z340" i="10" s="1"/>
  <c r="Z341" i="10" s="1"/>
  <c r="Z342" i="10" s="1"/>
  <c r="Z343" i="10" s="1"/>
  <c r="Z344" i="10" s="1"/>
  <c r="Z345" i="10" s="1"/>
  <c r="Z346" i="10" s="1"/>
  <c r="Z347" i="10" s="1"/>
  <c r="Z348" i="10" s="1"/>
  <c r="Z349" i="10" s="1"/>
  <c r="Z350" i="10" s="1"/>
  <c r="Z351" i="10" s="1"/>
  <c r="Z352" i="10" s="1"/>
  <c r="Z353" i="10" s="1"/>
  <c r="Z354" i="10" s="1"/>
  <c r="Z355" i="10" s="1"/>
  <c r="Z356" i="10" s="1"/>
  <c r="Z357" i="10" s="1"/>
  <c r="Z358" i="10" s="1"/>
  <c r="Z359" i="10" s="1"/>
  <c r="Z360" i="10" s="1"/>
  <c r="Z361" i="10" s="1"/>
  <c r="Z362" i="10" s="1"/>
  <c r="Z363" i="10" s="1"/>
  <c r="Z364" i="10" s="1"/>
  <c r="Z365" i="10" s="1"/>
  <c r="Z366" i="10" s="1"/>
  <c r="Z367" i="10" s="1"/>
  <c r="Z368" i="10" s="1"/>
  <c r="Z369" i="10" s="1"/>
  <c r="Z370" i="10" s="1"/>
  <c r="Z371" i="10" s="1"/>
  <c r="Z372" i="10" s="1"/>
  <c r="Z373" i="10" s="1"/>
  <c r="Z374" i="10" s="1"/>
  <c r="Z375" i="10" s="1"/>
  <c r="Z376" i="10" s="1"/>
  <c r="Z377" i="10" s="1"/>
  <c r="CT16" i="10"/>
  <c r="CT17" i="10" s="1"/>
  <c r="CT18" i="10" s="1"/>
  <c r="CT19" i="10" s="1"/>
  <c r="CT20" i="10" s="1"/>
  <c r="CT21" i="10" s="1"/>
  <c r="CT22" i="10" s="1"/>
  <c r="CT23" i="10" s="1"/>
  <c r="CT24" i="10" s="1"/>
  <c r="CT25" i="10" s="1"/>
  <c r="CT26" i="10" s="1"/>
  <c r="CT27" i="10" s="1"/>
  <c r="CT28" i="10" s="1"/>
  <c r="CT29" i="10" s="1"/>
  <c r="CT30" i="10" s="1"/>
  <c r="CT31" i="10" s="1"/>
  <c r="CT32" i="10" s="1"/>
  <c r="CT33" i="10" s="1"/>
  <c r="CT34" i="10" s="1"/>
  <c r="CT35" i="10" s="1"/>
  <c r="CT36" i="10" s="1"/>
  <c r="CT37" i="10" s="1"/>
  <c r="CT38" i="10" s="1"/>
  <c r="CT39" i="10" s="1"/>
  <c r="CT40" i="10" s="1"/>
  <c r="CT41" i="10" s="1"/>
  <c r="CT42" i="10" s="1"/>
  <c r="CT43" i="10" s="1"/>
  <c r="CT44" i="10" s="1"/>
  <c r="CT45" i="10" s="1"/>
  <c r="CT46" i="10" s="1"/>
  <c r="CT47" i="10" s="1"/>
  <c r="CT48" i="10" s="1"/>
  <c r="CT49" i="10" s="1"/>
  <c r="CT50" i="10" s="1"/>
  <c r="CT51" i="10" s="1"/>
  <c r="CT52" i="10" s="1"/>
  <c r="CT53" i="10" s="1"/>
  <c r="CT54" i="10" s="1"/>
  <c r="CT55" i="10" s="1"/>
  <c r="CT56" i="10" s="1"/>
  <c r="CT57" i="10" s="1"/>
  <c r="CT58" i="10" s="1"/>
  <c r="CT59" i="10" s="1"/>
  <c r="CT60" i="10" s="1"/>
  <c r="CT61" i="10" s="1"/>
  <c r="CT62" i="10" s="1"/>
  <c r="CT63" i="10" s="1"/>
  <c r="CT64" i="10" s="1"/>
  <c r="CT65" i="10" s="1"/>
  <c r="CT66" i="10" s="1"/>
  <c r="AA327" i="10"/>
  <c r="H27" i="7"/>
  <c r="AA16" i="10"/>
  <c r="R15" i="10"/>
  <c r="P15" i="10"/>
  <c r="S15" i="10"/>
  <c r="B5" i="6"/>
  <c r="B4" i="6" s="1"/>
  <c r="B4" i="4"/>
  <c r="BK328" i="10"/>
  <c r="DW17" i="10"/>
  <c r="BU17" i="10"/>
  <c r="BB16" i="10"/>
  <c r="H30" i="7"/>
  <c r="H31" i="7" s="1"/>
  <c r="DV16" i="10"/>
  <c r="AJ327" i="10"/>
  <c r="BT16" i="10"/>
  <c r="R35" i="10"/>
  <c r="AK17" i="10"/>
  <c r="CK327" i="10"/>
  <c r="CK328" i="10" s="1"/>
  <c r="CK329" i="10" s="1"/>
  <c r="CK330" i="10" s="1"/>
  <c r="CK331" i="10" s="1"/>
  <c r="CK332" i="10" s="1"/>
  <c r="CK333" i="10" s="1"/>
  <c r="CK334" i="10" s="1"/>
  <c r="CK335" i="10" s="1"/>
  <c r="CK336" i="10" s="1"/>
  <c r="CK337" i="10" s="1"/>
  <c r="CK338" i="10" s="1"/>
  <c r="CK339" i="10" s="1"/>
  <c r="CK340" i="10" s="1"/>
  <c r="CK341" i="10" s="1"/>
  <c r="CK342" i="10" s="1"/>
  <c r="CK343" i="10" s="1"/>
  <c r="CK344" i="10" s="1"/>
  <c r="CK345" i="10" s="1"/>
  <c r="CK346" i="10" s="1"/>
  <c r="CK347" i="10" s="1"/>
  <c r="CK348" i="10" s="1"/>
  <c r="CK349" i="10" s="1"/>
  <c r="CK350" i="10" s="1"/>
  <c r="CK351" i="10" s="1"/>
  <c r="CK352" i="10" s="1"/>
  <c r="CK353" i="10" s="1"/>
  <c r="CK354" i="10" s="1"/>
  <c r="CK355" i="10" s="1"/>
  <c r="CK356" i="10" s="1"/>
  <c r="CK357" i="10" s="1"/>
  <c r="CK358" i="10" s="1"/>
  <c r="CK359" i="10" s="1"/>
  <c r="CK360" i="10" s="1"/>
  <c r="CK361" i="10" s="1"/>
  <c r="CK362" i="10" s="1"/>
  <c r="CK363" i="10" s="1"/>
  <c r="CK364" i="10" s="1"/>
  <c r="CK365" i="10" s="1"/>
  <c r="CK366" i="10" s="1"/>
  <c r="CK367" i="10" s="1"/>
  <c r="CK368" i="10" s="1"/>
  <c r="CK369" i="10" s="1"/>
  <c r="CK370" i="10" s="1"/>
  <c r="CK371" i="10" s="1"/>
  <c r="CK372" i="10" s="1"/>
  <c r="CK373" i="10" s="1"/>
  <c r="CK374" i="10" s="1"/>
  <c r="CK375" i="10" s="1"/>
  <c r="CK376" i="10" s="1"/>
  <c r="CK377" i="10" s="1"/>
  <c r="CK378" i="10" s="1"/>
  <c r="CK379" i="10" s="1"/>
  <c r="CK380" i="10" s="1"/>
  <c r="CK381" i="10" s="1"/>
  <c r="CK382" i="10" s="1"/>
  <c r="CK383" i="10" s="1"/>
  <c r="CK384" i="10" s="1"/>
  <c r="CK385" i="10" s="1"/>
  <c r="CK386" i="10" s="1"/>
  <c r="CK387" i="10" s="1"/>
  <c r="CK388" i="10" s="1"/>
  <c r="CK389" i="10" s="1"/>
  <c r="CK390" i="10" s="1"/>
  <c r="CK391" i="10" s="1"/>
  <c r="CK392" i="10" s="1"/>
  <c r="CK393" i="10" s="1"/>
  <c r="CK394" i="10" s="1"/>
  <c r="CK395" i="10" s="1"/>
  <c r="CK396" i="10" s="1"/>
  <c r="CK397" i="10" s="1"/>
  <c r="CK398" i="10" s="1"/>
  <c r="CK399" i="10" s="1"/>
  <c r="CK400" i="10" s="1"/>
  <c r="CK401" i="10" s="1"/>
  <c r="CK402" i="10" s="1"/>
  <c r="CK403" i="10" s="1"/>
  <c r="CK404" i="10" s="1"/>
  <c r="CK405" i="10" s="1"/>
  <c r="CK406" i="10" s="1"/>
  <c r="CK407" i="10" s="1"/>
  <c r="CK408" i="10" s="1"/>
  <c r="CK409" i="10" s="1"/>
  <c r="CK410" i="10" s="1"/>
  <c r="CK411" i="10" s="1"/>
  <c r="CK412" i="10" s="1"/>
  <c r="CK413" i="10" s="1"/>
  <c r="CK414" i="10" s="1"/>
  <c r="CK415" i="10" s="1"/>
  <c r="CK416" i="10" s="1"/>
  <c r="CK417" i="10" s="1"/>
  <c r="CK418" i="10" s="1"/>
  <c r="CK419" i="10" s="1"/>
  <c r="CK420" i="10" s="1"/>
  <c r="CK421" i="10" s="1"/>
  <c r="CK422" i="10" s="1"/>
  <c r="CK423" i="10" s="1"/>
  <c r="CK424" i="10" s="1"/>
  <c r="CK425" i="10" s="1"/>
  <c r="CK426" i="10" s="1"/>
  <c r="CK427" i="10" s="1"/>
  <c r="CK428" i="10" s="1"/>
  <c r="CK429" i="10" s="1"/>
  <c r="CK430" i="10" s="1"/>
  <c r="CK431" i="10" s="1"/>
  <c r="CK432" i="10" s="1"/>
  <c r="CK433" i="10" s="1"/>
  <c r="CK434" i="10" s="1"/>
  <c r="CK435" i="10" s="1"/>
  <c r="CK436" i="10" s="1"/>
  <c r="CK437" i="10" s="1"/>
  <c r="CK438" i="10" s="1"/>
  <c r="CK439" i="10" s="1"/>
  <c r="CK440" i="10" s="1"/>
  <c r="CK441" i="10" s="1"/>
  <c r="CK442" i="10" s="1"/>
  <c r="CK443" i="10" s="1"/>
  <c r="CK444" i="10" s="1"/>
  <c r="CK445" i="10" s="1"/>
  <c r="CK446" i="10" s="1"/>
  <c r="CK447" i="10" s="1"/>
  <c r="CK448" i="10" s="1"/>
  <c r="CK449" i="10" s="1"/>
  <c r="CK450" i="10" s="1"/>
  <c r="CK451" i="10" s="1"/>
  <c r="CK452" i="10" s="1"/>
  <c r="CK453" i="10" s="1"/>
  <c r="CK454" i="10" s="1"/>
  <c r="CK455" i="10" s="1"/>
  <c r="CK456" i="10" s="1"/>
  <c r="CK457" i="10" s="1"/>
  <c r="CK458" i="10" s="1"/>
  <c r="CK459" i="10" s="1"/>
  <c r="CK460" i="10" s="1"/>
  <c r="CK461" i="10" s="1"/>
  <c r="CK462" i="10" s="1"/>
  <c r="CK463" i="10" s="1"/>
  <c r="CK464" i="10" s="1"/>
  <c r="CK465" i="10" s="1"/>
  <c r="CK466" i="10" s="1"/>
  <c r="CK467" i="10" s="1"/>
  <c r="CK468" i="10" s="1"/>
  <c r="CK469" i="10" s="1"/>
  <c r="CK470" i="10" s="1"/>
  <c r="CK471" i="10" s="1"/>
  <c r="CK472" i="10" s="1"/>
  <c r="CK473" i="10" s="1"/>
  <c r="CK474" i="10" s="1"/>
  <c r="CK475" i="10" s="1"/>
  <c r="CK476" i="10" s="1"/>
  <c r="CK477" i="10" s="1"/>
  <c r="CK478" i="10" s="1"/>
  <c r="CK479" i="10" s="1"/>
  <c r="CK480" i="10" s="1"/>
  <c r="CK481" i="10" s="1"/>
  <c r="CK482" i="10" s="1"/>
  <c r="CK483" i="10" s="1"/>
  <c r="CK484" i="10" s="1"/>
  <c r="CK485" i="10" s="1"/>
  <c r="CK486" i="10" s="1"/>
  <c r="CK487" i="10" s="1"/>
  <c r="CK488" i="10" s="1"/>
  <c r="CK489" i="10" s="1"/>
  <c r="CK490" i="10" s="1"/>
  <c r="CK491" i="10" s="1"/>
  <c r="CK492" i="10" s="1"/>
  <c r="CK493" i="10" s="1"/>
  <c r="CK494" i="10" s="1"/>
  <c r="CK495" i="10" s="1"/>
  <c r="CK496" i="10" s="1"/>
  <c r="CK497" i="10" s="1"/>
  <c r="CK498" i="10" s="1"/>
  <c r="CK499" i="10" s="1"/>
  <c r="CK500" i="10" s="1"/>
  <c r="CK501" i="10" s="1"/>
  <c r="CK502" i="10" s="1"/>
  <c r="CK503" i="10" s="1"/>
  <c r="CK504" i="10" s="1"/>
  <c r="CK505" i="10" s="1"/>
  <c r="CK506" i="10" s="1"/>
  <c r="CK507" i="10" s="1"/>
  <c r="CK508" i="10" s="1"/>
  <c r="CK509" i="10" s="1"/>
  <c r="CK510" i="10" s="1"/>
  <c r="CK511" i="10" s="1"/>
  <c r="CK512" i="10" s="1"/>
  <c r="CK513" i="10" s="1"/>
  <c r="CK514" i="10" s="1"/>
  <c r="CK515" i="10" s="1"/>
  <c r="CK516" i="10" s="1"/>
  <c r="CK517" i="10" s="1"/>
  <c r="CK518" i="10" s="1"/>
  <c r="CK519" i="10" s="1"/>
  <c r="CK520" i="10" s="1"/>
  <c r="CK521" i="10" s="1"/>
  <c r="CK522" i="10" s="1"/>
  <c r="CK523" i="10" s="1"/>
  <c r="CK524" i="10" s="1"/>
  <c r="CK525" i="10" s="1"/>
  <c r="CK526" i="10" s="1"/>
  <c r="CK527" i="10" s="1"/>
  <c r="CK528" i="10" s="1"/>
  <c r="CK529" i="10" s="1"/>
  <c r="CK530" i="10" s="1"/>
  <c r="CK531" i="10" s="1"/>
  <c r="CK532" i="10" s="1"/>
  <c r="CK533" i="10" s="1"/>
  <c r="CK534" i="10" s="1"/>
  <c r="CK535" i="10" s="1"/>
  <c r="CK536" i="10" s="1"/>
  <c r="CK537" i="10" s="1"/>
  <c r="CK538" i="10" s="1"/>
  <c r="CK539" i="10" s="1"/>
  <c r="CK540" i="10" s="1"/>
  <c r="CK541" i="10" s="1"/>
  <c r="CK542" i="10" s="1"/>
  <c r="CK543" i="10" s="1"/>
  <c r="CK544" i="10" s="1"/>
  <c r="CK545" i="10" s="1"/>
  <c r="CK546" i="10" s="1"/>
  <c r="CK547" i="10" s="1"/>
  <c r="CK548" i="10" s="1"/>
  <c r="CK549" i="10" s="1"/>
  <c r="CK550" i="10" s="1"/>
  <c r="CK551" i="10" s="1"/>
  <c r="CK552" i="10" s="1"/>
  <c r="CK553" i="10" s="1"/>
  <c r="CK554" i="10" s="1"/>
  <c r="CK555" i="10" s="1"/>
  <c r="CK556" i="10" s="1"/>
  <c r="CK557" i="10" s="1"/>
  <c r="CK558" i="10" s="1"/>
  <c r="CK559" i="10" s="1"/>
  <c r="CK560" i="10" s="1"/>
  <c r="CK561" i="10" s="1"/>
  <c r="CK562" i="10" s="1"/>
  <c r="CK563" i="10" s="1"/>
  <c r="CK564" i="10" s="1"/>
  <c r="CK565" i="10" s="1"/>
  <c r="CK566" i="10" s="1"/>
  <c r="CK567" i="10" s="1"/>
  <c r="CK568" i="10" s="1"/>
  <c r="CK569" i="10" s="1"/>
  <c r="CK570" i="10" s="1"/>
  <c r="CK571" i="10" s="1"/>
  <c r="CK572" i="10" s="1"/>
  <c r="CK573" i="10" s="1"/>
  <c r="CK574" i="10" s="1"/>
  <c r="CK575" i="10" s="1"/>
  <c r="CK576" i="10" s="1"/>
  <c r="CK577" i="10" s="1"/>
  <c r="CK578" i="10" s="1"/>
  <c r="CK579" i="10" s="1"/>
  <c r="CK580" i="10" s="1"/>
  <c r="CK581" i="10" s="1"/>
  <c r="CK582" i="10" s="1"/>
  <c r="CK583" i="10" s="1"/>
  <c r="CK584" i="10" s="1"/>
  <c r="CK585" i="10" s="1"/>
  <c r="CK586" i="10" s="1"/>
  <c r="CK587" i="10" s="1"/>
  <c r="CK588" i="10" s="1"/>
  <c r="CK589" i="10" s="1"/>
  <c r="CK590" i="10" s="1"/>
  <c r="CK591" i="10" s="1"/>
  <c r="CK592" i="10" s="1"/>
  <c r="CK593" i="10" s="1"/>
  <c r="CK594" i="10" s="1"/>
  <c r="CK595" i="10" s="1"/>
  <c r="CK596" i="10" s="1"/>
  <c r="CK597" i="10" s="1"/>
  <c r="CK598" i="10" s="1"/>
  <c r="CK599" i="10" s="1"/>
  <c r="CK600" i="10" s="1"/>
  <c r="CK601" i="10" s="1"/>
  <c r="CK602" i="10" s="1"/>
  <c r="CK603" i="10" s="1"/>
  <c r="CK604" i="10" s="1"/>
  <c r="CK605" i="10" s="1"/>
  <c r="CK606" i="10" s="1"/>
  <c r="CK607" i="10" s="1"/>
  <c r="CK608" i="10" s="1"/>
  <c r="CK609" i="10" s="1"/>
  <c r="CK610" i="10" s="1"/>
  <c r="CK611" i="10" s="1"/>
  <c r="CK612" i="10" s="1"/>
  <c r="CK613" i="10" s="1"/>
  <c r="CK614" i="10" s="1"/>
  <c r="CK615" i="10" s="1"/>
  <c r="CK616" i="10" s="1"/>
  <c r="CK617" i="10" s="1"/>
  <c r="CK618" i="10" s="1"/>
  <c r="CK619" i="10" s="1"/>
  <c r="CK620" i="10" s="1"/>
  <c r="CK621" i="10" s="1"/>
  <c r="CK622" i="10" s="1"/>
  <c r="CK623" i="10" s="1"/>
  <c r="CK624" i="10" s="1"/>
  <c r="CK625" i="10" s="1"/>
  <c r="CK626" i="10" s="1"/>
  <c r="CK627" i="10" s="1"/>
  <c r="DC16" i="10"/>
  <c r="DC17" i="10" s="1"/>
  <c r="DC18" i="10" s="1"/>
  <c r="DC19" i="10" s="1"/>
  <c r="DC20" i="10" s="1"/>
  <c r="DC21" i="10" s="1"/>
  <c r="DC22" i="10" s="1"/>
  <c r="DC23" i="10" s="1"/>
  <c r="DC24" i="10" s="1"/>
  <c r="DC25" i="10" s="1"/>
  <c r="DC26" i="10" s="1"/>
  <c r="DC27" i="10" s="1"/>
  <c r="DC28" i="10" s="1"/>
  <c r="DC29" i="10" s="1"/>
  <c r="DC30" i="10" s="1"/>
  <c r="DC31" i="10" s="1"/>
  <c r="DC32" i="10" s="1"/>
  <c r="DC33" i="10" s="1"/>
  <c r="DC34" i="10" s="1"/>
  <c r="DC35" i="10" s="1"/>
  <c r="DC36" i="10" s="1"/>
  <c r="DC37" i="10" s="1"/>
  <c r="DC38" i="10" s="1"/>
  <c r="DC39" i="10" s="1"/>
  <c r="DC40" i="10" s="1"/>
  <c r="DC41" i="10" s="1"/>
  <c r="DC42" i="10" s="1"/>
  <c r="DC43" i="10" s="1"/>
  <c r="DC44" i="10" s="1"/>
  <c r="DC45" i="10" s="1"/>
  <c r="DC46" i="10" s="1"/>
  <c r="DC47" i="10" s="1"/>
  <c r="DC48" i="10" s="1"/>
  <c r="DC49" i="10" s="1"/>
  <c r="DC50" i="10" s="1"/>
  <c r="DC51" i="10" s="1"/>
  <c r="DC52" i="10" s="1"/>
  <c r="DC53" i="10" s="1"/>
  <c r="DC54" i="10" s="1"/>
  <c r="DC55" i="10" s="1"/>
  <c r="DC56" i="10" s="1"/>
  <c r="DC57" i="10" s="1"/>
  <c r="DC58" i="10" s="1"/>
  <c r="DC59" i="10" s="1"/>
  <c r="DC60" i="10" s="1"/>
  <c r="DC61" i="10" s="1"/>
  <c r="DC62" i="10" s="1"/>
  <c r="DC63" i="10" s="1"/>
  <c r="DC64" i="10" s="1"/>
  <c r="DC65" i="10" s="1"/>
  <c r="DC66" i="10" s="1"/>
  <c r="DC67" i="10" s="1"/>
  <c r="DC68" i="10" s="1"/>
  <c r="DC69" i="10" s="1"/>
  <c r="DC70" i="10" s="1"/>
  <c r="DC71" i="10" s="1"/>
  <c r="DC72" i="10" s="1"/>
  <c r="DC73" i="10" s="1"/>
  <c r="DC74" i="10" s="1"/>
  <c r="DC75" i="10" s="1"/>
  <c r="DC76" i="10" s="1"/>
  <c r="DC77" i="10" s="1"/>
  <c r="DC78" i="10" s="1"/>
  <c r="DC79" i="10" s="1"/>
  <c r="DC80" i="10" s="1"/>
  <c r="DC81" i="10" s="1"/>
  <c r="DC82" i="10" s="1"/>
  <c r="DC83" i="10" s="1"/>
  <c r="DC84" i="10" s="1"/>
  <c r="DC85" i="10" s="1"/>
  <c r="DC86" i="10" s="1"/>
  <c r="DC87" i="10" s="1"/>
  <c r="DC88" i="10" s="1"/>
  <c r="DC89" i="10" s="1"/>
  <c r="DC90" i="10" s="1"/>
  <c r="DC91" i="10" s="1"/>
  <c r="BS16" i="10"/>
  <c r="BS17" i="10" s="1"/>
  <c r="BS18" i="10" s="1"/>
  <c r="BS19" i="10" s="1"/>
  <c r="BS20" i="10" s="1"/>
  <c r="BS21" i="10" s="1"/>
  <c r="BS22" i="10" s="1"/>
  <c r="BS23" i="10" s="1"/>
  <c r="BS24" i="10" s="1"/>
  <c r="BS25" i="10" s="1"/>
  <c r="BS26" i="10" s="1"/>
  <c r="BS27" i="10" s="1"/>
  <c r="BS28" i="10" s="1"/>
  <c r="BS29" i="10" s="1"/>
  <c r="BS30" i="10" s="1"/>
  <c r="BS31" i="10" s="1"/>
  <c r="BS32" i="10" s="1"/>
  <c r="BS33" i="10" s="1"/>
  <c r="BS34" i="10" s="1"/>
  <c r="BS35" i="10" s="1"/>
  <c r="BS36" i="10" s="1"/>
  <c r="BS37" i="10" s="1"/>
  <c r="BS38" i="10" s="1"/>
  <c r="BS39" i="10" s="1"/>
  <c r="BS40" i="10" s="1"/>
  <c r="BS41" i="10" s="1"/>
  <c r="BS42" i="10" s="1"/>
  <c r="BS43" i="10" s="1"/>
  <c r="BS44" i="10" s="1"/>
  <c r="BS45" i="10" s="1"/>
  <c r="BS46" i="10" s="1"/>
  <c r="BS47" i="10" s="1"/>
  <c r="BS48" i="10" s="1"/>
  <c r="BS49" i="10" s="1"/>
  <c r="BS50" i="10" s="1"/>
  <c r="BS51" i="10" s="1"/>
  <c r="BS52" i="10" s="1"/>
  <c r="BS53" i="10" s="1"/>
  <c r="BS54" i="10" s="1"/>
  <c r="BS55" i="10" s="1"/>
  <c r="BS56" i="10" s="1"/>
  <c r="BS57" i="10" s="1"/>
  <c r="BS58" i="10" s="1"/>
  <c r="BS59" i="10" s="1"/>
  <c r="BS60" i="10" s="1"/>
  <c r="BS61" i="10" s="1"/>
  <c r="BS62" i="10" s="1"/>
  <c r="BS63" i="10" s="1"/>
  <c r="BS64" i="10" s="1"/>
  <c r="BS65" i="10" s="1"/>
  <c r="BS66" i="10" s="1"/>
  <c r="BS67" i="10" s="1"/>
  <c r="BS68" i="10" s="1"/>
  <c r="BS69" i="10" s="1"/>
  <c r="BS70" i="10" s="1"/>
  <c r="BS71" i="10" s="1"/>
  <c r="BS72" i="10" s="1"/>
  <c r="BS73" i="10" s="1"/>
  <c r="BS74" i="10" s="1"/>
  <c r="BS75" i="10" s="1"/>
  <c r="BS76" i="10" s="1"/>
  <c r="BS77" i="10" s="1"/>
  <c r="BS78" i="10" s="1"/>
  <c r="BS79" i="10" s="1"/>
  <c r="BS80" i="10" s="1"/>
  <c r="BS81" i="10" s="1"/>
  <c r="BS82" i="10" s="1"/>
  <c r="BS83" i="10" s="1"/>
  <c r="BS84" i="10" s="1"/>
  <c r="BS85" i="10" s="1"/>
  <c r="BS86" i="10" s="1"/>
  <c r="BS87" i="10" s="1"/>
  <c r="BS88" i="10" s="1"/>
  <c r="BS89" i="10" s="1"/>
  <c r="BS90" i="10" s="1"/>
  <c r="BS91" i="10" s="1"/>
  <c r="CM328" i="10"/>
  <c r="CM17" i="10"/>
  <c r="BC17" i="10"/>
  <c r="D2" i="6"/>
  <c r="AQ54" i="12"/>
  <c r="AQ60" i="12"/>
  <c r="AQ63" i="12"/>
  <c r="AQ56" i="12"/>
  <c r="AQ57" i="12"/>
  <c r="AQ59" i="12"/>
  <c r="AQ53" i="12"/>
  <c r="AQ61" i="12"/>
  <c r="AQ64" i="12"/>
  <c r="AQ55" i="12"/>
  <c r="AQ58" i="12"/>
  <c r="AQ62" i="12"/>
  <c r="P4" i="11"/>
  <c r="F8" i="4"/>
  <c r="Q5" i="11"/>
  <c r="S5" i="11" s="1"/>
  <c r="V3" i="5"/>
  <c r="R3" i="5"/>
  <c r="D21" i="5"/>
  <c r="U5" i="11"/>
  <c r="V5" i="11" s="1"/>
  <c r="O5" i="11"/>
  <c r="P5" i="11" s="1"/>
  <c r="B6" i="11"/>
  <c r="J12" i="16" l="1"/>
  <c r="K11" i="16"/>
  <c r="G11" i="16" s="1"/>
  <c r="L11" i="16"/>
  <c r="H18" i="16"/>
  <c r="DD17" i="10"/>
  <c r="S4" i="11"/>
  <c r="J6" i="5"/>
  <c r="J5" i="5"/>
  <c r="DE18" i="10"/>
  <c r="DD18" i="10" s="1"/>
  <c r="BT329" i="10"/>
  <c r="AL328" i="10"/>
  <c r="BV330" i="10"/>
  <c r="AU329" i="10"/>
  <c r="AA328" i="10"/>
  <c r="BB328" i="10"/>
  <c r="AA17" i="10"/>
  <c r="G14" i="5"/>
  <c r="G21" i="5"/>
  <c r="G15" i="5"/>
  <c r="BC329" i="10"/>
  <c r="BB329" i="10" s="1"/>
  <c r="AU328" i="10"/>
  <c r="F6" i="6"/>
  <c r="G100" i="6" s="1"/>
  <c r="G13" i="5"/>
  <c r="G11" i="5"/>
  <c r="G12" i="5"/>
  <c r="G19" i="5"/>
  <c r="G10" i="5"/>
  <c r="H6" i="5"/>
  <c r="H6" i="6" s="1"/>
  <c r="G16" i="5"/>
  <c r="G17" i="5"/>
  <c r="G20" i="5"/>
  <c r="G18" i="5"/>
  <c r="AS329" i="10"/>
  <c r="CD18" i="10"/>
  <c r="CD19" i="10" s="1"/>
  <c r="AU17" i="10"/>
  <c r="AT18" i="10"/>
  <c r="AT19" i="10" s="1"/>
  <c r="AT20" i="10" s="1"/>
  <c r="AS20" i="10" s="1"/>
  <c r="BL329" i="10"/>
  <c r="BM329" i="10" s="1"/>
  <c r="AS328" i="10"/>
  <c r="AB329" i="10"/>
  <c r="AC329" i="10" s="1"/>
  <c r="DM17" i="10"/>
  <c r="BL18" i="10"/>
  <c r="BL19" i="10" s="1"/>
  <c r="DN18" i="10"/>
  <c r="DM18" i="10" s="1"/>
  <c r="BK17" i="10"/>
  <c r="CD329" i="10"/>
  <c r="CE328" i="10"/>
  <c r="B6" i="6"/>
  <c r="AJ328" i="10"/>
  <c r="BT328" i="10"/>
  <c r="BV328" i="10"/>
  <c r="AB18" i="10"/>
  <c r="AC18" i="10" s="1"/>
  <c r="BU331" i="10"/>
  <c r="BV331" i="10" s="1"/>
  <c r="BV329" i="10"/>
  <c r="D6" i="6"/>
  <c r="D5" i="5"/>
  <c r="D5" i="6" s="1"/>
  <c r="CW17" i="10"/>
  <c r="CV18" i="10"/>
  <c r="CV19" i="10" s="1"/>
  <c r="CE17" i="10"/>
  <c r="G9" i="4"/>
  <c r="G10" i="4" s="1"/>
  <c r="G12" i="4" s="1"/>
  <c r="G52" i="4" s="1"/>
  <c r="E9" i="4"/>
  <c r="E10" i="4" s="1"/>
  <c r="E12" i="4" s="1"/>
  <c r="E113" i="4" s="1"/>
  <c r="H9" i="4"/>
  <c r="H10" i="4" s="1"/>
  <c r="H12" i="4" s="1"/>
  <c r="D9" i="4"/>
  <c r="D10" i="4" s="1"/>
  <c r="D12" i="4" s="1"/>
  <c r="F9" i="4"/>
  <c r="F10" i="4" s="1"/>
  <c r="F12" i="4" s="1"/>
  <c r="I9" i="4"/>
  <c r="I10" i="4" s="1"/>
  <c r="I12" i="4" s="1"/>
  <c r="J9" i="4"/>
  <c r="J10" i="4" s="1"/>
  <c r="J12" i="4" s="1"/>
  <c r="J107" i="4" s="1"/>
  <c r="C9" i="4"/>
  <c r="C10" i="4" s="1"/>
  <c r="C12" i="4" s="1"/>
  <c r="D4" i="4"/>
  <c r="BD17" i="10"/>
  <c r="BC18" i="10"/>
  <c r="CN328" i="10"/>
  <c r="CM329" i="10"/>
  <c r="AL17" i="10"/>
  <c r="AK18" i="10"/>
  <c r="BU18" i="10"/>
  <c r="BV17" i="10"/>
  <c r="BT17" i="10"/>
  <c r="CN17" i="10"/>
  <c r="CM18" i="10"/>
  <c r="CL17" i="10"/>
  <c r="BB17" i="10"/>
  <c r="DW18" i="10"/>
  <c r="DX17" i="10"/>
  <c r="DV17" i="10"/>
  <c r="CL328" i="10"/>
  <c r="AJ17" i="10"/>
  <c r="AK330" i="10"/>
  <c r="AJ329" i="10"/>
  <c r="AL329" i="10"/>
  <c r="V4" i="5"/>
  <c r="D22" i="5"/>
  <c r="G22" i="5" s="1"/>
  <c r="R4" i="5"/>
  <c r="AU330" i="10"/>
  <c r="AT331" i="10"/>
  <c r="AS330" i="10"/>
  <c r="Q6" i="11"/>
  <c r="N6" i="11"/>
  <c r="B7" i="11"/>
  <c r="O6" i="11"/>
  <c r="R6" i="11"/>
  <c r="T6" i="11"/>
  <c r="U6" i="11"/>
  <c r="D6" i="11"/>
  <c r="J13" i="16" l="1"/>
  <c r="L12" i="16"/>
  <c r="K12" i="16"/>
  <c r="G12" i="16" s="1"/>
  <c r="H19" i="16"/>
  <c r="DF18" i="10"/>
  <c r="DE19" i="10"/>
  <c r="DD19" i="10" s="1"/>
  <c r="AS18" i="10"/>
  <c r="V6" i="11"/>
  <c r="G78" i="6"/>
  <c r="I78" i="6" s="1"/>
  <c r="N78" i="6" s="1"/>
  <c r="AU18" i="10"/>
  <c r="E41" i="4"/>
  <c r="G80" i="6"/>
  <c r="I80" i="6" s="1"/>
  <c r="N80" i="6" s="1"/>
  <c r="G99" i="6"/>
  <c r="H99" i="6" s="1"/>
  <c r="U82" i="6" s="1"/>
  <c r="G123" i="6"/>
  <c r="I123" i="6" s="1"/>
  <c r="N123" i="6" s="1"/>
  <c r="G72" i="6"/>
  <c r="I72" i="6" s="1"/>
  <c r="N72" i="6" s="1"/>
  <c r="CE18" i="10"/>
  <c r="G35" i="4"/>
  <c r="BC330" i="10"/>
  <c r="BB330" i="10" s="1"/>
  <c r="AT21" i="10"/>
  <c r="AU21" i="10" s="1"/>
  <c r="BD329" i="10"/>
  <c r="AU20" i="10"/>
  <c r="AS19" i="10"/>
  <c r="G165" i="6"/>
  <c r="I165" i="6" s="1"/>
  <c r="N165" i="6" s="1"/>
  <c r="G47" i="6"/>
  <c r="H47" i="6" s="1"/>
  <c r="U30" i="6" s="1"/>
  <c r="G34" i="6"/>
  <c r="H34" i="6" s="1"/>
  <c r="G46" i="6"/>
  <c r="I46" i="6" s="1"/>
  <c r="N46" i="6" s="1"/>
  <c r="G11" i="6"/>
  <c r="I11" i="6" s="1"/>
  <c r="N11" i="6" s="1"/>
  <c r="G64" i="6"/>
  <c r="H64" i="6" s="1"/>
  <c r="U47" i="6" s="1"/>
  <c r="G59" i="6"/>
  <c r="I59" i="6" s="1"/>
  <c r="N59" i="6" s="1"/>
  <c r="G58" i="6"/>
  <c r="I58" i="6" s="1"/>
  <c r="N58" i="6" s="1"/>
  <c r="BT331" i="10"/>
  <c r="G124" i="6"/>
  <c r="H124" i="6" s="1"/>
  <c r="K124" i="6" s="1"/>
  <c r="G79" i="6"/>
  <c r="H79" i="6" s="1"/>
  <c r="G52" i="6"/>
  <c r="I52" i="6" s="1"/>
  <c r="N52" i="6" s="1"/>
  <c r="G148" i="6"/>
  <c r="H148" i="6" s="1"/>
  <c r="G81" i="6"/>
  <c r="G44" i="6"/>
  <c r="I44" i="6" s="1"/>
  <c r="N44" i="6" s="1"/>
  <c r="G60" i="6"/>
  <c r="I60" i="6" s="1"/>
  <c r="N60" i="6" s="1"/>
  <c r="G32" i="6"/>
  <c r="I32" i="6" s="1"/>
  <c r="N32" i="6" s="1"/>
  <c r="G128" i="6"/>
  <c r="I128" i="6" s="1"/>
  <c r="N128" i="6" s="1"/>
  <c r="G49" i="6"/>
  <c r="H49" i="6" s="1"/>
  <c r="U32" i="6" s="1"/>
  <c r="G21" i="6"/>
  <c r="H21" i="6" s="1"/>
  <c r="U4" i="6" s="1"/>
  <c r="J124" i="4"/>
  <c r="H5" i="5"/>
  <c r="H5" i="6" s="1"/>
  <c r="F43" i="6" s="1"/>
  <c r="O43" i="6" s="1"/>
  <c r="G102" i="6"/>
  <c r="I102" i="6" s="1"/>
  <c r="N102" i="6" s="1"/>
  <c r="G157" i="6"/>
  <c r="I157" i="6" s="1"/>
  <c r="N157" i="6" s="1"/>
  <c r="G145" i="6"/>
  <c r="H145" i="6" s="1"/>
  <c r="K145" i="6" s="1"/>
  <c r="G101" i="6"/>
  <c r="I101" i="6" s="1"/>
  <c r="N101" i="6" s="1"/>
  <c r="G98" i="6"/>
  <c r="I98" i="6" s="1"/>
  <c r="N98" i="6" s="1"/>
  <c r="G140" i="6"/>
  <c r="G155" i="6"/>
  <c r="I155" i="6" s="1"/>
  <c r="N155" i="6" s="1"/>
  <c r="G48" i="6"/>
  <c r="I48" i="6" s="1"/>
  <c r="N48" i="6" s="1"/>
  <c r="G136" i="6"/>
  <c r="H136" i="6" s="1"/>
  <c r="K136" i="6" s="1"/>
  <c r="G39" i="6"/>
  <c r="H39" i="6" s="1"/>
  <c r="G119" i="6"/>
  <c r="H119" i="6" s="1"/>
  <c r="G95" i="6"/>
  <c r="I95" i="6" s="1"/>
  <c r="N95" i="6" s="1"/>
  <c r="G63" i="6"/>
  <c r="I63" i="6" s="1"/>
  <c r="N63" i="6" s="1"/>
  <c r="G69" i="6"/>
  <c r="I69" i="6" s="1"/>
  <c r="N69" i="6" s="1"/>
  <c r="G54" i="6"/>
  <c r="I54" i="6" s="1"/>
  <c r="N54" i="6" s="1"/>
  <c r="G144" i="6"/>
  <c r="H144" i="6" s="1"/>
  <c r="G56" i="6"/>
  <c r="H56" i="6" s="1"/>
  <c r="G38" i="6"/>
  <c r="I38" i="6" s="1"/>
  <c r="N38" i="6" s="1"/>
  <c r="G53" i="6"/>
  <c r="H53" i="6" s="1"/>
  <c r="G118" i="6"/>
  <c r="H118" i="6" s="1"/>
  <c r="U101" i="6" s="1"/>
  <c r="G84" i="6"/>
  <c r="H84" i="6" s="1"/>
  <c r="K84" i="6" s="1"/>
  <c r="G75" i="6"/>
  <c r="I75" i="6" s="1"/>
  <c r="N75" i="6" s="1"/>
  <c r="G71" i="6"/>
  <c r="H71" i="6" s="1"/>
  <c r="U54" i="6" s="1"/>
  <c r="G15" i="6"/>
  <c r="H15" i="6" s="1"/>
  <c r="K15" i="6" s="1"/>
  <c r="G97" i="6"/>
  <c r="I97" i="6" s="1"/>
  <c r="N97" i="6" s="1"/>
  <c r="G86" i="6"/>
  <c r="G122" i="6"/>
  <c r="H122" i="6" s="1"/>
  <c r="K122" i="6" s="1"/>
  <c r="G62" i="6"/>
  <c r="H62" i="6" s="1"/>
  <c r="K62" i="6" s="1"/>
  <c r="G141" i="6"/>
  <c r="I141" i="6" s="1"/>
  <c r="N141" i="6" s="1"/>
  <c r="G161" i="6"/>
  <c r="H161" i="6" s="1"/>
  <c r="K161" i="6" s="1"/>
  <c r="G30" i="6"/>
  <c r="I30" i="6" s="1"/>
  <c r="N30" i="6" s="1"/>
  <c r="G163" i="6"/>
  <c r="G22" i="6"/>
  <c r="H22" i="6" s="1"/>
  <c r="K22" i="6" s="1"/>
  <c r="G114" i="6"/>
  <c r="I114" i="6" s="1"/>
  <c r="N114" i="6" s="1"/>
  <c r="G130" i="6"/>
  <c r="I130" i="6" s="1"/>
  <c r="N130" i="6" s="1"/>
  <c r="G31" i="6"/>
  <c r="G91" i="6"/>
  <c r="I91" i="6" s="1"/>
  <c r="N91" i="6" s="1"/>
  <c r="G103" i="6"/>
  <c r="H103" i="6" s="1"/>
  <c r="K103" i="6" s="1"/>
  <c r="G13" i="6"/>
  <c r="I13" i="6" s="1"/>
  <c r="N13" i="6" s="1"/>
  <c r="G23" i="6"/>
  <c r="H23" i="6" s="1"/>
  <c r="K23" i="6" s="1"/>
  <c r="J58" i="4"/>
  <c r="J85" i="4"/>
  <c r="J100" i="4"/>
  <c r="J183" i="4"/>
  <c r="J213" i="4"/>
  <c r="J74" i="4"/>
  <c r="J83" i="4"/>
  <c r="J99" i="4"/>
  <c r="G207" i="4"/>
  <c r="J105" i="4"/>
  <c r="J132" i="4"/>
  <c r="J174" i="4"/>
  <c r="J67" i="4"/>
  <c r="J26" i="4"/>
  <c r="J202" i="4"/>
  <c r="J50" i="4"/>
  <c r="J156" i="4"/>
  <c r="J81" i="4"/>
  <c r="G122" i="4"/>
  <c r="C5" i="10"/>
  <c r="G36" i="6"/>
  <c r="I36" i="6" s="1"/>
  <c r="N36" i="6" s="1"/>
  <c r="G139" i="6"/>
  <c r="H139" i="6" s="1"/>
  <c r="G89" i="6"/>
  <c r="I89" i="6" s="1"/>
  <c r="N89" i="6" s="1"/>
  <c r="G37" i="6"/>
  <c r="H37" i="6" s="1"/>
  <c r="G96" i="6"/>
  <c r="H96" i="6" s="1"/>
  <c r="G90" i="6"/>
  <c r="I90" i="6" s="1"/>
  <c r="N90" i="6" s="1"/>
  <c r="G57" i="6"/>
  <c r="I57" i="6" s="1"/>
  <c r="N57" i="6" s="1"/>
  <c r="G70" i="6"/>
  <c r="H70" i="6" s="1"/>
  <c r="G107" i="6"/>
  <c r="I107" i="6" s="1"/>
  <c r="N107" i="6" s="1"/>
  <c r="G152" i="6"/>
  <c r="I152" i="6" s="1"/>
  <c r="N152" i="6" s="1"/>
  <c r="G87" i="6"/>
  <c r="H87" i="6" s="1"/>
  <c r="G113" i="6"/>
  <c r="I113" i="6" s="1"/>
  <c r="N113" i="6" s="1"/>
  <c r="G73" i="6"/>
  <c r="H73" i="6" s="1"/>
  <c r="G150" i="6"/>
  <c r="I150" i="6" s="1"/>
  <c r="N150" i="6" s="1"/>
  <c r="G12" i="6"/>
  <c r="H12" i="6" s="1"/>
  <c r="G77" i="6"/>
  <c r="H77" i="6" s="1"/>
  <c r="K77" i="6" s="1"/>
  <c r="G76" i="6"/>
  <c r="H76" i="6" s="1"/>
  <c r="K76" i="6" s="1"/>
  <c r="G33" i="6"/>
  <c r="H33" i="6" s="1"/>
  <c r="U16" i="6" s="1"/>
  <c r="G14" i="6"/>
  <c r="I14" i="6" s="1"/>
  <c r="N14" i="6" s="1"/>
  <c r="G18" i="6"/>
  <c r="H18" i="6" s="1"/>
  <c r="K18" i="6" s="1"/>
  <c r="G117" i="6"/>
  <c r="I117" i="6" s="1"/>
  <c r="N117" i="6" s="1"/>
  <c r="G146" i="6"/>
  <c r="H146" i="6" s="1"/>
  <c r="K146" i="6" s="1"/>
  <c r="G121" i="6"/>
  <c r="I121" i="6" s="1"/>
  <c r="N121" i="6" s="1"/>
  <c r="G82" i="6"/>
  <c r="I82" i="6" s="1"/>
  <c r="N82" i="6" s="1"/>
  <c r="G133" i="6"/>
  <c r="H133" i="6" s="1"/>
  <c r="K133" i="6" s="1"/>
  <c r="G134" i="6"/>
  <c r="H134" i="6" s="1"/>
  <c r="G104" i="6"/>
  <c r="H104" i="6" s="1"/>
  <c r="U87" i="6" s="1"/>
  <c r="G105" i="6"/>
  <c r="I105" i="6" s="1"/>
  <c r="N105" i="6" s="1"/>
  <c r="G68" i="6"/>
  <c r="H68" i="6" s="1"/>
  <c r="K68" i="6" s="1"/>
  <c r="G24" i="6"/>
  <c r="I24" i="6" s="1"/>
  <c r="N24" i="6" s="1"/>
  <c r="G137" i="6"/>
  <c r="H137" i="6" s="1"/>
  <c r="K137" i="6" s="1"/>
  <c r="G109" i="6"/>
  <c r="I109" i="6" s="1"/>
  <c r="N109" i="6" s="1"/>
  <c r="G26" i="6"/>
  <c r="I26" i="6" s="1"/>
  <c r="N26" i="6" s="1"/>
  <c r="G92" i="6"/>
  <c r="H92" i="6" s="1"/>
  <c r="U75" i="6" s="1"/>
  <c r="G16" i="6"/>
  <c r="I16" i="6" s="1"/>
  <c r="N16" i="6" s="1"/>
  <c r="G10" i="6"/>
  <c r="I10" i="6" s="1"/>
  <c r="N10" i="6" s="1"/>
  <c r="G127" i="6"/>
  <c r="H127" i="6" s="1"/>
  <c r="K127" i="6" s="1"/>
  <c r="G149" i="6"/>
  <c r="I149" i="6" s="1"/>
  <c r="N149" i="6" s="1"/>
  <c r="G156" i="6"/>
  <c r="I156" i="6" s="1"/>
  <c r="N156" i="6" s="1"/>
  <c r="G43" i="6"/>
  <c r="I43" i="6" s="1"/>
  <c r="N43" i="6" s="1"/>
  <c r="G67" i="6"/>
  <c r="H67" i="6" s="1"/>
  <c r="U50" i="6" s="1"/>
  <c r="G41" i="6"/>
  <c r="I41" i="6" s="1"/>
  <c r="N41" i="6" s="1"/>
  <c r="G112" i="6"/>
  <c r="H112" i="6" s="1"/>
  <c r="K112" i="6" s="1"/>
  <c r="G110" i="6"/>
  <c r="H110" i="6" s="1"/>
  <c r="K110" i="6" s="1"/>
  <c r="G45" i="6"/>
  <c r="H45" i="6" s="1"/>
  <c r="U28" i="6" s="1"/>
  <c r="G25" i="6"/>
  <c r="I25" i="6" s="1"/>
  <c r="N25" i="6" s="1"/>
  <c r="G65" i="6"/>
  <c r="H65" i="6" s="1"/>
  <c r="G138" i="6"/>
  <c r="H138" i="6" s="1"/>
  <c r="K138" i="6" s="1"/>
  <c r="G158" i="6"/>
  <c r="I158" i="6" s="1"/>
  <c r="N158" i="6" s="1"/>
  <c r="G164" i="6"/>
  <c r="H164" i="6" s="1"/>
  <c r="K164" i="6" s="1"/>
  <c r="G108" i="6"/>
  <c r="I108" i="6" s="1"/>
  <c r="N108" i="6" s="1"/>
  <c r="G143" i="6"/>
  <c r="I143" i="6" s="1"/>
  <c r="N143" i="6" s="1"/>
  <c r="G151" i="6"/>
  <c r="I151" i="6" s="1"/>
  <c r="N151" i="6" s="1"/>
  <c r="G129" i="6"/>
  <c r="H129" i="6" s="1"/>
  <c r="K129" i="6" s="1"/>
  <c r="G166" i="6"/>
  <c r="I166" i="6" s="1"/>
  <c r="N166" i="6" s="1"/>
  <c r="G120" i="6"/>
  <c r="H120" i="6" s="1"/>
  <c r="U103" i="6" s="1"/>
  <c r="G27" i="6"/>
  <c r="I27" i="6" s="1"/>
  <c r="N27" i="6" s="1"/>
  <c r="G131" i="6"/>
  <c r="H131" i="6" s="1"/>
  <c r="K131" i="6" s="1"/>
  <c r="G28" i="6"/>
  <c r="H28" i="6" s="1"/>
  <c r="U11" i="6" s="1"/>
  <c r="G55" i="6"/>
  <c r="I55" i="6" s="1"/>
  <c r="N55" i="6" s="1"/>
  <c r="G29" i="6"/>
  <c r="H29" i="6" s="1"/>
  <c r="U12" i="6" s="1"/>
  <c r="G154" i="6"/>
  <c r="H154" i="6" s="1"/>
  <c r="K154" i="6" s="1"/>
  <c r="L6" i="5"/>
  <c r="F21" i="5" s="1"/>
  <c r="O21" i="5" s="1"/>
  <c r="G66" i="6"/>
  <c r="H66" i="6" s="1"/>
  <c r="G94" i="6"/>
  <c r="H94" i="6" s="1"/>
  <c r="U77" i="6" s="1"/>
  <c r="G106" i="6"/>
  <c r="H106" i="6" s="1"/>
  <c r="K106" i="6" s="1"/>
  <c r="G116" i="6"/>
  <c r="H116" i="6" s="1"/>
  <c r="G51" i="6"/>
  <c r="I51" i="6" s="1"/>
  <c r="N51" i="6" s="1"/>
  <c r="G42" i="6"/>
  <c r="I42" i="6" s="1"/>
  <c r="N42" i="6" s="1"/>
  <c r="G74" i="6"/>
  <c r="H74" i="6" s="1"/>
  <c r="K74" i="6" s="1"/>
  <c r="G111" i="6"/>
  <c r="H111" i="6" s="1"/>
  <c r="K111" i="6" s="1"/>
  <c r="G126" i="6"/>
  <c r="I126" i="6" s="1"/>
  <c r="N126" i="6" s="1"/>
  <c r="G17" i="6"/>
  <c r="I17" i="6" s="1"/>
  <c r="N17" i="6" s="1"/>
  <c r="G125" i="6"/>
  <c r="H125" i="6" s="1"/>
  <c r="K125" i="6" s="1"/>
  <c r="G20" i="6"/>
  <c r="I20" i="6" s="1"/>
  <c r="N20" i="6" s="1"/>
  <c r="G61" i="6"/>
  <c r="I61" i="6" s="1"/>
  <c r="N61" i="6" s="1"/>
  <c r="G40" i="6"/>
  <c r="H40" i="6" s="1"/>
  <c r="U23" i="6" s="1"/>
  <c r="G93" i="6"/>
  <c r="H93" i="6" s="1"/>
  <c r="U76" i="6" s="1"/>
  <c r="G160" i="6"/>
  <c r="H160" i="6" s="1"/>
  <c r="K160" i="6" s="1"/>
  <c r="G35" i="6"/>
  <c r="I35" i="6" s="1"/>
  <c r="N35" i="6" s="1"/>
  <c r="G83" i="6"/>
  <c r="H83" i="6" s="1"/>
  <c r="U66" i="6" s="1"/>
  <c r="G88" i="6"/>
  <c r="H88" i="6" s="1"/>
  <c r="K88" i="6" s="1"/>
  <c r="G162" i="6"/>
  <c r="I162" i="6" s="1"/>
  <c r="N162" i="6" s="1"/>
  <c r="G50" i="6"/>
  <c r="I50" i="6" s="1"/>
  <c r="N50" i="6" s="1"/>
  <c r="G147" i="6"/>
  <c r="H147" i="6" s="1"/>
  <c r="K147" i="6" s="1"/>
  <c r="G85" i="6"/>
  <c r="H85" i="6" s="1"/>
  <c r="K85" i="6" s="1"/>
  <c r="G132" i="6"/>
  <c r="I132" i="6" s="1"/>
  <c r="N132" i="6" s="1"/>
  <c r="G135" i="6"/>
  <c r="I135" i="6" s="1"/>
  <c r="N135" i="6" s="1"/>
  <c r="G142" i="6"/>
  <c r="I142" i="6" s="1"/>
  <c r="N142" i="6" s="1"/>
  <c r="G115" i="6"/>
  <c r="I115" i="6" s="1"/>
  <c r="N115" i="6" s="1"/>
  <c r="G153" i="6"/>
  <c r="I153" i="6" s="1"/>
  <c r="N153" i="6" s="1"/>
  <c r="G19" i="6"/>
  <c r="I19" i="6" s="1"/>
  <c r="N19" i="6" s="1"/>
  <c r="G159" i="6"/>
  <c r="H159" i="6" s="1"/>
  <c r="K159" i="6" s="1"/>
  <c r="CC18" i="10"/>
  <c r="AU19" i="10"/>
  <c r="J192" i="4"/>
  <c r="J80" i="4"/>
  <c r="J196" i="4"/>
  <c r="J167" i="4"/>
  <c r="J16" i="4"/>
  <c r="J97" i="4"/>
  <c r="J158" i="4"/>
  <c r="J42" i="4"/>
  <c r="J78" i="4"/>
  <c r="J104" i="4"/>
  <c r="J47" i="4"/>
  <c r="J55" i="4"/>
  <c r="J72" i="4"/>
  <c r="J208" i="4"/>
  <c r="J54" i="4"/>
  <c r="J98" i="4"/>
  <c r="J161" i="4"/>
  <c r="J56" i="4"/>
  <c r="J182" i="4"/>
  <c r="G135" i="4"/>
  <c r="G156" i="4"/>
  <c r="J34" i="4"/>
  <c r="J102" i="4"/>
  <c r="J17" i="4"/>
  <c r="J89" i="4"/>
  <c r="J95" i="4"/>
  <c r="J69" i="4"/>
  <c r="J178" i="4"/>
  <c r="J152" i="4"/>
  <c r="J39" i="4"/>
  <c r="J18" i="4"/>
  <c r="J186" i="4"/>
  <c r="J52" i="4"/>
  <c r="J32" i="4"/>
  <c r="J113" i="4"/>
  <c r="J61" i="4"/>
  <c r="J73" i="4"/>
  <c r="J101" i="4"/>
  <c r="J91" i="4"/>
  <c r="J114" i="4"/>
  <c r="J59" i="4"/>
  <c r="J203" i="4"/>
  <c r="J141" i="4"/>
  <c r="J36" i="4"/>
  <c r="J154" i="4"/>
  <c r="J179" i="4"/>
  <c r="J51" i="4"/>
  <c r="J28" i="4"/>
  <c r="J188" i="4"/>
  <c r="J60" i="4"/>
  <c r="J46" i="4"/>
  <c r="J38" i="4"/>
  <c r="J30" i="4"/>
  <c r="J76" i="4"/>
  <c r="J19" i="4"/>
  <c r="J134" i="4"/>
  <c r="J71" i="4"/>
  <c r="G51" i="4"/>
  <c r="G104" i="4"/>
  <c r="G143" i="4"/>
  <c r="G181" i="4"/>
  <c r="G97" i="4"/>
  <c r="E114" i="4"/>
  <c r="J187" i="4"/>
  <c r="J165" i="4"/>
  <c r="J181" i="4"/>
  <c r="J66" i="4"/>
  <c r="J139" i="4"/>
  <c r="J35" i="4"/>
  <c r="J177" i="4"/>
  <c r="J64" i="4"/>
  <c r="J25" i="4"/>
  <c r="J75" i="4"/>
  <c r="J184" i="4"/>
  <c r="J65" i="4"/>
  <c r="J209" i="4"/>
  <c r="J27" i="4"/>
  <c r="J119" i="4"/>
  <c r="J151" i="4"/>
  <c r="J193" i="4"/>
  <c r="J108" i="4"/>
  <c r="J53" i="4"/>
  <c r="J136" i="4"/>
  <c r="J169" i="4"/>
  <c r="J120" i="4"/>
  <c r="J62" i="4"/>
  <c r="J45" i="4"/>
  <c r="J118" i="4"/>
  <c r="J148" i="4"/>
  <c r="J137" i="4"/>
  <c r="J110" i="4"/>
  <c r="J122" i="4"/>
  <c r="J191" i="4"/>
  <c r="J140" i="4"/>
  <c r="J200" i="4"/>
  <c r="J131" i="4"/>
  <c r="J21" i="4"/>
  <c r="J212" i="4"/>
  <c r="J92" i="4"/>
  <c r="J103" i="4"/>
  <c r="J49" i="4"/>
  <c r="J210" i="4"/>
  <c r="J146" i="4"/>
  <c r="J214" i="4"/>
  <c r="J24" i="4"/>
  <c r="J163" i="4"/>
  <c r="J142" i="4"/>
  <c r="J162" i="4"/>
  <c r="J31" i="4"/>
  <c r="J215" i="4"/>
  <c r="J172" i="4"/>
  <c r="J190" i="4"/>
  <c r="J117" i="4"/>
  <c r="J57" i="4"/>
  <c r="J84" i="4"/>
  <c r="J201" i="4"/>
  <c r="J63" i="4"/>
  <c r="J121" i="4"/>
  <c r="J68" i="4"/>
  <c r="J145" i="4"/>
  <c r="J150" i="4"/>
  <c r="J79" i="4"/>
  <c r="J189" i="4"/>
  <c r="J155" i="4"/>
  <c r="J147" i="4"/>
  <c r="J176" i="4"/>
  <c r="J96" i="4"/>
  <c r="J144" i="4"/>
  <c r="J195" i="4"/>
  <c r="J133" i="4"/>
  <c r="J173" i="4"/>
  <c r="J115" i="4"/>
  <c r="J41" i="4"/>
  <c r="J109" i="4"/>
  <c r="J126" i="4"/>
  <c r="G158" i="4"/>
  <c r="G106" i="4"/>
  <c r="G69" i="4"/>
  <c r="G42" i="4"/>
  <c r="G131" i="4"/>
  <c r="G66" i="4"/>
  <c r="G120" i="4"/>
  <c r="G216" i="4"/>
  <c r="G75" i="4"/>
  <c r="AA329" i="10"/>
  <c r="AA18" i="10"/>
  <c r="BK329" i="10"/>
  <c r="BL330" i="10"/>
  <c r="BM330" i="10" s="1"/>
  <c r="J204" i="4"/>
  <c r="J116" i="4"/>
  <c r="J211" i="4"/>
  <c r="J175" i="4"/>
  <c r="J22" i="4"/>
  <c r="J194" i="4"/>
  <c r="J128" i="4"/>
  <c r="J157" i="4"/>
  <c r="J197" i="4"/>
  <c r="J94" i="4"/>
  <c r="J37" i="4"/>
  <c r="J44" i="4"/>
  <c r="J40" i="4"/>
  <c r="J149" i="4"/>
  <c r="J129" i="4"/>
  <c r="J170" i="4"/>
  <c r="J90" i="4"/>
  <c r="J82" i="4"/>
  <c r="J216" i="4"/>
  <c r="J130" i="4"/>
  <c r="J123" i="4"/>
  <c r="J77" i="4"/>
  <c r="J166" i="4"/>
  <c r="J159" i="4"/>
  <c r="J23" i="4"/>
  <c r="J29" i="4"/>
  <c r="J171" i="4"/>
  <c r="J206" i="4"/>
  <c r="J127" i="4"/>
  <c r="J48" i="4"/>
  <c r="J198" i="4"/>
  <c r="J93" i="4"/>
  <c r="J43" i="4"/>
  <c r="J168" i="4"/>
  <c r="J164" i="4"/>
  <c r="J207" i="4"/>
  <c r="J86" i="4"/>
  <c r="J138" i="4"/>
  <c r="J153" i="4"/>
  <c r="J180" i="4"/>
  <c r="J111" i="4"/>
  <c r="J112" i="4"/>
  <c r="J199" i="4"/>
  <c r="J125" i="4"/>
  <c r="J143" i="4"/>
  <c r="J87" i="4"/>
  <c r="J135" i="4"/>
  <c r="J205" i="4"/>
  <c r="J20" i="4"/>
  <c r="J70" i="4"/>
  <c r="J160" i="4"/>
  <c r="J88" i="4"/>
  <c r="J33" i="4"/>
  <c r="J185" i="4"/>
  <c r="J106" i="4"/>
  <c r="G64" i="4"/>
  <c r="G33" i="4"/>
  <c r="G65" i="4"/>
  <c r="G21" i="4"/>
  <c r="G83" i="4"/>
  <c r="G55" i="4"/>
  <c r="G100" i="4"/>
  <c r="G109" i="4"/>
  <c r="G185" i="4"/>
  <c r="G123" i="4"/>
  <c r="G193" i="4"/>
  <c r="G215" i="4"/>
  <c r="G160" i="4"/>
  <c r="G118" i="4"/>
  <c r="G78" i="4"/>
  <c r="G201" i="4"/>
  <c r="G107" i="4"/>
  <c r="G72" i="4"/>
  <c r="G48" i="4"/>
  <c r="G150" i="4"/>
  <c r="G28" i="4"/>
  <c r="G115" i="4"/>
  <c r="G86" i="4"/>
  <c r="G46" i="4"/>
  <c r="G54" i="4"/>
  <c r="G44" i="4"/>
  <c r="G124" i="4"/>
  <c r="G76" i="4"/>
  <c r="G29" i="4"/>
  <c r="G41" i="4"/>
  <c r="G170" i="4"/>
  <c r="G71" i="4"/>
  <c r="G90" i="4"/>
  <c r="G199" i="4"/>
  <c r="G180" i="4"/>
  <c r="G82" i="4"/>
  <c r="G162" i="4"/>
  <c r="G142" i="4"/>
  <c r="G198" i="4"/>
  <c r="G59" i="4"/>
  <c r="G39" i="4"/>
  <c r="G26" i="4"/>
  <c r="E194" i="4"/>
  <c r="E167" i="4"/>
  <c r="E48" i="4"/>
  <c r="E146" i="4"/>
  <c r="E78" i="4"/>
  <c r="BM19" i="10"/>
  <c r="BK19" i="10"/>
  <c r="AB330" i="10"/>
  <c r="AC330" i="10" s="1"/>
  <c r="AB19" i="10"/>
  <c r="AC19" i="10" s="1"/>
  <c r="DO18" i="10"/>
  <c r="DN19" i="10"/>
  <c r="BK18" i="10"/>
  <c r="BM18" i="10"/>
  <c r="C29" i="6"/>
  <c r="H100" i="6"/>
  <c r="K100" i="6" s="1"/>
  <c r="B15" i="6"/>
  <c r="B113" i="6"/>
  <c r="S96" i="6" s="1"/>
  <c r="BU332" i="10"/>
  <c r="BT332" i="10" s="1"/>
  <c r="CE329" i="10"/>
  <c r="CC329" i="10"/>
  <c r="CD330" i="10"/>
  <c r="C15" i="6"/>
  <c r="C141" i="6"/>
  <c r="B102" i="6"/>
  <c r="S85" i="6" s="1"/>
  <c r="C21" i="6"/>
  <c r="C73" i="6"/>
  <c r="B98" i="6"/>
  <c r="S81" i="6" s="1"/>
  <c r="B123" i="6"/>
  <c r="B150" i="6"/>
  <c r="B138" i="6"/>
  <c r="C76" i="6"/>
  <c r="B51" i="6"/>
  <c r="S34" i="6" s="1"/>
  <c r="C161" i="6"/>
  <c r="C11" i="6"/>
  <c r="B105" i="6"/>
  <c r="S88" i="6" s="1"/>
  <c r="C152" i="6"/>
  <c r="B31" i="6"/>
  <c r="S14" i="6" s="1"/>
  <c r="C72" i="6"/>
  <c r="B26" i="6"/>
  <c r="S9" i="6" s="1"/>
  <c r="C43" i="6"/>
  <c r="B17" i="6"/>
  <c r="B44" i="6"/>
  <c r="S27" i="6" s="1"/>
  <c r="C97" i="6"/>
  <c r="C74" i="6"/>
  <c r="C91" i="6"/>
  <c r="C146" i="6"/>
  <c r="B93" i="6"/>
  <c r="S76" i="6" s="1"/>
  <c r="C109" i="6"/>
  <c r="B77" i="6"/>
  <c r="S60" i="6" s="1"/>
  <c r="C12" i="6"/>
  <c r="C93" i="6"/>
  <c r="B37" i="6"/>
  <c r="S20" i="6" s="1"/>
  <c r="B144" i="6"/>
  <c r="C40" i="6"/>
  <c r="B83" i="6"/>
  <c r="S66" i="6" s="1"/>
  <c r="B47" i="6"/>
  <c r="S30" i="6" s="1"/>
  <c r="C47" i="6"/>
  <c r="B39" i="6"/>
  <c r="S22" i="6" s="1"/>
  <c r="C57" i="6"/>
  <c r="C158" i="6"/>
  <c r="B114" i="6"/>
  <c r="S97" i="6" s="1"/>
  <c r="B24" i="6"/>
  <c r="S7" i="6" s="1"/>
  <c r="B133" i="6"/>
  <c r="B86" i="6"/>
  <c r="S69" i="6" s="1"/>
  <c r="C59" i="6"/>
  <c r="C25" i="6"/>
  <c r="B110" i="6"/>
  <c r="S93" i="6" s="1"/>
  <c r="B28" i="6"/>
  <c r="S11" i="6" s="1"/>
  <c r="C13" i="6"/>
  <c r="B140" i="6"/>
  <c r="B119" i="6"/>
  <c r="S102" i="6" s="1"/>
  <c r="C67" i="6"/>
  <c r="C66" i="6"/>
  <c r="C32" i="6"/>
  <c r="B120" i="6"/>
  <c r="S103" i="6" s="1"/>
  <c r="B116" i="6"/>
  <c r="S99" i="6" s="1"/>
  <c r="B43" i="6"/>
  <c r="S26" i="6" s="1"/>
  <c r="B42" i="6"/>
  <c r="S25" i="6" s="1"/>
  <c r="C127" i="6"/>
  <c r="B68" i="6"/>
  <c r="S51" i="6" s="1"/>
  <c r="C108" i="6"/>
  <c r="B64" i="6"/>
  <c r="S47" i="6" s="1"/>
  <c r="B54" i="6"/>
  <c r="S37" i="6" s="1"/>
  <c r="B134" i="6"/>
  <c r="C41" i="6"/>
  <c r="C106" i="6"/>
  <c r="C140" i="6"/>
  <c r="B112" i="6"/>
  <c r="S95" i="6" s="1"/>
  <c r="C38" i="6"/>
  <c r="B45" i="6"/>
  <c r="S28" i="6" s="1"/>
  <c r="B135" i="6"/>
  <c r="C156" i="6"/>
  <c r="C31" i="6"/>
  <c r="I100" i="6"/>
  <c r="N100" i="6" s="1"/>
  <c r="B100" i="6"/>
  <c r="S83" i="6" s="1"/>
  <c r="C119" i="6"/>
  <c r="C159" i="6"/>
  <c r="B57" i="6"/>
  <c r="S40" i="6" s="1"/>
  <c r="C83" i="6"/>
  <c r="C118" i="6"/>
  <c r="B149" i="6"/>
  <c r="C94" i="6"/>
  <c r="C107" i="6"/>
  <c r="B30" i="6"/>
  <c r="S13" i="6" s="1"/>
  <c r="B58" i="6"/>
  <c r="S41" i="6" s="1"/>
  <c r="B97" i="6"/>
  <c r="S80" i="6" s="1"/>
  <c r="C150" i="6"/>
  <c r="B155" i="6"/>
  <c r="B73" i="6"/>
  <c r="S56" i="6" s="1"/>
  <c r="C110" i="6"/>
  <c r="C71" i="6"/>
  <c r="B145" i="6"/>
  <c r="C144" i="6"/>
  <c r="B154" i="6"/>
  <c r="B27" i="6"/>
  <c r="S10" i="6" s="1"/>
  <c r="C115" i="6"/>
  <c r="B91" i="6"/>
  <c r="S74" i="6" s="1"/>
  <c r="B106" i="6"/>
  <c r="S89" i="6" s="1"/>
  <c r="B21" i="6"/>
  <c r="S4" i="6" s="1"/>
  <c r="C105" i="6"/>
  <c r="C121" i="6"/>
  <c r="B146" i="6"/>
  <c r="C147" i="6"/>
  <c r="B139" i="6"/>
  <c r="B85" i="6"/>
  <c r="S68" i="6" s="1"/>
  <c r="C61" i="6"/>
  <c r="B66" i="6"/>
  <c r="S49" i="6" s="1"/>
  <c r="B38" i="6"/>
  <c r="S21" i="6" s="1"/>
  <c r="C17" i="6"/>
  <c r="B89" i="6"/>
  <c r="S72" i="6" s="1"/>
  <c r="B41" i="6"/>
  <c r="S24" i="6" s="1"/>
  <c r="B160" i="6"/>
  <c r="C28" i="6"/>
  <c r="C75" i="6"/>
  <c r="B22" i="6"/>
  <c r="S5" i="6" s="1"/>
  <c r="C14" i="6"/>
  <c r="B20" i="6"/>
  <c r="C24" i="6"/>
  <c r="B59" i="6"/>
  <c r="S42" i="6" s="1"/>
  <c r="C123" i="6"/>
  <c r="C117" i="6"/>
  <c r="C51" i="6"/>
  <c r="C19" i="6"/>
  <c r="B152" i="6"/>
  <c r="C138" i="6"/>
  <c r="B127" i="6"/>
  <c r="C16" i="6"/>
  <c r="C62" i="6"/>
  <c r="B166" i="6"/>
  <c r="B52" i="6"/>
  <c r="S35" i="6" s="1"/>
  <c r="B33" i="6"/>
  <c r="S16" i="6" s="1"/>
  <c r="BL20" i="10"/>
  <c r="BK20" i="10" s="1"/>
  <c r="C45" i="6"/>
  <c r="C165" i="6"/>
  <c r="C113" i="6"/>
  <c r="B32" i="6"/>
  <c r="S15" i="6" s="1"/>
  <c r="C99" i="6"/>
  <c r="B13" i="6"/>
  <c r="B108" i="6"/>
  <c r="S91" i="6" s="1"/>
  <c r="C54" i="6"/>
  <c r="B65" i="6"/>
  <c r="B142" i="6"/>
  <c r="C20" i="6"/>
  <c r="B125" i="6"/>
  <c r="C145" i="6"/>
  <c r="C44" i="6"/>
  <c r="C163" i="6"/>
  <c r="B136" i="6"/>
  <c r="C65" i="6"/>
  <c r="B36" i="6"/>
  <c r="S19" i="6" s="1"/>
  <c r="C135" i="6"/>
  <c r="CV20" i="10"/>
  <c r="CV21" i="10" s="1"/>
  <c r="CU19" i="10"/>
  <c r="B148" i="6"/>
  <c r="C63" i="6"/>
  <c r="B12" i="6"/>
  <c r="B55" i="6"/>
  <c r="S38" i="6" s="1"/>
  <c r="C30" i="6"/>
  <c r="B103" i="6"/>
  <c r="S86" i="6" s="1"/>
  <c r="B109" i="6"/>
  <c r="S92" i="6" s="1"/>
  <c r="C64" i="6"/>
  <c r="C50" i="6"/>
  <c r="B88" i="6"/>
  <c r="S71" i="6" s="1"/>
  <c r="B75" i="6"/>
  <c r="S58" i="6" s="1"/>
  <c r="C27" i="6"/>
  <c r="B50" i="6"/>
  <c r="S33" i="6" s="1"/>
  <c r="B118" i="6"/>
  <c r="S101" i="6" s="1"/>
  <c r="C22" i="6"/>
  <c r="B35" i="6"/>
  <c r="S18" i="6" s="1"/>
  <c r="B111" i="6"/>
  <c r="S94" i="6" s="1"/>
  <c r="B81" i="6"/>
  <c r="S64" i="6" s="1"/>
  <c r="B70" i="6"/>
  <c r="S53" i="6" s="1"/>
  <c r="C79" i="6"/>
  <c r="C56" i="6"/>
  <c r="C55" i="6"/>
  <c r="C160" i="6"/>
  <c r="C153" i="6"/>
  <c r="B82" i="6"/>
  <c r="S65" i="6" s="1"/>
  <c r="B121" i="6"/>
  <c r="C149" i="6"/>
  <c r="C88" i="6"/>
  <c r="C157" i="6"/>
  <c r="C68" i="6"/>
  <c r="B137" i="6"/>
  <c r="C69" i="6"/>
  <c r="L5" i="5"/>
  <c r="C6" i="10"/>
  <c r="B79" i="6"/>
  <c r="S62" i="6" s="1"/>
  <c r="C78" i="6"/>
  <c r="C142" i="6"/>
  <c r="B87" i="6"/>
  <c r="S70" i="6" s="1"/>
  <c r="C46" i="6"/>
  <c r="C84" i="6"/>
  <c r="C125" i="6"/>
  <c r="C162" i="6"/>
  <c r="B156" i="6"/>
  <c r="B131" i="6"/>
  <c r="B16" i="6"/>
  <c r="C164" i="6"/>
  <c r="B60" i="6"/>
  <c r="C102" i="6"/>
  <c r="B153" i="6"/>
  <c r="B84" i="6"/>
  <c r="S67" i="6" s="1"/>
  <c r="B147" i="6"/>
  <c r="C60" i="6"/>
  <c r="C10" i="6"/>
  <c r="C58" i="6"/>
  <c r="B129" i="6"/>
  <c r="C130" i="6"/>
  <c r="C151" i="6"/>
  <c r="B162" i="6"/>
  <c r="B99" i="6"/>
  <c r="S82" i="6" s="1"/>
  <c r="C87" i="6"/>
  <c r="B25" i="6"/>
  <c r="S8" i="6" s="1"/>
  <c r="C80" i="6"/>
  <c r="B46" i="6"/>
  <c r="S29" i="6" s="1"/>
  <c r="C129" i="6"/>
  <c r="B29" i="6"/>
  <c r="S12" i="6" s="1"/>
  <c r="C37" i="6"/>
  <c r="B124" i="6"/>
  <c r="C132" i="6"/>
  <c r="B61" i="6"/>
  <c r="S44" i="6" s="1"/>
  <c r="C53" i="6"/>
  <c r="C92" i="6"/>
  <c r="B92" i="6"/>
  <c r="S75" i="6" s="1"/>
  <c r="C154" i="6"/>
  <c r="C134" i="6"/>
  <c r="B157" i="6"/>
  <c r="B34" i="6"/>
  <c r="S17" i="6" s="1"/>
  <c r="B63" i="6"/>
  <c r="S46" i="6" s="1"/>
  <c r="C112" i="6"/>
  <c r="B132" i="6"/>
  <c r="C128" i="6"/>
  <c r="C98" i="6"/>
  <c r="C111" i="6"/>
  <c r="B11" i="6"/>
  <c r="C70" i="6"/>
  <c r="C136" i="6"/>
  <c r="B122" i="6"/>
  <c r="C52" i="6"/>
  <c r="C33" i="6"/>
  <c r="C77" i="6"/>
  <c r="C100" i="6"/>
  <c r="B62" i="6"/>
  <c r="S45" i="6" s="1"/>
  <c r="B74" i="6"/>
  <c r="S57" i="6" s="1"/>
  <c r="B163" i="6"/>
  <c r="B19" i="6"/>
  <c r="C166" i="6"/>
  <c r="C103" i="6"/>
  <c r="B161" i="6"/>
  <c r="C131" i="6"/>
  <c r="B151" i="6"/>
  <c r="C82" i="6"/>
  <c r="C89" i="6"/>
  <c r="B71" i="6"/>
  <c r="S54" i="6" s="1"/>
  <c r="C137" i="6"/>
  <c r="C18" i="6"/>
  <c r="B90" i="6"/>
  <c r="S73" i="6" s="1"/>
  <c r="C26" i="6"/>
  <c r="C122" i="6"/>
  <c r="C90" i="6"/>
  <c r="C120" i="6"/>
  <c r="B128" i="6"/>
  <c r="B18" i="6"/>
  <c r="C85" i="6"/>
  <c r="B69" i="6"/>
  <c r="S52" i="6" s="1"/>
  <c r="B48" i="6"/>
  <c r="S31" i="6" s="1"/>
  <c r="C143" i="6"/>
  <c r="B23" i="6"/>
  <c r="S6" i="6" s="1"/>
  <c r="B143" i="6"/>
  <c r="B126" i="6"/>
  <c r="B94" i="6"/>
  <c r="S77" i="6" s="1"/>
  <c r="B159" i="6"/>
  <c r="B78" i="6"/>
  <c r="S61" i="6" s="1"/>
  <c r="B10" i="6"/>
  <c r="C39" i="6"/>
  <c r="C36" i="6"/>
  <c r="B95" i="6"/>
  <c r="S78" i="6" s="1"/>
  <c r="B40" i="6"/>
  <c r="S23" i="6" s="1"/>
  <c r="C81" i="6"/>
  <c r="B101" i="6"/>
  <c r="S84" i="6" s="1"/>
  <c r="B67" i="6"/>
  <c r="S50" i="6" s="1"/>
  <c r="C114" i="6"/>
  <c r="C35" i="6"/>
  <c r="C86" i="6"/>
  <c r="C104" i="6"/>
  <c r="C95" i="6"/>
  <c r="C49" i="6"/>
  <c r="B165" i="6"/>
  <c r="B53" i="6"/>
  <c r="C96" i="6"/>
  <c r="C126" i="6"/>
  <c r="B76" i="6"/>
  <c r="S59" i="6" s="1"/>
  <c r="B104" i="6"/>
  <c r="S87" i="6" s="1"/>
  <c r="C34" i="6"/>
  <c r="B80" i="6"/>
  <c r="S63" i="6" s="1"/>
  <c r="B56" i="6"/>
  <c r="S39" i="6" s="1"/>
  <c r="B72" i="6"/>
  <c r="S55" i="6" s="1"/>
  <c r="B96" i="6"/>
  <c r="S79" i="6" s="1"/>
  <c r="C116" i="6"/>
  <c r="B141" i="6"/>
  <c r="C139" i="6"/>
  <c r="C124" i="6"/>
  <c r="C23" i="6"/>
  <c r="C148" i="6"/>
  <c r="B107" i="6"/>
  <c r="B158" i="6"/>
  <c r="C101" i="6"/>
  <c r="B117" i="6"/>
  <c r="S100" i="6" s="1"/>
  <c r="B14" i="6"/>
  <c r="B49" i="6"/>
  <c r="S32" i="6" s="1"/>
  <c r="B164" i="6"/>
  <c r="C42" i="6"/>
  <c r="B130" i="6"/>
  <c r="B115" i="6"/>
  <c r="S98" i="6" s="1"/>
  <c r="C48" i="6"/>
  <c r="C133" i="6"/>
  <c r="C155" i="6"/>
  <c r="E21" i="4"/>
  <c r="E176" i="4"/>
  <c r="E68" i="4"/>
  <c r="E88" i="4"/>
  <c r="E108" i="4"/>
  <c r="E75" i="4"/>
  <c r="E30" i="4"/>
  <c r="CW18" i="10"/>
  <c r="CU18" i="10"/>
  <c r="E189" i="4"/>
  <c r="E71" i="4"/>
  <c r="E47" i="4"/>
  <c r="E121" i="4"/>
  <c r="E125" i="4"/>
  <c r="E86" i="4"/>
  <c r="E161" i="4"/>
  <c r="E100" i="4"/>
  <c r="E16" i="4"/>
  <c r="E109" i="4"/>
  <c r="E111" i="4"/>
  <c r="E179" i="4"/>
  <c r="E137" i="4"/>
  <c r="E159" i="4"/>
  <c r="CW19" i="10"/>
  <c r="E55" i="4"/>
  <c r="E144" i="4"/>
  <c r="G110" i="4"/>
  <c r="G17" i="4"/>
  <c r="G151" i="4"/>
  <c r="G149" i="4"/>
  <c r="G68" i="4"/>
  <c r="G23" i="4"/>
  <c r="G182" i="4"/>
  <c r="G101" i="4"/>
  <c r="G147" i="4"/>
  <c r="G179" i="4"/>
  <c r="G73" i="4"/>
  <c r="G16" i="4"/>
  <c r="G172" i="4"/>
  <c r="G37" i="4"/>
  <c r="G205" i="4"/>
  <c r="G43" i="4"/>
  <c r="G105" i="4"/>
  <c r="G154" i="4"/>
  <c r="G113" i="4"/>
  <c r="G138" i="4"/>
  <c r="G132" i="4"/>
  <c r="G183" i="4"/>
  <c r="G85" i="4"/>
  <c r="G63" i="4"/>
  <c r="G204" i="4"/>
  <c r="G70" i="4"/>
  <c r="G163" i="4"/>
  <c r="G200" i="4"/>
  <c r="G32" i="4"/>
  <c r="G166" i="4"/>
  <c r="G108" i="4"/>
  <c r="G114" i="4"/>
  <c r="G157" i="4"/>
  <c r="G40" i="4"/>
  <c r="G165" i="4"/>
  <c r="G79" i="4"/>
  <c r="G145" i="4"/>
  <c r="G89" i="4"/>
  <c r="G24" i="4"/>
  <c r="G20" i="4"/>
  <c r="G117" i="4"/>
  <c r="G186" i="4"/>
  <c r="G77" i="4"/>
  <c r="G81" i="4"/>
  <c r="G173" i="4"/>
  <c r="G95" i="4"/>
  <c r="G139" i="4"/>
  <c r="G141" i="4"/>
  <c r="G47" i="4"/>
  <c r="G93" i="4"/>
  <c r="G167" i="4"/>
  <c r="G31" i="4"/>
  <c r="G34" i="4"/>
  <c r="G49" i="4"/>
  <c r="G212" i="4"/>
  <c r="G214" i="4"/>
  <c r="G99" i="4"/>
  <c r="G203" i="4"/>
  <c r="G169" i="4"/>
  <c r="E162" i="4"/>
  <c r="E208" i="4"/>
  <c r="E134" i="4"/>
  <c r="E195" i="4"/>
  <c r="E43" i="4"/>
  <c r="E123" i="4"/>
  <c r="E198" i="4"/>
  <c r="E62" i="4"/>
  <c r="E213" i="4"/>
  <c r="E183" i="4"/>
  <c r="E193" i="4"/>
  <c r="E204" i="4"/>
  <c r="E93" i="4"/>
  <c r="E129" i="4"/>
  <c r="E175" i="4"/>
  <c r="E35" i="4"/>
  <c r="E83" i="4"/>
  <c r="E205" i="4"/>
  <c r="E116" i="4"/>
  <c r="E160" i="4"/>
  <c r="E120" i="4"/>
  <c r="E149" i="4"/>
  <c r="E23" i="4"/>
  <c r="E168" i="4"/>
  <c r="E207" i="4"/>
  <c r="E26" i="4"/>
  <c r="E154" i="4"/>
  <c r="E104" i="4"/>
  <c r="G144" i="4"/>
  <c r="G164" i="4"/>
  <c r="G155" i="4"/>
  <c r="G67" i="4"/>
  <c r="G30" i="4"/>
  <c r="G153" i="4"/>
  <c r="G130" i="4"/>
  <c r="G19" i="4"/>
  <c r="G161" i="4"/>
  <c r="G96" i="4"/>
  <c r="G102" i="4"/>
  <c r="G56" i="4"/>
  <c r="G25" i="4"/>
  <c r="G50" i="4"/>
  <c r="G53" i="4"/>
  <c r="G60" i="4"/>
  <c r="G128" i="4"/>
  <c r="G57" i="4"/>
  <c r="G196" i="4"/>
  <c r="G88" i="4"/>
  <c r="G184" i="4"/>
  <c r="G22" i="4"/>
  <c r="G211" i="4"/>
  <c r="G80" i="4"/>
  <c r="G202" i="4"/>
  <c r="G27" i="4"/>
  <c r="G133" i="4"/>
  <c r="G84" i="4"/>
  <c r="G126" i="4"/>
  <c r="G127" i="4"/>
  <c r="G213" i="4"/>
  <c r="G194" i="4"/>
  <c r="G190" i="4"/>
  <c r="G197" i="4"/>
  <c r="G148" i="4"/>
  <c r="G98" i="4"/>
  <c r="G210" i="4"/>
  <c r="G38" i="4"/>
  <c r="G134" i="4"/>
  <c r="G103" i="4"/>
  <c r="G195" i="4"/>
  <c r="G176" i="4"/>
  <c r="G187" i="4"/>
  <c r="G36" i="4"/>
  <c r="G18" i="4"/>
  <c r="G174" i="4"/>
  <c r="G192" i="4"/>
  <c r="G121" i="4"/>
  <c r="G116" i="4"/>
  <c r="G58" i="4"/>
  <c r="G74" i="4"/>
  <c r="G177" i="4"/>
  <c r="G188" i="4"/>
  <c r="G189" i="4"/>
  <c r="G191" i="4"/>
  <c r="G208" i="4"/>
  <c r="G175" i="4"/>
  <c r="G91" i="4"/>
  <c r="G125" i="4"/>
  <c r="G92" i="4"/>
  <c r="G61" i="4"/>
  <c r="G137" i="4"/>
  <c r="G152" i="4"/>
  <c r="G129" i="4"/>
  <c r="G206" i="4"/>
  <c r="G112" i="4"/>
  <c r="G159" i="4"/>
  <c r="G140" i="4"/>
  <c r="G178" i="4"/>
  <c r="G146" i="4"/>
  <c r="G62" i="4"/>
  <c r="G136" i="4"/>
  <c r="G209" i="4"/>
  <c r="G45" i="4"/>
  <c r="G87" i="4"/>
  <c r="G94" i="4"/>
  <c r="G119" i="4"/>
  <c r="G171" i="4"/>
  <c r="G111" i="4"/>
  <c r="G168" i="4"/>
  <c r="F39" i="4"/>
  <c r="F78" i="4"/>
  <c r="F149" i="4"/>
  <c r="F173" i="4"/>
  <c r="F214" i="4"/>
  <c r="F93" i="4"/>
  <c r="F190" i="4"/>
  <c r="F50" i="4"/>
  <c r="F178" i="4"/>
  <c r="F136" i="4"/>
  <c r="F146" i="4"/>
  <c r="F65" i="4"/>
  <c r="F43" i="4"/>
  <c r="F187" i="4"/>
  <c r="F69" i="4"/>
  <c r="F179" i="4"/>
  <c r="F66" i="4"/>
  <c r="F132" i="4"/>
  <c r="F121" i="4"/>
  <c r="F191" i="4"/>
  <c r="F74" i="4"/>
  <c r="F123" i="4"/>
  <c r="F167" i="4"/>
  <c r="F37" i="4"/>
  <c r="F171" i="4"/>
  <c r="F19" i="4"/>
  <c r="F44" i="4"/>
  <c r="F20" i="4"/>
  <c r="F152" i="4"/>
  <c r="F82" i="4"/>
  <c r="F76" i="4"/>
  <c r="F155" i="4"/>
  <c r="F126" i="4"/>
  <c r="F176" i="4"/>
  <c r="F64" i="4"/>
  <c r="F17" i="4"/>
  <c r="F135" i="4"/>
  <c r="F51" i="4"/>
  <c r="F67" i="4"/>
  <c r="F41" i="4"/>
  <c r="F102" i="4"/>
  <c r="F68" i="4"/>
  <c r="F203" i="4"/>
  <c r="F106" i="4"/>
  <c r="F95" i="4"/>
  <c r="F161" i="4"/>
  <c r="F202" i="4"/>
  <c r="F119" i="4"/>
  <c r="F168" i="4"/>
  <c r="F189" i="4"/>
  <c r="F134" i="4"/>
  <c r="F175" i="4"/>
  <c r="F111" i="4"/>
  <c r="F98" i="4"/>
  <c r="F193" i="4"/>
  <c r="F54" i="4"/>
  <c r="F21" i="4"/>
  <c r="F42" i="4"/>
  <c r="F83" i="4"/>
  <c r="F177" i="4"/>
  <c r="F192" i="4"/>
  <c r="F205" i="4"/>
  <c r="F209" i="4"/>
  <c r="F164" i="4"/>
  <c r="F101" i="4"/>
  <c r="F212" i="4"/>
  <c r="F122" i="4"/>
  <c r="F169" i="4"/>
  <c r="F25" i="4"/>
  <c r="F84" i="4"/>
  <c r="F211" i="4"/>
  <c r="F138" i="4"/>
  <c r="F22" i="4"/>
  <c r="F185" i="4"/>
  <c r="F118" i="4"/>
  <c r="F52" i="4"/>
  <c r="F90" i="4"/>
  <c r="F62" i="4"/>
  <c r="F145" i="4"/>
  <c r="F36" i="4"/>
  <c r="F182" i="4"/>
  <c r="F112" i="4"/>
  <c r="F116" i="4"/>
  <c r="F81" i="4"/>
  <c r="F100" i="4"/>
  <c r="F16" i="4"/>
  <c r="F186" i="4"/>
  <c r="F142" i="4"/>
  <c r="F151" i="4"/>
  <c r="F199" i="4"/>
  <c r="F23" i="4"/>
  <c r="F141" i="4"/>
  <c r="F156" i="4"/>
  <c r="F201" i="4"/>
  <c r="F207" i="4"/>
  <c r="F48" i="4"/>
  <c r="F150" i="4"/>
  <c r="F144" i="4"/>
  <c r="F194" i="4"/>
  <c r="F53" i="4"/>
  <c r="F172" i="4"/>
  <c r="F206" i="4"/>
  <c r="F162" i="4"/>
  <c r="F166" i="4"/>
  <c r="F131" i="4"/>
  <c r="F26" i="4"/>
  <c r="F159" i="4"/>
  <c r="F24" i="4"/>
  <c r="F124" i="4"/>
  <c r="F28" i="4"/>
  <c r="F165" i="4"/>
  <c r="F127" i="4"/>
  <c r="F72" i="4"/>
  <c r="F59" i="4"/>
  <c r="F107" i="4"/>
  <c r="F120" i="4"/>
  <c r="F137" i="4"/>
  <c r="F215" i="4"/>
  <c r="F55" i="4"/>
  <c r="F31" i="4"/>
  <c r="F208" i="4"/>
  <c r="F109" i="4"/>
  <c r="F148" i="4"/>
  <c r="F153" i="4"/>
  <c r="F91" i="4"/>
  <c r="F56" i="4"/>
  <c r="F204" i="4"/>
  <c r="F73" i="4"/>
  <c r="F128" i="4"/>
  <c r="F117" i="4"/>
  <c r="F104" i="4"/>
  <c r="F49" i="4"/>
  <c r="F105" i="4"/>
  <c r="F30" i="4"/>
  <c r="F32" i="4"/>
  <c r="F45" i="4"/>
  <c r="F89" i="4"/>
  <c r="F33" i="4"/>
  <c r="F47" i="4"/>
  <c r="F130" i="4"/>
  <c r="F103" i="4"/>
  <c r="F38" i="4"/>
  <c r="F27" i="4"/>
  <c r="F58" i="4"/>
  <c r="F154" i="4"/>
  <c r="F18" i="4"/>
  <c r="F158" i="4"/>
  <c r="F79" i="4"/>
  <c r="F181" i="4"/>
  <c r="F77" i="4"/>
  <c r="F63" i="4"/>
  <c r="F183" i="4"/>
  <c r="F113" i="4"/>
  <c r="F57" i="4"/>
  <c r="F61" i="4"/>
  <c r="F216" i="4"/>
  <c r="F70" i="4"/>
  <c r="F174" i="4"/>
  <c r="F163" i="4"/>
  <c r="F80" i="4"/>
  <c r="F143" i="4"/>
  <c r="F157" i="4"/>
  <c r="F197" i="4"/>
  <c r="F196" i="4"/>
  <c r="F139" i="4"/>
  <c r="F85" i="4"/>
  <c r="F46" i="4"/>
  <c r="F108" i="4"/>
  <c r="F115" i="4"/>
  <c r="F129" i="4"/>
  <c r="F75" i="4"/>
  <c r="F94" i="4"/>
  <c r="F140" i="4"/>
  <c r="F87" i="4"/>
  <c r="F35" i="4"/>
  <c r="F60" i="4"/>
  <c r="F160" i="4"/>
  <c r="F198" i="4"/>
  <c r="F200" i="4"/>
  <c r="F40" i="4"/>
  <c r="F92" i="4"/>
  <c r="F188" i="4"/>
  <c r="F133" i="4"/>
  <c r="F213" i="4"/>
  <c r="F114" i="4"/>
  <c r="F147" i="4"/>
  <c r="F195" i="4"/>
  <c r="F34" i="4"/>
  <c r="F88" i="4"/>
  <c r="F86" i="4"/>
  <c r="F29" i="4"/>
  <c r="F71" i="4"/>
  <c r="F125" i="4"/>
  <c r="F99" i="4"/>
  <c r="F97" i="4"/>
  <c r="F170" i="4"/>
  <c r="F110" i="4"/>
  <c r="F210" i="4"/>
  <c r="F184" i="4"/>
  <c r="F180" i="4"/>
  <c r="F96" i="4"/>
  <c r="H95" i="4"/>
  <c r="H105" i="4"/>
  <c r="H162" i="4"/>
  <c r="H129" i="4"/>
  <c r="H204" i="4"/>
  <c r="H140" i="4"/>
  <c r="H54" i="4"/>
  <c r="H145" i="4"/>
  <c r="H195" i="4"/>
  <c r="H67" i="4"/>
  <c r="H155" i="4"/>
  <c r="H97" i="4"/>
  <c r="H184" i="4"/>
  <c r="H45" i="4"/>
  <c r="H156" i="4"/>
  <c r="H19" i="4"/>
  <c r="H132" i="4"/>
  <c r="H38" i="4"/>
  <c r="H117" i="4"/>
  <c r="H103" i="4"/>
  <c r="H49" i="4"/>
  <c r="H29" i="4"/>
  <c r="H17" i="4"/>
  <c r="H166" i="4"/>
  <c r="H61" i="4"/>
  <c r="H187" i="4"/>
  <c r="H167" i="4"/>
  <c r="H44" i="4"/>
  <c r="H28" i="4"/>
  <c r="H41" i="4"/>
  <c r="H26" i="4"/>
  <c r="H133" i="4"/>
  <c r="H206" i="4"/>
  <c r="H130" i="4"/>
  <c r="H197" i="4"/>
  <c r="H82" i="4"/>
  <c r="H173" i="4"/>
  <c r="H109" i="4"/>
  <c r="H37" i="4"/>
  <c r="H125" i="4"/>
  <c r="H30" i="4"/>
  <c r="H34" i="4"/>
  <c r="H148" i="4"/>
  <c r="H99" i="4"/>
  <c r="H138" i="4"/>
  <c r="H91" i="4"/>
  <c r="H83" i="4"/>
  <c r="H158" i="4"/>
  <c r="H48" i="4"/>
  <c r="H96" i="4"/>
  <c r="H53" i="4"/>
  <c r="H119" i="4"/>
  <c r="H185" i="4"/>
  <c r="H136" i="4"/>
  <c r="H93" i="4"/>
  <c r="H51" i="4"/>
  <c r="H113" i="4"/>
  <c r="H207" i="4"/>
  <c r="H69" i="4"/>
  <c r="H70" i="4"/>
  <c r="H21" i="4"/>
  <c r="H169" i="4"/>
  <c r="H116" i="4"/>
  <c r="H170" i="4"/>
  <c r="H23" i="4"/>
  <c r="H196" i="4"/>
  <c r="H146" i="4"/>
  <c r="H180" i="4"/>
  <c r="H73" i="4"/>
  <c r="H24" i="4"/>
  <c r="H86" i="4"/>
  <c r="H126" i="4"/>
  <c r="H152" i="4"/>
  <c r="H46" i="4"/>
  <c r="H172" i="4"/>
  <c r="H137" i="4"/>
  <c r="H39" i="4"/>
  <c r="H191" i="4"/>
  <c r="H68" i="4"/>
  <c r="H71" i="4"/>
  <c r="H63" i="4"/>
  <c r="H66" i="4"/>
  <c r="H87" i="4"/>
  <c r="H84" i="4"/>
  <c r="H190" i="4"/>
  <c r="H142" i="4"/>
  <c r="H35" i="4"/>
  <c r="H214" i="4"/>
  <c r="H32" i="4"/>
  <c r="H98" i="4"/>
  <c r="H110" i="4"/>
  <c r="H216" i="4"/>
  <c r="H128" i="4"/>
  <c r="H165" i="4"/>
  <c r="H179" i="4"/>
  <c r="H112" i="4"/>
  <c r="H153" i="4"/>
  <c r="H122" i="4"/>
  <c r="H120" i="4"/>
  <c r="H88" i="4"/>
  <c r="H188" i="4"/>
  <c r="H124" i="4"/>
  <c r="H159" i="4"/>
  <c r="H212" i="4"/>
  <c r="H149" i="4"/>
  <c r="H213" i="4"/>
  <c r="H150" i="4"/>
  <c r="H31" i="4"/>
  <c r="H58" i="4"/>
  <c r="H18" i="4"/>
  <c r="H101" i="4"/>
  <c r="H25" i="4"/>
  <c r="H121" i="4"/>
  <c r="H65" i="4"/>
  <c r="H168" i="4"/>
  <c r="H75" i="4"/>
  <c r="H50" i="4"/>
  <c r="H102" i="4"/>
  <c r="H198" i="4"/>
  <c r="H40" i="4"/>
  <c r="H181" i="4"/>
  <c r="H100" i="4"/>
  <c r="H92" i="4"/>
  <c r="H94" i="4"/>
  <c r="H52" i="4"/>
  <c r="H161" i="4"/>
  <c r="H199" i="4"/>
  <c r="H123" i="4"/>
  <c r="H74" i="4"/>
  <c r="H81" i="4"/>
  <c r="H208" i="4"/>
  <c r="H171" i="4"/>
  <c r="H157" i="4"/>
  <c r="H59" i="4"/>
  <c r="H85" i="4"/>
  <c r="H182" i="4"/>
  <c r="H177" i="4"/>
  <c r="H189" i="4"/>
  <c r="H174" i="4"/>
  <c r="H134" i="4"/>
  <c r="H22" i="4"/>
  <c r="H193" i="4"/>
  <c r="H27" i="4"/>
  <c r="H36" i="4"/>
  <c r="H143" i="4"/>
  <c r="H163" i="4"/>
  <c r="H176" i="4"/>
  <c r="H201" i="4"/>
  <c r="H77" i="4"/>
  <c r="H186" i="4"/>
  <c r="H47" i="4"/>
  <c r="H107" i="4"/>
  <c r="H118" i="4"/>
  <c r="H151" i="4"/>
  <c r="H55" i="4"/>
  <c r="H90" i="4"/>
  <c r="H108" i="4"/>
  <c r="H202" i="4"/>
  <c r="H79" i="4"/>
  <c r="H144" i="4"/>
  <c r="H175" i="4"/>
  <c r="H33" i="4"/>
  <c r="H89" i="4"/>
  <c r="H139" i="4"/>
  <c r="H114" i="4"/>
  <c r="H56" i="4"/>
  <c r="H141" i="4"/>
  <c r="H115" i="4"/>
  <c r="H111" i="4"/>
  <c r="H62" i="4"/>
  <c r="H200" i="4"/>
  <c r="H131" i="4"/>
  <c r="H43" i="4"/>
  <c r="H164" i="4"/>
  <c r="H203" i="4"/>
  <c r="H42" i="4"/>
  <c r="H183" i="4"/>
  <c r="H147" i="4"/>
  <c r="H104" i="4"/>
  <c r="H178" i="4"/>
  <c r="H16" i="4"/>
  <c r="H192" i="4"/>
  <c r="H210" i="4"/>
  <c r="H72" i="4"/>
  <c r="H160" i="4"/>
  <c r="H80" i="4"/>
  <c r="H205" i="4"/>
  <c r="H209" i="4"/>
  <c r="H57" i="4"/>
  <c r="H194" i="4"/>
  <c r="H135" i="4"/>
  <c r="H215" i="4"/>
  <c r="H154" i="4"/>
  <c r="H60" i="4"/>
  <c r="H106" i="4"/>
  <c r="H76" i="4"/>
  <c r="H211" i="4"/>
  <c r="H64" i="4"/>
  <c r="H127" i="4"/>
  <c r="H20" i="4"/>
  <c r="H78" i="4"/>
  <c r="C187" i="4"/>
  <c r="C29" i="4"/>
  <c r="C17" i="4"/>
  <c r="C216" i="4"/>
  <c r="C173" i="4"/>
  <c r="C124" i="4"/>
  <c r="C42" i="4"/>
  <c r="C201" i="4"/>
  <c r="C113" i="4"/>
  <c r="C148" i="4"/>
  <c r="C30" i="4"/>
  <c r="C62" i="4"/>
  <c r="C50" i="4"/>
  <c r="C200" i="4"/>
  <c r="C171" i="4"/>
  <c r="C16" i="4"/>
  <c r="C208" i="4"/>
  <c r="C55" i="4"/>
  <c r="C149" i="4"/>
  <c r="C191" i="4"/>
  <c r="C151" i="4"/>
  <c r="C166" i="4"/>
  <c r="C120" i="4"/>
  <c r="C177" i="4"/>
  <c r="C167" i="4"/>
  <c r="C34" i="4"/>
  <c r="C111" i="4"/>
  <c r="C114" i="4"/>
  <c r="C97" i="4"/>
  <c r="C152" i="4"/>
  <c r="C56" i="4"/>
  <c r="C121" i="4"/>
  <c r="C115" i="4"/>
  <c r="C27" i="4"/>
  <c r="C139" i="4"/>
  <c r="C31" i="4"/>
  <c r="C198" i="4"/>
  <c r="C45" i="4"/>
  <c r="C112" i="4"/>
  <c r="C18" i="4"/>
  <c r="C214" i="4"/>
  <c r="C179" i="4"/>
  <c r="C53" i="4"/>
  <c r="C67" i="4"/>
  <c r="C39" i="4"/>
  <c r="C43" i="4"/>
  <c r="C119" i="4"/>
  <c r="C35" i="4"/>
  <c r="C162" i="4"/>
  <c r="C58" i="4"/>
  <c r="C66" i="4"/>
  <c r="C202" i="4"/>
  <c r="C126" i="4"/>
  <c r="C36" i="4"/>
  <c r="C184" i="4"/>
  <c r="C23" i="4"/>
  <c r="C75" i="4"/>
  <c r="C44" i="4"/>
  <c r="C19" i="4"/>
  <c r="C47" i="4"/>
  <c r="C132" i="4"/>
  <c r="C168" i="4"/>
  <c r="C131" i="4"/>
  <c r="C154" i="4"/>
  <c r="C49" i="4"/>
  <c r="C92" i="4"/>
  <c r="C211" i="4"/>
  <c r="C105" i="4"/>
  <c r="C95" i="4"/>
  <c r="C22" i="4"/>
  <c r="C101" i="4"/>
  <c r="C163" i="4"/>
  <c r="C144" i="4"/>
  <c r="C190" i="4"/>
  <c r="C117" i="4"/>
  <c r="C155" i="4"/>
  <c r="C125" i="4"/>
  <c r="C210" i="4"/>
  <c r="C185" i="4"/>
  <c r="C157" i="4"/>
  <c r="C134" i="4"/>
  <c r="C24" i="4"/>
  <c r="C172" i="4"/>
  <c r="C127" i="4"/>
  <c r="C77" i="4"/>
  <c r="C37" i="4"/>
  <c r="C165" i="4"/>
  <c r="C176" i="4"/>
  <c r="C123" i="4"/>
  <c r="C90" i="4"/>
  <c r="C146" i="4"/>
  <c r="C48" i="4"/>
  <c r="C135" i="4"/>
  <c r="C69" i="4"/>
  <c r="C28" i="4"/>
  <c r="C76" i="4"/>
  <c r="C82" i="4"/>
  <c r="C98" i="4"/>
  <c r="C137" i="4"/>
  <c r="C142" i="4"/>
  <c r="C181" i="4"/>
  <c r="C51" i="4"/>
  <c r="C186" i="4"/>
  <c r="C175" i="4"/>
  <c r="C164" i="4"/>
  <c r="C196" i="4"/>
  <c r="C21" i="4"/>
  <c r="C74" i="4"/>
  <c r="C63" i="4"/>
  <c r="C156" i="4"/>
  <c r="C110" i="4"/>
  <c r="C147" i="4"/>
  <c r="C60" i="4"/>
  <c r="C192" i="4"/>
  <c r="C85" i="4"/>
  <c r="C107" i="4"/>
  <c r="C212" i="4"/>
  <c r="C52" i="4"/>
  <c r="C73" i="4"/>
  <c r="C86" i="4"/>
  <c r="C94" i="4"/>
  <c r="C193" i="4"/>
  <c r="C213" i="4"/>
  <c r="C133" i="4"/>
  <c r="C84" i="4"/>
  <c r="C150" i="4"/>
  <c r="C197" i="4"/>
  <c r="C138" i="4"/>
  <c r="C159" i="4"/>
  <c r="C122" i="4"/>
  <c r="C129" i="4"/>
  <c r="C203" i="4"/>
  <c r="C89" i="4"/>
  <c r="C199" i="4"/>
  <c r="C209" i="4"/>
  <c r="C96" i="4"/>
  <c r="C116" i="4"/>
  <c r="C100" i="4"/>
  <c r="C65" i="4"/>
  <c r="C182" i="4"/>
  <c r="C195" i="4"/>
  <c r="C71" i="4"/>
  <c r="C88" i="4"/>
  <c r="C128" i="4"/>
  <c r="C40" i="4"/>
  <c r="C215" i="4"/>
  <c r="C118" i="4"/>
  <c r="C130" i="4"/>
  <c r="C143" i="4"/>
  <c r="C174" i="4"/>
  <c r="C32" i="4"/>
  <c r="C206" i="4"/>
  <c r="C188" i="4"/>
  <c r="C109" i="4"/>
  <c r="C61" i="4"/>
  <c r="C194" i="4"/>
  <c r="C178" i="4"/>
  <c r="C79" i="4"/>
  <c r="C102" i="4"/>
  <c r="C108" i="4"/>
  <c r="C207" i="4"/>
  <c r="C41" i="4"/>
  <c r="C54" i="4"/>
  <c r="C103" i="4"/>
  <c r="C81" i="4"/>
  <c r="C83" i="4"/>
  <c r="C170" i="4"/>
  <c r="C169" i="4"/>
  <c r="C59" i="4"/>
  <c r="C26" i="4"/>
  <c r="C204" i="4"/>
  <c r="C180" i="4"/>
  <c r="C38" i="4"/>
  <c r="C68" i="4"/>
  <c r="C104" i="4"/>
  <c r="C145" i="4"/>
  <c r="C64" i="4"/>
  <c r="C93" i="4"/>
  <c r="C25" i="4"/>
  <c r="C161" i="4"/>
  <c r="C189" i="4"/>
  <c r="C80" i="4"/>
  <c r="C99" i="4"/>
  <c r="C78" i="4"/>
  <c r="C72" i="4"/>
  <c r="C153" i="4"/>
  <c r="C46" i="4"/>
  <c r="C140" i="4"/>
  <c r="C141" i="4"/>
  <c r="C205" i="4"/>
  <c r="C70" i="4"/>
  <c r="C87" i="4"/>
  <c r="C106" i="4"/>
  <c r="C91" i="4"/>
  <c r="C158" i="4"/>
  <c r="C183" i="4"/>
  <c r="C20" i="4"/>
  <c r="C57" i="4"/>
  <c r="C136" i="4"/>
  <c r="C160" i="4"/>
  <c r="C33" i="4"/>
  <c r="I156" i="4"/>
  <c r="I44" i="4"/>
  <c r="I185" i="4"/>
  <c r="I117" i="4"/>
  <c r="I24" i="4"/>
  <c r="I85" i="4"/>
  <c r="I37" i="4"/>
  <c r="I154" i="4"/>
  <c r="I192" i="4"/>
  <c r="I114" i="4"/>
  <c r="I205" i="4"/>
  <c r="I101" i="4"/>
  <c r="I155" i="4"/>
  <c r="I105" i="4"/>
  <c r="I25" i="4"/>
  <c r="I204" i="4"/>
  <c r="I106" i="4"/>
  <c r="I45" i="4"/>
  <c r="I108" i="4"/>
  <c r="I66" i="4"/>
  <c r="I174" i="4"/>
  <c r="I144" i="4"/>
  <c r="I131" i="4"/>
  <c r="I112" i="4"/>
  <c r="I214" i="4"/>
  <c r="I53" i="4"/>
  <c r="I196" i="4"/>
  <c r="I87" i="4"/>
  <c r="I30" i="4"/>
  <c r="I191" i="4"/>
  <c r="I47" i="4"/>
  <c r="I77" i="4"/>
  <c r="I195" i="4"/>
  <c r="I19" i="4"/>
  <c r="I141" i="4"/>
  <c r="I104" i="4"/>
  <c r="I190" i="4"/>
  <c r="I34" i="4"/>
  <c r="I140" i="4"/>
  <c r="I96" i="4"/>
  <c r="I203" i="4"/>
  <c r="I16" i="4"/>
  <c r="I68" i="4"/>
  <c r="I132" i="4"/>
  <c r="I125" i="4"/>
  <c r="I175" i="4"/>
  <c r="I23" i="4"/>
  <c r="I38" i="4"/>
  <c r="I103" i="4"/>
  <c r="I49" i="4"/>
  <c r="I168" i="4"/>
  <c r="I181" i="4"/>
  <c r="I93" i="4"/>
  <c r="I64" i="4"/>
  <c r="I40" i="4"/>
  <c r="I89" i="4"/>
  <c r="I187" i="4"/>
  <c r="I78" i="4"/>
  <c r="I48" i="4"/>
  <c r="I26" i="4"/>
  <c r="I67" i="4"/>
  <c r="I88" i="4"/>
  <c r="I58" i="4"/>
  <c r="I129" i="4"/>
  <c r="I42" i="4"/>
  <c r="I69" i="4"/>
  <c r="I57" i="4"/>
  <c r="I137" i="4"/>
  <c r="I92" i="4"/>
  <c r="I149" i="4"/>
  <c r="I60" i="4"/>
  <c r="I210" i="4"/>
  <c r="I130" i="4"/>
  <c r="I79" i="4"/>
  <c r="I213" i="4"/>
  <c r="I21" i="4"/>
  <c r="I172" i="4"/>
  <c r="I52" i="4"/>
  <c r="I73" i="4"/>
  <c r="I118" i="4"/>
  <c r="I124" i="4"/>
  <c r="I29" i="4"/>
  <c r="I133" i="4"/>
  <c r="I146" i="4"/>
  <c r="I113" i="4"/>
  <c r="I102" i="4"/>
  <c r="I59" i="4"/>
  <c r="I110" i="4"/>
  <c r="I121" i="4"/>
  <c r="I115" i="4"/>
  <c r="I70" i="4"/>
  <c r="I31" i="4"/>
  <c r="I148" i="4"/>
  <c r="I147" i="4"/>
  <c r="I198" i="4"/>
  <c r="I162" i="4"/>
  <c r="I51" i="4"/>
  <c r="I46" i="4"/>
  <c r="I153" i="4"/>
  <c r="I180" i="4"/>
  <c r="I163" i="4"/>
  <c r="I136" i="4"/>
  <c r="I173" i="4"/>
  <c r="I161" i="4"/>
  <c r="I32" i="4"/>
  <c r="I99" i="4"/>
  <c r="I91" i="4"/>
  <c r="I72" i="4"/>
  <c r="I41" i="4"/>
  <c r="I189" i="4"/>
  <c r="I17" i="4"/>
  <c r="I164" i="4"/>
  <c r="I107" i="4"/>
  <c r="I182" i="4"/>
  <c r="I82" i="4"/>
  <c r="I123" i="4"/>
  <c r="I209" i="4"/>
  <c r="I22" i="4"/>
  <c r="I215" i="4"/>
  <c r="I169" i="4"/>
  <c r="I206" i="4"/>
  <c r="I90" i="4"/>
  <c r="I127" i="4"/>
  <c r="I35" i="4"/>
  <c r="I56" i="4"/>
  <c r="I166" i="4"/>
  <c r="I94" i="4"/>
  <c r="I43" i="4"/>
  <c r="I143" i="4"/>
  <c r="I212" i="4"/>
  <c r="I61" i="4"/>
  <c r="I109" i="4"/>
  <c r="I186" i="4"/>
  <c r="I128" i="4"/>
  <c r="I171" i="4"/>
  <c r="I97" i="4"/>
  <c r="I151" i="4"/>
  <c r="I188" i="4"/>
  <c r="I84" i="4"/>
  <c r="I18" i="4"/>
  <c r="I200" i="4"/>
  <c r="I178" i="4"/>
  <c r="I62" i="4"/>
  <c r="I157" i="4"/>
  <c r="I139" i="4"/>
  <c r="I71" i="4"/>
  <c r="I197" i="4"/>
  <c r="I119" i="4"/>
  <c r="I98" i="4"/>
  <c r="I170" i="4"/>
  <c r="I65" i="4"/>
  <c r="I55" i="4"/>
  <c r="I207" i="4"/>
  <c r="I54" i="4"/>
  <c r="I179" i="4"/>
  <c r="I27" i="4"/>
  <c r="I36" i="4"/>
  <c r="I193" i="4"/>
  <c r="I165" i="4"/>
  <c r="I126" i="4"/>
  <c r="I138" i="4"/>
  <c r="I158" i="4"/>
  <c r="I120" i="4"/>
  <c r="I202" i="4"/>
  <c r="I145" i="4"/>
  <c r="I135" i="4"/>
  <c r="I160" i="4"/>
  <c r="I111" i="4"/>
  <c r="I28" i="4"/>
  <c r="I177" i="4"/>
  <c r="I33" i="4"/>
  <c r="I159" i="4"/>
  <c r="I199" i="4"/>
  <c r="I75" i="4"/>
  <c r="I39" i="4"/>
  <c r="I81" i="4"/>
  <c r="I80" i="4"/>
  <c r="I167" i="4"/>
  <c r="I216" i="4"/>
  <c r="I63" i="4"/>
  <c r="I122" i="4"/>
  <c r="I116" i="4"/>
  <c r="I194" i="4"/>
  <c r="I95" i="4"/>
  <c r="I150" i="4"/>
  <c r="I183" i="4"/>
  <c r="I152" i="4"/>
  <c r="I74" i="4"/>
  <c r="I83" i="4"/>
  <c r="I208" i="4"/>
  <c r="I184" i="4"/>
  <c r="I211" i="4"/>
  <c r="I201" i="4"/>
  <c r="I20" i="4"/>
  <c r="I100" i="4"/>
  <c r="I142" i="4"/>
  <c r="I50" i="4"/>
  <c r="I176" i="4"/>
  <c r="I134" i="4"/>
  <c r="I86" i="4"/>
  <c r="I76" i="4"/>
  <c r="D115" i="4"/>
  <c r="D212" i="4"/>
  <c r="D191" i="4"/>
  <c r="D38" i="4"/>
  <c r="D54" i="4"/>
  <c r="D23" i="4"/>
  <c r="D52" i="4"/>
  <c r="D120" i="4"/>
  <c r="D176" i="4"/>
  <c r="D189" i="4"/>
  <c r="D19" i="4"/>
  <c r="D214" i="4"/>
  <c r="D83" i="4"/>
  <c r="D29" i="4"/>
  <c r="D27" i="4"/>
  <c r="D28" i="4"/>
  <c r="D34" i="4"/>
  <c r="D72" i="4"/>
  <c r="D211" i="4"/>
  <c r="D101" i="4"/>
  <c r="D163" i="4"/>
  <c r="D215" i="4"/>
  <c r="D18" i="4"/>
  <c r="D88" i="4"/>
  <c r="D173" i="4"/>
  <c r="D121" i="4"/>
  <c r="D41" i="4"/>
  <c r="D160" i="4"/>
  <c r="D100" i="4"/>
  <c r="D203" i="4"/>
  <c r="D108" i="4"/>
  <c r="D60" i="4"/>
  <c r="D81" i="4"/>
  <c r="D33" i="4"/>
  <c r="D175" i="4"/>
  <c r="D200" i="4"/>
  <c r="D39" i="4"/>
  <c r="D199" i="4"/>
  <c r="D107" i="4"/>
  <c r="D119" i="4"/>
  <c r="D114" i="4"/>
  <c r="D70" i="4"/>
  <c r="D123" i="4"/>
  <c r="D75" i="4"/>
  <c r="D129" i="4"/>
  <c r="D111" i="4"/>
  <c r="D180" i="4"/>
  <c r="D24" i="4"/>
  <c r="D138" i="4"/>
  <c r="D153" i="4"/>
  <c r="D174" i="4"/>
  <c r="D197" i="4"/>
  <c r="D51" i="4"/>
  <c r="D208" i="4"/>
  <c r="D185" i="4"/>
  <c r="D150" i="4"/>
  <c r="D186" i="4"/>
  <c r="D32" i="4"/>
  <c r="D104" i="4"/>
  <c r="D165" i="4"/>
  <c r="D164" i="4"/>
  <c r="D195" i="4"/>
  <c r="D47" i="4"/>
  <c r="D53" i="4"/>
  <c r="D127" i="4"/>
  <c r="D157" i="4"/>
  <c r="D131" i="4"/>
  <c r="D82" i="4"/>
  <c r="D190" i="4"/>
  <c r="D73" i="4"/>
  <c r="D143" i="4"/>
  <c r="D49" i="4"/>
  <c r="D146" i="4"/>
  <c r="D95" i="4"/>
  <c r="D46" i="4"/>
  <c r="D74" i="4"/>
  <c r="D196" i="4"/>
  <c r="D112" i="4"/>
  <c r="D184" i="4"/>
  <c r="D68" i="4"/>
  <c r="D148" i="4"/>
  <c r="D151" i="4"/>
  <c r="D162" i="4"/>
  <c r="D156" i="4"/>
  <c r="D90" i="4"/>
  <c r="D92" i="4"/>
  <c r="D116" i="4"/>
  <c r="D201" i="4"/>
  <c r="D40" i="4"/>
  <c r="D44" i="4"/>
  <c r="D43" i="4"/>
  <c r="D171" i="4"/>
  <c r="D134" i="4"/>
  <c r="D91" i="4"/>
  <c r="D124" i="4"/>
  <c r="D188" i="4"/>
  <c r="D87" i="4"/>
  <c r="D193" i="4"/>
  <c r="D144" i="4"/>
  <c r="D181" i="4"/>
  <c r="D137" i="4"/>
  <c r="D216" i="4"/>
  <c r="D99" i="4"/>
  <c r="D76" i="4"/>
  <c r="D109" i="4"/>
  <c r="D194" i="4"/>
  <c r="D45" i="4"/>
  <c r="D66" i="4"/>
  <c r="D113" i="4"/>
  <c r="D158" i="4"/>
  <c r="D207" i="4"/>
  <c r="D126" i="4"/>
  <c r="D128" i="4"/>
  <c r="D140" i="4"/>
  <c r="D77" i="4"/>
  <c r="D61" i="4"/>
  <c r="D50" i="4"/>
  <c r="D122" i="4"/>
  <c r="D103" i="4"/>
  <c r="D141" i="4"/>
  <c r="D56" i="4"/>
  <c r="D98" i="4"/>
  <c r="D26" i="4"/>
  <c r="D69" i="4"/>
  <c r="D42" i="4"/>
  <c r="D96" i="4"/>
  <c r="D139" i="4"/>
  <c r="D59" i="4"/>
  <c r="D79" i="4"/>
  <c r="D170" i="4"/>
  <c r="D149" i="4"/>
  <c r="D55" i="4"/>
  <c r="D118" i="4"/>
  <c r="D125" i="4"/>
  <c r="D213" i="4"/>
  <c r="D31" i="4"/>
  <c r="D147" i="4"/>
  <c r="D169" i="4"/>
  <c r="D205" i="4"/>
  <c r="D202" i="4"/>
  <c r="D110" i="4"/>
  <c r="D63" i="4"/>
  <c r="D168" i="4"/>
  <c r="D86" i="4"/>
  <c r="D130" i="4"/>
  <c r="D80" i="4"/>
  <c r="D135" i="4"/>
  <c r="D179" i="4"/>
  <c r="D93" i="4"/>
  <c r="D192" i="4"/>
  <c r="D16" i="4"/>
  <c r="D106" i="4"/>
  <c r="D85" i="4"/>
  <c r="D187" i="4"/>
  <c r="D136" i="4"/>
  <c r="D117" i="4"/>
  <c r="D183" i="4"/>
  <c r="D84" i="4"/>
  <c r="D159" i="4"/>
  <c r="D198" i="4"/>
  <c r="D35" i="4"/>
  <c r="D71" i="4"/>
  <c r="D62" i="4"/>
  <c r="D65" i="4"/>
  <c r="D155" i="4"/>
  <c r="D58" i="4"/>
  <c r="D178" i="4"/>
  <c r="D177" i="4"/>
  <c r="D97" i="4"/>
  <c r="D204" i="4"/>
  <c r="D209" i="4"/>
  <c r="D89" i="4"/>
  <c r="D37" i="4"/>
  <c r="D22" i="4"/>
  <c r="D94" i="4"/>
  <c r="D154" i="4"/>
  <c r="D20" i="4"/>
  <c r="D36" i="4"/>
  <c r="D133" i="4"/>
  <c r="D142" i="4"/>
  <c r="D48" i="4"/>
  <c r="D57" i="4"/>
  <c r="D172" i="4"/>
  <c r="D30" i="4"/>
  <c r="D167" i="4"/>
  <c r="D67" i="4"/>
  <c r="D64" i="4"/>
  <c r="D161" i="4"/>
  <c r="D152" i="4"/>
  <c r="D182" i="4"/>
  <c r="D17" i="4"/>
  <c r="D210" i="4"/>
  <c r="D25" i="4"/>
  <c r="D21" i="4"/>
  <c r="D78" i="4"/>
  <c r="D145" i="4"/>
  <c r="D102" i="4"/>
  <c r="D166" i="4"/>
  <c r="D132" i="4"/>
  <c r="D105" i="4"/>
  <c r="D206" i="4"/>
  <c r="E73" i="4"/>
  <c r="E58" i="4"/>
  <c r="E94" i="4"/>
  <c r="E87" i="4"/>
  <c r="E57" i="4"/>
  <c r="E143" i="4"/>
  <c r="E53" i="4"/>
  <c r="E49" i="4"/>
  <c r="E32" i="4"/>
  <c r="E76" i="4"/>
  <c r="E127" i="4"/>
  <c r="E37" i="4"/>
  <c r="E56" i="4"/>
  <c r="E79" i="4"/>
  <c r="E72" i="4"/>
  <c r="E74" i="4"/>
  <c r="E42" i="4"/>
  <c r="E64" i="4"/>
  <c r="E61" i="4"/>
  <c r="E65" i="4"/>
  <c r="E115" i="4"/>
  <c r="E182" i="4"/>
  <c r="E99" i="4"/>
  <c r="E118" i="4"/>
  <c r="E102" i="4"/>
  <c r="E147" i="4"/>
  <c r="E112" i="4"/>
  <c r="E173" i="4"/>
  <c r="E192" i="4"/>
  <c r="E33" i="4"/>
  <c r="E19" i="4"/>
  <c r="E165" i="4"/>
  <c r="E174" i="4"/>
  <c r="E91" i="4"/>
  <c r="E29" i="4"/>
  <c r="E209" i="4"/>
  <c r="E46" i="4"/>
  <c r="E188" i="4"/>
  <c r="E128" i="4"/>
  <c r="E206" i="4"/>
  <c r="E197" i="4"/>
  <c r="E133" i="4"/>
  <c r="E136" i="4"/>
  <c r="E196" i="4"/>
  <c r="E84" i="4"/>
  <c r="E18" i="4"/>
  <c r="E20" i="4"/>
  <c r="E172" i="4"/>
  <c r="E210" i="4"/>
  <c r="E24" i="4"/>
  <c r="E107" i="4"/>
  <c r="E131" i="4"/>
  <c r="E150" i="4"/>
  <c r="E140" i="4"/>
  <c r="E216" i="4"/>
  <c r="E170" i="4"/>
  <c r="E81" i="4"/>
  <c r="E201" i="4"/>
  <c r="E98" i="4"/>
  <c r="E103" i="4"/>
  <c r="E59" i="4"/>
  <c r="E191" i="4"/>
  <c r="E27" i="4"/>
  <c r="E181" i="4"/>
  <c r="E39" i="4"/>
  <c r="E110" i="4"/>
  <c r="E142" i="4"/>
  <c r="E69" i="4"/>
  <c r="E101" i="4"/>
  <c r="E141" i="4"/>
  <c r="E117" i="4"/>
  <c r="E34" i="4"/>
  <c r="E92" i="4"/>
  <c r="E51" i="4"/>
  <c r="E171" i="4"/>
  <c r="E119" i="4"/>
  <c r="E96" i="4"/>
  <c r="E106" i="4"/>
  <c r="E97" i="4"/>
  <c r="E67" i="4"/>
  <c r="E60" i="4"/>
  <c r="E130" i="4"/>
  <c r="E44" i="4"/>
  <c r="E85" i="4"/>
  <c r="E31" i="4"/>
  <c r="E89" i="4"/>
  <c r="E153" i="4"/>
  <c r="E38" i="4"/>
  <c r="E63" i="4"/>
  <c r="E45" i="4"/>
  <c r="E156" i="4"/>
  <c r="E155" i="4"/>
  <c r="E157" i="4"/>
  <c r="E184" i="4"/>
  <c r="E54" i="4"/>
  <c r="E90" i="4"/>
  <c r="E50" i="4"/>
  <c r="E145" i="4"/>
  <c r="E212" i="4"/>
  <c r="E28" i="4"/>
  <c r="E17" i="4"/>
  <c r="E177" i="4"/>
  <c r="E80" i="4"/>
  <c r="E139" i="4"/>
  <c r="E151" i="4"/>
  <c r="E105" i="4"/>
  <c r="E135" i="4"/>
  <c r="E163" i="4"/>
  <c r="E164" i="4"/>
  <c r="E40" i="4"/>
  <c r="E77" i="4"/>
  <c r="E211" i="4"/>
  <c r="E215" i="4"/>
  <c r="E70" i="4"/>
  <c r="E52" i="4"/>
  <c r="E152" i="4"/>
  <c r="E126" i="4"/>
  <c r="E82" i="4"/>
  <c r="E180" i="4"/>
  <c r="E190" i="4"/>
  <c r="E36" i="4"/>
  <c r="E199" i="4"/>
  <c r="E66" i="4"/>
  <c r="E186" i="4"/>
  <c r="E202" i="4"/>
  <c r="E166" i="4"/>
  <c r="E132" i="4"/>
  <c r="E187" i="4"/>
  <c r="E214" i="4"/>
  <c r="E138" i="4"/>
  <c r="E25" i="4"/>
  <c r="E169" i="4"/>
  <c r="E124" i="4"/>
  <c r="E203" i="4"/>
  <c r="E95" i="4"/>
  <c r="E22" i="4"/>
  <c r="E200" i="4"/>
  <c r="E148" i="4"/>
  <c r="E158" i="4"/>
  <c r="E122" i="4"/>
  <c r="E178" i="4"/>
  <c r="E185" i="4"/>
  <c r="DX18" i="10"/>
  <c r="DV18" i="10"/>
  <c r="DW19" i="10"/>
  <c r="AK19" i="10"/>
  <c r="AJ18" i="10"/>
  <c r="AL18" i="10"/>
  <c r="CL329" i="10"/>
  <c r="CN329" i="10"/>
  <c r="CM330" i="10"/>
  <c r="BB18" i="10"/>
  <c r="BD18" i="10"/>
  <c r="BC19" i="10"/>
  <c r="CN18" i="10"/>
  <c r="CL18" i="10"/>
  <c r="CM19" i="10"/>
  <c r="BU19" i="10"/>
  <c r="BV18" i="10"/>
  <c r="BT18" i="10"/>
  <c r="AK331" i="10"/>
  <c r="AJ330" i="10"/>
  <c r="AL330" i="10"/>
  <c r="CD20" i="10"/>
  <c r="CE19" i="10"/>
  <c r="CC19" i="10"/>
  <c r="D7" i="11"/>
  <c r="B8" i="11"/>
  <c r="O7" i="11"/>
  <c r="U7" i="11"/>
  <c r="R7" i="11"/>
  <c r="Q7" i="11"/>
  <c r="T7" i="11"/>
  <c r="N7" i="11"/>
  <c r="S6" i="11"/>
  <c r="AT332" i="10"/>
  <c r="AU331" i="10"/>
  <c r="AS331" i="10"/>
  <c r="V5" i="5"/>
  <c r="R5" i="5"/>
  <c r="D23" i="5"/>
  <c r="G23" i="5" s="1"/>
  <c r="P6" i="11"/>
  <c r="J14" i="16" l="1"/>
  <c r="L13" i="16"/>
  <c r="K13" i="16"/>
  <c r="G13" i="16" s="1"/>
  <c r="H20" i="16"/>
  <c r="H13" i="6"/>
  <c r="K13" i="6" s="1"/>
  <c r="H80" i="6"/>
  <c r="U63" i="6" s="1"/>
  <c r="H48" i="6"/>
  <c r="K48" i="6" s="1"/>
  <c r="DE20" i="10"/>
  <c r="DF20" i="10" s="1"/>
  <c r="DF19" i="10"/>
  <c r="H25" i="6"/>
  <c r="U8" i="6" s="1"/>
  <c r="V7" i="11"/>
  <c r="H78" i="6"/>
  <c r="U61" i="6" s="1"/>
  <c r="H46" i="6"/>
  <c r="K46" i="6" s="1"/>
  <c r="H123" i="6"/>
  <c r="K123" i="6" s="1"/>
  <c r="H58" i="6"/>
  <c r="K58" i="6" s="1"/>
  <c r="I99" i="6"/>
  <c r="N99" i="6" s="1"/>
  <c r="I47" i="6"/>
  <c r="N47" i="6" s="1"/>
  <c r="F105" i="6"/>
  <c r="O105" i="6" s="1"/>
  <c r="P105" i="6" s="1"/>
  <c r="H72" i="6"/>
  <c r="U55" i="6" s="1"/>
  <c r="BC331" i="10"/>
  <c r="BD331" i="10" s="1"/>
  <c r="AT22" i="10"/>
  <c r="AU22" i="10" s="1"/>
  <c r="AS21" i="10"/>
  <c r="BD330" i="10"/>
  <c r="F93" i="6"/>
  <c r="O93" i="6" s="1"/>
  <c r="BK330" i="10"/>
  <c r="F128" i="6"/>
  <c r="O128" i="6" s="1"/>
  <c r="P128" i="6" s="1"/>
  <c r="H11" i="6"/>
  <c r="K11" i="6" s="1"/>
  <c r="I148" i="6"/>
  <c r="N148" i="6" s="1"/>
  <c r="I34" i="6"/>
  <c r="N34" i="6" s="1"/>
  <c r="H113" i="6"/>
  <c r="U96" i="6" s="1"/>
  <c r="E158" i="6"/>
  <c r="L158" i="6" s="1"/>
  <c r="F148" i="6"/>
  <c r="O148" i="6" s="1"/>
  <c r="E152" i="6"/>
  <c r="L152" i="6" s="1"/>
  <c r="E93" i="6"/>
  <c r="L93" i="6" s="1"/>
  <c r="I64" i="6"/>
  <c r="N64" i="6" s="1"/>
  <c r="H10" i="6"/>
  <c r="K10" i="6" s="1"/>
  <c r="H50" i="6"/>
  <c r="U33" i="6" s="1"/>
  <c r="H165" i="6"/>
  <c r="K165" i="6" s="1"/>
  <c r="I159" i="6"/>
  <c r="N159" i="6" s="1"/>
  <c r="H155" i="6"/>
  <c r="K155" i="6" s="1"/>
  <c r="H59" i="6"/>
  <c r="U42" i="6" s="1"/>
  <c r="I79" i="6"/>
  <c r="N79" i="6" s="1"/>
  <c r="H54" i="6"/>
  <c r="J54" i="6" s="1"/>
  <c r="W37" i="6" s="1"/>
  <c r="H44" i="6"/>
  <c r="K44" i="6" s="1"/>
  <c r="I71" i="6"/>
  <c r="N71" i="6" s="1"/>
  <c r="H20" i="6"/>
  <c r="K20" i="6" s="1"/>
  <c r="H121" i="6"/>
  <c r="K121" i="6" s="1"/>
  <c r="H153" i="6"/>
  <c r="K153" i="6" s="1"/>
  <c r="H32" i="6"/>
  <c r="K32" i="6" s="1"/>
  <c r="H117" i="6"/>
  <c r="K117" i="6" s="1"/>
  <c r="I147" i="6"/>
  <c r="N147" i="6" s="1"/>
  <c r="I12" i="6"/>
  <c r="N12" i="6" s="1"/>
  <c r="I119" i="6"/>
  <c r="N119" i="6" s="1"/>
  <c r="H36" i="6"/>
  <c r="J36" i="6" s="1"/>
  <c r="W19" i="6" s="1"/>
  <c r="I49" i="6"/>
  <c r="N49" i="6" s="1"/>
  <c r="I136" i="6"/>
  <c r="N136" i="6" s="1"/>
  <c r="I144" i="6"/>
  <c r="N144" i="6" s="1"/>
  <c r="F89" i="6"/>
  <c r="O89" i="6" s="1"/>
  <c r="P89" i="6" s="1"/>
  <c r="F147" i="6"/>
  <c r="O147" i="6" s="1"/>
  <c r="E99" i="6"/>
  <c r="L99" i="6" s="1"/>
  <c r="E42" i="6"/>
  <c r="L42" i="6" s="1"/>
  <c r="F139" i="6"/>
  <c r="O139" i="6" s="1"/>
  <c r="E23" i="6"/>
  <c r="L23" i="6" s="1"/>
  <c r="M23" i="6" s="1"/>
  <c r="E56" i="6"/>
  <c r="L56" i="6" s="1"/>
  <c r="F79" i="6"/>
  <c r="O79" i="6" s="1"/>
  <c r="H90" i="6"/>
  <c r="K90" i="6" s="1"/>
  <c r="H69" i="6"/>
  <c r="U52" i="6" s="1"/>
  <c r="H150" i="6"/>
  <c r="J150" i="6" s="1"/>
  <c r="H152" i="6"/>
  <c r="K152" i="6" s="1"/>
  <c r="I139" i="6"/>
  <c r="N139" i="6" s="1"/>
  <c r="H52" i="6"/>
  <c r="K52" i="6" s="1"/>
  <c r="H95" i="6"/>
  <c r="K95" i="6" s="1"/>
  <c r="I39" i="6"/>
  <c r="N39" i="6" s="1"/>
  <c r="I70" i="6"/>
  <c r="N70" i="6" s="1"/>
  <c r="E14" i="6"/>
  <c r="L14" i="6" s="1"/>
  <c r="F61" i="6"/>
  <c r="O61" i="6" s="1"/>
  <c r="P61" i="6" s="1"/>
  <c r="F58" i="6"/>
  <c r="O58" i="6" s="1"/>
  <c r="P58" i="6" s="1"/>
  <c r="E150" i="6"/>
  <c r="L150" i="6" s="1"/>
  <c r="F151" i="6"/>
  <c r="O151" i="6" s="1"/>
  <c r="P151" i="6" s="1"/>
  <c r="E87" i="6"/>
  <c r="L87" i="6" s="1"/>
  <c r="E89" i="6"/>
  <c r="L89" i="6" s="1"/>
  <c r="E137" i="6"/>
  <c r="L137" i="6" s="1"/>
  <c r="M137" i="6" s="1"/>
  <c r="E20" i="6"/>
  <c r="L20" i="6" s="1"/>
  <c r="F132" i="6"/>
  <c r="O132" i="6" s="1"/>
  <c r="P132" i="6" s="1"/>
  <c r="F149" i="6"/>
  <c r="O149" i="6" s="1"/>
  <c r="P149" i="6" s="1"/>
  <c r="F28" i="6"/>
  <c r="O28" i="6" s="1"/>
  <c r="E55" i="6"/>
  <c r="L55" i="6" s="1"/>
  <c r="E117" i="6"/>
  <c r="L117" i="6" s="1"/>
  <c r="E134" i="6"/>
  <c r="L134" i="6" s="1"/>
  <c r="I124" i="6"/>
  <c r="N124" i="6" s="1"/>
  <c r="I33" i="6"/>
  <c r="N33" i="6" s="1"/>
  <c r="I118" i="6"/>
  <c r="N118" i="6" s="1"/>
  <c r="I37" i="6"/>
  <c r="N37" i="6" s="1"/>
  <c r="F101" i="6"/>
  <c r="O101" i="6" s="1"/>
  <c r="P101" i="6" s="1"/>
  <c r="F76" i="6"/>
  <c r="O76" i="6" s="1"/>
  <c r="E101" i="6"/>
  <c r="L101" i="6" s="1"/>
  <c r="F96" i="6"/>
  <c r="O96" i="6" s="1"/>
  <c r="E140" i="6"/>
  <c r="L140" i="6" s="1"/>
  <c r="F143" i="6"/>
  <c r="O143" i="6" s="1"/>
  <c r="P143" i="6" s="1"/>
  <c r="E27" i="6"/>
  <c r="L27" i="6" s="1"/>
  <c r="E32" i="6"/>
  <c r="L32" i="6" s="1"/>
  <c r="F125" i="6"/>
  <c r="O125" i="6" s="1"/>
  <c r="F142" i="6"/>
  <c r="O142" i="6" s="1"/>
  <c r="P142" i="6" s="1"/>
  <c r="F68" i="6"/>
  <c r="O68" i="6" s="1"/>
  <c r="E38" i="6"/>
  <c r="L38" i="6" s="1"/>
  <c r="F161" i="6"/>
  <c r="O161" i="6" s="1"/>
  <c r="F165" i="6"/>
  <c r="O165" i="6" s="1"/>
  <c r="P165" i="6" s="1"/>
  <c r="E41" i="6"/>
  <c r="L41" i="6" s="1"/>
  <c r="F133" i="6"/>
  <c r="O133" i="6" s="1"/>
  <c r="F22" i="6"/>
  <c r="O22" i="6" s="1"/>
  <c r="E73" i="6"/>
  <c r="L73" i="6" s="1"/>
  <c r="F115" i="6"/>
  <c r="O115" i="6" s="1"/>
  <c r="P115" i="6" s="1"/>
  <c r="E92" i="6"/>
  <c r="L92" i="6" s="1"/>
  <c r="F73" i="6"/>
  <c r="O73" i="6" s="1"/>
  <c r="F118" i="6"/>
  <c r="O118" i="6" s="1"/>
  <c r="E50" i="6"/>
  <c r="L50" i="6" s="1"/>
  <c r="F100" i="6"/>
  <c r="O100" i="6" s="1"/>
  <c r="P100" i="6" s="1"/>
  <c r="E69" i="6"/>
  <c r="L69" i="6" s="1"/>
  <c r="E106" i="6"/>
  <c r="L106" i="6" s="1"/>
  <c r="M106" i="6" s="1"/>
  <c r="E26" i="6"/>
  <c r="L26" i="6" s="1"/>
  <c r="F91" i="6"/>
  <c r="O91" i="6" s="1"/>
  <c r="P91" i="6" s="1"/>
  <c r="F146" i="6"/>
  <c r="O146" i="6" s="1"/>
  <c r="E98" i="6"/>
  <c r="L98" i="6" s="1"/>
  <c r="E129" i="6"/>
  <c r="L129" i="6" s="1"/>
  <c r="M129" i="6" s="1"/>
  <c r="I23" i="6"/>
  <c r="N23" i="6" s="1"/>
  <c r="I21" i="6"/>
  <c r="N21" i="6" s="1"/>
  <c r="H157" i="6"/>
  <c r="E58" i="6"/>
  <c r="L58" i="6" s="1"/>
  <c r="F14" i="6"/>
  <c r="O14" i="6" s="1"/>
  <c r="P14" i="6" s="1"/>
  <c r="E22" i="6"/>
  <c r="L22" i="6" s="1"/>
  <c r="M22" i="6" s="1"/>
  <c r="E130" i="6"/>
  <c r="L130" i="6" s="1"/>
  <c r="E52" i="6"/>
  <c r="L52" i="6" s="1"/>
  <c r="E15" i="6"/>
  <c r="L15" i="6" s="1"/>
  <c r="M15" i="6" s="1"/>
  <c r="F155" i="6"/>
  <c r="O155" i="6" s="1"/>
  <c r="P155" i="6" s="1"/>
  <c r="F57" i="6"/>
  <c r="O57" i="6" s="1"/>
  <c r="P57" i="6" s="1"/>
  <c r="F83" i="6"/>
  <c r="O83" i="6" s="1"/>
  <c r="E94" i="6"/>
  <c r="L94" i="6" s="1"/>
  <c r="F54" i="6"/>
  <c r="O54" i="6" s="1"/>
  <c r="P54" i="6" s="1"/>
  <c r="F159" i="6"/>
  <c r="O159" i="6" s="1"/>
  <c r="F131" i="6"/>
  <c r="O131" i="6" s="1"/>
  <c r="E30" i="6"/>
  <c r="L30" i="6" s="1"/>
  <c r="F110" i="6"/>
  <c r="O110" i="6" s="1"/>
  <c r="F134" i="6"/>
  <c r="O134" i="6" s="1"/>
  <c r="F23" i="6"/>
  <c r="O23" i="6" s="1"/>
  <c r="E121" i="6"/>
  <c r="L121" i="6" s="1"/>
  <c r="F21" i="6"/>
  <c r="O21" i="6" s="1"/>
  <c r="E12" i="6"/>
  <c r="L12" i="6" s="1"/>
  <c r="E102" i="6"/>
  <c r="L102" i="6" s="1"/>
  <c r="E21" i="6"/>
  <c r="L21" i="6" s="1"/>
  <c r="F17" i="6"/>
  <c r="O17" i="6" s="1"/>
  <c r="P17" i="6" s="1"/>
  <c r="E81" i="6"/>
  <c r="L81" i="6" s="1"/>
  <c r="E118" i="6"/>
  <c r="L118" i="6" s="1"/>
  <c r="F164" i="6"/>
  <c r="O164" i="6" s="1"/>
  <c r="E70" i="6"/>
  <c r="L70" i="6" s="1"/>
  <c r="E48" i="6"/>
  <c r="L48" i="6" s="1"/>
  <c r="F119" i="6"/>
  <c r="O119" i="6" s="1"/>
  <c r="E53" i="6"/>
  <c r="L53" i="6" s="1"/>
  <c r="F137" i="6"/>
  <c r="O137" i="6" s="1"/>
  <c r="E112" i="6"/>
  <c r="L112" i="6" s="1"/>
  <c r="M112" i="6" s="1"/>
  <c r="F85" i="6"/>
  <c r="O85" i="6" s="1"/>
  <c r="E77" i="6"/>
  <c r="L77" i="6" s="1"/>
  <c r="M77" i="6" s="1"/>
  <c r="E11" i="6"/>
  <c r="L11" i="6" s="1"/>
  <c r="E75" i="6"/>
  <c r="L75" i="6" s="1"/>
  <c r="F144" i="6"/>
  <c r="O144" i="6" s="1"/>
  <c r="E148" i="6"/>
  <c r="L148" i="6" s="1"/>
  <c r="F117" i="6"/>
  <c r="O117" i="6" s="1"/>
  <c r="P117" i="6" s="1"/>
  <c r="F65" i="6"/>
  <c r="O65" i="6" s="1"/>
  <c r="F49" i="6"/>
  <c r="O49" i="6" s="1"/>
  <c r="E141" i="6"/>
  <c r="L141" i="6" s="1"/>
  <c r="E25" i="6"/>
  <c r="L25" i="6" s="1"/>
  <c r="F48" i="6"/>
  <c r="O48" i="6" s="1"/>
  <c r="P48" i="6" s="1"/>
  <c r="E54" i="6"/>
  <c r="L54" i="6" s="1"/>
  <c r="E76" i="6"/>
  <c r="L76" i="6" s="1"/>
  <c r="M76" i="6" s="1"/>
  <c r="F156" i="6"/>
  <c r="O156" i="6" s="1"/>
  <c r="P156" i="6" s="1"/>
  <c r="F26" i="6"/>
  <c r="O26" i="6" s="1"/>
  <c r="P26" i="6" s="1"/>
  <c r="E159" i="6"/>
  <c r="L159" i="6" s="1"/>
  <c r="M159" i="6" s="1"/>
  <c r="E108" i="6"/>
  <c r="L108" i="6" s="1"/>
  <c r="E104" i="6"/>
  <c r="L104" i="6" s="1"/>
  <c r="F18" i="6"/>
  <c r="O18" i="6" s="1"/>
  <c r="F87" i="6"/>
  <c r="O87" i="6" s="1"/>
  <c r="F121" i="6"/>
  <c r="O121" i="6" s="1"/>
  <c r="P121" i="6" s="1"/>
  <c r="E163" i="6"/>
  <c r="L163" i="6" s="1"/>
  <c r="E10" i="6"/>
  <c r="L10" i="6" s="1"/>
  <c r="F41" i="6"/>
  <c r="O41" i="6" s="1"/>
  <c r="P41" i="6" s="1"/>
  <c r="F32" i="6"/>
  <c r="O32" i="6" s="1"/>
  <c r="P32" i="6" s="1"/>
  <c r="E62" i="6"/>
  <c r="L62" i="6" s="1"/>
  <c r="M62" i="6" s="1"/>
  <c r="E147" i="6"/>
  <c r="L147" i="6" s="1"/>
  <c r="M147" i="6" s="1"/>
  <c r="E67" i="6"/>
  <c r="L67" i="6" s="1"/>
  <c r="E17" i="6"/>
  <c r="L17" i="6" s="1"/>
  <c r="E80" i="6"/>
  <c r="L80" i="6" s="1"/>
  <c r="F10" i="6"/>
  <c r="O10" i="6" s="1"/>
  <c r="P10" i="6" s="1"/>
  <c r="F158" i="6"/>
  <c r="O158" i="6" s="1"/>
  <c r="P158" i="6" s="1"/>
  <c r="E119" i="6"/>
  <c r="L119" i="6" s="1"/>
  <c r="F37" i="6"/>
  <c r="O37" i="6" s="1"/>
  <c r="F74" i="6"/>
  <c r="O74" i="6" s="1"/>
  <c r="E164" i="6"/>
  <c r="L164" i="6" s="1"/>
  <c r="M164" i="6" s="1"/>
  <c r="E68" i="6"/>
  <c r="L68" i="6" s="1"/>
  <c r="M68" i="6" s="1"/>
  <c r="E13" i="6"/>
  <c r="L13" i="6" s="1"/>
  <c r="F126" i="6"/>
  <c r="O126" i="6" s="1"/>
  <c r="P126" i="6" s="1"/>
  <c r="F51" i="6"/>
  <c r="O51" i="6" s="1"/>
  <c r="P51" i="6" s="1"/>
  <c r="E91" i="6"/>
  <c r="L91" i="6" s="1"/>
  <c r="F163" i="6"/>
  <c r="O163" i="6" s="1"/>
  <c r="E63" i="6"/>
  <c r="L63" i="6" s="1"/>
  <c r="F70" i="6"/>
  <c r="O70" i="6" s="1"/>
  <c r="F84" i="6"/>
  <c r="O84" i="6" s="1"/>
  <c r="F160" i="6"/>
  <c r="O160" i="6" s="1"/>
  <c r="F150" i="6"/>
  <c r="O150" i="6" s="1"/>
  <c r="P150" i="6" s="1"/>
  <c r="E24" i="6"/>
  <c r="L24" i="6" s="1"/>
  <c r="F102" i="6"/>
  <c r="O102" i="6" s="1"/>
  <c r="P102" i="6" s="1"/>
  <c r="F80" i="6"/>
  <c r="O80" i="6" s="1"/>
  <c r="P80" i="6" s="1"/>
  <c r="E61" i="6"/>
  <c r="L61" i="6" s="1"/>
  <c r="F60" i="6"/>
  <c r="O60" i="6" s="1"/>
  <c r="P60" i="6" s="1"/>
  <c r="F29" i="6"/>
  <c r="O29" i="6" s="1"/>
  <c r="F25" i="6"/>
  <c r="O25" i="6" s="1"/>
  <c r="P25" i="6" s="1"/>
  <c r="E132" i="6"/>
  <c r="L132" i="6" s="1"/>
  <c r="F67" i="6"/>
  <c r="O67" i="6" s="1"/>
  <c r="E107" i="6"/>
  <c r="L107" i="6" s="1"/>
  <c r="F42" i="6"/>
  <c r="O42" i="6" s="1"/>
  <c r="P42" i="6" s="1"/>
  <c r="F33" i="6"/>
  <c r="O33" i="6" s="1"/>
  <c r="F145" i="6"/>
  <c r="O145" i="6" s="1"/>
  <c r="E78" i="6"/>
  <c r="L78" i="6" s="1"/>
  <c r="F36" i="6"/>
  <c r="O36" i="6" s="1"/>
  <c r="P36" i="6" s="1"/>
  <c r="E46" i="6"/>
  <c r="L46" i="6" s="1"/>
  <c r="F13" i="6"/>
  <c r="O13" i="6" s="1"/>
  <c r="P13" i="6" s="1"/>
  <c r="E60" i="6"/>
  <c r="L60" i="6" s="1"/>
  <c r="F130" i="6"/>
  <c r="O130" i="6" s="1"/>
  <c r="P130" i="6" s="1"/>
  <c r="E149" i="6"/>
  <c r="L149" i="6" s="1"/>
  <c r="E138" i="6"/>
  <c r="L138" i="6" s="1"/>
  <c r="M138" i="6" s="1"/>
  <c r="E114" i="6"/>
  <c r="L114" i="6" s="1"/>
  <c r="E160" i="6"/>
  <c r="L160" i="6" s="1"/>
  <c r="M160" i="6" s="1"/>
  <c r="E16" i="6"/>
  <c r="L16" i="6" s="1"/>
  <c r="F53" i="6"/>
  <c r="O53" i="6" s="1"/>
  <c r="F44" i="6"/>
  <c r="O44" i="6" s="1"/>
  <c r="P44" i="6" s="1"/>
  <c r="E154" i="6"/>
  <c r="L154" i="6" s="1"/>
  <c r="M154" i="6" s="1"/>
  <c r="F114" i="6"/>
  <c r="O114" i="6" s="1"/>
  <c r="P114" i="6" s="1"/>
  <c r="E66" i="6"/>
  <c r="L66" i="6" s="1"/>
  <c r="F50" i="6"/>
  <c r="O50" i="6" s="1"/>
  <c r="P50" i="6" s="1"/>
  <c r="E100" i="6"/>
  <c r="L100" i="6" s="1"/>
  <c r="M100" i="6" s="1"/>
  <c r="F81" i="6"/>
  <c r="O81" i="6" s="1"/>
  <c r="E143" i="6"/>
  <c r="L143" i="6" s="1"/>
  <c r="E103" i="6"/>
  <c r="L103" i="6" s="1"/>
  <c r="M103" i="6" s="1"/>
  <c r="E57" i="6"/>
  <c r="L57" i="6" s="1"/>
  <c r="F154" i="6"/>
  <c r="O154" i="6" s="1"/>
  <c r="E165" i="6"/>
  <c r="L165" i="6" s="1"/>
  <c r="E124" i="6"/>
  <c r="L124" i="6" s="1"/>
  <c r="M124" i="6" s="1"/>
  <c r="E72" i="6"/>
  <c r="L72" i="6" s="1"/>
  <c r="F94" i="6"/>
  <c r="O94" i="6" s="1"/>
  <c r="E127" i="6"/>
  <c r="L127" i="6" s="1"/>
  <c r="M127" i="6" s="1"/>
  <c r="E139" i="6"/>
  <c r="L139" i="6" s="1"/>
  <c r="F88" i="6"/>
  <c r="O88" i="6" s="1"/>
  <c r="F31" i="6"/>
  <c r="O31" i="6" s="1"/>
  <c r="F124" i="6"/>
  <c r="O124" i="6" s="1"/>
  <c r="E28" i="6"/>
  <c r="L28" i="6" s="1"/>
  <c r="F104" i="6"/>
  <c r="O104" i="6" s="1"/>
  <c r="E82" i="6"/>
  <c r="L82" i="6" s="1"/>
  <c r="F92" i="6"/>
  <c r="O92" i="6" s="1"/>
  <c r="F108" i="6"/>
  <c r="O108" i="6" s="1"/>
  <c r="P108" i="6" s="1"/>
  <c r="E145" i="6"/>
  <c r="L145" i="6" s="1"/>
  <c r="M145" i="6" s="1"/>
  <c r="E47" i="6"/>
  <c r="L47" i="6" s="1"/>
  <c r="F66" i="6"/>
  <c r="O66" i="6" s="1"/>
  <c r="E64" i="6"/>
  <c r="L64" i="6" s="1"/>
  <c r="E40" i="6"/>
  <c r="L40" i="6" s="1"/>
  <c r="E49" i="6"/>
  <c r="L49" i="6" s="1"/>
  <c r="E166" i="6"/>
  <c r="L166" i="6" s="1"/>
  <c r="F46" i="6"/>
  <c r="O46" i="6" s="1"/>
  <c r="P46" i="6" s="1"/>
  <c r="E71" i="6"/>
  <c r="L71" i="6" s="1"/>
  <c r="E125" i="6"/>
  <c r="L125" i="6" s="1"/>
  <c r="M125" i="6" s="1"/>
  <c r="F47" i="6"/>
  <c r="O47" i="6" s="1"/>
  <c r="F157" i="6"/>
  <c r="O157" i="6" s="1"/>
  <c r="P157" i="6" s="1"/>
  <c r="F122" i="6"/>
  <c r="O122" i="6" s="1"/>
  <c r="E153" i="6"/>
  <c r="L153" i="6" s="1"/>
  <c r="F112" i="6"/>
  <c r="O112" i="6" s="1"/>
  <c r="F138" i="6"/>
  <c r="O138" i="6" s="1"/>
  <c r="F95" i="6"/>
  <c r="O95" i="6" s="1"/>
  <c r="P95" i="6" s="1"/>
  <c r="F78" i="6"/>
  <c r="O78" i="6" s="1"/>
  <c r="P78" i="6" s="1"/>
  <c r="F38" i="6"/>
  <c r="O38" i="6" s="1"/>
  <c r="P38" i="6" s="1"/>
  <c r="F15" i="6"/>
  <c r="O15" i="6" s="1"/>
  <c r="F20" i="6"/>
  <c r="O20" i="6" s="1"/>
  <c r="P20" i="6" s="1"/>
  <c r="E157" i="6"/>
  <c r="L157" i="6" s="1"/>
  <c r="E116" i="6"/>
  <c r="L116" i="6" s="1"/>
  <c r="F75" i="6"/>
  <c r="O75" i="6" s="1"/>
  <c r="P75" i="6" s="1"/>
  <c r="F141" i="6"/>
  <c r="O141" i="6" s="1"/>
  <c r="P141" i="6" s="1"/>
  <c r="E86" i="6"/>
  <c r="L86" i="6" s="1"/>
  <c r="E162" i="6"/>
  <c r="L162" i="6" s="1"/>
  <c r="F52" i="6"/>
  <c r="O52" i="6" s="1"/>
  <c r="P52" i="6" s="1"/>
  <c r="F152" i="6"/>
  <c r="O152" i="6" s="1"/>
  <c r="P152" i="6" s="1"/>
  <c r="E96" i="6"/>
  <c r="L96" i="6" s="1"/>
  <c r="F90" i="6"/>
  <c r="O90" i="6" s="1"/>
  <c r="P90" i="6" s="1"/>
  <c r="F27" i="6"/>
  <c r="O27" i="6" s="1"/>
  <c r="P27" i="6" s="1"/>
  <c r="E18" i="6"/>
  <c r="L18" i="6" s="1"/>
  <c r="M18" i="6" s="1"/>
  <c r="E156" i="6"/>
  <c r="L156" i="6" s="1"/>
  <c r="E135" i="6"/>
  <c r="L135" i="6" s="1"/>
  <c r="E39" i="6"/>
  <c r="L39" i="6" s="1"/>
  <c r="E84" i="6"/>
  <c r="L84" i="6" s="1"/>
  <c r="M84" i="6" s="1"/>
  <c r="F98" i="6"/>
  <c r="O98" i="6" s="1"/>
  <c r="P98" i="6" s="1"/>
  <c r="E109" i="6"/>
  <c r="L109" i="6" s="1"/>
  <c r="F123" i="6"/>
  <c r="O123" i="6" s="1"/>
  <c r="P123" i="6" s="1"/>
  <c r="E161" i="6"/>
  <c r="L161" i="6" s="1"/>
  <c r="M161" i="6" s="1"/>
  <c r="F69" i="6"/>
  <c r="O69" i="6" s="1"/>
  <c r="P69" i="6" s="1"/>
  <c r="F140" i="6"/>
  <c r="O140" i="6" s="1"/>
  <c r="E126" i="6"/>
  <c r="L126" i="6" s="1"/>
  <c r="E45" i="6"/>
  <c r="L45" i="6" s="1"/>
  <c r="F153" i="6"/>
  <c r="O153" i="6" s="1"/>
  <c r="P153" i="6" s="1"/>
  <c r="E142" i="6"/>
  <c r="L142" i="6" s="1"/>
  <c r="E151" i="6"/>
  <c r="L151" i="6" s="1"/>
  <c r="F39" i="6"/>
  <c r="O39" i="6" s="1"/>
  <c r="F82" i="6"/>
  <c r="O82" i="6" s="1"/>
  <c r="P82" i="6" s="1"/>
  <c r="E85" i="6"/>
  <c r="L85" i="6" s="1"/>
  <c r="M85" i="6" s="1"/>
  <c r="F136" i="6"/>
  <c r="O136" i="6" s="1"/>
  <c r="I15" i="6"/>
  <c r="N15" i="6" s="1"/>
  <c r="H114" i="6"/>
  <c r="K114" i="6" s="1"/>
  <c r="H128" i="6"/>
  <c r="K128" i="6" s="1"/>
  <c r="H38" i="6"/>
  <c r="H60" i="6"/>
  <c r="K60" i="6" s="1"/>
  <c r="H75" i="6"/>
  <c r="U58" i="6" s="1"/>
  <c r="H101" i="6"/>
  <c r="K101" i="6" s="1"/>
  <c r="I31" i="6"/>
  <c r="N31" i="6" s="1"/>
  <c r="H31" i="6"/>
  <c r="U14" i="6" s="1"/>
  <c r="I163" i="6"/>
  <c r="N163" i="6" s="1"/>
  <c r="H163" i="6"/>
  <c r="H86" i="6"/>
  <c r="K86" i="6" s="1"/>
  <c r="I86" i="6"/>
  <c r="N86" i="6" s="1"/>
  <c r="H140" i="6"/>
  <c r="K140" i="6" s="1"/>
  <c r="I140" i="6"/>
  <c r="N140" i="6" s="1"/>
  <c r="F72" i="6"/>
  <c r="O72" i="6" s="1"/>
  <c r="P72" i="6" s="1"/>
  <c r="F45" i="6"/>
  <c r="O45" i="6" s="1"/>
  <c r="E113" i="6"/>
  <c r="L113" i="6" s="1"/>
  <c r="E35" i="6"/>
  <c r="L35" i="6" s="1"/>
  <c r="E19" i="6"/>
  <c r="L19" i="6" s="1"/>
  <c r="F12" i="6"/>
  <c r="O12" i="6" s="1"/>
  <c r="F30" i="6"/>
  <c r="O30" i="6" s="1"/>
  <c r="P30" i="6" s="1"/>
  <c r="E95" i="6"/>
  <c r="L95" i="6" s="1"/>
  <c r="F109" i="6"/>
  <c r="O109" i="6" s="1"/>
  <c r="P109" i="6" s="1"/>
  <c r="F63" i="6"/>
  <c r="O63" i="6" s="1"/>
  <c r="P63" i="6" s="1"/>
  <c r="E120" i="6"/>
  <c r="L120" i="6" s="1"/>
  <c r="F56" i="6"/>
  <c r="O56" i="6" s="1"/>
  <c r="E79" i="6"/>
  <c r="L79" i="6" s="1"/>
  <c r="F113" i="6"/>
  <c r="O113" i="6" s="1"/>
  <c r="P113" i="6" s="1"/>
  <c r="E111" i="6"/>
  <c r="L111" i="6" s="1"/>
  <c r="M111" i="6" s="1"/>
  <c r="F62" i="6"/>
  <c r="O62" i="6" s="1"/>
  <c r="E97" i="6"/>
  <c r="L97" i="6" s="1"/>
  <c r="F116" i="6"/>
  <c r="O116" i="6" s="1"/>
  <c r="F99" i="6"/>
  <c r="O99" i="6" s="1"/>
  <c r="E144" i="6"/>
  <c r="L144" i="6" s="1"/>
  <c r="E90" i="6"/>
  <c r="L90" i="6" s="1"/>
  <c r="E110" i="6"/>
  <c r="L110" i="6" s="1"/>
  <c r="M110" i="6" s="1"/>
  <c r="F40" i="6"/>
  <c r="O40" i="6" s="1"/>
  <c r="E31" i="6"/>
  <c r="L31" i="6" s="1"/>
  <c r="F103" i="6"/>
  <c r="O103" i="6" s="1"/>
  <c r="E115" i="6"/>
  <c r="L115" i="6" s="1"/>
  <c r="F86" i="6"/>
  <c r="O86" i="6" s="1"/>
  <c r="F77" i="6"/>
  <c r="O77" i="6" s="1"/>
  <c r="E105" i="6"/>
  <c r="L105" i="6" s="1"/>
  <c r="E43" i="6"/>
  <c r="L43" i="6" s="1"/>
  <c r="E122" i="6"/>
  <c r="L122" i="6" s="1"/>
  <c r="M122" i="6" s="1"/>
  <c r="E74" i="6"/>
  <c r="L74" i="6" s="1"/>
  <c r="M74" i="6" s="1"/>
  <c r="E88" i="6"/>
  <c r="L88" i="6" s="1"/>
  <c r="M88" i="6" s="1"/>
  <c r="F19" i="6"/>
  <c r="O19" i="6" s="1"/>
  <c r="P19" i="6" s="1"/>
  <c r="F16" i="6"/>
  <c r="O16" i="6" s="1"/>
  <c r="P16" i="6" s="1"/>
  <c r="E128" i="6"/>
  <c r="L128" i="6" s="1"/>
  <c r="F162" i="6"/>
  <c r="O162" i="6" s="1"/>
  <c r="P162" i="6" s="1"/>
  <c r="F166" i="6"/>
  <c r="O166" i="6" s="1"/>
  <c r="P166" i="6" s="1"/>
  <c r="E37" i="6"/>
  <c r="L37" i="6" s="1"/>
  <c r="F127" i="6"/>
  <c r="O127" i="6" s="1"/>
  <c r="F129" i="6"/>
  <c r="O129" i="6" s="1"/>
  <c r="E83" i="6"/>
  <c r="L83" i="6" s="1"/>
  <c r="F97" i="6"/>
  <c r="O97" i="6" s="1"/>
  <c r="P97" i="6" s="1"/>
  <c r="F34" i="6"/>
  <c r="O34" i="6" s="1"/>
  <c r="E155" i="6"/>
  <c r="L155" i="6" s="1"/>
  <c r="F107" i="6"/>
  <c r="O107" i="6" s="1"/>
  <c r="P107" i="6" s="1"/>
  <c r="F35" i="6"/>
  <c r="O35" i="6" s="1"/>
  <c r="P35" i="6" s="1"/>
  <c r="F24" i="6"/>
  <c r="O24" i="6" s="1"/>
  <c r="P24" i="6" s="1"/>
  <c r="E33" i="6"/>
  <c r="L33" i="6" s="1"/>
  <c r="E59" i="6"/>
  <c r="L59" i="6" s="1"/>
  <c r="E65" i="6"/>
  <c r="L65" i="6" s="1"/>
  <c r="E44" i="6"/>
  <c r="L44" i="6" s="1"/>
  <c r="F135" i="6"/>
  <c r="O135" i="6" s="1"/>
  <c r="P135" i="6" s="1"/>
  <c r="F120" i="6"/>
  <c r="O120" i="6" s="1"/>
  <c r="F55" i="6"/>
  <c r="O55" i="6" s="1"/>
  <c r="P55" i="6" s="1"/>
  <c r="F71" i="6"/>
  <c r="O71" i="6" s="1"/>
  <c r="E29" i="6"/>
  <c r="L29" i="6" s="1"/>
  <c r="E131" i="6"/>
  <c r="L131" i="6" s="1"/>
  <c r="M131" i="6" s="1"/>
  <c r="F106" i="6"/>
  <c r="O106" i="6" s="1"/>
  <c r="E36" i="6"/>
  <c r="L36" i="6" s="1"/>
  <c r="E146" i="6"/>
  <c r="L146" i="6" s="1"/>
  <c r="M146" i="6" s="1"/>
  <c r="E136" i="6"/>
  <c r="L136" i="6" s="1"/>
  <c r="M136" i="6" s="1"/>
  <c r="E123" i="6"/>
  <c r="L123" i="6" s="1"/>
  <c r="E51" i="6"/>
  <c r="L51" i="6" s="1"/>
  <c r="E133" i="6"/>
  <c r="L133" i="6" s="1"/>
  <c r="M133" i="6" s="1"/>
  <c r="F11" i="6"/>
  <c r="O11" i="6" s="1"/>
  <c r="P11" i="6" s="1"/>
  <c r="F64" i="6"/>
  <c r="O64" i="6" s="1"/>
  <c r="F111" i="6"/>
  <c r="O111" i="6" s="1"/>
  <c r="F59" i="6"/>
  <c r="O59" i="6" s="1"/>
  <c r="P59" i="6" s="1"/>
  <c r="E34" i="6"/>
  <c r="L34" i="6" s="1"/>
  <c r="I81" i="6"/>
  <c r="N81" i="6" s="1"/>
  <c r="H81" i="6"/>
  <c r="I96" i="6"/>
  <c r="N96" i="6" s="1"/>
  <c r="I87" i="6"/>
  <c r="N87" i="6" s="1"/>
  <c r="H63" i="6"/>
  <c r="K63" i="6" s="1"/>
  <c r="H98" i="6"/>
  <c r="J98" i="6" s="1"/>
  <c r="W81" i="6" s="1"/>
  <c r="H30" i="6"/>
  <c r="U13" i="6" s="1"/>
  <c r="H26" i="6"/>
  <c r="K26" i="6" s="1"/>
  <c r="H42" i="6"/>
  <c r="U25" i="6" s="1"/>
  <c r="H141" i="6"/>
  <c r="I145" i="6"/>
  <c r="N145" i="6" s="1"/>
  <c r="H102" i="6"/>
  <c r="K102" i="6" s="1"/>
  <c r="I73" i="6"/>
  <c r="N73" i="6" s="1"/>
  <c r="H57" i="6"/>
  <c r="K57" i="6" s="1"/>
  <c r="I56" i="6"/>
  <c r="N56" i="6" s="1"/>
  <c r="E20" i="5"/>
  <c r="L20" i="5" s="1"/>
  <c r="H17" i="6"/>
  <c r="J17" i="6" s="1"/>
  <c r="H142" i="6"/>
  <c r="J142" i="6" s="1"/>
  <c r="H27" i="6"/>
  <c r="U10" i="6" s="1"/>
  <c r="H132" i="6"/>
  <c r="K132" i="6" s="1"/>
  <c r="I22" i="6"/>
  <c r="N22" i="6" s="1"/>
  <c r="H97" i="6"/>
  <c r="K97" i="6" s="1"/>
  <c r="I84" i="6"/>
  <c r="N84" i="6" s="1"/>
  <c r="H91" i="6"/>
  <c r="K91" i="6" s="1"/>
  <c r="H130" i="6"/>
  <c r="K130" i="6" s="1"/>
  <c r="I122" i="6"/>
  <c r="N122" i="6" s="1"/>
  <c r="I53" i="6"/>
  <c r="N53" i="6" s="1"/>
  <c r="I66" i="6"/>
  <c r="N66" i="6" s="1"/>
  <c r="I138" i="6"/>
  <c r="N138" i="6" s="1"/>
  <c r="AI16" i="5"/>
  <c r="E14" i="5"/>
  <c r="L14" i="5" s="1"/>
  <c r="AC11" i="5"/>
  <c r="F10" i="5"/>
  <c r="O10" i="5" s="1"/>
  <c r="E22" i="5"/>
  <c r="S5" i="5" s="1"/>
  <c r="E17" i="5"/>
  <c r="L17" i="5" s="1"/>
  <c r="AI13" i="5"/>
  <c r="E13" i="5"/>
  <c r="L13" i="5" s="1"/>
  <c r="F16" i="5"/>
  <c r="O16" i="5" s="1"/>
  <c r="AC14" i="5"/>
  <c r="E19" i="5"/>
  <c r="L19" i="5" s="1"/>
  <c r="E21" i="5"/>
  <c r="S4" i="5" s="1"/>
  <c r="AC21" i="5"/>
  <c r="H105" i="6"/>
  <c r="K105" i="6" s="1"/>
  <c r="H108" i="6"/>
  <c r="U91" i="6" s="1"/>
  <c r="I67" i="6"/>
  <c r="N67" i="6" s="1"/>
  <c r="I29" i="6"/>
  <c r="N29" i="6" s="1"/>
  <c r="I68" i="6"/>
  <c r="N68" i="6" s="1"/>
  <c r="I45" i="6"/>
  <c r="N45" i="6" s="1"/>
  <c r="H135" i="6"/>
  <c r="K135" i="6" s="1"/>
  <c r="I106" i="6"/>
  <c r="N106" i="6" s="1"/>
  <c r="I93" i="6"/>
  <c r="N93" i="6" s="1"/>
  <c r="I161" i="6"/>
  <c r="N161" i="6" s="1"/>
  <c r="I62" i="6"/>
  <c r="N62" i="6" s="1"/>
  <c r="I154" i="6"/>
  <c r="N154" i="6" s="1"/>
  <c r="I103" i="6"/>
  <c r="N103" i="6" s="1"/>
  <c r="H24" i="6"/>
  <c r="U7" i="6" s="1"/>
  <c r="H126" i="6"/>
  <c r="K126" i="6" s="1"/>
  <c r="I85" i="6"/>
  <c r="N85" i="6" s="1"/>
  <c r="H55" i="6"/>
  <c r="K55" i="6" s="1"/>
  <c r="I88" i="6"/>
  <c r="N88" i="6" s="1"/>
  <c r="H115" i="6"/>
  <c r="J115" i="6" s="1"/>
  <c r="W98" i="6" s="1"/>
  <c r="I92" i="6"/>
  <c r="N92" i="6" s="1"/>
  <c r="I134" i="6"/>
  <c r="N134" i="6" s="1"/>
  <c r="I120" i="6"/>
  <c r="N120" i="6" s="1"/>
  <c r="I74" i="6"/>
  <c r="N74" i="6" s="1"/>
  <c r="H61" i="6"/>
  <c r="K61" i="6" s="1"/>
  <c r="I125" i="6"/>
  <c r="N125" i="6" s="1"/>
  <c r="H109" i="6"/>
  <c r="K109" i="6" s="1"/>
  <c r="I131" i="6"/>
  <c r="N131" i="6" s="1"/>
  <c r="I146" i="6"/>
  <c r="N146" i="6" s="1"/>
  <c r="H143" i="6"/>
  <c r="K143" i="6" s="1"/>
  <c r="I164" i="6"/>
  <c r="N164" i="6" s="1"/>
  <c r="I110" i="6"/>
  <c r="N110" i="6" s="1"/>
  <c r="AC22" i="5"/>
  <c r="AC18" i="5"/>
  <c r="F12" i="5"/>
  <c r="O12" i="5" s="1"/>
  <c r="E16" i="5"/>
  <c r="L16" i="5" s="1"/>
  <c r="F11" i="5"/>
  <c r="O11" i="5" s="1"/>
  <c r="AC12" i="5"/>
  <c r="E10" i="5"/>
  <c r="L10" i="5" s="1"/>
  <c r="AI18" i="5"/>
  <c r="F14" i="5"/>
  <c r="O14" i="5" s="1"/>
  <c r="E15" i="5"/>
  <c r="L15" i="5" s="1"/>
  <c r="AC20" i="5"/>
  <c r="AC13" i="5"/>
  <c r="H89" i="6"/>
  <c r="U72" i="6" s="1"/>
  <c r="H162" i="6"/>
  <c r="I76" i="6"/>
  <c r="N76" i="6" s="1"/>
  <c r="H158" i="6"/>
  <c r="K158" i="6" s="1"/>
  <c r="H107" i="6"/>
  <c r="K107" i="6" s="1"/>
  <c r="I104" i="6"/>
  <c r="N104" i="6" s="1"/>
  <c r="I133" i="6"/>
  <c r="N133" i="6" s="1"/>
  <c r="I111" i="6"/>
  <c r="N111" i="6" s="1"/>
  <c r="H166" i="6"/>
  <c r="K166" i="6" s="1"/>
  <c r="I160" i="6"/>
  <c r="N160" i="6" s="1"/>
  <c r="I127" i="6"/>
  <c r="N127" i="6" s="1"/>
  <c r="H14" i="6"/>
  <c r="K14" i="6" s="1"/>
  <c r="I94" i="6"/>
  <c r="N94" i="6" s="1"/>
  <c r="H151" i="6"/>
  <c r="K151" i="6" s="1"/>
  <c r="I116" i="6"/>
  <c r="N116" i="6" s="1"/>
  <c r="I83" i="6"/>
  <c r="N83" i="6" s="1"/>
  <c r="I112" i="6"/>
  <c r="N112" i="6" s="1"/>
  <c r="H156" i="6"/>
  <c r="K156" i="6" s="1"/>
  <c r="H16" i="6"/>
  <c r="K16" i="6" s="1"/>
  <c r="I40" i="6"/>
  <c r="N40" i="6" s="1"/>
  <c r="I65" i="6"/>
  <c r="N65" i="6" s="1"/>
  <c r="I28" i="6"/>
  <c r="N28" i="6" s="1"/>
  <c r="F22" i="5"/>
  <c r="O22" i="5" s="1"/>
  <c r="AI22" i="5"/>
  <c r="AI11" i="5"/>
  <c r="AC16" i="5"/>
  <c r="AI15" i="5"/>
  <c r="E18" i="5"/>
  <c r="L18" i="5" s="1"/>
  <c r="AI12" i="5"/>
  <c r="F18" i="5"/>
  <c r="O18" i="5" s="1"/>
  <c r="AC15" i="5"/>
  <c r="F19" i="5"/>
  <c r="O19" i="5" s="1"/>
  <c r="F15" i="5"/>
  <c r="O15" i="5" s="1"/>
  <c r="AI20" i="5"/>
  <c r="F13" i="5"/>
  <c r="O13" i="5" s="1"/>
  <c r="AI17" i="5"/>
  <c r="AC19" i="5"/>
  <c r="AI14" i="5"/>
  <c r="F17" i="5"/>
  <c r="O17" i="5" s="1"/>
  <c r="E11" i="5"/>
  <c r="L11" i="5" s="1"/>
  <c r="E12" i="5"/>
  <c r="L12" i="5" s="1"/>
  <c r="AC10" i="5"/>
  <c r="AI10" i="5"/>
  <c r="AC17" i="5"/>
  <c r="F20" i="5"/>
  <c r="O20" i="5" s="1"/>
  <c r="AI19" i="5"/>
  <c r="I137" i="6"/>
  <c r="N137" i="6" s="1"/>
  <c r="AI21" i="5"/>
  <c r="J134" i="6"/>
  <c r="U48" i="6"/>
  <c r="K65" i="6"/>
  <c r="P43" i="6"/>
  <c r="H35" i="6"/>
  <c r="J35" i="6" s="1"/>
  <c r="W18" i="6" s="1"/>
  <c r="H82" i="6"/>
  <c r="U65" i="6" s="1"/>
  <c r="I18" i="6"/>
  <c r="N18" i="6" s="1"/>
  <c r="H51" i="6"/>
  <c r="K51" i="6" s="1"/>
  <c r="H19" i="6"/>
  <c r="K19" i="6" s="1"/>
  <c r="H41" i="6"/>
  <c r="K41" i="6" s="1"/>
  <c r="H43" i="6"/>
  <c r="U26" i="6" s="1"/>
  <c r="H149" i="6"/>
  <c r="K149" i="6" s="1"/>
  <c r="I129" i="6"/>
  <c r="N129" i="6" s="1"/>
  <c r="I77" i="6"/>
  <c r="N77" i="6" s="1"/>
  <c r="BL331" i="10"/>
  <c r="BL332" i="10" s="1"/>
  <c r="AA330" i="10"/>
  <c r="J28" i="6"/>
  <c r="W11" i="6" s="1"/>
  <c r="K92" i="6"/>
  <c r="K134" i="6"/>
  <c r="K49" i="6"/>
  <c r="U45" i="6"/>
  <c r="K67" i="6"/>
  <c r="K21" i="6"/>
  <c r="K120" i="6"/>
  <c r="U89" i="6"/>
  <c r="U5" i="6"/>
  <c r="U68" i="6"/>
  <c r="K29" i="6"/>
  <c r="U67" i="6"/>
  <c r="AB331" i="10"/>
  <c r="AC331" i="10" s="1"/>
  <c r="AA19" i="10"/>
  <c r="AB20" i="10"/>
  <c r="U95" i="6"/>
  <c r="K28" i="6"/>
  <c r="K45" i="6"/>
  <c r="K104" i="6"/>
  <c r="J122" i="6"/>
  <c r="J64" i="6"/>
  <c r="W47" i="6" s="1"/>
  <c r="J164" i="6"/>
  <c r="K40" i="6"/>
  <c r="J116" i="6"/>
  <c r="W99" i="6" s="1"/>
  <c r="J127" i="6"/>
  <c r="K99" i="6"/>
  <c r="U6" i="6"/>
  <c r="U86" i="6"/>
  <c r="U57" i="6"/>
  <c r="J129" i="6"/>
  <c r="K64" i="6"/>
  <c r="J159" i="6"/>
  <c r="J18" i="6"/>
  <c r="J161" i="6"/>
  <c r="DO19" i="10"/>
  <c r="DN20" i="10"/>
  <c r="DM19" i="10"/>
  <c r="K56" i="6"/>
  <c r="U39" i="6"/>
  <c r="K70" i="6"/>
  <c r="U53" i="6"/>
  <c r="J110" i="6"/>
  <c r="W93" i="6" s="1"/>
  <c r="U93" i="6"/>
  <c r="J131" i="6"/>
  <c r="U49" i="6"/>
  <c r="J66" i="6"/>
  <c r="W49" i="6" s="1"/>
  <c r="K53" i="6"/>
  <c r="U36" i="6"/>
  <c r="J137" i="6"/>
  <c r="K71" i="6"/>
  <c r="J71" i="6"/>
  <c r="W54" i="6" s="1"/>
  <c r="K116" i="6"/>
  <c r="U99" i="6"/>
  <c r="J100" i="6"/>
  <c r="W83" i="6" s="1"/>
  <c r="U83" i="6"/>
  <c r="J21" i="6"/>
  <c r="W4" i="6" s="1"/>
  <c r="J15" i="6"/>
  <c r="S3" i="6"/>
  <c r="J85" i="6"/>
  <c r="W68" i="6" s="1"/>
  <c r="J62" i="6"/>
  <c r="W45" i="6" s="1"/>
  <c r="CU21" i="10"/>
  <c r="CW21" i="10"/>
  <c r="U60" i="6"/>
  <c r="K66" i="6"/>
  <c r="J125" i="6"/>
  <c r="J160" i="6"/>
  <c r="J154" i="6"/>
  <c r="J37" i="6"/>
  <c r="W20" i="6" s="1"/>
  <c r="J133" i="6"/>
  <c r="K47" i="6"/>
  <c r="J112" i="6"/>
  <c r="W95" i="6" s="1"/>
  <c r="K93" i="6"/>
  <c r="J23" i="6"/>
  <c r="W6" i="6" s="1"/>
  <c r="U94" i="6"/>
  <c r="K118" i="6"/>
  <c r="K83" i="6"/>
  <c r="K33" i="6"/>
  <c r="J93" i="6"/>
  <c r="W76" i="6" s="1"/>
  <c r="J104" i="6"/>
  <c r="W87" i="6" s="1"/>
  <c r="J120" i="6"/>
  <c r="W103" i="6" s="1"/>
  <c r="J83" i="6"/>
  <c r="W66" i="6" s="1"/>
  <c r="U59" i="6"/>
  <c r="J118" i="6"/>
  <c r="W101" i="6" s="1"/>
  <c r="J47" i="6"/>
  <c r="W30" i="6" s="1"/>
  <c r="J136" i="6"/>
  <c r="J67" i="6"/>
  <c r="W50" i="6" s="1"/>
  <c r="J147" i="6"/>
  <c r="J99" i="6"/>
  <c r="W82" i="6" s="1"/>
  <c r="J45" i="6"/>
  <c r="W28" i="6" s="1"/>
  <c r="J29" i="6"/>
  <c r="W12" i="6" s="1"/>
  <c r="J103" i="6"/>
  <c r="W86" i="6" s="1"/>
  <c r="J74" i="6"/>
  <c r="W57" i="6" s="1"/>
  <c r="U71" i="6"/>
  <c r="J33" i="6"/>
  <c r="W16" i="6" s="1"/>
  <c r="K94" i="6"/>
  <c r="J77" i="6"/>
  <c r="W60" i="6" s="1"/>
  <c r="CV22" i="10"/>
  <c r="CU22" i="10" s="1"/>
  <c r="BL21" i="10"/>
  <c r="BM21" i="10" s="1"/>
  <c r="BU333" i="10"/>
  <c r="BV332" i="10"/>
  <c r="J146" i="6"/>
  <c r="J68" i="6"/>
  <c r="W51" i="6" s="1"/>
  <c r="BM20" i="10"/>
  <c r="CD331" i="10"/>
  <c r="CC330" i="10"/>
  <c r="CE330" i="10"/>
  <c r="J145" i="6"/>
  <c r="J40" i="6"/>
  <c r="W23" i="6" s="1"/>
  <c r="J111" i="6"/>
  <c r="W94" i="6" s="1"/>
  <c r="U51" i="6"/>
  <c r="J84" i="6"/>
  <c r="W67" i="6" s="1"/>
  <c r="J88" i="6"/>
  <c r="W71" i="6" s="1"/>
  <c r="J106" i="6"/>
  <c r="W89" i="6" s="1"/>
  <c r="J70" i="6"/>
  <c r="W53" i="6" s="1"/>
  <c r="K37" i="6"/>
  <c r="U20" i="6"/>
  <c r="J138" i="6"/>
  <c r="J22" i="6"/>
  <c r="W5" i="6" s="1"/>
  <c r="J92" i="6"/>
  <c r="W75" i="6" s="1"/>
  <c r="J49" i="6"/>
  <c r="W32" i="6" s="1"/>
  <c r="S48" i="6"/>
  <c r="J65" i="6"/>
  <c r="W48" i="6" s="1"/>
  <c r="CU20" i="10"/>
  <c r="CW20" i="10"/>
  <c r="B372" i="5"/>
  <c r="C402" i="5"/>
  <c r="C155" i="5"/>
  <c r="B50" i="5"/>
  <c r="C274" i="5"/>
  <c r="B343" i="5"/>
  <c r="C201" i="5"/>
  <c r="B108" i="5"/>
  <c r="C70" i="5"/>
  <c r="C96" i="5"/>
  <c r="C395" i="5"/>
  <c r="C56" i="5"/>
  <c r="C315" i="5"/>
  <c r="C375" i="5"/>
  <c r="C388" i="5"/>
  <c r="B382" i="5"/>
  <c r="B249" i="5"/>
  <c r="B400" i="5"/>
  <c r="C131" i="5"/>
  <c r="B177" i="5"/>
  <c r="C93" i="5"/>
  <c r="C283" i="5"/>
  <c r="C126" i="5"/>
  <c r="B255" i="5"/>
  <c r="C20" i="5"/>
  <c r="B278" i="5"/>
  <c r="C270" i="5"/>
  <c r="C132" i="5"/>
  <c r="C356" i="5"/>
  <c r="B197" i="5"/>
  <c r="C297" i="5"/>
  <c r="C144" i="5"/>
  <c r="B297" i="5"/>
  <c r="B331" i="5"/>
  <c r="B245" i="5"/>
  <c r="B352" i="5"/>
  <c r="C227" i="5"/>
  <c r="C333" i="5"/>
  <c r="B170" i="5"/>
  <c r="C33" i="5"/>
  <c r="C213" i="5"/>
  <c r="B69" i="5"/>
  <c r="C177" i="5"/>
  <c r="C91" i="5"/>
  <c r="C145" i="5"/>
  <c r="C197" i="5"/>
  <c r="B364" i="5"/>
  <c r="B56" i="5"/>
  <c r="C260" i="5"/>
  <c r="C138" i="5"/>
  <c r="B116" i="5"/>
  <c r="C308" i="5"/>
  <c r="B346" i="5"/>
  <c r="C311" i="5"/>
  <c r="B323" i="5"/>
  <c r="C181" i="5"/>
  <c r="B229" i="5"/>
  <c r="C167" i="5"/>
  <c r="B181" i="5"/>
  <c r="C146" i="5"/>
  <c r="B73" i="5"/>
  <c r="C166" i="5"/>
  <c r="C276" i="5"/>
  <c r="B162" i="5"/>
  <c r="B351" i="5"/>
  <c r="C179" i="5"/>
  <c r="C130" i="5"/>
  <c r="C223" i="5"/>
  <c r="B363" i="5"/>
  <c r="C183" i="5"/>
  <c r="C346" i="5"/>
  <c r="C57" i="5"/>
  <c r="C277" i="5"/>
  <c r="C75" i="5"/>
  <c r="C371" i="5"/>
  <c r="C296" i="5"/>
  <c r="C152" i="5"/>
  <c r="B100" i="5"/>
  <c r="C312" i="5"/>
  <c r="C112" i="5"/>
  <c r="B337" i="5"/>
  <c r="C367" i="5"/>
  <c r="B208" i="5"/>
  <c r="B356" i="5"/>
  <c r="C175" i="5"/>
  <c r="C228" i="5"/>
  <c r="C320" i="5"/>
  <c r="B305" i="5"/>
  <c r="C231" i="5"/>
  <c r="C162" i="5"/>
  <c r="B313" i="5"/>
  <c r="B87" i="5"/>
  <c r="B350" i="5"/>
  <c r="C174" i="5"/>
  <c r="C290" i="5"/>
  <c r="C11" i="5"/>
  <c r="C364" i="5"/>
  <c r="B265" i="5"/>
  <c r="B399" i="5"/>
  <c r="B54" i="5"/>
  <c r="B371" i="5"/>
  <c r="C301" i="5"/>
  <c r="B277" i="5"/>
  <c r="B336" i="5"/>
  <c r="B42" i="5"/>
  <c r="B168" i="5"/>
  <c r="B166" i="5"/>
  <c r="B185" i="5"/>
  <c r="C95" i="5"/>
  <c r="B91" i="5"/>
  <c r="B195" i="5"/>
  <c r="B103" i="5"/>
  <c r="B225" i="5"/>
  <c r="C293" i="5"/>
  <c r="C241" i="5"/>
  <c r="B353" i="5"/>
  <c r="B67" i="5"/>
  <c r="B146" i="5"/>
  <c r="B141" i="5"/>
  <c r="C115" i="5"/>
  <c r="C406" i="5"/>
  <c r="C232" i="5"/>
  <c r="B183" i="5"/>
  <c r="C328" i="5"/>
  <c r="C89" i="5"/>
  <c r="C249" i="5"/>
  <c r="B342" i="5"/>
  <c r="C21" i="5"/>
  <c r="C164" i="5"/>
  <c r="C182" i="5"/>
  <c r="B84" i="5"/>
  <c r="B248" i="5"/>
  <c r="C48" i="5"/>
  <c r="B20" i="5"/>
  <c r="B189" i="5"/>
  <c r="B121" i="5"/>
  <c r="B111" i="5"/>
  <c r="C203" i="5"/>
  <c r="B397" i="5"/>
  <c r="C46" i="5"/>
  <c r="C30" i="5"/>
  <c r="B98" i="5"/>
  <c r="C159" i="5"/>
  <c r="B52" i="5"/>
  <c r="B275" i="5"/>
  <c r="B158" i="5"/>
  <c r="B234" i="5"/>
  <c r="C244" i="5"/>
  <c r="C205" i="5"/>
  <c r="C170" i="5"/>
  <c r="C100" i="5"/>
  <c r="B200" i="5"/>
  <c r="C54" i="5"/>
  <c r="B398" i="5"/>
  <c r="B257" i="5"/>
  <c r="B59" i="5"/>
  <c r="C78" i="5"/>
  <c r="C27" i="5"/>
  <c r="B43" i="5"/>
  <c r="C327" i="5"/>
  <c r="C368" i="5"/>
  <c r="B193" i="5"/>
  <c r="C359" i="5"/>
  <c r="C118" i="5"/>
  <c r="C374" i="5"/>
  <c r="C392" i="5"/>
  <c r="B90" i="5"/>
  <c r="C266" i="5"/>
  <c r="C82" i="5"/>
  <c r="C60" i="5"/>
  <c r="C137" i="5"/>
  <c r="B123" i="5"/>
  <c r="C384" i="5"/>
  <c r="C307" i="5"/>
  <c r="B142" i="5"/>
  <c r="C193" i="5"/>
  <c r="C230" i="5"/>
  <c r="B53" i="5"/>
  <c r="B304" i="5"/>
  <c r="B384" i="5"/>
  <c r="C404" i="5"/>
  <c r="C87" i="5"/>
  <c r="B377" i="5"/>
  <c r="B303" i="5"/>
  <c r="B227" i="5"/>
  <c r="C313" i="5"/>
  <c r="B14" i="5"/>
  <c r="C365" i="5"/>
  <c r="C188" i="5"/>
  <c r="C246" i="5"/>
  <c r="B88" i="5"/>
  <c r="B24" i="5"/>
  <c r="B348" i="5"/>
  <c r="C79" i="5"/>
  <c r="C119" i="5"/>
  <c r="B231" i="5"/>
  <c r="B113" i="5"/>
  <c r="B196" i="5"/>
  <c r="C287" i="5"/>
  <c r="B182" i="5"/>
  <c r="C90" i="5"/>
  <c r="B198" i="5"/>
  <c r="B365" i="5"/>
  <c r="B405" i="5"/>
  <c r="B46" i="5"/>
  <c r="B203" i="5"/>
  <c r="C210" i="5"/>
  <c r="C363" i="5"/>
  <c r="C64" i="5"/>
  <c r="C401" i="5"/>
  <c r="C13" i="5"/>
  <c r="B263" i="5"/>
  <c r="B375" i="5"/>
  <c r="B12" i="5"/>
  <c r="B75" i="5"/>
  <c r="C17" i="5"/>
  <c r="C200" i="5"/>
  <c r="C330" i="5"/>
  <c r="C65" i="5"/>
  <c r="B204" i="5"/>
  <c r="B151" i="5"/>
  <c r="B262" i="5"/>
  <c r="B58" i="5"/>
  <c r="B173" i="5"/>
  <c r="B92" i="5"/>
  <c r="C94" i="5"/>
  <c r="C215" i="5"/>
  <c r="B316" i="5"/>
  <c r="B381" i="5"/>
  <c r="C325" i="5"/>
  <c r="C385" i="5"/>
  <c r="B213" i="5"/>
  <c r="B202" i="5"/>
  <c r="C383" i="5"/>
  <c r="C234" i="5"/>
  <c r="B40" i="5"/>
  <c r="B376" i="5"/>
  <c r="B230" i="5"/>
  <c r="B354" i="5"/>
  <c r="B294" i="5"/>
  <c r="C67" i="5"/>
  <c r="B322" i="5"/>
  <c r="B222" i="5"/>
  <c r="C410" i="5"/>
  <c r="C238" i="5"/>
  <c r="C49" i="5"/>
  <c r="C357" i="5"/>
  <c r="B70" i="5"/>
  <c r="C208" i="5"/>
  <c r="C18" i="5"/>
  <c r="B186" i="5"/>
  <c r="B395" i="5"/>
  <c r="B310" i="5"/>
  <c r="C240" i="5"/>
  <c r="B239" i="5"/>
  <c r="B172" i="5"/>
  <c r="C12" i="5"/>
  <c r="B347" i="5"/>
  <c r="C147" i="5"/>
  <c r="B23" i="5"/>
  <c r="C376" i="5"/>
  <c r="B18" i="5"/>
  <c r="B188" i="5"/>
  <c r="B345" i="5"/>
  <c r="C14" i="5"/>
  <c r="B244" i="5"/>
  <c r="B143" i="5"/>
  <c r="B273" i="5"/>
  <c r="B66" i="5"/>
  <c r="C47" i="5"/>
  <c r="C405" i="5"/>
  <c r="B228" i="5"/>
  <c r="B201" i="5"/>
  <c r="B71" i="5"/>
  <c r="B65" i="5"/>
  <c r="B164" i="5"/>
  <c r="C386" i="5"/>
  <c r="C354" i="5"/>
  <c r="C295" i="5"/>
  <c r="B117" i="5"/>
  <c r="B10" i="5"/>
  <c r="B122" i="5"/>
  <c r="C186" i="5"/>
  <c r="B171" i="5"/>
  <c r="B160" i="5"/>
  <c r="B120" i="5"/>
  <c r="B370" i="5"/>
  <c r="B62" i="5"/>
  <c r="C125" i="5"/>
  <c r="C399" i="5"/>
  <c r="C338" i="5"/>
  <c r="B394" i="5"/>
  <c r="C61" i="5"/>
  <c r="B320" i="5"/>
  <c r="B129" i="5"/>
  <c r="B214" i="5"/>
  <c r="B311" i="5"/>
  <c r="C38" i="5"/>
  <c r="B374" i="5"/>
  <c r="C44" i="5"/>
  <c r="B288" i="5"/>
  <c r="B150" i="5"/>
  <c r="B165" i="5"/>
  <c r="B106" i="5"/>
  <c r="C291" i="5"/>
  <c r="B339" i="5"/>
  <c r="C111" i="5"/>
  <c r="B338" i="5"/>
  <c r="B55" i="5"/>
  <c r="C381" i="5"/>
  <c r="C409" i="5"/>
  <c r="B240" i="5"/>
  <c r="C85" i="5"/>
  <c r="B285" i="5"/>
  <c r="C242" i="5"/>
  <c r="B33" i="5"/>
  <c r="B184" i="5"/>
  <c r="B219" i="5"/>
  <c r="B15" i="5"/>
  <c r="C153" i="5"/>
  <c r="C196" i="5"/>
  <c r="B341" i="5"/>
  <c r="C98" i="5"/>
  <c r="B209" i="5"/>
  <c r="B260" i="5"/>
  <c r="C172" i="5"/>
  <c r="C36" i="5"/>
  <c r="C351" i="5"/>
  <c r="B163" i="5"/>
  <c r="B238" i="5"/>
  <c r="C268" i="5"/>
  <c r="B366" i="5"/>
  <c r="C34" i="5"/>
  <c r="C280" i="5"/>
  <c r="C319" i="5"/>
  <c r="C309" i="5"/>
  <c r="C352" i="5"/>
  <c r="C76" i="5"/>
  <c r="C347" i="5"/>
  <c r="C58" i="5"/>
  <c r="C322" i="5"/>
  <c r="C403" i="5"/>
  <c r="C229" i="5"/>
  <c r="B298" i="5"/>
  <c r="B76" i="5"/>
  <c r="B174" i="5"/>
  <c r="B145" i="5"/>
  <c r="B340" i="5"/>
  <c r="C329" i="5"/>
  <c r="C239" i="5"/>
  <c r="B139" i="5"/>
  <c r="C173" i="5"/>
  <c r="B149" i="5"/>
  <c r="C251" i="5"/>
  <c r="B82" i="5"/>
  <c r="B127" i="5"/>
  <c r="C390" i="5"/>
  <c r="C110" i="5"/>
  <c r="B335" i="5"/>
  <c r="B254" i="5"/>
  <c r="C63" i="5"/>
  <c r="B60" i="5"/>
  <c r="C53" i="5"/>
  <c r="B301" i="5"/>
  <c r="B21" i="5"/>
  <c r="B387" i="5"/>
  <c r="C194" i="5"/>
  <c r="B27" i="5"/>
  <c r="C282" i="5"/>
  <c r="C37" i="5"/>
  <c r="B391" i="5"/>
  <c r="C157" i="5"/>
  <c r="C190" i="5"/>
  <c r="C350" i="5"/>
  <c r="B16" i="5"/>
  <c r="B409" i="5"/>
  <c r="C273" i="5"/>
  <c r="B393" i="5"/>
  <c r="B83" i="5"/>
  <c r="B378" i="5"/>
  <c r="C154" i="5"/>
  <c r="C141" i="5"/>
  <c r="C43" i="5"/>
  <c r="C123" i="5"/>
  <c r="C281" i="5"/>
  <c r="B167" i="5"/>
  <c r="C99" i="5"/>
  <c r="B101" i="5"/>
  <c r="C353" i="5"/>
  <c r="B140" i="5"/>
  <c r="C171" i="5"/>
  <c r="B358" i="5"/>
  <c r="B402" i="5"/>
  <c r="B48" i="5"/>
  <c r="C304" i="5"/>
  <c r="C176" i="5"/>
  <c r="B118" i="5"/>
  <c r="C243" i="5"/>
  <c r="C42" i="5"/>
  <c r="B299" i="5"/>
  <c r="B362" i="5"/>
  <c r="B318" i="5"/>
  <c r="B247" i="5"/>
  <c r="B30" i="5"/>
  <c r="B280" i="5"/>
  <c r="C59" i="5"/>
  <c r="B79" i="5"/>
  <c r="C120" i="5"/>
  <c r="C345" i="5"/>
  <c r="C360" i="5"/>
  <c r="B19" i="5"/>
  <c r="C218" i="5"/>
  <c r="B104" i="5"/>
  <c r="B326" i="5"/>
  <c r="B242" i="5"/>
  <c r="B159" i="5"/>
  <c r="C103" i="5"/>
  <c r="B155" i="5"/>
  <c r="C204" i="5"/>
  <c r="B17" i="5"/>
  <c r="B344" i="5"/>
  <c r="C377" i="5"/>
  <c r="C214" i="5"/>
  <c r="B32" i="5"/>
  <c r="B144" i="5"/>
  <c r="C220" i="5"/>
  <c r="B93" i="5"/>
  <c r="B367" i="5"/>
  <c r="B78" i="5"/>
  <c r="B359" i="5"/>
  <c r="C407" i="5"/>
  <c r="C394" i="5"/>
  <c r="C143" i="5"/>
  <c r="B36" i="5"/>
  <c r="C373" i="5"/>
  <c r="C185" i="5"/>
  <c r="C202" i="5"/>
  <c r="B368" i="5"/>
  <c r="B404" i="5"/>
  <c r="C344" i="5"/>
  <c r="B210" i="5"/>
  <c r="B41" i="5"/>
  <c r="B246" i="5"/>
  <c r="C83" i="5"/>
  <c r="C263" i="5"/>
  <c r="C104" i="5"/>
  <c r="B334" i="5"/>
  <c r="B357" i="5"/>
  <c r="C219" i="5"/>
  <c r="B312" i="5"/>
  <c r="C161" i="5"/>
  <c r="C400" i="5"/>
  <c r="B161" i="5"/>
  <c r="C16" i="5"/>
  <c r="B192" i="5"/>
  <c r="B296" i="5"/>
  <c r="C136" i="5"/>
  <c r="B99" i="5"/>
  <c r="B31" i="5"/>
  <c r="C73" i="5"/>
  <c r="B306" i="5"/>
  <c r="B302" i="5"/>
  <c r="B105" i="5"/>
  <c r="C250" i="5"/>
  <c r="C28" i="5"/>
  <c r="C294" i="5"/>
  <c r="B205" i="5"/>
  <c r="B289" i="5"/>
  <c r="C224" i="5"/>
  <c r="B396" i="5"/>
  <c r="C302" i="5"/>
  <c r="B153" i="5"/>
  <c r="C113" i="5"/>
  <c r="B321" i="5"/>
  <c r="B132" i="5"/>
  <c r="B332" i="5"/>
  <c r="C336" i="5"/>
  <c r="C321" i="5"/>
  <c r="B180" i="5"/>
  <c r="B110" i="5"/>
  <c r="B49" i="5"/>
  <c r="B211" i="5"/>
  <c r="B264" i="5"/>
  <c r="C285" i="5"/>
  <c r="B148" i="5"/>
  <c r="C122" i="5"/>
  <c r="B39" i="5"/>
  <c r="B74" i="5"/>
  <c r="C92" i="5"/>
  <c r="B271" i="5"/>
  <c r="B315" i="5"/>
  <c r="B124" i="5"/>
  <c r="B267" i="5"/>
  <c r="C106" i="5"/>
  <c r="C341" i="5"/>
  <c r="B61" i="5"/>
  <c r="C387" i="5"/>
  <c r="C355" i="5"/>
  <c r="C124" i="5"/>
  <c r="B333" i="5"/>
  <c r="B287" i="5"/>
  <c r="B135" i="5"/>
  <c r="B194" i="5"/>
  <c r="C81" i="5"/>
  <c r="B220" i="5"/>
  <c r="C332" i="5"/>
  <c r="B252" i="5"/>
  <c r="AG11" i="5"/>
  <c r="B115" i="5"/>
  <c r="B109" i="5"/>
  <c r="C358" i="5"/>
  <c r="B386" i="5"/>
  <c r="C221" i="5"/>
  <c r="B266" i="5"/>
  <c r="C165" i="5"/>
  <c r="B327" i="5"/>
  <c r="B408" i="5"/>
  <c r="B329" i="5"/>
  <c r="C15" i="5"/>
  <c r="C245" i="5"/>
  <c r="B154" i="5"/>
  <c r="B63" i="5"/>
  <c r="B206" i="5"/>
  <c r="B107" i="5"/>
  <c r="C142" i="5"/>
  <c r="C207" i="5"/>
  <c r="C129" i="5"/>
  <c r="C71" i="5"/>
  <c r="B130" i="5"/>
  <c r="C212" i="5"/>
  <c r="C69" i="5"/>
  <c r="C369" i="5"/>
  <c r="B81" i="5"/>
  <c r="C305" i="5"/>
  <c r="B26" i="5"/>
  <c r="C101" i="5"/>
  <c r="C140" i="5"/>
  <c r="B68" i="5"/>
  <c r="C393" i="5"/>
  <c r="B407" i="5"/>
  <c r="B179" i="5"/>
  <c r="C334" i="5"/>
  <c r="C278" i="5"/>
  <c r="B212" i="5"/>
  <c r="C262" i="5"/>
  <c r="B261" i="5"/>
  <c r="C24" i="5"/>
  <c r="C121" i="5"/>
  <c r="C314" i="5"/>
  <c r="B276" i="5"/>
  <c r="B314" i="5"/>
  <c r="C289" i="5"/>
  <c r="B308" i="5"/>
  <c r="C128" i="5"/>
  <c r="C109" i="5"/>
  <c r="C10" i="5"/>
  <c r="C25" i="5"/>
  <c r="C372" i="5"/>
  <c r="B114" i="5"/>
  <c r="C253" i="5"/>
  <c r="C257" i="5"/>
  <c r="B317" i="5"/>
  <c r="C397" i="5"/>
  <c r="B223" i="5"/>
  <c r="C102" i="5"/>
  <c r="C258" i="5"/>
  <c r="B259" i="5"/>
  <c r="B138" i="5"/>
  <c r="B349" i="5"/>
  <c r="C29" i="5"/>
  <c r="B233" i="5"/>
  <c r="B406" i="5"/>
  <c r="B300" i="5"/>
  <c r="C80" i="5"/>
  <c r="B112" i="5"/>
  <c r="C225" i="5"/>
  <c r="C158" i="5"/>
  <c r="C222" i="5"/>
  <c r="C254" i="5"/>
  <c r="B295" i="5"/>
  <c r="C343" i="5"/>
  <c r="B128" i="5"/>
  <c r="B86" i="5"/>
  <c r="C107" i="5"/>
  <c r="B64" i="5"/>
  <c r="B191" i="5"/>
  <c r="C264" i="5"/>
  <c r="B253" i="5"/>
  <c r="B270" i="5"/>
  <c r="C286" i="5"/>
  <c r="C151" i="5"/>
  <c r="B283" i="5"/>
  <c r="B29" i="5"/>
  <c r="B216" i="5"/>
  <c r="B403" i="5"/>
  <c r="B392" i="5"/>
  <c r="C134" i="5"/>
  <c r="B268" i="5"/>
  <c r="H16" i="5"/>
  <c r="B379" i="5"/>
  <c r="B169" i="5"/>
  <c r="C252" i="5"/>
  <c r="AA20" i="5"/>
  <c r="H15" i="5"/>
  <c r="C317" i="5"/>
  <c r="B388" i="5"/>
  <c r="C340" i="5"/>
  <c r="B136" i="5"/>
  <c r="C180" i="5"/>
  <c r="B383" i="5"/>
  <c r="C248" i="5"/>
  <c r="C117" i="5"/>
  <c r="C19" i="5"/>
  <c r="B284" i="5"/>
  <c r="B235" i="5"/>
  <c r="B361" i="5"/>
  <c r="C348" i="5"/>
  <c r="C267" i="5"/>
  <c r="B187" i="5"/>
  <c r="C51" i="5"/>
  <c r="B199" i="5"/>
  <c r="C237" i="5"/>
  <c r="C326" i="5"/>
  <c r="C86" i="5"/>
  <c r="B13" i="5"/>
  <c r="B95" i="5"/>
  <c r="C310" i="5"/>
  <c r="C247" i="5"/>
  <c r="B97" i="5"/>
  <c r="C74" i="5"/>
  <c r="B51" i="5"/>
  <c r="C187" i="5"/>
  <c r="B232" i="5"/>
  <c r="C139" i="5"/>
  <c r="B250" i="5"/>
  <c r="C68" i="5"/>
  <c r="B38" i="5"/>
  <c r="C127" i="5"/>
  <c r="C149" i="5"/>
  <c r="B85" i="5"/>
  <c r="C72" i="5"/>
  <c r="B119" i="5"/>
  <c r="B28" i="5"/>
  <c r="B290" i="5"/>
  <c r="C323" i="5"/>
  <c r="B307" i="5"/>
  <c r="B256" i="5"/>
  <c r="C288" i="5"/>
  <c r="B369" i="5"/>
  <c r="C408" i="5"/>
  <c r="B215" i="5"/>
  <c r="C235" i="5"/>
  <c r="B34" i="5"/>
  <c r="B126" i="5"/>
  <c r="C396" i="5"/>
  <c r="C349" i="5"/>
  <c r="B152" i="5"/>
  <c r="C160" i="5"/>
  <c r="B37" i="5"/>
  <c r="B176" i="5"/>
  <c r="C389" i="5"/>
  <c r="C108" i="5"/>
  <c r="C26" i="5"/>
  <c r="B94" i="5"/>
  <c r="B11" i="5"/>
  <c r="B293" i="5"/>
  <c r="C22" i="5"/>
  <c r="C168" i="5"/>
  <c r="C217" i="5"/>
  <c r="B102" i="5"/>
  <c r="B226" i="5"/>
  <c r="C105" i="5"/>
  <c r="C116" i="5"/>
  <c r="C198" i="5"/>
  <c r="B178" i="5"/>
  <c r="B319" i="5"/>
  <c r="C209" i="5"/>
  <c r="B281" i="5"/>
  <c r="B410" i="5"/>
  <c r="B258" i="5"/>
  <c r="C391" i="5"/>
  <c r="B218" i="5"/>
  <c r="C114" i="5"/>
  <c r="C216" i="5"/>
  <c r="B89" i="5"/>
  <c r="C265" i="5"/>
  <c r="B96" i="5"/>
  <c r="C195" i="5"/>
  <c r="C66" i="5"/>
  <c r="C236" i="5"/>
  <c r="C318" i="5"/>
  <c r="B237" i="5"/>
  <c r="C192" i="5"/>
  <c r="I18" i="5"/>
  <c r="N18" i="5" s="1"/>
  <c r="AA18" i="5"/>
  <c r="C284" i="5"/>
  <c r="B137" i="5"/>
  <c r="B330" i="5"/>
  <c r="AA19" i="5"/>
  <c r="H20" i="5"/>
  <c r="AA10" i="5"/>
  <c r="C331" i="5"/>
  <c r="B355" i="5"/>
  <c r="B44" i="5"/>
  <c r="C156" i="5"/>
  <c r="C261" i="5"/>
  <c r="C335" i="5"/>
  <c r="B272" i="5"/>
  <c r="B77" i="5"/>
  <c r="B243" i="5"/>
  <c r="B282" i="5"/>
  <c r="B328" i="5"/>
  <c r="C84" i="5"/>
  <c r="C275" i="5"/>
  <c r="C342" i="5"/>
  <c r="B373" i="5"/>
  <c r="C256" i="5"/>
  <c r="C62" i="5"/>
  <c r="C370" i="5"/>
  <c r="B292" i="5"/>
  <c r="B274" i="5"/>
  <c r="H18" i="5"/>
  <c r="C206" i="5"/>
  <c r="C39" i="5"/>
  <c r="B47" i="5"/>
  <c r="C316" i="5"/>
  <c r="I14" i="5"/>
  <c r="N14" i="5" s="1"/>
  <c r="C35" i="5"/>
  <c r="B324" i="5"/>
  <c r="AG16" i="5"/>
  <c r="H14" i="5"/>
  <c r="AG20" i="5"/>
  <c r="AG19" i="5"/>
  <c r="AA13" i="5"/>
  <c r="I21" i="5"/>
  <c r="N21" i="5" s="1"/>
  <c r="P21" i="5" s="1"/>
  <c r="AG23" i="5"/>
  <c r="I20" i="5"/>
  <c r="N20" i="5" s="1"/>
  <c r="AA14" i="5"/>
  <c r="AA11" i="5"/>
  <c r="I10" i="5"/>
  <c r="N10" i="5" s="1"/>
  <c r="C303" i="5"/>
  <c r="C398" i="5"/>
  <c r="C23" i="5"/>
  <c r="C135" i="5"/>
  <c r="B241" i="5"/>
  <c r="C45" i="5"/>
  <c r="C255" i="5"/>
  <c r="B221" i="5"/>
  <c r="C299" i="5"/>
  <c r="C191" i="5"/>
  <c r="B22" i="5"/>
  <c r="B291" i="5"/>
  <c r="C148" i="5"/>
  <c r="B147" i="5"/>
  <c r="C378" i="5"/>
  <c r="C233" i="5"/>
  <c r="C32" i="5"/>
  <c r="C169" i="5"/>
  <c r="B269" i="5"/>
  <c r="B207" i="5"/>
  <c r="C189" i="5"/>
  <c r="C199" i="5"/>
  <c r="C361" i="5"/>
  <c r="B175" i="5"/>
  <c r="C339" i="5"/>
  <c r="B157" i="5"/>
  <c r="AA16" i="5"/>
  <c r="AG22" i="5"/>
  <c r="B156" i="5"/>
  <c r="B390" i="5"/>
  <c r="H22" i="5"/>
  <c r="I11" i="5"/>
  <c r="N11" i="5" s="1"/>
  <c r="AG10" i="5"/>
  <c r="AG15" i="5"/>
  <c r="H10" i="5"/>
  <c r="AG21" i="5"/>
  <c r="AG12" i="5"/>
  <c r="H17" i="5"/>
  <c r="AA15" i="5"/>
  <c r="H19" i="5"/>
  <c r="C88" i="5"/>
  <c r="C337" i="5"/>
  <c r="B131" i="5"/>
  <c r="C271" i="5"/>
  <c r="B389" i="5"/>
  <c r="C50" i="5"/>
  <c r="C184" i="5"/>
  <c r="C379" i="5"/>
  <c r="C77" i="5"/>
  <c r="B385" i="5"/>
  <c r="B125" i="5"/>
  <c r="B134" i="5"/>
  <c r="C97" i="5"/>
  <c r="C382" i="5"/>
  <c r="C40" i="5"/>
  <c r="C52" i="5"/>
  <c r="B251" i="5"/>
  <c r="C31" i="5"/>
  <c r="B57" i="5"/>
  <c r="C279" i="5"/>
  <c r="C178" i="5"/>
  <c r="C55" i="5"/>
  <c r="B80" i="5"/>
  <c r="I16" i="5"/>
  <c r="N16" i="5" s="1"/>
  <c r="C366" i="5"/>
  <c r="C211" i="5"/>
  <c r="AA22" i="5"/>
  <c r="I15" i="5"/>
  <c r="N15" i="5" s="1"/>
  <c r="I13" i="5"/>
  <c r="N13" i="5" s="1"/>
  <c r="AA12" i="5"/>
  <c r="AA23" i="5"/>
  <c r="I17" i="5"/>
  <c r="N17" i="5" s="1"/>
  <c r="C163" i="5"/>
  <c r="C380" i="5"/>
  <c r="B325" i="5"/>
  <c r="B45" i="5"/>
  <c r="B401" i="5"/>
  <c r="AG18" i="5"/>
  <c r="B360" i="5"/>
  <c r="B286" i="5"/>
  <c r="C362" i="5"/>
  <c r="C298" i="5"/>
  <c r="C272" i="5"/>
  <c r="C226" i="5"/>
  <c r="B224" i="5"/>
  <c r="C41" i="5"/>
  <c r="B133" i="5"/>
  <c r="C269" i="5"/>
  <c r="B35" i="5"/>
  <c r="C324" i="5"/>
  <c r="C292" i="5"/>
  <c r="C300" i="5"/>
  <c r="B236" i="5"/>
  <c r="B72" i="5"/>
  <c r="B25" i="5"/>
  <c r="B279" i="5"/>
  <c r="B217" i="5"/>
  <c r="C133" i="5"/>
  <c r="C150" i="5"/>
  <c r="B380" i="5"/>
  <c r="C306" i="5"/>
  <c r="AG14" i="5"/>
  <c r="B309" i="5"/>
  <c r="B190" i="5"/>
  <c r="C259" i="5"/>
  <c r="I22" i="5"/>
  <c r="N22" i="5" s="1"/>
  <c r="H11" i="5"/>
  <c r="I19" i="5"/>
  <c r="N19" i="5" s="1"/>
  <c r="AA21" i="5"/>
  <c r="I12" i="5"/>
  <c r="N12" i="5" s="1"/>
  <c r="H13" i="5"/>
  <c r="H23" i="5"/>
  <c r="H21" i="5"/>
  <c r="AA17" i="5"/>
  <c r="H12" i="5"/>
  <c r="AG17" i="5"/>
  <c r="AG13" i="5"/>
  <c r="I23" i="5"/>
  <c r="N23" i="5" s="1"/>
  <c r="J56" i="6"/>
  <c r="W39" i="6" s="1"/>
  <c r="J76" i="6"/>
  <c r="W59" i="6" s="1"/>
  <c r="J34" i="6"/>
  <c r="W17" i="6" s="1"/>
  <c r="S43" i="6"/>
  <c r="K34" i="6"/>
  <c r="U17" i="6"/>
  <c r="J94" i="6"/>
  <c r="W77" i="6" s="1"/>
  <c r="S90" i="6"/>
  <c r="S36" i="6"/>
  <c r="J53" i="6"/>
  <c r="W36" i="6" s="1"/>
  <c r="J124" i="6"/>
  <c r="BU20" i="10"/>
  <c r="BV19" i="10"/>
  <c r="BT19" i="10"/>
  <c r="BD19" i="10"/>
  <c r="BC20" i="10"/>
  <c r="BB19" i="10"/>
  <c r="AL19" i="10"/>
  <c r="AK20" i="10"/>
  <c r="AJ19" i="10"/>
  <c r="CN19" i="10"/>
  <c r="CM20" i="10"/>
  <c r="CL19" i="10"/>
  <c r="CN330" i="10"/>
  <c r="CM331" i="10"/>
  <c r="CL330" i="10"/>
  <c r="DX19" i="10"/>
  <c r="DV19" i="10"/>
  <c r="DW20" i="10"/>
  <c r="J12" i="6"/>
  <c r="K12" i="6"/>
  <c r="K73" i="6"/>
  <c r="J73" i="6"/>
  <c r="W56" i="6" s="1"/>
  <c r="U56" i="6"/>
  <c r="K87" i="6"/>
  <c r="J87" i="6"/>
  <c r="W70" i="6" s="1"/>
  <c r="U70" i="6"/>
  <c r="U79" i="6"/>
  <c r="K96" i="6"/>
  <c r="J96" i="6"/>
  <c r="W79" i="6" s="1"/>
  <c r="K139" i="6"/>
  <c r="J139" i="6"/>
  <c r="K148" i="6"/>
  <c r="J148" i="6"/>
  <c r="K79" i="6"/>
  <c r="J79" i="6"/>
  <c r="W62" i="6" s="1"/>
  <c r="U62" i="6"/>
  <c r="J39" i="6"/>
  <c r="W22" i="6" s="1"/>
  <c r="U22" i="6"/>
  <c r="K39" i="6"/>
  <c r="J144" i="6"/>
  <c r="K144" i="6"/>
  <c r="U102" i="6"/>
  <c r="J119" i="6"/>
  <c r="W102" i="6" s="1"/>
  <c r="K119" i="6"/>
  <c r="P7" i="11"/>
  <c r="CD21" i="10"/>
  <c r="CE20" i="10"/>
  <c r="CC20" i="10"/>
  <c r="AJ331" i="10"/>
  <c r="AL331" i="10"/>
  <c r="AK332" i="10"/>
  <c r="AT333" i="10"/>
  <c r="AU332" i="10"/>
  <c r="AS332" i="10"/>
  <c r="R6" i="5"/>
  <c r="V6" i="5"/>
  <c r="D24" i="5"/>
  <c r="G24" i="5" s="1"/>
  <c r="F23" i="5"/>
  <c r="O23" i="5" s="1"/>
  <c r="E23" i="5"/>
  <c r="AI23" i="5"/>
  <c r="AC23" i="5"/>
  <c r="S7" i="11"/>
  <c r="Q8" i="11"/>
  <c r="U8" i="11"/>
  <c r="T8" i="11"/>
  <c r="R8" i="11"/>
  <c r="O8" i="11"/>
  <c r="D8" i="11"/>
  <c r="N8" i="11"/>
  <c r="B9" i="11"/>
  <c r="P8" i="11" l="1"/>
  <c r="J15" i="16"/>
  <c r="K14" i="16"/>
  <c r="G14" i="16" s="1"/>
  <c r="L14" i="16"/>
  <c r="H21" i="16"/>
  <c r="P33" i="6"/>
  <c r="P147" i="6"/>
  <c r="U31" i="6"/>
  <c r="M121" i="6"/>
  <c r="M13" i="6"/>
  <c r="J13" i="6"/>
  <c r="J25" i="6"/>
  <c r="W8" i="6" s="1"/>
  <c r="J48" i="6"/>
  <c r="W31" i="6" s="1"/>
  <c r="M48" i="6"/>
  <c r="P71" i="6"/>
  <c r="P124" i="6"/>
  <c r="P70" i="6"/>
  <c r="P34" i="6"/>
  <c r="M117" i="6"/>
  <c r="J80" i="6"/>
  <c r="W63" i="6" s="1"/>
  <c r="K80" i="6"/>
  <c r="M80" i="6" s="1"/>
  <c r="K25" i="6"/>
  <c r="M25" i="6" s="1"/>
  <c r="DD20" i="10"/>
  <c r="DE21" i="10"/>
  <c r="DD21" i="10" s="1"/>
  <c r="M140" i="6"/>
  <c r="P163" i="6"/>
  <c r="BB331" i="10"/>
  <c r="P99" i="6"/>
  <c r="M152" i="6"/>
  <c r="P159" i="6"/>
  <c r="J78" i="6"/>
  <c r="W61" i="6" s="1"/>
  <c r="K78" i="6"/>
  <c r="M78" i="6" s="1"/>
  <c r="P139" i="6"/>
  <c r="P148" i="6"/>
  <c r="AJ11" i="5"/>
  <c r="M165" i="6"/>
  <c r="M123" i="6"/>
  <c r="P85" i="6"/>
  <c r="P161" i="6"/>
  <c r="M102" i="6"/>
  <c r="M26" i="6"/>
  <c r="M67" i="6"/>
  <c r="P129" i="6"/>
  <c r="M19" i="6"/>
  <c r="P66" i="6"/>
  <c r="P122" i="6"/>
  <c r="M97" i="6"/>
  <c r="M57" i="6"/>
  <c r="J46" i="6"/>
  <c r="W29" i="6" s="1"/>
  <c r="J153" i="6"/>
  <c r="J44" i="6"/>
  <c r="W27" i="6" s="1"/>
  <c r="M158" i="6"/>
  <c r="P84" i="6"/>
  <c r="M63" i="6"/>
  <c r="BC332" i="10"/>
  <c r="BB332" i="10" s="1"/>
  <c r="U29" i="6"/>
  <c r="P106" i="6"/>
  <c r="BK331" i="10"/>
  <c r="K72" i="6"/>
  <c r="M72" i="6" s="1"/>
  <c r="J113" i="6"/>
  <c r="W96" i="6" s="1"/>
  <c r="J72" i="6"/>
  <c r="W55" i="6" s="1"/>
  <c r="J58" i="6"/>
  <c r="W41" i="6" s="1"/>
  <c r="U41" i="6"/>
  <c r="P47" i="6"/>
  <c r="M58" i="6"/>
  <c r="J60" i="6"/>
  <c r="W43" i="6" s="1"/>
  <c r="K36" i="6"/>
  <c r="M36" i="6" s="1"/>
  <c r="J123" i="6"/>
  <c r="AS22" i="10"/>
  <c r="AH19" i="5"/>
  <c r="AH14" i="5"/>
  <c r="AA24" i="5"/>
  <c r="H24" i="5"/>
  <c r="J24" i="5" s="1"/>
  <c r="W7" i="5" s="1"/>
  <c r="I24" i="5"/>
  <c r="N24" i="5" s="1"/>
  <c r="AG24" i="5"/>
  <c r="AH23" i="5" s="1"/>
  <c r="AA331" i="10"/>
  <c r="AT23" i="10"/>
  <c r="AT24" i="10" s="1"/>
  <c r="BK21" i="10"/>
  <c r="BL22" i="10"/>
  <c r="BL23" i="10" s="1"/>
  <c r="J11" i="6"/>
  <c r="K69" i="6"/>
  <c r="M69" i="6" s="1"/>
  <c r="J90" i="6"/>
  <c r="W73" i="6" s="1"/>
  <c r="K150" i="6"/>
  <c r="M150" i="6" s="1"/>
  <c r="J95" i="6"/>
  <c r="W78" i="6" s="1"/>
  <c r="M87" i="6"/>
  <c r="M104" i="6"/>
  <c r="P93" i="6"/>
  <c r="M37" i="6"/>
  <c r="M93" i="6"/>
  <c r="K50" i="6"/>
  <c r="M50" i="6" s="1"/>
  <c r="AE21" i="5"/>
  <c r="M118" i="6"/>
  <c r="M116" i="6"/>
  <c r="M71" i="6"/>
  <c r="M99" i="6"/>
  <c r="M45" i="6"/>
  <c r="P137" i="6"/>
  <c r="P28" i="6"/>
  <c r="P83" i="6"/>
  <c r="P160" i="6"/>
  <c r="P110" i="6"/>
  <c r="P131" i="6"/>
  <c r="P125" i="6"/>
  <c r="M11" i="6"/>
  <c r="J152" i="6"/>
  <c r="U46" i="6"/>
  <c r="J69" i="6"/>
  <c r="W52" i="6" s="1"/>
  <c r="U35" i="6"/>
  <c r="U37" i="6"/>
  <c r="K54" i="6"/>
  <c r="M54" i="6" s="1"/>
  <c r="AE14" i="5"/>
  <c r="J50" i="6"/>
  <c r="W33" i="6" s="1"/>
  <c r="P154" i="6"/>
  <c r="P29" i="6"/>
  <c r="P64" i="6"/>
  <c r="P21" i="6"/>
  <c r="P79" i="6"/>
  <c r="M155" i="6"/>
  <c r="J57" i="6"/>
  <c r="W40" i="6" s="1"/>
  <c r="K113" i="6"/>
  <c r="M113" i="6" s="1"/>
  <c r="J155" i="6"/>
  <c r="U73" i="6"/>
  <c r="U78" i="6"/>
  <c r="U9" i="6"/>
  <c r="J117" i="6"/>
  <c r="W100" i="6" s="1"/>
  <c r="U27" i="6"/>
  <c r="J165" i="6"/>
  <c r="J10" i="6"/>
  <c r="U3" i="6"/>
  <c r="J20" i="6"/>
  <c r="W3" i="6" s="1"/>
  <c r="U100" i="6"/>
  <c r="M10" i="6"/>
  <c r="J32" i="6"/>
  <c r="W15" i="6" s="1"/>
  <c r="K30" i="6"/>
  <c r="M30" i="6" s="1"/>
  <c r="J121" i="6"/>
  <c r="U15" i="6"/>
  <c r="M29" i="6"/>
  <c r="M120" i="6"/>
  <c r="P40" i="6"/>
  <c r="P104" i="6"/>
  <c r="M143" i="6"/>
  <c r="M105" i="6"/>
  <c r="P87" i="6"/>
  <c r="P15" i="6"/>
  <c r="M153" i="6"/>
  <c r="M20" i="6"/>
  <c r="P39" i="6"/>
  <c r="M32" i="6"/>
  <c r="AB332" i="10"/>
  <c r="AB333" i="10" s="1"/>
  <c r="J52" i="6"/>
  <c r="W35" i="6" s="1"/>
  <c r="K89" i="6"/>
  <c r="M89" i="6" s="1"/>
  <c r="J27" i="6"/>
  <c r="W10" i="6" s="1"/>
  <c r="K17" i="6"/>
  <c r="M17" i="6" s="1"/>
  <c r="J75" i="6"/>
  <c r="W58" i="6" s="1"/>
  <c r="M94" i="6"/>
  <c r="J59" i="6"/>
  <c r="W42" i="6" s="1"/>
  <c r="K59" i="6"/>
  <c r="M59" i="6" s="1"/>
  <c r="M83" i="6"/>
  <c r="M47" i="6"/>
  <c r="P18" i="6"/>
  <c r="J42" i="6"/>
  <c r="W25" i="6" s="1"/>
  <c r="P49" i="6"/>
  <c r="P144" i="6"/>
  <c r="P119" i="6"/>
  <c r="M119" i="6"/>
  <c r="M144" i="6"/>
  <c r="M148" i="6"/>
  <c r="M139" i="6"/>
  <c r="M96" i="6"/>
  <c r="M12" i="6"/>
  <c r="AJ10" i="5"/>
  <c r="O6" i="6"/>
  <c r="M114" i="6"/>
  <c r="M64" i="6"/>
  <c r="M134" i="6"/>
  <c r="M149" i="6"/>
  <c r="M156" i="6"/>
  <c r="M151" i="6"/>
  <c r="M14" i="6"/>
  <c r="P74" i="6"/>
  <c r="P134" i="6"/>
  <c r="M55" i="6"/>
  <c r="P96" i="6"/>
  <c r="M90" i="6"/>
  <c r="U40" i="6"/>
  <c r="U19" i="6"/>
  <c r="K142" i="6"/>
  <c r="M142" i="6" s="1"/>
  <c r="K115" i="6"/>
  <c r="M115" i="6" s="1"/>
  <c r="U43" i="6"/>
  <c r="J26" i="6"/>
  <c r="W9" i="6" s="1"/>
  <c r="J86" i="6"/>
  <c r="W69" i="6" s="1"/>
  <c r="J101" i="6"/>
  <c r="W84" i="6" s="1"/>
  <c r="P13" i="5"/>
  <c r="U69" i="6"/>
  <c r="J128" i="6"/>
  <c r="U84" i="6"/>
  <c r="J140" i="6"/>
  <c r="M128" i="6"/>
  <c r="P12" i="6"/>
  <c r="P136" i="6"/>
  <c r="M41" i="6"/>
  <c r="M101" i="6"/>
  <c r="M86" i="6"/>
  <c r="L22" i="5"/>
  <c r="M79" i="6"/>
  <c r="M52" i="6"/>
  <c r="M33" i="6"/>
  <c r="M66" i="6"/>
  <c r="M70" i="6"/>
  <c r="M56" i="6"/>
  <c r="M40" i="6"/>
  <c r="M65" i="6"/>
  <c r="P112" i="6"/>
  <c r="M166" i="6"/>
  <c r="P146" i="6"/>
  <c r="M109" i="6"/>
  <c r="P92" i="6"/>
  <c r="P88" i="6"/>
  <c r="P103" i="6"/>
  <c r="M135" i="6"/>
  <c r="P68" i="6"/>
  <c r="P67" i="6"/>
  <c r="P53" i="6"/>
  <c r="P22" i="6"/>
  <c r="P73" i="6"/>
  <c r="P145" i="6"/>
  <c r="P140" i="6"/>
  <c r="P86" i="6"/>
  <c r="AE22" i="5"/>
  <c r="AK12" i="5"/>
  <c r="AK10" i="5"/>
  <c r="P11" i="5"/>
  <c r="P14" i="5"/>
  <c r="AE19" i="5"/>
  <c r="AK11" i="5"/>
  <c r="J30" i="6"/>
  <c r="W13" i="6" s="1"/>
  <c r="P31" i="6"/>
  <c r="M60" i="6"/>
  <c r="P118" i="6"/>
  <c r="M28" i="6"/>
  <c r="P81" i="6"/>
  <c r="M16" i="6"/>
  <c r="M132" i="6"/>
  <c r="P164" i="6"/>
  <c r="M130" i="6"/>
  <c r="P23" i="6"/>
  <c r="P37" i="6"/>
  <c r="J41" i="6"/>
  <c r="W24" i="6" s="1"/>
  <c r="AJ21" i="5"/>
  <c r="AE16" i="5"/>
  <c r="P111" i="6"/>
  <c r="P45" i="6"/>
  <c r="K162" i="6"/>
  <c r="M162" i="6" s="1"/>
  <c r="J162" i="6"/>
  <c r="K81" i="6"/>
  <c r="M81" i="6" s="1"/>
  <c r="J81" i="6"/>
  <c r="W64" i="6" s="1"/>
  <c r="K163" i="6"/>
  <c r="M163" i="6" s="1"/>
  <c r="J163" i="6"/>
  <c r="K31" i="6"/>
  <c r="M31" i="6" s="1"/>
  <c r="J31" i="6"/>
  <c r="W14" i="6" s="1"/>
  <c r="K38" i="6"/>
  <c r="M38" i="6" s="1"/>
  <c r="U21" i="6"/>
  <c r="J38" i="6"/>
  <c r="W21" i="6" s="1"/>
  <c r="J114" i="6"/>
  <c r="W97" i="6" s="1"/>
  <c r="U97" i="6"/>
  <c r="K157" i="6"/>
  <c r="M157" i="6" s="1"/>
  <c r="J157" i="6"/>
  <c r="M39" i="6"/>
  <c r="M95" i="6"/>
  <c r="J63" i="6"/>
  <c r="W46" i="6" s="1"/>
  <c r="M73" i="6"/>
  <c r="O8" i="6"/>
  <c r="M46" i="6"/>
  <c r="U64" i="6"/>
  <c r="K75" i="6"/>
  <c r="M75" i="6" s="1"/>
  <c r="P138" i="6"/>
  <c r="M91" i="6"/>
  <c r="K141" i="6"/>
  <c r="M141" i="6" s="1"/>
  <c r="J141" i="6"/>
  <c r="K98" i="6"/>
  <c r="M98" i="6" s="1"/>
  <c r="U81" i="6"/>
  <c r="M34" i="6"/>
  <c r="AE17" i="5"/>
  <c r="P19" i="5"/>
  <c r="AE12" i="5"/>
  <c r="P10" i="5"/>
  <c r="AK19" i="5"/>
  <c r="AK20" i="5"/>
  <c r="AE10" i="5"/>
  <c r="AE18" i="5"/>
  <c r="M44" i="6"/>
  <c r="M53" i="6"/>
  <c r="M21" i="6"/>
  <c r="M49" i="6"/>
  <c r="M92" i="6"/>
  <c r="P77" i="6"/>
  <c r="M51" i="6"/>
  <c r="P65" i="6"/>
  <c r="P116" i="6"/>
  <c r="P94" i="6"/>
  <c r="P127" i="6"/>
  <c r="P133" i="6"/>
  <c r="M107" i="6"/>
  <c r="P76" i="6"/>
  <c r="M61" i="6"/>
  <c r="P120" i="6"/>
  <c r="M126" i="6"/>
  <c r="P62" i="6"/>
  <c r="P56" i="6"/>
  <c r="K42" i="6"/>
  <c r="M42" i="6" s="1"/>
  <c r="J132" i="6"/>
  <c r="U85" i="6"/>
  <c r="J102" i="6"/>
  <c r="W85" i="6" s="1"/>
  <c r="J91" i="6"/>
  <c r="W74" i="6" s="1"/>
  <c r="S3" i="5"/>
  <c r="AJ20" i="5"/>
  <c r="AJ18" i="5"/>
  <c r="AJ16" i="5"/>
  <c r="AJ17" i="5"/>
  <c r="AJ14" i="5"/>
  <c r="K27" i="6"/>
  <c r="M27" i="6" s="1"/>
  <c r="P12" i="5"/>
  <c r="P22" i="5"/>
  <c r="J130" i="6"/>
  <c r="J55" i="6"/>
  <c r="W38" i="6" s="1"/>
  <c r="AJ15" i="5"/>
  <c r="AJ12" i="5"/>
  <c r="AJ19" i="5"/>
  <c r="J97" i="6"/>
  <c r="W80" i="6" s="1"/>
  <c r="U80" i="6"/>
  <c r="AJ13" i="5"/>
  <c r="U98" i="6"/>
  <c r="P16" i="5"/>
  <c r="AK22" i="5"/>
  <c r="AE13" i="5"/>
  <c r="J158" i="6"/>
  <c r="L21" i="5"/>
  <c r="U74" i="6"/>
  <c r="AK15" i="5"/>
  <c r="AE11" i="5"/>
  <c r="J107" i="6"/>
  <c r="W90" i="6" s="1"/>
  <c r="J135" i="6"/>
  <c r="N8" i="6"/>
  <c r="N6" i="6"/>
  <c r="U18" i="6"/>
  <c r="J108" i="6"/>
  <c r="W91" i="6" s="1"/>
  <c r="J24" i="6"/>
  <c r="W7" i="6" s="1"/>
  <c r="J43" i="6"/>
  <c r="W26" i="6" s="1"/>
  <c r="J105" i="6"/>
  <c r="W88" i="6" s="1"/>
  <c r="U90" i="6"/>
  <c r="J151" i="6"/>
  <c r="U88" i="6"/>
  <c r="K24" i="6"/>
  <c r="M24" i="6" s="1"/>
  <c r="J143" i="6"/>
  <c r="J156" i="6"/>
  <c r="K108" i="6"/>
  <c r="M108" i="6" s="1"/>
  <c r="AE20" i="5"/>
  <c r="J61" i="6"/>
  <c r="W44" i="6" s="1"/>
  <c r="U92" i="6"/>
  <c r="U44" i="6"/>
  <c r="U38" i="6"/>
  <c r="J16" i="6"/>
  <c r="J126" i="6"/>
  <c r="P18" i="5"/>
  <c r="J14" i="6"/>
  <c r="J89" i="6"/>
  <c r="W72" i="6" s="1"/>
  <c r="J109" i="6"/>
  <c r="W92" i="6" s="1"/>
  <c r="J166" i="6"/>
  <c r="P17" i="5"/>
  <c r="P15" i="5"/>
  <c r="AE15" i="5"/>
  <c r="P20" i="5"/>
  <c r="K35" i="6"/>
  <c r="M35" i="6" s="1"/>
  <c r="U34" i="6"/>
  <c r="J19" i="6"/>
  <c r="J82" i="6"/>
  <c r="W65" i="6" s="1"/>
  <c r="J51" i="6"/>
  <c r="W34" i="6" s="1"/>
  <c r="K82" i="6"/>
  <c r="M82" i="6" s="1"/>
  <c r="U24" i="6"/>
  <c r="K43" i="6"/>
  <c r="M43" i="6" s="1"/>
  <c r="J149" i="6"/>
  <c r="BM331" i="10"/>
  <c r="AC20" i="10"/>
  <c r="AB21" i="10"/>
  <c r="AA20" i="10"/>
  <c r="DO20" i="10"/>
  <c r="DM20" i="10"/>
  <c r="DN21" i="10"/>
  <c r="CV23" i="10"/>
  <c r="CU23" i="10" s="1"/>
  <c r="AH15" i="5"/>
  <c r="AK23" i="5"/>
  <c r="AE23" i="5"/>
  <c r="AK14" i="5"/>
  <c r="AH18" i="5"/>
  <c r="CW22" i="10"/>
  <c r="AK17" i="5"/>
  <c r="BU334" i="10"/>
  <c r="BV333" i="10"/>
  <c r="BT333" i="10"/>
  <c r="CD332" i="10"/>
  <c r="CC331" i="10"/>
  <c r="CE331" i="10"/>
  <c r="P23" i="5"/>
  <c r="BL333" i="10"/>
  <c r="BM332" i="10"/>
  <c r="BK332" i="10"/>
  <c r="K12" i="5"/>
  <c r="M12" i="5" s="1"/>
  <c r="J12" i="5"/>
  <c r="J21" i="5"/>
  <c r="W4" i="5" s="1"/>
  <c r="U4" i="5"/>
  <c r="K21" i="5"/>
  <c r="J13" i="5"/>
  <c r="K13" i="5"/>
  <c r="M13" i="5" s="1"/>
  <c r="AH13" i="5"/>
  <c r="AK21" i="5"/>
  <c r="AH22" i="5"/>
  <c r="J10" i="5"/>
  <c r="K10" i="5"/>
  <c r="M10" i="5" s="1"/>
  <c r="AH11" i="5"/>
  <c r="AH10" i="5"/>
  <c r="AH17" i="5"/>
  <c r="J15" i="5"/>
  <c r="K15" i="5"/>
  <c r="M15" i="5" s="1"/>
  <c r="AH12" i="5"/>
  <c r="AK18" i="5"/>
  <c r="J23" i="5"/>
  <c r="W6" i="5" s="1"/>
  <c r="U6" i="5"/>
  <c r="K23" i="5"/>
  <c r="K11" i="5"/>
  <c r="M11" i="5" s="1"/>
  <c r="J11" i="5"/>
  <c r="J19" i="5"/>
  <c r="K19" i="5"/>
  <c r="M19" i="5" s="1"/>
  <c r="J17" i="5"/>
  <c r="K17" i="5"/>
  <c r="M17" i="5" s="1"/>
  <c r="AH16" i="5"/>
  <c r="U5" i="5"/>
  <c r="J22" i="5"/>
  <c r="W5" i="5" s="1"/>
  <c r="K22" i="5"/>
  <c r="AH20" i="5"/>
  <c r="AH21" i="5"/>
  <c r="K14" i="5"/>
  <c r="M14" i="5" s="1"/>
  <c r="J14" i="5"/>
  <c r="K18" i="5"/>
  <c r="M18" i="5" s="1"/>
  <c r="J18" i="5"/>
  <c r="J20" i="5"/>
  <c r="W3" i="5" s="1"/>
  <c r="K20" i="5"/>
  <c r="M20" i="5" s="1"/>
  <c r="U3" i="5"/>
  <c r="K16" i="5"/>
  <c r="M16" i="5" s="1"/>
  <c r="J16" i="5"/>
  <c r="AK16" i="5"/>
  <c r="AK13" i="5"/>
  <c r="CN20" i="10"/>
  <c r="CL20" i="10"/>
  <c r="CM21" i="10"/>
  <c r="BC21" i="10"/>
  <c r="BD20" i="10"/>
  <c r="BB20" i="10"/>
  <c r="BT20" i="10"/>
  <c r="BU21" i="10"/>
  <c r="BV20" i="10"/>
  <c r="DX20" i="10"/>
  <c r="DV20" i="10"/>
  <c r="DW21" i="10"/>
  <c r="CM332" i="10"/>
  <c r="CN331" i="10"/>
  <c r="CL331" i="10"/>
  <c r="AJ20" i="10"/>
  <c r="AL20" i="10"/>
  <c r="AK21" i="10"/>
  <c r="AL332" i="10"/>
  <c r="AK333" i="10"/>
  <c r="AJ332" i="10"/>
  <c r="CD22" i="10"/>
  <c r="CC21" i="10"/>
  <c r="CE21" i="10"/>
  <c r="T9" i="11"/>
  <c r="N9" i="11"/>
  <c r="O9" i="11"/>
  <c r="R9" i="11"/>
  <c r="B10" i="11"/>
  <c r="Q9" i="11"/>
  <c r="D9" i="11"/>
  <c r="U9" i="11"/>
  <c r="L23" i="5"/>
  <c r="S6" i="5"/>
  <c r="D25" i="5"/>
  <c r="G25" i="5" s="1"/>
  <c r="V7" i="5"/>
  <c r="R7" i="5"/>
  <c r="AC24" i="5"/>
  <c r="E24" i="5"/>
  <c r="AI24" i="5"/>
  <c r="F24" i="5"/>
  <c r="O24" i="5" s="1"/>
  <c r="AU333" i="10"/>
  <c r="AS333" i="10"/>
  <c r="AT334" i="10"/>
  <c r="V8" i="11"/>
  <c r="S8" i="11"/>
  <c r="AJ22" i="5"/>
  <c r="J16" i="16" l="1"/>
  <c r="K15" i="16"/>
  <c r="G15" i="16" s="1"/>
  <c r="L15" i="16"/>
  <c r="H22" i="16"/>
  <c r="S9" i="11"/>
  <c r="DE22" i="10"/>
  <c r="DD22" i="10" s="1"/>
  <c r="DF21" i="10"/>
  <c r="M21" i="5"/>
  <c r="BK22" i="10"/>
  <c r="K24" i="5"/>
  <c r="BC333" i="10"/>
  <c r="BC334" i="10" s="1"/>
  <c r="AS23" i="10"/>
  <c r="BD332" i="10"/>
  <c r="AU23" i="10"/>
  <c r="P24" i="5"/>
  <c r="M22" i="5"/>
  <c r="U7" i="5"/>
  <c r="AE24" i="5"/>
  <c r="AL22" i="5"/>
  <c r="I25" i="5"/>
  <c r="N25" i="5" s="1"/>
  <c r="AA25" i="5"/>
  <c r="AG25" i="5"/>
  <c r="H25" i="5"/>
  <c r="BM22" i="10"/>
  <c r="AA332" i="10"/>
  <c r="AC332" i="10"/>
  <c r="AL11" i="5"/>
  <c r="AL10" i="5"/>
  <c r="P6" i="6"/>
  <c r="P8" i="6"/>
  <c r="J7" i="6"/>
  <c r="M8" i="6"/>
  <c r="CV24" i="10"/>
  <c r="CV25" i="10" s="1"/>
  <c r="AC21" i="10"/>
  <c r="AB22" i="10"/>
  <c r="AA21" i="10"/>
  <c r="DM21" i="10"/>
  <c r="DN22" i="10"/>
  <c r="DO21" i="10"/>
  <c r="AL14" i="5"/>
  <c r="CW23" i="10"/>
  <c r="BV334" i="10"/>
  <c r="BU335" i="10"/>
  <c r="BT334" i="10"/>
  <c r="CC332" i="10"/>
  <c r="CE332" i="10"/>
  <c r="CD333" i="10"/>
  <c r="BK333" i="10"/>
  <c r="BL334" i="10"/>
  <c r="BM333" i="10"/>
  <c r="M23" i="5"/>
  <c r="AL13" i="5"/>
  <c r="AL12" i="5"/>
  <c r="AL16" i="5"/>
  <c r="AL15" i="5"/>
  <c r="AL17" i="5"/>
  <c r="AL18" i="5"/>
  <c r="AL19" i="5"/>
  <c r="AL20" i="5"/>
  <c r="AL21" i="5"/>
  <c r="AJ21" i="10"/>
  <c r="AL21" i="10"/>
  <c r="AK22" i="10"/>
  <c r="DV21" i="10"/>
  <c r="DW22" i="10"/>
  <c r="DX21" i="10"/>
  <c r="BV21" i="10"/>
  <c r="BU22" i="10"/>
  <c r="BT21" i="10"/>
  <c r="BB21" i="10"/>
  <c r="BC22" i="10"/>
  <c r="BD21" i="10"/>
  <c r="CL332" i="10"/>
  <c r="CN332" i="10"/>
  <c r="CM333" i="10"/>
  <c r="CN21" i="10"/>
  <c r="CM22" i="10"/>
  <c r="CL21" i="10"/>
  <c r="AJ23" i="5"/>
  <c r="AK24" i="5"/>
  <c r="BL24" i="10"/>
  <c r="BM23" i="10"/>
  <c r="BK23" i="10"/>
  <c r="AU24" i="10"/>
  <c r="AS24" i="10"/>
  <c r="AT25" i="10"/>
  <c r="AJ333" i="10"/>
  <c r="AL333" i="10"/>
  <c r="AK334" i="10"/>
  <c r="CC22" i="10"/>
  <c r="CE22" i="10"/>
  <c r="CD23" i="10"/>
  <c r="AB334" i="10"/>
  <c r="AA333" i="10"/>
  <c r="AC333" i="10"/>
  <c r="L24" i="5"/>
  <c r="S7" i="5"/>
  <c r="D26" i="5"/>
  <c r="G26" i="5" s="1"/>
  <c r="R8" i="5"/>
  <c r="V8" i="5"/>
  <c r="F25" i="5"/>
  <c r="O25" i="5" s="1"/>
  <c r="AI25" i="5"/>
  <c r="E25" i="5"/>
  <c r="AC25" i="5"/>
  <c r="N10" i="11"/>
  <c r="O10" i="11"/>
  <c r="U10" i="11"/>
  <c r="B11" i="11"/>
  <c r="Q10" i="11"/>
  <c r="D10" i="11"/>
  <c r="T10" i="11"/>
  <c r="R10" i="11"/>
  <c r="V9" i="11"/>
  <c r="AS334" i="10"/>
  <c r="AU334" i="10"/>
  <c r="AT335" i="10"/>
  <c r="P9" i="11"/>
  <c r="J17" i="16" l="1"/>
  <c r="K16" i="16"/>
  <c r="G16" i="16" s="1"/>
  <c r="L16" i="16"/>
  <c r="H23" i="16"/>
  <c r="DE23" i="10"/>
  <c r="DF23" i="10" s="1"/>
  <c r="DF22" i="10"/>
  <c r="V10" i="11"/>
  <c r="M24" i="5"/>
  <c r="BB333" i="10"/>
  <c r="BD333" i="10"/>
  <c r="AK25" i="5"/>
  <c r="AL24" i="5" s="1"/>
  <c r="P25" i="5"/>
  <c r="AE25" i="5"/>
  <c r="CU24" i="10"/>
  <c r="K25" i="5"/>
  <c r="J25" i="5"/>
  <c r="U8" i="5"/>
  <c r="AA26" i="5"/>
  <c r="AG26" i="5"/>
  <c r="AH25" i="5" s="1"/>
  <c r="I26" i="5"/>
  <c r="N26" i="5" s="1"/>
  <c r="H26" i="5"/>
  <c r="AH24" i="5"/>
  <c r="CW24" i="10"/>
  <c r="AA22" i="10"/>
  <c r="AB23" i="10"/>
  <c r="AC22" i="10"/>
  <c r="DO22" i="10"/>
  <c r="DN23" i="10"/>
  <c r="DM22" i="10"/>
  <c r="BV335" i="10"/>
  <c r="BT335" i="10"/>
  <c r="BU336" i="10"/>
  <c r="CE333" i="10"/>
  <c r="CC333" i="10"/>
  <c r="CD334" i="10"/>
  <c r="BK334" i="10"/>
  <c r="BL335" i="10"/>
  <c r="BM334" i="10"/>
  <c r="BV22" i="10"/>
  <c r="BU23" i="10"/>
  <c r="BT22" i="10"/>
  <c r="CM23" i="10"/>
  <c r="CL22" i="10"/>
  <c r="CN22" i="10"/>
  <c r="CM334" i="10"/>
  <c r="CN333" i="10"/>
  <c r="CL333" i="10"/>
  <c r="BB22" i="10"/>
  <c r="BD22" i="10"/>
  <c r="BC23" i="10"/>
  <c r="DX22" i="10"/>
  <c r="DV22" i="10"/>
  <c r="DW23" i="10"/>
  <c r="AK23" i="10"/>
  <c r="AJ22" i="10"/>
  <c r="AL22" i="10"/>
  <c r="AL23" i="5"/>
  <c r="CV26" i="10"/>
  <c r="CU25" i="10"/>
  <c r="CW25" i="10"/>
  <c r="BL25" i="10"/>
  <c r="BM24" i="10"/>
  <c r="BK24" i="10"/>
  <c r="AS25" i="10"/>
  <c r="AU25" i="10"/>
  <c r="AT26" i="10"/>
  <c r="AA334" i="10"/>
  <c r="AC334" i="10"/>
  <c r="AB335" i="10"/>
  <c r="CC23" i="10"/>
  <c r="CD24" i="10"/>
  <c r="CE23" i="10"/>
  <c r="BC335" i="10"/>
  <c r="BD334" i="10"/>
  <c r="BB334" i="10"/>
  <c r="AK335" i="10"/>
  <c r="AJ334" i="10"/>
  <c r="AL334" i="10"/>
  <c r="AS335" i="10"/>
  <c r="AT336" i="10"/>
  <c r="AU335" i="10"/>
  <c r="S10" i="11"/>
  <c r="P10" i="11"/>
  <c r="L25" i="5"/>
  <c r="S8" i="5"/>
  <c r="D11" i="11"/>
  <c r="B12" i="11"/>
  <c r="Q11" i="11"/>
  <c r="O11" i="11"/>
  <c r="T11" i="11"/>
  <c r="R11" i="11"/>
  <c r="U11" i="11"/>
  <c r="N11" i="11"/>
  <c r="AJ24" i="5"/>
  <c r="D27" i="5"/>
  <c r="G27" i="5" s="1"/>
  <c r="R9" i="5"/>
  <c r="V9" i="5"/>
  <c r="F26" i="5"/>
  <c r="O26" i="5" s="1"/>
  <c r="AC26" i="5"/>
  <c r="E26" i="5"/>
  <c r="AI26" i="5"/>
  <c r="J18" i="16" l="1"/>
  <c r="K17" i="16"/>
  <c r="G17" i="16" s="1"/>
  <c r="L17" i="16"/>
  <c r="H24" i="16"/>
  <c r="P11" i="11"/>
  <c r="DE24" i="10"/>
  <c r="DD24" i="10" s="1"/>
  <c r="DD23" i="10"/>
  <c r="AK26" i="5"/>
  <c r="AL25" i="5" s="1"/>
  <c r="P26" i="5"/>
  <c r="M25" i="5"/>
  <c r="AE26" i="5"/>
  <c r="S11" i="11"/>
  <c r="W8" i="5"/>
  <c r="H27" i="5"/>
  <c r="AG27" i="5"/>
  <c r="I27" i="5"/>
  <c r="N27" i="5" s="1"/>
  <c r="AA27" i="5"/>
  <c r="K26" i="5"/>
  <c r="U9" i="5"/>
  <c r="J26" i="5"/>
  <c r="W9" i="5" s="1"/>
  <c r="AC23" i="10"/>
  <c r="AA23" i="10"/>
  <c r="AB24" i="10"/>
  <c r="DM23" i="10"/>
  <c r="DO23" i="10"/>
  <c r="DN24" i="10"/>
  <c r="BU337" i="10"/>
  <c r="BT336" i="10"/>
  <c r="BV336" i="10"/>
  <c r="CE334" i="10"/>
  <c r="CD335" i="10"/>
  <c r="CC334" i="10"/>
  <c r="BM335" i="10"/>
  <c r="BL336" i="10"/>
  <c r="BK335" i="10"/>
  <c r="AL23" i="10"/>
  <c r="AK24" i="10"/>
  <c r="AJ23" i="10"/>
  <c r="BC24" i="10"/>
  <c r="BD23" i="10"/>
  <c r="BB23" i="10"/>
  <c r="CM24" i="10"/>
  <c r="CN23" i="10"/>
  <c r="CL23" i="10"/>
  <c r="BU24" i="10"/>
  <c r="BT23" i="10"/>
  <c r="BV23" i="10"/>
  <c r="DW24" i="10"/>
  <c r="DV23" i="10"/>
  <c r="DX23" i="10"/>
  <c r="CL334" i="10"/>
  <c r="CN334" i="10"/>
  <c r="CM335" i="10"/>
  <c r="BL26" i="10"/>
  <c r="BK25" i="10"/>
  <c r="BM25" i="10"/>
  <c r="CU26" i="10"/>
  <c r="CW26" i="10"/>
  <c r="CV27" i="10"/>
  <c r="AU26" i="10"/>
  <c r="AS26" i="10"/>
  <c r="AT27" i="10"/>
  <c r="AL335" i="10"/>
  <c r="AJ335" i="10"/>
  <c r="AK336" i="10"/>
  <c r="BC336" i="10"/>
  <c r="BB335" i="10"/>
  <c r="BD335" i="10"/>
  <c r="CD25" i="10"/>
  <c r="CE24" i="10"/>
  <c r="CC24" i="10"/>
  <c r="AA335" i="10"/>
  <c r="AB336" i="10"/>
  <c r="AC335" i="10"/>
  <c r="L26" i="5"/>
  <c r="S9" i="5"/>
  <c r="R12" i="11"/>
  <c r="N12" i="11"/>
  <c r="B13" i="11"/>
  <c r="D12" i="11"/>
  <c r="Q12" i="11"/>
  <c r="O12" i="11"/>
  <c r="U12" i="11"/>
  <c r="T12" i="11"/>
  <c r="AJ25" i="5"/>
  <c r="D28" i="5"/>
  <c r="G28" i="5" s="1"/>
  <c r="R10" i="5"/>
  <c r="V10" i="5"/>
  <c r="AC27" i="5"/>
  <c r="F27" i="5"/>
  <c r="O27" i="5" s="1"/>
  <c r="E27" i="5"/>
  <c r="AI27" i="5"/>
  <c r="V11" i="11"/>
  <c r="AT337" i="10"/>
  <c r="AU336" i="10"/>
  <c r="AS336" i="10"/>
  <c r="J19" i="16" l="1"/>
  <c r="K18" i="16"/>
  <c r="G18" i="16" s="1"/>
  <c r="L18" i="16"/>
  <c r="H25" i="16"/>
  <c r="DE25" i="10"/>
  <c r="DD25" i="10" s="1"/>
  <c r="DF24" i="10"/>
  <c r="S12" i="11"/>
  <c r="P27" i="5"/>
  <c r="AE27" i="5"/>
  <c r="M26" i="5"/>
  <c r="AK27" i="5"/>
  <c r="AL26" i="5" s="1"/>
  <c r="U10" i="5"/>
  <c r="J27" i="5"/>
  <c r="W10" i="5" s="1"/>
  <c r="K27" i="5"/>
  <c r="I28" i="5"/>
  <c r="N28" i="5" s="1"/>
  <c r="AG28" i="5"/>
  <c r="H28" i="5"/>
  <c r="AA28" i="5"/>
  <c r="AH26" i="5"/>
  <c r="AB25" i="10"/>
  <c r="AA24" i="10"/>
  <c r="AC24" i="10"/>
  <c r="DO24" i="10"/>
  <c r="DN25" i="10"/>
  <c r="DM24" i="10"/>
  <c r="BV337" i="10"/>
  <c r="BT337" i="10"/>
  <c r="BU338" i="10"/>
  <c r="CC335" i="10"/>
  <c r="CE335" i="10"/>
  <c r="CD336" i="10"/>
  <c r="BM336" i="10"/>
  <c r="BL337" i="10"/>
  <c r="BK336" i="10"/>
  <c r="CM336" i="10"/>
  <c r="CN335" i="10"/>
  <c r="CL335" i="10"/>
  <c r="BU25" i="10"/>
  <c r="BT24" i="10"/>
  <c r="BV24" i="10"/>
  <c r="BC25" i="10"/>
  <c r="BD24" i="10"/>
  <c r="BB24" i="10"/>
  <c r="AK25" i="10"/>
  <c r="AJ24" i="10"/>
  <c r="AL24" i="10"/>
  <c r="DV24" i="10"/>
  <c r="DW25" i="10"/>
  <c r="DX24" i="10"/>
  <c r="CN24" i="10"/>
  <c r="CL24" i="10"/>
  <c r="CM25" i="10"/>
  <c r="CU27" i="10"/>
  <c r="CW27" i="10"/>
  <c r="CV28" i="10"/>
  <c r="BM26" i="10"/>
  <c r="BK26" i="10"/>
  <c r="BL27" i="10"/>
  <c r="AS27" i="10"/>
  <c r="AT28" i="10"/>
  <c r="AU27" i="10"/>
  <c r="AB337" i="10"/>
  <c r="AC336" i="10"/>
  <c r="AA336" i="10"/>
  <c r="CC25" i="10"/>
  <c r="CE25" i="10"/>
  <c r="CD26" i="10"/>
  <c r="AJ336" i="10"/>
  <c r="AL336" i="10"/>
  <c r="AK337" i="10"/>
  <c r="BC337" i="10"/>
  <c r="BB336" i="10"/>
  <c r="BD336" i="10"/>
  <c r="AS337" i="10"/>
  <c r="AU337" i="10"/>
  <c r="AT338" i="10"/>
  <c r="D29" i="5"/>
  <c r="G29" i="5" s="1"/>
  <c r="V11" i="5"/>
  <c r="R11" i="5"/>
  <c r="AI28" i="5"/>
  <c r="F28" i="5"/>
  <c r="O28" i="5" s="1"/>
  <c r="AC28" i="5"/>
  <c r="E28" i="5"/>
  <c r="O13" i="11"/>
  <c r="D13" i="11"/>
  <c r="R13" i="11"/>
  <c r="U13" i="11"/>
  <c r="T13" i="11"/>
  <c r="Q13" i="11"/>
  <c r="N13" i="11"/>
  <c r="B14" i="11"/>
  <c r="AJ26" i="5"/>
  <c r="L27" i="5"/>
  <c r="S10" i="5"/>
  <c r="V12" i="11"/>
  <c r="P12" i="11"/>
  <c r="V13" i="11" l="1"/>
  <c r="J20" i="16"/>
  <c r="K19" i="16"/>
  <c r="G19" i="16" s="1"/>
  <c r="L19" i="16"/>
  <c r="H26" i="16"/>
  <c r="DF25" i="10"/>
  <c r="DE26" i="10"/>
  <c r="DE27" i="10" s="1"/>
  <c r="DF27" i="10" s="1"/>
  <c r="P13" i="11"/>
  <c r="P28" i="5"/>
  <c r="AK28" i="5"/>
  <c r="AL27" i="5" s="1"/>
  <c r="AE28" i="5"/>
  <c r="M27" i="5"/>
  <c r="AA29" i="5"/>
  <c r="H29" i="5"/>
  <c r="AG29" i="5"/>
  <c r="I29" i="5"/>
  <c r="N29" i="5" s="1"/>
  <c r="U11" i="5"/>
  <c r="K28" i="5"/>
  <c r="J28" i="5"/>
  <c r="AH27" i="5"/>
  <c r="AJ27" i="5"/>
  <c r="AB26" i="10"/>
  <c r="AA25" i="10"/>
  <c r="AC25" i="10"/>
  <c r="DM25" i="10"/>
  <c r="DN26" i="10"/>
  <c r="DO25" i="10"/>
  <c r="BU339" i="10"/>
  <c r="BV338" i="10"/>
  <c r="BT338" i="10"/>
  <c r="CE336" i="10"/>
  <c r="CD337" i="10"/>
  <c r="CC336" i="10"/>
  <c r="BM337" i="10"/>
  <c r="BL338" i="10"/>
  <c r="BK337" i="10"/>
  <c r="CL25" i="10"/>
  <c r="CM26" i="10"/>
  <c r="CN25" i="10"/>
  <c r="DX25" i="10"/>
  <c r="DV25" i="10"/>
  <c r="DW26" i="10"/>
  <c r="AJ25" i="10"/>
  <c r="AK26" i="10"/>
  <c r="AL25" i="10"/>
  <c r="BU26" i="10"/>
  <c r="BV25" i="10"/>
  <c r="BT25" i="10"/>
  <c r="BD25" i="10"/>
  <c r="BB25" i="10"/>
  <c r="BC26" i="10"/>
  <c r="CM337" i="10"/>
  <c r="CL336" i="10"/>
  <c r="CN336" i="10"/>
  <c r="BL28" i="10"/>
  <c r="BM27" i="10"/>
  <c r="BK27" i="10"/>
  <c r="CU28" i="10"/>
  <c r="CW28" i="10"/>
  <c r="CV29" i="10"/>
  <c r="AT29" i="10"/>
  <c r="AS28" i="10"/>
  <c r="AU28" i="10"/>
  <c r="AA337" i="10"/>
  <c r="AB338" i="10"/>
  <c r="AC337" i="10"/>
  <c r="BD337" i="10"/>
  <c r="BC338" i="10"/>
  <c r="BB337" i="10"/>
  <c r="AJ337" i="10"/>
  <c r="AL337" i="10"/>
  <c r="AK338" i="10"/>
  <c r="CE26" i="10"/>
  <c r="CD27" i="10"/>
  <c r="CC26" i="10"/>
  <c r="O14" i="11"/>
  <c r="N14" i="11"/>
  <c r="P14" i="11" s="1"/>
  <c r="B15" i="11"/>
  <c r="D14" i="11"/>
  <c r="T14" i="11"/>
  <c r="R14" i="11"/>
  <c r="U14" i="11"/>
  <c r="Q14" i="11"/>
  <c r="S13" i="11"/>
  <c r="L28" i="5"/>
  <c r="S11" i="5"/>
  <c r="V12" i="5"/>
  <c r="R12" i="5"/>
  <c r="D30" i="5"/>
  <c r="G30" i="5" s="1"/>
  <c r="E29" i="5"/>
  <c r="F29" i="5"/>
  <c r="O29" i="5" s="1"/>
  <c r="AC29" i="5"/>
  <c r="AI29" i="5"/>
  <c r="AU338" i="10"/>
  <c r="AT339" i="10"/>
  <c r="AS338" i="10"/>
  <c r="J21" i="16" l="1"/>
  <c r="L20" i="16"/>
  <c r="K20" i="16"/>
  <c r="G20" i="16" s="1"/>
  <c r="H27" i="16"/>
  <c r="DE28" i="10"/>
  <c r="DE29" i="10" s="1"/>
  <c r="DD26" i="10"/>
  <c r="DD27" i="10"/>
  <c r="DF26" i="10"/>
  <c r="S14" i="11"/>
  <c r="P29" i="5"/>
  <c r="M28" i="5"/>
  <c r="AE29" i="5"/>
  <c r="AA30" i="5"/>
  <c r="I30" i="5"/>
  <c r="N30" i="5" s="1"/>
  <c r="H30" i="5"/>
  <c r="AG30" i="5"/>
  <c r="W11" i="5"/>
  <c r="J29" i="5"/>
  <c r="W12" i="5" s="1"/>
  <c r="U12" i="5"/>
  <c r="K29" i="5"/>
  <c r="AH28" i="5"/>
  <c r="AB27" i="10"/>
  <c r="AA26" i="10"/>
  <c r="AC26" i="10"/>
  <c r="DN27" i="10"/>
  <c r="DO26" i="10"/>
  <c r="DM26" i="10"/>
  <c r="BV339" i="10"/>
  <c r="BU340" i="10"/>
  <c r="BT339" i="10"/>
  <c r="CC337" i="10"/>
  <c r="CD338" i="10"/>
  <c r="CE337" i="10"/>
  <c r="BM338" i="10"/>
  <c r="BL339" i="10"/>
  <c r="BK338" i="10"/>
  <c r="CM338" i="10"/>
  <c r="CL337" i="10"/>
  <c r="CN337" i="10"/>
  <c r="BV26" i="10"/>
  <c r="BT26" i="10"/>
  <c r="BU27" i="10"/>
  <c r="AK27" i="10"/>
  <c r="AL26" i="10"/>
  <c r="AJ26" i="10"/>
  <c r="DW27" i="10"/>
  <c r="DX26" i="10"/>
  <c r="DV26" i="10"/>
  <c r="CL26" i="10"/>
  <c r="CM27" i="10"/>
  <c r="CN26" i="10"/>
  <c r="BB26" i="10"/>
  <c r="BC27" i="10"/>
  <c r="BD26" i="10"/>
  <c r="AJ28" i="5"/>
  <c r="AK29" i="5"/>
  <c r="CV30" i="10"/>
  <c r="CW29" i="10"/>
  <c r="CU29" i="10"/>
  <c r="BL29" i="10"/>
  <c r="BK28" i="10"/>
  <c r="BM28" i="10"/>
  <c r="AU29" i="10"/>
  <c r="AT30" i="10"/>
  <c r="AS29" i="10"/>
  <c r="CD28" i="10"/>
  <c r="CC27" i="10"/>
  <c r="CE27" i="10"/>
  <c r="BB338" i="10"/>
  <c r="BC339" i="10"/>
  <c r="BD338" i="10"/>
  <c r="AB339" i="10"/>
  <c r="AC338" i="10"/>
  <c r="AA338" i="10"/>
  <c r="AK339" i="10"/>
  <c r="AJ338" i="10"/>
  <c r="AL338" i="10"/>
  <c r="AU339" i="10"/>
  <c r="AS339" i="10"/>
  <c r="AT340" i="10"/>
  <c r="V13" i="5"/>
  <c r="R13" i="5"/>
  <c r="D31" i="5"/>
  <c r="G31" i="5" s="1"/>
  <c r="F30" i="5"/>
  <c r="O30" i="5" s="1"/>
  <c r="AC30" i="5"/>
  <c r="E30" i="5"/>
  <c r="AI30" i="5"/>
  <c r="V14" i="11"/>
  <c r="D15" i="11"/>
  <c r="B16" i="11"/>
  <c r="U15" i="11"/>
  <c r="Q15" i="11"/>
  <c r="T15" i="11"/>
  <c r="O15" i="11"/>
  <c r="N15" i="11"/>
  <c r="R15" i="11"/>
  <c r="L29" i="5"/>
  <c r="S12" i="5"/>
  <c r="J22" i="16" l="1"/>
  <c r="L21" i="16"/>
  <c r="K21" i="16"/>
  <c r="G21" i="16" s="1"/>
  <c r="H28" i="16"/>
  <c r="DD28" i="10"/>
  <c r="V15" i="11"/>
  <c r="M29" i="5"/>
  <c r="DF28" i="10"/>
  <c r="AK30" i="5"/>
  <c r="AL29" i="5" s="1"/>
  <c r="P30" i="5"/>
  <c r="AE30" i="5"/>
  <c r="H31" i="5"/>
  <c r="AA31" i="5"/>
  <c r="I31" i="5"/>
  <c r="N31" i="5" s="1"/>
  <c r="AG31" i="5"/>
  <c r="AH29" i="5"/>
  <c r="U13" i="5"/>
  <c r="K30" i="5"/>
  <c r="J30" i="5"/>
  <c r="W13" i="5" s="1"/>
  <c r="AA27" i="10"/>
  <c r="AC27" i="10"/>
  <c r="AB28" i="10"/>
  <c r="DM27" i="10"/>
  <c r="DO27" i="10"/>
  <c r="DN28" i="10"/>
  <c r="BV340" i="10"/>
  <c r="BU341" i="10"/>
  <c r="BT340" i="10"/>
  <c r="CC338" i="10"/>
  <c r="CD339" i="10"/>
  <c r="CE338" i="10"/>
  <c r="BM339" i="10"/>
  <c r="BL340" i="10"/>
  <c r="BK339" i="10"/>
  <c r="CM28" i="10"/>
  <c r="CN27" i="10"/>
  <c r="CL27" i="10"/>
  <c r="DX27" i="10"/>
  <c r="DW28" i="10"/>
  <c r="DV27" i="10"/>
  <c r="BU28" i="10"/>
  <c r="BT27" i="10"/>
  <c r="BV27" i="10"/>
  <c r="BD27" i="10"/>
  <c r="BB27" i="10"/>
  <c r="BC28" i="10"/>
  <c r="AL27" i="10"/>
  <c r="AJ27" i="10"/>
  <c r="AK28" i="10"/>
  <c r="CN338" i="10"/>
  <c r="CL338" i="10"/>
  <c r="CM339" i="10"/>
  <c r="AL28" i="5"/>
  <c r="BK29" i="10"/>
  <c r="BM29" i="10"/>
  <c r="BL30" i="10"/>
  <c r="CW30" i="10"/>
  <c r="CU30" i="10"/>
  <c r="CV31" i="10"/>
  <c r="AS30" i="10"/>
  <c r="AU30" i="10"/>
  <c r="AT31" i="10"/>
  <c r="AJ339" i="10"/>
  <c r="AK340" i="10"/>
  <c r="AL339" i="10"/>
  <c r="CE28" i="10"/>
  <c r="CC28" i="10"/>
  <c r="CD29" i="10"/>
  <c r="P15" i="11"/>
  <c r="AA339" i="10"/>
  <c r="AC339" i="10"/>
  <c r="AB340" i="10"/>
  <c r="BB339" i="10"/>
  <c r="BD339" i="10"/>
  <c r="BC340" i="10"/>
  <c r="DF29" i="10"/>
  <c r="DD29" i="10"/>
  <c r="DE30" i="10"/>
  <c r="S15" i="11"/>
  <c r="R16" i="11"/>
  <c r="O16" i="11"/>
  <c r="N16" i="11"/>
  <c r="D16" i="11"/>
  <c r="Q16" i="11"/>
  <c r="U16" i="11"/>
  <c r="B17" i="11"/>
  <c r="T16" i="11"/>
  <c r="L30" i="5"/>
  <c r="S13" i="5"/>
  <c r="AS340" i="10"/>
  <c r="AT341" i="10"/>
  <c r="AU340" i="10"/>
  <c r="AJ29" i="5"/>
  <c r="V14" i="5"/>
  <c r="D32" i="5"/>
  <c r="G32" i="5" s="1"/>
  <c r="R14" i="5"/>
  <c r="AI31" i="5"/>
  <c r="E31" i="5"/>
  <c r="AC31" i="5"/>
  <c r="F31" i="5"/>
  <c r="O31" i="5" s="1"/>
  <c r="J23" i="16" l="1"/>
  <c r="K22" i="16"/>
  <c r="G22" i="16" s="1"/>
  <c r="L22" i="16"/>
  <c r="H29" i="16"/>
  <c r="V16" i="11"/>
  <c r="S16" i="11"/>
  <c r="P31" i="5"/>
  <c r="M30" i="5"/>
  <c r="AE31" i="5"/>
  <c r="AK31" i="5"/>
  <c r="AL30" i="5" s="1"/>
  <c r="I32" i="5"/>
  <c r="N32" i="5" s="1"/>
  <c r="AA32" i="5"/>
  <c r="AG32" i="5"/>
  <c r="H32" i="5"/>
  <c r="AH30" i="5"/>
  <c r="K31" i="5"/>
  <c r="J31" i="5"/>
  <c r="U14" i="5"/>
  <c r="AB29" i="10"/>
  <c r="AA28" i="10"/>
  <c r="AC28" i="10"/>
  <c r="DN29" i="10"/>
  <c r="DM28" i="10"/>
  <c r="DO28" i="10"/>
  <c r="BT341" i="10"/>
  <c r="BU342" i="10"/>
  <c r="BV341" i="10"/>
  <c r="CD340" i="10"/>
  <c r="CE339" i="10"/>
  <c r="CC339" i="10"/>
  <c r="BM340" i="10"/>
  <c r="BL341" i="10"/>
  <c r="BK340" i="10"/>
  <c r="CN339" i="10"/>
  <c r="CM340" i="10"/>
  <c r="CL339" i="10"/>
  <c r="BB28" i="10"/>
  <c r="BC29" i="10"/>
  <c r="BD28" i="10"/>
  <c r="AJ28" i="10"/>
  <c r="AL28" i="10"/>
  <c r="AK29" i="10"/>
  <c r="BV28" i="10"/>
  <c r="BT28" i="10"/>
  <c r="BU29" i="10"/>
  <c r="DV28" i="10"/>
  <c r="DX28" i="10"/>
  <c r="DW29" i="10"/>
  <c r="CN28" i="10"/>
  <c r="CM29" i="10"/>
  <c r="CL28" i="10"/>
  <c r="CU31" i="10"/>
  <c r="CV32" i="10"/>
  <c r="CW31" i="10"/>
  <c r="BL31" i="10"/>
  <c r="BM30" i="10"/>
  <c r="BK30" i="10"/>
  <c r="AT32" i="10"/>
  <c r="AS31" i="10"/>
  <c r="AU31" i="10"/>
  <c r="DD30" i="10"/>
  <c r="DF30" i="10"/>
  <c r="DE31" i="10"/>
  <c r="AC340" i="10"/>
  <c r="AA340" i="10"/>
  <c r="AB341" i="10"/>
  <c r="AK341" i="10"/>
  <c r="AL340" i="10"/>
  <c r="AJ340" i="10"/>
  <c r="BB340" i="10"/>
  <c r="BD340" i="10"/>
  <c r="BC341" i="10"/>
  <c r="CD30" i="10"/>
  <c r="CC29" i="10"/>
  <c r="CE29" i="10"/>
  <c r="L31" i="5"/>
  <c r="S14" i="5"/>
  <c r="D17" i="11"/>
  <c r="B18" i="11"/>
  <c r="O17" i="11"/>
  <c r="R17" i="11"/>
  <c r="U17" i="11"/>
  <c r="Q17" i="11"/>
  <c r="T17" i="11"/>
  <c r="V17" i="11" s="1"/>
  <c r="N17" i="11"/>
  <c r="P16" i="11"/>
  <c r="V15" i="5"/>
  <c r="D33" i="5"/>
  <c r="G33" i="5" s="1"/>
  <c r="R15" i="5"/>
  <c r="F32" i="5"/>
  <c r="O32" i="5" s="1"/>
  <c r="AC32" i="5"/>
  <c r="E32" i="5"/>
  <c r="AI32" i="5"/>
  <c r="AS341" i="10"/>
  <c r="AU341" i="10"/>
  <c r="AT342" i="10"/>
  <c r="AJ30" i="5"/>
  <c r="J24" i="16" l="1"/>
  <c r="K23" i="16"/>
  <c r="G23" i="16" s="1"/>
  <c r="L23" i="16"/>
  <c r="H30" i="16"/>
  <c r="S17" i="11"/>
  <c r="P17" i="11"/>
  <c r="P32" i="5"/>
  <c r="AE32" i="5"/>
  <c r="M31" i="5"/>
  <c r="AK32" i="5"/>
  <c r="AL31" i="5" s="1"/>
  <c r="AA33" i="5"/>
  <c r="AG33" i="5"/>
  <c r="I33" i="5"/>
  <c r="N33" i="5" s="1"/>
  <c r="H33" i="5"/>
  <c r="W14" i="5"/>
  <c r="K32" i="5"/>
  <c r="J32" i="5"/>
  <c r="W15" i="5" s="1"/>
  <c r="U15" i="5"/>
  <c r="AH31" i="5"/>
  <c r="AC29" i="10"/>
  <c r="AA29" i="10"/>
  <c r="AB30" i="10"/>
  <c r="DO29" i="10"/>
  <c r="DN30" i="10"/>
  <c r="DM29" i="10"/>
  <c r="BU343" i="10"/>
  <c r="BT342" i="10"/>
  <c r="BV342" i="10"/>
  <c r="CC340" i="10"/>
  <c r="CE340" i="10"/>
  <c r="CD341" i="10"/>
  <c r="BM341" i="10"/>
  <c r="BK341" i="10"/>
  <c r="BL342" i="10"/>
  <c r="BT29" i="10"/>
  <c r="BU30" i="10"/>
  <c r="BV29" i="10"/>
  <c r="CM341" i="10"/>
  <c r="CL340" i="10"/>
  <c r="CN340" i="10"/>
  <c r="CM30" i="10"/>
  <c r="CL29" i="10"/>
  <c r="CN29" i="10"/>
  <c r="DX29" i="10"/>
  <c r="DW30" i="10"/>
  <c r="DV29" i="10"/>
  <c r="AJ29" i="10"/>
  <c r="AK30" i="10"/>
  <c r="AL29" i="10"/>
  <c r="BB29" i="10"/>
  <c r="BD29" i="10"/>
  <c r="BC30" i="10"/>
  <c r="BK31" i="10"/>
  <c r="BL32" i="10"/>
  <c r="BM31" i="10"/>
  <c r="CW32" i="10"/>
  <c r="CU32" i="10"/>
  <c r="CV33" i="10"/>
  <c r="AT33" i="10"/>
  <c r="AS32" i="10"/>
  <c r="AU32" i="10"/>
  <c r="DF31" i="10"/>
  <c r="DE32" i="10"/>
  <c r="DD31" i="10"/>
  <c r="CC30" i="10"/>
  <c r="CD31" i="10"/>
  <c r="CE30" i="10"/>
  <c r="BC342" i="10"/>
  <c r="BB341" i="10"/>
  <c r="BD341" i="10"/>
  <c r="AK342" i="10"/>
  <c r="AJ341" i="10"/>
  <c r="AL341" i="10"/>
  <c r="AA341" i="10"/>
  <c r="AC341" i="10"/>
  <c r="AB342" i="10"/>
  <c r="R18" i="11"/>
  <c r="O18" i="11"/>
  <c r="Q18" i="11"/>
  <c r="B19" i="11"/>
  <c r="D18" i="11"/>
  <c r="U18" i="11"/>
  <c r="T18" i="11"/>
  <c r="N18" i="11"/>
  <c r="AS342" i="10"/>
  <c r="AT343" i="10"/>
  <c r="AU342" i="10"/>
  <c r="L32" i="5"/>
  <c r="S15" i="5"/>
  <c r="V16" i="5"/>
  <c r="D34" i="5"/>
  <c r="G34" i="5" s="1"/>
  <c r="R16" i="5"/>
  <c r="F33" i="5"/>
  <c r="O33" i="5" s="1"/>
  <c r="E33" i="5"/>
  <c r="AI33" i="5"/>
  <c r="AC33" i="5"/>
  <c r="AJ31" i="5"/>
  <c r="J25" i="16" l="1"/>
  <c r="L24" i="16"/>
  <c r="K24" i="16"/>
  <c r="G24" i="16" s="1"/>
  <c r="H31" i="16"/>
  <c r="M32" i="5"/>
  <c r="P18" i="11"/>
  <c r="V18" i="11"/>
  <c r="S18" i="11"/>
  <c r="P33" i="5"/>
  <c r="AE33" i="5"/>
  <c r="H34" i="5"/>
  <c r="I34" i="5"/>
  <c r="N34" i="5" s="1"/>
  <c r="AA34" i="5"/>
  <c r="AG34" i="5"/>
  <c r="U16" i="5"/>
  <c r="J33" i="5"/>
  <c r="W16" i="5" s="1"/>
  <c r="K33" i="5"/>
  <c r="AH32" i="5"/>
  <c r="AA30" i="10"/>
  <c r="AC30" i="10"/>
  <c r="AB31" i="10"/>
  <c r="DM30" i="10"/>
  <c r="DN31" i="10"/>
  <c r="DO30" i="10"/>
  <c r="BV343" i="10"/>
  <c r="BT343" i="10"/>
  <c r="BU344" i="10"/>
  <c r="CC341" i="10"/>
  <c r="CE341" i="10"/>
  <c r="CD342" i="10"/>
  <c r="BM342" i="10"/>
  <c r="BL343" i="10"/>
  <c r="BK342" i="10"/>
  <c r="BB30" i="10"/>
  <c r="BC31" i="10"/>
  <c r="BD30" i="10"/>
  <c r="AL30" i="10"/>
  <c r="AK31" i="10"/>
  <c r="AJ30" i="10"/>
  <c r="CN341" i="10"/>
  <c r="CM342" i="10"/>
  <c r="CL341" i="10"/>
  <c r="BU31" i="10"/>
  <c r="BV30" i="10"/>
  <c r="BT30" i="10"/>
  <c r="DV30" i="10"/>
  <c r="DX30" i="10"/>
  <c r="DW31" i="10"/>
  <c r="CM31" i="10"/>
  <c r="CL30" i="10"/>
  <c r="CN30" i="10"/>
  <c r="AJ32" i="5"/>
  <c r="AK33" i="5"/>
  <c r="CU33" i="10"/>
  <c r="CV34" i="10"/>
  <c r="CW33" i="10"/>
  <c r="BK32" i="10"/>
  <c r="BL33" i="10"/>
  <c r="BM32" i="10"/>
  <c r="AU33" i="10"/>
  <c r="AT34" i="10"/>
  <c r="AS33" i="10"/>
  <c r="AC342" i="10"/>
  <c r="AA342" i="10"/>
  <c r="AB343" i="10"/>
  <c r="BC343" i="10"/>
  <c r="BD342" i="10"/>
  <c r="BB342" i="10"/>
  <c r="DD32" i="10"/>
  <c r="DE33" i="10"/>
  <c r="DF32" i="10"/>
  <c r="AL342" i="10"/>
  <c r="AJ342" i="10"/>
  <c r="AK343" i="10"/>
  <c r="CC31" i="10"/>
  <c r="CE31" i="10"/>
  <c r="CD32" i="10"/>
  <c r="V17" i="5"/>
  <c r="D35" i="5"/>
  <c r="G35" i="5" s="1"/>
  <c r="R17" i="5"/>
  <c r="F34" i="5"/>
  <c r="O34" i="5" s="1"/>
  <c r="AC34" i="5"/>
  <c r="AI34" i="5"/>
  <c r="E34" i="5"/>
  <c r="AS343" i="10"/>
  <c r="AT344" i="10"/>
  <c r="AU343" i="10"/>
  <c r="T19" i="11"/>
  <c r="N19" i="11"/>
  <c r="R19" i="11"/>
  <c r="O19" i="11"/>
  <c r="B20" i="11"/>
  <c r="U19" i="11"/>
  <c r="D19" i="11"/>
  <c r="Q19" i="11"/>
  <c r="S16" i="5"/>
  <c r="L33" i="5"/>
  <c r="J26" i="16" l="1"/>
  <c r="K25" i="16"/>
  <c r="G25" i="16" s="1"/>
  <c r="L25" i="16"/>
  <c r="H32" i="16"/>
  <c r="M33" i="5"/>
  <c r="P34" i="5"/>
  <c r="AE34" i="5"/>
  <c r="H35" i="5"/>
  <c r="I35" i="5"/>
  <c r="N35" i="5" s="1"/>
  <c r="AA35" i="5"/>
  <c r="AG35" i="5"/>
  <c r="AH33" i="5"/>
  <c r="V19" i="11"/>
  <c r="K34" i="5"/>
  <c r="J34" i="5"/>
  <c r="W17" i="5" s="1"/>
  <c r="U17" i="5"/>
  <c r="AC31" i="10"/>
  <c r="AA31" i="10"/>
  <c r="AB32" i="10"/>
  <c r="DO31" i="10"/>
  <c r="DM31" i="10"/>
  <c r="DN32" i="10"/>
  <c r="BT344" i="10"/>
  <c r="BV344" i="10"/>
  <c r="BU345" i="10"/>
  <c r="CC342" i="10"/>
  <c r="CE342" i="10"/>
  <c r="CD343" i="10"/>
  <c r="BM343" i="10"/>
  <c r="BL344" i="10"/>
  <c r="BK343" i="10"/>
  <c r="CM32" i="10"/>
  <c r="CN31" i="10"/>
  <c r="CL31" i="10"/>
  <c r="BT31" i="10"/>
  <c r="BV31" i="10"/>
  <c r="BU32" i="10"/>
  <c r="CN342" i="10"/>
  <c r="CM343" i="10"/>
  <c r="CL342" i="10"/>
  <c r="BD31" i="10"/>
  <c r="BC32" i="10"/>
  <c r="BB31" i="10"/>
  <c r="DV31" i="10"/>
  <c r="DW32" i="10"/>
  <c r="DX31" i="10"/>
  <c r="AL31" i="10"/>
  <c r="AJ31" i="10"/>
  <c r="AK32" i="10"/>
  <c r="AJ33" i="5"/>
  <c r="AK34" i="5"/>
  <c r="AL33" i="5" s="1"/>
  <c r="AL32" i="5"/>
  <c r="BL34" i="10"/>
  <c r="BM33" i="10"/>
  <c r="BK33" i="10"/>
  <c r="CW34" i="10"/>
  <c r="CU34" i="10"/>
  <c r="CV35" i="10"/>
  <c r="AS34" i="10"/>
  <c r="AT35" i="10"/>
  <c r="AU34" i="10"/>
  <c r="AK344" i="10"/>
  <c r="AL343" i="10"/>
  <c r="AJ343" i="10"/>
  <c r="DD33" i="10"/>
  <c r="DE34" i="10"/>
  <c r="DF33" i="10"/>
  <c r="AC343" i="10"/>
  <c r="AB344" i="10"/>
  <c r="AA343" i="10"/>
  <c r="CC32" i="10"/>
  <c r="CE32" i="10"/>
  <c r="CD33" i="10"/>
  <c r="BC344" i="10"/>
  <c r="BB343" i="10"/>
  <c r="BD343" i="10"/>
  <c r="S19" i="11"/>
  <c r="P19" i="11"/>
  <c r="AT345" i="10"/>
  <c r="AS344" i="10"/>
  <c r="AU344" i="10"/>
  <c r="V18" i="5"/>
  <c r="R18" i="5"/>
  <c r="D36" i="5"/>
  <c r="G36" i="5" s="1"/>
  <c r="F35" i="5"/>
  <c r="O35" i="5" s="1"/>
  <c r="E35" i="5"/>
  <c r="AC35" i="5"/>
  <c r="AI35" i="5"/>
  <c r="B21" i="11"/>
  <c r="R20" i="11"/>
  <c r="Q20" i="11"/>
  <c r="D20" i="11"/>
  <c r="T20" i="11"/>
  <c r="O20" i="11"/>
  <c r="U20" i="11"/>
  <c r="N20" i="11"/>
  <c r="L34" i="5"/>
  <c r="S17" i="5"/>
  <c r="P20" i="11" l="1"/>
  <c r="J27" i="16"/>
  <c r="K26" i="16"/>
  <c r="G26" i="16" s="1"/>
  <c r="L26" i="16"/>
  <c r="H33" i="16"/>
  <c r="AE35" i="5"/>
  <c r="AK35" i="5"/>
  <c r="AL34" i="5" s="1"/>
  <c r="AG36" i="5"/>
  <c r="AH35" i="5" s="1"/>
  <c r="AA36" i="5"/>
  <c r="H36" i="5"/>
  <c r="I36" i="5"/>
  <c r="N36" i="5" s="1"/>
  <c r="AH34" i="5"/>
  <c r="M34" i="5"/>
  <c r="P35" i="5"/>
  <c r="J35" i="5"/>
  <c r="W18" i="5" s="1"/>
  <c r="K35" i="5"/>
  <c r="U18" i="5"/>
  <c r="AC32" i="10"/>
  <c r="AA32" i="10"/>
  <c r="AB33" i="10"/>
  <c r="DO32" i="10"/>
  <c r="DN33" i="10"/>
  <c r="DM32" i="10"/>
  <c r="BT345" i="10"/>
  <c r="BU346" i="10"/>
  <c r="BV345" i="10"/>
  <c r="CD344" i="10"/>
  <c r="CE343" i="10"/>
  <c r="CC343" i="10"/>
  <c r="BL345" i="10"/>
  <c r="BK344" i="10"/>
  <c r="BM344" i="10"/>
  <c r="AL32" i="10"/>
  <c r="AJ32" i="10"/>
  <c r="AK33" i="10"/>
  <c r="DW33" i="10"/>
  <c r="DV32" i="10"/>
  <c r="DX32" i="10"/>
  <c r="CM344" i="10"/>
  <c r="CN343" i="10"/>
  <c r="CL343" i="10"/>
  <c r="BV32" i="10"/>
  <c r="BU33" i="10"/>
  <c r="BT32" i="10"/>
  <c r="BB32" i="10"/>
  <c r="BD32" i="10"/>
  <c r="BC33" i="10"/>
  <c r="CN32" i="10"/>
  <c r="CM33" i="10"/>
  <c r="CL32" i="10"/>
  <c r="BM34" i="10"/>
  <c r="BL35" i="10"/>
  <c r="BK34" i="10"/>
  <c r="CV36" i="10"/>
  <c r="CU35" i="10"/>
  <c r="CW35" i="10"/>
  <c r="AT36" i="10"/>
  <c r="AS35" i="10"/>
  <c r="AU35" i="10"/>
  <c r="BB344" i="10"/>
  <c r="BD344" i="10"/>
  <c r="BC345" i="10"/>
  <c r="CC33" i="10"/>
  <c r="CE33" i="10"/>
  <c r="CD34" i="10"/>
  <c r="AA344" i="10"/>
  <c r="AC344" i="10"/>
  <c r="AB345" i="10"/>
  <c r="DF34" i="10"/>
  <c r="DD34" i="10"/>
  <c r="DE35" i="10"/>
  <c r="AK345" i="10"/>
  <c r="AL344" i="10"/>
  <c r="AJ344" i="10"/>
  <c r="V20" i="11"/>
  <c r="S20" i="11"/>
  <c r="T21" i="11"/>
  <c r="D21" i="11"/>
  <c r="B22" i="11"/>
  <c r="U21" i="11"/>
  <c r="Q21" i="11"/>
  <c r="N21" i="11"/>
  <c r="R21" i="11"/>
  <c r="O21" i="11"/>
  <c r="AJ34" i="5"/>
  <c r="AS345" i="10"/>
  <c r="AU345" i="10"/>
  <c r="AT346" i="10"/>
  <c r="L35" i="5"/>
  <c r="S18" i="5"/>
  <c r="R19" i="5"/>
  <c r="D37" i="5"/>
  <c r="G37" i="5" s="1"/>
  <c r="V19" i="5"/>
  <c r="E36" i="5"/>
  <c r="AC36" i="5"/>
  <c r="AI36" i="5"/>
  <c r="F36" i="5"/>
  <c r="O36" i="5" s="1"/>
  <c r="J28" i="16" l="1"/>
  <c r="K27" i="16"/>
  <c r="G27" i="16" s="1"/>
  <c r="L27" i="16"/>
  <c r="H34" i="16"/>
  <c r="M35" i="5"/>
  <c r="AK36" i="5"/>
  <c r="AL35" i="5" s="1"/>
  <c r="I37" i="5"/>
  <c r="N37" i="5" s="1"/>
  <c r="AG37" i="5"/>
  <c r="AA37" i="5"/>
  <c r="H37" i="5"/>
  <c r="P36" i="5"/>
  <c r="AE36" i="5"/>
  <c r="J36" i="5"/>
  <c r="W19" i="5" s="1"/>
  <c r="K36" i="5"/>
  <c r="U19" i="5"/>
  <c r="AA33" i="10"/>
  <c r="AB34" i="10"/>
  <c r="AC33" i="10"/>
  <c r="DM33" i="10"/>
  <c r="DO33" i="10"/>
  <c r="DN34" i="10"/>
  <c r="BU347" i="10"/>
  <c r="BV346" i="10"/>
  <c r="BT346" i="10"/>
  <c r="CD345" i="10"/>
  <c r="CC344" i="10"/>
  <c r="CE344" i="10"/>
  <c r="BK345" i="10"/>
  <c r="BM345" i="10"/>
  <c r="BL346" i="10"/>
  <c r="DV33" i="10"/>
  <c r="DW34" i="10"/>
  <c r="DX33" i="10"/>
  <c r="CM34" i="10"/>
  <c r="CL33" i="10"/>
  <c r="CN33" i="10"/>
  <c r="BB33" i="10"/>
  <c r="BC34" i="10"/>
  <c r="BD33" i="10"/>
  <c r="BV33" i="10"/>
  <c r="BU34" i="10"/>
  <c r="BT33" i="10"/>
  <c r="CL344" i="10"/>
  <c r="CN344" i="10"/>
  <c r="CM345" i="10"/>
  <c r="AJ33" i="10"/>
  <c r="AL33" i="10"/>
  <c r="AK34" i="10"/>
  <c r="CV37" i="10"/>
  <c r="CU36" i="10"/>
  <c r="CW36" i="10"/>
  <c r="BM35" i="10"/>
  <c r="BL36" i="10"/>
  <c r="BK35" i="10"/>
  <c r="AS36" i="10"/>
  <c r="AU36" i="10"/>
  <c r="AT37" i="10"/>
  <c r="AK346" i="10"/>
  <c r="AL345" i="10"/>
  <c r="AJ345" i="10"/>
  <c r="DD35" i="10"/>
  <c r="DE36" i="10"/>
  <c r="DF35" i="10"/>
  <c r="CD35" i="10"/>
  <c r="CE34" i="10"/>
  <c r="CC34" i="10"/>
  <c r="BB345" i="10"/>
  <c r="BD345" i="10"/>
  <c r="BC346" i="10"/>
  <c r="AA345" i="10"/>
  <c r="AB346" i="10"/>
  <c r="AC345" i="10"/>
  <c r="AT347" i="10"/>
  <c r="AS346" i="10"/>
  <c r="AU346" i="10"/>
  <c r="P21" i="11"/>
  <c r="S19" i="5"/>
  <c r="L36" i="5"/>
  <c r="V20" i="5"/>
  <c r="D38" i="5"/>
  <c r="G38" i="5" s="1"/>
  <c r="R20" i="5"/>
  <c r="E37" i="5"/>
  <c r="F37" i="5"/>
  <c r="O37" i="5" s="1"/>
  <c r="AI37" i="5"/>
  <c r="AC37" i="5"/>
  <c r="S21" i="11"/>
  <c r="T22" i="11"/>
  <c r="R22" i="11"/>
  <c r="B23" i="11"/>
  <c r="N22" i="11"/>
  <c r="D22" i="11"/>
  <c r="U22" i="11"/>
  <c r="Q22" i="11"/>
  <c r="O22" i="11"/>
  <c r="V21" i="11"/>
  <c r="AJ35" i="5"/>
  <c r="J29" i="16" l="1"/>
  <c r="L28" i="16"/>
  <c r="K28" i="16"/>
  <c r="G28" i="16" s="1"/>
  <c r="H35" i="16"/>
  <c r="P37" i="5"/>
  <c r="M36" i="5"/>
  <c r="AE37" i="5"/>
  <c r="I38" i="5"/>
  <c r="N38" i="5" s="1"/>
  <c r="H38" i="5"/>
  <c r="AA38" i="5"/>
  <c r="AG38" i="5"/>
  <c r="K37" i="5"/>
  <c r="J37" i="5"/>
  <c r="W20" i="5" s="1"/>
  <c r="U20" i="5"/>
  <c r="AH36" i="5"/>
  <c r="S22" i="11"/>
  <c r="V22" i="11"/>
  <c r="AC34" i="10"/>
  <c r="AA34" i="10"/>
  <c r="AB35" i="10"/>
  <c r="DM34" i="10"/>
  <c r="DN35" i="10"/>
  <c r="DO34" i="10"/>
  <c r="BU348" i="10"/>
  <c r="BT347" i="10"/>
  <c r="BV347" i="10"/>
  <c r="CD346" i="10"/>
  <c r="CC345" i="10"/>
  <c r="CE345" i="10"/>
  <c r="BK346" i="10"/>
  <c r="BL347" i="10"/>
  <c r="BM346" i="10"/>
  <c r="AJ34" i="10"/>
  <c r="AL34" i="10"/>
  <c r="AK35" i="10"/>
  <c r="BD34" i="10"/>
  <c r="BC35" i="10"/>
  <c r="BB34" i="10"/>
  <c r="CL34" i="10"/>
  <c r="CN34" i="10"/>
  <c r="CM35" i="10"/>
  <c r="DX34" i="10"/>
  <c r="DV34" i="10"/>
  <c r="DW35" i="10"/>
  <c r="CM346" i="10"/>
  <c r="CN345" i="10"/>
  <c r="CL345" i="10"/>
  <c r="BV34" i="10"/>
  <c r="BT34" i="10"/>
  <c r="BU35" i="10"/>
  <c r="AJ36" i="5"/>
  <c r="AK37" i="5"/>
  <c r="BM36" i="10"/>
  <c r="BL37" i="10"/>
  <c r="BK36" i="10"/>
  <c r="CW37" i="10"/>
  <c r="CU37" i="10"/>
  <c r="CV38" i="10"/>
  <c r="AS37" i="10"/>
  <c r="AU37" i="10"/>
  <c r="AT38" i="10"/>
  <c r="BD346" i="10"/>
  <c r="BB346" i="10"/>
  <c r="BC347" i="10"/>
  <c r="CE35" i="10"/>
  <c r="CD36" i="10"/>
  <c r="CC35" i="10"/>
  <c r="DE37" i="10"/>
  <c r="DF36" i="10"/>
  <c r="DD36" i="10"/>
  <c r="AL346" i="10"/>
  <c r="AK347" i="10"/>
  <c r="AJ346" i="10"/>
  <c r="AC346" i="10"/>
  <c r="AA346" i="10"/>
  <c r="AB347" i="10"/>
  <c r="P22" i="11"/>
  <c r="L37" i="5"/>
  <c r="S20" i="5"/>
  <c r="R21" i="5"/>
  <c r="D39" i="5"/>
  <c r="G39" i="5" s="1"/>
  <c r="V21" i="5"/>
  <c r="AC38" i="5"/>
  <c r="AI38" i="5"/>
  <c r="E38" i="5"/>
  <c r="F38" i="5"/>
  <c r="O38" i="5" s="1"/>
  <c r="AS347" i="10"/>
  <c r="AT348" i="10"/>
  <c r="AU347" i="10"/>
  <c r="R23" i="11"/>
  <c r="Q23" i="11"/>
  <c r="T23" i="11"/>
  <c r="B24" i="11"/>
  <c r="D23" i="11"/>
  <c r="O23" i="11"/>
  <c r="N23" i="11"/>
  <c r="U23" i="11"/>
  <c r="J30" i="16" l="1"/>
  <c r="L29" i="16"/>
  <c r="K29" i="16"/>
  <c r="G29" i="16" s="1"/>
  <c r="H36" i="16"/>
  <c r="M37" i="5"/>
  <c r="P38" i="5"/>
  <c r="AE38" i="5"/>
  <c r="AH37" i="5"/>
  <c r="K38" i="5"/>
  <c r="U21" i="5"/>
  <c r="J38" i="5"/>
  <c r="W21" i="5" s="1"/>
  <c r="H39" i="5"/>
  <c r="AA39" i="5"/>
  <c r="I39" i="5"/>
  <c r="N39" i="5" s="1"/>
  <c r="AG39" i="5"/>
  <c r="AC35" i="10"/>
  <c r="AB36" i="10"/>
  <c r="AA35" i="10"/>
  <c r="DO35" i="10"/>
  <c r="DM35" i="10"/>
  <c r="DN36" i="10"/>
  <c r="BV348" i="10"/>
  <c r="BT348" i="10"/>
  <c r="BU349" i="10"/>
  <c r="CC346" i="10"/>
  <c r="CE346" i="10"/>
  <c r="CD347" i="10"/>
  <c r="BK347" i="10"/>
  <c r="BL348" i="10"/>
  <c r="BM347" i="10"/>
  <c r="BU36" i="10"/>
  <c r="BT35" i="10"/>
  <c r="BV35" i="10"/>
  <c r="DX35" i="10"/>
  <c r="DV35" i="10"/>
  <c r="DW36" i="10"/>
  <c r="CL346" i="10"/>
  <c r="CM347" i="10"/>
  <c r="CN346" i="10"/>
  <c r="CM36" i="10"/>
  <c r="CL35" i="10"/>
  <c r="CN35" i="10"/>
  <c r="BC36" i="10"/>
  <c r="BB35" i="10"/>
  <c r="BD35" i="10"/>
  <c r="AJ35" i="10"/>
  <c r="AK36" i="10"/>
  <c r="AL35" i="10"/>
  <c r="AL36" i="5"/>
  <c r="AJ37" i="5"/>
  <c r="AK38" i="5"/>
  <c r="AL37" i="5" s="1"/>
  <c r="CU38" i="10"/>
  <c r="CW38" i="10"/>
  <c r="CV39" i="10"/>
  <c r="BM37" i="10"/>
  <c r="BL38" i="10"/>
  <c r="BK37" i="10"/>
  <c r="AS38" i="10"/>
  <c r="AT39" i="10"/>
  <c r="AU38" i="10"/>
  <c r="BC348" i="10"/>
  <c r="BD347" i="10"/>
  <c r="BB347" i="10"/>
  <c r="S23" i="11"/>
  <c r="AC347" i="10"/>
  <c r="AA347" i="10"/>
  <c r="AB348" i="10"/>
  <c r="AL347" i="10"/>
  <c r="AK348" i="10"/>
  <c r="AJ347" i="10"/>
  <c r="DD37" i="10"/>
  <c r="DF37" i="10"/>
  <c r="DE38" i="10"/>
  <c r="CE36" i="10"/>
  <c r="CC36" i="10"/>
  <c r="CD37" i="10"/>
  <c r="T24" i="11"/>
  <c r="O24" i="11"/>
  <c r="U24" i="11"/>
  <c r="R24" i="11"/>
  <c r="D24" i="11"/>
  <c r="B25" i="11"/>
  <c r="Q24" i="11"/>
  <c r="N24" i="11"/>
  <c r="L38" i="5"/>
  <c r="S21" i="5"/>
  <c r="V22" i="5"/>
  <c r="R22" i="5"/>
  <c r="D40" i="5"/>
  <c r="G40" i="5" s="1"/>
  <c r="E39" i="5"/>
  <c r="AI39" i="5"/>
  <c r="AC39" i="5"/>
  <c r="F39" i="5"/>
  <c r="O39" i="5" s="1"/>
  <c r="P23" i="11"/>
  <c r="V23" i="11"/>
  <c r="AT349" i="10"/>
  <c r="AS348" i="10"/>
  <c r="AU348" i="10"/>
  <c r="J31" i="16" l="1"/>
  <c r="K30" i="16"/>
  <c r="G30" i="16" s="1"/>
  <c r="L30" i="16"/>
  <c r="H37" i="16"/>
  <c r="P24" i="11"/>
  <c r="M38" i="5"/>
  <c r="AK39" i="5"/>
  <c r="AL38" i="5" s="1"/>
  <c r="AE39" i="5"/>
  <c r="K39" i="5"/>
  <c r="J39" i="5"/>
  <c r="W22" i="5" s="1"/>
  <c r="U22" i="5"/>
  <c r="P39" i="5"/>
  <c r="AA40" i="5"/>
  <c r="H40" i="5"/>
  <c r="AG40" i="5"/>
  <c r="AH39" i="5" s="1"/>
  <c r="I40" i="5"/>
  <c r="N40" i="5" s="1"/>
  <c r="AH38" i="5"/>
  <c r="AC36" i="10"/>
  <c r="AB37" i="10"/>
  <c r="AA36" i="10"/>
  <c r="DM36" i="10"/>
  <c r="DO36" i="10"/>
  <c r="DN37" i="10"/>
  <c r="BU350" i="10"/>
  <c r="BT349" i="10"/>
  <c r="BV349" i="10"/>
  <c r="CE347" i="10"/>
  <c r="CC347" i="10"/>
  <c r="CD348" i="10"/>
  <c r="BL349" i="10"/>
  <c r="BM348" i="10"/>
  <c r="BK348" i="10"/>
  <c r="CL36" i="10"/>
  <c r="CM37" i="10"/>
  <c r="CN36" i="10"/>
  <c r="CN347" i="10"/>
  <c r="CM348" i="10"/>
  <c r="CL347" i="10"/>
  <c r="DW37" i="10"/>
  <c r="DV36" i="10"/>
  <c r="DX36" i="10"/>
  <c r="AK37" i="10"/>
  <c r="AL36" i="10"/>
  <c r="AJ36" i="10"/>
  <c r="BC37" i="10"/>
  <c r="BB36" i="10"/>
  <c r="BD36" i="10"/>
  <c r="BU37" i="10"/>
  <c r="BT36" i="10"/>
  <c r="BV36" i="10"/>
  <c r="BK38" i="10"/>
  <c r="BM38" i="10"/>
  <c r="BL39" i="10"/>
  <c r="CU39" i="10"/>
  <c r="CV40" i="10"/>
  <c r="CW39" i="10"/>
  <c r="AS39" i="10"/>
  <c r="AU39" i="10"/>
  <c r="AT40" i="10"/>
  <c r="BB348" i="10"/>
  <c r="BD348" i="10"/>
  <c r="BC349" i="10"/>
  <c r="CE37" i="10"/>
  <c r="CD38" i="10"/>
  <c r="CC37" i="10"/>
  <c r="DD38" i="10"/>
  <c r="DF38" i="10"/>
  <c r="DE39" i="10"/>
  <c r="AJ348" i="10"/>
  <c r="AK349" i="10"/>
  <c r="AL348" i="10"/>
  <c r="AA348" i="10"/>
  <c r="AC348" i="10"/>
  <c r="AB349" i="10"/>
  <c r="S22" i="5"/>
  <c r="L39" i="5"/>
  <c r="S24" i="11"/>
  <c r="V24" i="11"/>
  <c r="AS349" i="10"/>
  <c r="AT350" i="10"/>
  <c r="AU349" i="10"/>
  <c r="AJ38" i="5"/>
  <c r="D41" i="5"/>
  <c r="G41" i="5" s="1"/>
  <c r="V23" i="5"/>
  <c r="R23" i="5"/>
  <c r="F40" i="5"/>
  <c r="O40" i="5" s="1"/>
  <c r="AC40" i="5"/>
  <c r="E40" i="5"/>
  <c r="AI40" i="5"/>
  <c r="O25" i="11"/>
  <c r="N25" i="11"/>
  <c r="B26" i="11"/>
  <c r="R25" i="11"/>
  <c r="T25" i="11"/>
  <c r="U25" i="11"/>
  <c r="Q25" i="11"/>
  <c r="D25" i="11"/>
  <c r="J32" i="16" l="1"/>
  <c r="K31" i="16"/>
  <c r="G31" i="16" s="1"/>
  <c r="L31" i="16"/>
  <c r="H38" i="16"/>
  <c r="M39" i="5"/>
  <c r="AK40" i="5"/>
  <c r="AL39" i="5" s="1"/>
  <c r="AE40" i="5"/>
  <c r="AA41" i="5"/>
  <c r="H41" i="5"/>
  <c r="I41" i="5"/>
  <c r="N41" i="5" s="1"/>
  <c r="AG41" i="5"/>
  <c r="U23" i="5"/>
  <c r="K40" i="5"/>
  <c r="J40" i="5"/>
  <c r="W23" i="5" s="1"/>
  <c r="P40" i="5"/>
  <c r="AB38" i="10"/>
  <c r="AA37" i="10"/>
  <c r="AC37" i="10"/>
  <c r="DN38" i="10"/>
  <c r="DM37" i="10"/>
  <c r="DO37" i="10"/>
  <c r="BT350" i="10"/>
  <c r="BU351" i="10"/>
  <c r="BV350" i="10"/>
  <c r="CE348" i="10"/>
  <c r="CD349" i="10"/>
  <c r="CC348" i="10"/>
  <c r="BL350" i="10"/>
  <c r="BM349" i="10"/>
  <c r="BK349" i="10"/>
  <c r="BV37" i="10"/>
  <c r="BT37" i="10"/>
  <c r="BU38" i="10"/>
  <c r="AK38" i="10"/>
  <c r="AJ37" i="10"/>
  <c r="AL37" i="10"/>
  <c r="CM38" i="10"/>
  <c r="CL37" i="10"/>
  <c r="CN37" i="10"/>
  <c r="BC38" i="10"/>
  <c r="BD37" i="10"/>
  <c r="BB37" i="10"/>
  <c r="DX37" i="10"/>
  <c r="DV37" i="10"/>
  <c r="DW38" i="10"/>
  <c r="CM349" i="10"/>
  <c r="CN348" i="10"/>
  <c r="CL348" i="10"/>
  <c r="CW40" i="10"/>
  <c r="CV41" i="10"/>
  <c r="CU40" i="10"/>
  <c r="BK39" i="10"/>
  <c r="BM39" i="10"/>
  <c r="BL40" i="10"/>
  <c r="AU40" i="10"/>
  <c r="AT41" i="10"/>
  <c r="AS40" i="10"/>
  <c r="S25" i="11"/>
  <c r="V25" i="11"/>
  <c r="AA349" i="10"/>
  <c r="AC349" i="10"/>
  <c r="AB350" i="10"/>
  <c r="AJ349" i="10"/>
  <c r="AK350" i="10"/>
  <c r="AL349" i="10"/>
  <c r="DD39" i="10"/>
  <c r="DF39" i="10"/>
  <c r="DE40" i="10"/>
  <c r="CC38" i="10"/>
  <c r="CD39" i="10"/>
  <c r="CE38" i="10"/>
  <c r="BB349" i="10"/>
  <c r="BD349" i="10"/>
  <c r="BC350" i="10"/>
  <c r="AJ39" i="5"/>
  <c r="D42" i="5"/>
  <c r="G42" i="5" s="1"/>
  <c r="V24" i="5"/>
  <c r="R24" i="5"/>
  <c r="AI41" i="5"/>
  <c r="E41" i="5"/>
  <c r="AC41" i="5"/>
  <c r="F41" i="5"/>
  <c r="O41" i="5" s="1"/>
  <c r="D26" i="11"/>
  <c r="T26" i="11"/>
  <c r="N26" i="11"/>
  <c r="U26" i="11"/>
  <c r="O26" i="11"/>
  <c r="B27" i="11"/>
  <c r="R26" i="11"/>
  <c r="Q26" i="11"/>
  <c r="P25" i="11"/>
  <c r="L40" i="5"/>
  <c r="S23" i="5"/>
  <c r="AS350" i="10"/>
  <c r="AU350" i="10"/>
  <c r="AT351" i="10"/>
  <c r="J33" i="16" l="1"/>
  <c r="L32" i="16"/>
  <c r="K32" i="16"/>
  <c r="G32" i="16" s="1"/>
  <c r="H39" i="16"/>
  <c r="P41" i="5"/>
  <c r="AK41" i="5"/>
  <c r="AL40" i="5" s="1"/>
  <c r="AE41" i="5"/>
  <c r="AH40" i="5"/>
  <c r="K41" i="5"/>
  <c r="U24" i="5"/>
  <c r="J41" i="5"/>
  <c r="W24" i="5" s="1"/>
  <c r="M40" i="5"/>
  <c r="S26" i="11"/>
  <c r="H42" i="5"/>
  <c r="AG42" i="5"/>
  <c r="AH41" i="5" s="1"/>
  <c r="AA42" i="5"/>
  <c r="I42" i="5"/>
  <c r="N42" i="5" s="1"/>
  <c r="AJ40" i="5"/>
  <c r="AC38" i="10"/>
  <c r="AA38" i="10"/>
  <c r="AB39" i="10"/>
  <c r="DO38" i="10"/>
  <c r="DM38" i="10"/>
  <c r="DN39" i="10"/>
  <c r="BV351" i="10"/>
  <c r="BT351" i="10"/>
  <c r="BU352" i="10"/>
  <c r="CE349" i="10"/>
  <c r="CD350" i="10"/>
  <c r="CC349" i="10"/>
  <c r="BM350" i="10"/>
  <c r="BL351" i="10"/>
  <c r="BK350" i="10"/>
  <c r="DW39" i="10"/>
  <c r="DV38" i="10"/>
  <c r="DX38" i="10"/>
  <c r="CM39" i="10"/>
  <c r="CN38" i="10"/>
  <c r="CL38" i="10"/>
  <c r="BT38" i="10"/>
  <c r="BV38" i="10"/>
  <c r="BU39" i="10"/>
  <c r="CL349" i="10"/>
  <c r="CN349" i="10"/>
  <c r="CM350" i="10"/>
  <c r="BD38" i="10"/>
  <c r="BC39" i="10"/>
  <c r="BB38" i="10"/>
  <c r="AJ38" i="10"/>
  <c r="AL38" i="10"/>
  <c r="AK39" i="10"/>
  <c r="BK40" i="10"/>
  <c r="BL41" i="10"/>
  <c r="BM40" i="10"/>
  <c r="CV42" i="10"/>
  <c r="CU41" i="10"/>
  <c r="CW41" i="10"/>
  <c r="AT42" i="10"/>
  <c r="AS41" i="10"/>
  <c r="AU41" i="10"/>
  <c r="BB350" i="10"/>
  <c r="BD350" i="10"/>
  <c r="BC351" i="10"/>
  <c r="CC39" i="10"/>
  <c r="CD40" i="10"/>
  <c r="CE39" i="10"/>
  <c r="DD40" i="10"/>
  <c r="DF40" i="10"/>
  <c r="DE41" i="10"/>
  <c r="AL350" i="10"/>
  <c r="AK351" i="10"/>
  <c r="AJ350" i="10"/>
  <c r="AB351" i="10"/>
  <c r="AA350" i="10"/>
  <c r="AC350" i="10"/>
  <c r="AU351" i="10"/>
  <c r="AS351" i="10"/>
  <c r="AT352" i="10"/>
  <c r="P26" i="11"/>
  <c r="S24" i="5"/>
  <c r="L41" i="5"/>
  <c r="R25" i="5"/>
  <c r="V25" i="5"/>
  <c r="D43" i="5"/>
  <c r="G43" i="5" s="1"/>
  <c r="F42" i="5"/>
  <c r="O42" i="5" s="1"/>
  <c r="E42" i="5"/>
  <c r="AI42" i="5"/>
  <c r="AC42" i="5"/>
  <c r="Q27" i="11"/>
  <c r="R27" i="11"/>
  <c r="U27" i="11"/>
  <c r="O27" i="11"/>
  <c r="D27" i="11"/>
  <c r="B28" i="11"/>
  <c r="N27" i="11"/>
  <c r="T27" i="11"/>
  <c r="V26" i="11"/>
  <c r="J34" i="16" l="1"/>
  <c r="K33" i="16"/>
  <c r="G33" i="16" s="1"/>
  <c r="L33" i="16"/>
  <c r="H40" i="16"/>
  <c r="P42" i="5"/>
  <c r="M41" i="5"/>
  <c r="AK42" i="5"/>
  <c r="AL41" i="5" s="1"/>
  <c r="AE42" i="5"/>
  <c r="H43" i="5"/>
  <c r="AG43" i="5"/>
  <c r="AA43" i="5"/>
  <c r="I43" i="5"/>
  <c r="N43" i="5" s="1"/>
  <c r="U25" i="5"/>
  <c r="J42" i="5"/>
  <c r="W25" i="5" s="1"/>
  <c r="K42" i="5"/>
  <c r="AA39" i="10"/>
  <c r="AC39" i="10"/>
  <c r="AB40" i="10"/>
  <c r="DM39" i="10"/>
  <c r="DN40" i="10"/>
  <c r="DO39" i="10"/>
  <c r="BV352" i="10"/>
  <c r="BT352" i="10"/>
  <c r="BU353" i="10"/>
  <c r="CE350" i="10"/>
  <c r="CD351" i="10"/>
  <c r="CC350" i="10"/>
  <c r="BK351" i="10"/>
  <c r="BL352" i="10"/>
  <c r="BM351" i="10"/>
  <c r="BV39" i="10"/>
  <c r="BU40" i="10"/>
  <c r="BT39" i="10"/>
  <c r="DV39" i="10"/>
  <c r="DW40" i="10"/>
  <c r="DX39" i="10"/>
  <c r="AL39" i="10"/>
  <c r="AK40" i="10"/>
  <c r="AJ39" i="10"/>
  <c r="BD39" i="10"/>
  <c r="BB39" i="10"/>
  <c r="BC40" i="10"/>
  <c r="CL350" i="10"/>
  <c r="CN350" i="10"/>
  <c r="CM351" i="10"/>
  <c r="CM40" i="10"/>
  <c r="CL39" i="10"/>
  <c r="CN39" i="10"/>
  <c r="CV43" i="10"/>
  <c r="CU42" i="10"/>
  <c r="CW42" i="10"/>
  <c r="BM41" i="10"/>
  <c r="BK41" i="10"/>
  <c r="BL42" i="10"/>
  <c r="AU42" i="10"/>
  <c r="AS42" i="10"/>
  <c r="AT43" i="10"/>
  <c r="AC351" i="10"/>
  <c r="AB352" i="10"/>
  <c r="AA351" i="10"/>
  <c r="AJ351" i="10"/>
  <c r="AK352" i="10"/>
  <c r="AL351" i="10"/>
  <c r="DD41" i="10"/>
  <c r="DF41" i="10"/>
  <c r="DE42" i="10"/>
  <c r="CC40" i="10"/>
  <c r="CE40" i="10"/>
  <c r="CD41" i="10"/>
  <c r="BB351" i="10"/>
  <c r="BC352" i="10"/>
  <c r="BD351" i="10"/>
  <c r="V27" i="11"/>
  <c r="Q28" i="11"/>
  <c r="O28" i="11"/>
  <c r="N28" i="11"/>
  <c r="D28" i="11"/>
  <c r="T28" i="11"/>
  <c r="R28" i="11"/>
  <c r="U28" i="11"/>
  <c r="B29" i="11"/>
  <c r="AS352" i="10"/>
  <c r="AU352" i="10"/>
  <c r="AT353" i="10"/>
  <c r="P27" i="11"/>
  <c r="S27" i="11"/>
  <c r="L42" i="5"/>
  <c r="S25" i="5"/>
  <c r="V26" i="5"/>
  <c r="D44" i="5"/>
  <c r="G44" i="5" s="1"/>
  <c r="R26" i="5"/>
  <c r="AC43" i="5"/>
  <c r="F43" i="5"/>
  <c r="O43" i="5" s="1"/>
  <c r="AI43" i="5"/>
  <c r="E43" i="5"/>
  <c r="AJ41" i="5"/>
  <c r="J35" i="16" l="1"/>
  <c r="K34" i="16"/>
  <c r="G34" i="16" s="1"/>
  <c r="L34" i="16"/>
  <c r="H41" i="16"/>
  <c r="AE43" i="5"/>
  <c r="P43" i="5"/>
  <c r="M42" i="5"/>
  <c r="AK43" i="5"/>
  <c r="AL42" i="5" s="1"/>
  <c r="AG44" i="5"/>
  <c r="I44" i="5"/>
  <c r="N44" i="5" s="1"/>
  <c r="H44" i="5"/>
  <c r="AA44" i="5"/>
  <c r="AH42" i="5"/>
  <c r="J43" i="5"/>
  <c r="W26" i="5" s="1"/>
  <c r="K43" i="5"/>
  <c r="U26" i="5"/>
  <c r="AA40" i="10"/>
  <c r="AB41" i="10"/>
  <c r="AC40" i="10"/>
  <c r="DN41" i="10"/>
  <c r="DM40" i="10"/>
  <c r="DO40" i="10"/>
  <c r="BT353" i="10"/>
  <c r="BV353" i="10"/>
  <c r="BU354" i="10"/>
  <c r="CD352" i="10"/>
  <c r="CC351" i="10"/>
  <c r="CE351" i="10"/>
  <c r="BL353" i="10"/>
  <c r="BK352" i="10"/>
  <c r="BM352" i="10"/>
  <c r="CN351" i="10"/>
  <c r="CL351" i="10"/>
  <c r="CM352" i="10"/>
  <c r="CN40" i="10"/>
  <c r="CM41" i="10"/>
  <c r="CL40" i="10"/>
  <c r="BB40" i="10"/>
  <c r="BC41" i="10"/>
  <c r="BD40" i="10"/>
  <c r="AK41" i="10"/>
  <c r="AL40" i="10"/>
  <c r="AJ40" i="10"/>
  <c r="BT40" i="10"/>
  <c r="BU41" i="10"/>
  <c r="BV40" i="10"/>
  <c r="DV40" i="10"/>
  <c r="DX40" i="10"/>
  <c r="DW41" i="10"/>
  <c r="CW43" i="10"/>
  <c r="CU43" i="10"/>
  <c r="CV44" i="10"/>
  <c r="BL43" i="10"/>
  <c r="BM42" i="10"/>
  <c r="BK42" i="10"/>
  <c r="AS43" i="10"/>
  <c r="AT44" i="10"/>
  <c r="AU43" i="10"/>
  <c r="DE43" i="10"/>
  <c r="DD42" i="10"/>
  <c r="DF42" i="10"/>
  <c r="AJ352" i="10"/>
  <c r="AK353" i="10"/>
  <c r="AL352" i="10"/>
  <c r="BB352" i="10"/>
  <c r="BC353" i="10"/>
  <c r="BD352" i="10"/>
  <c r="CC41" i="10"/>
  <c r="CE41" i="10"/>
  <c r="CD42" i="10"/>
  <c r="AA352" i="10"/>
  <c r="AB353" i="10"/>
  <c r="AC352" i="10"/>
  <c r="L43" i="5"/>
  <c r="S26" i="5"/>
  <c r="AS353" i="10"/>
  <c r="AU353" i="10"/>
  <c r="AT354" i="10"/>
  <c r="V28" i="11"/>
  <c r="P28" i="11"/>
  <c r="S28" i="11"/>
  <c r="AJ42" i="5"/>
  <c r="V27" i="5"/>
  <c r="D45" i="5"/>
  <c r="G45" i="5" s="1"/>
  <c r="R27" i="5"/>
  <c r="F44" i="5"/>
  <c r="O44" i="5" s="1"/>
  <c r="E44" i="5"/>
  <c r="AI44" i="5"/>
  <c r="AC44" i="5"/>
  <c r="Q29" i="11"/>
  <c r="R29" i="11"/>
  <c r="T29" i="11"/>
  <c r="D29" i="11"/>
  <c r="O29" i="11"/>
  <c r="B30" i="11"/>
  <c r="N29" i="11"/>
  <c r="U29" i="11"/>
  <c r="P29" i="11" l="1"/>
  <c r="J36" i="16"/>
  <c r="K35" i="16"/>
  <c r="G35" i="16" s="1"/>
  <c r="L35" i="16"/>
  <c r="H42" i="16"/>
  <c r="AE44" i="5"/>
  <c r="M43" i="5"/>
  <c r="P44" i="5"/>
  <c r="H45" i="5"/>
  <c r="I45" i="5"/>
  <c r="N45" i="5" s="1"/>
  <c r="AG45" i="5"/>
  <c r="AA45" i="5"/>
  <c r="K44" i="5"/>
  <c r="U27" i="5"/>
  <c r="J44" i="5"/>
  <c r="W27" i="5" s="1"/>
  <c r="AH43" i="5"/>
  <c r="AB42" i="10"/>
  <c r="AC41" i="10"/>
  <c r="AA41" i="10"/>
  <c r="DN42" i="10"/>
  <c r="DO41" i="10"/>
  <c r="DM41" i="10"/>
  <c r="BV354" i="10"/>
  <c r="BT354" i="10"/>
  <c r="BU355" i="10"/>
  <c r="CD353" i="10"/>
  <c r="CE352" i="10"/>
  <c r="CC352" i="10"/>
  <c r="BK353" i="10"/>
  <c r="BM353" i="10"/>
  <c r="BL354" i="10"/>
  <c r="DX41" i="10"/>
  <c r="DV41" i="10"/>
  <c r="DW42" i="10"/>
  <c r="BV41" i="10"/>
  <c r="BT41" i="10"/>
  <c r="BU42" i="10"/>
  <c r="AL41" i="10"/>
  <c r="AJ41" i="10"/>
  <c r="AK42" i="10"/>
  <c r="BB41" i="10"/>
  <c r="BD41" i="10"/>
  <c r="BC42" i="10"/>
  <c r="CL41" i="10"/>
  <c r="CM42" i="10"/>
  <c r="CN41" i="10"/>
  <c r="CL352" i="10"/>
  <c r="CM353" i="10"/>
  <c r="CN352" i="10"/>
  <c r="AJ43" i="5"/>
  <c r="AK44" i="5"/>
  <c r="CU44" i="10"/>
  <c r="CW44" i="10"/>
  <c r="CV45" i="10"/>
  <c r="BL44" i="10"/>
  <c r="BM43" i="10"/>
  <c r="BK43" i="10"/>
  <c r="AS44" i="10"/>
  <c r="AT45" i="10"/>
  <c r="AU44" i="10"/>
  <c r="AC353" i="10"/>
  <c r="AA353" i="10"/>
  <c r="AB354" i="10"/>
  <c r="CD43" i="10"/>
  <c r="CE42" i="10"/>
  <c r="CC42" i="10"/>
  <c r="BD353" i="10"/>
  <c r="BC354" i="10"/>
  <c r="BB353" i="10"/>
  <c r="AJ353" i="10"/>
  <c r="AK354" i="10"/>
  <c r="AL353" i="10"/>
  <c r="DF43" i="10"/>
  <c r="DD43" i="10"/>
  <c r="DE44" i="10"/>
  <c r="R30" i="11"/>
  <c r="B31" i="11"/>
  <c r="O30" i="11"/>
  <c r="U30" i="11"/>
  <c r="T30" i="11"/>
  <c r="Q30" i="11"/>
  <c r="N30" i="11"/>
  <c r="D30" i="11"/>
  <c r="V29" i="11"/>
  <c r="S29" i="11"/>
  <c r="L44" i="5"/>
  <c r="S27" i="5"/>
  <c r="AT355" i="10"/>
  <c r="AS354" i="10"/>
  <c r="AU354" i="10"/>
  <c r="V28" i="5"/>
  <c r="D46" i="5"/>
  <c r="G46" i="5" s="1"/>
  <c r="R28" i="5"/>
  <c r="AI45" i="5"/>
  <c r="E45" i="5"/>
  <c r="F45" i="5"/>
  <c r="O45" i="5" s="1"/>
  <c r="AC45" i="5"/>
  <c r="J37" i="16" l="1"/>
  <c r="L36" i="16"/>
  <c r="K36" i="16"/>
  <c r="G36" i="16" s="1"/>
  <c r="H43" i="16"/>
  <c r="P30" i="11"/>
  <c r="S30" i="11"/>
  <c r="P45" i="5"/>
  <c r="AE45" i="5"/>
  <c r="U28" i="5"/>
  <c r="K45" i="5"/>
  <c r="J45" i="5"/>
  <c r="W28" i="5" s="1"/>
  <c r="AK45" i="5"/>
  <c r="AL44" i="5" s="1"/>
  <c r="AG46" i="5"/>
  <c r="AH45" i="5" s="1"/>
  <c r="I46" i="5"/>
  <c r="N46" i="5" s="1"/>
  <c r="H46" i="5"/>
  <c r="AA46" i="5"/>
  <c r="M44" i="5"/>
  <c r="AH44" i="5"/>
  <c r="AA42" i="10"/>
  <c r="AC42" i="10"/>
  <c r="AB43" i="10"/>
  <c r="DN43" i="10"/>
  <c r="DM42" i="10"/>
  <c r="DO42" i="10"/>
  <c r="BU356" i="10"/>
  <c r="BV355" i="10"/>
  <c r="BT355" i="10"/>
  <c r="CC353" i="10"/>
  <c r="CE353" i="10"/>
  <c r="CD354" i="10"/>
  <c r="BL355" i="10"/>
  <c r="BM354" i="10"/>
  <c r="BK354" i="10"/>
  <c r="CN42" i="10"/>
  <c r="CM43" i="10"/>
  <c r="CL42" i="10"/>
  <c r="BD42" i="10"/>
  <c r="BB42" i="10"/>
  <c r="BC43" i="10"/>
  <c r="BV42" i="10"/>
  <c r="BU43" i="10"/>
  <c r="BT42" i="10"/>
  <c r="CL353" i="10"/>
  <c r="CM354" i="10"/>
  <c r="CN353" i="10"/>
  <c r="AL42" i="10"/>
  <c r="AJ42" i="10"/>
  <c r="AK43" i="10"/>
  <c r="DV42" i="10"/>
  <c r="DX42" i="10"/>
  <c r="DW43" i="10"/>
  <c r="AL43" i="5"/>
  <c r="CV46" i="10"/>
  <c r="CU45" i="10"/>
  <c r="CW45" i="10"/>
  <c r="BK44" i="10"/>
  <c r="BL45" i="10"/>
  <c r="BM44" i="10"/>
  <c r="AS45" i="10"/>
  <c r="AT46" i="10"/>
  <c r="AU45" i="10"/>
  <c r="BD354" i="10"/>
  <c r="BB354" i="10"/>
  <c r="BC355" i="10"/>
  <c r="CE43" i="10"/>
  <c r="CD44" i="10"/>
  <c r="CC43" i="10"/>
  <c r="V30" i="11"/>
  <c r="DD44" i="10"/>
  <c r="DE45" i="10"/>
  <c r="DF44" i="10"/>
  <c r="AJ354" i="10"/>
  <c r="AL354" i="10"/>
  <c r="AK355" i="10"/>
  <c r="AB355" i="10"/>
  <c r="AC354" i="10"/>
  <c r="AA354" i="10"/>
  <c r="L45" i="5"/>
  <c r="S28" i="5"/>
  <c r="D47" i="5"/>
  <c r="G47" i="5" s="1"/>
  <c r="V29" i="5"/>
  <c r="R29" i="5"/>
  <c r="AI46" i="5"/>
  <c r="AC46" i="5"/>
  <c r="E46" i="5"/>
  <c r="F46" i="5"/>
  <c r="O46" i="5" s="1"/>
  <c r="AU355" i="10"/>
  <c r="AS355" i="10"/>
  <c r="AT356" i="10"/>
  <c r="R31" i="11"/>
  <c r="Q31" i="11"/>
  <c r="U31" i="11"/>
  <c r="N31" i="11"/>
  <c r="T31" i="11"/>
  <c r="O31" i="11"/>
  <c r="D31" i="11"/>
  <c r="B32" i="11"/>
  <c r="AJ44" i="5"/>
  <c r="J38" i="16" l="1"/>
  <c r="L37" i="16"/>
  <c r="K37" i="16"/>
  <c r="G37" i="16" s="1"/>
  <c r="H44" i="16"/>
  <c r="V31" i="11"/>
  <c r="P46" i="5"/>
  <c r="M45" i="5"/>
  <c r="AE46" i="5"/>
  <c r="J46" i="5"/>
  <c r="W29" i="5" s="1"/>
  <c r="K46" i="5"/>
  <c r="U29" i="5"/>
  <c r="AA47" i="5"/>
  <c r="I47" i="5"/>
  <c r="N47" i="5" s="1"/>
  <c r="H47" i="5"/>
  <c r="AG47" i="5"/>
  <c r="AC43" i="10"/>
  <c r="AA43" i="10"/>
  <c r="AB44" i="10"/>
  <c r="DM43" i="10"/>
  <c r="DO43" i="10"/>
  <c r="DN44" i="10"/>
  <c r="BV356" i="10"/>
  <c r="BU357" i="10"/>
  <c r="BT356" i="10"/>
  <c r="CE354" i="10"/>
  <c r="CC354" i="10"/>
  <c r="CD355" i="10"/>
  <c r="BM355" i="10"/>
  <c r="BL356" i="10"/>
  <c r="BK355" i="10"/>
  <c r="DV43" i="10"/>
  <c r="DX43" i="10"/>
  <c r="DW44" i="10"/>
  <c r="BV43" i="10"/>
  <c r="BU44" i="10"/>
  <c r="BT43" i="10"/>
  <c r="BB43" i="10"/>
  <c r="BC44" i="10"/>
  <c r="BD43" i="10"/>
  <c r="CN43" i="10"/>
  <c r="CL43" i="10"/>
  <c r="CM44" i="10"/>
  <c r="AJ43" i="10"/>
  <c r="AL43" i="10"/>
  <c r="AK44" i="10"/>
  <c r="CM355" i="10"/>
  <c r="CN354" i="10"/>
  <c r="CL354" i="10"/>
  <c r="AJ45" i="5"/>
  <c r="AK46" i="5"/>
  <c r="BL46" i="10"/>
  <c r="BM45" i="10"/>
  <c r="BK45" i="10"/>
  <c r="CW46" i="10"/>
  <c r="CV47" i="10"/>
  <c r="CU46" i="10"/>
  <c r="AS46" i="10"/>
  <c r="AU46" i="10"/>
  <c r="AT47" i="10"/>
  <c r="AC355" i="10"/>
  <c r="AB356" i="10"/>
  <c r="AA355" i="10"/>
  <c r="AJ355" i="10"/>
  <c r="AL355" i="10"/>
  <c r="AK356" i="10"/>
  <c r="DE46" i="10"/>
  <c r="DF45" i="10"/>
  <c r="DD45" i="10"/>
  <c r="CD45" i="10"/>
  <c r="CC44" i="10"/>
  <c r="CE44" i="10"/>
  <c r="BC356" i="10"/>
  <c r="BB355" i="10"/>
  <c r="BD355" i="10"/>
  <c r="U32" i="11"/>
  <c r="B33" i="11"/>
  <c r="O32" i="11"/>
  <c r="R32" i="11"/>
  <c r="N32" i="11"/>
  <c r="P32" i="11" s="1"/>
  <c r="Q32" i="11"/>
  <c r="D32" i="11"/>
  <c r="T32" i="11"/>
  <c r="P31" i="11"/>
  <c r="S31" i="11"/>
  <c r="AU356" i="10"/>
  <c r="AS356" i="10"/>
  <c r="AT357" i="10"/>
  <c r="R30" i="5"/>
  <c r="V30" i="5"/>
  <c r="D48" i="5"/>
  <c r="G48" i="5" s="1"/>
  <c r="AC47" i="5"/>
  <c r="AI47" i="5"/>
  <c r="E47" i="5"/>
  <c r="F47" i="5"/>
  <c r="O47" i="5" s="1"/>
  <c r="L46" i="5"/>
  <c r="S29" i="5"/>
  <c r="S32" i="11" l="1"/>
  <c r="J39" i="16"/>
  <c r="K38" i="16"/>
  <c r="G38" i="16" s="1"/>
  <c r="L38" i="16"/>
  <c r="H45" i="16"/>
  <c r="V32" i="11"/>
  <c r="P47" i="5"/>
  <c r="AE47" i="5"/>
  <c r="AG48" i="5"/>
  <c r="AH47" i="5" s="1"/>
  <c r="I48" i="5"/>
  <c r="N48" i="5" s="1"/>
  <c r="AA48" i="5"/>
  <c r="H48" i="5"/>
  <c r="M46" i="5"/>
  <c r="AH46" i="5"/>
  <c r="J47" i="5"/>
  <c r="W30" i="5" s="1"/>
  <c r="K47" i="5"/>
  <c r="U30" i="5"/>
  <c r="AA44" i="10"/>
  <c r="AB45" i="10"/>
  <c r="AC44" i="10"/>
  <c r="DN45" i="10"/>
  <c r="DM44" i="10"/>
  <c r="DO44" i="10"/>
  <c r="BT357" i="10"/>
  <c r="BU358" i="10"/>
  <c r="BV357" i="10"/>
  <c r="CE355" i="10"/>
  <c r="CC355" i="10"/>
  <c r="CD356" i="10"/>
  <c r="BM356" i="10"/>
  <c r="BK356" i="10"/>
  <c r="BL357" i="10"/>
  <c r="CM356" i="10"/>
  <c r="CL355" i="10"/>
  <c r="CN355" i="10"/>
  <c r="CN44" i="10"/>
  <c r="CL44" i="10"/>
  <c r="CM45" i="10"/>
  <c r="BB44" i="10"/>
  <c r="BC45" i="10"/>
  <c r="BD44" i="10"/>
  <c r="AK45" i="10"/>
  <c r="AJ44" i="10"/>
  <c r="AL44" i="10"/>
  <c r="BV44" i="10"/>
  <c r="BT44" i="10"/>
  <c r="BU45" i="10"/>
  <c r="DX44" i="10"/>
  <c r="DW45" i="10"/>
  <c r="DV44" i="10"/>
  <c r="AL45" i="5"/>
  <c r="AJ46" i="5"/>
  <c r="AK47" i="5"/>
  <c r="CW47" i="10"/>
  <c r="CV48" i="10"/>
  <c r="CU47" i="10"/>
  <c r="BM46" i="10"/>
  <c r="BK46" i="10"/>
  <c r="BL47" i="10"/>
  <c r="AU47" i="10"/>
  <c r="AS47" i="10"/>
  <c r="AT48" i="10"/>
  <c r="CC45" i="10"/>
  <c r="CD46" i="10"/>
  <c r="CE45" i="10"/>
  <c r="DD46" i="10"/>
  <c r="DF46" i="10"/>
  <c r="DE47" i="10"/>
  <c r="BC357" i="10"/>
  <c r="BD356" i="10"/>
  <c r="BB356" i="10"/>
  <c r="AL356" i="10"/>
  <c r="AK357" i="10"/>
  <c r="AJ356" i="10"/>
  <c r="AA356" i="10"/>
  <c r="AB357" i="10"/>
  <c r="AC356" i="10"/>
  <c r="D49" i="5"/>
  <c r="G49" i="5" s="1"/>
  <c r="V31" i="5"/>
  <c r="R31" i="5"/>
  <c r="AI48" i="5"/>
  <c r="AC48" i="5"/>
  <c r="F48" i="5"/>
  <c r="O48" i="5" s="1"/>
  <c r="E48" i="5"/>
  <c r="Q33" i="11"/>
  <c r="R33" i="11"/>
  <c r="U33" i="11"/>
  <c r="O33" i="11"/>
  <c r="D33" i="11"/>
  <c r="B34" i="11"/>
  <c r="N33" i="11"/>
  <c r="T33" i="11"/>
  <c r="L47" i="5"/>
  <c r="S30" i="5"/>
  <c r="AU357" i="10"/>
  <c r="AS357" i="10"/>
  <c r="AT358" i="10"/>
  <c r="V33" i="11" l="1"/>
  <c r="J40" i="16"/>
  <c r="K39" i="16"/>
  <c r="G39" i="16" s="1"/>
  <c r="L39" i="16"/>
  <c r="H46" i="16"/>
  <c r="AE48" i="5"/>
  <c r="AK48" i="5"/>
  <c r="AL47" i="5" s="1"/>
  <c r="AA49" i="5"/>
  <c r="H49" i="5"/>
  <c r="I49" i="5"/>
  <c r="N49" i="5" s="1"/>
  <c r="AG49" i="5"/>
  <c r="K48" i="5"/>
  <c r="U31" i="5"/>
  <c r="J48" i="5"/>
  <c r="W31" i="5" s="1"/>
  <c r="M47" i="5"/>
  <c r="P48" i="5"/>
  <c r="AB46" i="10"/>
  <c r="AA45" i="10"/>
  <c r="AC45" i="10"/>
  <c r="DN46" i="10"/>
  <c r="DO45" i="10"/>
  <c r="DM45" i="10"/>
  <c r="BT358" i="10"/>
  <c r="BV358" i="10"/>
  <c r="BU359" i="10"/>
  <c r="CC356" i="10"/>
  <c r="CD357" i="10"/>
  <c r="CE356" i="10"/>
  <c r="BK357" i="10"/>
  <c r="BL358" i="10"/>
  <c r="BM357" i="10"/>
  <c r="AJ45" i="10"/>
  <c r="AL45" i="10"/>
  <c r="AK46" i="10"/>
  <c r="BD45" i="10"/>
  <c r="BC46" i="10"/>
  <c r="BB45" i="10"/>
  <c r="CL45" i="10"/>
  <c r="CN45" i="10"/>
  <c r="CM46" i="10"/>
  <c r="DX45" i="10"/>
  <c r="DV45" i="10"/>
  <c r="DW46" i="10"/>
  <c r="BV45" i="10"/>
  <c r="BU46" i="10"/>
  <c r="BT45" i="10"/>
  <c r="CN356" i="10"/>
  <c r="CM357" i="10"/>
  <c r="CL356" i="10"/>
  <c r="AL46" i="5"/>
  <c r="BK47" i="10"/>
  <c r="BM47" i="10"/>
  <c r="BL48" i="10"/>
  <c r="CW48" i="10"/>
  <c r="CU48" i="10"/>
  <c r="CV49" i="10"/>
  <c r="AU48" i="10"/>
  <c r="AS48" i="10"/>
  <c r="AT49" i="10"/>
  <c r="AJ357" i="10"/>
  <c r="AK358" i="10"/>
  <c r="AL357" i="10"/>
  <c r="BB357" i="10"/>
  <c r="BD357" i="10"/>
  <c r="BC358" i="10"/>
  <c r="CC46" i="10"/>
  <c r="CE46" i="10"/>
  <c r="CD47" i="10"/>
  <c r="P33" i="11"/>
  <c r="S33" i="11"/>
  <c r="AA357" i="10"/>
  <c r="AB358" i="10"/>
  <c r="AC357" i="10"/>
  <c r="DF47" i="10"/>
  <c r="DE48" i="10"/>
  <c r="DD47" i="10"/>
  <c r="L48" i="5"/>
  <c r="S31" i="5"/>
  <c r="V32" i="5"/>
  <c r="R32" i="5"/>
  <c r="D50" i="5"/>
  <c r="G50" i="5" s="1"/>
  <c r="AI49" i="5"/>
  <c r="AC49" i="5"/>
  <c r="F49" i="5"/>
  <c r="O49" i="5" s="1"/>
  <c r="E49" i="5"/>
  <c r="AS358" i="10"/>
  <c r="AT359" i="10"/>
  <c r="AU358" i="10"/>
  <c r="N34" i="11"/>
  <c r="O34" i="11"/>
  <c r="D34" i="11"/>
  <c r="Q34" i="11"/>
  <c r="R34" i="11"/>
  <c r="U34" i="11"/>
  <c r="T34" i="11"/>
  <c r="B35" i="11"/>
  <c r="AJ47" i="5"/>
  <c r="J41" i="16" l="1"/>
  <c r="K40" i="16"/>
  <c r="G40" i="16" s="1"/>
  <c r="L40" i="16"/>
  <c r="H47" i="16"/>
  <c r="M48" i="5"/>
  <c r="AE49" i="5"/>
  <c r="P49" i="5"/>
  <c r="AG50" i="5"/>
  <c r="I50" i="5"/>
  <c r="N50" i="5" s="1"/>
  <c r="H50" i="5"/>
  <c r="AA50" i="5"/>
  <c r="AH48" i="5"/>
  <c r="U32" i="5"/>
  <c r="K49" i="5"/>
  <c r="J49" i="5"/>
  <c r="W32" i="5" s="1"/>
  <c r="AA46" i="10"/>
  <c r="AC46" i="10"/>
  <c r="AB47" i="10"/>
  <c r="DN47" i="10"/>
  <c r="DO46" i="10"/>
  <c r="DM46" i="10"/>
  <c r="BV359" i="10"/>
  <c r="BT359" i="10"/>
  <c r="BU360" i="10"/>
  <c r="CE357" i="10"/>
  <c r="CC357" i="10"/>
  <c r="CD358" i="10"/>
  <c r="BK358" i="10"/>
  <c r="BL359" i="10"/>
  <c r="BM358" i="10"/>
  <c r="BV46" i="10"/>
  <c r="BT46" i="10"/>
  <c r="BU47" i="10"/>
  <c r="DX46" i="10"/>
  <c r="DW47" i="10"/>
  <c r="DV46" i="10"/>
  <c r="CN357" i="10"/>
  <c r="CM358" i="10"/>
  <c r="CL357" i="10"/>
  <c r="CL46" i="10"/>
  <c r="CM47" i="10"/>
  <c r="CN46" i="10"/>
  <c r="BB46" i="10"/>
  <c r="BC47" i="10"/>
  <c r="BD46" i="10"/>
  <c r="AJ46" i="10"/>
  <c r="AL46" i="10"/>
  <c r="AK47" i="10"/>
  <c r="AJ48" i="5"/>
  <c r="AK49" i="5"/>
  <c r="CU49" i="10"/>
  <c r="CW49" i="10"/>
  <c r="CV50" i="10"/>
  <c r="BK48" i="10"/>
  <c r="BL49" i="10"/>
  <c r="BM48" i="10"/>
  <c r="AU49" i="10"/>
  <c r="AS49" i="10"/>
  <c r="AT50" i="10"/>
  <c r="CC47" i="10"/>
  <c r="CE47" i="10"/>
  <c r="CD48" i="10"/>
  <c r="BB358" i="10"/>
  <c r="BC359" i="10"/>
  <c r="BD358" i="10"/>
  <c r="S34" i="11"/>
  <c r="DF48" i="10"/>
  <c r="DD48" i="10"/>
  <c r="DE49" i="10"/>
  <c r="AC358" i="10"/>
  <c r="AA358" i="10"/>
  <c r="AB359" i="10"/>
  <c r="AK359" i="10"/>
  <c r="AL358" i="10"/>
  <c r="AJ358" i="10"/>
  <c r="V34" i="11"/>
  <c r="P34" i="11"/>
  <c r="AS359" i="10"/>
  <c r="AT360" i="10"/>
  <c r="AU359" i="10"/>
  <c r="B36" i="11"/>
  <c r="T35" i="11"/>
  <c r="V35" i="11" s="1"/>
  <c r="D35" i="11"/>
  <c r="Q35" i="11"/>
  <c r="U35" i="11"/>
  <c r="N35" i="11"/>
  <c r="O35" i="11"/>
  <c r="R35" i="11"/>
  <c r="S32" i="5"/>
  <c r="L49" i="5"/>
  <c r="D51" i="5"/>
  <c r="G51" i="5" s="1"/>
  <c r="V33" i="5"/>
  <c r="R33" i="5"/>
  <c r="E50" i="5"/>
  <c r="AI50" i="5"/>
  <c r="F50" i="5"/>
  <c r="O50" i="5" s="1"/>
  <c r="AC50" i="5"/>
  <c r="J42" i="16" l="1"/>
  <c r="K41" i="16"/>
  <c r="G41" i="16" s="1"/>
  <c r="L41" i="16"/>
  <c r="H48" i="16"/>
  <c r="P35" i="11"/>
  <c r="M49" i="5"/>
  <c r="P50" i="5"/>
  <c r="AK50" i="5"/>
  <c r="AL49" i="5" s="1"/>
  <c r="AE50" i="5"/>
  <c r="AA51" i="5"/>
  <c r="I51" i="5"/>
  <c r="N51" i="5" s="1"/>
  <c r="AG51" i="5"/>
  <c r="H51" i="5"/>
  <c r="K50" i="5"/>
  <c r="J50" i="5"/>
  <c r="W33" i="5" s="1"/>
  <c r="U33" i="5"/>
  <c r="AH49" i="5"/>
  <c r="AA47" i="10"/>
  <c r="AB48" i="10"/>
  <c r="AC47" i="10"/>
  <c r="DN48" i="10"/>
  <c r="DM47" i="10"/>
  <c r="DO47" i="10"/>
  <c r="BT360" i="10"/>
  <c r="BU361" i="10"/>
  <c r="BV360" i="10"/>
  <c r="CC358" i="10"/>
  <c r="CE358" i="10"/>
  <c r="CD359" i="10"/>
  <c r="BK359" i="10"/>
  <c r="BL360" i="10"/>
  <c r="BM359" i="10"/>
  <c r="CL47" i="10"/>
  <c r="CM48" i="10"/>
  <c r="CN47" i="10"/>
  <c r="DX47" i="10"/>
  <c r="DV47" i="10"/>
  <c r="DW48" i="10"/>
  <c r="BU48" i="10"/>
  <c r="BT47" i="10"/>
  <c r="BV47" i="10"/>
  <c r="AJ47" i="10"/>
  <c r="AL47" i="10"/>
  <c r="AK48" i="10"/>
  <c r="BD47" i="10"/>
  <c r="BC48" i="10"/>
  <c r="BB47" i="10"/>
  <c r="CN358" i="10"/>
  <c r="CL358" i="10"/>
  <c r="CM359" i="10"/>
  <c r="AL48" i="5"/>
  <c r="BM49" i="10"/>
  <c r="BK49" i="10"/>
  <c r="BL50" i="10"/>
  <c r="CV51" i="10"/>
  <c r="CW50" i="10"/>
  <c r="CU50" i="10"/>
  <c r="AU50" i="10"/>
  <c r="AT51" i="10"/>
  <c r="AS50" i="10"/>
  <c r="AL359" i="10"/>
  <c r="AK360" i="10"/>
  <c r="AJ359" i="10"/>
  <c r="AC359" i="10"/>
  <c r="AB360" i="10"/>
  <c r="AA359" i="10"/>
  <c r="DD49" i="10"/>
  <c r="DE50" i="10"/>
  <c r="DF49" i="10"/>
  <c r="BB359" i="10"/>
  <c r="BC360" i="10"/>
  <c r="BD359" i="10"/>
  <c r="CE48" i="10"/>
  <c r="CC48" i="10"/>
  <c r="CD49" i="10"/>
  <c r="L50" i="5"/>
  <c r="S33" i="5"/>
  <c r="S35" i="11"/>
  <c r="AU360" i="10"/>
  <c r="AS360" i="10"/>
  <c r="AT361" i="10"/>
  <c r="AJ49" i="5"/>
  <c r="V34" i="5"/>
  <c r="R34" i="5"/>
  <c r="D52" i="5"/>
  <c r="G52" i="5" s="1"/>
  <c r="F51" i="5"/>
  <c r="O51" i="5" s="1"/>
  <c r="AC51" i="5"/>
  <c r="AI51" i="5"/>
  <c r="E51" i="5"/>
  <c r="O36" i="11"/>
  <c r="D36" i="11"/>
  <c r="B37" i="11"/>
  <c r="N36" i="11"/>
  <c r="T36" i="11"/>
  <c r="Q36" i="11"/>
  <c r="R36" i="11"/>
  <c r="U36" i="11"/>
  <c r="J43" i="16" l="1"/>
  <c r="K42" i="16"/>
  <c r="G42" i="16" s="1"/>
  <c r="L42" i="16"/>
  <c r="H49" i="16"/>
  <c r="M50" i="5"/>
  <c r="P51" i="5"/>
  <c r="AK51" i="5"/>
  <c r="AL50" i="5" s="1"/>
  <c r="AH50" i="5"/>
  <c r="AE51" i="5"/>
  <c r="AG52" i="5"/>
  <c r="AH51" i="5" s="1"/>
  <c r="AA52" i="5"/>
  <c r="I52" i="5"/>
  <c r="N52" i="5" s="1"/>
  <c r="H52" i="5"/>
  <c r="K51" i="5"/>
  <c r="J51" i="5"/>
  <c r="W34" i="5" s="1"/>
  <c r="U34" i="5"/>
  <c r="AC48" i="10"/>
  <c r="AB49" i="10"/>
  <c r="AA48" i="10"/>
  <c r="DO48" i="10"/>
  <c r="DM48" i="10"/>
  <c r="DN49" i="10"/>
  <c r="BT361" i="10"/>
  <c r="BU362" i="10"/>
  <c r="BV361" i="10"/>
  <c r="CD360" i="10"/>
  <c r="CC359" i="10"/>
  <c r="CE359" i="10"/>
  <c r="BM360" i="10"/>
  <c r="BK360" i="10"/>
  <c r="BL361" i="10"/>
  <c r="BV48" i="10"/>
  <c r="BT48" i="10"/>
  <c r="BU49" i="10"/>
  <c r="CL359" i="10"/>
  <c r="CM360" i="10"/>
  <c r="CN359" i="10"/>
  <c r="BC49" i="10"/>
  <c r="BB48" i="10"/>
  <c r="BD48" i="10"/>
  <c r="AJ48" i="10"/>
  <c r="AK49" i="10"/>
  <c r="AL48" i="10"/>
  <c r="DW49" i="10"/>
  <c r="DX48" i="10"/>
  <c r="DV48" i="10"/>
  <c r="CM49" i="10"/>
  <c r="CN48" i="10"/>
  <c r="CL48" i="10"/>
  <c r="CU51" i="10"/>
  <c r="CW51" i="10"/>
  <c r="CV52" i="10"/>
  <c r="BL51" i="10"/>
  <c r="BM50" i="10"/>
  <c r="BK50" i="10"/>
  <c r="AT52" i="10"/>
  <c r="AU51" i="10"/>
  <c r="AS51" i="10"/>
  <c r="CE49" i="10"/>
  <c r="CC49" i="10"/>
  <c r="CD50" i="10"/>
  <c r="BC361" i="10"/>
  <c r="BD360" i="10"/>
  <c r="BB360" i="10"/>
  <c r="P36" i="11"/>
  <c r="DF50" i="10"/>
  <c r="DE51" i="10"/>
  <c r="DD50" i="10"/>
  <c r="AA360" i="10"/>
  <c r="AB361" i="10"/>
  <c r="AC360" i="10"/>
  <c r="AJ360" i="10"/>
  <c r="AK361" i="10"/>
  <c r="AL360" i="10"/>
  <c r="V36" i="11"/>
  <c r="O37" i="11"/>
  <c r="T37" i="11"/>
  <c r="D37" i="11"/>
  <c r="Q37" i="11"/>
  <c r="B38" i="11"/>
  <c r="R37" i="11"/>
  <c r="U37" i="11"/>
  <c r="N37" i="11"/>
  <c r="AT362" i="10"/>
  <c r="AS361" i="10"/>
  <c r="AU361" i="10"/>
  <c r="S36" i="11"/>
  <c r="S34" i="5"/>
  <c r="L51" i="5"/>
  <c r="D53" i="5"/>
  <c r="G53" i="5" s="1"/>
  <c r="V35" i="5"/>
  <c r="R35" i="5"/>
  <c r="AI52" i="5"/>
  <c r="E52" i="5"/>
  <c r="AC52" i="5"/>
  <c r="F52" i="5"/>
  <c r="O52" i="5" s="1"/>
  <c r="AJ50" i="5"/>
  <c r="J44" i="16" l="1"/>
  <c r="K43" i="16"/>
  <c r="G43" i="16" s="1"/>
  <c r="L43" i="16"/>
  <c r="H50" i="16"/>
  <c r="AE52" i="5"/>
  <c r="M51" i="5"/>
  <c r="P52" i="5"/>
  <c r="H53" i="5"/>
  <c r="AG53" i="5"/>
  <c r="AH52" i="5" s="1"/>
  <c r="I53" i="5"/>
  <c r="N53" i="5" s="1"/>
  <c r="AA53" i="5"/>
  <c r="AK52" i="5"/>
  <c r="AL51" i="5" s="1"/>
  <c r="K52" i="5"/>
  <c r="J52" i="5"/>
  <c r="W35" i="5" s="1"/>
  <c r="U35" i="5"/>
  <c r="AA49" i="10"/>
  <c r="AC49" i="10"/>
  <c r="AB50" i="10"/>
  <c r="DN50" i="10"/>
  <c r="DO49" i="10"/>
  <c r="DM49" i="10"/>
  <c r="BU363" i="10"/>
  <c r="BV362" i="10"/>
  <c r="BT362" i="10"/>
  <c r="CE360" i="10"/>
  <c r="CC360" i="10"/>
  <c r="CD361" i="10"/>
  <c r="BK361" i="10"/>
  <c r="BM361" i="10"/>
  <c r="BL362" i="10"/>
  <c r="AJ51" i="5"/>
  <c r="DW50" i="10"/>
  <c r="DX49" i="10"/>
  <c r="DV49" i="10"/>
  <c r="AK50" i="10"/>
  <c r="AL49" i="10"/>
  <c r="AJ49" i="10"/>
  <c r="BC50" i="10"/>
  <c r="BB49" i="10"/>
  <c r="BD49" i="10"/>
  <c r="CN360" i="10"/>
  <c r="CM361" i="10"/>
  <c r="CL360" i="10"/>
  <c r="BV49" i="10"/>
  <c r="BT49" i="10"/>
  <c r="BU50" i="10"/>
  <c r="CL49" i="10"/>
  <c r="CN49" i="10"/>
  <c r="CM50" i="10"/>
  <c r="BL52" i="10"/>
  <c r="BK51" i="10"/>
  <c r="BM51" i="10"/>
  <c r="CV53" i="10"/>
  <c r="CU52" i="10"/>
  <c r="CW52" i="10"/>
  <c r="AU52" i="10"/>
  <c r="AS52" i="10"/>
  <c r="AT53" i="10"/>
  <c r="AL361" i="10"/>
  <c r="AJ361" i="10"/>
  <c r="AK362" i="10"/>
  <c r="AA361" i="10"/>
  <c r="AB362" i="10"/>
  <c r="AC361" i="10"/>
  <c r="CC50" i="10"/>
  <c r="CE50" i="10"/>
  <c r="CD51" i="10"/>
  <c r="DD51" i="10"/>
  <c r="DE52" i="10"/>
  <c r="DF51" i="10"/>
  <c r="BC362" i="10"/>
  <c r="BD361" i="10"/>
  <c r="BB361" i="10"/>
  <c r="P37" i="11"/>
  <c r="S37" i="11"/>
  <c r="V37" i="11"/>
  <c r="L52" i="5"/>
  <c r="S35" i="5"/>
  <c r="R36" i="5"/>
  <c r="D54" i="5"/>
  <c r="G54" i="5" s="1"/>
  <c r="V36" i="5"/>
  <c r="F53" i="5"/>
  <c r="O53" i="5" s="1"/>
  <c r="AI53" i="5"/>
  <c r="E53" i="5"/>
  <c r="AC53" i="5"/>
  <c r="AU362" i="10"/>
  <c r="AS362" i="10"/>
  <c r="AT363" i="10"/>
  <c r="T38" i="11"/>
  <c r="U38" i="11"/>
  <c r="Q38" i="11"/>
  <c r="R38" i="11"/>
  <c r="N38" i="11"/>
  <c r="D38" i="11"/>
  <c r="B39" i="11"/>
  <c r="O38" i="11"/>
  <c r="J45" i="16" l="1"/>
  <c r="L44" i="16"/>
  <c r="K44" i="16"/>
  <c r="G44" i="16" s="1"/>
  <c r="H51" i="16"/>
  <c r="P53" i="5"/>
  <c r="M52" i="5"/>
  <c r="I54" i="5"/>
  <c r="N54" i="5" s="1"/>
  <c r="H54" i="5"/>
  <c r="AA54" i="5"/>
  <c r="AG54" i="5"/>
  <c r="AH53" i="5" s="1"/>
  <c r="AE53" i="5"/>
  <c r="AK53" i="5"/>
  <c r="AL52" i="5" s="1"/>
  <c r="K53" i="5"/>
  <c r="J53" i="5"/>
  <c r="W36" i="5" s="1"/>
  <c r="U36" i="5"/>
  <c r="AA50" i="10"/>
  <c r="AB51" i="10"/>
  <c r="AC50" i="10"/>
  <c r="DO50" i="10"/>
  <c r="DM50" i="10"/>
  <c r="DN51" i="10"/>
  <c r="BT363" i="10"/>
  <c r="BV363" i="10"/>
  <c r="BU364" i="10"/>
  <c r="CE361" i="10"/>
  <c r="CC361" i="10"/>
  <c r="CD362" i="10"/>
  <c r="BM362" i="10"/>
  <c r="BK362" i="10"/>
  <c r="BL363" i="10"/>
  <c r="CM51" i="10"/>
  <c r="CL50" i="10"/>
  <c r="CN50" i="10"/>
  <c r="AJ50" i="10"/>
  <c r="AL50" i="10"/>
  <c r="AK51" i="10"/>
  <c r="BT50" i="10"/>
  <c r="BU51" i="10"/>
  <c r="BV50" i="10"/>
  <c r="CN361" i="10"/>
  <c r="CL361" i="10"/>
  <c r="CM362" i="10"/>
  <c r="BD50" i="10"/>
  <c r="BB50" i="10"/>
  <c r="BC51" i="10"/>
  <c r="DX50" i="10"/>
  <c r="DV50" i="10"/>
  <c r="DW51" i="10"/>
  <c r="CV54" i="10"/>
  <c r="CW53" i="10"/>
  <c r="CU53" i="10"/>
  <c r="BL53" i="10"/>
  <c r="BK52" i="10"/>
  <c r="BM52" i="10"/>
  <c r="AT54" i="10"/>
  <c r="AS53" i="10"/>
  <c r="AU53" i="10"/>
  <c r="BB362" i="10"/>
  <c r="BC363" i="10"/>
  <c r="BD362" i="10"/>
  <c r="DE53" i="10"/>
  <c r="DD52" i="10"/>
  <c r="DF52" i="10"/>
  <c r="CC51" i="10"/>
  <c r="CD52" i="10"/>
  <c r="CE51" i="10"/>
  <c r="AK363" i="10"/>
  <c r="AJ362" i="10"/>
  <c r="AL362" i="10"/>
  <c r="AA362" i="10"/>
  <c r="AC362" i="10"/>
  <c r="AB363" i="10"/>
  <c r="L53" i="5"/>
  <c r="S36" i="5"/>
  <c r="D55" i="5"/>
  <c r="G55" i="5" s="1"/>
  <c r="V37" i="5"/>
  <c r="R37" i="5"/>
  <c r="AC54" i="5"/>
  <c r="F54" i="5"/>
  <c r="O54" i="5" s="1"/>
  <c r="E54" i="5"/>
  <c r="AI54" i="5"/>
  <c r="AJ52" i="5"/>
  <c r="B40" i="11"/>
  <c r="Q39" i="11"/>
  <c r="R39" i="11"/>
  <c r="N39" i="11"/>
  <c r="U39" i="11"/>
  <c r="O39" i="11"/>
  <c r="D39" i="11"/>
  <c r="T39" i="11"/>
  <c r="P38" i="11"/>
  <c r="S38" i="11"/>
  <c r="V38" i="11"/>
  <c r="AS363" i="10"/>
  <c r="AT364" i="10"/>
  <c r="AU363" i="10"/>
  <c r="J46" i="16" l="1"/>
  <c r="L45" i="16"/>
  <c r="K45" i="16"/>
  <c r="G45" i="16" s="1"/>
  <c r="H52" i="16"/>
  <c r="M53" i="5"/>
  <c r="P54" i="5"/>
  <c r="AK54" i="5"/>
  <c r="AL53" i="5" s="1"/>
  <c r="AE54" i="5"/>
  <c r="AG55" i="5"/>
  <c r="AH54" i="5" s="1"/>
  <c r="H55" i="5"/>
  <c r="I55" i="5"/>
  <c r="N55" i="5" s="1"/>
  <c r="AA55" i="5"/>
  <c r="J54" i="5"/>
  <c r="W37" i="5" s="1"/>
  <c r="K54" i="5"/>
  <c r="U37" i="5"/>
  <c r="V39" i="11"/>
  <c r="AC51" i="10"/>
  <c r="AB52" i="10"/>
  <c r="AA51" i="10"/>
  <c r="DM51" i="10"/>
  <c r="DN52" i="10"/>
  <c r="DO51" i="10"/>
  <c r="BT364" i="10"/>
  <c r="BU365" i="10"/>
  <c r="BV364" i="10"/>
  <c r="CC362" i="10"/>
  <c r="CD363" i="10"/>
  <c r="CE362" i="10"/>
  <c r="BK363" i="10"/>
  <c r="BM363" i="10"/>
  <c r="BL364" i="10"/>
  <c r="DX51" i="10"/>
  <c r="DW52" i="10"/>
  <c r="DV51" i="10"/>
  <c r="CL362" i="10"/>
  <c r="CM363" i="10"/>
  <c r="CN362" i="10"/>
  <c r="BV51" i="10"/>
  <c r="BU52" i="10"/>
  <c r="BT51" i="10"/>
  <c r="AL51" i="10"/>
  <c r="AJ51" i="10"/>
  <c r="AK52" i="10"/>
  <c r="BB51" i="10"/>
  <c r="BC52" i="10"/>
  <c r="BD51" i="10"/>
  <c r="CN51" i="10"/>
  <c r="CL51" i="10"/>
  <c r="CM52" i="10"/>
  <c r="BL54" i="10"/>
  <c r="BK53" i="10"/>
  <c r="BM53" i="10"/>
  <c r="CU54" i="10"/>
  <c r="CV55" i="10"/>
  <c r="CW54" i="10"/>
  <c r="AU54" i="10"/>
  <c r="AT55" i="10"/>
  <c r="AS54" i="10"/>
  <c r="AK364" i="10"/>
  <c r="AL363" i="10"/>
  <c r="AJ363" i="10"/>
  <c r="CD53" i="10"/>
  <c r="CE52" i="10"/>
  <c r="CC52" i="10"/>
  <c r="AC363" i="10"/>
  <c r="AB364" i="10"/>
  <c r="AA363" i="10"/>
  <c r="DD53" i="10"/>
  <c r="DF53" i="10"/>
  <c r="DE54" i="10"/>
  <c r="BD363" i="10"/>
  <c r="BC364" i="10"/>
  <c r="BB363" i="10"/>
  <c r="Q40" i="11"/>
  <c r="T40" i="11"/>
  <c r="B41" i="11"/>
  <c r="N40" i="11"/>
  <c r="R40" i="11"/>
  <c r="O40" i="11"/>
  <c r="D40" i="11"/>
  <c r="U40" i="11"/>
  <c r="V38" i="5"/>
  <c r="D56" i="5"/>
  <c r="G56" i="5" s="1"/>
  <c r="R38" i="5"/>
  <c r="AI55" i="5"/>
  <c r="F55" i="5"/>
  <c r="O55" i="5" s="1"/>
  <c r="E55" i="5"/>
  <c r="AC55" i="5"/>
  <c r="AU364" i="10"/>
  <c r="AS364" i="10"/>
  <c r="AT365" i="10"/>
  <c r="P39" i="11"/>
  <c r="S39" i="11"/>
  <c r="L54" i="5"/>
  <c r="S37" i="5"/>
  <c r="AJ53" i="5"/>
  <c r="J47" i="16" l="1"/>
  <c r="K46" i="16"/>
  <c r="G46" i="16" s="1"/>
  <c r="L46" i="16"/>
  <c r="H53" i="16"/>
  <c r="AK55" i="5"/>
  <c r="AL54" i="5" s="1"/>
  <c r="M54" i="5"/>
  <c r="P55" i="5"/>
  <c r="H56" i="5"/>
  <c r="I56" i="5"/>
  <c r="N56" i="5" s="1"/>
  <c r="AA56" i="5"/>
  <c r="AG56" i="5"/>
  <c r="U38" i="5"/>
  <c r="J55" i="5"/>
  <c r="W38" i="5" s="1"/>
  <c r="K55" i="5"/>
  <c r="AE55" i="5"/>
  <c r="AC52" i="10"/>
  <c r="AA52" i="10"/>
  <c r="AB53" i="10"/>
  <c r="DO52" i="10"/>
  <c r="DM52" i="10"/>
  <c r="DN53" i="10"/>
  <c r="BV365" i="10"/>
  <c r="BT365" i="10"/>
  <c r="BU366" i="10"/>
  <c r="CC363" i="10"/>
  <c r="CE363" i="10"/>
  <c r="CD364" i="10"/>
  <c r="BL365" i="10"/>
  <c r="BK364" i="10"/>
  <c r="BM364" i="10"/>
  <c r="CN52" i="10"/>
  <c r="CL52" i="10"/>
  <c r="CM53" i="10"/>
  <c r="BC53" i="10"/>
  <c r="BD52" i="10"/>
  <c r="BB52" i="10"/>
  <c r="AK53" i="10"/>
  <c r="AL52" i="10"/>
  <c r="AJ52" i="10"/>
  <c r="BV52" i="10"/>
  <c r="BU53" i="10"/>
  <c r="BT52" i="10"/>
  <c r="DV52" i="10"/>
  <c r="DX52" i="10"/>
  <c r="DW53" i="10"/>
  <c r="CN363" i="10"/>
  <c r="CM364" i="10"/>
  <c r="CL363" i="10"/>
  <c r="CV56" i="10"/>
  <c r="CU55" i="10"/>
  <c r="CW55" i="10"/>
  <c r="BM54" i="10"/>
  <c r="BK54" i="10"/>
  <c r="BL55" i="10"/>
  <c r="AT56" i="10"/>
  <c r="AS55" i="10"/>
  <c r="AU55" i="10"/>
  <c r="DD54" i="10"/>
  <c r="DF54" i="10"/>
  <c r="DE55" i="10"/>
  <c r="AL364" i="10"/>
  <c r="AJ364" i="10"/>
  <c r="AK365" i="10"/>
  <c r="BD364" i="10"/>
  <c r="BB364" i="10"/>
  <c r="BC365" i="10"/>
  <c r="AC364" i="10"/>
  <c r="AA364" i="10"/>
  <c r="AB365" i="10"/>
  <c r="CE53" i="10"/>
  <c r="CD54" i="10"/>
  <c r="CC53" i="10"/>
  <c r="AU365" i="10"/>
  <c r="AS365" i="10"/>
  <c r="AT366" i="10"/>
  <c r="B42" i="11"/>
  <c r="T41" i="11"/>
  <c r="R41" i="11"/>
  <c r="U41" i="11"/>
  <c r="D41" i="11"/>
  <c r="N41" i="11"/>
  <c r="O41" i="11"/>
  <c r="Q41" i="11"/>
  <c r="S40" i="11"/>
  <c r="L55" i="5"/>
  <c r="S38" i="5"/>
  <c r="AJ54" i="5"/>
  <c r="D57" i="5"/>
  <c r="G57" i="5" s="1"/>
  <c r="V39" i="5"/>
  <c r="R39" i="5"/>
  <c r="AC56" i="5"/>
  <c r="AI56" i="5"/>
  <c r="E56" i="5"/>
  <c r="F56" i="5"/>
  <c r="O56" i="5" s="1"/>
  <c r="P40" i="11"/>
  <c r="V40" i="11"/>
  <c r="J48" i="16" l="1"/>
  <c r="K47" i="16"/>
  <c r="G47" i="16" s="1"/>
  <c r="L47" i="16"/>
  <c r="H54" i="16"/>
  <c r="AE56" i="5"/>
  <c r="M55" i="5"/>
  <c r="AH55" i="5"/>
  <c r="P56" i="5"/>
  <c r="AA57" i="5"/>
  <c r="AG57" i="5"/>
  <c r="AH56" i="5" s="1"/>
  <c r="I57" i="5"/>
  <c r="N57" i="5" s="1"/>
  <c r="H57" i="5"/>
  <c r="J56" i="5"/>
  <c r="W39" i="5" s="1"/>
  <c r="U39" i="5"/>
  <c r="K56" i="5"/>
  <c r="AC53" i="10"/>
  <c r="AB54" i="10"/>
  <c r="AA53" i="10"/>
  <c r="DN54" i="10"/>
  <c r="DM53" i="10"/>
  <c r="DO53" i="10"/>
  <c r="BU367" i="10"/>
  <c r="BV366" i="10"/>
  <c r="BT366" i="10"/>
  <c r="CE364" i="10"/>
  <c r="CC364" i="10"/>
  <c r="CD365" i="10"/>
  <c r="BL366" i="10"/>
  <c r="BM365" i="10"/>
  <c r="BK365" i="10"/>
  <c r="BB53" i="10"/>
  <c r="BC54" i="10"/>
  <c r="BD53" i="10"/>
  <c r="CM365" i="10"/>
  <c r="CL364" i="10"/>
  <c r="CN364" i="10"/>
  <c r="DV53" i="10"/>
  <c r="DW54" i="10"/>
  <c r="DX53" i="10"/>
  <c r="BU54" i="10"/>
  <c r="BV53" i="10"/>
  <c r="BT53" i="10"/>
  <c r="AJ53" i="10"/>
  <c r="AK54" i="10"/>
  <c r="AL53" i="10"/>
  <c r="CM54" i="10"/>
  <c r="CN53" i="10"/>
  <c r="CL53" i="10"/>
  <c r="AJ55" i="5"/>
  <c r="AK56" i="5"/>
  <c r="BL56" i="10"/>
  <c r="BM55" i="10"/>
  <c r="BK55" i="10"/>
  <c r="CW56" i="10"/>
  <c r="CU56" i="10"/>
  <c r="CV57" i="10"/>
  <c r="AU56" i="10"/>
  <c r="AT57" i="10"/>
  <c r="AS56" i="10"/>
  <c r="AK366" i="10"/>
  <c r="AL365" i="10"/>
  <c r="AJ365" i="10"/>
  <c r="DD55" i="10"/>
  <c r="DF55" i="10"/>
  <c r="DE56" i="10"/>
  <c r="S41" i="11"/>
  <c r="P41" i="11"/>
  <c r="CE54" i="10"/>
  <c r="CD55" i="10"/>
  <c r="CC54" i="10"/>
  <c r="AB366" i="10"/>
  <c r="AA365" i="10"/>
  <c r="AC365" i="10"/>
  <c r="BB365" i="10"/>
  <c r="BD365" i="10"/>
  <c r="BC366" i="10"/>
  <c r="L56" i="5"/>
  <c r="S39" i="5"/>
  <c r="D42" i="11"/>
  <c r="Q42" i="11"/>
  <c r="U42" i="11"/>
  <c r="O42" i="11"/>
  <c r="T42" i="11"/>
  <c r="N42" i="11"/>
  <c r="R42" i="11"/>
  <c r="B43" i="11"/>
  <c r="AU366" i="10"/>
  <c r="AS366" i="10"/>
  <c r="AT367" i="10"/>
  <c r="R40" i="5"/>
  <c r="D58" i="5"/>
  <c r="G58" i="5" s="1"/>
  <c r="V40" i="5"/>
  <c r="AC57" i="5"/>
  <c r="E57" i="5"/>
  <c r="AI57" i="5"/>
  <c r="F57" i="5"/>
  <c r="O57" i="5" s="1"/>
  <c r="V41" i="11"/>
  <c r="J49" i="16" l="1"/>
  <c r="K48" i="16"/>
  <c r="G48" i="16" s="1"/>
  <c r="L48" i="16"/>
  <c r="H55" i="16"/>
  <c r="P42" i="11"/>
  <c r="V42" i="11"/>
  <c r="M56" i="5"/>
  <c r="P57" i="5"/>
  <c r="AE57" i="5"/>
  <c r="I58" i="5"/>
  <c r="N58" i="5" s="1"/>
  <c r="AA58" i="5"/>
  <c r="AG58" i="5"/>
  <c r="AH57" i="5" s="1"/>
  <c r="H58" i="5"/>
  <c r="J57" i="5"/>
  <c r="W40" i="5" s="1"/>
  <c r="U40" i="5"/>
  <c r="K57" i="5"/>
  <c r="AB55" i="10"/>
  <c r="AA54" i="10"/>
  <c r="AC54" i="10"/>
  <c r="DN55" i="10"/>
  <c r="DO54" i="10"/>
  <c r="DM54" i="10"/>
  <c r="BV367" i="10"/>
  <c r="BT367" i="10"/>
  <c r="BU368" i="10"/>
  <c r="CC365" i="10"/>
  <c r="CD366" i="10"/>
  <c r="CE365" i="10"/>
  <c r="BK366" i="10"/>
  <c r="BM366" i="10"/>
  <c r="BL367" i="10"/>
  <c r="CM55" i="10"/>
  <c r="CL54" i="10"/>
  <c r="CN54" i="10"/>
  <c r="AK55" i="10"/>
  <c r="AL54" i="10"/>
  <c r="AJ54" i="10"/>
  <c r="BV54" i="10"/>
  <c r="BU55" i="10"/>
  <c r="BT54" i="10"/>
  <c r="DX54" i="10"/>
  <c r="DV54" i="10"/>
  <c r="DW55" i="10"/>
  <c r="CN365" i="10"/>
  <c r="CL365" i="10"/>
  <c r="CM366" i="10"/>
  <c r="BD54" i="10"/>
  <c r="BB54" i="10"/>
  <c r="BC55" i="10"/>
  <c r="AL55" i="5"/>
  <c r="AJ56" i="5"/>
  <c r="AK57" i="5"/>
  <c r="AL56" i="5" s="1"/>
  <c r="CW57" i="10"/>
  <c r="CU57" i="10"/>
  <c r="CV58" i="10"/>
  <c r="BM56" i="10"/>
  <c r="BL57" i="10"/>
  <c r="BK56" i="10"/>
  <c r="AT58" i="10"/>
  <c r="AS57" i="10"/>
  <c r="AU57" i="10"/>
  <c r="AC366" i="10"/>
  <c r="AB367" i="10"/>
  <c r="AA366" i="10"/>
  <c r="CE55" i="10"/>
  <c r="CD56" i="10"/>
  <c r="CC55" i="10"/>
  <c r="DE57" i="10"/>
  <c r="DD56" i="10"/>
  <c r="DF56" i="10"/>
  <c r="BD366" i="10"/>
  <c r="BB366" i="10"/>
  <c r="BC367" i="10"/>
  <c r="AK367" i="10"/>
  <c r="AJ366" i="10"/>
  <c r="AL366" i="10"/>
  <c r="D59" i="5"/>
  <c r="G59" i="5" s="1"/>
  <c r="R41" i="5"/>
  <c r="V41" i="5"/>
  <c r="F58" i="5"/>
  <c r="O58" i="5" s="1"/>
  <c r="AC58" i="5"/>
  <c r="AI58" i="5"/>
  <c r="E58" i="5"/>
  <c r="AS367" i="10"/>
  <c r="AU367" i="10"/>
  <c r="AT368" i="10"/>
  <c r="Q43" i="11"/>
  <c r="R43" i="11"/>
  <c r="D43" i="11"/>
  <c r="T43" i="11"/>
  <c r="U43" i="11"/>
  <c r="O43" i="11"/>
  <c r="N43" i="11"/>
  <c r="B44" i="11"/>
  <c r="S42" i="11"/>
  <c r="L57" i="5"/>
  <c r="S40" i="5"/>
  <c r="J50" i="16" l="1"/>
  <c r="K49" i="16"/>
  <c r="G49" i="16" s="1"/>
  <c r="L49" i="16"/>
  <c r="H56" i="16"/>
  <c r="M57" i="5"/>
  <c r="AE58" i="5"/>
  <c r="AK58" i="5"/>
  <c r="AL57" i="5" s="1"/>
  <c r="P58" i="5"/>
  <c r="P43" i="11"/>
  <c r="S43" i="11"/>
  <c r="I59" i="5"/>
  <c r="N59" i="5" s="1"/>
  <c r="AG59" i="5"/>
  <c r="AH58" i="5" s="1"/>
  <c r="H59" i="5"/>
  <c r="AA59" i="5"/>
  <c r="U41" i="5"/>
  <c r="K58" i="5"/>
  <c r="J58" i="5"/>
  <c r="W41" i="5" s="1"/>
  <c r="AB56" i="10"/>
  <c r="AC55" i="10"/>
  <c r="AA55" i="10"/>
  <c r="DO55" i="10"/>
  <c r="DN56" i="10"/>
  <c r="DM55" i="10"/>
  <c r="BV368" i="10"/>
  <c r="BT368" i="10"/>
  <c r="BU369" i="10"/>
  <c r="CD367" i="10"/>
  <c r="CE366" i="10"/>
  <c r="CC366" i="10"/>
  <c r="BL368" i="10"/>
  <c r="BM367" i="10"/>
  <c r="BK367" i="10"/>
  <c r="AJ57" i="5"/>
  <c r="BB55" i="10"/>
  <c r="BD55" i="10"/>
  <c r="BC56" i="10"/>
  <c r="DV55" i="10"/>
  <c r="DW56" i="10"/>
  <c r="DX55" i="10"/>
  <c r="BU56" i="10"/>
  <c r="BT55" i="10"/>
  <c r="BV55" i="10"/>
  <c r="AL55" i="10"/>
  <c r="AK56" i="10"/>
  <c r="AJ55" i="10"/>
  <c r="CL366" i="10"/>
  <c r="CM367" i="10"/>
  <c r="CN366" i="10"/>
  <c r="CM56" i="10"/>
  <c r="CN55" i="10"/>
  <c r="CL55" i="10"/>
  <c r="BK57" i="10"/>
  <c r="BL58" i="10"/>
  <c r="BM57" i="10"/>
  <c r="CW58" i="10"/>
  <c r="CV59" i="10"/>
  <c r="CU58" i="10"/>
  <c r="AU58" i="10"/>
  <c r="AT59" i="10"/>
  <c r="AS58" i="10"/>
  <c r="AK368" i="10"/>
  <c r="AJ367" i="10"/>
  <c r="AL367" i="10"/>
  <c r="BB367" i="10"/>
  <c r="BD367" i="10"/>
  <c r="BC368" i="10"/>
  <c r="DD57" i="10"/>
  <c r="DE58" i="10"/>
  <c r="DF57" i="10"/>
  <c r="CC56" i="10"/>
  <c r="CE56" i="10"/>
  <c r="CD57" i="10"/>
  <c r="AA367" i="10"/>
  <c r="AC367" i="10"/>
  <c r="AB368" i="10"/>
  <c r="B45" i="11"/>
  <c r="R44" i="11"/>
  <c r="Q44" i="11"/>
  <c r="D44" i="11"/>
  <c r="T44" i="11"/>
  <c r="U44" i="11"/>
  <c r="O44" i="11"/>
  <c r="N44" i="11"/>
  <c r="V43" i="11"/>
  <c r="AU368" i="10"/>
  <c r="AS368" i="10"/>
  <c r="AT369" i="10"/>
  <c r="L58" i="5"/>
  <c r="S41" i="5"/>
  <c r="V42" i="5"/>
  <c r="R42" i="5"/>
  <c r="D60" i="5"/>
  <c r="G60" i="5" s="1"/>
  <c r="AC59" i="5"/>
  <c r="E59" i="5"/>
  <c r="F59" i="5"/>
  <c r="O59" i="5" s="1"/>
  <c r="AI59" i="5"/>
  <c r="J51" i="16" l="1"/>
  <c r="K50" i="16"/>
  <c r="G50" i="16" s="1"/>
  <c r="L50" i="16"/>
  <c r="H57" i="16"/>
  <c r="P59" i="5"/>
  <c r="AE59" i="5"/>
  <c r="K59" i="5"/>
  <c r="J59" i="5"/>
  <c r="W42" i="5" s="1"/>
  <c r="U42" i="5"/>
  <c r="I60" i="5"/>
  <c r="N60" i="5" s="1"/>
  <c r="H60" i="5"/>
  <c r="AG60" i="5"/>
  <c r="AH59" i="5" s="1"/>
  <c r="AA60" i="5"/>
  <c r="M58" i="5"/>
  <c r="V44" i="11"/>
  <c r="S44" i="11"/>
  <c r="AC56" i="10"/>
  <c r="AB57" i="10"/>
  <c r="AA56" i="10"/>
  <c r="DM56" i="10"/>
  <c r="DN57" i="10"/>
  <c r="DO56" i="10"/>
  <c r="BV369" i="10"/>
  <c r="BT369" i="10"/>
  <c r="BU370" i="10"/>
  <c r="CD368" i="10"/>
  <c r="CE367" i="10"/>
  <c r="CC367" i="10"/>
  <c r="BK368" i="10"/>
  <c r="BM368" i="10"/>
  <c r="BL369" i="10"/>
  <c r="AL56" i="10"/>
  <c r="AJ56" i="10"/>
  <c r="AK57" i="10"/>
  <c r="BU57" i="10"/>
  <c r="BV56" i="10"/>
  <c r="BT56" i="10"/>
  <c r="DX56" i="10"/>
  <c r="DW57" i="10"/>
  <c r="DV56" i="10"/>
  <c r="BC57" i="10"/>
  <c r="BB56" i="10"/>
  <c r="BD56" i="10"/>
  <c r="CL56" i="10"/>
  <c r="CM57" i="10"/>
  <c r="CN56" i="10"/>
  <c r="CM368" i="10"/>
  <c r="CN367" i="10"/>
  <c r="CL367" i="10"/>
  <c r="AJ58" i="5"/>
  <c r="AK59" i="5"/>
  <c r="BL59" i="10"/>
  <c r="BM58" i="10"/>
  <c r="BK58" i="10"/>
  <c r="CU59" i="10"/>
  <c r="CV60" i="10"/>
  <c r="CW59" i="10"/>
  <c r="AU59" i="10"/>
  <c r="AS59" i="10"/>
  <c r="AT60" i="10"/>
  <c r="CC57" i="10"/>
  <c r="CD58" i="10"/>
  <c r="CE57" i="10"/>
  <c r="DD58" i="10"/>
  <c r="DE59" i="10"/>
  <c r="DF58" i="10"/>
  <c r="AL368" i="10"/>
  <c r="AK369" i="10"/>
  <c r="AJ368" i="10"/>
  <c r="AB369" i="10"/>
  <c r="AA368" i="10"/>
  <c r="AC368" i="10"/>
  <c r="BB368" i="10"/>
  <c r="BC369" i="10"/>
  <c r="BD368" i="10"/>
  <c r="S42" i="5"/>
  <c r="L59" i="5"/>
  <c r="R43" i="5"/>
  <c r="V43" i="5"/>
  <c r="D61" i="5"/>
  <c r="G61" i="5" s="1"/>
  <c r="E60" i="5"/>
  <c r="F60" i="5"/>
  <c r="O60" i="5" s="1"/>
  <c r="AI60" i="5"/>
  <c r="AC60" i="5"/>
  <c r="U45" i="11"/>
  <c r="O45" i="11"/>
  <c r="R45" i="11"/>
  <c r="T45" i="11"/>
  <c r="Q45" i="11"/>
  <c r="B46" i="11"/>
  <c r="D45" i="11"/>
  <c r="N45" i="11"/>
  <c r="AT370" i="10"/>
  <c r="AS369" i="10"/>
  <c r="AU369" i="10"/>
  <c r="P44" i="11"/>
  <c r="P45" i="11" l="1"/>
  <c r="S45" i="11"/>
  <c r="J52" i="16"/>
  <c r="K51" i="16"/>
  <c r="G51" i="16" s="1"/>
  <c r="L51" i="16"/>
  <c r="H58" i="16"/>
  <c r="P60" i="5"/>
  <c r="V45" i="11"/>
  <c r="M59" i="5"/>
  <c r="AE60" i="5"/>
  <c r="H61" i="5"/>
  <c r="AG61" i="5"/>
  <c r="AA61" i="5"/>
  <c r="I61" i="5"/>
  <c r="N61" i="5" s="1"/>
  <c r="AK60" i="5"/>
  <c r="AL59" i="5" s="1"/>
  <c r="K60" i="5"/>
  <c r="J60" i="5"/>
  <c r="W43" i="5" s="1"/>
  <c r="U43" i="5"/>
  <c r="AC57" i="10"/>
  <c r="AA57" i="10"/>
  <c r="AB58" i="10"/>
  <c r="DM57" i="10"/>
  <c r="DN58" i="10"/>
  <c r="DO57" i="10"/>
  <c r="BT370" i="10"/>
  <c r="BU371" i="10"/>
  <c r="BV370" i="10"/>
  <c r="CC368" i="10"/>
  <c r="CD369" i="10"/>
  <c r="CE368" i="10"/>
  <c r="BM369" i="10"/>
  <c r="BK369" i="10"/>
  <c r="BL370" i="10"/>
  <c r="CN368" i="10"/>
  <c r="CL368" i="10"/>
  <c r="CM369" i="10"/>
  <c r="CL57" i="10"/>
  <c r="CN57" i="10"/>
  <c r="CM58" i="10"/>
  <c r="BC58" i="10"/>
  <c r="BB57" i="10"/>
  <c r="BD57" i="10"/>
  <c r="DX57" i="10"/>
  <c r="DV57" i="10"/>
  <c r="DW58" i="10"/>
  <c r="BV57" i="10"/>
  <c r="BT57" i="10"/>
  <c r="BU58" i="10"/>
  <c r="AK58" i="10"/>
  <c r="AL57" i="10"/>
  <c r="AJ57" i="10"/>
  <c r="AL58" i="5"/>
  <c r="CW60" i="10"/>
  <c r="CU60" i="10"/>
  <c r="CV61" i="10"/>
  <c r="BK59" i="10"/>
  <c r="BL60" i="10"/>
  <c r="BM59" i="10"/>
  <c r="AT61" i="10"/>
  <c r="AS60" i="10"/>
  <c r="AU60" i="10"/>
  <c r="AK370" i="10"/>
  <c r="AJ369" i="10"/>
  <c r="AL369" i="10"/>
  <c r="CC58" i="10"/>
  <c r="CE58" i="10"/>
  <c r="CD59" i="10"/>
  <c r="BB369" i="10"/>
  <c r="BD369" i="10"/>
  <c r="BC370" i="10"/>
  <c r="AA369" i="10"/>
  <c r="AB370" i="10"/>
  <c r="AC369" i="10"/>
  <c r="DD59" i="10"/>
  <c r="DE60" i="10"/>
  <c r="DF59" i="10"/>
  <c r="AU370" i="10"/>
  <c r="AS370" i="10"/>
  <c r="AT371" i="10"/>
  <c r="AJ59" i="5"/>
  <c r="L60" i="5"/>
  <c r="S43" i="5"/>
  <c r="U46" i="11"/>
  <c r="Q46" i="11"/>
  <c r="B47" i="11"/>
  <c r="R46" i="11"/>
  <c r="N46" i="11"/>
  <c r="O46" i="11"/>
  <c r="D46" i="11"/>
  <c r="T46" i="11"/>
  <c r="D62" i="5"/>
  <c r="G62" i="5" s="1"/>
  <c r="R44" i="5"/>
  <c r="V44" i="5"/>
  <c r="F61" i="5"/>
  <c r="O61" i="5" s="1"/>
  <c r="E61" i="5"/>
  <c r="AC61" i="5"/>
  <c r="AI61" i="5"/>
  <c r="J53" i="16" l="1"/>
  <c r="L52" i="16"/>
  <c r="K52" i="16"/>
  <c r="G52" i="16" s="1"/>
  <c r="H59" i="16"/>
  <c r="P46" i="11"/>
  <c r="AE61" i="5"/>
  <c r="M60" i="5"/>
  <c r="AK61" i="5"/>
  <c r="AL60" i="5" s="1"/>
  <c r="I62" i="5"/>
  <c r="N62" i="5" s="1"/>
  <c r="H62" i="5"/>
  <c r="AG62" i="5"/>
  <c r="AH61" i="5" s="1"/>
  <c r="AA62" i="5"/>
  <c r="P61" i="5"/>
  <c r="AH60" i="5"/>
  <c r="J61" i="5"/>
  <c r="W44" i="5" s="1"/>
  <c r="U44" i="5"/>
  <c r="K61" i="5"/>
  <c r="AB59" i="10"/>
  <c r="AC58" i="10"/>
  <c r="AA58" i="10"/>
  <c r="DN59" i="10"/>
  <c r="DM58" i="10"/>
  <c r="DO58" i="10"/>
  <c r="BT371" i="10"/>
  <c r="BV371" i="10"/>
  <c r="BU372" i="10"/>
  <c r="CD370" i="10"/>
  <c r="CE369" i="10"/>
  <c r="CC369" i="10"/>
  <c r="BK370" i="10"/>
  <c r="BL371" i="10"/>
  <c r="BM370" i="10"/>
  <c r="AK59" i="10"/>
  <c r="AL58" i="10"/>
  <c r="AJ58" i="10"/>
  <c r="DW59" i="10"/>
  <c r="DX58" i="10"/>
  <c r="DV58" i="10"/>
  <c r="CM59" i="10"/>
  <c r="CL58" i="10"/>
  <c r="CN58" i="10"/>
  <c r="BT58" i="10"/>
  <c r="BV58" i="10"/>
  <c r="BU59" i="10"/>
  <c r="BC59" i="10"/>
  <c r="BB58" i="10"/>
  <c r="BD58" i="10"/>
  <c r="CL369" i="10"/>
  <c r="CM370" i="10"/>
  <c r="CN369" i="10"/>
  <c r="BL61" i="10"/>
  <c r="BM60" i="10"/>
  <c r="BK60" i="10"/>
  <c r="CW61" i="10"/>
  <c r="CU61" i="10"/>
  <c r="CV62" i="10"/>
  <c r="AT62" i="10"/>
  <c r="AS61" i="10"/>
  <c r="AU61" i="10"/>
  <c r="AB371" i="10"/>
  <c r="AA370" i="10"/>
  <c r="AC370" i="10"/>
  <c r="AJ370" i="10"/>
  <c r="AK371" i="10"/>
  <c r="AL370" i="10"/>
  <c r="DD60" i="10"/>
  <c r="DF60" i="10"/>
  <c r="DE61" i="10"/>
  <c r="BD370" i="10"/>
  <c r="BB370" i="10"/>
  <c r="BC371" i="10"/>
  <c r="CD60" i="10"/>
  <c r="CE59" i="10"/>
  <c r="CC59" i="10"/>
  <c r="R45" i="5"/>
  <c r="V45" i="5"/>
  <c r="D63" i="5"/>
  <c r="G63" i="5" s="1"/>
  <c r="AI62" i="5"/>
  <c r="E62" i="5"/>
  <c r="AC62" i="5"/>
  <c r="F62" i="5"/>
  <c r="O62" i="5" s="1"/>
  <c r="Q47" i="11"/>
  <c r="R47" i="11"/>
  <c r="D47" i="11"/>
  <c r="U47" i="11"/>
  <c r="O47" i="11"/>
  <c r="B48" i="11"/>
  <c r="N47" i="11"/>
  <c r="T47" i="11"/>
  <c r="L61" i="5"/>
  <c r="S44" i="5"/>
  <c r="V46" i="11"/>
  <c r="S46" i="11"/>
  <c r="AJ60" i="5"/>
  <c r="AU371" i="10"/>
  <c r="AS371" i="10"/>
  <c r="AT372" i="10"/>
  <c r="V47" i="11" l="1"/>
  <c r="J54" i="16"/>
  <c r="L53" i="16"/>
  <c r="K53" i="16"/>
  <c r="G53" i="16" s="1"/>
  <c r="H60" i="16"/>
  <c r="P47" i="11"/>
  <c r="S47" i="11"/>
  <c r="M61" i="5"/>
  <c r="P62" i="5"/>
  <c r="AE62" i="5"/>
  <c r="K62" i="5"/>
  <c r="J62" i="5"/>
  <c r="W45" i="5" s="1"/>
  <c r="U45" i="5"/>
  <c r="AA63" i="5"/>
  <c r="I63" i="5"/>
  <c r="N63" i="5" s="1"/>
  <c r="AG63" i="5"/>
  <c r="H63" i="5"/>
  <c r="AA59" i="10"/>
  <c r="AC59" i="10"/>
  <c r="AB60" i="10"/>
  <c r="DN60" i="10"/>
  <c r="DO59" i="10"/>
  <c r="DM59" i="10"/>
  <c r="BU373" i="10"/>
  <c r="BV372" i="10"/>
  <c r="BT372" i="10"/>
  <c r="CD371" i="10"/>
  <c r="CC370" i="10"/>
  <c r="CE370" i="10"/>
  <c r="BL372" i="10"/>
  <c r="BM371" i="10"/>
  <c r="BK371" i="10"/>
  <c r="BT59" i="10"/>
  <c r="BV59" i="10"/>
  <c r="BU60" i="10"/>
  <c r="DX59" i="10"/>
  <c r="DW60" i="10"/>
  <c r="DV59" i="10"/>
  <c r="CN370" i="10"/>
  <c r="CL370" i="10"/>
  <c r="CM371" i="10"/>
  <c r="BC60" i="10"/>
  <c r="BD59" i="10"/>
  <c r="BB59" i="10"/>
  <c r="CM60" i="10"/>
  <c r="CL59" i="10"/>
  <c r="CN59" i="10"/>
  <c r="AL59" i="10"/>
  <c r="AJ59" i="10"/>
  <c r="AK60" i="10"/>
  <c r="AJ61" i="5"/>
  <c r="AK62" i="5"/>
  <c r="CW62" i="10"/>
  <c r="CU62" i="10"/>
  <c r="CV63" i="10"/>
  <c r="BK61" i="10"/>
  <c r="BL62" i="10"/>
  <c r="BM61" i="10"/>
  <c r="AS62" i="10"/>
  <c r="AU62" i="10"/>
  <c r="AT63" i="10"/>
  <c r="CE60" i="10"/>
  <c r="CD61" i="10"/>
  <c r="CC60" i="10"/>
  <c r="BB371" i="10"/>
  <c r="BC372" i="10"/>
  <c r="BD371" i="10"/>
  <c r="AJ371" i="10"/>
  <c r="AL371" i="10"/>
  <c r="AK372" i="10"/>
  <c r="DF61" i="10"/>
  <c r="DE62" i="10"/>
  <c r="DD61" i="10"/>
  <c r="AA371" i="10"/>
  <c r="AB372" i="10"/>
  <c r="AC371" i="10"/>
  <c r="AT373" i="10"/>
  <c r="AS372" i="10"/>
  <c r="AU372" i="10"/>
  <c r="N48" i="11"/>
  <c r="T48" i="11"/>
  <c r="O48" i="11"/>
  <c r="B49" i="11"/>
  <c r="Q48" i="11"/>
  <c r="U48" i="11"/>
  <c r="D48" i="11"/>
  <c r="R48" i="11"/>
  <c r="S45" i="5"/>
  <c r="L62" i="5"/>
  <c r="R46" i="5"/>
  <c r="D64" i="5"/>
  <c r="G64" i="5" s="1"/>
  <c r="V46" i="5"/>
  <c r="AI63" i="5"/>
  <c r="AC63" i="5"/>
  <c r="E63" i="5"/>
  <c r="F63" i="5"/>
  <c r="O63" i="5" s="1"/>
  <c r="J55" i="16" l="1"/>
  <c r="K54" i="16"/>
  <c r="G54" i="16" s="1"/>
  <c r="L54" i="16"/>
  <c r="H61" i="16"/>
  <c r="M62" i="5"/>
  <c r="P63" i="5"/>
  <c r="AG64" i="5"/>
  <c r="I64" i="5"/>
  <c r="N64" i="5" s="1"/>
  <c r="AA64" i="5"/>
  <c r="H64" i="5"/>
  <c r="AH62" i="5"/>
  <c r="AE63" i="5"/>
  <c r="U46" i="5"/>
  <c r="K63" i="5"/>
  <c r="J63" i="5"/>
  <c r="W46" i="5" s="1"/>
  <c r="AB61" i="10"/>
  <c r="AA60" i="10"/>
  <c r="AC60" i="10"/>
  <c r="DO60" i="10"/>
  <c r="DN61" i="10"/>
  <c r="DM60" i="10"/>
  <c r="BV373" i="10"/>
  <c r="BT373" i="10"/>
  <c r="BU374" i="10"/>
  <c r="CD372" i="10"/>
  <c r="CC371" i="10"/>
  <c r="CE371" i="10"/>
  <c r="BL373" i="10"/>
  <c r="BM372" i="10"/>
  <c r="BK372" i="10"/>
  <c r="AL60" i="10"/>
  <c r="AK61" i="10"/>
  <c r="AJ60" i="10"/>
  <c r="BB60" i="10"/>
  <c r="BC61" i="10"/>
  <c r="BD60" i="10"/>
  <c r="CN60" i="10"/>
  <c r="CL60" i="10"/>
  <c r="CM61" i="10"/>
  <c r="CM372" i="10"/>
  <c r="CN371" i="10"/>
  <c r="CL371" i="10"/>
  <c r="DX60" i="10"/>
  <c r="DW61" i="10"/>
  <c r="DV60" i="10"/>
  <c r="BU61" i="10"/>
  <c r="BV60" i="10"/>
  <c r="BT60" i="10"/>
  <c r="AJ62" i="5"/>
  <c r="AK63" i="5"/>
  <c r="AL62" i="5" s="1"/>
  <c r="AL61" i="5"/>
  <c r="BL63" i="10"/>
  <c r="BM62" i="10"/>
  <c r="BK62" i="10"/>
  <c r="CW63" i="10"/>
  <c r="CV64" i="10"/>
  <c r="CU63" i="10"/>
  <c r="AT64" i="10"/>
  <c r="AU63" i="10"/>
  <c r="AS63" i="10"/>
  <c r="AC372" i="10"/>
  <c r="AB373" i="10"/>
  <c r="AA372" i="10"/>
  <c r="BB372" i="10"/>
  <c r="BC373" i="10"/>
  <c r="BD372" i="10"/>
  <c r="DF62" i="10"/>
  <c r="DE63" i="10"/>
  <c r="DD62" i="10"/>
  <c r="AK373" i="10"/>
  <c r="AL372" i="10"/>
  <c r="AJ372" i="10"/>
  <c r="CE61" i="10"/>
  <c r="CD62" i="10"/>
  <c r="CC61" i="10"/>
  <c r="S48" i="11"/>
  <c r="P48" i="11"/>
  <c r="AU373" i="10"/>
  <c r="AS373" i="10"/>
  <c r="AT374" i="10"/>
  <c r="L63" i="5"/>
  <c r="S46" i="5"/>
  <c r="R47" i="5"/>
  <c r="D65" i="5"/>
  <c r="G65" i="5" s="1"/>
  <c r="V47" i="5"/>
  <c r="AI64" i="5"/>
  <c r="E64" i="5"/>
  <c r="AC64" i="5"/>
  <c r="F64" i="5"/>
  <c r="O64" i="5" s="1"/>
  <c r="O49" i="11"/>
  <c r="D49" i="11"/>
  <c r="R49" i="11"/>
  <c r="U49" i="11"/>
  <c r="T49" i="11"/>
  <c r="Q49" i="11"/>
  <c r="N49" i="11"/>
  <c r="B50" i="11"/>
  <c r="V48" i="11"/>
  <c r="J56" i="16" l="1"/>
  <c r="K55" i="16"/>
  <c r="G55" i="16" s="1"/>
  <c r="L55" i="16"/>
  <c r="H62" i="16"/>
  <c r="P49" i="11"/>
  <c r="P64" i="5"/>
  <c r="M63" i="5"/>
  <c r="AK64" i="5"/>
  <c r="AL63" i="5" s="1"/>
  <c r="AE64" i="5"/>
  <c r="J64" i="5"/>
  <c r="W47" i="5" s="1"/>
  <c r="K64" i="5"/>
  <c r="U47" i="5"/>
  <c r="AA65" i="5"/>
  <c r="AG65" i="5"/>
  <c r="H65" i="5"/>
  <c r="I65" i="5"/>
  <c r="N65" i="5" s="1"/>
  <c r="AH63" i="5"/>
  <c r="AB62" i="10"/>
  <c r="AA61" i="10"/>
  <c r="AC61" i="10"/>
  <c r="DM61" i="10"/>
  <c r="DO61" i="10"/>
  <c r="DN62" i="10"/>
  <c r="BV374" i="10"/>
  <c r="BT374" i="10"/>
  <c r="BU375" i="10"/>
  <c r="CE372" i="10"/>
  <c r="CC372" i="10"/>
  <c r="CD373" i="10"/>
  <c r="BK373" i="10"/>
  <c r="BM373" i="10"/>
  <c r="BL374" i="10"/>
  <c r="BU62" i="10"/>
  <c r="BV61" i="10"/>
  <c r="BT61" i="10"/>
  <c r="DV61" i="10"/>
  <c r="DW62" i="10"/>
  <c r="DX61" i="10"/>
  <c r="CN372" i="10"/>
  <c r="CM373" i="10"/>
  <c r="CL372" i="10"/>
  <c r="AJ61" i="10"/>
  <c r="AK62" i="10"/>
  <c r="AL61" i="10"/>
  <c r="CM62" i="10"/>
  <c r="CL61" i="10"/>
  <c r="CN61" i="10"/>
  <c r="BB61" i="10"/>
  <c r="BD61" i="10"/>
  <c r="BC62" i="10"/>
  <c r="CU64" i="10"/>
  <c r="CW64" i="10"/>
  <c r="CV65" i="10"/>
  <c r="BM63" i="10"/>
  <c r="BL64" i="10"/>
  <c r="BK63" i="10"/>
  <c r="AU64" i="10"/>
  <c r="AT65" i="10"/>
  <c r="AS64" i="10"/>
  <c r="DD63" i="10"/>
  <c r="DF63" i="10"/>
  <c r="DE64" i="10"/>
  <c r="BD373" i="10"/>
  <c r="BC374" i="10"/>
  <c r="BB373" i="10"/>
  <c r="V49" i="11"/>
  <c r="CE62" i="10"/>
  <c r="CD63" i="10"/>
  <c r="CC62" i="10"/>
  <c r="AJ373" i="10"/>
  <c r="AK374" i="10"/>
  <c r="AL373" i="10"/>
  <c r="AB374" i="10"/>
  <c r="AA373" i="10"/>
  <c r="AC373" i="10"/>
  <c r="AJ63" i="5"/>
  <c r="V48" i="5"/>
  <c r="D66" i="5"/>
  <c r="G66" i="5" s="1"/>
  <c r="R48" i="5"/>
  <c r="F65" i="5"/>
  <c r="O65" i="5" s="1"/>
  <c r="AC65" i="5"/>
  <c r="E65" i="5"/>
  <c r="AI65" i="5"/>
  <c r="AU374" i="10"/>
  <c r="AS374" i="10"/>
  <c r="AT375" i="10"/>
  <c r="T50" i="11"/>
  <c r="U50" i="11"/>
  <c r="Q50" i="11"/>
  <c r="R50" i="11"/>
  <c r="O50" i="11"/>
  <c r="B51" i="11"/>
  <c r="N50" i="11"/>
  <c r="D50" i="11"/>
  <c r="S49" i="11"/>
  <c r="L64" i="5"/>
  <c r="S47" i="5"/>
  <c r="J57" i="16" l="1"/>
  <c r="K56" i="16"/>
  <c r="G56" i="16" s="1"/>
  <c r="L56" i="16"/>
  <c r="H63" i="16"/>
  <c r="P50" i="11"/>
  <c r="P65" i="5"/>
  <c r="AK65" i="5"/>
  <c r="AL64" i="5" s="1"/>
  <c r="AE65" i="5"/>
  <c r="K65" i="5"/>
  <c r="J65" i="5"/>
  <c r="W48" i="5" s="1"/>
  <c r="U48" i="5"/>
  <c r="M64" i="5"/>
  <c r="H66" i="5"/>
  <c r="AA66" i="5"/>
  <c r="AG66" i="5"/>
  <c r="I66" i="5"/>
  <c r="N66" i="5" s="1"/>
  <c r="AH64" i="5"/>
  <c r="AA62" i="10"/>
  <c r="AC62" i="10"/>
  <c r="AB63" i="10"/>
  <c r="DO62" i="10"/>
  <c r="DN63" i="10"/>
  <c r="DM62" i="10"/>
  <c r="BU376" i="10"/>
  <c r="BV375" i="10"/>
  <c r="BT375" i="10"/>
  <c r="CD374" i="10"/>
  <c r="CC373" i="10"/>
  <c r="CE373" i="10"/>
  <c r="BK374" i="10"/>
  <c r="BL375" i="10"/>
  <c r="BM374" i="10"/>
  <c r="BB62" i="10"/>
  <c r="BD62" i="10"/>
  <c r="BC63" i="10"/>
  <c r="CL373" i="10"/>
  <c r="CN373" i="10"/>
  <c r="CM374" i="10"/>
  <c r="CN62" i="10"/>
  <c r="CM63" i="10"/>
  <c r="CL62" i="10"/>
  <c r="AL62" i="10"/>
  <c r="AJ62" i="10"/>
  <c r="AK63" i="10"/>
  <c r="DV62" i="10"/>
  <c r="DX62" i="10"/>
  <c r="DW63" i="10"/>
  <c r="BU63" i="10"/>
  <c r="BV62" i="10"/>
  <c r="BT62" i="10"/>
  <c r="BK64" i="10"/>
  <c r="BL65" i="10"/>
  <c r="BM64" i="10"/>
  <c r="CV66" i="10"/>
  <c r="CU65" i="10"/>
  <c r="CW65" i="10"/>
  <c r="AU65" i="10"/>
  <c r="AS65" i="10"/>
  <c r="AT66" i="10"/>
  <c r="AJ374" i="10"/>
  <c r="AK375" i="10"/>
  <c r="AL374" i="10"/>
  <c r="DF64" i="10"/>
  <c r="DD64" i="10"/>
  <c r="DE65" i="10"/>
  <c r="AC374" i="10"/>
  <c r="AB375" i="10"/>
  <c r="AA374" i="10"/>
  <c r="CE63" i="10"/>
  <c r="CC63" i="10"/>
  <c r="CD64" i="10"/>
  <c r="BD374" i="10"/>
  <c r="BC375" i="10"/>
  <c r="BB374" i="10"/>
  <c r="S50" i="11"/>
  <c r="V50" i="11"/>
  <c r="AS375" i="10"/>
  <c r="AT376" i="10"/>
  <c r="AU375" i="10"/>
  <c r="R51" i="11"/>
  <c r="Q51" i="11"/>
  <c r="T51" i="11"/>
  <c r="B52" i="11"/>
  <c r="D51" i="11"/>
  <c r="O51" i="11"/>
  <c r="N51" i="11"/>
  <c r="U51" i="11"/>
  <c r="AJ64" i="5"/>
  <c r="L65" i="5"/>
  <c r="S48" i="5"/>
  <c r="D67" i="5"/>
  <c r="G67" i="5" s="1"/>
  <c r="V49" i="5"/>
  <c r="R49" i="5"/>
  <c r="E66" i="5"/>
  <c r="F66" i="5"/>
  <c r="O66" i="5" s="1"/>
  <c r="AC66" i="5"/>
  <c r="AI66" i="5"/>
  <c r="J58" i="16" l="1"/>
  <c r="K57" i="16"/>
  <c r="G57" i="16" s="1"/>
  <c r="L57" i="16"/>
  <c r="H64" i="16"/>
  <c r="M65" i="5"/>
  <c r="AK66" i="5"/>
  <c r="AL65" i="5" s="1"/>
  <c r="AE66" i="5"/>
  <c r="P66" i="5"/>
  <c r="AA67" i="5"/>
  <c r="I67" i="5"/>
  <c r="N67" i="5" s="1"/>
  <c r="H67" i="5"/>
  <c r="AG67" i="5"/>
  <c r="AH65" i="5"/>
  <c r="U49" i="5"/>
  <c r="K66" i="5"/>
  <c r="J66" i="5"/>
  <c r="W49" i="5" s="1"/>
  <c r="AA63" i="10"/>
  <c r="AC63" i="10"/>
  <c r="AB64" i="10"/>
  <c r="DO63" i="10"/>
  <c r="DM63" i="10"/>
  <c r="DN64" i="10"/>
  <c r="BU377" i="10"/>
  <c r="BT376" i="10"/>
  <c r="BV376" i="10"/>
  <c r="CE374" i="10"/>
  <c r="CC374" i="10"/>
  <c r="CD375" i="10"/>
  <c r="BL376" i="10"/>
  <c r="BM375" i="10"/>
  <c r="BK375" i="10"/>
  <c r="BU64" i="10"/>
  <c r="BV63" i="10"/>
  <c r="BT63" i="10"/>
  <c r="AL63" i="10"/>
  <c r="AJ63" i="10"/>
  <c r="AK64" i="10"/>
  <c r="CM64" i="10"/>
  <c r="CL63" i="10"/>
  <c r="CN63" i="10"/>
  <c r="CL374" i="10"/>
  <c r="CN374" i="10"/>
  <c r="CM375" i="10"/>
  <c r="DW64" i="10"/>
  <c r="DX63" i="10"/>
  <c r="DV63" i="10"/>
  <c r="BD63" i="10"/>
  <c r="BB63" i="10"/>
  <c r="BC64" i="10"/>
  <c r="CU66" i="10"/>
  <c r="CW66" i="10"/>
  <c r="BM65" i="10"/>
  <c r="BK65" i="10"/>
  <c r="BL66" i="10"/>
  <c r="AS66" i="10"/>
  <c r="AT67" i="10"/>
  <c r="AU66" i="10"/>
  <c r="DF65" i="10"/>
  <c r="DE66" i="10"/>
  <c r="DD65" i="10"/>
  <c r="AJ375" i="10"/>
  <c r="AK376" i="10"/>
  <c r="AL375" i="10"/>
  <c r="S51" i="11"/>
  <c r="BB375" i="10"/>
  <c r="BC376" i="10"/>
  <c r="BD375" i="10"/>
  <c r="CD65" i="10"/>
  <c r="CE64" i="10"/>
  <c r="CC64" i="10"/>
  <c r="AA375" i="10"/>
  <c r="AB376" i="10"/>
  <c r="AC375" i="10"/>
  <c r="R50" i="5"/>
  <c r="D68" i="5"/>
  <c r="G68" i="5" s="1"/>
  <c r="V50" i="5"/>
  <c r="AI67" i="5"/>
  <c r="F67" i="5"/>
  <c r="O67" i="5" s="1"/>
  <c r="AC67" i="5"/>
  <c r="E67" i="5"/>
  <c r="P51" i="11"/>
  <c r="V51" i="11"/>
  <c r="AJ65" i="5"/>
  <c r="L66" i="5"/>
  <c r="S49" i="5"/>
  <c r="R52" i="11"/>
  <c r="O52" i="11"/>
  <c r="U52" i="11"/>
  <c r="Q52" i="11"/>
  <c r="B53" i="11"/>
  <c r="D52" i="11"/>
  <c r="T52" i="11"/>
  <c r="V52" i="11" s="1"/>
  <c r="N52" i="11"/>
  <c r="AU376" i="10"/>
  <c r="AS376" i="10"/>
  <c r="AT377" i="10"/>
  <c r="J59" i="16" l="1"/>
  <c r="K58" i="16"/>
  <c r="G58" i="16" s="1"/>
  <c r="L58" i="16"/>
  <c r="H65" i="16"/>
  <c r="P67" i="5"/>
  <c r="P52" i="11"/>
  <c r="M66" i="5"/>
  <c r="J67" i="5"/>
  <c r="W50" i="5" s="1"/>
  <c r="K67" i="5"/>
  <c r="U50" i="5"/>
  <c r="AE67" i="5"/>
  <c r="AG68" i="5"/>
  <c r="H68" i="5"/>
  <c r="I68" i="5"/>
  <c r="N68" i="5" s="1"/>
  <c r="AA68" i="5"/>
  <c r="AH66" i="5"/>
  <c r="AC64" i="10"/>
  <c r="AA64" i="10"/>
  <c r="AB65" i="10"/>
  <c r="DM64" i="10"/>
  <c r="DN65" i="10"/>
  <c r="DO64" i="10"/>
  <c r="BV377" i="10"/>
  <c r="BT377" i="10"/>
  <c r="BU378" i="10"/>
  <c r="CD376" i="10"/>
  <c r="CC375" i="10"/>
  <c r="CE375" i="10"/>
  <c r="BL377" i="10"/>
  <c r="BK376" i="10"/>
  <c r="BM376" i="10"/>
  <c r="BD64" i="10"/>
  <c r="BC65" i="10"/>
  <c r="BB64" i="10"/>
  <c r="CN375" i="10"/>
  <c r="CL375" i="10"/>
  <c r="CM376" i="10"/>
  <c r="AL64" i="10"/>
  <c r="AK65" i="10"/>
  <c r="AJ64" i="10"/>
  <c r="DV64" i="10"/>
  <c r="DX64" i="10"/>
  <c r="DW65" i="10"/>
  <c r="CL64" i="10"/>
  <c r="CN64" i="10"/>
  <c r="CM65" i="10"/>
  <c r="BV64" i="10"/>
  <c r="BU65" i="10"/>
  <c r="BT64" i="10"/>
  <c r="AJ66" i="5"/>
  <c r="AK67" i="5"/>
  <c r="BM66" i="10"/>
  <c r="BK66" i="10"/>
  <c r="AT68" i="10"/>
  <c r="AU67" i="10"/>
  <c r="AS67" i="10"/>
  <c r="CD66" i="10"/>
  <c r="CE65" i="10"/>
  <c r="CC65" i="10"/>
  <c r="BB376" i="10"/>
  <c r="BD376" i="10"/>
  <c r="BC377" i="10"/>
  <c r="AJ376" i="10"/>
  <c r="AL376" i="10"/>
  <c r="AK377" i="10"/>
  <c r="DD66" i="10"/>
  <c r="DE67" i="10"/>
  <c r="DF66" i="10"/>
  <c r="AC376" i="10"/>
  <c r="AB377" i="10"/>
  <c r="AA376" i="10"/>
  <c r="T53" i="11"/>
  <c r="N53" i="11"/>
  <c r="O53" i="11"/>
  <c r="R53" i="11"/>
  <c r="B54" i="11"/>
  <c r="Q53" i="11"/>
  <c r="D53" i="11"/>
  <c r="U53" i="11"/>
  <c r="D69" i="5"/>
  <c r="G69" i="5" s="1"/>
  <c r="V51" i="5"/>
  <c r="R51" i="5"/>
  <c r="F68" i="5"/>
  <c r="O68" i="5" s="1"/>
  <c r="AC68" i="5"/>
  <c r="AI68" i="5"/>
  <c r="E68" i="5"/>
  <c r="AU377" i="10"/>
  <c r="AS377" i="10"/>
  <c r="AT378" i="10"/>
  <c r="S52" i="11"/>
  <c r="L67" i="5"/>
  <c r="S50" i="5"/>
  <c r="J60" i="16" l="1"/>
  <c r="K59" i="16"/>
  <c r="G59" i="16" s="1"/>
  <c r="L59" i="16"/>
  <c r="H66" i="16"/>
  <c r="S53" i="11"/>
  <c r="P68" i="5"/>
  <c r="AE68" i="5"/>
  <c r="I69" i="5"/>
  <c r="N69" i="5" s="1"/>
  <c r="AG69" i="5"/>
  <c r="AA69" i="5"/>
  <c r="H69" i="5"/>
  <c r="K68" i="5"/>
  <c r="J68" i="5"/>
  <c r="W51" i="5" s="1"/>
  <c r="U51" i="5"/>
  <c r="M67" i="5"/>
  <c r="AH67" i="5"/>
  <c r="AA65" i="10"/>
  <c r="AC65" i="10"/>
  <c r="AB66" i="10"/>
  <c r="DO65" i="10"/>
  <c r="DM65" i="10"/>
  <c r="DN66" i="10"/>
  <c r="BT378" i="10"/>
  <c r="BV378" i="10"/>
  <c r="BU379" i="10"/>
  <c r="CC376" i="10"/>
  <c r="CE376" i="10"/>
  <c r="CD377" i="10"/>
  <c r="BK377" i="10"/>
  <c r="BM377" i="10"/>
  <c r="BV65" i="10"/>
  <c r="BU66" i="10"/>
  <c r="BT65" i="10"/>
  <c r="CL65" i="10"/>
  <c r="CN65" i="10"/>
  <c r="CM66" i="10"/>
  <c r="DW66" i="10"/>
  <c r="DX65" i="10"/>
  <c r="DV65" i="10"/>
  <c r="AK66" i="10"/>
  <c r="AL65" i="10"/>
  <c r="AJ65" i="10"/>
  <c r="CM377" i="10"/>
  <c r="CN376" i="10"/>
  <c r="CL376" i="10"/>
  <c r="BB65" i="10"/>
  <c r="BC66" i="10"/>
  <c r="BD65" i="10"/>
  <c r="AL66" i="5"/>
  <c r="AJ67" i="5"/>
  <c r="AK68" i="5"/>
  <c r="AL67" i="5" s="1"/>
  <c r="AS68" i="10"/>
  <c r="AT69" i="10"/>
  <c r="AU68" i="10"/>
  <c r="AA377" i="10"/>
  <c r="AC377" i="10"/>
  <c r="AJ377" i="10"/>
  <c r="AL377" i="10"/>
  <c r="AK378" i="10"/>
  <c r="BB377" i="10"/>
  <c r="BD377" i="10"/>
  <c r="BC378" i="10"/>
  <c r="DE68" i="10"/>
  <c r="DD67" i="10"/>
  <c r="DF67" i="10"/>
  <c r="CE66" i="10"/>
  <c r="CD67" i="10"/>
  <c r="CC66" i="10"/>
  <c r="AT379" i="10"/>
  <c r="AS378" i="10"/>
  <c r="AU378" i="10"/>
  <c r="L68" i="5"/>
  <c r="S51" i="5"/>
  <c r="V52" i="5"/>
  <c r="D70" i="5"/>
  <c r="G70" i="5" s="1"/>
  <c r="R52" i="5"/>
  <c r="AI69" i="5"/>
  <c r="AC69" i="5"/>
  <c r="E69" i="5"/>
  <c r="F69" i="5"/>
  <c r="O69" i="5" s="1"/>
  <c r="T54" i="11"/>
  <c r="Q54" i="11"/>
  <c r="B55" i="11"/>
  <c r="D54" i="11"/>
  <c r="N54" i="11"/>
  <c r="R54" i="11"/>
  <c r="U54" i="11"/>
  <c r="O54" i="11"/>
  <c r="V53" i="11"/>
  <c r="P53" i="11"/>
  <c r="J61" i="16" l="1"/>
  <c r="L60" i="16"/>
  <c r="K60" i="16"/>
  <c r="G60" i="16" s="1"/>
  <c r="H67" i="16"/>
  <c r="P69" i="5"/>
  <c r="M68" i="5"/>
  <c r="AE69" i="5"/>
  <c r="K69" i="5"/>
  <c r="U52" i="5"/>
  <c r="J69" i="5"/>
  <c r="W52" i="5" s="1"/>
  <c r="AH68" i="5"/>
  <c r="AA70" i="5"/>
  <c r="AG70" i="5"/>
  <c r="AH69" i="5" s="1"/>
  <c r="H70" i="5"/>
  <c r="I70" i="5"/>
  <c r="N70" i="5" s="1"/>
  <c r="AC66" i="10"/>
  <c r="AA66" i="10"/>
  <c r="DM66" i="10"/>
  <c r="DN67" i="10"/>
  <c r="DO66" i="10"/>
  <c r="BU380" i="10"/>
  <c r="BT379" i="10"/>
  <c r="BV379" i="10"/>
  <c r="CC377" i="10"/>
  <c r="CD378" i="10"/>
  <c r="CE377" i="10"/>
  <c r="BC67" i="10"/>
  <c r="BD66" i="10"/>
  <c r="BB66" i="10"/>
  <c r="CN377" i="10"/>
  <c r="CM378" i="10"/>
  <c r="CL377" i="10"/>
  <c r="DX66" i="10"/>
  <c r="DW67" i="10"/>
  <c r="DV66" i="10"/>
  <c r="AJ66" i="10"/>
  <c r="AL66" i="10"/>
  <c r="AK67" i="10"/>
  <c r="CL66" i="10"/>
  <c r="CN66" i="10"/>
  <c r="CM67" i="10"/>
  <c r="BU67" i="10"/>
  <c r="BT66" i="10"/>
  <c r="BV66" i="10"/>
  <c r="AJ68" i="5"/>
  <c r="AK69" i="5"/>
  <c r="AL68" i="5" s="1"/>
  <c r="AS69" i="10"/>
  <c r="AT70" i="10"/>
  <c r="AU69" i="10"/>
  <c r="CE67" i="10"/>
  <c r="CC67" i="10"/>
  <c r="CD68" i="10"/>
  <c r="DD68" i="10"/>
  <c r="DE69" i="10"/>
  <c r="DF68" i="10"/>
  <c r="BB378" i="10"/>
  <c r="BD378" i="10"/>
  <c r="BC379" i="10"/>
  <c r="AK379" i="10"/>
  <c r="AJ378" i="10"/>
  <c r="AL378" i="10"/>
  <c r="P54" i="11"/>
  <c r="Q55" i="11"/>
  <c r="R55" i="11"/>
  <c r="B56" i="11"/>
  <c r="U55" i="11"/>
  <c r="N55" i="11"/>
  <c r="O55" i="11"/>
  <c r="D55" i="11"/>
  <c r="T55" i="11"/>
  <c r="V54" i="11"/>
  <c r="AT380" i="10"/>
  <c r="AS379" i="10"/>
  <c r="AU379" i="10"/>
  <c r="S54" i="11"/>
  <c r="L69" i="5"/>
  <c r="S52" i="5"/>
  <c r="R53" i="5"/>
  <c r="D71" i="5"/>
  <c r="G71" i="5" s="1"/>
  <c r="V53" i="5"/>
  <c r="AI70" i="5"/>
  <c r="F70" i="5"/>
  <c r="O70" i="5" s="1"/>
  <c r="E70" i="5"/>
  <c r="AC70" i="5"/>
  <c r="J62" i="16" l="1"/>
  <c r="L61" i="16"/>
  <c r="K61" i="16"/>
  <c r="G61" i="16" s="1"/>
  <c r="H68" i="16"/>
  <c r="P55" i="11"/>
  <c r="S55" i="11"/>
  <c r="V55" i="11"/>
  <c r="M69" i="5"/>
  <c r="AK70" i="5"/>
  <c r="AL69" i="5" s="1"/>
  <c r="P70" i="5"/>
  <c r="H71" i="5"/>
  <c r="AG71" i="5"/>
  <c r="AA71" i="5"/>
  <c r="I71" i="5"/>
  <c r="N71" i="5" s="1"/>
  <c r="K70" i="5"/>
  <c r="J70" i="5"/>
  <c r="W53" i="5" s="1"/>
  <c r="U53" i="5"/>
  <c r="AE70" i="5"/>
  <c r="DM67" i="10"/>
  <c r="DO67" i="10"/>
  <c r="DN68" i="10"/>
  <c r="BU381" i="10"/>
  <c r="BT380" i="10"/>
  <c r="BV380" i="10"/>
  <c r="CE378" i="10"/>
  <c r="CC378" i="10"/>
  <c r="CD379" i="10"/>
  <c r="CN67" i="10"/>
  <c r="CL67" i="10"/>
  <c r="CM68" i="10"/>
  <c r="CM379" i="10"/>
  <c r="CN378" i="10"/>
  <c r="CL378" i="10"/>
  <c r="BV67" i="10"/>
  <c r="BU68" i="10"/>
  <c r="BT67" i="10"/>
  <c r="AJ67" i="10"/>
  <c r="AK68" i="10"/>
  <c r="AL67" i="10"/>
  <c r="DW68" i="10"/>
  <c r="DV67" i="10"/>
  <c r="DX67" i="10"/>
  <c r="BD67" i="10"/>
  <c r="BB67" i="10"/>
  <c r="BC68" i="10"/>
  <c r="AT71" i="10"/>
  <c r="AS70" i="10"/>
  <c r="AU70" i="10"/>
  <c r="DD69" i="10"/>
  <c r="DE70" i="10"/>
  <c r="DF69" i="10"/>
  <c r="CC68" i="10"/>
  <c r="CD69" i="10"/>
  <c r="CE68" i="10"/>
  <c r="AJ379" i="10"/>
  <c r="AK380" i="10"/>
  <c r="AL379" i="10"/>
  <c r="BC380" i="10"/>
  <c r="BD379" i="10"/>
  <c r="BB379" i="10"/>
  <c r="AU380" i="10"/>
  <c r="AS380" i="10"/>
  <c r="AT381" i="10"/>
  <c r="D56" i="11"/>
  <c r="B57" i="11"/>
  <c r="T56" i="11"/>
  <c r="Q56" i="11"/>
  <c r="O56" i="11"/>
  <c r="N56" i="11"/>
  <c r="U56" i="11"/>
  <c r="R56" i="11"/>
  <c r="L70" i="5"/>
  <c r="S53" i="5"/>
  <c r="AJ69" i="5"/>
  <c r="R54" i="5"/>
  <c r="D72" i="5"/>
  <c r="G72" i="5" s="1"/>
  <c r="V54" i="5"/>
  <c r="F71" i="5"/>
  <c r="O71" i="5" s="1"/>
  <c r="E71" i="5"/>
  <c r="AI71" i="5"/>
  <c r="AC71" i="5"/>
  <c r="J63" i="16" l="1"/>
  <c r="K62" i="16"/>
  <c r="G62" i="16" s="1"/>
  <c r="L62" i="16"/>
  <c r="H69" i="16"/>
  <c r="M70" i="5"/>
  <c r="P71" i="5"/>
  <c r="AE71" i="5"/>
  <c r="H72" i="5"/>
  <c r="AA72" i="5"/>
  <c r="I72" i="5"/>
  <c r="N72" i="5" s="1"/>
  <c r="AG72" i="5"/>
  <c r="AH70" i="5"/>
  <c r="J71" i="5"/>
  <c r="W54" i="5" s="1"/>
  <c r="K71" i="5"/>
  <c r="U54" i="5"/>
  <c r="DN69" i="10"/>
  <c r="DO68" i="10"/>
  <c r="DM68" i="10"/>
  <c r="BV381" i="10"/>
  <c r="BT381" i="10"/>
  <c r="BU382" i="10"/>
  <c r="CC379" i="10"/>
  <c r="CD380" i="10"/>
  <c r="CE379" i="10"/>
  <c r="BC69" i="10"/>
  <c r="BB68" i="10"/>
  <c r="BD68" i="10"/>
  <c r="BV68" i="10"/>
  <c r="BT68" i="10"/>
  <c r="BU69" i="10"/>
  <c r="CM380" i="10"/>
  <c r="CN379" i="10"/>
  <c r="CL379" i="10"/>
  <c r="DW69" i="10"/>
  <c r="DV68" i="10"/>
  <c r="DX68" i="10"/>
  <c r="AL68" i="10"/>
  <c r="AK69" i="10"/>
  <c r="AJ68" i="10"/>
  <c r="CM69" i="10"/>
  <c r="CL68" i="10"/>
  <c r="CN68" i="10"/>
  <c r="AJ70" i="5"/>
  <c r="AK71" i="5"/>
  <c r="AS71" i="10"/>
  <c r="AT72" i="10"/>
  <c r="AU71" i="10"/>
  <c r="BD380" i="10"/>
  <c r="BC381" i="10"/>
  <c r="BB380" i="10"/>
  <c r="AL380" i="10"/>
  <c r="AJ380" i="10"/>
  <c r="AK381" i="10"/>
  <c r="CE69" i="10"/>
  <c r="CC69" i="10"/>
  <c r="CD70" i="10"/>
  <c r="P56" i="11"/>
  <c r="DF70" i="10"/>
  <c r="DE71" i="10"/>
  <c r="DD70" i="10"/>
  <c r="L71" i="5"/>
  <c r="S54" i="5"/>
  <c r="V56" i="11"/>
  <c r="V55" i="5"/>
  <c r="D73" i="5"/>
  <c r="G73" i="5" s="1"/>
  <c r="R55" i="5"/>
  <c r="E72" i="5"/>
  <c r="F72" i="5"/>
  <c r="O72" i="5" s="1"/>
  <c r="AC72" i="5"/>
  <c r="AI72" i="5"/>
  <c r="S56" i="11"/>
  <c r="U57" i="11"/>
  <c r="T57" i="11"/>
  <c r="O57" i="11"/>
  <c r="R57" i="11"/>
  <c r="Q57" i="11"/>
  <c r="B58" i="11"/>
  <c r="N57" i="11"/>
  <c r="D57" i="11"/>
  <c r="AU381" i="10"/>
  <c r="AT382" i="10"/>
  <c r="AS381" i="10"/>
  <c r="J64" i="16" l="1"/>
  <c r="K63" i="16"/>
  <c r="G63" i="16" s="1"/>
  <c r="L63" i="16"/>
  <c r="H70" i="16"/>
  <c r="V57" i="11"/>
  <c r="P57" i="11"/>
  <c r="P72" i="5"/>
  <c r="AE72" i="5"/>
  <c r="M71" i="5"/>
  <c r="AG73" i="5"/>
  <c r="AH72" i="5" s="1"/>
  <c r="H73" i="5"/>
  <c r="AA73" i="5"/>
  <c r="I73" i="5"/>
  <c r="N73" i="5" s="1"/>
  <c r="AK72" i="5"/>
  <c r="AL71" i="5" s="1"/>
  <c r="AH71" i="5"/>
  <c r="J72" i="5"/>
  <c r="W55" i="5" s="1"/>
  <c r="K72" i="5"/>
  <c r="U55" i="5"/>
  <c r="DN70" i="10"/>
  <c r="DM69" i="10"/>
  <c r="DO69" i="10"/>
  <c r="BU383" i="10"/>
  <c r="BT382" i="10"/>
  <c r="BV382" i="10"/>
  <c r="CC380" i="10"/>
  <c r="CE380" i="10"/>
  <c r="CD381" i="10"/>
  <c r="CM70" i="10"/>
  <c r="CL69" i="10"/>
  <c r="CN69" i="10"/>
  <c r="AL69" i="10"/>
  <c r="AK70" i="10"/>
  <c r="AJ69" i="10"/>
  <c r="DX69" i="10"/>
  <c r="DV69" i="10"/>
  <c r="DW70" i="10"/>
  <c r="BU70" i="10"/>
  <c r="BV69" i="10"/>
  <c r="BT69" i="10"/>
  <c r="CL380" i="10"/>
  <c r="CM381" i="10"/>
  <c r="CN380" i="10"/>
  <c r="BB69" i="10"/>
  <c r="BC70" i="10"/>
  <c r="BD69" i="10"/>
  <c r="AL70" i="5"/>
  <c r="AS72" i="10"/>
  <c r="AU72" i="10"/>
  <c r="AT73" i="10"/>
  <c r="DF71" i="10"/>
  <c r="DE72" i="10"/>
  <c r="DD71" i="10"/>
  <c r="CE70" i="10"/>
  <c r="CC70" i="10"/>
  <c r="CD71" i="10"/>
  <c r="AJ381" i="10"/>
  <c r="AK382" i="10"/>
  <c r="AL381" i="10"/>
  <c r="BD381" i="10"/>
  <c r="BC382" i="10"/>
  <c r="BB381" i="10"/>
  <c r="S57" i="11"/>
  <c r="S55" i="5"/>
  <c r="L72" i="5"/>
  <c r="V56" i="5"/>
  <c r="R56" i="5"/>
  <c r="D74" i="5"/>
  <c r="G74" i="5" s="1"/>
  <c r="E73" i="5"/>
  <c r="AI73" i="5"/>
  <c r="AC73" i="5"/>
  <c r="F73" i="5"/>
  <c r="O73" i="5" s="1"/>
  <c r="AU382" i="10"/>
  <c r="AS382" i="10"/>
  <c r="AT383" i="10"/>
  <c r="T58" i="11"/>
  <c r="N58" i="11"/>
  <c r="B59" i="11"/>
  <c r="O58" i="11"/>
  <c r="U58" i="11"/>
  <c r="R58" i="11"/>
  <c r="Q58" i="11"/>
  <c r="D58" i="11"/>
  <c r="AJ71" i="5"/>
  <c r="J65" i="16" l="1"/>
  <c r="K64" i="16"/>
  <c r="G64" i="16" s="1"/>
  <c r="L64" i="16"/>
  <c r="H71" i="16"/>
  <c r="AK73" i="5"/>
  <c r="AL72" i="5" s="1"/>
  <c r="M72" i="5"/>
  <c r="AE73" i="5"/>
  <c r="U56" i="5"/>
  <c r="K73" i="5"/>
  <c r="J73" i="5"/>
  <c r="W56" i="5" s="1"/>
  <c r="P73" i="5"/>
  <c r="I74" i="5"/>
  <c r="N74" i="5" s="1"/>
  <c r="AA74" i="5"/>
  <c r="H74" i="5"/>
  <c r="AG74" i="5"/>
  <c r="DN71" i="10"/>
  <c r="DO70" i="10"/>
  <c r="DM70" i="10"/>
  <c r="BT383" i="10"/>
  <c r="BV383" i="10"/>
  <c r="BU384" i="10"/>
  <c r="CE381" i="10"/>
  <c r="CC381" i="10"/>
  <c r="CD382" i="10"/>
  <c r="CM382" i="10"/>
  <c r="CL381" i="10"/>
  <c r="CN381" i="10"/>
  <c r="BT70" i="10"/>
  <c r="BU71" i="10"/>
  <c r="BV70" i="10"/>
  <c r="BB70" i="10"/>
  <c r="BD70" i="10"/>
  <c r="BC71" i="10"/>
  <c r="DX70" i="10"/>
  <c r="DV70" i="10"/>
  <c r="DW71" i="10"/>
  <c r="AK71" i="10"/>
  <c r="AJ70" i="10"/>
  <c r="AL70" i="10"/>
  <c r="CM71" i="10"/>
  <c r="CN70" i="10"/>
  <c r="CL70" i="10"/>
  <c r="AT74" i="10"/>
  <c r="AS73" i="10"/>
  <c r="AU73" i="10"/>
  <c r="AL382" i="10"/>
  <c r="AK383" i="10"/>
  <c r="AJ382" i="10"/>
  <c r="CD72" i="10"/>
  <c r="CE71" i="10"/>
  <c r="CC71" i="10"/>
  <c r="DE73" i="10"/>
  <c r="DD72" i="10"/>
  <c r="DF72" i="10"/>
  <c r="BD382" i="10"/>
  <c r="BB382" i="10"/>
  <c r="BC383" i="10"/>
  <c r="P58" i="11"/>
  <c r="AT384" i="10"/>
  <c r="AU383" i="10"/>
  <c r="AS383" i="10"/>
  <c r="L73" i="5"/>
  <c r="S56" i="5"/>
  <c r="S58" i="11"/>
  <c r="B60" i="11"/>
  <c r="Q59" i="11"/>
  <c r="N59" i="11"/>
  <c r="T59" i="11"/>
  <c r="D59" i="11"/>
  <c r="R59" i="11"/>
  <c r="O59" i="11"/>
  <c r="U59" i="11"/>
  <c r="V58" i="11"/>
  <c r="V57" i="5"/>
  <c r="D75" i="5"/>
  <c r="G75" i="5" s="1"/>
  <c r="R57" i="5"/>
  <c r="F74" i="5"/>
  <c r="O74" i="5" s="1"/>
  <c r="AI74" i="5"/>
  <c r="E74" i="5"/>
  <c r="AC74" i="5"/>
  <c r="AJ72" i="5"/>
  <c r="J66" i="16" l="1"/>
  <c r="K65" i="16"/>
  <c r="G65" i="16" s="1"/>
  <c r="L65" i="16"/>
  <c r="H72" i="16"/>
  <c r="P74" i="5"/>
  <c r="I75" i="5"/>
  <c r="N75" i="5" s="1"/>
  <c r="H75" i="5"/>
  <c r="AA75" i="5"/>
  <c r="AG75" i="5"/>
  <c r="AH74" i="5" s="1"/>
  <c r="AH73" i="5"/>
  <c r="AE74" i="5"/>
  <c r="AK74" i="5"/>
  <c r="AL73" i="5" s="1"/>
  <c r="M73" i="5"/>
  <c r="K74" i="5"/>
  <c r="J74" i="5"/>
  <c r="W57" i="5" s="1"/>
  <c r="U57" i="5"/>
  <c r="DM71" i="10"/>
  <c r="DN72" i="10"/>
  <c r="DO71" i="10"/>
  <c r="BV384" i="10"/>
  <c r="BU385" i="10"/>
  <c r="BT384" i="10"/>
  <c r="CE382" i="10"/>
  <c r="CC382" i="10"/>
  <c r="CD383" i="10"/>
  <c r="CN71" i="10"/>
  <c r="CL71" i="10"/>
  <c r="CM72" i="10"/>
  <c r="DW72" i="10"/>
  <c r="DX71" i="10"/>
  <c r="DV71" i="10"/>
  <c r="AK72" i="10"/>
  <c r="AJ71" i="10"/>
  <c r="AL71" i="10"/>
  <c r="BD71" i="10"/>
  <c r="BB71" i="10"/>
  <c r="BC72" i="10"/>
  <c r="BU72" i="10"/>
  <c r="BT71" i="10"/>
  <c r="BV71" i="10"/>
  <c r="CM383" i="10"/>
  <c r="CN382" i="10"/>
  <c r="CL382" i="10"/>
  <c r="AS74" i="10"/>
  <c r="AU74" i="10"/>
  <c r="AT75" i="10"/>
  <c r="BD383" i="10"/>
  <c r="BC384" i="10"/>
  <c r="BB383" i="10"/>
  <c r="DE74" i="10"/>
  <c r="DD73" i="10"/>
  <c r="DF73" i="10"/>
  <c r="CD73" i="10"/>
  <c r="CE72" i="10"/>
  <c r="CC72" i="10"/>
  <c r="AJ383" i="10"/>
  <c r="AK384" i="10"/>
  <c r="AL383" i="10"/>
  <c r="V59" i="11"/>
  <c r="S59" i="11"/>
  <c r="AS384" i="10"/>
  <c r="AU384" i="10"/>
  <c r="AT385" i="10"/>
  <c r="L74" i="5"/>
  <c r="S57" i="5"/>
  <c r="R58" i="5"/>
  <c r="D76" i="5"/>
  <c r="G76" i="5" s="1"/>
  <c r="V58" i="5"/>
  <c r="F75" i="5"/>
  <c r="O75" i="5" s="1"/>
  <c r="AI75" i="5"/>
  <c r="E75" i="5"/>
  <c r="AC75" i="5"/>
  <c r="AJ73" i="5"/>
  <c r="P59" i="11"/>
  <c r="Q60" i="11"/>
  <c r="U60" i="11"/>
  <c r="N60" i="11"/>
  <c r="R60" i="11"/>
  <c r="O60" i="11"/>
  <c r="B61" i="11"/>
  <c r="D60" i="11"/>
  <c r="T60" i="11"/>
  <c r="J67" i="16" l="1"/>
  <c r="K66" i="16"/>
  <c r="G66" i="16" s="1"/>
  <c r="L66" i="16"/>
  <c r="H73" i="16"/>
  <c r="M74" i="5"/>
  <c r="V60" i="11"/>
  <c r="P75" i="5"/>
  <c r="AK75" i="5"/>
  <c r="AL74" i="5" s="1"/>
  <c r="AE75" i="5"/>
  <c r="J75" i="5"/>
  <c r="W58" i="5" s="1"/>
  <c r="U58" i="5"/>
  <c r="K75" i="5"/>
  <c r="AG76" i="5"/>
  <c r="AH75" i="5" s="1"/>
  <c r="AA76" i="5"/>
  <c r="I76" i="5"/>
  <c r="N76" i="5" s="1"/>
  <c r="H76" i="5"/>
  <c r="DO72" i="10"/>
  <c r="DM72" i="10"/>
  <c r="DN73" i="10"/>
  <c r="BT385" i="10"/>
  <c r="BU386" i="10"/>
  <c r="BV385" i="10"/>
  <c r="CD384" i="10"/>
  <c r="CE383" i="10"/>
  <c r="CC383" i="10"/>
  <c r="CL383" i="10"/>
  <c r="CM384" i="10"/>
  <c r="CN383" i="10"/>
  <c r="BB72" i="10"/>
  <c r="BD72" i="10"/>
  <c r="BC73" i="10"/>
  <c r="DX72" i="10"/>
  <c r="DW73" i="10"/>
  <c r="DV72" i="10"/>
  <c r="BU73" i="10"/>
  <c r="BT72" i="10"/>
  <c r="BV72" i="10"/>
  <c r="AJ72" i="10"/>
  <c r="AK73" i="10"/>
  <c r="AL72" i="10"/>
  <c r="CL72" i="10"/>
  <c r="CN72" i="10"/>
  <c r="CM73" i="10"/>
  <c r="AS75" i="10"/>
  <c r="AT76" i="10"/>
  <c r="AU75" i="10"/>
  <c r="BC385" i="10"/>
  <c r="BB384" i="10"/>
  <c r="BD384" i="10"/>
  <c r="AL384" i="10"/>
  <c r="AJ384" i="10"/>
  <c r="AK385" i="10"/>
  <c r="CE73" i="10"/>
  <c r="CD74" i="10"/>
  <c r="CC73" i="10"/>
  <c r="DF74" i="10"/>
  <c r="DE75" i="10"/>
  <c r="DD74" i="10"/>
  <c r="U61" i="11"/>
  <c r="T61" i="11"/>
  <c r="O61" i="11"/>
  <c r="R61" i="11"/>
  <c r="N61" i="11"/>
  <c r="B62" i="11"/>
  <c r="Q61" i="11"/>
  <c r="D61" i="11"/>
  <c r="AJ74" i="5"/>
  <c r="AS385" i="10"/>
  <c r="AU385" i="10"/>
  <c r="AT386" i="10"/>
  <c r="P60" i="11"/>
  <c r="S60" i="11"/>
  <c r="L75" i="5"/>
  <c r="S58" i="5"/>
  <c r="R59" i="5"/>
  <c r="D77" i="5"/>
  <c r="G77" i="5" s="1"/>
  <c r="V59" i="5"/>
  <c r="E76" i="5"/>
  <c r="AC76" i="5"/>
  <c r="AI76" i="5"/>
  <c r="F76" i="5"/>
  <c r="O76" i="5" s="1"/>
  <c r="J68" i="16" l="1"/>
  <c r="K67" i="16"/>
  <c r="G67" i="16" s="1"/>
  <c r="L67" i="16"/>
  <c r="H74" i="16"/>
  <c r="P61" i="11"/>
  <c r="P76" i="5"/>
  <c r="AK76" i="5"/>
  <c r="AL75" i="5" s="1"/>
  <c r="AA77" i="5"/>
  <c r="AG77" i="5"/>
  <c r="H77" i="5"/>
  <c r="I77" i="5"/>
  <c r="N77" i="5" s="1"/>
  <c r="U59" i="5"/>
  <c r="J76" i="5"/>
  <c r="W59" i="5" s="1"/>
  <c r="K76" i="5"/>
  <c r="AE76" i="5"/>
  <c r="M75" i="5"/>
  <c r="DN74" i="10"/>
  <c r="DM73" i="10"/>
  <c r="DO73" i="10"/>
  <c r="BU387" i="10"/>
  <c r="BT386" i="10"/>
  <c r="BV386" i="10"/>
  <c r="CC384" i="10"/>
  <c r="CE384" i="10"/>
  <c r="CD385" i="10"/>
  <c r="CN73" i="10"/>
  <c r="CL73" i="10"/>
  <c r="CM74" i="10"/>
  <c r="AL73" i="10"/>
  <c r="AJ73" i="10"/>
  <c r="AK74" i="10"/>
  <c r="BT73" i="10"/>
  <c r="BU74" i="10"/>
  <c r="BV73" i="10"/>
  <c r="DV73" i="10"/>
  <c r="DW74" i="10"/>
  <c r="DX73" i="10"/>
  <c r="BD73" i="10"/>
  <c r="BC74" i="10"/>
  <c r="BB73" i="10"/>
  <c r="CM385" i="10"/>
  <c r="CN384" i="10"/>
  <c r="CL384" i="10"/>
  <c r="AT77" i="10"/>
  <c r="AS76" i="10"/>
  <c r="AU76" i="10"/>
  <c r="CC74" i="10"/>
  <c r="CE74" i="10"/>
  <c r="CD75" i="10"/>
  <c r="AL385" i="10"/>
  <c r="AJ385" i="10"/>
  <c r="AK386" i="10"/>
  <c r="BC386" i="10"/>
  <c r="BB385" i="10"/>
  <c r="BD385" i="10"/>
  <c r="V61" i="11"/>
  <c r="DE76" i="10"/>
  <c r="DD75" i="10"/>
  <c r="DF75" i="10"/>
  <c r="AJ75" i="5"/>
  <c r="S59" i="5"/>
  <c r="L76" i="5"/>
  <c r="V60" i="5"/>
  <c r="R60" i="5"/>
  <c r="D78" i="5"/>
  <c r="G78" i="5" s="1"/>
  <c r="AC77" i="5"/>
  <c r="F77" i="5"/>
  <c r="O77" i="5" s="1"/>
  <c r="AI77" i="5"/>
  <c r="E77" i="5"/>
  <c r="S61" i="11"/>
  <c r="AS386" i="10"/>
  <c r="AT387" i="10"/>
  <c r="AU386" i="10"/>
  <c r="D62" i="11"/>
  <c r="B63" i="11"/>
  <c r="O62" i="11"/>
  <c r="R62" i="11"/>
  <c r="U62" i="11"/>
  <c r="T62" i="11"/>
  <c r="Q62" i="11"/>
  <c r="N62" i="11"/>
  <c r="J69" i="16" l="1"/>
  <c r="L68" i="16"/>
  <c r="K68" i="16"/>
  <c r="G68" i="16" s="1"/>
  <c r="H75" i="16"/>
  <c r="M76" i="5"/>
  <c r="AE77" i="5"/>
  <c r="P62" i="11"/>
  <c r="V62" i="11"/>
  <c r="P77" i="5"/>
  <c r="AA78" i="5"/>
  <c r="AG78" i="5"/>
  <c r="H78" i="5"/>
  <c r="I78" i="5"/>
  <c r="N78" i="5" s="1"/>
  <c r="AH76" i="5"/>
  <c r="K77" i="5"/>
  <c r="J77" i="5"/>
  <c r="W60" i="5" s="1"/>
  <c r="U60" i="5"/>
  <c r="DM74" i="10"/>
  <c r="DO74" i="10"/>
  <c r="DN75" i="10"/>
  <c r="BU388" i="10"/>
  <c r="BV387" i="10"/>
  <c r="BT387" i="10"/>
  <c r="CD386" i="10"/>
  <c r="CE385" i="10"/>
  <c r="CC385" i="10"/>
  <c r="DV74" i="10"/>
  <c r="DW75" i="10"/>
  <c r="DX74" i="10"/>
  <c r="CN74" i="10"/>
  <c r="CM75" i="10"/>
  <c r="CL74" i="10"/>
  <c r="CM386" i="10"/>
  <c r="CL385" i="10"/>
  <c r="CN385" i="10"/>
  <c r="BB74" i="10"/>
  <c r="BC75" i="10"/>
  <c r="BD74" i="10"/>
  <c r="BV74" i="10"/>
  <c r="BT74" i="10"/>
  <c r="BU75" i="10"/>
  <c r="AL74" i="10"/>
  <c r="AK75" i="10"/>
  <c r="AJ74" i="10"/>
  <c r="AJ76" i="5"/>
  <c r="AK77" i="5"/>
  <c r="AS77" i="10"/>
  <c r="AT78" i="10"/>
  <c r="AU77" i="10"/>
  <c r="DD76" i="10"/>
  <c r="DE77" i="10"/>
  <c r="DF76" i="10"/>
  <c r="BC387" i="10"/>
  <c r="BB386" i="10"/>
  <c r="BD386" i="10"/>
  <c r="AJ386" i="10"/>
  <c r="AL386" i="10"/>
  <c r="AK387" i="10"/>
  <c r="CC75" i="10"/>
  <c r="CD76" i="10"/>
  <c r="CE75" i="10"/>
  <c r="B64" i="11"/>
  <c r="T63" i="11"/>
  <c r="R63" i="11"/>
  <c r="U63" i="11"/>
  <c r="O63" i="11"/>
  <c r="D63" i="11"/>
  <c r="Q63" i="11"/>
  <c r="S63" i="11" s="1"/>
  <c r="N63" i="11"/>
  <c r="AT388" i="10"/>
  <c r="AU387" i="10"/>
  <c r="AS387" i="10"/>
  <c r="S62" i="11"/>
  <c r="L77" i="5"/>
  <c r="S60" i="5"/>
  <c r="R61" i="5"/>
  <c r="V61" i="5"/>
  <c r="D79" i="5"/>
  <c r="G79" i="5" s="1"/>
  <c r="E78" i="5"/>
  <c r="AI78" i="5"/>
  <c r="F78" i="5"/>
  <c r="O78" i="5" s="1"/>
  <c r="AC78" i="5"/>
  <c r="J70" i="16" l="1"/>
  <c r="L69" i="16"/>
  <c r="K69" i="16"/>
  <c r="G69" i="16" s="1"/>
  <c r="H76" i="16"/>
  <c r="P63" i="11"/>
  <c r="P78" i="5"/>
  <c r="AE78" i="5"/>
  <c r="AH77" i="5"/>
  <c r="I79" i="5"/>
  <c r="N79" i="5" s="1"/>
  <c r="AA79" i="5"/>
  <c r="AG79" i="5"/>
  <c r="AH78" i="5" s="1"/>
  <c r="H79" i="5"/>
  <c r="M77" i="5"/>
  <c r="U61" i="5"/>
  <c r="J78" i="5"/>
  <c r="W61" i="5" s="1"/>
  <c r="K78" i="5"/>
  <c r="DO75" i="10"/>
  <c r="DN76" i="10"/>
  <c r="DM75" i="10"/>
  <c r="BT388" i="10"/>
  <c r="BV388" i="10"/>
  <c r="BU389" i="10"/>
  <c r="CE386" i="10"/>
  <c r="CD387" i="10"/>
  <c r="CC386" i="10"/>
  <c r="AK76" i="10"/>
  <c r="AL75" i="10"/>
  <c r="AJ75" i="10"/>
  <c r="BV75" i="10"/>
  <c r="BU76" i="10"/>
  <c r="BT75" i="10"/>
  <c r="BD75" i="10"/>
  <c r="BB75" i="10"/>
  <c r="BC76" i="10"/>
  <c r="CM387" i="10"/>
  <c r="CL386" i="10"/>
  <c r="CN386" i="10"/>
  <c r="CL75" i="10"/>
  <c r="CN75" i="10"/>
  <c r="CM76" i="10"/>
  <c r="DW76" i="10"/>
  <c r="DX75" i="10"/>
  <c r="DV75" i="10"/>
  <c r="AL76" i="5"/>
  <c r="AJ77" i="5"/>
  <c r="AK78" i="5"/>
  <c r="AL77" i="5" s="1"/>
  <c r="AT79" i="10"/>
  <c r="AS78" i="10"/>
  <c r="AU78" i="10"/>
  <c r="CC76" i="10"/>
  <c r="CD77" i="10"/>
  <c r="CE76" i="10"/>
  <c r="AK388" i="10"/>
  <c r="AL387" i="10"/>
  <c r="AJ387" i="10"/>
  <c r="BD387" i="10"/>
  <c r="BC388" i="10"/>
  <c r="BB387" i="10"/>
  <c r="DE78" i="10"/>
  <c r="DF77" i="10"/>
  <c r="DD77" i="10"/>
  <c r="R62" i="5"/>
  <c r="D80" i="5"/>
  <c r="G80" i="5" s="1"/>
  <c r="V62" i="5"/>
  <c r="E79" i="5"/>
  <c r="F79" i="5"/>
  <c r="O79" i="5" s="1"/>
  <c r="AI79" i="5"/>
  <c r="AC79" i="5"/>
  <c r="V63" i="11"/>
  <c r="L78" i="5"/>
  <c r="S61" i="5"/>
  <c r="AS388" i="10"/>
  <c r="AT389" i="10"/>
  <c r="AU388" i="10"/>
  <c r="U64" i="11"/>
  <c r="N64" i="11"/>
  <c r="R64" i="11"/>
  <c r="Q64" i="11"/>
  <c r="O64" i="11"/>
  <c r="D64" i="11"/>
  <c r="T64" i="11"/>
  <c r="B65" i="11"/>
  <c r="J71" i="16" l="1"/>
  <c r="K70" i="16"/>
  <c r="G70" i="16" s="1"/>
  <c r="L70" i="16"/>
  <c r="H77" i="16"/>
  <c r="V64" i="11"/>
  <c r="P79" i="5"/>
  <c r="AK79" i="5"/>
  <c r="AL78" i="5" s="1"/>
  <c r="AA80" i="5"/>
  <c r="AG80" i="5"/>
  <c r="H80" i="5"/>
  <c r="I80" i="5"/>
  <c r="N80" i="5" s="1"/>
  <c r="J79" i="5"/>
  <c r="W62" i="5" s="1"/>
  <c r="K79" i="5"/>
  <c r="U62" i="5"/>
  <c r="M78" i="5"/>
  <c r="AE79" i="5"/>
  <c r="DN77" i="10"/>
  <c r="DO76" i="10"/>
  <c r="DM76" i="10"/>
  <c r="BV389" i="10"/>
  <c r="BT389" i="10"/>
  <c r="BU390" i="10"/>
  <c r="CE387" i="10"/>
  <c r="CD388" i="10"/>
  <c r="CC387" i="10"/>
  <c r="AJ78" i="5"/>
  <c r="DX76" i="10"/>
  <c r="DV76" i="10"/>
  <c r="DW77" i="10"/>
  <c r="CM388" i="10"/>
  <c r="CN387" i="10"/>
  <c r="CL387" i="10"/>
  <c r="CL76" i="10"/>
  <c r="CN76" i="10"/>
  <c r="CM77" i="10"/>
  <c r="BC77" i="10"/>
  <c r="BD76" i="10"/>
  <c r="BB76" i="10"/>
  <c r="BU77" i="10"/>
  <c r="BT76" i="10"/>
  <c r="BV76" i="10"/>
  <c r="AL76" i="10"/>
  <c r="AK77" i="10"/>
  <c r="AJ76" i="10"/>
  <c r="AU79" i="10"/>
  <c r="AT80" i="10"/>
  <c r="AS79" i="10"/>
  <c r="DD78" i="10"/>
  <c r="DF78" i="10"/>
  <c r="DE79" i="10"/>
  <c r="BC389" i="10"/>
  <c r="BD388" i="10"/>
  <c r="BB388" i="10"/>
  <c r="CE77" i="10"/>
  <c r="CC77" i="10"/>
  <c r="CD78" i="10"/>
  <c r="AL388" i="10"/>
  <c r="AJ388" i="10"/>
  <c r="AK389" i="10"/>
  <c r="AS389" i="10"/>
  <c r="AU389" i="10"/>
  <c r="AT390" i="10"/>
  <c r="U65" i="11"/>
  <c r="R65" i="11"/>
  <c r="N65" i="11"/>
  <c r="O65" i="11"/>
  <c r="B66" i="11"/>
  <c r="Q65" i="11"/>
  <c r="S65" i="11" s="1"/>
  <c r="T65" i="11"/>
  <c r="D65" i="11"/>
  <c r="S64" i="11"/>
  <c r="P64" i="11"/>
  <c r="L79" i="5"/>
  <c r="S62" i="5"/>
  <c r="R63" i="5"/>
  <c r="D81" i="5"/>
  <c r="G81" i="5" s="1"/>
  <c r="V63" i="5"/>
  <c r="F80" i="5"/>
  <c r="O80" i="5" s="1"/>
  <c r="E80" i="5"/>
  <c r="AI80" i="5"/>
  <c r="AC80" i="5"/>
  <c r="J72" i="16" l="1"/>
  <c r="K71" i="16"/>
  <c r="G71" i="16" s="1"/>
  <c r="L71" i="16"/>
  <c r="H78" i="16"/>
  <c r="V65" i="11"/>
  <c r="AK80" i="5"/>
  <c r="AL79" i="5" s="1"/>
  <c r="P80" i="5"/>
  <c r="AE80" i="5"/>
  <c r="AA81" i="5"/>
  <c r="H81" i="5"/>
  <c r="AG81" i="5"/>
  <c r="I81" i="5"/>
  <c r="N81" i="5" s="1"/>
  <c r="M79" i="5"/>
  <c r="AH79" i="5"/>
  <c r="U63" i="5"/>
  <c r="J80" i="5"/>
  <c r="W63" i="5" s="1"/>
  <c r="K80" i="5"/>
  <c r="DM77" i="10"/>
  <c r="DN78" i="10"/>
  <c r="DO77" i="10"/>
  <c r="BV390" i="10"/>
  <c r="BT390" i="10"/>
  <c r="BU391" i="10"/>
  <c r="CE388" i="10"/>
  <c r="CC388" i="10"/>
  <c r="CD389" i="10"/>
  <c r="BB77" i="10"/>
  <c r="BC78" i="10"/>
  <c r="BD77" i="10"/>
  <c r="CN388" i="10"/>
  <c r="CM389" i="10"/>
  <c r="CL388" i="10"/>
  <c r="AL77" i="10"/>
  <c r="AK78" i="10"/>
  <c r="AJ77" i="10"/>
  <c r="BU78" i="10"/>
  <c r="BV77" i="10"/>
  <c r="BT77" i="10"/>
  <c r="CL77" i="10"/>
  <c r="CM78" i="10"/>
  <c r="CN77" i="10"/>
  <c r="DV77" i="10"/>
  <c r="DX77" i="10"/>
  <c r="DW78" i="10"/>
  <c r="AU80" i="10"/>
  <c r="AT81" i="10"/>
  <c r="AS80" i="10"/>
  <c r="AL389" i="10"/>
  <c r="AK390" i="10"/>
  <c r="AJ389" i="10"/>
  <c r="CE78" i="10"/>
  <c r="CC78" i="10"/>
  <c r="CD79" i="10"/>
  <c r="DD79" i="10"/>
  <c r="DF79" i="10"/>
  <c r="DE80" i="10"/>
  <c r="BB389" i="10"/>
  <c r="BD389" i="10"/>
  <c r="BC390" i="10"/>
  <c r="V64" i="5"/>
  <c r="D82" i="5"/>
  <c r="G82" i="5" s="1"/>
  <c r="R64" i="5"/>
  <c r="AI81" i="5"/>
  <c r="F81" i="5"/>
  <c r="O81" i="5" s="1"/>
  <c r="E81" i="5"/>
  <c r="AC81" i="5"/>
  <c r="AJ79" i="5"/>
  <c r="S63" i="5"/>
  <c r="L80" i="5"/>
  <c r="N66" i="11"/>
  <c r="Q66" i="11"/>
  <c r="B67" i="11"/>
  <c r="D66" i="11"/>
  <c r="U66" i="11"/>
  <c r="T66" i="11"/>
  <c r="O66" i="11"/>
  <c r="R66" i="11"/>
  <c r="P65" i="11"/>
  <c r="AU390" i="10"/>
  <c r="AT391" i="10"/>
  <c r="AS390" i="10"/>
  <c r="J73" i="16" l="1"/>
  <c r="K72" i="16"/>
  <c r="G72" i="16" s="1"/>
  <c r="L72" i="16"/>
  <c r="H79" i="16"/>
  <c r="AE81" i="5"/>
  <c r="P81" i="5"/>
  <c r="AK81" i="5"/>
  <c r="AL80" i="5" s="1"/>
  <c r="J81" i="5"/>
  <c r="W64" i="5" s="1"/>
  <c r="K81" i="5"/>
  <c r="U64" i="5"/>
  <c r="M80" i="5"/>
  <c r="AG82" i="5"/>
  <c r="AA82" i="5"/>
  <c r="I82" i="5"/>
  <c r="N82" i="5" s="1"/>
  <c r="H82" i="5"/>
  <c r="AH80" i="5"/>
  <c r="DM78" i="10"/>
  <c r="DO78" i="10"/>
  <c r="DN79" i="10"/>
  <c r="BV391" i="10"/>
  <c r="BT391" i="10"/>
  <c r="BU392" i="10"/>
  <c r="CE389" i="10"/>
  <c r="CC389" i="10"/>
  <c r="CD390" i="10"/>
  <c r="AJ80" i="5"/>
  <c r="DX78" i="10"/>
  <c r="DV78" i="10"/>
  <c r="DW79" i="10"/>
  <c r="CN78" i="10"/>
  <c r="CL78" i="10"/>
  <c r="CM79" i="10"/>
  <c r="BT78" i="10"/>
  <c r="BV78" i="10"/>
  <c r="BU79" i="10"/>
  <c r="AL78" i="10"/>
  <c r="AK79" i="10"/>
  <c r="AJ78" i="10"/>
  <c r="BC79" i="10"/>
  <c r="BD78" i="10"/>
  <c r="BB78" i="10"/>
  <c r="CM390" i="10"/>
  <c r="CL389" i="10"/>
  <c r="CN389" i="10"/>
  <c r="AS81" i="10"/>
  <c r="AU81" i="10"/>
  <c r="AT82" i="10"/>
  <c r="BB390" i="10"/>
  <c r="BD390" i="10"/>
  <c r="BC391" i="10"/>
  <c r="CD80" i="10"/>
  <c r="CC79" i="10"/>
  <c r="CE79" i="10"/>
  <c r="DD80" i="10"/>
  <c r="DF80" i="10"/>
  <c r="DE81" i="10"/>
  <c r="AK391" i="10"/>
  <c r="AL390" i="10"/>
  <c r="AJ390" i="10"/>
  <c r="AT392" i="10"/>
  <c r="AS391" i="10"/>
  <c r="AU391" i="10"/>
  <c r="N67" i="11"/>
  <c r="O67" i="11"/>
  <c r="R67" i="11"/>
  <c r="T67" i="11"/>
  <c r="D67" i="11"/>
  <c r="B68" i="11"/>
  <c r="U67" i="11"/>
  <c r="Q67" i="11"/>
  <c r="P66" i="11"/>
  <c r="V66" i="11"/>
  <c r="S66" i="11"/>
  <c r="L81" i="5"/>
  <c r="S64" i="5"/>
  <c r="V65" i="5"/>
  <c r="R65" i="5"/>
  <c r="D83" i="5"/>
  <c r="G83" i="5" s="1"/>
  <c r="E82" i="5"/>
  <c r="AC82" i="5"/>
  <c r="AI82" i="5"/>
  <c r="F82" i="5"/>
  <c r="O82" i="5" s="1"/>
  <c r="J74" i="16" l="1"/>
  <c r="K73" i="16"/>
  <c r="G73" i="16" s="1"/>
  <c r="L73" i="16"/>
  <c r="H80" i="16"/>
  <c r="M81" i="5"/>
  <c r="AE82" i="5"/>
  <c r="AK82" i="5"/>
  <c r="AL81" i="5" s="1"/>
  <c r="P82" i="5"/>
  <c r="J82" i="5"/>
  <c r="W65" i="5" s="1"/>
  <c r="U65" i="5"/>
  <c r="K82" i="5"/>
  <c r="H83" i="5"/>
  <c r="I83" i="5"/>
  <c r="N83" i="5" s="1"/>
  <c r="AG83" i="5"/>
  <c r="AA83" i="5"/>
  <c r="S67" i="11"/>
  <c r="V67" i="11"/>
  <c r="AH81" i="5"/>
  <c r="DN80" i="10"/>
  <c r="DO79" i="10"/>
  <c r="DM79" i="10"/>
  <c r="BV392" i="10"/>
  <c r="BT392" i="10"/>
  <c r="BU393" i="10"/>
  <c r="CE390" i="10"/>
  <c r="CC390" i="10"/>
  <c r="CD391" i="10"/>
  <c r="CL390" i="10"/>
  <c r="CM391" i="10"/>
  <c r="CN390" i="10"/>
  <c r="CL79" i="10"/>
  <c r="CN79" i="10"/>
  <c r="CM80" i="10"/>
  <c r="BB79" i="10"/>
  <c r="BD79" i="10"/>
  <c r="BC80" i="10"/>
  <c r="AJ79" i="10"/>
  <c r="AK80" i="10"/>
  <c r="AL79" i="10"/>
  <c r="BV79" i="10"/>
  <c r="BU80" i="10"/>
  <c r="BT79" i="10"/>
  <c r="DX79" i="10"/>
  <c r="DW80" i="10"/>
  <c r="DV79" i="10"/>
  <c r="AU82" i="10"/>
  <c r="AT83" i="10"/>
  <c r="AS82" i="10"/>
  <c r="CC80" i="10"/>
  <c r="CE80" i="10"/>
  <c r="CD81" i="10"/>
  <c r="BB391" i="10"/>
  <c r="BC392" i="10"/>
  <c r="BD391" i="10"/>
  <c r="AK392" i="10"/>
  <c r="AL391" i="10"/>
  <c r="AJ391" i="10"/>
  <c r="DF81" i="10"/>
  <c r="DD81" i="10"/>
  <c r="DE82" i="10"/>
  <c r="U68" i="11"/>
  <c r="B69" i="11"/>
  <c r="O68" i="11"/>
  <c r="N68" i="11"/>
  <c r="T68" i="11"/>
  <c r="R68" i="11"/>
  <c r="Q68" i="11"/>
  <c r="D68" i="11"/>
  <c r="AJ81" i="5"/>
  <c r="L82" i="5"/>
  <c r="S65" i="5"/>
  <c r="R66" i="5"/>
  <c r="D84" i="5"/>
  <c r="G84" i="5" s="1"/>
  <c r="V66" i="5"/>
  <c r="AC83" i="5"/>
  <c r="F83" i="5"/>
  <c r="O83" i="5" s="1"/>
  <c r="AI83" i="5"/>
  <c r="E83" i="5"/>
  <c r="P67" i="11"/>
  <c r="AU392" i="10"/>
  <c r="AS392" i="10"/>
  <c r="AT393" i="10"/>
  <c r="J75" i="16" l="1"/>
  <c r="K74" i="16"/>
  <c r="G74" i="16" s="1"/>
  <c r="L74" i="16"/>
  <c r="H81" i="16"/>
  <c r="V68" i="11"/>
  <c r="S68" i="11"/>
  <c r="P83" i="5"/>
  <c r="M82" i="5"/>
  <c r="AK83" i="5"/>
  <c r="AL82" i="5" s="1"/>
  <c r="AE83" i="5"/>
  <c r="AG84" i="5"/>
  <c r="H84" i="5"/>
  <c r="I84" i="5"/>
  <c r="N84" i="5" s="1"/>
  <c r="AA84" i="5"/>
  <c r="AH82" i="5"/>
  <c r="J83" i="5"/>
  <c r="W66" i="5" s="1"/>
  <c r="K83" i="5"/>
  <c r="U66" i="5"/>
  <c r="DO80" i="10"/>
  <c r="DN81" i="10"/>
  <c r="DM80" i="10"/>
  <c r="BT393" i="10"/>
  <c r="BU394" i="10"/>
  <c r="BV393" i="10"/>
  <c r="CE391" i="10"/>
  <c r="CC391" i="10"/>
  <c r="CD392" i="10"/>
  <c r="BT80" i="10"/>
  <c r="BU81" i="10"/>
  <c r="BV80" i="10"/>
  <c r="CL80" i="10"/>
  <c r="CN80" i="10"/>
  <c r="CM81" i="10"/>
  <c r="CL391" i="10"/>
  <c r="CM392" i="10"/>
  <c r="CN391" i="10"/>
  <c r="DW81" i="10"/>
  <c r="DV80" i="10"/>
  <c r="DX80" i="10"/>
  <c r="AJ80" i="10"/>
  <c r="AK81" i="10"/>
  <c r="AL80" i="10"/>
  <c r="BD80" i="10"/>
  <c r="BB80" i="10"/>
  <c r="BC81" i="10"/>
  <c r="AS83" i="10"/>
  <c r="AT84" i="10"/>
  <c r="AU83" i="10"/>
  <c r="DE83" i="10"/>
  <c r="DF82" i="10"/>
  <c r="DD82" i="10"/>
  <c r="BC393" i="10"/>
  <c r="BD392" i="10"/>
  <c r="BB392" i="10"/>
  <c r="P68" i="11"/>
  <c r="AK393" i="10"/>
  <c r="AL392" i="10"/>
  <c r="AJ392" i="10"/>
  <c r="CD82" i="10"/>
  <c r="CC81" i="10"/>
  <c r="CE81" i="10"/>
  <c r="AT394" i="10"/>
  <c r="AS393" i="10"/>
  <c r="AU393" i="10"/>
  <c r="D85" i="5"/>
  <c r="G85" i="5" s="1"/>
  <c r="V67" i="5"/>
  <c r="R67" i="5"/>
  <c r="F84" i="5"/>
  <c r="O84" i="5" s="1"/>
  <c r="AI84" i="5"/>
  <c r="AC84" i="5"/>
  <c r="E84" i="5"/>
  <c r="AJ82" i="5"/>
  <c r="B70" i="11"/>
  <c r="N69" i="11"/>
  <c r="Q69" i="11"/>
  <c r="D69" i="11"/>
  <c r="U69" i="11"/>
  <c r="T69" i="11"/>
  <c r="O69" i="11"/>
  <c r="R69" i="11"/>
  <c r="S66" i="5"/>
  <c r="L83" i="5"/>
  <c r="J76" i="16" l="1"/>
  <c r="K75" i="16"/>
  <c r="G75" i="16" s="1"/>
  <c r="L75" i="16"/>
  <c r="H82" i="16"/>
  <c r="M83" i="5"/>
  <c r="P84" i="5"/>
  <c r="AE84" i="5"/>
  <c r="U67" i="5"/>
  <c r="J84" i="5"/>
  <c r="W67" i="5" s="1"/>
  <c r="K84" i="5"/>
  <c r="AG85" i="5"/>
  <c r="I85" i="5"/>
  <c r="N85" i="5" s="1"/>
  <c r="AA85" i="5"/>
  <c r="H85" i="5"/>
  <c r="AH83" i="5"/>
  <c r="DM81" i="10"/>
  <c r="DO81" i="10"/>
  <c r="DN82" i="10"/>
  <c r="BU395" i="10"/>
  <c r="BT394" i="10"/>
  <c r="BV394" i="10"/>
  <c r="CC392" i="10"/>
  <c r="CD393" i="10"/>
  <c r="CE392" i="10"/>
  <c r="BC82" i="10"/>
  <c r="BD81" i="10"/>
  <c r="BB81" i="10"/>
  <c r="AK82" i="10"/>
  <c r="AJ81" i="10"/>
  <c r="AL81" i="10"/>
  <c r="DV81" i="10"/>
  <c r="DX81" i="10"/>
  <c r="DW82" i="10"/>
  <c r="CL392" i="10"/>
  <c r="CN392" i="10"/>
  <c r="CM393" i="10"/>
  <c r="CL81" i="10"/>
  <c r="CM82" i="10"/>
  <c r="CN81" i="10"/>
  <c r="BT81" i="10"/>
  <c r="BU82" i="10"/>
  <c r="BV81" i="10"/>
  <c r="AJ83" i="5"/>
  <c r="AK84" i="5"/>
  <c r="AT85" i="10"/>
  <c r="AU84" i="10"/>
  <c r="AS84" i="10"/>
  <c r="CE82" i="10"/>
  <c r="CD83" i="10"/>
  <c r="CC82" i="10"/>
  <c r="V69" i="11"/>
  <c r="P69" i="11"/>
  <c r="AJ393" i="10"/>
  <c r="AK394" i="10"/>
  <c r="AL393" i="10"/>
  <c r="BC394" i="10"/>
  <c r="BD393" i="10"/>
  <c r="BB393" i="10"/>
  <c r="DE84" i="10"/>
  <c r="DF83" i="10"/>
  <c r="DD83" i="10"/>
  <c r="S69" i="11"/>
  <c r="T70" i="11"/>
  <c r="Q70" i="11"/>
  <c r="N70" i="11"/>
  <c r="D70" i="11"/>
  <c r="O70" i="11"/>
  <c r="R70" i="11"/>
  <c r="B71" i="11"/>
  <c r="U70" i="11"/>
  <c r="L84" i="5"/>
  <c r="S67" i="5"/>
  <c r="R68" i="5"/>
  <c r="D86" i="5"/>
  <c r="G86" i="5" s="1"/>
  <c r="V68" i="5"/>
  <c r="AI85" i="5"/>
  <c r="E85" i="5"/>
  <c r="F85" i="5"/>
  <c r="O85" i="5" s="1"/>
  <c r="AC85" i="5"/>
  <c r="AT395" i="10"/>
  <c r="AS394" i="10"/>
  <c r="AU394" i="10"/>
  <c r="J77" i="16" l="1"/>
  <c r="L76" i="16"/>
  <c r="K76" i="16"/>
  <c r="G76" i="16" s="1"/>
  <c r="H83" i="16"/>
  <c r="AE85" i="5"/>
  <c r="P85" i="5"/>
  <c r="M84" i="5"/>
  <c r="I86" i="5"/>
  <c r="N86" i="5" s="1"/>
  <c r="AG86" i="5"/>
  <c r="AA86" i="5"/>
  <c r="H86" i="5"/>
  <c r="AH84" i="5"/>
  <c r="U68" i="5"/>
  <c r="J85" i="5"/>
  <c r="W68" i="5" s="1"/>
  <c r="K85" i="5"/>
  <c r="DM82" i="10"/>
  <c r="DO82" i="10"/>
  <c r="DN83" i="10"/>
  <c r="BV395" i="10"/>
  <c r="BT395" i="10"/>
  <c r="BU396" i="10"/>
  <c r="CC393" i="10"/>
  <c r="CE393" i="10"/>
  <c r="CD394" i="10"/>
  <c r="BT82" i="10"/>
  <c r="BU83" i="10"/>
  <c r="BV82" i="10"/>
  <c r="DV82" i="10"/>
  <c r="DW83" i="10"/>
  <c r="DX82" i="10"/>
  <c r="BD82" i="10"/>
  <c r="BB82" i="10"/>
  <c r="BC83" i="10"/>
  <c r="CL82" i="10"/>
  <c r="CN82" i="10"/>
  <c r="CM83" i="10"/>
  <c r="CL393" i="10"/>
  <c r="CN393" i="10"/>
  <c r="CM394" i="10"/>
  <c r="AL82" i="10"/>
  <c r="AJ82" i="10"/>
  <c r="AK83" i="10"/>
  <c r="AJ84" i="5"/>
  <c r="AK85" i="5"/>
  <c r="AL84" i="5" s="1"/>
  <c r="AL83" i="5"/>
  <c r="AT86" i="10"/>
  <c r="AS85" i="10"/>
  <c r="AU85" i="10"/>
  <c r="AL394" i="10"/>
  <c r="AJ394" i="10"/>
  <c r="AK395" i="10"/>
  <c r="V70" i="11"/>
  <c r="DD84" i="10"/>
  <c r="DF84" i="10"/>
  <c r="DE85" i="10"/>
  <c r="BB394" i="10"/>
  <c r="BC395" i="10"/>
  <c r="BD394" i="10"/>
  <c r="CC83" i="10"/>
  <c r="CE83" i="10"/>
  <c r="CD84" i="10"/>
  <c r="AT396" i="10"/>
  <c r="AS395" i="10"/>
  <c r="AU395" i="10"/>
  <c r="L85" i="5"/>
  <c r="S68" i="5"/>
  <c r="S70" i="11"/>
  <c r="R69" i="5"/>
  <c r="D87" i="5"/>
  <c r="G87" i="5" s="1"/>
  <c r="V69" i="5"/>
  <c r="E86" i="5"/>
  <c r="AI86" i="5"/>
  <c r="F86" i="5"/>
  <c r="O86" i="5" s="1"/>
  <c r="AC86" i="5"/>
  <c r="T71" i="11"/>
  <c r="U71" i="11"/>
  <c r="N71" i="11"/>
  <c r="O71" i="11"/>
  <c r="D71" i="11"/>
  <c r="B72" i="11"/>
  <c r="Q71" i="11"/>
  <c r="R71" i="11"/>
  <c r="P70" i="11"/>
  <c r="J78" i="16" l="1"/>
  <c r="L77" i="16"/>
  <c r="K77" i="16"/>
  <c r="G77" i="16" s="1"/>
  <c r="H84" i="16"/>
  <c r="M85" i="5"/>
  <c r="AE86" i="5"/>
  <c r="AK86" i="5"/>
  <c r="AL85" i="5" s="1"/>
  <c r="P86" i="5"/>
  <c r="K86" i="5"/>
  <c r="J86" i="5"/>
  <c r="W69" i="5" s="1"/>
  <c r="U69" i="5"/>
  <c r="AH85" i="5"/>
  <c r="AA87" i="5"/>
  <c r="AG87" i="5"/>
  <c r="I87" i="5"/>
  <c r="N87" i="5" s="1"/>
  <c r="H87" i="5"/>
  <c r="DN84" i="10"/>
  <c r="DO83" i="10"/>
  <c r="DM83" i="10"/>
  <c r="BV396" i="10"/>
  <c r="BU397" i="10"/>
  <c r="BT396" i="10"/>
  <c r="CD395" i="10"/>
  <c r="CE394" i="10"/>
  <c r="CC394" i="10"/>
  <c r="AK84" i="10"/>
  <c r="AL83" i="10"/>
  <c r="AJ83" i="10"/>
  <c r="CM84" i="10"/>
  <c r="CL83" i="10"/>
  <c r="CN83" i="10"/>
  <c r="BT83" i="10"/>
  <c r="BU84" i="10"/>
  <c r="BV83" i="10"/>
  <c r="CL394" i="10"/>
  <c r="CM395" i="10"/>
  <c r="CN394" i="10"/>
  <c r="BD83" i="10"/>
  <c r="BC84" i="10"/>
  <c r="BB83" i="10"/>
  <c r="DV83" i="10"/>
  <c r="DW84" i="10"/>
  <c r="DX83" i="10"/>
  <c r="AS86" i="10"/>
  <c r="AU86" i="10"/>
  <c r="AT87" i="10"/>
  <c r="BB395" i="10"/>
  <c r="BD395" i="10"/>
  <c r="BC396" i="10"/>
  <c r="S71" i="11"/>
  <c r="P71" i="11"/>
  <c r="V71" i="11"/>
  <c r="CE84" i="10"/>
  <c r="CD85" i="10"/>
  <c r="CC84" i="10"/>
  <c r="DD85" i="10"/>
  <c r="DF85" i="10"/>
  <c r="DE86" i="10"/>
  <c r="AJ395" i="10"/>
  <c r="AK396" i="10"/>
  <c r="AL395" i="10"/>
  <c r="R72" i="11"/>
  <c r="T72" i="11"/>
  <c r="O72" i="11"/>
  <c r="U72" i="11"/>
  <c r="Q72" i="11"/>
  <c r="B73" i="11"/>
  <c r="N72" i="11"/>
  <c r="P72" i="11" s="1"/>
  <c r="D72" i="11"/>
  <c r="AJ85" i="5"/>
  <c r="L86" i="5"/>
  <c r="S69" i="5"/>
  <c r="R70" i="5"/>
  <c r="D88" i="5"/>
  <c r="G88" i="5" s="1"/>
  <c r="V70" i="5"/>
  <c r="AI87" i="5"/>
  <c r="F87" i="5"/>
  <c r="O87" i="5" s="1"/>
  <c r="AC87" i="5"/>
  <c r="E87" i="5"/>
  <c r="AS396" i="10"/>
  <c r="AT397" i="10"/>
  <c r="AU396" i="10"/>
  <c r="S72" i="11" l="1"/>
  <c r="J79" i="16"/>
  <c r="K78" i="16"/>
  <c r="G78" i="16" s="1"/>
  <c r="L78" i="16"/>
  <c r="H85" i="16"/>
  <c r="AE87" i="5"/>
  <c r="P87" i="5"/>
  <c r="M86" i="5"/>
  <c r="AK87" i="5"/>
  <c r="AL86" i="5" s="1"/>
  <c r="AG88" i="5"/>
  <c r="I88" i="5"/>
  <c r="N88" i="5" s="1"/>
  <c r="AA88" i="5"/>
  <c r="H88" i="5"/>
  <c r="K87" i="5"/>
  <c r="J87" i="5"/>
  <c r="W70" i="5" s="1"/>
  <c r="U70" i="5"/>
  <c r="AH86" i="5"/>
  <c r="DO84" i="10"/>
  <c r="DN85" i="10"/>
  <c r="DM84" i="10"/>
  <c r="BV397" i="10"/>
  <c r="BT397" i="10"/>
  <c r="BU398" i="10"/>
  <c r="CC395" i="10"/>
  <c r="CD396" i="10"/>
  <c r="CE395" i="10"/>
  <c r="AJ86" i="5"/>
  <c r="BC85" i="10"/>
  <c r="BD84" i="10"/>
  <c r="BB84" i="10"/>
  <c r="BT84" i="10"/>
  <c r="BV84" i="10"/>
  <c r="BU85" i="10"/>
  <c r="CN84" i="10"/>
  <c r="CM85" i="10"/>
  <c r="CL84" i="10"/>
  <c r="DW85" i="10"/>
  <c r="DX84" i="10"/>
  <c r="DV84" i="10"/>
  <c r="CL395" i="10"/>
  <c r="CM396" i="10"/>
  <c r="CN395" i="10"/>
  <c r="AJ84" i="10"/>
  <c r="AL84" i="10"/>
  <c r="AK85" i="10"/>
  <c r="AS87" i="10"/>
  <c r="AU87" i="10"/>
  <c r="AT88" i="10"/>
  <c r="AK397" i="10"/>
  <c r="AJ396" i="10"/>
  <c r="AL396" i="10"/>
  <c r="DD86" i="10"/>
  <c r="DE87" i="10"/>
  <c r="DF86" i="10"/>
  <c r="BD396" i="10"/>
  <c r="BC397" i="10"/>
  <c r="BB396" i="10"/>
  <c r="CE85" i="10"/>
  <c r="CD86" i="10"/>
  <c r="CC85" i="10"/>
  <c r="L87" i="5"/>
  <c r="S70" i="5"/>
  <c r="D73" i="11"/>
  <c r="B74" i="11"/>
  <c r="Q73" i="11"/>
  <c r="R73" i="11"/>
  <c r="T73" i="11"/>
  <c r="U73" i="11"/>
  <c r="N73" i="11"/>
  <c r="O73" i="11"/>
  <c r="V72" i="11"/>
  <c r="AU397" i="10"/>
  <c r="AS397" i="10"/>
  <c r="AT398" i="10"/>
  <c r="D89" i="5"/>
  <c r="G89" i="5" s="1"/>
  <c r="V71" i="5"/>
  <c r="R71" i="5"/>
  <c r="AI88" i="5"/>
  <c r="E88" i="5"/>
  <c r="F88" i="5"/>
  <c r="O88" i="5" s="1"/>
  <c r="AC88" i="5"/>
  <c r="J80" i="16" l="1"/>
  <c r="K79" i="16"/>
  <c r="G79" i="16" s="1"/>
  <c r="L79" i="16"/>
  <c r="H86" i="16"/>
  <c r="AK88" i="5"/>
  <c r="AL87" i="5" s="1"/>
  <c r="AE88" i="5"/>
  <c r="M87" i="5"/>
  <c r="P88" i="5"/>
  <c r="H89" i="5"/>
  <c r="AA89" i="5"/>
  <c r="I89" i="5"/>
  <c r="N89" i="5" s="1"/>
  <c r="AG89" i="5"/>
  <c r="U71" i="5"/>
  <c r="J88" i="5"/>
  <c r="W71" i="5" s="1"/>
  <c r="K88" i="5"/>
  <c r="AH87" i="5"/>
  <c r="DM85" i="10"/>
  <c r="DO85" i="10"/>
  <c r="DN86" i="10"/>
  <c r="BV398" i="10"/>
  <c r="BT398" i="10"/>
  <c r="BU399" i="10"/>
  <c r="CC396" i="10"/>
  <c r="CE396" i="10"/>
  <c r="CD397" i="10"/>
  <c r="AJ87" i="5"/>
  <c r="AK86" i="10"/>
  <c r="AL85" i="10"/>
  <c r="AJ85" i="10"/>
  <c r="CM397" i="10"/>
  <c r="CN396" i="10"/>
  <c r="CL396" i="10"/>
  <c r="DX85" i="10"/>
  <c r="DW86" i="10"/>
  <c r="DV85" i="10"/>
  <c r="CM86" i="10"/>
  <c r="CL85" i="10"/>
  <c r="CN85" i="10"/>
  <c r="BT85" i="10"/>
  <c r="BV85" i="10"/>
  <c r="BU86" i="10"/>
  <c r="BB85" i="10"/>
  <c r="BD85" i="10"/>
  <c r="BC86" i="10"/>
  <c r="AU88" i="10"/>
  <c r="AT89" i="10"/>
  <c r="AS88" i="10"/>
  <c r="DD87" i="10"/>
  <c r="DE88" i="10"/>
  <c r="DF87" i="10"/>
  <c r="AJ397" i="10"/>
  <c r="AL397" i="10"/>
  <c r="AK398" i="10"/>
  <c r="P73" i="11"/>
  <c r="V73" i="11"/>
  <c r="S73" i="11"/>
  <c r="CC86" i="10"/>
  <c r="CD87" i="10"/>
  <c r="CE86" i="10"/>
  <c r="BD397" i="10"/>
  <c r="BC398" i="10"/>
  <c r="BB397" i="10"/>
  <c r="S71" i="5"/>
  <c r="L88" i="5"/>
  <c r="B75" i="11"/>
  <c r="N74" i="11"/>
  <c r="U74" i="11"/>
  <c r="R74" i="11"/>
  <c r="D74" i="11"/>
  <c r="T74" i="11"/>
  <c r="Q74" i="11"/>
  <c r="O74" i="11"/>
  <c r="R72" i="5"/>
  <c r="D90" i="5"/>
  <c r="G90" i="5" s="1"/>
  <c r="V72" i="5"/>
  <c r="F89" i="5"/>
  <c r="O89" i="5" s="1"/>
  <c r="E89" i="5"/>
  <c r="AC89" i="5"/>
  <c r="AI89" i="5"/>
  <c r="AU398" i="10"/>
  <c r="AS398" i="10"/>
  <c r="AT399" i="10"/>
  <c r="J81" i="16" l="1"/>
  <c r="K80" i="16"/>
  <c r="G80" i="16" s="1"/>
  <c r="L80" i="16"/>
  <c r="H87" i="16"/>
  <c r="P89" i="5"/>
  <c r="M88" i="5"/>
  <c r="AK89" i="5"/>
  <c r="AL88" i="5" s="1"/>
  <c r="AE89" i="5"/>
  <c r="AG90" i="5"/>
  <c r="AH89" i="5" s="1"/>
  <c r="AA90" i="5"/>
  <c r="H90" i="5"/>
  <c r="I90" i="5"/>
  <c r="N90" i="5" s="1"/>
  <c r="V74" i="11"/>
  <c r="K89" i="5"/>
  <c r="U72" i="5"/>
  <c r="J89" i="5"/>
  <c r="W72" i="5" s="1"/>
  <c r="AH88" i="5"/>
  <c r="DO86" i="10"/>
  <c r="DM86" i="10"/>
  <c r="DN87" i="10"/>
  <c r="BV399" i="10"/>
  <c r="BU400" i="10"/>
  <c r="BT399" i="10"/>
  <c r="CE397" i="10"/>
  <c r="CD398" i="10"/>
  <c r="CC397" i="10"/>
  <c r="BB86" i="10"/>
  <c r="BC87" i="10"/>
  <c r="BD86" i="10"/>
  <c r="CM87" i="10"/>
  <c r="CL86" i="10"/>
  <c r="CN86" i="10"/>
  <c r="DV86" i="10"/>
  <c r="DW87" i="10"/>
  <c r="DX86" i="10"/>
  <c r="CN397" i="10"/>
  <c r="CL397" i="10"/>
  <c r="CM398" i="10"/>
  <c r="BT86" i="10"/>
  <c r="BU87" i="10"/>
  <c r="BV86" i="10"/>
  <c r="AJ86" i="10"/>
  <c r="AL86" i="10"/>
  <c r="AK87" i="10"/>
  <c r="AS89" i="10"/>
  <c r="AU89" i="10"/>
  <c r="AT90" i="10"/>
  <c r="AK399" i="10"/>
  <c r="AL398" i="10"/>
  <c r="AJ398" i="10"/>
  <c r="DD88" i="10"/>
  <c r="DE89" i="10"/>
  <c r="DF88" i="10"/>
  <c r="BD398" i="10"/>
  <c r="BC399" i="10"/>
  <c r="BB398" i="10"/>
  <c r="CC87" i="10"/>
  <c r="CE87" i="10"/>
  <c r="CD88" i="10"/>
  <c r="L89" i="5"/>
  <c r="S72" i="5"/>
  <c r="S74" i="11"/>
  <c r="B76" i="11"/>
  <c r="T75" i="11"/>
  <c r="D75" i="11"/>
  <c r="Q75" i="11"/>
  <c r="U75" i="11"/>
  <c r="O75" i="11"/>
  <c r="R75" i="11"/>
  <c r="N75" i="11"/>
  <c r="AJ88" i="5"/>
  <c r="AS399" i="10"/>
  <c r="AU399" i="10"/>
  <c r="AT400" i="10"/>
  <c r="R73" i="5"/>
  <c r="D91" i="5"/>
  <c r="G91" i="5" s="1"/>
  <c r="V73" i="5"/>
  <c r="F90" i="5"/>
  <c r="O90" i="5" s="1"/>
  <c r="E90" i="5"/>
  <c r="AC90" i="5"/>
  <c r="AI90" i="5"/>
  <c r="P74" i="11"/>
  <c r="J82" i="16" l="1"/>
  <c r="K81" i="16"/>
  <c r="G81" i="16" s="1"/>
  <c r="L81" i="16"/>
  <c r="H88" i="16"/>
  <c r="P75" i="11"/>
  <c r="AE90" i="5"/>
  <c r="P90" i="5"/>
  <c r="M89" i="5"/>
  <c r="AG91" i="5"/>
  <c r="AA91" i="5"/>
  <c r="H91" i="5"/>
  <c r="I91" i="5"/>
  <c r="N91" i="5" s="1"/>
  <c r="K90" i="5"/>
  <c r="J90" i="5"/>
  <c r="W73" i="5" s="1"/>
  <c r="U73" i="5"/>
  <c r="DO87" i="10"/>
  <c r="DM87" i="10"/>
  <c r="DN88" i="10"/>
  <c r="BU401" i="10"/>
  <c r="BT400" i="10"/>
  <c r="BV400" i="10"/>
  <c r="CD399" i="10"/>
  <c r="CC398" i="10"/>
  <c r="CE398" i="10"/>
  <c r="AJ87" i="10"/>
  <c r="AL87" i="10"/>
  <c r="AK88" i="10"/>
  <c r="BV87" i="10"/>
  <c r="BU88" i="10"/>
  <c r="BT87" i="10"/>
  <c r="CM399" i="10"/>
  <c r="CL398" i="10"/>
  <c r="CN398" i="10"/>
  <c r="DW88" i="10"/>
  <c r="DV87" i="10"/>
  <c r="DX87" i="10"/>
  <c r="CL87" i="10"/>
  <c r="CM88" i="10"/>
  <c r="CN87" i="10"/>
  <c r="BB87" i="10"/>
  <c r="BD87" i="10"/>
  <c r="BC88" i="10"/>
  <c r="AJ89" i="5"/>
  <c r="AK90" i="5"/>
  <c r="AU90" i="10"/>
  <c r="AT91" i="10"/>
  <c r="AS90" i="10"/>
  <c r="CC88" i="10"/>
  <c r="CE88" i="10"/>
  <c r="CD89" i="10"/>
  <c r="BB399" i="10"/>
  <c r="BC400" i="10"/>
  <c r="BD399" i="10"/>
  <c r="DF89" i="10"/>
  <c r="DD89" i="10"/>
  <c r="DE90" i="10"/>
  <c r="AJ399" i="10"/>
  <c r="AK400" i="10"/>
  <c r="AL399" i="10"/>
  <c r="L90" i="5"/>
  <c r="S73" i="5"/>
  <c r="S75" i="11"/>
  <c r="V75" i="11"/>
  <c r="R74" i="5"/>
  <c r="D92" i="5"/>
  <c r="G92" i="5" s="1"/>
  <c r="V74" i="5"/>
  <c r="AC91" i="5"/>
  <c r="E91" i="5"/>
  <c r="AI91" i="5"/>
  <c r="F91" i="5"/>
  <c r="O91" i="5" s="1"/>
  <c r="AS400" i="10"/>
  <c r="AU400" i="10"/>
  <c r="AT401" i="10"/>
  <c r="Q76" i="11"/>
  <c r="U76" i="11"/>
  <c r="R76" i="11"/>
  <c r="O76" i="11"/>
  <c r="D76" i="11"/>
  <c r="B77" i="11"/>
  <c r="N76" i="11"/>
  <c r="T76" i="11"/>
  <c r="J83" i="16" l="1"/>
  <c r="K82" i="16"/>
  <c r="G82" i="16" s="1"/>
  <c r="L82" i="16"/>
  <c r="H89" i="16"/>
  <c r="V76" i="11"/>
  <c r="P91" i="5"/>
  <c r="AK91" i="5"/>
  <c r="AL90" i="5" s="1"/>
  <c r="M90" i="5"/>
  <c r="AE91" i="5"/>
  <c r="I92" i="5"/>
  <c r="N92" i="5" s="1"/>
  <c r="AG92" i="5"/>
  <c r="H92" i="5"/>
  <c r="AA92" i="5"/>
  <c r="U74" i="5"/>
  <c r="J91" i="5"/>
  <c r="W74" i="5" s="1"/>
  <c r="K91" i="5"/>
  <c r="AH90" i="5"/>
  <c r="DM88" i="10"/>
  <c r="DO88" i="10"/>
  <c r="DN89" i="10"/>
  <c r="BU402" i="10"/>
  <c r="BT401" i="10"/>
  <c r="BV401" i="10"/>
  <c r="CE399" i="10"/>
  <c r="CC399" i="10"/>
  <c r="CD400" i="10"/>
  <c r="BB88" i="10"/>
  <c r="BC89" i="10"/>
  <c r="BD88" i="10"/>
  <c r="CN88" i="10"/>
  <c r="CL88" i="10"/>
  <c r="CM89" i="10"/>
  <c r="DW89" i="10"/>
  <c r="DX88" i="10"/>
  <c r="DV88" i="10"/>
  <c r="CN399" i="10"/>
  <c r="CM400" i="10"/>
  <c r="CL399" i="10"/>
  <c r="BU89" i="10"/>
  <c r="BT88" i="10"/>
  <c r="BV88" i="10"/>
  <c r="AJ88" i="10"/>
  <c r="AL88" i="10"/>
  <c r="AK89" i="10"/>
  <c r="AL89" i="5"/>
  <c r="AU91" i="10"/>
  <c r="AT92" i="10"/>
  <c r="AS91" i="10"/>
  <c r="BD400" i="10"/>
  <c r="BC401" i="10"/>
  <c r="BB400" i="10"/>
  <c r="P76" i="11"/>
  <c r="AJ400" i="10"/>
  <c r="AL400" i="10"/>
  <c r="AK401" i="10"/>
  <c r="DE91" i="10"/>
  <c r="DD90" i="10"/>
  <c r="DF90" i="10"/>
  <c r="CE89" i="10"/>
  <c r="CD90" i="10"/>
  <c r="CC89" i="10"/>
  <c r="S76" i="11"/>
  <c r="AT402" i="10"/>
  <c r="AU401" i="10"/>
  <c r="AS401" i="10"/>
  <c r="D93" i="5"/>
  <c r="G93" i="5" s="1"/>
  <c r="V75" i="5"/>
  <c r="R75" i="5"/>
  <c r="AI92" i="5"/>
  <c r="AC92" i="5"/>
  <c r="E92" i="5"/>
  <c r="F92" i="5"/>
  <c r="O92" i="5" s="1"/>
  <c r="AJ90" i="5"/>
  <c r="N77" i="11"/>
  <c r="O77" i="11"/>
  <c r="R77" i="11"/>
  <c r="T77" i="11"/>
  <c r="D77" i="11"/>
  <c r="B78" i="11"/>
  <c r="U77" i="11"/>
  <c r="Q77" i="11"/>
  <c r="L91" i="5"/>
  <c r="S74" i="5"/>
  <c r="J84" i="16" l="1"/>
  <c r="K83" i="16"/>
  <c r="G83" i="16" s="1"/>
  <c r="L83" i="16"/>
  <c r="H90" i="16"/>
  <c r="S77" i="11"/>
  <c r="AE92" i="5"/>
  <c r="M91" i="5"/>
  <c r="P92" i="5"/>
  <c r="AH91" i="5"/>
  <c r="H93" i="5"/>
  <c r="AG93" i="5"/>
  <c r="AA93" i="5"/>
  <c r="I93" i="5"/>
  <c r="N93" i="5" s="1"/>
  <c r="J92" i="5"/>
  <c r="W75" i="5" s="1"/>
  <c r="K92" i="5"/>
  <c r="U75" i="5"/>
  <c r="DO89" i="10"/>
  <c r="DM89" i="10"/>
  <c r="DN90" i="10"/>
  <c r="BV402" i="10"/>
  <c r="BT402" i="10"/>
  <c r="CC400" i="10"/>
  <c r="CD401" i="10"/>
  <c r="CE400" i="10"/>
  <c r="AL89" i="10"/>
  <c r="AJ89" i="10"/>
  <c r="AK90" i="10"/>
  <c r="CM90" i="10"/>
  <c r="CN89" i="10"/>
  <c r="CL89" i="10"/>
  <c r="BB89" i="10"/>
  <c r="BD89" i="10"/>
  <c r="BC90" i="10"/>
  <c r="BT89" i="10"/>
  <c r="BU90" i="10"/>
  <c r="BV89" i="10"/>
  <c r="CM401" i="10"/>
  <c r="CL400" i="10"/>
  <c r="CN400" i="10"/>
  <c r="DX89" i="10"/>
  <c r="DW90" i="10"/>
  <c r="DV89" i="10"/>
  <c r="AJ91" i="5"/>
  <c r="AK92" i="5"/>
  <c r="AU92" i="10"/>
  <c r="AS92" i="10"/>
  <c r="AT93" i="10"/>
  <c r="DF91" i="10"/>
  <c r="DD91" i="10"/>
  <c r="P77" i="11"/>
  <c r="CD91" i="10"/>
  <c r="CE90" i="10"/>
  <c r="CC90" i="10"/>
  <c r="AJ401" i="10"/>
  <c r="AK402" i="10"/>
  <c r="AL401" i="10"/>
  <c r="BB401" i="10"/>
  <c r="BD401" i="10"/>
  <c r="BC402" i="10"/>
  <c r="V76" i="5"/>
  <c r="R76" i="5"/>
  <c r="D94" i="5"/>
  <c r="G94" i="5" s="1"/>
  <c r="E93" i="5"/>
  <c r="F93" i="5"/>
  <c r="O93" i="5" s="1"/>
  <c r="AC93" i="5"/>
  <c r="AI93" i="5"/>
  <c r="AT403" i="10"/>
  <c r="AU402" i="10"/>
  <c r="AS402" i="10"/>
  <c r="T78" i="11"/>
  <c r="U78" i="11"/>
  <c r="B79" i="11"/>
  <c r="Q78" i="11"/>
  <c r="O78" i="11"/>
  <c r="R78" i="11"/>
  <c r="D78" i="11"/>
  <c r="N78" i="11"/>
  <c r="V77" i="11"/>
  <c r="L92" i="5"/>
  <c r="S75" i="5"/>
  <c r="J85" i="16" l="1"/>
  <c r="L84" i="16"/>
  <c r="K84" i="16"/>
  <c r="G84" i="16" s="1"/>
  <c r="H91" i="16"/>
  <c r="M92" i="5"/>
  <c r="AE93" i="5"/>
  <c r="AH92" i="5"/>
  <c r="V78" i="11"/>
  <c r="P93" i="5"/>
  <c r="H94" i="5"/>
  <c r="I94" i="5"/>
  <c r="N94" i="5" s="1"/>
  <c r="AG94" i="5"/>
  <c r="AH93" i="5" s="1"/>
  <c r="AA94" i="5"/>
  <c r="J93" i="5"/>
  <c r="W76" i="5" s="1"/>
  <c r="K93" i="5"/>
  <c r="U76" i="5"/>
  <c r="DN91" i="10"/>
  <c r="DO90" i="10"/>
  <c r="DM90" i="10"/>
  <c r="CE401" i="10"/>
  <c r="CC401" i="10"/>
  <c r="CD402" i="10"/>
  <c r="CM91" i="10"/>
  <c r="CL90" i="10"/>
  <c r="CN90" i="10"/>
  <c r="DX90" i="10"/>
  <c r="DV90" i="10"/>
  <c r="DW91" i="10"/>
  <c r="CN401" i="10"/>
  <c r="CL401" i="10"/>
  <c r="CM402" i="10"/>
  <c r="BU91" i="10"/>
  <c r="BT90" i="10"/>
  <c r="BV90" i="10"/>
  <c r="BD90" i="10"/>
  <c r="BB90" i="10"/>
  <c r="BC91" i="10"/>
  <c r="AJ90" i="10"/>
  <c r="AK91" i="10"/>
  <c r="AL90" i="10"/>
  <c r="AL91" i="5"/>
  <c r="AJ92" i="5"/>
  <c r="AK93" i="5"/>
  <c r="AL92" i="5" s="1"/>
  <c r="AT94" i="10"/>
  <c r="AU93" i="10"/>
  <c r="AS93" i="10"/>
  <c r="AL402" i="10"/>
  <c r="AJ402" i="10"/>
  <c r="CC91" i="10"/>
  <c r="CE91" i="10"/>
  <c r="CD92" i="10"/>
  <c r="BB402" i="10"/>
  <c r="BC403" i="10"/>
  <c r="BD402" i="10"/>
  <c r="P78" i="11"/>
  <c r="S78" i="11"/>
  <c r="AT404" i="10"/>
  <c r="AS403" i="10"/>
  <c r="AU403" i="10"/>
  <c r="L93" i="5"/>
  <c r="S76" i="5"/>
  <c r="N79" i="11"/>
  <c r="O79" i="11"/>
  <c r="R79" i="11"/>
  <c r="T79" i="11"/>
  <c r="D79" i="11"/>
  <c r="B80" i="11"/>
  <c r="U79" i="11"/>
  <c r="Q79" i="11"/>
  <c r="D95" i="5"/>
  <c r="G95" i="5" s="1"/>
  <c r="V77" i="5"/>
  <c r="R77" i="5"/>
  <c r="AC94" i="5"/>
  <c r="E94" i="5"/>
  <c r="F94" i="5"/>
  <c r="O94" i="5" s="1"/>
  <c r="AI94" i="5"/>
  <c r="J86" i="16" l="1"/>
  <c r="L85" i="16"/>
  <c r="K85" i="16"/>
  <c r="G85" i="16" s="1"/>
  <c r="H92" i="16"/>
  <c r="M93" i="5"/>
  <c r="AK94" i="5"/>
  <c r="AL93" i="5" s="1"/>
  <c r="AA95" i="5"/>
  <c r="H95" i="5"/>
  <c r="I95" i="5"/>
  <c r="N95" i="5" s="1"/>
  <c r="AG95" i="5"/>
  <c r="P94" i="5"/>
  <c r="AE94" i="5"/>
  <c r="S79" i="11"/>
  <c r="V79" i="11"/>
  <c r="U77" i="5"/>
  <c r="K94" i="5"/>
  <c r="J94" i="5"/>
  <c r="W77" i="5" s="1"/>
  <c r="DN92" i="10"/>
  <c r="DM91" i="10"/>
  <c r="DO91" i="10"/>
  <c r="CD403" i="10"/>
  <c r="CC402" i="10"/>
  <c r="CE402" i="10"/>
  <c r="AJ91" i="10"/>
  <c r="AL91" i="10"/>
  <c r="BC92" i="10"/>
  <c r="BB91" i="10"/>
  <c r="BD91" i="10"/>
  <c r="CM403" i="10"/>
  <c r="CL402" i="10"/>
  <c r="CN402" i="10"/>
  <c r="CN91" i="10"/>
  <c r="CL91" i="10"/>
  <c r="CM92" i="10"/>
  <c r="BT91" i="10"/>
  <c r="BV91" i="10"/>
  <c r="DW92" i="10"/>
  <c r="DX91" i="10"/>
  <c r="DV91" i="10"/>
  <c r="AU94" i="10"/>
  <c r="AT95" i="10"/>
  <c r="AS94" i="10"/>
  <c r="CC92" i="10"/>
  <c r="CE92" i="10"/>
  <c r="CD93" i="10"/>
  <c r="BB403" i="10"/>
  <c r="BC404" i="10"/>
  <c r="BD403" i="10"/>
  <c r="AJ93" i="5"/>
  <c r="L94" i="5"/>
  <c r="S77" i="5"/>
  <c r="V78" i="5"/>
  <c r="R78" i="5"/>
  <c r="D96" i="5"/>
  <c r="G96" i="5" s="1"/>
  <c r="AC95" i="5"/>
  <c r="F95" i="5"/>
  <c r="O95" i="5" s="1"/>
  <c r="E95" i="5"/>
  <c r="AI95" i="5"/>
  <c r="P79" i="11"/>
  <c r="AT405" i="10"/>
  <c r="AS404" i="10"/>
  <c r="AU404" i="10"/>
  <c r="O80" i="11"/>
  <c r="D80" i="11"/>
  <c r="B81" i="11"/>
  <c r="N80" i="11"/>
  <c r="T80" i="11"/>
  <c r="Q80" i="11"/>
  <c r="U80" i="11"/>
  <c r="R80" i="11"/>
  <c r="J87" i="16" l="1"/>
  <c r="K86" i="16"/>
  <c r="G86" i="16" s="1"/>
  <c r="L86" i="16"/>
  <c r="H93" i="16"/>
  <c r="P95" i="5"/>
  <c r="M94" i="5"/>
  <c r="AE95" i="5"/>
  <c r="U78" i="5"/>
  <c r="J95" i="5"/>
  <c r="W78" i="5" s="1"/>
  <c r="K95" i="5"/>
  <c r="H96" i="5"/>
  <c r="AG96" i="5"/>
  <c r="AH95" i="5" s="1"/>
  <c r="I96" i="5"/>
  <c r="N96" i="5" s="1"/>
  <c r="AA96" i="5"/>
  <c r="AH94" i="5"/>
  <c r="DM92" i="10"/>
  <c r="DN93" i="10"/>
  <c r="DO92" i="10"/>
  <c r="CC403" i="10"/>
  <c r="CE403" i="10"/>
  <c r="CD404" i="10"/>
  <c r="CN92" i="10"/>
  <c r="CL92" i="10"/>
  <c r="CM93" i="10"/>
  <c r="BD92" i="10"/>
  <c r="BB92" i="10"/>
  <c r="BC93" i="10"/>
  <c r="DX92" i="10"/>
  <c r="DW93" i="10"/>
  <c r="DV92" i="10"/>
  <c r="CN403" i="10"/>
  <c r="CM404" i="10"/>
  <c r="CL403" i="10"/>
  <c r="AJ94" i="5"/>
  <c r="AK95" i="5"/>
  <c r="AU95" i="10"/>
  <c r="AT96" i="10"/>
  <c r="AS95" i="10"/>
  <c r="BB404" i="10"/>
  <c r="BC405" i="10"/>
  <c r="BD404" i="10"/>
  <c r="CD94" i="10"/>
  <c r="CE93" i="10"/>
  <c r="CC93" i="10"/>
  <c r="S80" i="11"/>
  <c r="P80" i="11"/>
  <c r="L95" i="5"/>
  <c r="S78" i="5"/>
  <c r="V80" i="11"/>
  <c r="B82" i="11"/>
  <c r="T81" i="11"/>
  <c r="R81" i="11"/>
  <c r="U81" i="11"/>
  <c r="O81" i="11"/>
  <c r="D81" i="11"/>
  <c r="Q81" i="11"/>
  <c r="N81" i="11"/>
  <c r="AS405" i="10"/>
  <c r="AT406" i="10"/>
  <c r="AU405" i="10"/>
  <c r="D97" i="5"/>
  <c r="G97" i="5" s="1"/>
  <c r="V79" i="5"/>
  <c r="R79" i="5"/>
  <c r="E96" i="5"/>
  <c r="AC96" i="5"/>
  <c r="AI96" i="5"/>
  <c r="F96" i="5"/>
  <c r="O96" i="5" s="1"/>
  <c r="J88" i="16" l="1"/>
  <c r="K87" i="16"/>
  <c r="G87" i="16" s="1"/>
  <c r="L87" i="16"/>
  <c r="H94" i="16"/>
  <c r="S81" i="11"/>
  <c r="M95" i="5"/>
  <c r="AE96" i="5"/>
  <c r="P96" i="5"/>
  <c r="AA97" i="5"/>
  <c r="I97" i="5"/>
  <c r="N97" i="5" s="1"/>
  <c r="AG97" i="5"/>
  <c r="AH96" i="5" s="1"/>
  <c r="H97" i="5"/>
  <c r="K96" i="5"/>
  <c r="J96" i="5"/>
  <c r="W79" i="5" s="1"/>
  <c r="U79" i="5"/>
  <c r="DM93" i="10"/>
  <c r="DO93" i="10"/>
  <c r="DN94" i="10"/>
  <c r="CC404" i="10"/>
  <c r="CE404" i="10"/>
  <c r="CD405" i="10"/>
  <c r="DW94" i="10"/>
  <c r="DV93" i="10"/>
  <c r="DX93" i="10"/>
  <c r="BB93" i="10"/>
  <c r="BD93" i="10"/>
  <c r="BC94" i="10"/>
  <c r="CL404" i="10"/>
  <c r="CM405" i="10"/>
  <c r="CN404" i="10"/>
  <c r="CN93" i="10"/>
  <c r="CM94" i="10"/>
  <c r="CL93" i="10"/>
  <c r="AJ95" i="5"/>
  <c r="AK96" i="5"/>
  <c r="AL95" i="5" s="1"/>
  <c r="AL94" i="5"/>
  <c r="AT97" i="10"/>
  <c r="AS96" i="10"/>
  <c r="AU96" i="10"/>
  <c r="CD95" i="10"/>
  <c r="CE94" i="10"/>
  <c r="CC94" i="10"/>
  <c r="BB405" i="10"/>
  <c r="BD405" i="10"/>
  <c r="BC406" i="10"/>
  <c r="P81" i="11"/>
  <c r="V80" i="5"/>
  <c r="D98" i="5"/>
  <c r="G98" i="5" s="1"/>
  <c r="R80" i="5"/>
  <c r="AI97" i="5"/>
  <c r="F97" i="5"/>
  <c r="O97" i="5" s="1"/>
  <c r="E97" i="5"/>
  <c r="AC97" i="5"/>
  <c r="AU406" i="10"/>
  <c r="AS406" i="10"/>
  <c r="AT407" i="10"/>
  <c r="V81" i="11"/>
  <c r="L96" i="5"/>
  <c r="S79" i="5"/>
  <c r="D82" i="11"/>
  <c r="N82" i="11"/>
  <c r="U82" i="11"/>
  <c r="T82" i="11"/>
  <c r="R82" i="11"/>
  <c r="O82" i="11"/>
  <c r="Q82" i="11"/>
  <c r="S82" i="11" s="1"/>
  <c r="B83" i="11"/>
  <c r="J89" i="16" l="1"/>
  <c r="K88" i="16"/>
  <c r="G88" i="16" s="1"/>
  <c r="L88" i="16"/>
  <c r="H95" i="16"/>
  <c r="AE97" i="5"/>
  <c r="M96" i="5"/>
  <c r="AK97" i="5"/>
  <c r="AL96" i="5" s="1"/>
  <c r="AA98" i="5"/>
  <c r="H98" i="5"/>
  <c r="AG98" i="5"/>
  <c r="I98" i="5"/>
  <c r="N98" i="5" s="1"/>
  <c r="U80" i="5"/>
  <c r="K97" i="5"/>
  <c r="J97" i="5"/>
  <c r="W80" i="5" s="1"/>
  <c r="V82" i="11"/>
  <c r="P97" i="5"/>
  <c r="DO94" i="10"/>
  <c r="DM94" i="10"/>
  <c r="DN95" i="10"/>
  <c r="CC405" i="10"/>
  <c r="CE405" i="10"/>
  <c r="CD406" i="10"/>
  <c r="AJ96" i="5"/>
  <c r="CM406" i="10"/>
  <c r="CN405" i="10"/>
  <c r="CL405" i="10"/>
  <c r="BC95" i="10"/>
  <c r="BB94" i="10"/>
  <c r="BD94" i="10"/>
  <c r="CN94" i="10"/>
  <c r="CL94" i="10"/>
  <c r="CM95" i="10"/>
  <c r="DV94" i="10"/>
  <c r="DX94" i="10"/>
  <c r="DW95" i="10"/>
  <c r="AT98" i="10"/>
  <c r="AU97" i="10"/>
  <c r="AS97" i="10"/>
  <c r="CC95" i="10"/>
  <c r="CE95" i="10"/>
  <c r="CD96" i="10"/>
  <c r="BB406" i="10"/>
  <c r="BD406" i="10"/>
  <c r="BC407" i="10"/>
  <c r="L97" i="5"/>
  <c r="S80" i="5"/>
  <c r="R81" i="5"/>
  <c r="D99" i="5"/>
  <c r="G99" i="5" s="1"/>
  <c r="V81" i="5"/>
  <c r="AI98" i="5"/>
  <c r="AC98" i="5"/>
  <c r="F98" i="5"/>
  <c r="O98" i="5" s="1"/>
  <c r="E98" i="5"/>
  <c r="Q83" i="11"/>
  <c r="R83" i="11"/>
  <c r="B84" i="11"/>
  <c r="U83" i="11"/>
  <c r="N83" i="11"/>
  <c r="D83" i="11"/>
  <c r="O83" i="11"/>
  <c r="T83" i="11"/>
  <c r="P82" i="11"/>
  <c r="AT408" i="10"/>
  <c r="AS407" i="10"/>
  <c r="AU407" i="10"/>
  <c r="J90" i="16" l="1"/>
  <c r="K89" i="16"/>
  <c r="G89" i="16" s="1"/>
  <c r="L89" i="16"/>
  <c r="H96" i="16"/>
  <c r="V83" i="11"/>
  <c r="AK98" i="5"/>
  <c r="AL97" i="5" s="1"/>
  <c r="M97" i="5"/>
  <c r="AE98" i="5"/>
  <c r="U81" i="5"/>
  <c r="K98" i="5"/>
  <c r="J98" i="5"/>
  <c r="W81" i="5" s="1"/>
  <c r="S83" i="11"/>
  <c r="P98" i="5"/>
  <c r="H99" i="5"/>
  <c r="AG99" i="5"/>
  <c r="I99" i="5"/>
  <c r="N99" i="5" s="1"/>
  <c r="AA99" i="5"/>
  <c r="AH97" i="5"/>
  <c r="DO95" i="10"/>
  <c r="DN96" i="10"/>
  <c r="DM95" i="10"/>
  <c r="CC406" i="10"/>
  <c r="CD407" i="10"/>
  <c r="CE406" i="10"/>
  <c r="DX95" i="10"/>
  <c r="DV95" i="10"/>
  <c r="DW96" i="10"/>
  <c r="BD95" i="10"/>
  <c r="BB95" i="10"/>
  <c r="BC96" i="10"/>
  <c r="CM96" i="10"/>
  <c r="CL95" i="10"/>
  <c r="CN95" i="10"/>
  <c r="CN406" i="10"/>
  <c r="CL406" i="10"/>
  <c r="CM407" i="10"/>
  <c r="AS98" i="10"/>
  <c r="AT99" i="10"/>
  <c r="AU98" i="10"/>
  <c r="CE96" i="10"/>
  <c r="CD97" i="10"/>
  <c r="CC96" i="10"/>
  <c r="BD407" i="10"/>
  <c r="BC408" i="10"/>
  <c r="BB407" i="10"/>
  <c r="AT409" i="10"/>
  <c r="AS408" i="10"/>
  <c r="AU408" i="10"/>
  <c r="P83" i="11"/>
  <c r="T84" i="11"/>
  <c r="N84" i="11"/>
  <c r="D84" i="11"/>
  <c r="O84" i="11"/>
  <c r="U84" i="11"/>
  <c r="Q84" i="11"/>
  <c r="B85" i="11"/>
  <c r="R84" i="11"/>
  <c r="L98" i="5"/>
  <c r="S81" i="5"/>
  <c r="AJ97" i="5"/>
  <c r="R82" i="5"/>
  <c r="D100" i="5"/>
  <c r="G100" i="5" s="1"/>
  <c r="V82" i="5"/>
  <c r="F99" i="5"/>
  <c r="O99" i="5" s="1"/>
  <c r="AC99" i="5"/>
  <c r="E99" i="5"/>
  <c r="AI99" i="5"/>
  <c r="J91" i="16" l="1"/>
  <c r="K90" i="16"/>
  <c r="G90" i="16" s="1"/>
  <c r="L90" i="16"/>
  <c r="H97" i="16"/>
  <c r="AE99" i="5"/>
  <c r="J99" i="5"/>
  <c r="W82" i="5" s="1"/>
  <c r="K99" i="5"/>
  <c r="U82" i="5"/>
  <c r="P99" i="5"/>
  <c r="H100" i="5"/>
  <c r="AA100" i="5"/>
  <c r="I100" i="5"/>
  <c r="N100" i="5" s="1"/>
  <c r="AG100" i="5"/>
  <c r="M98" i="5"/>
  <c r="AH98" i="5"/>
  <c r="DM96" i="10"/>
  <c r="DN97" i="10"/>
  <c r="DO96" i="10"/>
  <c r="CE407" i="10"/>
  <c r="CC407" i="10"/>
  <c r="CD408" i="10"/>
  <c r="CM408" i="10"/>
  <c r="CN407" i="10"/>
  <c r="CL407" i="10"/>
  <c r="BC97" i="10"/>
  <c r="BD96" i="10"/>
  <c r="BB96" i="10"/>
  <c r="CL96" i="10"/>
  <c r="CM97" i="10"/>
  <c r="CN96" i="10"/>
  <c r="DX96" i="10"/>
  <c r="DV96" i="10"/>
  <c r="DW97" i="10"/>
  <c r="AJ98" i="5"/>
  <c r="AK99" i="5"/>
  <c r="AT100" i="10"/>
  <c r="AS99" i="10"/>
  <c r="AU99" i="10"/>
  <c r="BC409" i="10"/>
  <c r="BD408" i="10"/>
  <c r="BB408" i="10"/>
  <c r="CE97" i="10"/>
  <c r="CD98" i="10"/>
  <c r="CC97" i="10"/>
  <c r="L99" i="5"/>
  <c r="S82" i="5"/>
  <c r="D101" i="5"/>
  <c r="G101" i="5" s="1"/>
  <c r="V83" i="5"/>
  <c r="R83" i="5"/>
  <c r="E100" i="5"/>
  <c r="AC100" i="5"/>
  <c r="AI100" i="5"/>
  <c r="F100" i="5"/>
  <c r="O100" i="5" s="1"/>
  <c r="S84" i="11"/>
  <c r="P84" i="11"/>
  <c r="D85" i="11"/>
  <c r="B86" i="11"/>
  <c r="O85" i="11"/>
  <c r="R85" i="11"/>
  <c r="T85" i="11"/>
  <c r="U85" i="11"/>
  <c r="N85" i="11"/>
  <c r="Q85" i="11"/>
  <c r="V84" i="11"/>
  <c r="AU409" i="10"/>
  <c r="AS409" i="10"/>
  <c r="AT410" i="10"/>
  <c r="J92" i="16" l="1"/>
  <c r="K91" i="16"/>
  <c r="G91" i="16" s="1"/>
  <c r="L91" i="16"/>
  <c r="H98" i="16"/>
  <c r="V85" i="11"/>
  <c r="P85" i="11"/>
  <c r="S85" i="11"/>
  <c r="P100" i="5"/>
  <c r="AH99" i="5"/>
  <c r="AE100" i="5"/>
  <c r="AA101" i="5"/>
  <c r="H101" i="5"/>
  <c r="AG101" i="5"/>
  <c r="I101" i="5"/>
  <c r="N101" i="5" s="1"/>
  <c r="M99" i="5"/>
  <c r="J100" i="5"/>
  <c r="W83" i="5" s="1"/>
  <c r="U83" i="5"/>
  <c r="K100" i="5"/>
  <c r="DO97" i="10"/>
  <c r="DM97" i="10"/>
  <c r="DN98" i="10"/>
  <c r="CD409" i="10"/>
  <c r="CC408" i="10"/>
  <c r="CE408" i="10"/>
  <c r="DX97" i="10"/>
  <c r="DV97" i="10"/>
  <c r="DW98" i="10"/>
  <c r="CL97" i="10"/>
  <c r="CN97" i="10"/>
  <c r="CM98" i="10"/>
  <c r="BC98" i="10"/>
  <c r="BB97" i="10"/>
  <c r="BD97" i="10"/>
  <c r="CM409" i="10"/>
  <c r="CL408" i="10"/>
  <c r="CN408" i="10"/>
  <c r="AJ99" i="5"/>
  <c r="AK100" i="5"/>
  <c r="AL99" i="5" s="1"/>
  <c r="AL98" i="5"/>
  <c r="AU100" i="10"/>
  <c r="AS100" i="10"/>
  <c r="AT101" i="10"/>
  <c r="CD99" i="10"/>
  <c r="CE98" i="10"/>
  <c r="CC98" i="10"/>
  <c r="BB409" i="10"/>
  <c r="BC410" i="10"/>
  <c r="BD409" i="10"/>
  <c r="V84" i="5"/>
  <c r="D102" i="5"/>
  <c r="G102" i="5" s="1"/>
  <c r="R84" i="5"/>
  <c r="AI101" i="5"/>
  <c r="E101" i="5"/>
  <c r="AC101" i="5"/>
  <c r="F101" i="5"/>
  <c r="O101" i="5" s="1"/>
  <c r="AS410" i="10"/>
  <c r="AT411" i="10"/>
  <c r="AU410" i="10"/>
  <c r="R86" i="11"/>
  <c r="O86" i="11"/>
  <c r="N86" i="11"/>
  <c r="U86" i="11"/>
  <c r="T86" i="11"/>
  <c r="D86" i="11"/>
  <c r="Q86" i="11"/>
  <c r="B87" i="11"/>
  <c r="L100" i="5"/>
  <c r="S83" i="5"/>
  <c r="J93" i="16" l="1"/>
  <c r="L92" i="16"/>
  <c r="K92" i="16"/>
  <c r="G92" i="16" s="1"/>
  <c r="H99" i="16"/>
  <c r="S86" i="11"/>
  <c r="M100" i="5"/>
  <c r="P101" i="5"/>
  <c r="AH100" i="5"/>
  <c r="AE101" i="5"/>
  <c r="AK101" i="5"/>
  <c r="AL100" i="5" s="1"/>
  <c r="I102" i="5"/>
  <c r="N102" i="5" s="1"/>
  <c r="AA102" i="5"/>
  <c r="AG102" i="5"/>
  <c r="AH101" i="5" s="1"/>
  <c r="H102" i="5"/>
  <c r="J101" i="5"/>
  <c r="W84" i="5" s="1"/>
  <c r="U84" i="5"/>
  <c r="K101" i="5"/>
  <c r="DO98" i="10"/>
  <c r="DM98" i="10"/>
  <c r="DN99" i="10"/>
  <c r="CD410" i="10"/>
  <c r="CC409" i="10"/>
  <c r="CE409" i="10"/>
  <c r="CM410" i="10"/>
  <c r="CN409" i="10"/>
  <c r="CL409" i="10"/>
  <c r="CL98" i="10"/>
  <c r="CN98" i="10"/>
  <c r="CM99" i="10"/>
  <c r="BD98" i="10"/>
  <c r="BC99" i="10"/>
  <c r="BB98" i="10"/>
  <c r="DW99" i="10"/>
  <c r="DX98" i="10"/>
  <c r="DV98" i="10"/>
  <c r="AU101" i="10"/>
  <c r="AT102" i="10"/>
  <c r="AS101" i="10"/>
  <c r="BC411" i="10"/>
  <c r="BB410" i="10"/>
  <c r="BD410" i="10"/>
  <c r="CC99" i="10"/>
  <c r="CD100" i="10"/>
  <c r="CE99" i="10"/>
  <c r="V86" i="11"/>
  <c r="P86" i="11"/>
  <c r="AU411" i="10"/>
  <c r="AS411" i="10"/>
  <c r="AT412" i="10"/>
  <c r="AJ100" i="5"/>
  <c r="R85" i="5"/>
  <c r="V85" i="5"/>
  <c r="D103" i="5"/>
  <c r="G103" i="5" s="1"/>
  <c r="AI102" i="5"/>
  <c r="F102" i="5"/>
  <c r="O102" i="5" s="1"/>
  <c r="AC102" i="5"/>
  <c r="E102" i="5"/>
  <c r="O87" i="11"/>
  <c r="N87" i="11"/>
  <c r="D87" i="11"/>
  <c r="B88" i="11"/>
  <c r="R87" i="11"/>
  <c r="Q87" i="11"/>
  <c r="T87" i="11"/>
  <c r="U87" i="11"/>
  <c r="S84" i="5"/>
  <c r="L101" i="5"/>
  <c r="J94" i="16" l="1"/>
  <c r="L93" i="16"/>
  <c r="K93" i="16"/>
  <c r="G93" i="16" s="1"/>
  <c r="H100" i="16"/>
  <c r="M101" i="5"/>
  <c r="V87" i="11"/>
  <c r="P102" i="5"/>
  <c r="AE102" i="5"/>
  <c r="AK102" i="5"/>
  <c r="AL101" i="5" s="1"/>
  <c r="K102" i="5"/>
  <c r="U85" i="5"/>
  <c r="J102" i="5"/>
  <c r="W85" i="5" s="1"/>
  <c r="AG103" i="5"/>
  <c r="H103" i="5"/>
  <c r="I103" i="5"/>
  <c r="N103" i="5" s="1"/>
  <c r="AA103" i="5"/>
  <c r="DN100" i="10"/>
  <c r="DO99" i="10"/>
  <c r="DM99" i="10"/>
  <c r="CD411" i="10"/>
  <c r="CC410" i="10"/>
  <c r="CE410" i="10"/>
  <c r="DV99" i="10"/>
  <c r="DX99" i="10"/>
  <c r="DW100" i="10"/>
  <c r="BC100" i="10"/>
  <c r="BD99" i="10"/>
  <c r="BB99" i="10"/>
  <c r="CN99" i="10"/>
  <c r="CL99" i="10"/>
  <c r="CM100" i="10"/>
  <c r="CM411" i="10"/>
  <c r="CL410" i="10"/>
  <c r="CN410" i="10"/>
  <c r="AT103" i="10"/>
  <c r="AU102" i="10"/>
  <c r="AS102" i="10"/>
  <c r="BC412" i="10"/>
  <c r="BB411" i="10"/>
  <c r="BD411" i="10"/>
  <c r="CD101" i="10"/>
  <c r="CE100" i="10"/>
  <c r="CC100" i="10"/>
  <c r="AJ101" i="5"/>
  <c r="S87" i="11"/>
  <c r="Q88" i="11"/>
  <c r="R88" i="11"/>
  <c r="N88" i="11"/>
  <c r="D88" i="11"/>
  <c r="U88" i="11"/>
  <c r="B89" i="11"/>
  <c r="T88" i="11"/>
  <c r="V88" i="11" s="1"/>
  <c r="O88" i="11"/>
  <c r="P87" i="11"/>
  <c r="L102" i="5"/>
  <c r="S85" i="5"/>
  <c r="D104" i="5"/>
  <c r="G104" i="5" s="1"/>
  <c r="R86" i="5"/>
  <c r="V86" i="5"/>
  <c r="AI103" i="5"/>
  <c r="E103" i="5"/>
  <c r="F103" i="5"/>
  <c r="O103" i="5" s="1"/>
  <c r="AC103" i="5"/>
  <c r="AU412" i="10"/>
  <c r="AS412" i="10"/>
  <c r="AT413" i="10"/>
  <c r="J95" i="16" l="1"/>
  <c r="K94" i="16"/>
  <c r="G94" i="16" s="1"/>
  <c r="L94" i="16"/>
  <c r="H101" i="16"/>
  <c r="P88" i="11"/>
  <c r="S88" i="11"/>
  <c r="P103" i="5"/>
  <c r="AK103" i="5"/>
  <c r="AL102" i="5" s="1"/>
  <c r="AE103" i="5"/>
  <c r="M102" i="5"/>
  <c r="H104" i="5"/>
  <c r="AA104" i="5"/>
  <c r="AG104" i="5"/>
  <c r="I104" i="5"/>
  <c r="N104" i="5" s="1"/>
  <c r="AH102" i="5"/>
  <c r="U86" i="5"/>
  <c r="J103" i="5"/>
  <c r="W86" i="5" s="1"/>
  <c r="K103" i="5"/>
  <c r="DO100" i="10"/>
  <c r="DN101" i="10"/>
  <c r="DM100" i="10"/>
  <c r="CE411" i="10"/>
  <c r="CC411" i="10"/>
  <c r="CD412" i="10"/>
  <c r="CM101" i="10"/>
  <c r="CL100" i="10"/>
  <c r="CN100" i="10"/>
  <c r="DX100" i="10"/>
  <c r="DV100" i="10"/>
  <c r="DW101" i="10"/>
  <c r="CL411" i="10"/>
  <c r="CN411" i="10"/>
  <c r="CM412" i="10"/>
  <c r="BC101" i="10"/>
  <c r="BB100" i="10"/>
  <c r="BD100" i="10"/>
  <c r="AS103" i="10"/>
  <c r="AT104" i="10"/>
  <c r="AU103" i="10"/>
  <c r="CC101" i="10"/>
  <c r="CE101" i="10"/>
  <c r="CD102" i="10"/>
  <c r="BC413" i="10"/>
  <c r="BB412" i="10"/>
  <c r="BD412" i="10"/>
  <c r="AJ102" i="5"/>
  <c r="AU413" i="10"/>
  <c r="AS413" i="10"/>
  <c r="AT414" i="10"/>
  <c r="L103" i="5"/>
  <c r="S86" i="5"/>
  <c r="D105" i="5"/>
  <c r="G105" i="5" s="1"/>
  <c r="V87" i="5"/>
  <c r="R87" i="5"/>
  <c r="F104" i="5"/>
  <c r="O104" i="5" s="1"/>
  <c r="AC104" i="5"/>
  <c r="AI104" i="5"/>
  <c r="E104" i="5"/>
  <c r="O89" i="11"/>
  <c r="D89" i="11"/>
  <c r="R89" i="11"/>
  <c r="Q89" i="11"/>
  <c r="U89" i="11"/>
  <c r="N89" i="11"/>
  <c r="T89" i="11"/>
  <c r="B90" i="11"/>
  <c r="J96" i="16" l="1"/>
  <c r="K95" i="16"/>
  <c r="G95" i="16" s="1"/>
  <c r="L95" i="16"/>
  <c r="H102" i="16"/>
  <c r="V89" i="11"/>
  <c r="P104" i="5"/>
  <c r="M103" i="5"/>
  <c r="AE104" i="5"/>
  <c r="H105" i="5"/>
  <c r="AA105" i="5"/>
  <c r="AG105" i="5"/>
  <c r="AH104" i="5" s="1"/>
  <c r="I105" i="5"/>
  <c r="N105" i="5" s="1"/>
  <c r="AH103" i="5"/>
  <c r="U87" i="5"/>
  <c r="K104" i="5"/>
  <c r="J104" i="5"/>
  <c r="W87" i="5" s="1"/>
  <c r="DO101" i="10"/>
  <c r="DM101" i="10"/>
  <c r="DN102" i="10"/>
  <c r="CE412" i="10"/>
  <c r="CC412" i="10"/>
  <c r="CD413" i="10"/>
  <c r="CN412" i="10"/>
  <c r="CL412" i="10"/>
  <c r="CM413" i="10"/>
  <c r="CN101" i="10"/>
  <c r="CL101" i="10"/>
  <c r="CM102" i="10"/>
  <c r="BC102" i="10"/>
  <c r="BB101" i="10"/>
  <c r="BD101" i="10"/>
  <c r="DX101" i="10"/>
  <c r="DV101" i="10"/>
  <c r="DW102" i="10"/>
  <c r="AJ103" i="5"/>
  <c r="AK104" i="5"/>
  <c r="AT105" i="10"/>
  <c r="AU104" i="10"/>
  <c r="AS104" i="10"/>
  <c r="BB413" i="10"/>
  <c r="BC414" i="10"/>
  <c r="BD413" i="10"/>
  <c r="CC102" i="10"/>
  <c r="CD103" i="10"/>
  <c r="CE102" i="10"/>
  <c r="B91" i="11"/>
  <c r="U90" i="11"/>
  <c r="N90" i="11"/>
  <c r="R90" i="11"/>
  <c r="D90" i="11"/>
  <c r="Q90" i="11"/>
  <c r="S90" i="11" s="1"/>
  <c r="O90" i="11"/>
  <c r="T90" i="11"/>
  <c r="P89" i="11"/>
  <c r="S89" i="11"/>
  <c r="AU414" i="10"/>
  <c r="AS414" i="10"/>
  <c r="AT415" i="10"/>
  <c r="L104" i="5"/>
  <c r="S87" i="5"/>
  <c r="V88" i="5"/>
  <c r="D106" i="5"/>
  <c r="G106" i="5" s="1"/>
  <c r="R88" i="5"/>
  <c r="F105" i="5"/>
  <c r="O105" i="5" s="1"/>
  <c r="AC105" i="5"/>
  <c r="AI105" i="5"/>
  <c r="E105" i="5"/>
  <c r="J97" i="16" l="1"/>
  <c r="K96" i="16"/>
  <c r="G96" i="16" s="1"/>
  <c r="L96" i="16"/>
  <c r="H103" i="16"/>
  <c r="V90" i="11"/>
  <c r="AK105" i="5"/>
  <c r="AL104" i="5" s="1"/>
  <c r="P105" i="5"/>
  <c r="I106" i="5"/>
  <c r="N106" i="5" s="1"/>
  <c r="AG106" i="5"/>
  <c r="H106" i="5"/>
  <c r="AA106" i="5"/>
  <c r="AE105" i="5"/>
  <c r="M104" i="5"/>
  <c r="K105" i="5"/>
  <c r="J105" i="5"/>
  <c r="W88" i="5" s="1"/>
  <c r="U88" i="5"/>
  <c r="DM102" i="10"/>
  <c r="DO102" i="10"/>
  <c r="DN103" i="10"/>
  <c r="CD414" i="10"/>
  <c r="CC413" i="10"/>
  <c r="CE413" i="10"/>
  <c r="DV102" i="10"/>
  <c r="DW103" i="10"/>
  <c r="DX102" i="10"/>
  <c r="CL102" i="10"/>
  <c r="CM103" i="10"/>
  <c r="CN102" i="10"/>
  <c r="BB102" i="10"/>
  <c r="BC103" i="10"/>
  <c r="BD102" i="10"/>
  <c r="CL413" i="10"/>
  <c r="CN413" i="10"/>
  <c r="CM414" i="10"/>
  <c r="AJ104" i="5"/>
  <c r="AL103" i="5"/>
  <c r="AS105" i="10"/>
  <c r="AT106" i="10"/>
  <c r="AU105" i="10"/>
  <c r="CE103" i="10"/>
  <c r="CD104" i="10"/>
  <c r="CC103" i="10"/>
  <c r="BD414" i="10"/>
  <c r="BC415" i="10"/>
  <c r="BB414" i="10"/>
  <c r="L105" i="5"/>
  <c r="S88" i="5"/>
  <c r="AS415" i="10"/>
  <c r="AU415" i="10"/>
  <c r="AT416" i="10"/>
  <c r="P90" i="11"/>
  <c r="B92" i="11"/>
  <c r="N91" i="11"/>
  <c r="Q91" i="11"/>
  <c r="D91" i="11"/>
  <c r="U91" i="11"/>
  <c r="T91" i="11"/>
  <c r="O91" i="11"/>
  <c r="R91" i="11"/>
  <c r="D107" i="5"/>
  <c r="G107" i="5" s="1"/>
  <c r="V89" i="5"/>
  <c r="R89" i="5"/>
  <c r="E106" i="5"/>
  <c r="F106" i="5"/>
  <c r="O106" i="5" s="1"/>
  <c r="AC106" i="5"/>
  <c r="AI106" i="5"/>
  <c r="J98" i="16" l="1"/>
  <c r="K97" i="16"/>
  <c r="G97" i="16" s="1"/>
  <c r="L97" i="16"/>
  <c r="H104" i="16"/>
  <c r="P106" i="5"/>
  <c r="AE106" i="5"/>
  <c r="AH105" i="5"/>
  <c r="AK106" i="5"/>
  <c r="AL105" i="5" s="1"/>
  <c r="AG107" i="5"/>
  <c r="AA107" i="5"/>
  <c r="I107" i="5"/>
  <c r="N107" i="5" s="1"/>
  <c r="H107" i="5"/>
  <c r="M105" i="5"/>
  <c r="J106" i="5"/>
  <c r="W89" i="5" s="1"/>
  <c r="K106" i="5"/>
  <c r="U89" i="5"/>
  <c r="DM103" i="10"/>
  <c r="DO103" i="10"/>
  <c r="DN104" i="10"/>
  <c r="CC414" i="10"/>
  <c r="CD415" i="10"/>
  <c r="CE414" i="10"/>
  <c r="CN414" i="10"/>
  <c r="CL414" i="10"/>
  <c r="CM415" i="10"/>
  <c r="BC104" i="10"/>
  <c r="BD103" i="10"/>
  <c r="BB103" i="10"/>
  <c r="DV103" i="10"/>
  <c r="DX103" i="10"/>
  <c r="DW104" i="10"/>
  <c r="CN103" i="10"/>
  <c r="CL103" i="10"/>
  <c r="CM104" i="10"/>
  <c r="AS106" i="10"/>
  <c r="AT107" i="10"/>
  <c r="AU106" i="10"/>
  <c r="BB415" i="10"/>
  <c r="BD415" i="10"/>
  <c r="BC416" i="10"/>
  <c r="V91" i="11"/>
  <c r="P91" i="11"/>
  <c r="CD105" i="10"/>
  <c r="CE104" i="10"/>
  <c r="CC104" i="10"/>
  <c r="R90" i="5"/>
  <c r="D108" i="5"/>
  <c r="G108" i="5" s="1"/>
  <c r="V90" i="5"/>
  <c r="E107" i="5"/>
  <c r="AI107" i="5"/>
  <c r="AC107" i="5"/>
  <c r="F107" i="5"/>
  <c r="O107" i="5" s="1"/>
  <c r="AT417" i="10"/>
  <c r="AS416" i="10"/>
  <c r="AU416" i="10"/>
  <c r="AJ105" i="5"/>
  <c r="S89" i="5"/>
  <c r="L106" i="5"/>
  <c r="S91" i="11"/>
  <c r="U92" i="11"/>
  <c r="N92" i="11"/>
  <c r="Q92" i="11"/>
  <c r="R92" i="11"/>
  <c r="D92" i="11"/>
  <c r="B93" i="11"/>
  <c r="O92" i="11"/>
  <c r="T92" i="11"/>
  <c r="J99" i="16" l="1"/>
  <c r="K98" i="16"/>
  <c r="G98" i="16" s="1"/>
  <c r="L98" i="16"/>
  <c r="H105" i="16"/>
  <c r="M106" i="5"/>
  <c r="AE107" i="5"/>
  <c r="I108" i="5"/>
  <c r="N108" i="5" s="1"/>
  <c r="AA108" i="5"/>
  <c r="AG108" i="5"/>
  <c r="AH107" i="5" s="1"/>
  <c r="H108" i="5"/>
  <c r="P107" i="5"/>
  <c r="AH106" i="5"/>
  <c r="J107" i="5"/>
  <c r="W90" i="5" s="1"/>
  <c r="K107" i="5"/>
  <c r="U90" i="5"/>
  <c r="DM104" i="10"/>
  <c r="DO104" i="10"/>
  <c r="DN105" i="10"/>
  <c r="CD416" i="10"/>
  <c r="CE415" i="10"/>
  <c r="CC415" i="10"/>
  <c r="CL104" i="10"/>
  <c r="CN104" i="10"/>
  <c r="CM105" i="10"/>
  <c r="BC105" i="10"/>
  <c r="BB104" i="10"/>
  <c r="BD104" i="10"/>
  <c r="DW105" i="10"/>
  <c r="DX104" i="10"/>
  <c r="DV104" i="10"/>
  <c r="CL415" i="10"/>
  <c r="CM416" i="10"/>
  <c r="CN415" i="10"/>
  <c r="AJ106" i="5"/>
  <c r="AK107" i="5"/>
  <c r="AU107" i="10"/>
  <c r="AT108" i="10"/>
  <c r="AS107" i="10"/>
  <c r="BB416" i="10"/>
  <c r="BD416" i="10"/>
  <c r="BC417" i="10"/>
  <c r="S92" i="11"/>
  <c r="CC105" i="10"/>
  <c r="CE105" i="10"/>
  <c r="CD106" i="10"/>
  <c r="V92" i="11"/>
  <c r="B94" i="11"/>
  <c r="N93" i="11"/>
  <c r="D93" i="11"/>
  <c r="U93" i="11"/>
  <c r="T93" i="11"/>
  <c r="O93" i="11"/>
  <c r="Q93" i="11"/>
  <c r="R93" i="11"/>
  <c r="P92" i="11"/>
  <c r="AU417" i="10"/>
  <c r="AS417" i="10"/>
  <c r="AT418" i="10"/>
  <c r="L107" i="5"/>
  <c r="S90" i="5"/>
  <c r="D109" i="5"/>
  <c r="G109" i="5" s="1"/>
  <c r="V91" i="5"/>
  <c r="R91" i="5"/>
  <c r="AI108" i="5"/>
  <c r="E108" i="5"/>
  <c r="AC108" i="5"/>
  <c r="F108" i="5"/>
  <c r="O108" i="5" s="1"/>
  <c r="J100" i="16" l="1"/>
  <c r="K99" i="16"/>
  <c r="G99" i="16" s="1"/>
  <c r="L99" i="16"/>
  <c r="H106" i="16"/>
  <c r="P108" i="5"/>
  <c r="AK108" i="5"/>
  <c r="AL107" i="5" s="1"/>
  <c r="M107" i="5"/>
  <c r="AE108" i="5"/>
  <c r="J108" i="5"/>
  <c r="W91" i="5" s="1"/>
  <c r="K108" i="5"/>
  <c r="U91" i="5"/>
  <c r="AA109" i="5"/>
  <c r="I109" i="5"/>
  <c r="N109" i="5" s="1"/>
  <c r="AG109" i="5"/>
  <c r="H109" i="5"/>
  <c r="DO105" i="10"/>
  <c r="DM105" i="10"/>
  <c r="DN106" i="10"/>
  <c r="CD417" i="10"/>
  <c r="CC416" i="10"/>
  <c r="CE416" i="10"/>
  <c r="BD105" i="10"/>
  <c r="BC106" i="10"/>
  <c r="BB105" i="10"/>
  <c r="CN416" i="10"/>
  <c r="CL416" i="10"/>
  <c r="CM417" i="10"/>
  <c r="DX105" i="10"/>
  <c r="DV105" i="10"/>
  <c r="DW106" i="10"/>
  <c r="CL105" i="10"/>
  <c r="CM106" i="10"/>
  <c r="CN105" i="10"/>
  <c r="AJ107" i="5"/>
  <c r="AL106" i="5"/>
  <c r="AU108" i="10"/>
  <c r="AS108" i="10"/>
  <c r="AT109" i="10"/>
  <c r="BB417" i="10"/>
  <c r="BC418" i="10"/>
  <c r="BD417" i="10"/>
  <c r="CC106" i="10"/>
  <c r="CE106" i="10"/>
  <c r="CD107" i="10"/>
  <c r="AU418" i="10"/>
  <c r="AS418" i="10"/>
  <c r="AT419" i="10"/>
  <c r="S93" i="11"/>
  <c r="V93" i="11"/>
  <c r="O94" i="11"/>
  <c r="R94" i="11"/>
  <c r="D94" i="11"/>
  <c r="N94" i="11"/>
  <c r="Q94" i="11"/>
  <c r="T94" i="11"/>
  <c r="U94" i="11"/>
  <c r="B95" i="11"/>
  <c r="L108" i="5"/>
  <c r="S91" i="5"/>
  <c r="R92" i="5"/>
  <c r="D110" i="5"/>
  <c r="G110" i="5" s="1"/>
  <c r="V92" i="5"/>
  <c r="AI109" i="5"/>
  <c r="F109" i="5"/>
  <c r="O109" i="5" s="1"/>
  <c r="E109" i="5"/>
  <c r="AC109" i="5"/>
  <c r="P93" i="11"/>
  <c r="J101" i="16" l="1"/>
  <c r="L100" i="16"/>
  <c r="K100" i="16"/>
  <c r="G100" i="16" s="1"/>
  <c r="H107" i="16"/>
  <c r="P94" i="11"/>
  <c r="P109" i="5"/>
  <c r="M108" i="5"/>
  <c r="AE109" i="5"/>
  <c r="AH108" i="5"/>
  <c r="I110" i="5"/>
  <c r="N110" i="5" s="1"/>
  <c r="H110" i="5"/>
  <c r="AA110" i="5"/>
  <c r="AG110" i="5"/>
  <c r="U92" i="5"/>
  <c r="K109" i="5"/>
  <c r="J109" i="5"/>
  <c r="W92" i="5" s="1"/>
  <c r="DN107" i="10"/>
  <c r="DO106" i="10"/>
  <c r="DM106" i="10"/>
  <c r="CE417" i="10"/>
  <c r="CC417" i="10"/>
  <c r="CD418" i="10"/>
  <c r="CN417" i="10"/>
  <c r="CM418" i="10"/>
  <c r="CL417" i="10"/>
  <c r="BC107" i="10"/>
  <c r="BB106" i="10"/>
  <c r="BD106" i="10"/>
  <c r="CN106" i="10"/>
  <c r="CM107" i="10"/>
  <c r="CL106" i="10"/>
  <c r="DX106" i="10"/>
  <c r="DW107" i="10"/>
  <c r="DV106" i="10"/>
  <c r="AJ108" i="5"/>
  <c r="AK109" i="5"/>
  <c r="AS109" i="10"/>
  <c r="AU109" i="10"/>
  <c r="AT110" i="10"/>
  <c r="CE107" i="10"/>
  <c r="CC107" i="10"/>
  <c r="CD108" i="10"/>
  <c r="S94" i="11"/>
  <c r="BB418" i="10"/>
  <c r="BC419" i="10"/>
  <c r="BD418" i="10"/>
  <c r="L109" i="5"/>
  <c r="S92" i="5"/>
  <c r="V93" i="5"/>
  <c r="R93" i="5"/>
  <c r="D111" i="5"/>
  <c r="G111" i="5" s="1"/>
  <c r="AC110" i="5"/>
  <c r="E110" i="5"/>
  <c r="F110" i="5"/>
  <c r="O110" i="5" s="1"/>
  <c r="AI110" i="5"/>
  <c r="U95" i="11"/>
  <c r="O95" i="11"/>
  <c r="R95" i="11"/>
  <c r="N95" i="11"/>
  <c r="P95" i="11" s="1"/>
  <c r="B96" i="11"/>
  <c r="T95" i="11"/>
  <c r="D95" i="11"/>
  <c r="Q95" i="11"/>
  <c r="V94" i="11"/>
  <c r="AT420" i="10"/>
  <c r="AS419" i="10"/>
  <c r="AU419" i="10"/>
  <c r="J102" i="16" l="1"/>
  <c r="L101" i="16"/>
  <c r="K101" i="16"/>
  <c r="G101" i="16" s="1"/>
  <c r="H108" i="16"/>
  <c r="M109" i="5"/>
  <c r="AE110" i="5"/>
  <c r="P110" i="5"/>
  <c r="I111" i="5"/>
  <c r="N111" i="5" s="1"/>
  <c r="AA111" i="5"/>
  <c r="H111" i="5"/>
  <c r="AG111" i="5"/>
  <c r="AH110" i="5" s="1"/>
  <c r="AH109" i="5"/>
  <c r="K110" i="5"/>
  <c r="J110" i="5"/>
  <c r="W93" i="5" s="1"/>
  <c r="U93" i="5"/>
  <c r="DN108" i="10"/>
  <c r="DO107" i="10"/>
  <c r="DM107" i="10"/>
  <c r="CE418" i="10"/>
  <c r="CD419" i="10"/>
  <c r="CC418" i="10"/>
  <c r="CL107" i="10"/>
  <c r="CN107" i="10"/>
  <c r="CM108" i="10"/>
  <c r="BB107" i="10"/>
  <c r="BD107" i="10"/>
  <c r="BC108" i="10"/>
  <c r="CM419" i="10"/>
  <c r="CN418" i="10"/>
  <c r="CL418" i="10"/>
  <c r="DW108" i="10"/>
  <c r="DV107" i="10"/>
  <c r="DX107" i="10"/>
  <c r="AJ109" i="5"/>
  <c r="AK110" i="5"/>
  <c r="AL109" i="5" s="1"/>
  <c r="AL108" i="5"/>
  <c r="AS110" i="10"/>
  <c r="AT111" i="10"/>
  <c r="AU110" i="10"/>
  <c r="BB419" i="10"/>
  <c r="BC420" i="10"/>
  <c r="BD419" i="10"/>
  <c r="CC108" i="10"/>
  <c r="CD109" i="10"/>
  <c r="CE108" i="10"/>
  <c r="S95" i="11"/>
  <c r="V95" i="11"/>
  <c r="AU420" i="10"/>
  <c r="AS420" i="10"/>
  <c r="AT421" i="10"/>
  <c r="D96" i="11"/>
  <c r="B97" i="11"/>
  <c r="O96" i="11"/>
  <c r="T96" i="11"/>
  <c r="U96" i="11"/>
  <c r="N96" i="11"/>
  <c r="Q96" i="11"/>
  <c r="R96" i="11"/>
  <c r="L110" i="5"/>
  <c r="S93" i="5"/>
  <c r="R94" i="5"/>
  <c r="D112" i="5"/>
  <c r="G112" i="5" s="1"/>
  <c r="V94" i="5"/>
  <c r="E111" i="5"/>
  <c r="F111" i="5"/>
  <c r="O111" i="5" s="1"/>
  <c r="AC111" i="5"/>
  <c r="AI111" i="5"/>
  <c r="J103" i="16" l="1"/>
  <c r="K102" i="16"/>
  <c r="G102" i="16" s="1"/>
  <c r="L102" i="16"/>
  <c r="H109" i="16"/>
  <c r="M110" i="5"/>
  <c r="AK111" i="5"/>
  <c r="AL110" i="5" s="1"/>
  <c r="AE111" i="5"/>
  <c r="P111" i="5"/>
  <c r="AG112" i="5"/>
  <c r="I112" i="5"/>
  <c r="N112" i="5" s="1"/>
  <c r="AA112" i="5"/>
  <c r="H112" i="5"/>
  <c r="J111" i="5"/>
  <c r="W94" i="5" s="1"/>
  <c r="U94" i="5"/>
  <c r="K111" i="5"/>
  <c r="DM108" i="10"/>
  <c r="DN109" i="10"/>
  <c r="DO108" i="10"/>
  <c r="CE419" i="10"/>
  <c r="CC419" i="10"/>
  <c r="CD420" i="10"/>
  <c r="DX108" i="10"/>
  <c r="DV108" i="10"/>
  <c r="DW109" i="10"/>
  <c r="BB108" i="10"/>
  <c r="BC109" i="10"/>
  <c r="BD108" i="10"/>
  <c r="CM420" i="10"/>
  <c r="CL419" i="10"/>
  <c r="CN419" i="10"/>
  <c r="CN108" i="10"/>
  <c r="CM109" i="10"/>
  <c r="CL108" i="10"/>
  <c r="AU111" i="10"/>
  <c r="AT112" i="10"/>
  <c r="AS111" i="10"/>
  <c r="CD110" i="10"/>
  <c r="CC109" i="10"/>
  <c r="CE109" i="10"/>
  <c r="S96" i="11"/>
  <c r="BC421" i="10"/>
  <c r="BD420" i="10"/>
  <c r="BB420" i="10"/>
  <c r="P96" i="11"/>
  <c r="V96" i="11"/>
  <c r="D97" i="11"/>
  <c r="B98" i="11"/>
  <c r="U97" i="11"/>
  <c r="Q97" i="11"/>
  <c r="T97" i="11"/>
  <c r="N97" i="11"/>
  <c r="O97" i="11"/>
  <c r="R97" i="11"/>
  <c r="AT422" i="10"/>
  <c r="AS421" i="10"/>
  <c r="AU421" i="10"/>
  <c r="L111" i="5"/>
  <c r="S94" i="5"/>
  <c r="D113" i="5"/>
  <c r="G113" i="5" s="1"/>
  <c r="V95" i="5"/>
  <c r="R95" i="5"/>
  <c r="AI112" i="5"/>
  <c r="AC112" i="5"/>
  <c r="F112" i="5"/>
  <c r="O112" i="5" s="1"/>
  <c r="E112" i="5"/>
  <c r="AJ110" i="5"/>
  <c r="J104" i="16" l="1"/>
  <c r="K103" i="16"/>
  <c r="G103" i="16" s="1"/>
  <c r="L103" i="16"/>
  <c r="H110" i="16"/>
  <c r="V97" i="11"/>
  <c r="AK112" i="5"/>
  <c r="AL111" i="5" s="1"/>
  <c r="P112" i="5"/>
  <c r="AH111" i="5"/>
  <c r="AE112" i="5"/>
  <c r="AG113" i="5"/>
  <c r="AH112" i="5" s="1"/>
  <c r="H113" i="5"/>
  <c r="I113" i="5"/>
  <c r="N113" i="5" s="1"/>
  <c r="AA113" i="5"/>
  <c r="M111" i="5"/>
  <c r="U95" i="5"/>
  <c r="J112" i="5"/>
  <c r="W95" i="5" s="1"/>
  <c r="K112" i="5"/>
  <c r="AJ111" i="5"/>
  <c r="DN110" i="10"/>
  <c r="DO109" i="10"/>
  <c r="DM109" i="10"/>
  <c r="CC420" i="10"/>
  <c r="CE420" i="10"/>
  <c r="CD421" i="10"/>
  <c r="CM110" i="10"/>
  <c r="CL109" i="10"/>
  <c r="CN109" i="10"/>
  <c r="CL420" i="10"/>
  <c r="CM421" i="10"/>
  <c r="CN420" i="10"/>
  <c r="BD109" i="10"/>
  <c r="BB109" i="10"/>
  <c r="BC110" i="10"/>
  <c r="DV109" i="10"/>
  <c r="DX109" i="10"/>
  <c r="DW110" i="10"/>
  <c r="AU112" i="10"/>
  <c r="AT113" i="10"/>
  <c r="AS112" i="10"/>
  <c r="BB421" i="10"/>
  <c r="BD421" i="10"/>
  <c r="BC422" i="10"/>
  <c r="P97" i="11"/>
  <c r="CE110" i="10"/>
  <c r="CD111" i="10"/>
  <c r="CC110" i="10"/>
  <c r="R96" i="5"/>
  <c r="D114" i="5"/>
  <c r="G114" i="5" s="1"/>
  <c r="V96" i="5"/>
  <c r="F113" i="5"/>
  <c r="O113" i="5" s="1"/>
  <c r="E113" i="5"/>
  <c r="AC113" i="5"/>
  <c r="AI113" i="5"/>
  <c r="S97" i="11"/>
  <c r="T98" i="11"/>
  <c r="U98" i="11"/>
  <c r="Q98" i="11"/>
  <c r="R98" i="11"/>
  <c r="N98" i="11"/>
  <c r="B99" i="11"/>
  <c r="D98" i="11"/>
  <c r="O98" i="11"/>
  <c r="L112" i="5"/>
  <c r="S95" i="5"/>
  <c r="AS422" i="10"/>
  <c r="AT423" i="10"/>
  <c r="AU422" i="10"/>
  <c r="P98" i="11" l="1"/>
  <c r="J105" i="16"/>
  <c r="K104" i="16"/>
  <c r="G104" i="16" s="1"/>
  <c r="L104" i="16"/>
  <c r="H111" i="16"/>
  <c r="S98" i="11"/>
  <c r="V98" i="11"/>
  <c r="AE113" i="5"/>
  <c r="AK113" i="5"/>
  <c r="AL112" i="5" s="1"/>
  <c r="M112" i="5"/>
  <c r="P113" i="5"/>
  <c r="I114" i="5"/>
  <c r="N114" i="5" s="1"/>
  <c r="H114" i="5"/>
  <c r="AA114" i="5"/>
  <c r="AG114" i="5"/>
  <c r="AH113" i="5" s="1"/>
  <c r="U96" i="5"/>
  <c r="K113" i="5"/>
  <c r="J113" i="5"/>
  <c r="W96" i="5" s="1"/>
  <c r="DO110" i="10"/>
  <c r="DN111" i="10"/>
  <c r="DM110" i="10"/>
  <c r="CC421" i="10"/>
  <c r="CD422" i="10"/>
  <c r="CE421" i="10"/>
  <c r="BD110" i="10"/>
  <c r="BB110" i="10"/>
  <c r="BC111" i="10"/>
  <c r="CN421" i="10"/>
  <c r="CL421" i="10"/>
  <c r="CM422" i="10"/>
  <c r="CL110" i="10"/>
  <c r="CN110" i="10"/>
  <c r="CM111" i="10"/>
  <c r="DW111" i="10"/>
  <c r="DV110" i="10"/>
  <c r="DX110" i="10"/>
  <c r="AT114" i="10"/>
  <c r="AU113" i="10"/>
  <c r="AS113" i="10"/>
  <c r="BB422" i="10"/>
  <c r="BC423" i="10"/>
  <c r="BD422" i="10"/>
  <c r="CC111" i="10"/>
  <c r="CD112" i="10"/>
  <c r="CE111" i="10"/>
  <c r="Q99" i="11"/>
  <c r="R99" i="11"/>
  <c r="U99" i="11"/>
  <c r="O99" i="11"/>
  <c r="N99" i="11"/>
  <c r="D99" i="11"/>
  <c r="T99" i="11"/>
  <c r="B100" i="11"/>
  <c r="R97" i="5"/>
  <c r="D115" i="5"/>
  <c r="G115" i="5" s="1"/>
  <c r="V97" i="5"/>
  <c r="AC114" i="5"/>
  <c r="F114" i="5"/>
  <c r="O114" i="5" s="1"/>
  <c r="AI114" i="5"/>
  <c r="E114" i="5"/>
  <c r="AT424" i="10"/>
  <c r="AS423" i="10"/>
  <c r="AU423" i="10"/>
  <c r="S96" i="5"/>
  <c r="L113" i="5"/>
  <c r="AJ112" i="5"/>
  <c r="J106" i="16" l="1"/>
  <c r="K105" i="16"/>
  <c r="G105" i="16" s="1"/>
  <c r="L105" i="16"/>
  <c r="H112" i="16"/>
  <c r="V99" i="11"/>
  <c r="M113" i="5"/>
  <c r="AK114" i="5"/>
  <c r="AL113" i="5" s="1"/>
  <c r="P114" i="5"/>
  <c r="AE114" i="5"/>
  <c r="AG115" i="5"/>
  <c r="AH114" i="5" s="1"/>
  <c r="H115" i="5"/>
  <c r="AA115" i="5"/>
  <c r="I115" i="5"/>
  <c r="N115" i="5" s="1"/>
  <c r="K114" i="5"/>
  <c r="U97" i="5"/>
  <c r="J114" i="5"/>
  <c r="W97" i="5" s="1"/>
  <c r="P99" i="11"/>
  <c r="DN112" i="10"/>
  <c r="DM111" i="10"/>
  <c r="DO111" i="10"/>
  <c r="CD423" i="10"/>
  <c r="CE422" i="10"/>
  <c r="CC422" i="10"/>
  <c r="CN111" i="10"/>
  <c r="CL111" i="10"/>
  <c r="CM112" i="10"/>
  <c r="BB111" i="10"/>
  <c r="BC112" i="10"/>
  <c r="BD111" i="10"/>
  <c r="DX111" i="10"/>
  <c r="DW112" i="10"/>
  <c r="DV111" i="10"/>
  <c r="CL422" i="10"/>
  <c r="CN422" i="10"/>
  <c r="CM423" i="10"/>
  <c r="AU114" i="10"/>
  <c r="AT115" i="10"/>
  <c r="AS114" i="10"/>
  <c r="CE112" i="10"/>
  <c r="CD113" i="10"/>
  <c r="CC112" i="10"/>
  <c r="BB423" i="10"/>
  <c r="BD423" i="10"/>
  <c r="BC424" i="10"/>
  <c r="AU424" i="10"/>
  <c r="AS424" i="10"/>
  <c r="AT425" i="10"/>
  <c r="L114" i="5"/>
  <c r="S97" i="5"/>
  <c r="U100" i="11"/>
  <c r="B101" i="11"/>
  <c r="O100" i="11"/>
  <c r="N100" i="11"/>
  <c r="T100" i="11"/>
  <c r="R100" i="11"/>
  <c r="Q100" i="11"/>
  <c r="D100" i="11"/>
  <c r="AJ113" i="5"/>
  <c r="R98" i="5"/>
  <c r="D116" i="5"/>
  <c r="G116" i="5" s="1"/>
  <c r="V98" i="5"/>
  <c r="AI115" i="5"/>
  <c r="AC115" i="5"/>
  <c r="E115" i="5"/>
  <c r="F115" i="5"/>
  <c r="O115" i="5" s="1"/>
  <c r="S99" i="11"/>
  <c r="J107" i="16" l="1"/>
  <c r="K106" i="16"/>
  <c r="G106" i="16" s="1"/>
  <c r="L106" i="16"/>
  <c r="H113" i="16"/>
  <c r="V100" i="11"/>
  <c r="AK115" i="5"/>
  <c r="AL114" i="5" s="1"/>
  <c r="M114" i="5"/>
  <c r="AE115" i="5"/>
  <c r="AA116" i="5"/>
  <c r="AG116" i="5"/>
  <c r="I116" i="5"/>
  <c r="N116" i="5" s="1"/>
  <c r="H116" i="5"/>
  <c r="J115" i="5"/>
  <c r="W98" i="5" s="1"/>
  <c r="K115" i="5"/>
  <c r="U98" i="5"/>
  <c r="P115" i="5"/>
  <c r="P100" i="11"/>
  <c r="DO112" i="10"/>
  <c r="DN113" i="10"/>
  <c r="DM112" i="10"/>
  <c r="CD424" i="10"/>
  <c r="CC423" i="10"/>
  <c r="CE423" i="10"/>
  <c r="CM424" i="10"/>
  <c r="CL423" i="10"/>
  <c r="CN423" i="10"/>
  <c r="DX112" i="10"/>
  <c r="DV112" i="10"/>
  <c r="DW113" i="10"/>
  <c r="BB112" i="10"/>
  <c r="BD112" i="10"/>
  <c r="BC113" i="10"/>
  <c r="CN112" i="10"/>
  <c r="CL112" i="10"/>
  <c r="CM113" i="10"/>
  <c r="AU115" i="10"/>
  <c r="AS115" i="10"/>
  <c r="AT116" i="10"/>
  <c r="CC113" i="10"/>
  <c r="CE113" i="10"/>
  <c r="CD114" i="10"/>
  <c r="BB424" i="10"/>
  <c r="BC425" i="10"/>
  <c r="BD424" i="10"/>
  <c r="S100" i="11"/>
  <c r="AU425" i="10"/>
  <c r="AS425" i="10"/>
  <c r="AT426" i="10"/>
  <c r="L115" i="5"/>
  <c r="S98" i="5"/>
  <c r="AJ114" i="5"/>
  <c r="V99" i="5"/>
  <c r="R99" i="5"/>
  <c r="D117" i="5"/>
  <c r="G117" i="5" s="1"/>
  <c r="F116" i="5"/>
  <c r="O116" i="5" s="1"/>
  <c r="AC116" i="5"/>
  <c r="E116" i="5"/>
  <c r="AI116" i="5"/>
  <c r="N101" i="11"/>
  <c r="O101" i="11"/>
  <c r="R101" i="11"/>
  <c r="T101" i="11"/>
  <c r="D101" i="11"/>
  <c r="B102" i="11"/>
  <c r="U101" i="11"/>
  <c r="Q101" i="11"/>
  <c r="J108" i="16" l="1"/>
  <c r="K107" i="16"/>
  <c r="G107" i="16" s="1"/>
  <c r="L107" i="16"/>
  <c r="H114" i="16"/>
  <c r="AE116" i="5"/>
  <c r="P116" i="5"/>
  <c r="AK116" i="5"/>
  <c r="AL115" i="5" s="1"/>
  <c r="AG117" i="5"/>
  <c r="I117" i="5"/>
  <c r="N117" i="5" s="1"/>
  <c r="H117" i="5"/>
  <c r="AA117" i="5"/>
  <c r="U99" i="5"/>
  <c r="K116" i="5"/>
  <c r="J116" i="5"/>
  <c r="W99" i="5" s="1"/>
  <c r="AH115" i="5"/>
  <c r="P101" i="11"/>
  <c r="M115" i="5"/>
  <c r="DM113" i="10"/>
  <c r="DO113" i="10"/>
  <c r="DN114" i="10"/>
  <c r="CC424" i="10"/>
  <c r="CE424" i="10"/>
  <c r="CD425" i="10"/>
  <c r="BD113" i="10"/>
  <c r="BC114" i="10"/>
  <c r="BB113" i="10"/>
  <c r="CM114" i="10"/>
  <c r="CL113" i="10"/>
  <c r="CN113" i="10"/>
  <c r="DW114" i="10"/>
  <c r="DV113" i="10"/>
  <c r="DX113" i="10"/>
  <c r="CL424" i="10"/>
  <c r="CM425" i="10"/>
  <c r="CN424" i="10"/>
  <c r="AS116" i="10"/>
  <c r="AU116" i="10"/>
  <c r="AT117" i="10"/>
  <c r="BB425" i="10"/>
  <c r="BC426" i="10"/>
  <c r="BD425" i="10"/>
  <c r="CC114" i="10"/>
  <c r="CE114" i="10"/>
  <c r="CD115" i="10"/>
  <c r="S101" i="11"/>
  <c r="Q102" i="11"/>
  <c r="T102" i="11"/>
  <c r="N102" i="11"/>
  <c r="D102" i="11"/>
  <c r="R102" i="11"/>
  <c r="O102" i="11"/>
  <c r="U102" i="11"/>
  <c r="B103" i="11"/>
  <c r="V101" i="11"/>
  <c r="L116" i="5"/>
  <c r="S99" i="5"/>
  <c r="AU426" i="10"/>
  <c r="AS426" i="10"/>
  <c r="AT427" i="10"/>
  <c r="V100" i="5"/>
  <c r="D118" i="5"/>
  <c r="G118" i="5" s="1"/>
  <c r="R100" i="5"/>
  <c r="E117" i="5"/>
  <c r="AC117" i="5"/>
  <c r="F117" i="5"/>
  <c r="O117" i="5" s="1"/>
  <c r="AI117" i="5"/>
  <c r="AJ115" i="5"/>
  <c r="J109" i="16" l="1"/>
  <c r="L108" i="16"/>
  <c r="K108" i="16"/>
  <c r="G108" i="16" s="1"/>
  <c r="H115" i="16"/>
  <c r="P117" i="5"/>
  <c r="M116" i="5"/>
  <c r="AA118" i="5"/>
  <c r="I118" i="5"/>
  <c r="N118" i="5" s="1"/>
  <c r="AG118" i="5"/>
  <c r="H118" i="5"/>
  <c r="AE117" i="5"/>
  <c r="U100" i="5"/>
  <c r="J117" i="5"/>
  <c r="W100" i="5" s="1"/>
  <c r="K117" i="5"/>
  <c r="AH116" i="5"/>
  <c r="DN115" i="10"/>
  <c r="DM114" i="10"/>
  <c r="DO114" i="10"/>
  <c r="CD426" i="10"/>
  <c r="CC425" i="10"/>
  <c r="CE425" i="10"/>
  <c r="CL114" i="10"/>
  <c r="CM115" i="10"/>
  <c r="CN114" i="10"/>
  <c r="BC115" i="10"/>
  <c r="BD114" i="10"/>
  <c r="BB114" i="10"/>
  <c r="CM426" i="10"/>
  <c r="CL425" i="10"/>
  <c r="CN425" i="10"/>
  <c r="DX114" i="10"/>
  <c r="DV114" i="10"/>
  <c r="DW115" i="10"/>
  <c r="AJ116" i="5"/>
  <c r="AK117" i="5"/>
  <c r="AU117" i="10"/>
  <c r="AT118" i="10"/>
  <c r="AS117" i="10"/>
  <c r="BD426" i="10"/>
  <c r="BB426" i="10"/>
  <c r="BC427" i="10"/>
  <c r="P102" i="11"/>
  <c r="CC115" i="10"/>
  <c r="CE115" i="10"/>
  <c r="CD116" i="10"/>
  <c r="L117" i="5"/>
  <c r="S100" i="5"/>
  <c r="R101" i="5"/>
  <c r="D119" i="5"/>
  <c r="G119" i="5" s="1"/>
  <c r="V101" i="5"/>
  <c r="AI118" i="5"/>
  <c r="AC118" i="5"/>
  <c r="E118" i="5"/>
  <c r="F118" i="5"/>
  <c r="O118" i="5" s="1"/>
  <c r="AU427" i="10"/>
  <c r="AS427" i="10"/>
  <c r="AT428" i="10"/>
  <c r="S102" i="11"/>
  <c r="O103" i="11"/>
  <c r="N103" i="11"/>
  <c r="D103" i="11"/>
  <c r="U103" i="11"/>
  <c r="R103" i="11"/>
  <c r="Q103" i="11"/>
  <c r="T103" i="11"/>
  <c r="B104" i="11"/>
  <c r="V102" i="11"/>
  <c r="V103" i="11" l="1"/>
  <c r="J110" i="16"/>
  <c r="L109" i="16"/>
  <c r="K109" i="16"/>
  <c r="G109" i="16" s="1"/>
  <c r="H116" i="16"/>
  <c r="AK118" i="5"/>
  <c r="AL117" i="5" s="1"/>
  <c r="AE118" i="5"/>
  <c r="H119" i="5"/>
  <c r="AG119" i="5"/>
  <c r="AA119" i="5"/>
  <c r="I119" i="5"/>
  <c r="N119" i="5" s="1"/>
  <c r="J118" i="5"/>
  <c r="W101" i="5" s="1"/>
  <c r="K118" i="5"/>
  <c r="U101" i="5"/>
  <c r="P118" i="5"/>
  <c r="M117" i="5"/>
  <c r="AH117" i="5"/>
  <c r="DN116" i="10"/>
  <c r="DO115" i="10"/>
  <c r="DM115" i="10"/>
  <c r="CC426" i="10"/>
  <c r="CD427" i="10"/>
  <c r="CE426" i="10"/>
  <c r="DX115" i="10"/>
  <c r="DV115" i="10"/>
  <c r="DW116" i="10"/>
  <c r="BB115" i="10"/>
  <c r="BD115" i="10"/>
  <c r="BC116" i="10"/>
  <c r="CN115" i="10"/>
  <c r="CL115" i="10"/>
  <c r="CM116" i="10"/>
  <c r="CM427" i="10"/>
  <c r="CL426" i="10"/>
  <c r="CN426" i="10"/>
  <c r="AL116" i="5"/>
  <c r="AT119" i="10"/>
  <c r="AU118" i="10"/>
  <c r="AS118" i="10"/>
  <c r="CE116" i="10"/>
  <c r="CC116" i="10"/>
  <c r="CD117" i="10"/>
  <c r="S103" i="11"/>
  <c r="BC428" i="10"/>
  <c r="BD427" i="10"/>
  <c r="BB427" i="10"/>
  <c r="Q104" i="11"/>
  <c r="B105" i="11"/>
  <c r="N104" i="11"/>
  <c r="D104" i="11"/>
  <c r="R104" i="11"/>
  <c r="T104" i="11"/>
  <c r="O104" i="11"/>
  <c r="U104" i="11"/>
  <c r="P103" i="11"/>
  <c r="AT429" i="10"/>
  <c r="AS428" i="10"/>
  <c r="AU428" i="10"/>
  <c r="S101" i="5"/>
  <c r="L118" i="5"/>
  <c r="D120" i="5"/>
  <c r="G120" i="5" s="1"/>
  <c r="V102" i="5"/>
  <c r="R102" i="5"/>
  <c r="AC119" i="5"/>
  <c r="F119" i="5"/>
  <c r="O119" i="5" s="1"/>
  <c r="AI119" i="5"/>
  <c r="E119" i="5"/>
  <c r="AJ117" i="5"/>
  <c r="J111" i="16" l="1"/>
  <c r="K110" i="16"/>
  <c r="G110" i="16" s="1"/>
  <c r="L110" i="16"/>
  <c r="H117" i="16"/>
  <c r="M118" i="5"/>
  <c r="AK119" i="5"/>
  <c r="AL118" i="5" s="1"/>
  <c r="AE119" i="5"/>
  <c r="P119" i="5"/>
  <c r="AG120" i="5"/>
  <c r="H120" i="5"/>
  <c r="I120" i="5"/>
  <c r="N120" i="5" s="1"/>
  <c r="AA120" i="5"/>
  <c r="AH118" i="5"/>
  <c r="U102" i="5"/>
  <c r="J119" i="5"/>
  <c r="W102" i="5" s="1"/>
  <c r="K119" i="5"/>
  <c r="DN117" i="10"/>
  <c r="DM116" i="10"/>
  <c r="DO116" i="10"/>
  <c r="CE427" i="10"/>
  <c r="CC427" i="10"/>
  <c r="CD428" i="10"/>
  <c r="CL427" i="10"/>
  <c r="CM428" i="10"/>
  <c r="CN427" i="10"/>
  <c r="BC117" i="10"/>
  <c r="BD116" i="10"/>
  <c r="BB116" i="10"/>
  <c r="CM117" i="10"/>
  <c r="CN116" i="10"/>
  <c r="CL116" i="10"/>
  <c r="DX116" i="10"/>
  <c r="DV116" i="10"/>
  <c r="DW117" i="10"/>
  <c r="AS119" i="10"/>
  <c r="AU119" i="10"/>
  <c r="AT120" i="10"/>
  <c r="CC117" i="10"/>
  <c r="CE117" i="10"/>
  <c r="CD118" i="10"/>
  <c r="BB428" i="10"/>
  <c r="BD428" i="10"/>
  <c r="BC429" i="10"/>
  <c r="L119" i="5"/>
  <c r="S102" i="5"/>
  <c r="R103" i="5"/>
  <c r="D121" i="5"/>
  <c r="G121" i="5" s="1"/>
  <c r="V103" i="5"/>
  <c r="AC120" i="5"/>
  <c r="F120" i="5"/>
  <c r="O120" i="5" s="1"/>
  <c r="AI120" i="5"/>
  <c r="E120" i="5"/>
  <c r="AT430" i="10"/>
  <c r="AS429" i="10"/>
  <c r="AU429" i="10"/>
  <c r="V104" i="11"/>
  <c r="N105" i="11"/>
  <c r="D105" i="11"/>
  <c r="T105" i="11"/>
  <c r="O105" i="11"/>
  <c r="Q105" i="11"/>
  <c r="R105" i="11"/>
  <c r="U105" i="11"/>
  <c r="B106" i="11"/>
  <c r="AJ118" i="5"/>
  <c r="P104" i="11"/>
  <c r="S104" i="11"/>
  <c r="J112" i="16" l="1"/>
  <c r="K111" i="16"/>
  <c r="G111" i="16" s="1"/>
  <c r="L111" i="16"/>
  <c r="H118" i="16"/>
  <c r="P120" i="5"/>
  <c r="AE120" i="5"/>
  <c r="M119" i="5"/>
  <c r="AK120" i="5"/>
  <c r="AL119" i="5" s="1"/>
  <c r="K120" i="5"/>
  <c r="J120" i="5"/>
  <c r="W103" i="5" s="1"/>
  <c r="U103" i="5"/>
  <c r="AA121" i="5"/>
  <c r="H121" i="5"/>
  <c r="AG121" i="5"/>
  <c r="I121" i="5"/>
  <c r="N121" i="5" s="1"/>
  <c r="AH119" i="5"/>
  <c r="DO117" i="10"/>
  <c r="DN118" i="10"/>
  <c r="DM117" i="10"/>
  <c r="CE428" i="10"/>
  <c r="CC428" i="10"/>
  <c r="CD429" i="10"/>
  <c r="DV117" i="10"/>
  <c r="DX117" i="10"/>
  <c r="DW118" i="10"/>
  <c r="BB117" i="10"/>
  <c r="BD117" i="10"/>
  <c r="BC118" i="10"/>
  <c r="CL428" i="10"/>
  <c r="CM429" i="10"/>
  <c r="CN428" i="10"/>
  <c r="CM118" i="10"/>
  <c r="CL117" i="10"/>
  <c r="CN117" i="10"/>
  <c r="AS120" i="10"/>
  <c r="AU120" i="10"/>
  <c r="AT121" i="10"/>
  <c r="CD119" i="10"/>
  <c r="CE118" i="10"/>
  <c r="CC118" i="10"/>
  <c r="BB429" i="10"/>
  <c r="BD429" i="10"/>
  <c r="BC430" i="10"/>
  <c r="Q106" i="11"/>
  <c r="D106" i="11"/>
  <c r="T106" i="11"/>
  <c r="N106" i="11"/>
  <c r="R106" i="11"/>
  <c r="O106" i="11"/>
  <c r="U106" i="11"/>
  <c r="B107" i="11"/>
  <c r="L120" i="5"/>
  <c r="S103" i="5"/>
  <c r="S105" i="11"/>
  <c r="V105" i="11"/>
  <c r="P105" i="11"/>
  <c r="AU430" i="10"/>
  <c r="AS430" i="10"/>
  <c r="AT431" i="10"/>
  <c r="D122" i="5"/>
  <c r="G122" i="5" s="1"/>
  <c r="E121" i="5"/>
  <c r="L121" i="5" s="1"/>
  <c r="AC121" i="5"/>
  <c r="AI121" i="5"/>
  <c r="F121" i="5"/>
  <c r="O121" i="5" s="1"/>
  <c r="AJ119" i="5"/>
  <c r="J113" i="16" l="1"/>
  <c r="K112" i="16"/>
  <c r="G112" i="16" s="1"/>
  <c r="L112" i="16"/>
  <c r="H119" i="16"/>
  <c r="P121" i="5"/>
  <c r="M120" i="5"/>
  <c r="AK121" i="5"/>
  <c r="AL120" i="5" s="1"/>
  <c r="AE121" i="5"/>
  <c r="H122" i="5"/>
  <c r="AA122" i="5"/>
  <c r="I122" i="5"/>
  <c r="N122" i="5" s="1"/>
  <c r="AG122" i="5"/>
  <c r="AH120" i="5"/>
  <c r="J121" i="5"/>
  <c r="K121" i="5"/>
  <c r="M121" i="5" s="1"/>
  <c r="DN119" i="10"/>
  <c r="DO118" i="10"/>
  <c r="DM118" i="10"/>
  <c r="CE429" i="10"/>
  <c r="CC429" i="10"/>
  <c r="CD430" i="10"/>
  <c r="CL118" i="10"/>
  <c r="CN118" i="10"/>
  <c r="CM119" i="10"/>
  <c r="CL429" i="10"/>
  <c r="CN429" i="10"/>
  <c r="CM430" i="10"/>
  <c r="BD118" i="10"/>
  <c r="BC119" i="10"/>
  <c r="BB118" i="10"/>
  <c r="DV118" i="10"/>
  <c r="DX118" i="10"/>
  <c r="DW119" i="10"/>
  <c r="AT122" i="10"/>
  <c r="AS121" i="10"/>
  <c r="AU121" i="10"/>
  <c r="BD430" i="10"/>
  <c r="BC431" i="10"/>
  <c r="BB430" i="10"/>
  <c r="CC119" i="10"/>
  <c r="CE119" i="10"/>
  <c r="CD120" i="10"/>
  <c r="AJ120" i="5"/>
  <c r="D123" i="5"/>
  <c r="G123" i="5" s="1"/>
  <c r="F122" i="5"/>
  <c r="O122" i="5" s="1"/>
  <c r="AC122" i="5"/>
  <c r="E122" i="5"/>
  <c r="L122" i="5" s="1"/>
  <c r="AI122" i="5"/>
  <c r="AU431" i="10"/>
  <c r="AS431" i="10"/>
  <c r="AT432" i="10"/>
  <c r="D107" i="11"/>
  <c r="B108" i="11"/>
  <c r="Q107" i="11"/>
  <c r="U107" i="11"/>
  <c r="T107" i="11"/>
  <c r="N107" i="11"/>
  <c r="R107" i="11"/>
  <c r="O107" i="11"/>
  <c r="P106" i="11"/>
  <c r="V106" i="11"/>
  <c r="S106" i="11"/>
  <c r="J114" i="16" l="1"/>
  <c r="K113" i="16"/>
  <c r="G113" i="16" s="1"/>
  <c r="L113" i="16"/>
  <c r="H120" i="16"/>
  <c r="P122" i="5"/>
  <c r="AE122" i="5"/>
  <c r="AH121" i="5"/>
  <c r="V107" i="11"/>
  <c r="AA123" i="5"/>
  <c r="AG123" i="5"/>
  <c r="H123" i="5"/>
  <c r="I123" i="5"/>
  <c r="N123" i="5" s="1"/>
  <c r="J122" i="5"/>
  <c r="K122" i="5"/>
  <c r="M122" i="5" s="1"/>
  <c r="DM119" i="10"/>
  <c r="DO119" i="10"/>
  <c r="DN120" i="10"/>
  <c r="CD431" i="10"/>
  <c r="CC430" i="10"/>
  <c r="CE430" i="10"/>
  <c r="DW120" i="10"/>
  <c r="DV119" i="10"/>
  <c r="DX119" i="10"/>
  <c r="BC120" i="10"/>
  <c r="BD119" i="10"/>
  <c r="BB119" i="10"/>
  <c r="CM431" i="10"/>
  <c r="CN430" i="10"/>
  <c r="CL430" i="10"/>
  <c r="CM120" i="10"/>
  <c r="CL119" i="10"/>
  <c r="CN119" i="10"/>
  <c r="AJ121" i="5"/>
  <c r="AK122" i="5"/>
  <c r="AS122" i="10"/>
  <c r="AU122" i="10"/>
  <c r="AT123" i="10"/>
  <c r="CE120" i="10"/>
  <c r="CC120" i="10"/>
  <c r="CD121" i="10"/>
  <c r="BD431" i="10"/>
  <c r="BB431" i="10"/>
  <c r="BC432" i="10"/>
  <c r="S107" i="11"/>
  <c r="D124" i="5"/>
  <c r="G124" i="5" s="1"/>
  <c r="AI123" i="5"/>
  <c r="AC123" i="5"/>
  <c r="F123" i="5"/>
  <c r="O123" i="5" s="1"/>
  <c r="E123" i="5"/>
  <c r="L123" i="5" s="1"/>
  <c r="P107" i="11"/>
  <c r="Q108" i="11"/>
  <c r="B109" i="11"/>
  <c r="T108" i="11"/>
  <c r="U108" i="11"/>
  <c r="O108" i="11"/>
  <c r="R108" i="11"/>
  <c r="N108" i="11"/>
  <c r="D108" i="11"/>
  <c r="AT433" i="10"/>
  <c r="AS432" i="10"/>
  <c r="AU432" i="10"/>
  <c r="J115" i="16" l="1"/>
  <c r="K114" i="16"/>
  <c r="G114" i="16" s="1"/>
  <c r="L114" i="16"/>
  <c r="H121" i="16"/>
  <c r="P108" i="11"/>
  <c r="P123" i="5"/>
  <c r="AK123" i="5"/>
  <c r="AL122" i="5" s="1"/>
  <c r="AE123" i="5"/>
  <c r="AH122" i="5"/>
  <c r="V108" i="11"/>
  <c r="S108" i="11"/>
  <c r="H124" i="5"/>
  <c r="AA124" i="5"/>
  <c r="AG124" i="5"/>
  <c r="I124" i="5"/>
  <c r="N124" i="5" s="1"/>
  <c r="J123" i="5"/>
  <c r="K123" i="5"/>
  <c r="M123" i="5" s="1"/>
  <c r="DN121" i="10"/>
  <c r="DM120" i="10"/>
  <c r="DO120" i="10"/>
  <c r="CD432" i="10"/>
  <c r="CC431" i="10"/>
  <c r="CE431" i="10"/>
  <c r="AJ122" i="5"/>
  <c r="CN120" i="10"/>
  <c r="CL120" i="10"/>
  <c r="CM121" i="10"/>
  <c r="BD120" i="10"/>
  <c r="BC121" i="10"/>
  <c r="BB120" i="10"/>
  <c r="CM432" i="10"/>
  <c r="CL431" i="10"/>
  <c r="CN431" i="10"/>
  <c r="DV120" i="10"/>
  <c r="DW121" i="10"/>
  <c r="DX120" i="10"/>
  <c r="AL121" i="5"/>
  <c r="AU123" i="10"/>
  <c r="AT124" i="10"/>
  <c r="AS123" i="10"/>
  <c r="BD432" i="10"/>
  <c r="BB432" i="10"/>
  <c r="BC433" i="10"/>
  <c r="CE121" i="10"/>
  <c r="CD122" i="10"/>
  <c r="CC121" i="10"/>
  <c r="AT434" i="10"/>
  <c r="AS433" i="10"/>
  <c r="AU433" i="10"/>
  <c r="D125" i="5"/>
  <c r="G125" i="5" s="1"/>
  <c r="F124" i="5"/>
  <c r="O124" i="5" s="1"/>
  <c r="AI124" i="5"/>
  <c r="AC124" i="5"/>
  <c r="E124" i="5"/>
  <c r="L124" i="5" s="1"/>
  <c r="B110" i="11"/>
  <c r="T109" i="11"/>
  <c r="D109" i="11"/>
  <c r="Q109" i="11"/>
  <c r="U109" i="11"/>
  <c r="O109" i="11"/>
  <c r="R109" i="11"/>
  <c r="N109" i="11"/>
  <c r="J116" i="16" l="1"/>
  <c r="K115" i="16"/>
  <c r="G115" i="16" s="1"/>
  <c r="L115" i="16"/>
  <c r="H122" i="16"/>
  <c r="P109" i="11"/>
  <c r="AK124" i="5"/>
  <c r="AL123" i="5" s="1"/>
  <c r="I125" i="5"/>
  <c r="N125" i="5" s="1"/>
  <c r="AA125" i="5"/>
  <c r="H125" i="5"/>
  <c r="AG125" i="5"/>
  <c r="AH124" i="5" s="1"/>
  <c r="AE124" i="5"/>
  <c r="P124" i="5"/>
  <c r="J124" i="5"/>
  <c r="K124" i="5"/>
  <c r="M124" i="5" s="1"/>
  <c r="AH123" i="5"/>
  <c r="DM121" i="10"/>
  <c r="DO121" i="10"/>
  <c r="DN122" i="10"/>
  <c r="CD433" i="10"/>
  <c r="CE432" i="10"/>
  <c r="CC432" i="10"/>
  <c r="DX121" i="10"/>
  <c r="DV121" i="10"/>
  <c r="DW122" i="10"/>
  <c r="CM433" i="10"/>
  <c r="CN432" i="10"/>
  <c r="CL432" i="10"/>
  <c r="BD121" i="10"/>
  <c r="BC122" i="10"/>
  <c r="BB121" i="10"/>
  <c r="CL121" i="10"/>
  <c r="CM122" i="10"/>
  <c r="CN121" i="10"/>
  <c r="AJ123" i="5"/>
  <c r="AU124" i="10"/>
  <c r="AT125" i="10"/>
  <c r="AS124" i="10"/>
  <c r="S109" i="11"/>
  <c r="V109" i="11"/>
  <c r="CC122" i="10"/>
  <c r="CD123" i="10"/>
  <c r="CE122" i="10"/>
  <c r="BB433" i="10"/>
  <c r="BC434" i="10"/>
  <c r="BD433" i="10"/>
  <c r="D126" i="5"/>
  <c r="G126" i="5" s="1"/>
  <c r="E125" i="5"/>
  <c r="L125" i="5" s="1"/>
  <c r="AC125" i="5"/>
  <c r="F125" i="5"/>
  <c r="O125" i="5" s="1"/>
  <c r="AI125" i="5"/>
  <c r="N110" i="11"/>
  <c r="D110" i="11"/>
  <c r="T110" i="11"/>
  <c r="O110" i="11"/>
  <c r="R110" i="11"/>
  <c r="U110" i="11"/>
  <c r="Q110" i="11"/>
  <c r="B111" i="11"/>
  <c r="AU434" i="10"/>
  <c r="AS434" i="10"/>
  <c r="AT435" i="10"/>
  <c r="J117" i="16" l="1"/>
  <c r="L116" i="16"/>
  <c r="K116" i="16"/>
  <c r="G116" i="16" s="1"/>
  <c r="H123" i="16"/>
  <c r="S110" i="11"/>
  <c r="AK125" i="5"/>
  <c r="AL124" i="5" s="1"/>
  <c r="AE125" i="5"/>
  <c r="AA126" i="5"/>
  <c r="I126" i="5"/>
  <c r="N126" i="5" s="1"/>
  <c r="AG126" i="5"/>
  <c r="H126" i="5"/>
  <c r="J125" i="5"/>
  <c r="K125" i="5"/>
  <c r="M125" i="5" s="1"/>
  <c r="P125" i="5"/>
  <c r="DM122" i="10"/>
  <c r="DN123" i="10"/>
  <c r="DO122" i="10"/>
  <c r="CE433" i="10"/>
  <c r="CD434" i="10"/>
  <c r="CC433" i="10"/>
  <c r="BB122" i="10"/>
  <c r="BC123" i="10"/>
  <c r="BD122" i="10"/>
  <c r="CN433" i="10"/>
  <c r="CL433" i="10"/>
  <c r="CM434" i="10"/>
  <c r="CM123" i="10"/>
  <c r="CL122" i="10"/>
  <c r="CN122" i="10"/>
  <c r="DV122" i="10"/>
  <c r="DW123" i="10"/>
  <c r="DX122" i="10"/>
  <c r="AT126" i="10"/>
  <c r="AS125" i="10"/>
  <c r="AU125" i="10"/>
  <c r="BB434" i="10"/>
  <c r="BD434" i="10"/>
  <c r="BC435" i="10"/>
  <c r="CD124" i="10"/>
  <c r="CE123" i="10"/>
  <c r="CC123" i="10"/>
  <c r="V110" i="11"/>
  <c r="P110" i="11"/>
  <c r="AU435" i="10"/>
  <c r="AS435" i="10"/>
  <c r="AT436" i="10"/>
  <c r="U111" i="11"/>
  <c r="D111" i="11"/>
  <c r="N111" i="11"/>
  <c r="O111" i="11"/>
  <c r="Q111" i="11"/>
  <c r="B112" i="11"/>
  <c r="R111" i="11"/>
  <c r="T111" i="11"/>
  <c r="AJ124" i="5"/>
  <c r="D127" i="5"/>
  <c r="G127" i="5" s="1"/>
  <c r="E126" i="5"/>
  <c r="L126" i="5" s="1"/>
  <c r="F126" i="5"/>
  <c r="O126" i="5" s="1"/>
  <c r="AC126" i="5"/>
  <c r="AI126" i="5"/>
  <c r="J118" i="16" l="1"/>
  <c r="L117" i="16"/>
  <c r="K117" i="16"/>
  <c r="G117" i="16" s="1"/>
  <c r="H124" i="16"/>
  <c r="AK126" i="5"/>
  <c r="AL125" i="5" s="1"/>
  <c r="P126" i="5"/>
  <c r="AE126" i="5"/>
  <c r="AG127" i="5"/>
  <c r="AA127" i="5"/>
  <c r="I127" i="5"/>
  <c r="N127" i="5" s="1"/>
  <c r="H127" i="5"/>
  <c r="J126" i="5"/>
  <c r="K126" i="5"/>
  <c r="M126" i="5" s="1"/>
  <c r="P111" i="11"/>
  <c r="AH125" i="5"/>
  <c r="DM123" i="10"/>
  <c r="DN124" i="10"/>
  <c r="DO123" i="10"/>
  <c r="CE434" i="10"/>
  <c r="CD435" i="10"/>
  <c r="CC434" i="10"/>
  <c r="CL434" i="10"/>
  <c r="CM435" i="10"/>
  <c r="CN434" i="10"/>
  <c r="BB123" i="10"/>
  <c r="BC124" i="10"/>
  <c r="BD123" i="10"/>
  <c r="DV123" i="10"/>
  <c r="DX123" i="10"/>
  <c r="DW124" i="10"/>
  <c r="CL123" i="10"/>
  <c r="CM124" i="10"/>
  <c r="CN123" i="10"/>
  <c r="AS126" i="10"/>
  <c r="AT127" i="10"/>
  <c r="AU126" i="10"/>
  <c r="CC124" i="10"/>
  <c r="CD125" i="10"/>
  <c r="CE124" i="10"/>
  <c r="BC436" i="10"/>
  <c r="BB435" i="10"/>
  <c r="BD435" i="10"/>
  <c r="V111" i="11"/>
  <c r="S111" i="11"/>
  <c r="D128" i="5"/>
  <c r="G128" i="5" s="1"/>
  <c r="F127" i="5"/>
  <c r="O127" i="5" s="1"/>
  <c r="E127" i="5"/>
  <c r="L127" i="5" s="1"/>
  <c r="AC127" i="5"/>
  <c r="AI127" i="5"/>
  <c r="T112" i="11"/>
  <c r="R112" i="11"/>
  <c r="D112" i="11"/>
  <c r="N112" i="11"/>
  <c r="U112" i="11"/>
  <c r="Q112" i="11"/>
  <c r="O112" i="11"/>
  <c r="B113" i="11"/>
  <c r="AT437" i="10"/>
  <c r="AS436" i="10"/>
  <c r="AU436" i="10"/>
  <c r="AJ125" i="5"/>
  <c r="J119" i="16" l="1"/>
  <c r="K118" i="16"/>
  <c r="G118" i="16" s="1"/>
  <c r="L118" i="16"/>
  <c r="H125" i="16"/>
  <c r="S112" i="11"/>
  <c r="AE127" i="5"/>
  <c r="P127" i="5"/>
  <c r="J127" i="5"/>
  <c r="K127" i="5"/>
  <c r="M127" i="5" s="1"/>
  <c r="I128" i="5"/>
  <c r="N128" i="5" s="1"/>
  <c r="H128" i="5"/>
  <c r="AG128" i="5"/>
  <c r="AA128" i="5"/>
  <c r="AH126" i="5"/>
  <c r="DO124" i="10"/>
  <c r="DN125" i="10"/>
  <c r="DM124" i="10"/>
  <c r="CE435" i="10"/>
  <c r="CD436" i="10"/>
  <c r="CC435" i="10"/>
  <c r="CN435" i="10"/>
  <c r="CL435" i="10"/>
  <c r="CM436" i="10"/>
  <c r="CM125" i="10"/>
  <c r="CL124" i="10"/>
  <c r="CN124" i="10"/>
  <c r="DW125" i="10"/>
  <c r="DV124" i="10"/>
  <c r="DX124" i="10"/>
  <c r="BB124" i="10"/>
  <c r="BC125" i="10"/>
  <c r="BD124" i="10"/>
  <c r="AJ126" i="5"/>
  <c r="AK127" i="5"/>
  <c r="AS127" i="10"/>
  <c r="AU127" i="10"/>
  <c r="AT128" i="10"/>
  <c r="BC437" i="10"/>
  <c r="BB436" i="10"/>
  <c r="BD436" i="10"/>
  <c r="CC125" i="10"/>
  <c r="CD126" i="10"/>
  <c r="CE125" i="10"/>
  <c r="AU437" i="10"/>
  <c r="AS437" i="10"/>
  <c r="AT438" i="10"/>
  <c r="Q113" i="11"/>
  <c r="R113" i="11"/>
  <c r="B114" i="11"/>
  <c r="U113" i="11"/>
  <c r="N113" i="11"/>
  <c r="D113" i="11"/>
  <c r="O113" i="11"/>
  <c r="T113" i="11"/>
  <c r="P112" i="11"/>
  <c r="D129" i="5"/>
  <c r="G129" i="5" s="1"/>
  <c r="F128" i="5"/>
  <c r="O128" i="5" s="1"/>
  <c r="AI128" i="5"/>
  <c r="AC128" i="5"/>
  <c r="E128" i="5"/>
  <c r="L128" i="5" s="1"/>
  <c r="V112" i="11"/>
  <c r="J120" i="16" l="1"/>
  <c r="K119" i="16"/>
  <c r="G119" i="16" s="1"/>
  <c r="L119" i="16"/>
  <c r="H126" i="16"/>
  <c r="S113" i="11"/>
  <c r="V113" i="11"/>
  <c r="AE128" i="5"/>
  <c r="P128" i="5"/>
  <c r="AH127" i="5"/>
  <c r="AK128" i="5"/>
  <c r="AL127" i="5" s="1"/>
  <c r="H129" i="5"/>
  <c r="I129" i="5"/>
  <c r="N129" i="5" s="1"/>
  <c r="AA129" i="5"/>
  <c r="AG129" i="5"/>
  <c r="K128" i="5"/>
  <c r="M128" i="5" s="1"/>
  <c r="J128" i="5"/>
  <c r="AJ127" i="5"/>
  <c r="DO125" i="10"/>
  <c r="DM125" i="10"/>
  <c r="DN126" i="10"/>
  <c r="CE436" i="10"/>
  <c r="CD437" i="10"/>
  <c r="CC436" i="10"/>
  <c r="CM126" i="10"/>
  <c r="CL125" i="10"/>
  <c r="CN125" i="10"/>
  <c r="BB125" i="10"/>
  <c r="BC126" i="10"/>
  <c r="BD125" i="10"/>
  <c r="DX125" i="10"/>
  <c r="DW126" i="10"/>
  <c r="DV125" i="10"/>
  <c r="CM437" i="10"/>
  <c r="CL436" i="10"/>
  <c r="CN436" i="10"/>
  <c r="AL126" i="5"/>
  <c r="AT129" i="10"/>
  <c r="AS128" i="10"/>
  <c r="AU128" i="10"/>
  <c r="CE126" i="10"/>
  <c r="CD127" i="10"/>
  <c r="CC126" i="10"/>
  <c r="BB437" i="10"/>
  <c r="BD437" i="10"/>
  <c r="BC438" i="10"/>
  <c r="D130" i="5"/>
  <c r="G130" i="5" s="1"/>
  <c r="F129" i="5"/>
  <c r="O129" i="5" s="1"/>
  <c r="E129" i="5"/>
  <c r="L129" i="5" s="1"/>
  <c r="AC129" i="5"/>
  <c r="AI129" i="5"/>
  <c r="P113" i="11"/>
  <c r="Q114" i="11"/>
  <c r="B115" i="11"/>
  <c r="T114" i="11"/>
  <c r="N114" i="11"/>
  <c r="D114" i="11"/>
  <c r="R114" i="11"/>
  <c r="O114" i="11"/>
  <c r="U114" i="11"/>
  <c r="AS438" i="10"/>
  <c r="AU438" i="10"/>
  <c r="AT439" i="10"/>
  <c r="J121" i="16" l="1"/>
  <c r="K120" i="16"/>
  <c r="G120" i="16" s="1"/>
  <c r="L120" i="16"/>
  <c r="H127" i="16"/>
  <c r="P129" i="5"/>
  <c r="AK129" i="5"/>
  <c r="AL128" i="5" s="1"/>
  <c r="AE129" i="5"/>
  <c r="AH128" i="5"/>
  <c r="I130" i="5"/>
  <c r="N130" i="5" s="1"/>
  <c r="H130" i="5"/>
  <c r="AG130" i="5"/>
  <c r="AH129" i="5" s="1"/>
  <c r="AA130" i="5"/>
  <c r="K129" i="5"/>
  <c r="M129" i="5" s="1"/>
  <c r="J129" i="5"/>
  <c r="DN127" i="10"/>
  <c r="DM126" i="10"/>
  <c r="DO126" i="10"/>
  <c r="CC437" i="10"/>
  <c r="CE437" i="10"/>
  <c r="CD438" i="10"/>
  <c r="CM438" i="10"/>
  <c r="CL437" i="10"/>
  <c r="CN437" i="10"/>
  <c r="DW127" i="10"/>
  <c r="DV126" i="10"/>
  <c r="DX126" i="10"/>
  <c r="BD126" i="10"/>
  <c r="BB126" i="10"/>
  <c r="BC127" i="10"/>
  <c r="CL126" i="10"/>
  <c r="CM127" i="10"/>
  <c r="CN126" i="10"/>
  <c r="AT130" i="10"/>
  <c r="AU129" i="10"/>
  <c r="AS129" i="10"/>
  <c r="BC439" i="10"/>
  <c r="BD438" i="10"/>
  <c r="BB438" i="10"/>
  <c r="P114" i="11"/>
  <c r="CC127" i="10"/>
  <c r="CE127" i="10"/>
  <c r="CD128" i="10"/>
  <c r="N115" i="11"/>
  <c r="B116" i="11"/>
  <c r="U115" i="11"/>
  <c r="R115" i="11"/>
  <c r="D115" i="11"/>
  <c r="Q115" i="11"/>
  <c r="O115" i="11"/>
  <c r="T115" i="11"/>
  <c r="AT440" i="10"/>
  <c r="AS439" i="10"/>
  <c r="AU439" i="10"/>
  <c r="V114" i="11"/>
  <c r="S114" i="11"/>
  <c r="D131" i="5"/>
  <c r="G131" i="5" s="1"/>
  <c r="F130" i="5"/>
  <c r="O130" i="5" s="1"/>
  <c r="E130" i="5"/>
  <c r="L130" i="5" s="1"/>
  <c r="AI130" i="5"/>
  <c r="AC130" i="5"/>
  <c r="AJ128" i="5"/>
  <c r="J122" i="16" l="1"/>
  <c r="K121" i="16"/>
  <c r="G121" i="16" s="1"/>
  <c r="L121" i="16"/>
  <c r="H128" i="16"/>
  <c r="S115" i="11"/>
  <c r="AK130" i="5"/>
  <c r="AL129" i="5" s="1"/>
  <c r="P130" i="5"/>
  <c r="AE130" i="5"/>
  <c r="I131" i="5"/>
  <c r="N131" i="5" s="1"/>
  <c r="AA131" i="5"/>
  <c r="H131" i="5"/>
  <c r="AG131" i="5"/>
  <c r="AH130" i="5" s="1"/>
  <c r="V115" i="11"/>
  <c r="J130" i="5"/>
  <c r="K130" i="5"/>
  <c r="M130" i="5" s="1"/>
  <c r="DN128" i="10"/>
  <c r="DM127" i="10"/>
  <c r="DO127" i="10"/>
  <c r="CC438" i="10"/>
  <c r="CD439" i="10"/>
  <c r="CE438" i="10"/>
  <c r="CL127" i="10"/>
  <c r="CM128" i="10"/>
  <c r="CN127" i="10"/>
  <c r="BB127" i="10"/>
  <c r="BD127" i="10"/>
  <c r="BC128" i="10"/>
  <c r="CL438" i="10"/>
  <c r="CN438" i="10"/>
  <c r="CM439" i="10"/>
  <c r="DX127" i="10"/>
  <c r="DV127" i="10"/>
  <c r="DW128" i="10"/>
  <c r="AT131" i="10"/>
  <c r="AU130" i="10"/>
  <c r="AS130" i="10"/>
  <c r="CD129" i="10"/>
  <c r="CE128" i="10"/>
  <c r="CC128" i="10"/>
  <c r="BC440" i="10"/>
  <c r="BD439" i="10"/>
  <c r="BB439" i="10"/>
  <c r="D132" i="5"/>
  <c r="G132" i="5" s="1"/>
  <c r="AI131" i="5"/>
  <c r="AC131" i="5"/>
  <c r="E131" i="5"/>
  <c r="L131" i="5" s="1"/>
  <c r="F131" i="5"/>
  <c r="O131" i="5" s="1"/>
  <c r="AT441" i="10"/>
  <c r="AU440" i="10"/>
  <c r="AS440" i="10"/>
  <c r="Q116" i="11"/>
  <c r="O116" i="11"/>
  <c r="T116" i="11"/>
  <c r="B117" i="11"/>
  <c r="R116" i="11"/>
  <c r="U116" i="11"/>
  <c r="D116" i="11"/>
  <c r="N116" i="11"/>
  <c r="AJ129" i="5"/>
  <c r="P115" i="11"/>
  <c r="J123" i="16" l="1"/>
  <c r="K122" i="16"/>
  <c r="G122" i="16" s="1"/>
  <c r="L122" i="16"/>
  <c r="H129" i="16"/>
  <c r="P116" i="11"/>
  <c r="AE131" i="5"/>
  <c r="P131" i="5"/>
  <c r="H132" i="5"/>
  <c r="AA132" i="5"/>
  <c r="I132" i="5"/>
  <c r="N132" i="5" s="1"/>
  <c r="AG132" i="5"/>
  <c r="K131" i="5"/>
  <c r="M131" i="5" s="1"/>
  <c r="J131" i="5"/>
  <c r="DN129" i="10"/>
  <c r="DM128" i="10"/>
  <c r="DO128" i="10"/>
  <c r="CE439" i="10"/>
  <c r="CC439" i="10"/>
  <c r="CD440" i="10"/>
  <c r="DW129" i="10"/>
  <c r="DV128" i="10"/>
  <c r="DX128" i="10"/>
  <c r="BB128" i="10"/>
  <c r="BC129" i="10"/>
  <c r="BD128" i="10"/>
  <c r="CN128" i="10"/>
  <c r="CL128" i="10"/>
  <c r="CM129" i="10"/>
  <c r="CM440" i="10"/>
  <c r="CN439" i="10"/>
  <c r="CL439" i="10"/>
  <c r="AJ130" i="5"/>
  <c r="AK131" i="5"/>
  <c r="AS131" i="10"/>
  <c r="AT132" i="10"/>
  <c r="AU131" i="10"/>
  <c r="CD130" i="10"/>
  <c r="CE129" i="10"/>
  <c r="CC129" i="10"/>
  <c r="BB440" i="10"/>
  <c r="BC441" i="10"/>
  <c r="BD440" i="10"/>
  <c r="T117" i="11"/>
  <c r="N117" i="11"/>
  <c r="R117" i="11"/>
  <c r="O117" i="11"/>
  <c r="D117" i="11"/>
  <c r="B118" i="11"/>
  <c r="Q117" i="11"/>
  <c r="U117" i="11"/>
  <c r="D133" i="5"/>
  <c r="G133" i="5" s="1"/>
  <c r="AC132" i="5"/>
  <c r="F132" i="5"/>
  <c r="O132" i="5" s="1"/>
  <c r="AI132" i="5"/>
  <c r="E132" i="5"/>
  <c r="L132" i="5" s="1"/>
  <c r="V116" i="11"/>
  <c r="S116" i="11"/>
  <c r="AS441" i="10"/>
  <c r="AU441" i="10"/>
  <c r="AT442" i="10"/>
  <c r="J124" i="16" l="1"/>
  <c r="K123" i="16"/>
  <c r="G123" i="16" s="1"/>
  <c r="L123" i="16"/>
  <c r="H130" i="16"/>
  <c r="S117" i="11"/>
  <c r="P132" i="5"/>
  <c r="AK132" i="5"/>
  <c r="AL131" i="5" s="1"/>
  <c r="AE132" i="5"/>
  <c r="AG133" i="5"/>
  <c r="AH132" i="5" s="1"/>
  <c r="H133" i="5"/>
  <c r="I133" i="5"/>
  <c r="N133" i="5" s="1"/>
  <c r="AA133" i="5"/>
  <c r="AH131" i="5"/>
  <c r="K132" i="5"/>
  <c r="M132" i="5" s="1"/>
  <c r="J132" i="5"/>
  <c r="DO129" i="10"/>
  <c r="DM129" i="10"/>
  <c r="DN130" i="10"/>
  <c r="CD441" i="10"/>
  <c r="CC440" i="10"/>
  <c r="CE440" i="10"/>
  <c r="CM441" i="10"/>
  <c r="CL440" i="10"/>
  <c r="CN440" i="10"/>
  <c r="CM130" i="10"/>
  <c r="CN129" i="10"/>
  <c r="CL129" i="10"/>
  <c r="BB129" i="10"/>
  <c r="BC130" i="10"/>
  <c r="BD129" i="10"/>
  <c r="DV129" i="10"/>
  <c r="DW130" i="10"/>
  <c r="DX129" i="10"/>
  <c r="AL130" i="5"/>
  <c r="AS132" i="10"/>
  <c r="AT133" i="10"/>
  <c r="AU132" i="10"/>
  <c r="BD441" i="10"/>
  <c r="BC442" i="10"/>
  <c r="BB441" i="10"/>
  <c r="CC130" i="10"/>
  <c r="CD131" i="10"/>
  <c r="CE130" i="10"/>
  <c r="AT443" i="10"/>
  <c r="AS442" i="10"/>
  <c r="AU442" i="10"/>
  <c r="AJ131" i="5"/>
  <c r="Q118" i="11"/>
  <c r="B119" i="11"/>
  <c r="R118" i="11"/>
  <c r="N118" i="11"/>
  <c r="D118" i="11"/>
  <c r="T118" i="11"/>
  <c r="O118" i="11"/>
  <c r="U118" i="11"/>
  <c r="P117" i="11"/>
  <c r="D134" i="5"/>
  <c r="G134" i="5" s="1"/>
  <c r="AI133" i="5"/>
  <c r="E133" i="5"/>
  <c r="L133" i="5" s="1"/>
  <c r="F133" i="5"/>
  <c r="O133" i="5" s="1"/>
  <c r="AC133" i="5"/>
  <c r="V117" i="11"/>
  <c r="J125" i="16" l="1"/>
  <c r="L124" i="16"/>
  <c r="K124" i="16"/>
  <c r="G124" i="16" s="1"/>
  <c r="H131" i="16"/>
  <c r="P133" i="5"/>
  <c r="AK133" i="5"/>
  <c r="AL132" i="5" s="1"/>
  <c r="K133" i="5"/>
  <c r="M133" i="5" s="1"/>
  <c r="J133" i="5"/>
  <c r="AE133" i="5"/>
  <c r="I134" i="5"/>
  <c r="N134" i="5" s="1"/>
  <c r="AG134" i="5"/>
  <c r="AH133" i="5" s="1"/>
  <c r="AA134" i="5"/>
  <c r="H134" i="5"/>
  <c r="DO130" i="10"/>
  <c r="DN131" i="10"/>
  <c r="DM130" i="10"/>
  <c r="CE441" i="10"/>
  <c r="CD442" i="10"/>
  <c r="CC441" i="10"/>
  <c r="BC131" i="10"/>
  <c r="BB130" i="10"/>
  <c r="BD130" i="10"/>
  <c r="CL130" i="10"/>
  <c r="CM131" i="10"/>
  <c r="CN130" i="10"/>
  <c r="DV130" i="10"/>
  <c r="DW131" i="10"/>
  <c r="DX130" i="10"/>
  <c r="CL441" i="10"/>
  <c r="CN441" i="10"/>
  <c r="CM442" i="10"/>
  <c r="AT134" i="10"/>
  <c r="AU133" i="10"/>
  <c r="AS133" i="10"/>
  <c r="CC131" i="10"/>
  <c r="CE131" i="10"/>
  <c r="CD132" i="10"/>
  <c r="BD442" i="10"/>
  <c r="BB442" i="10"/>
  <c r="BC443" i="10"/>
  <c r="D135" i="5"/>
  <c r="G135" i="5" s="1"/>
  <c r="AI134" i="5"/>
  <c r="AC134" i="5"/>
  <c r="E134" i="5"/>
  <c r="L134" i="5" s="1"/>
  <c r="F134" i="5"/>
  <c r="O134" i="5" s="1"/>
  <c r="V118" i="11"/>
  <c r="P118" i="11"/>
  <c r="R119" i="11"/>
  <c r="T119" i="11"/>
  <c r="Q119" i="11"/>
  <c r="S119" i="11" s="1"/>
  <c r="D119" i="11"/>
  <c r="O119" i="11"/>
  <c r="U119" i="11"/>
  <c r="B120" i="11"/>
  <c r="N119" i="11"/>
  <c r="AJ132" i="5"/>
  <c r="S118" i="11"/>
  <c r="AT444" i="10"/>
  <c r="AS443" i="10"/>
  <c r="AU443" i="10"/>
  <c r="J126" i="16" l="1"/>
  <c r="L125" i="16"/>
  <c r="K125" i="16"/>
  <c r="G125" i="16" s="1"/>
  <c r="H132" i="16"/>
  <c r="AK134" i="5"/>
  <c r="AL133" i="5" s="1"/>
  <c r="P134" i="5"/>
  <c r="AE134" i="5"/>
  <c r="AG135" i="5"/>
  <c r="AA135" i="5"/>
  <c r="H135" i="5"/>
  <c r="I135" i="5"/>
  <c r="N135" i="5" s="1"/>
  <c r="J134" i="5"/>
  <c r="K134" i="5"/>
  <c r="M134" i="5" s="1"/>
  <c r="DO131" i="10"/>
  <c r="DN132" i="10"/>
  <c r="DM131" i="10"/>
  <c r="CD443" i="10"/>
  <c r="CE442" i="10"/>
  <c r="CC442" i="10"/>
  <c r="CN442" i="10"/>
  <c r="CL442" i="10"/>
  <c r="CM443" i="10"/>
  <c r="DW132" i="10"/>
  <c r="DX131" i="10"/>
  <c r="DV131" i="10"/>
  <c r="CM132" i="10"/>
  <c r="CL131" i="10"/>
  <c r="CN131" i="10"/>
  <c r="BD131" i="10"/>
  <c r="BB131" i="10"/>
  <c r="BC132" i="10"/>
  <c r="AU134" i="10"/>
  <c r="AT135" i="10"/>
  <c r="AS134" i="10"/>
  <c r="BC444" i="10"/>
  <c r="BD443" i="10"/>
  <c r="BB443" i="10"/>
  <c r="CD133" i="10"/>
  <c r="CC132" i="10"/>
  <c r="CE132" i="10"/>
  <c r="AS444" i="10"/>
  <c r="AU444" i="10"/>
  <c r="AT445" i="10"/>
  <c r="P119" i="11"/>
  <c r="V119" i="11"/>
  <c r="D136" i="5"/>
  <c r="G136" i="5" s="1"/>
  <c r="AC135" i="5"/>
  <c r="F135" i="5"/>
  <c r="O135" i="5" s="1"/>
  <c r="E135" i="5"/>
  <c r="L135" i="5" s="1"/>
  <c r="AI135" i="5"/>
  <c r="Q120" i="11"/>
  <c r="O120" i="11"/>
  <c r="N120" i="11"/>
  <c r="D120" i="11"/>
  <c r="B121" i="11"/>
  <c r="R120" i="11"/>
  <c r="U120" i="11"/>
  <c r="T120" i="11"/>
  <c r="AJ133" i="5"/>
  <c r="J127" i="16" l="1"/>
  <c r="K126" i="16"/>
  <c r="G126" i="16" s="1"/>
  <c r="L126" i="16"/>
  <c r="H133" i="16"/>
  <c r="P135" i="5"/>
  <c r="AE135" i="5"/>
  <c r="AK135" i="5"/>
  <c r="AL134" i="5" s="1"/>
  <c r="V120" i="11"/>
  <c r="AG136" i="5"/>
  <c r="H136" i="5"/>
  <c r="AA136" i="5"/>
  <c r="I136" i="5"/>
  <c r="N136" i="5" s="1"/>
  <c r="J135" i="5"/>
  <c r="K135" i="5"/>
  <c r="M135" i="5" s="1"/>
  <c r="AH134" i="5"/>
  <c r="DO132" i="10"/>
  <c r="DM132" i="10"/>
  <c r="DN133" i="10"/>
  <c r="CC443" i="10"/>
  <c r="CE443" i="10"/>
  <c r="CD444" i="10"/>
  <c r="BD132" i="10"/>
  <c r="BC133" i="10"/>
  <c r="BB132" i="10"/>
  <c r="DX132" i="10"/>
  <c r="DW133" i="10"/>
  <c r="DV132" i="10"/>
  <c r="CL132" i="10"/>
  <c r="CN132" i="10"/>
  <c r="CM133" i="10"/>
  <c r="CM444" i="10"/>
  <c r="CN443" i="10"/>
  <c r="CL443" i="10"/>
  <c r="AT136" i="10"/>
  <c r="AU135" i="10"/>
  <c r="AS135" i="10"/>
  <c r="CE133" i="10"/>
  <c r="CC133" i="10"/>
  <c r="CD134" i="10"/>
  <c r="BC445" i="10"/>
  <c r="BB444" i="10"/>
  <c r="BD444" i="10"/>
  <c r="U121" i="11"/>
  <c r="O121" i="11"/>
  <c r="R121" i="11"/>
  <c r="B122" i="11"/>
  <c r="Q121" i="11"/>
  <c r="T121" i="11"/>
  <c r="N121" i="11"/>
  <c r="D121" i="11"/>
  <c r="P120" i="11"/>
  <c r="S120" i="11"/>
  <c r="AJ134" i="5"/>
  <c r="D137" i="5"/>
  <c r="G137" i="5" s="1"/>
  <c r="F136" i="5"/>
  <c r="O136" i="5" s="1"/>
  <c r="E136" i="5"/>
  <c r="L136" i="5" s="1"/>
  <c r="AI136" i="5"/>
  <c r="AC136" i="5"/>
  <c r="AT446" i="10"/>
  <c r="AU445" i="10"/>
  <c r="AS445" i="10"/>
  <c r="J128" i="16" l="1"/>
  <c r="K127" i="16"/>
  <c r="G127" i="16" s="1"/>
  <c r="L127" i="16"/>
  <c r="H134" i="16"/>
  <c r="S121" i="11"/>
  <c r="V121" i="11"/>
  <c r="P136" i="5"/>
  <c r="AE136" i="5"/>
  <c r="AK136" i="5"/>
  <c r="AL135" i="5" s="1"/>
  <c r="I137" i="5"/>
  <c r="N137" i="5" s="1"/>
  <c r="AA137" i="5"/>
  <c r="AG137" i="5"/>
  <c r="H137" i="5"/>
  <c r="AH135" i="5"/>
  <c r="K136" i="5"/>
  <c r="M136" i="5" s="1"/>
  <c r="J136" i="5"/>
  <c r="DN134" i="10"/>
  <c r="DO133" i="10"/>
  <c r="DM133" i="10"/>
  <c r="CD445" i="10"/>
  <c r="CC444" i="10"/>
  <c r="CE444" i="10"/>
  <c r="CN444" i="10"/>
  <c r="CM445" i="10"/>
  <c r="CL444" i="10"/>
  <c r="BD133" i="10"/>
  <c r="BC134" i="10"/>
  <c r="BB133" i="10"/>
  <c r="CM134" i="10"/>
  <c r="CL133" i="10"/>
  <c r="CN133" i="10"/>
  <c r="DX133" i="10"/>
  <c r="DW134" i="10"/>
  <c r="DV133" i="10"/>
  <c r="AU136" i="10"/>
  <c r="AS136" i="10"/>
  <c r="AT137" i="10"/>
  <c r="CE134" i="10"/>
  <c r="CD135" i="10"/>
  <c r="CC134" i="10"/>
  <c r="P121" i="11"/>
  <c r="BC446" i="10"/>
  <c r="BB445" i="10"/>
  <c r="BD445" i="10"/>
  <c r="AJ135" i="5"/>
  <c r="AU446" i="10"/>
  <c r="AT447" i="10"/>
  <c r="AS446" i="10"/>
  <c r="D138" i="5"/>
  <c r="G138" i="5" s="1"/>
  <c r="F137" i="5"/>
  <c r="O137" i="5" s="1"/>
  <c r="AI137" i="5"/>
  <c r="E137" i="5"/>
  <c r="L137" i="5" s="1"/>
  <c r="AC137" i="5"/>
  <c r="Q122" i="11"/>
  <c r="R122" i="11"/>
  <c r="O122" i="11"/>
  <c r="N122" i="11"/>
  <c r="B123" i="11"/>
  <c r="D122" i="11"/>
  <c r="T122" i="11"/>
  <c r="U122" i="11"/>
  <c r="J129" i="16" l="1"/>
  <c r="L128" i="16"/>
  <c r="K128" i="16"/>
  <c r="G128" i="16" s="1"/>
  <c r="H135" i="16"/>
  <c r="P137" i="5"/>
  <c r="AE137" i="5"/>
  <c r="AH136" i="5"/>
  <c r="AK137" i="5"/>
  <c r="AL136" i="5" s="1"/>
  <c r="I138" i="5"/>
  <c r="N138" i="5" s="1"/>
  <c r="AG138" i="5"/>
  <c r="H138" i="5"/>
  <c r="AA138" i="5"/>
  <c r="J137" i="5"/>
  <c r="K137" i="5"/>
  <c r="M137" i="5" s="1"/>
  <c r="DO134" i="10"/>
  <c r="DM134" i="10"/>
  <c r="DN135" i="10"/>
  <c r="CD446" i="10"/>
  <c r="CC445" i="10"/>
  <c r="CE445" i="10"/>
  <c r="CL445" i="10"/>
  <c r="CM446" i="10"/>
  <c r="CN445" i="10"/>
  <c r="DX134" i="10"/>
  <c r="DW135" i="10"/>
  <c r="DV134" i="10"/>
  <c r="CL134" i="10"/>
  <c r="CN134" i="10"/>
  <c r="CM135" i="10"/>
  <c r="BB134" i="10"/>
  <c r="BD134" i="10"/>
  <c r="BC135" i="10"/>
  <c r="AT138" i="10"/>
  <c r="AU137" i="10"/>
  <c r="AS137" i="10"/>
  <c r="V122" i="11"/>
  <c r="S122" i="11"/>
  <c r="BD446" i="10"/>
  <c r="BC447" i="10"/>
  <c r="BB446" i="10"/>
  <c r="CC135" i="10"/>
  <c r="CD136" i="10"/>
  <c r="CE135" i="10"/>
  <c r="N123" i="11"/>
  <c r="D123" i="11"/>
  <c r="T123" i="11"/>
  <c r="R123" i="11"/>
  <c r="B124" i="11"/>
  <c r="Q123" i="11"/>
  <c r="U123" i="11"/>
  <c r="O123" i="11"/>
  <c r="P122" i="11"/>
  <c r="AJ136" i="5"/>
  <c r="AS447" i="10"/>
  <c r="AT448" i="10"/>
  <c r="AU447" i="10"/>
  <c r="D139" i="5"/>
  <c r="G139" i="5" s="1"/>
  <c r="AI138" i="5"/>
  <c r="AC138" i="5"/>
  <c r="E138" i="5"/>
  <c r="L138" i="5" s="1"/>
  <c r="F138" i="5"/>
  <c r="O138" i="5" s="1"/>
  <c r="J130" i="16" l="1"/>
  <c r="K129" i="16"/>
  <c r="G129" i="16" s="1"/>
  <c r="L129" i="16"/>
  <c r="H136" i="16"/>
  <c r="S123" i="11"/>
  <c r="P138" i="5"/>
  <c r="AE138" i="5"/>
  <c r="H139" i="5"/>
  <c r="I139" i="5"/>
  <c r="N139" i="5" s="1"/>
  <c r="AA139" i="5"/>
  <c r="AG139" i="5"/>
  <c r="AH137" i="5"/>
  <c r="AK138" i="5"/>
  <c r="AL137" i="5" s="1"/>
  <c r="K138" i="5"/>
  <c r="M138" i="5" s="1"/>
  <c r="J138" i="5"/>
  <c r="DN136" i="10"/>
  <c r="DM135" i="10"/>
  <c r="DO135" i="10"/>
  <c r="CE446" i="10"/>
  <c r="CD447" i="10"/>
  <c r="CC446" i="10"/>
  <c r="BD135" i="10"/>
  <c r="BB135" i="10"/>
  <c r="BC136" i="10"/>
  <c r="CN446" i="10"/>
  <c r="CM447" i="10"/>
  <c r="CL446" i="10"/>
  <c r="CL135" i="10"/>
  <c r="CM136" i="10"/>
  <c r="CN135" i="10"/>
  <c r="DX135" i="10"/>
  <c r="DV135" i="10"/>
  <c r="DW136" i="10"/>
  <c r="AS138" i="10"/>
  <c r="AT139" i="10"/>
  <c r="AU138" i="10"/>
  <c r="CD137" i="10"/>
  <c r="CC136" i="10"/>
  <c r="CE136" i="10"/>
  <c r="BC448" i="10"/>
  <c r="BB447" i="10"/>
  <c r="BD447" i="10"/>
  <c r="D140" i="5"/>
  <c r="G140" i="5" s="1"/>
  <c r="F139" i="5"/>
  <c r="O139" i="5" s="1"/>
  <c r="E139" i="5"/>
  <c r="L139" i="5" s="1"/>
  <c r="AI139" i="5"/>
  <c r="AC139" i="5"/>
  <c r="AS448" i="10"/>
  <c r="AU448" i="10"/>
  <c r="AT449" i="10"/>
  <c r="O124" i="11"/>
  <c r="U124" i="11"/>
  <c r="T124" i="11"/>
  <c r="Q124" i="11"/>
  <c r="N124" i="11"/>
  <c r="D124" i="11"/>
  <c r="B125" i="11"/>
  <c r="R124" i="11"/>
  <c r="V123" i="11"/>
  <c r="P123" i="11"/>
  <c r="AJ137" i="5"/>
  <c r="J131" i="16" l="1"/>
  <c r="K130" i="16"/>
  <c r="G130" i="16" s="1"/>
  <c r="L130" i="16"/>
  <c r="H137" i="16"/>
  <c r="P124" i="11"/>
  <c r="V124" i="11"/>
  <c r="AE139" i="5"/>
  <c r="H140" i="5"/>
  <c r="AG140" i="5"/>
  <c r="AH139" i="5" s="1"/>
  <c r="I140" i="5"/>
  <c r="N140" i="5" s="1"/>
  <c r="AA140" i="5"/>
  <c r="P139" i="5"/>
  <c r="AH138" i="5"/>
  <c r="K139" i="5"/>
  <c r="M139" i="5" s="1"/>
  <c r="J139" i="5"/>
  <c r="DN137" i="10"/>
  <c r="DO136" i="10"/>
  <c r="DM136" i="10"/>
  <c r="CE447" i="10"/>
  <c r="CC447" i="10"/>
  <c r="CD448" i="10"/>
  <c r="CN447" i="10"/>
  <c r="CM448" i="10"/>
  <c r="CL447" i="10"/>
  <c r="BD136" i="10"/>
  <c r="BB136" i="10"/>
  <c r="BC137" i="10"/>
  <c r="DW137" i="10"/>
  <c r="DV136" i="10"/>
  <c r="DX136" i="10"/>
  <c r="CN136" i="10"/>
  <c r="CM137" i="10"/>
  <c r="CL136" i="10"/>
  <c r="AJ138" i="5"/>
  <c r="AK139" i="5"/>
  <c r="AU139" i="10"/>
  <c r="AS139" i="10"/>
  <c r="AT140" i="10"/>
  <c r="BD448" i="10"/>
  <c r="BB448" i="10"/>
  <c r="BC449" i="10"/>
  <c r="CE137" i="10"/>
  <c r="CC137" i="10"/>
  <c r="CD138" i="10"/>
  <c r="S124" i="11"/>
  <c r="B126" i="11"/>
  <c r="Q125" i="11"/>
  <c r="D125" i="11"/>
  <c r="U125" i="11"/>
  <c r="T125" i="11"/>
  <c r="O125" i="11"/>
  <c r="N125" i="11"/>
  <c r="R125" i="11"/>
  <c r="AU449" i="10"/>
  <c r="AS449" i="10"/>
  <c r="AT450" i="10"/>
  <c r="D141" i="5"/>
  <c r="G141" i="5" s="1"/>
  <c r="E140" i="5"/>
  <c r="L140" i="5" s="1"/>
  <c r="F140" i="5"/>
  <c r="O140" i="5" s="1"/>
  <c r="AI140" i="5"/>
  <c r="AC140" i="5"/>
  <c r="J132" i="16" l="1"/>
  <c r="K131" i="16"/>
  <c r="G131" i="16" s="1"/>
  <c r="L131" i="16"/>
  <c r="H138" i="16"/>
  <c r="AK140" i="5"/>
  <c r="AL139" i="5" s="1"/>
  <c r="AE140" i="5"/>
  <c r="K140" i="5"/>
  <c r="M140" i="5" s="1"/>
  <c r="J140" i="5"/>
  <c r="P140" i="5"/>
  <c r="AG141" i="5"/>
  <c r="I141" i="5"/>
  <c r="N141" i="5" s="1"/>
  <c r="H141" i="5"/>
  <c r="AA141" i="5"/>
  <c r="DM137" i="10"/>
  <c r="DN138" i="10"/>
  <c r="DO137" i="10"/>
  <c r="CD449" i="10"/>
  <c r="CE448" i="10"/>
  <c r="CC448" i="10"/>
  <c r="CM138" i="10"/>
  <c r="CL137" i="10"/>
  <c r="CN137" i="10"/>
  <c r="DX137" i="10"/>
  <c r="DV137" i="10"/>
  <c r="DW138" i="10"/>
  <c r="BB137" i="10"/>
  <c r="BC138" i="10"/>
  <c r="BD137" i="10"/>
  <c r="CL448" i="10"/>
  <c r="CM449" i="10"/>
  <c r="CN448" i="10"/>
  <c r="AL138" i="5"/>
  <c r="AU140" i="10"/>
  <c r="AT141" i="10"/>
  <c r="AS140" i="10"/>
  <c r="CE138" i="10"/>
  <c r="CC138" i="10"/>
  <c r="CD139" i="10"/>
  <c r="BB449" i="10"/>
  <c r="BD449" i="10"/>
  <c r="BC450" i="10"/>
  <c r="AJ139" i="5"/>
  <c r="AU450" i="10"/>
  <c r="AT451" i="10"/>
  <c r="AS450" i="10"/>
  <c r="P125" i="11"/>
  <c r="V125" i="11"/>
  <c r="Q126" i="11"/>
  <c r="U126" i="11"/>
  <c r="R126" i="11"/>
  <c r="B127" i="11"/>
  <c r="T126" i="11"/>
  <c r="D126" i="11"/>
  <c r="N126" i="11"/>
  <c r="O126" i="11"/>
  <c r="D142" i="5"/>
  <c r="G142" i="5" s="1"/>
  <c r="E141" i="5"/>
  <c r="L141" i="5" s="1"/>
  <c r="AI141" i="5"/>
  <c r="F141" i="5"/>
  <c r="O141" i="5" s="1"/>
  <c r="AC141" i="5"/>
  <c r="S125" i="11"/>
  <c r="J133" i="16" l="1"/>
  <c r="L132" i="16"/>
  <c r="K132" i="16"/>
  <c r="G132" i="16" s="1"/>
  <c r="H139" i="16"/>
  <c r="P141" i="5"/>
  <c r="AE141" i="5"/>
  <c r="AA142" i="5"/>
  <c r="AG142" i="5"/>
  <c r="I142" i="5"/>
  <c r="N142" i="5" s="1"/>
  <c r="H142" i="5"/>
  <c r="K141" i="5"/>
  <c r="M141" i="5" s="1"/>
  <c r="J141" i="5"/>
  <c r="AH140" i="5"/>
  <c r="DO138" i="10"/>
  <c r="DN139" i="10"/>
  <c r="DM138" i="10"/>
  <c r="CD450" i="10"/>
  <c r="CC449" i="10"/>
  <c r="CE449" i="10"/>
  <c r="BD138" i="10"/>
  <c r="BC139" i="10"/>
  <c r="BB138" i="10"/>
  <c r="DV138" i="10"/>
  <c r="DX138" i="10"/>
  <c r="DW139" i="10"/>
  <c r="CN449" i="10"/>
  <c r="CM450" i="10"/>
  <c r="CL449" i="10"/>
  <c r="CN138" i="10"/>
  <c r="CM139" i="10"/>
  <c r="CL138" i="10"/>
  <c r="AJ140" i="5"/>
  <c r="AK141" i="5"/>
  <c r="AU141" i="10"/>
  <c r="AT142" i="10"/>
  <c r="AS141" i="10"/>
  <c r="CC139" i="10"/>
  <c r="CD140" i="10"/>
  <c r="CE139" i="10"/>
  <c r="BD450" i="10"/>
  <c r="BC451" i="10"/>
  <c r="BB450" i="10"/>
  <c r="D143" i="5"/>
  <c r="G143" i="5" s="1"/>
  <c r="E142" i="5"/>
  <c r="L142" i="5" s="1"/>
  <c r="AC142" i="5"/>
  <c r="AI142" i="5"/>
  <c r="F142" i="5"/>
  <c r="O142" i="5" s="1"/>
  <c r="P126" i="11"/>
  <c r="V126" i="11"/>
  <c r="S126" i="11"/>
  <c r="Q127" i="11"/>
  <c r="T127" i="11"/>
  <c r="R127" i="11"/>
  <c r="B128" i="11"/>
  <c r="N127" i="11"/>
  <c r="O127" i="11"/>
  <c r="U127" i="11"/>
  <c r="D127" i="11"/>
  <c r="AS451" i="10"/>
  <c r="AT452" i="10"/>
  <c r="AU451" i="10"/>
  <c r="J134" i="16" l="1"/>
  <c r="L133" i="16"/>
  <c r="K133" i="16"/>
  <c r="G133" i="16" s="1"/>
  <c r="H140" i="16"/>
  <c r="P142" i="5"/>
  <c r="AE142" i="5"/>
  <c r="AG143" i="5"/>
  <c r="AH142" i="5" s="1"/>
  <c r="H143" i="5"/>
  <c r="I143" i="5"/>
  <c r="N143" i="5" s="1"/>
  <c r="AA143" i="5"/>
  <c r="K142" i="5"/>
  <c r="M142" i="5" s="1"/>
  <c r="J142" i="5"/>
  <c r="AH141" i="5"/>
  <c r="V127" i="11"/>
  <c r="DN140" i="10"/>
  <c r="DM139" i="10"/>
  <c r="DO139" i="10"/>
  <c r="CE450" i="10"/>
  <c r="CD451" i="10"/>
  <c r="CC450" i="10"/>
  <c r="CN450" i="10"/>
  <c r="CM451" i="10"/>
  <c r="CL450" i="10"/>
  <c r="DX139" i="10"/>
  <c r="DW140" i="10"/>
  <c r="DV139" i="10"/>
  <c r="BD139" i="10"/>
  <c r="BC140" i="10"/>
  <c r="BB139" i="10"/>
  <c r="CL139" i="10"/>
  <c r="CN139" i="10"/>
  <c r="CM140" i="10"/>
  <c r="AJ141" i="5"/>
  <c r="AK142" i="5"/>
  <c r="AL141" i="5" s="1"/>
  <c r="AL140" i="5"/>
  <c r="AS142" i="10"/>
  <c r="AU142" i="10"/>
  <c r="AT143" i="10"/>
  <c r="BC452" i="10"/>
  <c r="BD451" i="10"/>
  <c r="BB451" i="10"/>
  <c r="CE140" i="10"/>
  <c r="CC140" i="10"/>
  <c r="CD141" i="10"/>
  <c r="AU452" i="10"/>
  <c r="AS452" i="10"/>
  <c r="AT453" i="10"/>
  <c r="N128" i="11"/>
  <c r="D128" i="11"/>
  <c r="B129" i="11"/>
  <c r="R128" i="11"/>
  <c r="O128" i="11"/>
  <c r="U128" i="11"/>
  <c r="T128" i="11"/>
  <c r="Q128" i="11"/>
  <c r="D144" i="5"/>
  <c r="G144" i="5" s="1"/>
  <c r="AI143" i="5"/>
  <c r="AC143" i="5"/>
  <c r="E143" i="5"/>
  <c r="L143" i="5" s="1"/>
  <c r="F143" i="5"/>
  <c r="O143" i="5" s="1"/>
  <c r="P127" i="11"/>
  <c r="S127" i="11"/>
  <c r="J135" i="16" l="1"/>
  <c r="K134" i="16"/>
  <c r="G134" i="16" s="1"/>
  <c r="L134" i="16"/>
  <c r="H141" i="16"/>
  <c r="S128" i="11"/>
  <c r="P143" i="5"/>
  <c r="AK143" i="5"/>
  <c r="AL142" i="5" s="1"/>
  <c r="J143" i="5"/>
  <c r="K143" i="5"/>
  <c r="M143" i="5" s="1"/>
  <c r="AE143" i="5"/>
  <c r="H144" i="5"/>
  <c r="I144" i="5"/>
  <c r="N144" i="5" s="1"/>
  <c r="AG144" i="5"/>
  <c r="AA144" i="5"/>
  <c r="DO140" i="10"/>
  <c r="DM140" i="10"/>
  <c r="DN141" i="10"/>
  <c r="CC451" i="10"/>
  <c r="CD452" i="10"/>
  <c r="CE451" i="10"/>
  <c r="AJ142" i="5"/>
  <c r="CM141" i="10"/>
  <c r="CL140" i="10"/>
  <c r="CN140" i="10"/>
  <c r="BD140" i="10"/>
  <c r="BB140" i="10"/>
  <c r="BC141" i="10"/>
  <c r="CM452" i="10"/>
  <c r="CN451" i="10"/>
  <c r="CL451" i="10"/>
  <c r="DV140" i="10"/>
  <c r="DX140" i="10"/>
  <c r="DW141" i="10"/>
  <c r="AS143" i="10"/>
  <c r="AU143" i="10"/>
  <c r="AT144" i="10"/>
  <c r="V128" i="11"/>
  <c r="CE141" i="10"/>
  <c r="CD142" i="10"/>
  <c r="CC141" i="10"/>
  <c r="BB452" i="10"/>
  <c r="BD452" i="10"/>
  <c r="BC453" i="10"/>
  <c r="O129" i="11"/>
  <c r="N129" i="11"/>
  <c r="D129" i="11"/>
  <c r="B130" i="11"/>
  <c r="R129" i="11"/>
  <c r="Q129" i="11"/>
  <c r="T129" i="11"/>
  <c r="U129" i="11"/>
  <c r="P128" i="11"/>
  <c r="D145" i="5"/>
  <c r="G145" i="5" s="1"/>
  <c r="F144" i="5"/>
  <c r="O144" i="5" s="1"/>
  <c r="E144" i="5"/>
  <c r="L144" i="5" s="1"/>
  <c r="AC144" i="5"/>
  <c r="AI144" i="5"/>
  <c r="AS453" i="10"/>
  <c r="AT454" i="10"/>
  <c r="AU453" i="10"/>
  <c r="J136" i="16" l="1"/>
  <c r="K135" i="16"/>
  <c r="G135" i="16" s="1"/>
  <c r="L135" i="16"/>
  <c r="H142" i="16"/>
  <c r="AK144" i="5"/>
  <c r="AL143" i="5" s="1"/>
  <c r="P144" i="5"/>
  <c r="AE144" i="5"/>
  <c r="H145" i="5"/>
  <c r="AA145" i="5"/>
  <c r="AG145" i="5"/>
  <c r="I145" i="5"/>
  <c r="N145" i="5" s="1"/>
  <c r="S129" i="11"/>
  <c r="P129" i="11"/>
  <c r="AH143" i="5"/>
  <c r="K144" i="5"/>
  <c r="M144" i="5" s="1"/>
  <c r="J144" i="5"/>
  <c r="DO141" i="10"/>
  <c r="DM141" i="10"/>
  <c r="DN142" i="10"/>
  <c r="CD453" i="10"/>
  <c r="CC452" i="10"/>
  <c r="CE452" i="10"/>
  <c r="DW142" i="10"/>
  <c r="DV141" i="10"/>
  <c r="DX141" i="10"/>
  <c r="BD141" i="10"/>
  <c r="BC142" i="10"/>
  <c r="BB141" i="10"/>
  <c r="CN452" i="10"/>
  <c r="CM453" i="10"/>
  <c r="CL452" i="10"/>
  <c r="CL141" i="10"/>
  <c r="CM142" i="10"/>
  <c r="CN141" i="10"/>
  <c r="AS144" i="10"/>
  <c r="AU144" i="10"/>
  <c r="AT145" i="10"/>
  <c r="BC454" i="10"/>
  <c r="BD453" i="10"/>
  <c r="BB453" i="10"/>
  <c r="CC142" i="10"/>
  <c r="CE142" i="10"/>
  <c r="CD143" i="10"/>
  <c r="AJ143" i="5"/>
  <c r="D146" i="5"/>
  <c r="G146" i="5" s="1"/>
  <c r="AC145" i="5"/>
  <c r="E145" i="5"/>
  <c r="L145" i="5" s="1"/>
  <c r="F145" i="5"/>
  <c r="O145" i="5" s="1"/>
  <c r="AI145" i="5"/>
  <c r="V129" i="11"/>
  <c r="AT455" i="10"/>
  <c r="AU454" i="10"/>
  <c r="AS454" i="10"/>
  <c r="U130" i="11"/>
  <c r="R130" i="11"/>
  <c r="B131" i="11"/>
  <c r="Q130" i="11"/>
  <c r="T130" i="11"/>
  <c r="D130" i="11"/>
  <c r="N130" i="11"/>
  <c r="O130" i="11"/>
  <c r="P130" i="11" l="1"/>
  <c r="J137" i="16"/>
  <c r="K136" i="16"/>
  <c r="G136" i="16" s="1"/>
  <c r="L136" i="16"/>
  <c r="H143" i="16"/>
  <c r="V130" i="11"/>
  <c r="S130" i="11"/>
  <c r="AE145" i="5"/>
  <c r="P145" i="5"/>
  <c r="AH144" i="5"/>
  <c r="J145" i="5"/>
  <c r="K145" i="5"/>
  <c r="M145" i="5" s="1"/>
  <c r="I146" i="5"/>
  <c r="N146" i="5" s="1"/>
  <c r="AG146" i="5"/>
  <c r="H146" i="5"/>
  <c r="AA146" i="5"/>
  <c r="DN143" i="10"/>
  <c r="DM142" i="10"/>
  <c r="DO142" i="10"/>
  <c r="CD454" i="10"/>
  <c r="CC453" i="10"/>
  <c r="CE453" i="10"/>
  <c r="CM454" i="10"/>
  <c r="CL453" i="10"/>
  <c r="CN453" i="10"/>
  <c r="CM143" i="10"/>
  <c r="CL142" i="10"/>
  <c r="CN142" i="10"/>
  <c r="BC143" i="10"/>
  <c r="BD142" i="10"/>
  <c r="BB142" i="10"/>
  <c r="DX142" i="10"/>
  <c r="DV142" i="10"/>
  <c r="DW143" i="10"/>
  <c r="AJ144" i="5"/>
  <c r="AK145" i="5"/>
  <c r="AT146" i="10"/>
  <c r="AU145" i="10"/>
  <c r="AS145" i="10"/>
  <c r="CC143" i="10"/>
  <c r="CD144" i="10"/>
  <c r="CE143" i="10"/>
  <c r="BB454" i="10"/>
  <c r="BC455" i="10"/>
  <c r="BD454" i="10"/>
  <c r="Q131" i="11"/>
  <c r="B132" i="11"/>
  <c r="R131" i="11"/>
  <c r="T131" i="11"/>
  <c r="O131" i="11"/>
  <c r="U131" i="11"/>
  <c r="D131" i="11"/>
  <c r="N131" i="11"/>
  <c r="AS455" i="10"/>
  <c r="AT456" i="10"/>
  <c r="AU455" i="10"/>
  <c r="D147" i="5"/>
  <c r="G147" i="5" s="1"/>
  <c r="AI146" i="5"/>
  <c r="E146" i="5"/>
  <c r="L146" i="5" s="1"/>
  <c r="AC146" i="5"/>
  <c r="F146" i="5"/>
  <c r="O146" i="5" s="1"/>
  <c r="J138" i="16" l="1"/>
  <c r="K137" i="16"/>
  <c r="G137" i="16" s="1"/>
  <c r="L137" i="16"/>
  <c r="H144" i="16"/>
  <c r="P146" i="5"/>
  <c r="AE146" i="5"/>
  <c r="AK146" i="5"/>
  <c r="AL145" i="5" s="1"/>
  <c r="H147" i="5"/>
  <c r="AA147" i="5"/>
  <c r="I147" i="5"/>
  <c r="N147" i="5" s="1"/>
  <c r="AG147" i="5"/>
  <c r="AH146" i="5" s="1"/>
  <c r="J146" i="5"/>
  <c r="K146" i="5"/>
  <c r="M146" i="5" s="1"/>
  <c r="AH145" i="5"/>
  <c r="DN144" i="10"/>
  <c r="DO143" i="10"/>
  <c r="DM143" i="10"/>
  <c r="CC454" i="10"/>
  <c r="CD455" i="10"/>
  <c r="CE454" i="10"/>
  <c r="AJ145" i="5"/>
  <c r="DX143" i="10"/>
  <c r="DW144" i="10"/>
  <c r="DV143" i="10"/>
  <c r="CN143" i="10"/>
  <c r="CM144" i="10"/>
  <c r="CL143" i="10"/>
  <c r="BC144" i="10"/>
  <c r="BD143" i="10"/>
  <c r="BB143" i="10"/>
  <c r="CN454" i="10"/>
  <c r="CL454" i="10"/>
  <c r="CM455" i="10"/>
  <c r="AL144" i="5"/>
  <c r="AS146" i="10"/>
  <c r="AU146" i="10"/>
  <c r="AT147" i="10"/>
  <c r="BB455" i="10"/>
  <c r="BC456" i="10"/>
  <c r="BD455" i="10"/>
  <c r="CE144" i="10"/>
  <c r="CC144" i="10"/>
  <c r="CD145" i="10"/>
  <c r="S131" i="11"/>
  <c r="D148" i="5"/>
  <c r="G148" i="5" s="1"/>
  <c r="AI147" i="5"/>
  <c r="E147" i="5"/>
  <c r="L147" i="5" s="1"/>
  <c r="F147" i="5"/>
  <c r="O147" i="5" s="1"/>
  <c r="AC147" i="5"/>
  <c r="AS456" i="10"/>
  <c r="AT457" i="10"/>
  <c r="AU456" i="10"/>
  <c r="P131" i="11"/>
  <c r="V131" i="11"/>
  <c r="Q132" i="11"/>
  <c r="R132" i="11"/>
  <c r="U132" i="11"/>
  <c r="T132" i="11"/>
  <c r="N132" i="11"/>
  <c r="D132" i="11"/>
  <c r="O132" i="11"/>
  <c r="B133" i="11"/>
  <c r="J139" i="16" l="1"/>
  <c r="K138" i="16"/>
  <c r="G138" i="16" s="1"/>
  <c r="L138" i="16"/>
  <c r="H145" i="16"/>
  <c r="S132" i="11"/>
  <c r="AE147" i="5"/>
  <c r="AK147" i="5"/>
  <c r="AL146" i="5" s="1"/>
  <c r="H148" i="5"/>
  <c r="AG148" i="5"/>
  <c r="AA148" i="5"/>
  <c r="I148" i="5"/>
  <c r="N148" i="5" s="1"/>
  <c r="K147" i="5"/>
  <c r="M147" i="5" s="1"/>
  <c r="J147" i="5"/>
  <c r="P147" i="5"/>
  <c r="DO144" i="10"/>
  <c r="DN145" i="10"/>
  <c r="DM144" i="10"/>
  <c r="CD456" i="10"/>
  <c r="CC455" i="10"/>
  <c r="CE455" i="10"/>
  <c r="CL455" i="10"/>
  <c r="CN455" i="10"/>
  <c r="CM456" i="10"/>
  <c r="DX144" i="10"/>
  <c r="DW145" i="10"/>
  <c r="DV144" i="10"/>
  <c r="BC145" i="10"/>
  <c r="BD144" i="10"/>
  <c r="BB144" i="10"/>
  <c r="CM145" i="10"/>
  <c r="CL144" i="10"/>
  <c r="CN144" i="10"/>
  <c r="AS147" i="10"/>
  <c r="AT148" i="10"/>
  <c r="AU147" i="10"/>
  <c r="CE145" i="10"/>
  <c r="CD146" i="10"/>
  <c r="CC145" i="10"/>
  <c r="BB456" i="10"/>
  <c r="BD456" i="10"/>
  <c r="BC457" i="10"/>
  <c r="P132" i="11"/>
  <c r="N133" i="11"/>
  <c r="D133" i="11"/>
  <c r="B134" i="11"/>
  <c r="Q133" i="11"/>
  <c r="R133" i="11"/>
  <c r="U133" i="11"/>
  <c r="T133" i="11"/>
  <c r="O133" i="11"/>
  <c r="V132" i="11"/>
  <c r="AU457" i="10"/>
  <c r="AT458" i="10"/>
  <c r="AS457" i="10"/>
  <c r="AJ146" i="5"/>
  <c r="D149" i="5"/>
  <c r="G149" i="5" s="1"/>
  <c r="F148" i="5"/>
  <c r="O148" i="5" s="1"/>
  <c r="E148" i="5"/>
  <c r="L148" i="5" s="1"/>
  <c r="AC148" i="5"/>
  <c r="AI148" i="5"/>
  <c r="J140" i="16" l="1"/>
  <c r="K139" i="16"/>
  <c r="G139" i="16" s="1"/>
  <c r="L139" i="16"/>
  <c r="H146" i="16"/>
  <c r="P148" i="5"/>
  <c r="H149" i="5"/>
  <c r="AA149" i="5"/>
  <c r="I149" i="5"/>
  <c r="N149" i="5" s="1"/>
  <c r="AG149" i="5"/>
  <c r="K148" i="5"/>
  <c r="M148" i="5" s="1"/>
  <c r="J148" i="5"/>
  <c r="AE148" i="5"/>
  <c r="AH147" i="5"/>
  <c r="DO145" i="10"/>
  <c r="DM145" i="10"/>
  <c r="DN146" i="10"/>
  <c r="CD457" i="10"/>
  <c r="CE456" i="10"/>
  <c r="CC456" i="10"/>
  <c r="CN145" i="10"/>
  <c r="CL145" i="10"/>
  <c r="CM146" i="10"/>
  <c r="BD145" i="10"/>
  <c r="BC146" i="10"/>
  <c r="BB145" i="10"/>
  <c r="DW146" i="10"/>
  <c r="DX145" i="10"/>
  <c r="DV145" i="10"/>
  <c r="CL456" i="10"/>
  <c r="CN456" i="10"/>
  <c r="CM457" i="10"/>
  <c r="AJ147" i="5"/>
  <c r="AK148" i="5"/>
  <c r="AS148" i="10"/>
  <c r="AU148" i="10"/>
  <c r="AT149" i="10"/>
  <c r="CE146" i="10"/>
  <c r="CC146" i="10"/>
  <c r="CD147" i="10"/>
  <c r="V133" i="11"/>
  <c r="BC458" i="10"/>
  <c r="BD457" i="10"/>
  <c r="BB457" i="10"/>
  <c r="Q134" i="11"/>
  <c r="R134" i="11"/>
  <c r="O134" i="11"/>
  <c r="N134" i="11"/>
  <c r="P134" i="11" s="1"/>
  <c r="U134" i="11"/>
  <c r="B135" i="11"/>
  <c r="T134" i="11"/>
  <c r="D134" i="11"/>
  <c r="P133" i="11"/>
  <c r="D150" i="5"/>
  <c r="G150" i="5" s="1"/>
  <c r="AI149" i="5"/>
  <c r="F149" i="5"/>
  <c r="O149" i="5" s="1"/>
  <c r="E149" i="5"/>
  <c r="L149" i="5" s="1"/>
  <c r="AC149" i="5"/>
  <c r="AT459" i="10"/>
  <c r="AS458" i="10"/>
  <c r="AU458" i="10"/>
  <c r="S133" i="11"/>
  <c r="J141" i="16" l="1"/>
  <c r="L140" i="16"/>
  <c r="K140" i="16"/>
  <c r="G140" i="16" s="1"/>
  <c r="H147" i="16"/>
  <c r="V134" i="11"/>
  <c r="AE149" i="5"/>
  <c r="P149" i="5"/>
  <c r="H150" i="5"/>
  <c r="I150" i="5"/>
  <c r="N150" i="5" s="1"/>
  <c r="AG150" i="5"/>
  <c r="AA150" i="5"/>
  <c r="J149" i="5"/>
  <c r="K149" i="5"/>
  <c r="M149" i="5" s="1"/>
  <c r="AH148" i="5"/>
  <c r="DN147" i="10"/>
  <c r="DM146" i="10"/>
  <c r="DO146" i="10"/>
  <c r="CE457" i="10"/>
  <c r="CD458" i="10"/>
  <c r="CC457" i="10"/>
  <c r="CL457" i="10"/>
  <c r="CM458" i="10"/>
  <c r="CN457" i="10"/>
  <c r="DX146" i="10"/>
  <c r="DV146" i="10"/>
  <c r="DW147" i="10"/>
  <c r="BB146" i="10"/>
  <c r="BC147" i="10"/>
  <c r="BD146" i="10"/>
  <c r="CN146" i="10"/>
  <c r="CM147" i="10"/>
  <c r="CL146" i="10"/>
  <c r="AJ148" i="5"/>
  <c r="AK149" i="5"/>
  <c r="AL148" i="5" s="1"/>
  <c r="AL147" i="5"/>
  <c r="AS149" i="10"/>
  <c r="AU149" i="10"/>
  <c r="AT150" i="10"/>
  <c r="BC459" i="10"/>
  <c r="BD458" i="10"/>
  <c r="BB458" i="10"/>
  <c r="CC147" i="10"/>
  <c r="CE147" i="10"/>
  <c r="CD148" i="10"/>
  <c r="AU459" i="10"/>
  <c r="AT460" i="10"/>
  <c r="AS459" i="10"/>
  <c r="T135" i="11"/>
  <c r="Q135" i="11"/>
  <c r="O135" i="11"/>
  <c r="N135" i="11"/>
  <c r="P135" i="11" s="1"/>
  <c r="B136" i="11"/>
  <c r="D135" i="11"/>
  <c r="U135" i="11"/>
  <c r="R135" i="11"/>
  <c r="D151" i="5"/>
  <c r="G151" i="5" s="1"/>
  <c r="AC150" i="5"/>
  <c r="F150" i="5"/>
  <c r="O150" i="5" s="1"/>
  <c r="E150" i="5"/>
  <c r="L150" i="5" s="1"/>
  <c r="AI150" i="5"/>
  <c r="S134" i="11"/>
  <c r="J142" i="16" l="1"/>
  <c r="L141" i="16"/>
  <c r="K141" i="16"/>
  <c r="G141" i="16" s="1"/>
  <c r="H148" i="16"/>
  <c r="AK150" i="5"/>
  <c r="AL149" i="5" s="1"/>
  <c r="AE150" i="5"/>
  <c r="P150" i="5"/>
  <c r="AA151" i="5"/>
  <c r="H151" i="5"/>
  <c r="AG151" i="5"/>
  <c r="I151" i="5"/>
  <c r="N151" i="5" s="1"/>
  <c r="AH149" i="5"/>
  <c r="J150" i="5"/>
  <c r="K150" i="5"/>
  <c r="M150" i="5" s="1"/>
  <c r="DN148" i="10"/>
  <c r="DO147" i="10"/>
  <c r="DM147" i="10"/>
  <c r="CD459" i="10"/>
  <c r="CC458" i="10"/>
  <c r="CE458" i="10"/>
  <c r="BC148" i="10"/>
  <c r="BD147" i="10"/>
  <c r="BB147" i="10"/>
  <c r="DV147" i="10"/>
  <c r="DX147" i="10"/>
  <c r="DW148" i="10"/>
  <c r="CL458" i="10"/>
  <c r="CN458" i="10"/>
  <c r="CM459" i="10"/>
  <c r="CL147" i="10"/>
  <c r="CM148" i="10"/>
  <c r="CN147" i="10"/>
  <c r="AU150" i="10"/>
  <c r="AT151" i="10"/>
  <c r="AS150" i="10"/>
  <c r="CC148" i="10"/>
  <c r="CE148" i="10"/>
  <c r="CD149" i="10"/>
  <c r="BB459" i="10"/>
  <c r="BD459" i="10"/>
  <c r="BC460" i="10"/>
  <c r="D152" i="5"/>
  <c r="G152" i="5" s="1"/>
  <c r="AI151" i="5"/>
  <c r="E151" i="5"/>
  <c r="L151" i="5" s="1"/>
  <c r="AC151" i="5"/>
  <c r="F151" i="5"/>
  <c r="O151" i="5" s="1"/>
  <c r="T136" i="11"/>
  <c r="U136" i="11"/>
  <c r="B137" i="11"/>
  <c r="D136" i="11"/>
  <c r="Q136" i="11"/>
  <c r="N136" i="11"/>
  <c r="O136" i="11"/>
  <c r="R136" i="11"/>
  <c r="V135" i="11"/>
  <c r="AJ149" i="5"/>
  <c r="AT461" i="10"/>
  <c r="AU460" i="10"/>
  <c r="AS460" i="10"/>
  <c r="S135" i="11"/>
  <c r="J143" i="16" l="1"/>
  <c r="K142" i="16"/>
  <c r="G142" i="16" s="1"/>
  <c r="L142" i="16"/>
  <c r="H149" i="16"/>
  <c r="V136" i="11"/>
  <c r="AK151" i="5"/>
  <c r="AL150" i="5" s="1"/>
  <c r="AE151" i="5"/>
  <c r="J151" i="5"/>
  <c r="K151" i="5"/>
  <c r="M151" i="5" s="1"/>
  <c r="P151" i="5"/>
  <c r="AG152" i="5"/>
  <c r="H152" i="5"/>
  <c r="I152" i="5"/>
  <c r="N152" i="5" s="1"/>
  <c r="AA152" i="5"/>
  <c r="AH150" i="5"/>
  <c r="AJ150" i="5"/>
  <c r="DM148" i="10"/>
  <c r="DO148" i="10"/>
  <c r="DN149" i="10"/>
  <c r="CE459" i="10"/>
  <c r="CD460" i="10"/>
  <c r="CC459" i="10"/>
  <c r="DX148" i="10"/>
  <c r="DW149" i="10"/>
  <c r="DV148" i="10"/>
  <c r="CM149" i="10"/>
  <c r="CN148" i="10"/>
  <c r="CL148" i="10"/>
  <c r="CM460" i="10"/>
  <c r="CL459" i="10"/>
  <c r="CN459" i="10"/>
  <c r="BC149" i="10"/>
  <c r="BB148" i="10"/>
  <c r="BD148" i="10"/>
  <c r="AU151" i="10"/>
  <c r="AS151" i="10"/>
  <c r="AT152" i="10"/>
  <c r="BC461" i="10"/>
  <c r="BD460" i="10"/>
  <c r="BB460" i="10"/>
  <c r="CC149" i="10"/>
  <c r="CD150" i="10"/>
  <c r="CE149" i="10"/>
  <c r="AS461" i="10"/>
  <c r="AU461" i="10"/>
  <c r="AT462" i="10"/>
  <c r="S136" i="11"/>
  <c r="R137" i="11"/>
  <c r="Q137" i="11"/>
  <c r="U137" i="11"/>
  <c r="N137" i="11"/>
  <c r="B138" i="11"/>
  <c r="D137" i="11"/>
  <c r="O137" i="11"/>
  <c r="T137" i="11"/>
  <c r="D153" i="5"/>
  <c r="G153" i="5" s="1"/>
  <c r="AC152" i="5"/>
  <c r="F152" i="5"/>
  <c r="O152" i="5" s="1"/>
  <c r="AI152" i="5"/>
  <c r="E152" i="5"/>
  <c r="L152" i="5" s="1"/>
  <c r="P136" i="11"/>
  <c r="J144" i="16" l="1"/>
  <c r="K143" i="16"/>
  <c r="G143" i="16" s="1"/>
  <c r="L143" i="16"/>
  <c r="H150" i="16"/>
  <c r="P152" i="5"/>
  <c r="AK152" i="5"/>
  <c r="AL151" i="5" s="1"/>
  <c r="I153" i="5"/>
  <c r="N153" i="5" s="1"/>
  <c r="AA153" i="5"/>
  <c r="H153" i="5"/>
  <c r="AG153" i="5"/>
  <c r="J152" i="5"/>
  <c r="K152" i="5"/>
  <c r="M152" i="5" s="1"/>
  <c r="AE152" i="5"/>
  <c r="AH151" i="5"/>
  <c r="DM149" i="10"/>
  <c r="DO149" i="10"/>
  <c r="DN150" i="10"/>
  <c r="CC460" i="10"/>
  <c r="CD461" i="10"/>
  <c r="CE460" i="10"/>
  <c r="BB149" i="10"/>
  <c r="BC150" i="10"/>
  <c r="BD149" i="10"/>
  <c r="CL149" i="10"/>
  <c r="CM150" i="10"/>
  <c r="CN149" i="10"/>
  <c r="DV149" i="10"/>
  <c r="DX149" i="10"/>
  <c r="DW150" i="10"/>
  <c r="CM461" i="10"/>
  <c r="CL460" i="10"/>
  <c r="CN460" i="10"/>
  <c r="AJ151" i="5"/>
  <c r="AU152" i="10"/>
  <c r="AT153" i="10"/>
  <c r="AS152" i="10"/>
  <c r="CD151" i="10"/>
  <c r="CC150" i="10"/>
  <c r="CE150" i="10"/>
  <c r="BC462" i="10"/>
  <c r="BB461" i="10"/>
  <c r="BD461" i="10"/>
  <c r="D154" i="5"/>
  <c r="G154" i="5" s="1"/>
  <c r="E153" i="5"/>
  <c r="L153" i="5" s="1"/>
  <c r="AC153" i="5"/>
  <c r="F153" i="5"/>
  <c r="O153" i="5" s="1"/>
  <c r="AI153" i="5"/>
  <c r="R138" i="11"/>
  <c r="U138" i="11"/>
  <c r="T138" i="11"/>
  <c r="B139" i="11"/>
  <c r="N138" i="11"/>
  <c r="Q138" i="11"/>
  <c r="D138" i="11"/>
  <c r="O138" i="11"/>
  <c r="AS462" i="10"/>
  <c r="AU462" i="10"/>
  <c r="AT463" i="10"/>
  <c r="V137" i="11"/>
  <c r="P137" i="11"/>
  <c r="S137" i="11"/>
  <c r="J145" i="16" l="1"/>
  <c r="K144" i="16"/>
  <c r="G144" i="16" s="1"/>
  <c r="L144" i="16"/>
  <c r="H151" i="16"/>
  <c r="AK153" i="5"/>
  <c r="AL152" i="5" s="1"/>
  <c r="AE153" i="5"/>
  <c r="AG154" i="5"/>
  <c r="I154" i="5"/>
  <c r="N154" i="5" s="1"/>
  <c r="AA154" i="5"/>
  <c r="H154" i="5"/>
  <c r="J153" i="5"/>
  <c r="K153" i="5"/>
  <c r="M153" i="5" s="1"/>
  <c r="P138" i="11"/>
  <c r="V138" i="11"/>
  <c r="P153" i="5"/>
  <c r="AH152" i="5"/>
  <c r="DM150" i="10"/>
  <c r="DO150" i="10"/>
  <c r="DN151" i="10"/>
  <c r="CC461" i="10"/>
  <c r="CE461" i="10"/>
  <c r="CD462" i="10"/>
  <c r="CN461" i="10"/>
  <c r="CL461" i="10"/>
  <c r="CM462" i="10"/>
  <c r="BD150" i="10"/>
  <c r="BB150" i="10"/>
  <c r="BC151" i="10"/>
  <c r="DX150" i="10"/>
  <c r="DV150" i="10"/>
  <c r="DW151" i="10"/>
  <c r="CN150" i="10"/>
  <c r="CM151" i="10"/>
  <c r="CL150" i="10"/>
  <c r="AT154" i="10"/>
  <c r="AU153" i="10"/>
  <c r="AS153" i="10"/>
  <c r="BB462" i="10"/>
  <c r="BC463" i="10"/>
  <c r="BD462" i="10"/>
  <c r="CC151" i="10"/>
  <c r="CE151" i="10"/>
  <c r="CD152" i="10"/>
  <c r="S138" i="11"/>
  <c r="R139" i="11"/>
  <c r="D139" i="11"/>
  <c r="Q139" i="11"/>
  <c r="U139" i="11"/>
  <c r="B140" i="11"/>
  <c r="T139" i="11"/>
  <c r="N139" i="11"/>
  <c r="O139" i="11"/>
  <c r="AT464" i="10"/>
  <c r="AS463" i="10"/>
  <c r="AU463" i="10"/>
  <c r="AJ152" i="5"/>
  <c r="D155" i="5"/>
  <c r="G155" i="5" s="1"/>
  <c r="AI154" i="5"/>
  <c r="F154" i="5"/>
  <c r="O154" i="5" s="1"/>
  <c r="E154" i="5"/>
  <c r="L154" i="5" s="1"/>
  <c r="AC154" i="5"/>
  <c r="J146" i="16" l="1"/>
  <c r="K145" i="16"/>
  <c r="G145" i="16" s="1"/>
  <c r="L145" i="16"/>
  <c r="H152" i="16"/>
  <c r="V139" i="11"/>
  <c r="S139" i="11"/>
  <c r="AE154" i="5"/>
  <c r="P154" i="5"/>
  <c r="AK154" i="5"/>
  <c r="AL153" i="5" s="1"/>
  <c r="AG155" i="5"/>
  <c r="AA155" i="5"/>
  <c r="H155" i="5"/>
  <c r="I155" i="5"/>
  <c r="N155" i="5" s="1"/>
  <c r="K154" i="5"/>
  <c r="M154" i="5" s="1"/>
  <c r="J154" i="5"/>
  <c r="AH153" i="5"/>
  <c r="DN152" i="10"/>
  <c r="DM151" i="10"/>
  <c r="DO151" i="10"/>
  <c r="CD463" i="10"/>
  <c r="CC462" i="10"/>
  <c r="CE462" i="10"/>
  <c r="BC152" i="10"/>
  <c r="BD151" i="10"/>
  <c r="BB151" i="10"/>
  <c r="CN151" i="10"/>
  <c r="CL151" i="10"/>
  <c r="CM152" i="10"/>
  <c r="DV151" i="10"/>
  <c r="DW152" i="10"/>
  <c r="DX151" i="10"/>
  <c r="CM463" i="10"/>
  <c r="CL462" i="10"/>
  <c r="CN462" i="10"/>
  <c r="AS154" i="10"/>
  <c r="AT155" i="10"/>
  <c r="AU154" i="10"/>
  <c r="BD463" i="10"/>
  <c r="BC464" i="10"/>
  <c r="BB463" i="10"/>
  <c r="CE152" i="10"/>
  <c r="CC152" i="10"/>
  <c r="CD153" i="10"/>
  <c r="AJ153" i="5"/>
  <c r="AU464" i="10"/>
  <c r="AT465" i="10"/>
  <c r="AS464" i="10"/>
  <c r="P139" i="11"/>
  <c r="U140" i="11"/>
  <c r="T140" i="11"/>
  <c r="N140" i="11"/>
  <c r="Q140" i="11"/>
  <c r="O140" i="11"/>
  <c r="R140" i="11"/>
  <c r="B141" i="11"/>
  <c r="D140" i="11"/>
  <c r="D156" i="5"/>
  <c r="G156" i="5" s="1"/>
  <c r="AC155" i="5"/>
  <c r="E155" i="5"/>
  <c r="L155" i="5" s="1"/>
  <c r="AI155" i="5"/>
  <c r="F155" i="5"/>
  <c r="O155" i="5" s="1"/>
  <c r="J147" i="16" l="1"/>
  <c r="K146" i="16"/>
  <c r="G146" i="16" s="1"/>
  <c r="L146" i="16"/>
  <c r="H153" i="16"/>
  <c r="V140" i="11"/>
  <c r="AK155" i="5"/>
  <c r="AL154" i="5" s="1"/>
  <c r="AE155" i="5"/>
  <c r="P155" i="5"/>
  <c r="I156" i="5"/>
  <c r="N156" i="5" s="1"/>
  <c r="H156" i="5"/>
  <c r="AG156" i="5"/>
  <c r="AA156" i="5"/>
  <c r="K155" i="5"/>
  <c r="M155" i="5" s="1"/>
  <c r="J155" i="5"/>
  <c r="AH154" i="5"/>
  <c r="DN153" i="10"/>
  <c r="DM152" i="10"/>
  <c r="DO152" i="10"/>
  <c r="CE463" i="10"/>
  <c r="CD464" i="10"/>
  <c r="CC463" i="10"/>
  <c r="CM464" i="10"/>
  <c r="CL463" i="10"/>
  <c r="CN463" i="10"/>
  <c r="DV152" i="10"/>
  <c r="DX152" i="10"/>
  <c r="DW153" i="10"/>
  <c r="CN152" i="10"/>
  <c r="CM153" i="10"/>
  <c r="CL152" i="10"/>
  <c r="BC153" i="10"/>
  <c r="BB152" i="10"/>
  <c r="BD152" i="10"/>
  <c r="AT156" i="10"/>
  <c r="AU155" i="10"/>
  <c r="AS155" i="10"/>
  <c r="CC153" i="10"/>
  <c r="CE153" i="10"/>
  <c r="CD154" i="10"/>
  <c r="BB464" i="10"/>
  <c r="BC465" i="10"/>
  <c r="BD464" i="10"/>
  <c r="AJ154" i="5"/>
  <c r="S140" i="11"/>
  <c r="AU465" i="10"/>
  <c r="AS465" i="10"/>
  <c r="AT466" i="10"/>
  <c r="D157" i="5"/>
  <c r="G157" i="5" s="1"/>
  <c r="AI156" i="5"/>
  <c r="F156" i="5"/>
  <c r="O156" i="5" s="1"/>
  <c r="E156" i="5"/>
  <c r="L156" i="5" s="1"/>
  <c r="AC156" i="5"/>
  <c r="R141" i="11"/>
  <c r="Q141" i="11"/>
  <c r="T141" i="11"/>
  <c r="U141" i="11"/>
  <c r="O141" i="11"/>
  <c r="N141" i="11"/>
  <c r="B142" i="11"/>
  <c r="D141" i="11"/>
  <c r="P140" i="11"/>
  <c r="J148" i="16" l="1"/>
  <c r="K147" i="16"/>
  <c r="G147" i="16" s="1"/>
  <c r="L147" i="16"/>
  <c r="H154" i="16"/>
  <c r="P156" i="5"/>
  <c r="AE156" i="5"/>
  <c r="AG157" i="5"/>
  <c r="H157" i="5"/>
  <c r="I157" i="5"/>
  <c r="N157" i="5" s="1"/>
  <c r="AA157" i="5"/>
  <c r="J156" i="5"/>
  <c r="K156" i="5"/>
  <c r="M156" i="5" s="1"/>
  <c r="AH155" i="5"/>
  <c r="DO153" i="10"/>
  <c r="DN154" i="10"/>
  <c r="DM153" i="10"/>
  <c r="CE464" i="10"/>
  <c r="CD465" i="10"/>
  <c r="CC464" i="10"/>
  <c r="BB153" i="10"/>
  <c r="BC154" i="10"/>
  <c r="BD153" i="10"/>
  <c r="CL153" i="10"/>
  <c r="CN153" i="10"/>
  <c r="CM154" i="10"/>
  <c r="DV153" i="10"/>
  <c r="DX153" i="10"/>
  <c r="DW154" i="10"/>
  <c r="CM465" i="10"/>
  <c r="CN464" i="10"/>
  <c r="CL464" i="10"/>
  <c r="AJ155" i="5"/>
  <c r="AK156" i="5"/>
  <c r="AU156" i="10"/>
  <c r="AT157" i="10"/>
  <c r="AS156" i="10"/>
  <c r="P141" i="11"/>
  <c r="S141" i="11"/>
  <c r="BD465" i="10"/>
  <c r="BC466" i="10"/>
  <c r="BB465" i="10"/>
  <c r="CE154" i="10"/>
  <c r="CD155" i="10"/>
  <c r="CC154" i="10"/>
  <c r="T142" i="11"/>
  <c r="U142" i="11"/>
  <c r="Q142" i="11"/>
  <c r="R142" i="11"/>
  <c r="O142" i="11"/>
  <c r="N142" i="11"/>
  <c r="B143" i="11"/>
  <c r="D142" i="11"/>
  <c r="V141" i="11"/>
  <c r="D158" i="5"/>
  <c r="G158" i="5" s="1"/>
  <c r="E157" i="5"/>
  <c r="L157" i="5" s="1"/>
  <c r="AC157" i="5"/>
  <c r="F157" i="5"/>
  <c r="O157" i="5" s="1"/>
  <c r="AI157" i="5"/>
  <c r="AU466" i="10"/>
  <c r="AT467" i="10"/>
  <c r="AS466" i="10"/>
  <c r="J149" i="16" l="1"/>
  <c r="L148" i="16"/>
  <c r="K148" i="16"/>
  <c r="G148" i="16" s="1"/>
  <c r="H155" i="16"/>
  <c r="AE157" i="5"/>
  <c r="P157" i="5"/>
  <c r="AA158" i="5"/>
  <c r="AG158" i="5"/>
  <c r="H158" i="5"/>
  <c r="I158" i="5"/>
  <c r="N158" i="5" s="1"/>
  <c r="K157" i="5"/>
  <c r="M157" i="5" s="1"/>
  <c r="J157" i="5"/>
  <c r="S142" i="11"/>
  <c r="V142" i="11"/>
  <c r="AH156" i="5"/>
  <c r="DM154" i="10"/>
  <c r="DO154" i="10"/>
  <c r="DN155" i="10"/>
  <c r="CD466" i="10"/>
  <c r="CE465" i="10"/>
  <c r="CC465" i="10"/>
  <c r="CN465" i="10"/>
  <c r="CM466" i="10"/>
  <c r="CL465" i="10"/>
  <c r="CM155" i="10"/>
  <c r="CL154" i="10"/>
  <c r="CN154" i="10"/>
  <c r="BD154" i="10"/>
  <c r="BC155" i="10"/>
  <c r="BB154" i="10"/>
  <c r="DW155" i="10"/>
  <c r="DV154" i="10"/>
  <c r="DX154" i="10"/>
  <c r="AJ156" i="5"/>
  <c r="AK157" i="5"/>
  <c r="AL156" i="5" s="1"/>
  <c r="AL155" i="5"/>
  <c r="AS157" i="10"/>
  <c r="AT158" i="10"/>
  <c r="AU157" i="10"/>
  <c r="CE155" i="10"/>
  <c r="CC155" i="10"/>
  <c r="CD156" i="10"/>
  <c r="BD466" i="10"/>
  <c r="BB466" i="10"/>
  <c r="BC467" i="10"/>
  <c r="AU467" i="10"/>
  <c r="AS467" i="10"/>
  <c r="AT468" i="10"/>
  <c r="D159" i="5"/>
  <c r="G159" i="5" s="1"/>
  <c r="AI158" i="5"/>
  <c r="F158" i="5"/>
  <c r="O158" i="5" s="1"/>
  <c r="E158" i="5"/>
  <c r="L158" i="5" s="1"/>
  <c r="AC158" i="5"/>
  <c r="P142" i="11"/>
  <c r="O143" i="11"/>
  <c r="U143" i="11"/>
  <c r="Q143" i="11"/>
  <c r="N143" i="11"/>
  <c r="D143" i="11"/>
  <c r="R143" i="11"/>
  <c r="B144" i="11"/>
  <c r="T143" i="11"/>
  <c r="P143" i="11" l="1"/>
  <c r="J150" i="16"/>
  <c r="K149" i="16"/>
  <c r="G149" i="16" s="1"/>
  <c r="L149" i="16"/>
  <c r="H156" i="16"/>
  <c r="V143" i="11"/>
  <c r="AK158" i="5"/>
  <c r="AL157" i="5" s="1"/>
  <c r="AE158" i="5"/>
  <c r="AH157" i="5"/>
  <c r="P158" i="5"/>
  <c r="H159" i="5"/>
  <c r="I159" i="5"/>
  <c r="N159" i="5" s="1"/>
  <c r="AG159" i="5"/>
  <c r="AA159" i="5"/>
  <c r="J158" i="5"/>
  <c r="K158" i="5"/>
  <c r="M158" i="5" s="1"/>
  <c r="DN156" i="10"/>
  <c r="DM155" i="10"/>
  <c r="DO155" i="10"/>
  <c r="CD467" i="10"/>
  <c r="CC466" i="10"/>
  <c r="CE466" i="10"/>
  <c r="DW156" i="10"/>
  <c r="DX155" i="10"/>
  <c r="DV155" i="10"/>
  <c r="BC156" i="10"/>
  <c r="BD155" i="10"/>
  <c r="BB155" i="10"/>
  <c r="CM156" i="10"/>
  <c r="CL155" i="10"/>
  <c r="CN155" i="10"/>
  <c r="CM467" i="10"/>
  <c r="CL466" i="10"/>
  <c r="CN466" i="10"/>
  <c r="AU158" i="10"/>
  <c r="AS158" i="10"/>
  <c r="AT159" i="10"/>
  <c r="CE156" i="10"/>
  <c r="CD157" i="10"/>
  <c r="CC156" i="10"/>
  <c r="BD467" i="10"/>
  <c r="BC468" i="10"/>
  <c r="BB467" i="10"/>
  <c r="D160" i="5"/>
  <c r="G160" i="5" s="1"/>
  <c r="AI159" i="5"/>
  <c r="F159" i="5"/>
  <c r="O159" i="5" s="1"/>
  <c r="E159" i="5"/>
  <c r="L159" i="5" s="1"/>
  <c r="AC159" i="5"/>
  <c r="Q144" i="11"/>
  <c r="O144" i="11"/>
  <c r="B145" i="11"/>
  <c r="R144" i="11"/>
  <c r="T144" i="11"/>
  <c r="D144" i="11"/>
  <c r="U144" i="11"/>
  <c r="N144" i="11"/>
  <c r="S143" i="11"/>
  <c r="AJ157" i="5"/>
  <c r="AS468" i="10"/>
  <c r="AT469" i="10"/>
  <c r="AU468" i="10"/>
  <c r="J151" i="16" l="1"/>
  <c r="K150" i="16"/>
  <c r="G150" i="16" s="1"/>
  <c r="L150" i="16"/>
  <c r="H157" i="16"/>
  <c r="P144" i="11"/>
  <c r="P159" i="5"/>
  <c r="AE159" i="5"/>
  <c r="AA160" i="5"/>
  <c r="H160" i="5"/>
  <c r="AG160" i="5"/>
  <c r="I160" i="5"/>
  <c r="N160" i="5" s="1"/>
  <c r="AH158" i="5"/>
  <c r="K159" i="5"/>
  <c r="M159" i="5" s="1"/>
  <c r="J159" i="5"/>
  <c r="DM156" i="10"/>
  <c r="DN157" i="10"/>
  <c r="DO156" i="10"/>
  <c r="CD468" i="10"/>
  <c r="CC467" i="10"/>
  <c r="CE467" i="10"/>
  <c r="CM468" i="10"/>
  <c r="CL467" i="10"/>
  <c r="CN467" i="10"/>
  <c r="BC157" i="10"/>
  <c r="BD156" i="10"/>
  <c r="BB156" i="10"/>
  <c r="CN156" i="10"/>
  <c r="CM157" i="10"/>
  <c r="CL156" i="10"/>
  <c r="DV156" i="10"/>
  <c r="DW157" i="10"/>
  <c r="DX156" i="10"/>
  <c r="AJ158" i="5"/>
  <c r="AK159" i="5"/>
  <c r="AS159" i="10"/>
  <c r="AT160" i="10"/>
  <c r="AU159" i="10"/>
  <c r="BD468" i="10"/>
  <c r="BB468" i="10"/>
  <c r="BC469" i="10"/>
  <c r="CE157" i="10"/>
  <c r="CD158" i="10"/>
  <c r="CC157" i="10"/>
  <c r="AS469" i="10"/>
  <c r="AU469" i="10"/>
  <c r="AT470" i="10"/>
  <c r="V144" i="11"/>
  <c r="Q145" i="11"/>
  <c r="R145" i="11"/>
  <c r="U145" i="11"/>
  <c r="T145" i="11"/>
  <c r="O145" i="11"/>
  <c r="D145" i="11"/>
  <c r="N145" i="11"/>
  <c r="B146" i="11"/>
  <c r="S144" i="11"/>
  <c r="D161" i="5"/>
  <c r="G161" i="5" s="1"/>
  <c r="AI160" i="5"/>
  <c r="F160" i="5"/>
  <c r="O160" i="5" s="1"/>
  <c r="E160" i="5"/>
  <c r="L160" i="5" s="1"/>
  <c r="AC160" i="5"/>
  <c r="J152" i="16" l="1"/>
  <c r="K151" i="16"/>
  <c r="G151" i="16" s="1"/>
  <c r="L151" i="16"/>
  <c r="H158" i="16"/>
  <c r="P145" i="11"/>
  <c r="P160" i="5"/>
  <c r="AK160" i="5"/>
  <c r="AL159" i="5" s="1"/>
  <c r="AE160" i="5"/>
  <c r="J160" i="5"/>
  <c r="K160" i="5"/>
  <c r="M160" i="5" s="1"/>
  <c r="AA161" i="5"/>
  <c r="AG161" i="5"/>
  <c r="I161" i="5"/>
  <c r="N161" i="5" s="1"/>
  <c r="H161" i="5"/>
  <c r="AH159" i="5"/>
  <c r="DN158" i="10"/>
  <c r="DM157" i="10"/>
  <c r="DO157" i="10"/>
  <c r="CD469" i="10"/>
  <c r="CC468" i="10"/>
  <c r="CE468" i="10"/>
  <c r="CN157" i="10"/>
  <c r="CL157" i="10"/>
  <c r="CM158" i="10"/>
  <c r="BB157" i="10"/>
  <c r="BC158" i="10"/>
  <c r="BD157" i="10"/>
  <c r="DV157" i="10"/>
  <c r="DX157" i="10"/>
  <c r="DW158" i="10"/>
  <c r="CM469" i="10"/>
  <c r="CN468" i="10"/>
  <c r="CL468" i="10"/>
  <c r="AL158" i="5"/>
  <c r="AS160" i="10"/>
  <c r="AT161" i="10"/>
  <c r="AU160" i="10"/>
  <c r="CE158" i="10"/>
  <c r="CC158" i="10"/>
  <c r="CD159" i="10"/>
  <c r="BB469" i="10"/>
  <c r="BC470" i="10"/>
  <c r="BD469" i="10"/>
  <c r="S145" i="11"/>
  <c r="AJ159" i="5"/>
  <c r="AT471" i="10"/>
  <c r="AS470" i="10"/>
  <c r="AU470" i="10"/>
  <c r="D162" i="5"/>
  <c r="G162" i="5" s="1"/>
  <c r="E161" i="5"/>
  <c r="L161" i="5" s="1"/>
  <c r="AI161" i="5"/>
  <c r="F161" i="5"/>
  <c r="O161" i="5" s="1"/>
  <c r="AC161" i="5"/>
  <c r="T146" i="11"/>
  <c r="U146" i="11"/>
  <c r="R146" i="11"/>
  <c r="O146" i="11"/>
  <c r="N146" i="11"/>
  <c r="Q146" i="11"/>
  <c r="D146" i="11"/>
  <c r="B147" i="11"/>
  <c r="V145" i="11"/>
  <c r="J153" i="16" l="1"/>
  <c r="K152" i="16"/>
  <c r="G152" i="16" s="1"/>
  <c r="L152" i="16"/>
  <c r="H159" i="16"/>
  <c r="P161" i="5"/>
  <c r="AK161" i="5"/>
  <c r="AL160" i="5" s="1"/>
  <c r="AE161" i="5"/>
  <c r="AA162" i="5"/>
  <c r="AG162" i="5"/>
  <c r="I162" i="5"/>
  <c r="N162" i="5" s="1"/>
  <c r="H162" i="5"/>
  <c r="J161" i="5"/>
  <c r="K161" i="5"/>
  <c r="M161" i="5" s="1"/>
  <c r="AH160" i="5"/>
  <c r="DO158" i="10"/>
  <c r="DN159" i="10"/>
  <c r="DM158" i="10"/>
  <c r="CC469" i="10"/>
  <c r="CD470" i="10"/>
  <c r="CE469" i="10"/>
  <c r="CL469" i="10"/>
  <c r="CM470" i="10"/>
  <c r="CN469" i="10"/>
  <c r="DW159" i="10"/>
  <c r="DX158" i="10"/>
  <c r="DV158" i="10"/>
  <c r="BC159" i="10"/>
  <c r="BB158" i="10"/>
  <c r="BD158" i="10"/>
  <c r="CM159" i="10"/>
  <c r="CL158" i="10"/>
  <c r="CN158" i="10"/>
  <c r="AT162" i="10"/>
  <c r="AU161" i="10"/>
  <c r="AS161" i="10"/>
  <c r="CE159" i="10"/>
  <c r="CC159" i="10"/>
  <c r="CD160" i="10"/>
  <c r="P146" i="11"/>
  <c r="V146" i="11"/>
  <c r="BC471" i="10"/>
  <c r="BD470" i="10"/>
  <c r="BB470" i="10"/>
  <c r="Q147" i="11"/>
  <c r="T147" i="11"/>
  <c r="R147" i="11"/>
  <c r="D147" i="11"/>
  <c r="O147" i="11"/>
  <c r="B148" i="11"/>
  <c r="N147" i="11"/>
  <c r="P147" i="11" s="1"/>
  <c r="U147" i="11"/>
  <c r="S146" i="11"/>
  <c r="AJ160" i="5"/>
  <c r="D163" i="5"/>
  <c r="G163" i="5" s="1"/>
  <c r="AC162" i="5"/>
  <c r="E162" i="5"/>
  <c r="L162" i="5" s="1"/>
  <c r="AI162" i="5"/>
  <c r="F162" i="5"/>
  <c r="O162" i="5" s="1"/>
  <c r="AU471" i="10"/>
  <c r="AS471" i="10"/>
  <c r="AT472" i="10"/>
  <c r="J154" i="16" l="1"/>
  <c r="K153" i="16"/>
  <c r="G153" i="16" s="1"/>
  <c r="L153" i="16"/>
  <c r="H160" i="16"/>
  <c r="AE162" i="5"/>
  <c r="P162" i="5"/>
  <c r="AK162" i="5"/>
  <c r="AL161" i="5" s="1"/>
  <c r="I163" i="5"/>
  <c r="N163" i="5" s="1"/>
  <c r="AA163" i="5"/>
  <c r="H163" i="5"/>
  <c r="AG163" i="5"/>
  <c r="J162" i="5"/>
  <c r="K162" i="5"/>
  <c r="M162" i="5" s="1"/>
  <c r="AH161" i="5"/>
  <c r="DO159" i="10"/>
  <c r="DM159" i="10"/>
  <c r="DN160" i="10"/>
  <c r="CE470" i="10"/>
  <c r="CC470" i="10"/>
  <c r="CD471" i="10"/>
  <c r="CN159" i="10"/>
  <c r="CM160" i="10"/>
  <c r="CL159" i="10"/>
  <c r="DX159" i="10"/>
  <c r="DV159" i="10"/>
  <c r="DW160" i="10"/>
  <c r="CN470" i="10"/>
  <c r="CM471" i="10"/>
  <c r="CL470" i="10"/>
  <c r="BC160" i="10"/>
  <c r="BB159" i="10"/>
  <c r="BD159" i="10"/>
  <c r="AS162" i="10"/>
  <c r="AT163" i="10"/>
  <c r="AU162" i="10"/>
  <c r="BB471" i="10"/>
  <c r="BD471" i="10"/>
  <c r="BC472" i="10"/>
  <c r="CD161" i="10"/>
  <c r="CE160" i="10"/>
  <c r="CC160" i="10"/>
  <c r="S147" i="11"/>
  <c r="AU472" i="10"/>
  <c r="AT473" i="10"/>
  <c r="AS472" i="10"/>
  <c r="D164" i="5"/>
  <c r="G164" i="5" s="1"/>
  <c r="E163" i="5"/>
  <c r="L163" i="5" s="1"/>
  <c r="AC163" i="5"/>
  <c r="AI163" i="5"/>
  <c r="F163" i="5"/>
  <c r="O163" i="5" s="1"/>
  <c r="B149" i="11"/>
  <c r="D148" i="11"/>
  <c r="R148" i="11"/>
  <c r="T148" i="11"/>
  <c r="Q148" i="11"/>
  <c r="U148" i="11"/>
  <c r="N148" i="11"/>
  <c r="O148" i="11"/>
  <c r="V147" i="11"/>
  <c r="AJ161" i="5"/>
  <c r="J155" i="16" l="1"/>
  <c r="K154" i="16"/>
  <c r="G154" i="16" s="1"/>
  <c r="L154" i="16"/>
  <c r="H161" i="16"/>
  <c r="S148" i="11"/>
  <c r="P148" i="11"/>
  <c r="AE163" i="5"/>
  <c r="P163" i="5"/>
  <c r="AK163" i="5"/>
  <c r="AL162" i="5" s="1"/>
  <c r="H164" i="5"/>
  <c r="AA164" i="5"/>
  <c r="AG164" i="5"/>
  <c r="I164" i="5"/>
  <c r="N164" i="5" s="1"/>
  <c r="J163" i="5"/>
  <c r="K163" i="5"/>
  <c r="M163" i="5" s="1"/>
  <c r="AH162" i="5"/>
  <c r="DN161" i="10"/>
  <c r="DO160" i="10"/>
  <c r="DM160" i="10"/>
  <c r="CD472" i="10"/>
  <c r="CC471" i="10"/>
  <c r="CE471" i="10"/>
  <c r="AJ162" i="5"/>
  <c r="BB160" i="10"/>
  <c r="BD160" i="10"/>
  <c r="BC161" i="10"/>
  <c r="CL471" i="10"/>
  <c r="CM472" i="10"/>
  <c r="CN471" i="10"/>
  <c r="DX160" i="10"/>
  <c r="DW161" i="10"/>
  <c r="DV160" i="10"/>
  <c r="CN160" i="10"/>
  <c r="CL160" i="10"/>
  <c r="CM161" i="10"/>
  <c r="AT164" i="10"/>
  <c r="AS163" i="10"/>
  <c r="AU163" i="10"/>
  <c r="CC161" i="10"/>
  <c r="CD162" i="10"/>
  <c r="CE161" i="10"/>
  <c r="BB472" i="10"/>
  <c r="BC473" i="10"/>
  <c r="BD472" i="10"/>
  <c r="U149" i="11"/>
  <c r="T149" i="11"/>
  <c r="O149" i="11"/>
  <c r="N149" i="11"/>
  <c r="R149" i="11"/>
  <c r="B150" i="11"/>
  <c r="Q149" i="11"/>
  <c r="D149" i="11"/>
  <c r="D165" i="5"/>
  <c r="G165" i="5" s="1"/>
  <c r="F164" i="5"/>
  <c r="O164" i="5" s="1"/>
  <c r="E164" i="5"/>
  <c r="L164" i="5" s="1"/>
  <c r="AI164" i="5"/>
  <c r="AC164" i="5"/>
  <c r="AU473" i="10"/>
  <c r="AS473" i="10"/>
  <c r="AT474" i="10"/>
  <c r="V148" i="11"/>
  <c r="J156" i="16" l="1"/>
  <c r="K155" i="16"/>
  <c r="G155" i="16" s="1"/>
  <c r="L155" i="16"/>
  <c r="H162" i="16"/>
  <c r="S149" i="11"/>
  <c r="P164" i="5"/>
  <c r="AE164" i="5"/>
  <c r="AA165" i="5"/>
  <c r="I165" i="5"/>
  <c r="N165" i="5" s="1"/>
  <c r="H165" i="5"/>
  <c r="AG165" i="5"/>
  <c r="J164" i="5"/>
  <c r="K164" i="5"/>
  <c r="M164" i="5" s="1"/>
  <c r="AH163" i="5"/>
  <c r="DO161" i="10"/>
  <c r="DM161" i="10"/>
  <c r="DN162" i="10"/>
  <c r="CC472" i="10"/>
  <c r="CD473" i="10"/>
  <c r="CE472" i="10"/>
  <c r="CL161" i="10"/>
  <c r="CM162" i="10"/>
  <c r="CN161" i="10"/>
  <c r="DV161" i="10"/>
  <c r="DW162" i="10"/>
  <c r="DX161" i="10"/>
  <c r="CL472" i="10"/>
  <c r="CN472" i="10"/>
  <c r="CM473" i="10"/>
  <c r="BB161" i="10"/>
  <c r="BC162" i="10"/>
  <c r="BD161" i="10"/>
  <c r="AJ163" i="5"/>
  <c r="AK164" i="5"/>
  <c r="AU164" i="10"/>
  <c r="AT165" i="10"/>
  <c r="AS164" i="10"/>
  <c r="CE162" i="10"/>
  <c r="CD163" i="10"/>
  <c r="CC162" i="10"/>
  <c r="P149" i="11"/>
  <c r="BB473" i="10"/>
  <c r="BC474" i="10"/>
  <c r="BD473" i="10"/>
  <c r="AS474" i="10"/>
  <c r="AT475" i="10"/>
  <c r="AU474" i="10"/>
  <c r="Q150" i="11"/>
  <c r="B151" i="11"/>
  <c r="T150" i="11"/>
  <c r="D150" i="11"/>
  <c r="R150" i="11"/>
  <c r="N150" i="11"/>
  <c r="O150" i="11"/>
  <c r="U150" i="11"/>
  <c r="V149" i="11"/>
  <c r="D166" i="5"/>
  <c r="G166" i="5" s="1"/>
  <c r="E165" i="5"/>
  <c r="L165" i="5" s="1"/>
  <c r="AC165" i="5"/>
  <c r="F165" i="5"/>
  <c r="O165" i="5" s="1"/>
  <c r="AI165" i="5"/>
  <c r="J157" i="16" l="1"/>
  <c r="L156" i="16"/>
  <c r="K156" i="16"/>
  <c r="G156" i="16" s="1"/>
  <c r="H163" i="16"/>
  <c r="AK165" i="5"/>
  <c r="AL164" i="5" s="1"/>
  <c r="P165" i="5"/>
  <c r="AE165" i="5"/>
  <c r="AG166" i="5"/>
  <c r="H166" i="5"/>
  <c r="AA166" i="5"/>
  <c r="I166" i="5"/>
  <c r="N166" i="5" s="1"/>
  <c r="K165" i="5"/>
  <c r="M165" i="5" s="1"/>
  <c r="J165" i="5"/>
  <c r="AH164" i="5"/>
  <c r="DM162" i="10"/>
  <c r="DO162" i="10"/>
  <c r="DN163" i="10"/>
  <c r="CD474" i="10"/>
  <c r="CC473" i="10"/>
  <c r="CE473" i="10"/>
  <c r="CL162" i="10"/>
  <c r="CM163" i="10"/>
  <c r="CN162" i="10"/>
  <c r="BC163" i="10"/>
  <c r="BB162" i="10"/>
  <c r="BD162" i="10"/>
  <c r="CN473" i="10"/>
  <c r="CL473" i="10"/>
  <c r="CM474" i="10"/>
  <c r="DV162" i="10"/>
  <c r="DX162" i="10"/>
  <c r="DW163" i="10"/>
  <c r="AL163" i="5"/>
  <c r="AS165" i="10"/>
  <c r="AT166" i="10"/>
  <c r="AU165" i="10"/>
  <c r="BD474" i="10"/>
  <c r="BB474" i="10"/>
  <c r="BC475" i="10"/>
  <c r="CD164" i="10"/>
  <c r="CC163" i="10"/>
  <c r="CE163" i="10"/>
  <c r="V150" i="11"/>
  <c r="S150" i="11"/>
  <c r="AJ164" i="5"/>
  <c r="D167" i="5"/>
  <c r="G167" i="5" s="1"/>
  <c r="F166" i="5"/>
  <c r="O166" i="5" s="1"/>
  <c r="AC166" i="5"/>
  <c r="E166" i="5"/>
  <c r="L166" i="5" s="1"/>
  <c r="AI166" i="5"/>
  <c r="P150" i="11"/>
  <c r="U151" i="11"/>
  <c r="R151" i="11"/>
  <c r="B152" i="11"/>
  <c r="T151" i="11"/>
  <c r="N151" i="11"/>
  <c r="Q151" i="11"/>
  <c r="O151" i="11"/>
  <c r="D151" i="11"/>
  <c r="AU475" i="10"/>
  <c r="AT476" i="10"/>
  <c r="AS475" i="10"/>
  <c r="J158" i="16" l="1"/>
  <c r="L157" i="16"/>
  <c r="K157" i="16"/>
  <c r="G157" i="16" s="1"/>
  <c r="H164" i="16"/>
  <c r="S151" i="11"/>
  <c r="AE166" i="5"/>
  <c r="P166" i="5"/>
  <c r="AA167" i="5"/>
  <c r="AG167" i="5"/>
  <c r="H167" i="5"/>
  <c r="I167" i="5"/>
  <c r="N167" i="5" s="1"/>
  <c r="J166" i="5"/>
  <c r="J7" i="5" s="1"/>
  <c r="K166" i="5"/>
  <c r="M166" i="5" s="1"/>
  <c r="AH165" i="5"/>
  <c r="DN164" i="10"/>
  <c r="DM163" i="10"/>
  <c r="DO163" i="10"/>
  <c r="CD475" i="10"/>
  <c r="CE474" i="10"/>
  <c r="CC474" i="10"/>
  <c r="DX163" i="10"/>
  <c r="DW164" i="10"/>
  <c r="DV163" i="10"/>
  <c r="BC164" i="10"/>
  <c r="BD163" i="10"/>
  <c r="BB163" i="10"/>
  <c r="CM164" i="10"/>
  <c r="CN163" i="10"/>
  <c r="CL163" i="10"/>
  <c r="CM475" i="10"/>
  <c r="CL474" i="10"/>
  <c r="CN474" i="10"/>
  <c r="AJ165" i="5"/>
  <c r="AK166" i="5"/>
  <c r="AU166" i="10"/>
  <c r="AS166" i="10"/>
  <c r="CE164" i="10"/>
  <c r="CD165" i="10"/>
  <c r="CC164" i="10"/>
  <c r="BC476" i="10"/>
  <c r="BD475" i="10"/>
  <c r="BB475" i="10"/>
  <c r="AT477" i="10"/>
  <c r="AS476" i="10"/>
  <c r="AU476" i="10"/>
  <c r="P151" i="11"/>
  <c r="Q152" i="11"/>
  <c r="R152" i="11"/>
  <c r="U152" i="11"/>
  <c r="T152" i="11"/>
  <c r="N152" i="11"/>
  <c r="D152" i="11"/>
  <c r="O152" i="11"/>
  <c r="B153" i="11"/>
  <c r="V151" i="11"/>
  <c r="D168" i="5"/>
  <c r="G168" i="5" s="1"/>
  <c r="AI167" i="5"/>
  <c r="E167" i="5"/>
  <c r="L167" i="5" s="1"/>
  <c r="F167" i="5"/>
  <c r="O167" i="5" s="1"/>
  <c r="AC167" i="5"/>
  <c r="J159" i="16" l="1"/>
  <c r="K158" i="16"/>
  <c r="G158" i="16" s="1"/>
  <c r="L158" i="16"/>
  <c r="H165" i="16"/>
  <c r="V152" i="11"/>
  <c r="AK167" i="5"/>
  <c r="AL166" i="5" s="1"/>
  <c r="AE167" i="5"/>
  <c r="P167" i="5"/>
  <c r="AA168" i="5"/>
  <c r="AG168" i="5"/>
  <c r="AH167" i="5" s="1"/>
  <c r="H168" i="5"/>
  <c r="I168" i="5"/>
  <c r="N168" i="5" s="1"/>
  <c r="AH166" i="5"/>
  <c r="K167" i="5"/>
  <c r="M167" i="5" s="1"/>
  <c r="J167" i="5"/>
  <c r="AJ166" i="5"/>
  <c r="DN165" i="10"/>
  <c r="DM164" i="10"/>
  <c r="DO164" i="10"/>
  <c r="CE475" i="10"/>
  <c r="CC475" i="10"/>
  <c r="CD476" i="10"/>
  <c r="CM476" i="10"/>
  <c r="CL475" i="10"/>
  <c r="CN475" i="10"/>
  <c r="BD164" i="10"/>
  <c r="BB164" i="10"/>
  <c r="BC165" i="10"/>
  <c r="DV164" i="10"/>
  <c r="DX164" i="10"/>
  <c r="DW165" i="10"/>
  <c r="CM165" i="10"/>
  <c r="CL164" i="10"/>
  <c r="CN164" i="10"/>
  <c r="AL165" i="5"/>
  <c r="BD476" i="10"/>
  <c r="BB476" i="10"/>
  <c r="BC477" i="10"/>
  <c r="CE165" i="10"/>
  <c r="CC165" i="10"/>
  <c r="CD166" i="10"/>
  <c r="D169" i="5"/>
  <c r="G169" i="5" s="1"/>
  <c r="E168" i="5"/>
  <c r="L168" i="5" s="1"/>
  <c r="F168" i="5"/>
  <c r="O168" i="5" s="1"/>
  <c r="AC168" i="5"/>
  <c r="AI168" i="5"/>
  <c r="Q153" i="11"/>
  <c r="R153" i="11"/>
  <c r="U153" i="11"/>
  <c r="T153" i="11"/>
  <c r="O153" i="11"/>
  <c r="N153" i="11"/>
  <c r="B154" i="11"/>
  <c r="D153" i="11"/>
  <c r="P152" i="11"/>
  <c r="S152" i="11"/>
  <c r="AS477" i="10"/>
  <c r="AU477" i="10"/>
  <c r="J160" i="16" l="1"/>
  <c r="K159" i="16"/>
  <c r="G159" i="16" s="1"/>
  <c r="L159" i="16"/>
  <c r="H166" i="16"/>
  <c r="S153" i="11"/>
  <c r="AE168" i="5"/>
  <c r="P168" i="5"/>
  <c r="I169" i="5"/>
  <c r="N169" i="5" s="1"/>
  <c r="AG169" i="5"/>
  <c r="AA169" i="5"/>
  <c r="H169" i="5"/>
  <c r="K168" i="5"/>
  <c r="M168" i="5" s="1"/>
  <c r="J168" i="5"/>
  <c r="DN166" i="10"/>
  <c r="DO165" i="10"/>
  <c r="DM165" i="10"/>
  <c r="CC476" i="10"/>
  <c r="CD477" i="10"/>
  <c r="CE476" i="10"/>
  <c r="CN165" i="10"/>
  <c r="CL165" i="10"/>
  <c r="CM166" i="10"/>
  <c r="BC166" i="10"/>
  <c r="BD165" i="10"/>
  <c r="BB165" i="10"/>
  <c r="DV165" i="10"/>
  <c r="DW166" i="10"/>
  <c r="DX165" i="10"/>
  <c r="CN476" i="10"/>
  <c r="CM477" i="10"/>
  <c r="CL476" i="10"/>
  <c r="AJ167" i="5"/>
  <c r="AK168" i="5"/>
  <c r="BD477" i="10"/>
  <c r="BC478" i="10"/>
  <c r="BB477" i="10"/>
  <c r="CC166" i="10"/>
  <c r="CE166" i="10"/>
  <c r="O154" i="11"/>
  <c r="R154" i="11"/>
  <c r="N154" i="11"/>
  <c r="Q154" i="11"/>
  <c r="S154" i="11" s="1"/>
  <c r="U154" i="11"/>
  <c r="T154" i="11"/>
  <c r="B155" i="11"/>
  <c r="D154" i="11"/>
  <c r="P153" i="11"/>
  <c r="V153" i="11"/>
  <c r="D170" i="5"/>
  <c r="G170" i="5" s="1"/>
  <c r="F169" i="5"/>
  <c r="O169" i="5" s="1"/>
  <c r="AC169" i="5"/>
  <c r="AI169" i="5"/>
  <c r="E169" i="5"/>
  <c r="L169" i="5" s="1"/>
  <c r="P154" i="11" l="1"/>
  <c r="J161" i="16"/>
  <c r="L160" i="16"/>
  <c r="K160" i="16"/>
  <c r="G160" i="16" s="1"/>
  <c r="H167" i="16"/>
  <c r="P169" i="5"/>
  <c r="AE169" i="5"/>
  <c r="AA170" i="5"/>
  <c r="AG170" i="5"/>
  <c r="AH169" i="5" s="1"/>
  <c r="H170" i="5"/>
  <c r="I170" i="5"/>
  <c r="N170" i="5" s="1"/>
  <c r="J169" i="5"/>
  <c r="K169" i="5"/>
  <c r="M169" i="5" s="1"/>
  <c r="AH168" i="5"/>
  <c r="DO166" i="10"/>
  <c r="DM166" i="10"/>
  <c r="CE477" i="10"/>
  <c r="CC477" i="10"/>
  <c r="DW167" i="10"/>
  <c r="DX166" i="10"/>
  <c r="DV166" i="10"/>
  <c r="BB166" i="10"/>
  <c r="BC167" i="10"/>
  <c r="BD166" i="10"/>
  <c r="CL477" i="10"/>
  <c r="CM478" i="10"/>
  <c r="CN477" i="10"/>
  <c r="CM167" i="10"/>
  <c r="CL166" i="10"/>
  <c r="CN166" i="10"/>
  <c r="AJ168" i="5"/>
  <c r="AK169" i="5"/>
  <c r="AL168" i="5" s="1"/>
  <c r="AL167" i="5"/>
  <c r="BD478" i="10"/>
  <c r="BC479" i="10"/>
  <c r="BB478" i="10"/>
  <c r="V154" i="11"/>
  <c r="D171" i="5"/>
  <c r="G171" i="5" s="1"/>
  <c r="AI170" i="5"/>
  <c r="AC170" i="5"/>
  <c r="F170" i="5"/>
  <c r="O170" i="5" s="1"/>
  <c r="E170" i="5"/>
  <c r="L170" i="5" s="1"/>
  <c r="R155" i="11"/>
  <c r="T155" i="11"/>
  <c r="Q155" i="11"/>
  <c r="U155" i="11"/>
  <c r="D155" i="11"/>
  <c r="N155" i="11"/>
  <c r="O155" i="11"/>
  <c r="B156" i="11"/>
  <c r="J162" i="16" l="1"/>
  <c r="K161" i="16"/>
  <c r="G161" i="16" s="1"/>
  <c r="L161" i="16"/>
  <c r="H168" i="16"/>
  <c r="S155" i="11"/>
  <c r="P170" i="5"/>
  <c r="AK170" i="5"/>
  <c r="AL169" i="5" s="1"/>
  <c r="AE170" i="5"/>
  <c r="H171" i="5"/>
  <c r="I171" i="5"/>
  <c r="N171" i="5" s="1"/>
  <c r="AG171" i="5"/>
  <c r="AA171" i="5"/>
  <c r="J170" i="5"/>
  <c r="K170" i="5"/>
  <c r="M170" i="5" s="1"/>
  <c r="AJ169" i="5"/>
  <c r="CL167" i="10"/>
  <c r="CM168" i="10"/>
  <c r="CN167" i="10"/>
  <c r="CN478" i="10"/>
  <c r="CL478" i="10"/>
  <c r="CM479" i="10"/>
  <c r="BB167" i="10"/>
  <c r="BC168" i="10"/>
  <c r="BD167" i="10"/>
  <c r="DX167" i="10"/>
  <c r="DW168" i="10"/>
  <c r="DV167" i="10"/>
  <c r="BC480" i="10"/>
  <c r="BD479" i="10"/>
  <c r="BB479" i="10"/>
  <c r="Q156" i="11"/>
  <c r="T156" i="11"/>
  <c r="N156" i="11"/>
  <c r="O156" i="11"/>
  <c r="R156" i="11"/>
  <c r="U156" i="11"/>
  <c r="D156" i="11"/>
  <c r="B157" i="11"/>
  <c r="P155" i="11"/>
  <c r="V155" i="11"/>
  <c r="D172" i="5"/>
  <c r="G172" i="5" s="1"/>
  <c r="AC171" i="5"/>
  <c r="F171" i="5"/>
  <c r="O171" i="5" s="1"/>
  <c r="AI171" i="5"/>
  <c r="E171" i="5"/>
  <c r="L171" i="5" s="1"/>
  <c r="J163" i="16" l="1"/>
  <c r="K162" i="16"/>
  <c r="G162" i="16" s="1"/>
  <c r="L162" i="16"/>
  <c r="H169" i="16"/>
  <c r="P171" i="5"/>
  <c r="AE171" i="5"/>
  <c r="I172" i="5"/>
  <c r="N172" i="5" s="1"/>
  <c r="H172" i="5"/>
  <c r="AA172" i="5"/>
  <c r="AG172" i="5"/>
  <c r="AH170" i="5"/>
  <c r="K171" i="5"/>
  <c r="M171" i="5" s="1"/>
  <c r="J171" i="5"/>
  <c r="AK171" i="5"/>
  <c r="AL170" i="5" s="1"/>
  <c r="BC169" i="10"/>
  <c r="BD168" i="10"/>
  <c r="BB168" i="10"/>
  <c r="CM480" i="10"/>
  <c r="CL479" i="10"/>
  <c r="CN479" i="10"/>
  <c r="CN168" i="10"/>
  <c r="CL168" i="10"/>
  <c r="CM169" i="10"/>
  <c r="DW169" i="10"/>
  <c r="DV168" i="10"/>
  <c r="DX168" i="10"/>
  <c r="BC481" i="10"/>
  <c r="BB480" i="10"/>
  <c r="BD480" i="10"/>
  <c r="D173" i="5"/>
  <c r="G173" i="5" s="1"/>
  <c r="AC172" i="5"/>
  <c r="F172" i="5"/>
  <c r="O172" i="5" s="1"/>
  <c r="AI172" i="5"/>
  <c r="E172" i="5"/>
  <c r="L172" i="5" s="1"/>
  <c r="P156" i="11"/>
  <c r="S156" i="11"/>
  <c r="AJ170" i="5"/>
  <c r="Q157" i="11"/>
  <c r="R157" i="11"/>
  <c r="U157" i="11"/>
  <c r="T157" i="11"/>
  <c r="O157" i="11"/>
  <c r="N157" i="11"/>
  <c r="B158" i="11"/>
  <c r="D157" i="11"/>
  <c r="V156" i="11"/>
  <c r="J164" i="16" l="1"/>
  <c r="K163" i="16"/>
  <c r="G163" i="16" s="1"/>
  <c r="L163" i="16"/>
  <c r="H170" i="16"/>
  <c r="S157" i="11"/>
  <c r="P172" i="5"/>
  <c r="I173" i="5"/>
  <c r="N173" i="5" s="1"/>
  <c r="H173" i="5"/>
  <c r="AG173" i="5"/>
  <c r="AA173" i="5"/>
  <c r="AE172" i="5"/>
  <c r="AH171" i="5"/>
  <c r="J172" i="5"/>
  <c r="K172" i="5"/>
  <c r="M172" i="5" s="1"/>
  <c r="DX169" i="10"/>
  <c r="DW170" i="10"/>
  <c r="DV169" i="10"/>
  <c r="CM481" i="10"/>
  <c r="CN480" i="10"/>
  <c r="CL480" i="10"/>
  <c r="CL169" i="10"/>
  <c r="CM170" i="10"/>
  <c r="CN169" i="10"/>
  <c r="BB169" i="10"/>
  <c r="BC170" i="10"/>
  <c r="BD169" i="10"/>
  <c r="AJ171" i="5"/>
  <c r="AK172" i="5"/>
  <c r="BD481" i="10"/>
  <c r="BB481" i="10"/>
  <c r="BC482" i="10"/>
  <c r="P157" i="11"/>
  <c r="V157" i="11"/>
  <c r="D158" i="11"/>
  <c r="B159" i="11"/>
  <c r="Q158" i="11"/>
  <c r="R158" i="11"/>
  <c r="T158" i="11"/>
  <c r="O158" i="11"/>
  <c r="U158" i="11"/>
  <c r="N158" i="11"/>
  <c r="D174" i="5"/>
  <c r="G174" i="5" s="1"/>
  <c r="E173" i="5"/>
  <c r="L173" i="5" s="1"/>
  <c r="F173" i="5"/>
  <c r="O173" i="5" s="1"/>
  <c r="AC173" i="5"/>
  <c r="AI173" i="5"/>
  <c r="J165" i="16" l="1"/>
  <c r="L164" i="16"/>
  <c r="K164" i="16"/>
  <c r="G164" i="16" s="1"/>
  <c r="H171" i="16"/>
  <c r="P158" i="11"/>
  <c r="P173" i="5"/>
  <c r="AK173" i="5"/>
  <c r="AL172" i="5" s="1"/>
  <c r="AE173" i="5"/>
  <c r="I174" i="5"/>
  <c r="N174" i="5" s="1"/>
  <c r="AA174" i="5"/>
  <c r="H174" i="5"/>
  <c r="AG174" i="5"/>
  <c r="AH173" i="5" s="1"/>
  <c r="AH172" i="5"/>
  <c r="J173" i="5"/>
  <c r="K173" i="5"/>
  <c r="M173" i="5" s="1"/>
  <c r="CM171" i="10"/>
  <c r="CL170" i="10"/>
  <c r="CN170" i="10"/>
  <c r="CL481" i="10"/>
  <c r="CN481" i="10"/>
  <c r="CM482" i="10"/>
  <c r="DX170" i="10"/>
  <c r="DW171" i="10"/>
  <c r="DV170" i="10"/>
  <c r="BB170" i="10"/>
  <c r="BD170" i="10"/>
  <c r="BC171" i="10"/>
  <c r="AL171" i="5"/>
  <c r="BB482" i="10"/>
  <c r="BD482" i="10"/>
  <c r="BC483" i="10"/>
  <c r="S158" i="11"/>
  <c r="AJ172" i="5"/>
  <c r="O159" i="11"/>
  <c r="N159" i="11"/>
  <c r="B160" i="11"/>
  <c r="D159" i="11"/>
  <c r="R159" i="11"/>
  <c r="T159" i="11"/>
  <c r="U159" i="11"/>
  <c r="Q159" i="11"/>
  <c r="D175" i="5"/>
  <c r="G175" i="5" s="1"/>
  <c r="AI174" i="5"/>
  <c r="E174" i="5"/>
  <c r="L174" i="5" s="1"/>
  <c r="AC174" i="5"/>
  <c r="F174" i="5"/>
  <c r="O174" i="5" s="1"/>
  <c r="V158" i="11"/>
  <c r="J166" i="16" l="1"/>
  <c r="L165" i="16"/>
  <c r="K165" i="16"/>
  <c r="G165" i="16" s="1"/>
  <c r="H172" i="16"/>
  <c r="P174" i="5"/>
  <c r="AG175" i="5"/>
  <c r="AH174" i="5" s="1"/>
  <c r="I175" i="5"/>
  <c r="N175" i="5" s="1"/>
  <c r="H175" i="5"/>
  <c r="AA175" i="5"/>
  <c r="AE174" i="5"/>
  <c r="AK174" i="5"/>
  <c r="AL173" i="5" s="1"/>
  <c r="S159" i="11"/>
  <c r="V159" i="11"/>
  <c r="P159" i="11"/>
  <c r="K174" i="5"/>
  <c r="M174" i="5" s="1"/>
  <c r="J174" i="5"/>
  <c r="BC172" i="10"/>
  <c r="BB171" i="10"/>
  <c r="BD171" i="10"/>
  <c r="DV171" i="10"/>
  <c r="DW172" i="10"/>
  <c r="DX171" i="10"/>
  <c r="CN482" i="10"/>
  <c r="CL482" i="10"/>
  <c r="CM483" i="10"/>
  <c r="CM172" i="10"/>
  <c r="CN171" i="10"/>
  <c r="CL171" i="10"/>
  <c r="BC484" i="10"/>
  <c r="BB483" i="10"/>
  <c r="BD483" i="10"/>
  <c r="D176" i="5"/>
  <c r="G176" i="5" s="1"/>
  <c r="AC175" i="5"/>
  <c r="E175" i="5"/>
  <c r="L175" i="5" s="1"/>
  <c r="F175" i="5"/>
  <c r="O175" i="5" s="1"/>
  <c r="AI175" i="5"/>
  <c r="AJ173" i="5"/>
  <c r="R160" i="11"/>
  <c r="U160" i="11"/>
  <c r="T160" i="11"/>
  <c r="N160" i="11"/>
  <c r="D160" i="11"/>
  <c r="O160" i="11"/>
  <c r="Q160" i="11"/>
  <c r="S160" i="11" s="1"/>
  <c r="B161" i="11"/>
  <c r="J167" i="16" l="1"/>
  <c r="K166" i="16"/>
  <c r="G166" i="16" s="1"/>
  <c r="L166" i="16"/>
  <c r="H173" i="16"/>
  <c r="P175" i="5"/>
  <c r="AE175" i="5"/>
  <c r="J175" i="5"/>
  <c r="K175" i="5"/>
  <c r="M175" i="5" s="1"/>
  <c r="V160" i="11"/>
  <c r="H176" i="5"/>
  <c r="AA176" i="5"/>
  <c r="I176" i="5"/>
  <c r="N176" i="5" s="1"/>
  <c r="AG176" i="5"/>
  <c r="CL172" i="10"/>
  <c r="CN172" i="10"/>
  <c r="CM173" i="10"/>
  <c r="CL483" i="10"/>
  <c r="CN483" i="10"/>
  <c r="CM484" i="10"/>
  <c r="DV172" i="10"/>
  <c r="DW173" i="10"/>
  <c r="DX172" i="10"/>
  <c r="BC173" i="10"/>
  <c r="BB172" i="10"/>
  <c r="BD172" i="10"/>
  <c r="AJ174" i="5"/>
  <c r="AK175" i="5"/>
  <c r="BD484" i="10"/>
  <c r="BB484" i="10"/>
  <c r="BC485" i="10"/>
  <c r="B162" i="11"/>
  <c r="O161" i="11"/>
  <c r="R161" i="11"/>
  <c r="T161" i="11"/>
  <c r="D161" i="11"/>
  <c r="U161" i="11"/>
  <c r="Q161" i="11"/>
  <c r="N161" i="11"/>
  <c r="P160" i="11"/>
  <c r="D177" i="5"/>
  <c r="G177" i="5" s="1"/>
  <c r="AC176" i="5"/>
  <c r="AI176" i="5"/>
  <c r="F176" i="5"/>
  <c r="O176" i="5" s="1"/>
  <c r="E176" i="5"/>
  <c r="L176" i="5" s="1"/>
  <c r="J168" i="16" l="1"/>
  <c r="K167" i="16"/>
  <c r="G167" i="16" s="1"/>
  <c r="L167" i="16"/>
  <c r="H174" i="16"/>
  <c r="S161" i="11"/>
  <c r="P161" i="11"/>
  <c r="AE176" i="5"/>
  <c r="P176" i="5"/>
  <c r="AK176" i="5"/>
  <c r="AL175" i="5" s="1"/>
  <c r="AG177" i="5"/>
  <c r="AH176" i="5" s="1"/>
  <c r="H177" i="5"/>
  <c r="AA177" i="5"/>
  <c r="I177" i="5"/>
  <c r="N177" i="5" s="1"/>
  <c r="K176" i="5"/>
  <c r="M176" i="5" s="1"/>
  <c r="J176" i="5"/>
  <c r="AH175" i="5"/>
  <c r="BD173" i="10"/>
  <c r="BC174" i="10"/>
  <c r="BB173" i="10"/>
  <c r="DW174" i="10"/>
  <c r="DX173" i="10"/>
  <c r="DV173" i="10"/>
  <c r="CM485" i="10"/>
  <c r="CN484" i="10"/>
  <c r="CL484" i="10"/>
  <c r="CL173" i="10"/>
  <c r="CN173" i="10"/>
  <c r="CM174" i="10"/>
  <c r="AL174" i="5"/>
  <c r="BB485" i="10"/>
  <c r="BD485" i="10"/>
  <c r="BC486" i="10"/>
  <c r="D178" i="5"/>
  <c r="G178" i="5" s="1"/>
  <c r="AI177" i="5"/>
  <c r="F177" i="5"/>
  <c r="O177" i="5" s="1"/>
  <c r="AC177" i="5"/>
  <c r="E177" i="5"/>
  <c r="L177" i="5" s="1"/>
  <c r="B163" i="11"/>
  <c r="T162" i="11"/>
  <c r="D162" i="11"/>
  <c r="R162" i="11"/>
  <c r="N162" i="11"/>
  <c r="Q162" i="11"/>
  <c r="S162" i="11" s="1"/>
  <c r="O162" i="11"/>
  <c r="U162" i="11"/>
  <c r="V161" i="11"/>
  <c r="AJ175" i="5"/>
  <c r="J169" i="16" l="1"/>
  <c r="K168" i="16"/>
  <c r="G168" i="16" s="1"/>
  <c r="L168" i="16"/>
  <c r="H175" i="16"/>
  <c r="P177" i="5"/>
  <c r="AE177" i="5"/>
  <c r="AA178" i="5"/>
  <c r="I178" i="5"/>
  <c r="N178" i="5" s="1"/>
  <c r="H178" i="5"/>
  <c r="AG178" i="5"/>
  <c r="K177" i="5"/>
  <c r="M177" i="5" s="1"/>
  <c r="J177" i="5"/>
  <c r="CL174" i="10"/>
  <c r="CM175" i="10"/>
  <c r="CN174" i="10"/>
  <c r="DW175" i="10"/>
  <c r="DV174" i="10"/>
  <c r="DX174" i="10"/>
  <c r="BC175" i="10"/>
  <c r="BD174" i="10"/>
  <c r="BB174" i="10"/>
  <c r="CM486" i="10"/>
  <c r="CN485" i="10"/>
  <c r="CL485" i="10"/>
  <c r="AJ176" i="5"/>
  <c r="AK177" i="5"/>
  <c r="BC487" i="10"/>
  <c r="BD486" i="10"/>
  <c r="BB486" i="10"/>
  <c r="P162" i="11"/>
  <c r="O163" i="11"/>
  <c r="N163" i="11"/>
  <c r="B164" i="11"/>
  <c r="D163" i="11"/>
  <c r="U163" i="11"/>
  <c r="R163" i="11"/>
  <c r="T163" i="11"/>
  <c r="Q163" i="11"/>
  <c r="D179" i="5"/>
  <c r="G179" i="5" s="1"/>
  <c r="AC178" i="5"/>
  <c r="E178" i="5"/>
  <c r="L178" i="5" s="1"/>
  <c r="F178" i="5"/>
  <c r="O178" i="5" s="1"/>
  <c r="AI178" i="5"/>
  <c r="V162" i="11"/>
  <c r="J170" i="16" l="1"/>
  <c r="K169" i="16"/>
  <c r="G169" i="16" s="1"/>
  <c r="L169" i="16"/>
  <c r="H176" i="16"/>
  <c r="S163" i="11"/>
  <c r="V163" i="11"/>
  <c r="P178" i="5"/>
  <c r="AE178" i="5"/>
  <c r="AK178" i="5"/>
  <c r="AL177" i="5" s="1"/>
  <c r="AG179" i="5"/>
  <c r="H179" i="5"/>
  <c r="AA179" i="5"/>
  <c r="I179" i="5"/>
  <c r="N179" i="5" s="1"/>
  <c r="J178" i="5"/>
  <c r="K178" i="5"/>
  <c r="M178" i="5" s="1"/>
  <c r="AH177" i="5"/>
  <c r="CN486" i="10"/>
  <c r="CL486" i="10"/>
  <c r="CM487" i="10"/>
  <c r="DV175" i="10"/>
  <c r="DW176" i="10"/>
  <c r="DX175" i="10"/>
  <c r="CM176" i="10"/>
  <c r="CN175" i="10"/>
  <c r="CL175" i="10"/>
  <c r="BB175" i="10"/>
  <c r="BC176" i="10"/>
  <c r="BD175" i="10"/>
  <c r="AJ177" i="5"/>
  <c r="AL176" i="5"/>
  <c r="P163" i="11"/>
  <c r="BD487" i="10"/>
  <c r="BB487" i="10"/>
  <c r="BC488" i="10"/>
  <c r="D180" i="5"/>
  <c r="G180" i="5" s="1"/>
  <c r="E179" i="5"/>
  <c r="L179" i="5" s="1"/>
  <c r="F179" i="5"/>
  <c r="O179" i="5" s="1"/>
  <c r="AC179" i="5"/>
  <c r="AI179" i="5"/>
  <c r="O164" i="11"/>
  <c r="R164" i="11"/>
  <c r="T164" i="11"/>
  <c r="U164" i="11"/>
  <c r="N164" i="11"/>
  <c r="P164" i="11" s="1"/>
  <c r="Q164" i="11"/>
  <c r="D164" i="11"/>
  <c r="B165" i="11"/>
  <c r="J171" i="16" l="1"/>
  <c r="K170" i="16"/>
  <c r="G170" i="16" s="1"/>
  <c r="L170" i="16"/>
  <c r="H177" i="16"/>
  <c r="S164" i="11"/>
  <c r="P179" i="5"/>
  <c r="AK179" i="5"/>
  <c r="AL178" i="5" s="1"/>
  <c r="AE179" i="5"/>
  <c r="H180" i="5"/>
  <c r="AA180" i="5"/>
  <c r="I180" i="5"/>
  <c r="N180" i="5" s="1"/>
  <c r="AG180" i="5"/>
  <c r="J179" i="5"/>
  <c r="K179" i="5"/>
  <c r="M179" i="5" s="1"/>
  <c r="AH178" i="5"/>
  <c r="BD176" i="10"/>
  <c r="BB176" i="10"/>
  <c r="BC177" i="10"/>
  <c r="CL176" i="10"/>
  <c r="CN176" i="10"/>
  <c r="CM177" i="10"/>
  <c r="DW177" i="10"/>
  <c r="DV176" i="10"/>
  <c r="DX176" i="10"/>
  <c r="CL487" i="10"/>
  <c r="CM488" i="10"/>
  <c r="CN487" i="10"/>
  <c r="V164" i="11"/>
  <c r="BC489" i="10"/>
  <c r="BB488" i="10"/>
  <c r="BD488" i="10"/>
  <c r="D165" i="11"/>
  <c r="B166" i="11"/>
  <c r="N165" i="11"/>
  <c r="O165" i="11"/>
  <c r="U165" i="11"/>
  <c r="R165" i="11"/>
  <c r="T165" i="11"/>
  <c r="Q165" i="11"/>
  <c r="AJ178" i="5"/>
  <c r="D181" i="5"/>
  <c r="G181" i="5" s="1"/>
  <c r="AI180" i="5"/>
  <c r="F180" i="5"/>
  <c r="O180" i="5" s="1"/>
  <c r="AC180" i="5"/>
  <c r="E180" i="5"/>
  <c r="L180" i="5" s="1"/>
  <c r="J172" i="16" l="1"/>
  <c r="K171" i="16"/>
  <c r="G171" i="16" s="1"/>
  <c r="L171" i="16"/>
  <c r="S165" i="11"/>
  <c r="V165" i="11"/>
  <c r="AK180" i="5"/>
  <c r="AL179" i="5" s="1"/>
  <c r="AE180" i="5"/>
  <c r="P180" i="5"/>
  <c r="AH179" i="5"/>
  <c r="I181" i="5"/>
  <c r="N181" i="5" s="1"/>
  <c r="AA181" i="5"/>
  <c r="H181" i="5"/>
  <c r="AG181" i="5"/>
  <c r="J180" i="5"/>
  <c r="K180" i="5"/>
  <c r="M180" i="5" s="1"/>
  <c r="AJ179" i="5"/>
  <c r="CL177" i="10"/>
  <c r="CN177" i="10"/>
  <c r="CM178" i="10"/>
  <c r="CL488" i="10"/>
  <c r="CN488" i="10"/>
  <c r="CM489" i="10"/>
  <c r="DX177" i="10"/>
  <c r="DW178" i="10"/>
  <c r="DV177" i="10"/>
  <c r="BB177" i="10"/>
  <c r="BD177" i="10"/>
  <c r="BC178" i="10"/>
  <c r="BC490" i="10"/>
  <c r="BD489" i="10"/>
  <c r="BB489" i="10"/>
  <c r="D182" i="5"/>
  <c r="G182" i="5" s="1"/>
  <c r="AC181" i="5"/>
  <c r="AI181" i="5"/>
  <c r="F181" i="5"/>
  <c r="O181" i="5" s="1"/>
  <c r="E181" i="5"/>
  <c r="L181" i="5" s="1"/>
  <c r="P165" i="11"/>
  <c r="R166" i="11"/>
  <c r="B167" i="11"/>
  <c r="Q166" i="11"/>
  <c r="T166" i="11"/>
  <c r="D166" i="11"/>
  <c r="N166" i="11"/>
  <c r="O166" i="11"/>
  <c r="U166" i="11"/>
  <c r="J173" i="16" l="1"/>
  <c r="L172" i="16"/>
  <c r="K172" i="16"/>
  <c r="G172" i="16" s="1"/>
  <c r="S166" i="11"/>
  <c r="P181" i="5"/>
  <c r="AK181" i="5"/>
  <c r="AL180" i="5" s="1"/>
  <c r="V1" i="5" s="1" a="1"/>
  <c r="V1" i="5" s="1"/>
  <c r="AE181" i="5"/>
  <c r="K181" i="5"/>
  <c r="M181" i="5" s="1"/>
  <c r="J181" i="5"/>
  <c r="H182" i="5"/>
  <c r="AA182" i="5"/>
  <c r="AG182" i="5"/>
  <c r="AH181" i="5" s="1"/>
  <c r="I182" i="5"/>
  <c r="N182" i="5" s="1"/>
  <c r="AH180" i="5"/>
  <c r="BB178" i="10"/>
  <c r="BC179" i="10"/>
  <c r="BD178" i="10"/>
  <c r="DX178" i="10"/>
  <c r="DW179" i="10"/>
  <c r="DV178" i="10"/>
  <c r="CM490" i="10"/>
  <c r="CN489" i="10"/>
  <c r="CL489" i="10"/>
  <c r="CN178" i="10"/>
  <c r="CL178" i="10"/>
  <c r="CM179" i="10"/>
  <c r="BC491" i="10"/>
  <c r="BD490" i="10"/>
  <c r="BB490" i="10"/>
  <c r="P166" i="11"/>
  <c r="V166" i="11"/>
  <c r="U167" i="11"/>
  <c r="O167" i="11"/>
  <c r="N167" i="11"/>
  <c r="D167" i="11"/>
  <c r="T167" i="11"/>
  <c r="Q167" i="11"/>
  <c r="R167" i="11"/>
  <c r="B168" i="11"/>
  <c r="D183" i="5"/>
  <c r="G183" i="5" s="1"/>
  <c r="F182" i="5"/>
  <c r="O182" i="5" s="1"/>
  <c r="AC182" i="5"/>
  <c r="E182" i="5"/>
  <c r="L182" i="5" s="1"/>
  <c r="AI182" i="5"/>
  <c r="AJ180" i="5"/>
  <c r="V167" i="11" l="1"/>
  <c r="J174" i="16"/>
  <c r="L173" i="16"/>
  <c r="K173" i="16"/>
  <c r="G173" i="16" s="1"/>
  <c r="AE182" i="5"/>
  <c r="P182" i="5"/>
  <c r="AK182" i="5"/>
  <c r="AL181" i="5" s="1"/>
  <c r="AG183" i="5"/>
  <c r="H183" i="5"/>
  <c r="I183" i="5"/>
  <c r="N183" i="5" s="1"/>
  <c r="AA183" i="5"/>
  <c r="K182" i="5"/>
  <c r="M182" i="5" s="1"/>
  <c r="J182" i="5"/>
  <c r="CM180" i="10"/>
  <c r="CN179" i="10"/>
  <c r="CL179" i="10"/>
  <c r="BB179" i="10"/>
  <c r="BD179" i="10"/>
  <c r="BC180" i="10"/>
  <c r="CM491" i="10"/>
  <c r="CL490" i="10"/>
  <c r="CN490" i="10"/>
  <c r="DX179" i="10"/>
  <c r="DV179" i="10"/>
  <c r="DW180" i="10"/>
  <c r="BD491" i="10"/>
  <c r="BC492" i="10"/>
  <c r="BB491" i="10"/>
  <c r="D184" i="5"/>
  <c r="G184" i="5" s="1"/>
  <c r="AI183" i="5"/>
  <c r="F183" i="5"/>
  <c r="O183" i="5" s="1"/>
  <c r="AC183" i="5"/>
  <c r="E183" i="5"/>
  <c r="L183" i="5" s="1"/>
  <c r="P167" i="11"/>
  <c r="AJ181" i="5"/>
  <c r="Q168" i="11"/>
  <c r="N168" i="11"/>
  <c r="O168" i="11"/>
  <c r="R168" i="11"/>
  <c r="T168" i="11"/>
  <c r="B169" i="11"/>
  <c r="U168" i="11"/>
  <c r="D168" i="11"/>
  <c r="S167" i="11"/>
  <c r="J175" i="16" l="1"/>
  <c r="K174" i="16"/>
  <c r="G174" i="16" s="1"/>
  <c r="L174" i="16"/>
  <c r="P183" i="5"/>
  <c r="AE183" i="5"/>
  <c r="J183" i="5"/>
  <c r="K183" i="5"/>
  <c r="M183" i="5" s="1"/>
  <c r="AA184" i="5"/>
  <c r="AG184" i="5"/>
  <c r="I184" i="5"/>
  <c r="N184" i="5" s="1"/>
  <c r="H184" i="5"/>
  <c r="AH182" i="5"/>
  <c r="DX180" i="10"/>
  <c r="DV180" i="10"/>
  <c r="DW181" i="10"/>
  <c r="BB180" i="10"/>
  <c r="BC181" i="10"/>
  <c r="BD180" i="10"/>
  <c r="CM492" i="10"/>
  <c r="CN491" i="10"/>
  <c r="CL491" i="10"/>
  <c r="CN180" i="10"/>
  <c r="CM181" i="10"/>
  <c r="CL180" i="10"/>
  <c r="AJ182" i="5"/>
  <c r="AK183" i="5"/>
  <c r="P168" i="11"/>
  <c r="BD492" i="10"/>
  <c r="BB492" i="10"/>
  <c r="BC493" i="10"/>
  <c r="T169" i="11"/>
  <c r="N169" i="11"/>
  <c r="B170" i="11"/>
  <c r="O169" i="11"/>
  <c r="Q169" i="11"/>
  <c r="D169" i="11"/>
  <c r="R169" i="11"/>
  <c r="U169" i="11"/>
  <c r="V168" i="11"/>
  <c r="S168" i="11"/>
  <c r="D185" i="5"/>
  <c r="G185" i="5" s="1"/>
  <c r="E184" i="5"/>
  <c r="L184" i="5" s="1"/>
  <c r="AC184" i="5"/>
  <c r="AI184" i="5"/>
  <c r="F184" i="5"/>
  <c r="O184" i="5" s="1"/>
  <c r="J176" i="16" l="1"/>
  <c r="K175" i="16"/>
  <c r="G175" i="16" s="1"/>
  <c r="L175" i="16"/>
  <c r="P184" i="5"/>
  <c r="AK184" i="5"/>
  <c r="AL183" i="5" s="1"/>
  <c r="AE184" i="5"/>
  <c r="AG185" i="5"/>
  <c r="AA185" i="5"/>
  <c r="I185" i="5"/>
  <c r="N185" i="5" s="1"/>
  <c r="H185" i="5"/>
  <c r="J184" i="5"/>
  <c r="K184" i="5"/>
  <c r="M184" i="5" s="1"/>
  <c r="AH183" i="5"/>
  <c r="CL181" i="10"/>
  <c r="CN181" i="10"/>
  <c r="CM182" i="10"/>
  <c r="CN492" i="10"/>
  <c r="CM493" i="10"/>
  <c r="CL492" i="10"/>
  <c r="BB181" i="10"/>
  <c r="BC182" i="10"/>
  <c r="BD181" i="10"/>
  <c r="DX181" i="10"/>
  <c r="DW182" i="10"/>
  <c r="DV181" i="10"/>
  <c r="AL182" i="5"/>
  <c r="BC494" i="10"/>
  <c r="BD493" i="10"/>
  <c r="BB493" i="10"/>
  <c r="D186" i="5"/>
  <c r="G186" i="5" s="1"/>
  <c r="AI185" i="5"/>
  <c r="AC185" i="5"/>
  <c r="E185" i="5"/>
  <c r="L185" i="5" s="1"/>
  <c r="F185" i="5"/>
  <c r="O185" i="5" s="1"/>
  <c r="P169" i="11"/>
  <c r="AJ183" i="5"/>
  <c r="S169" i="11"/>
  <c r="R170" i="11"/>
  <c r="U170" i="11"/>
  <c r="T170" i="11"/>
  <c r="B171" i="11"/>
  <c r="N170" i="11"/>
  <c r="Q170" i="11"/>
  <c r="D170" i="11"/>
  <c r="O170" i="11"/>
  <c r="V169" i="11"/>
  <c r="J177" i="16" l="1"/>
  <c r="K176" i="16"/>
  <c r="G176" i="16" s="1"/>
  <c r="L176" i="16"/>
  <c r="P185" i="5"/>
  <c r="AK185" i="5"/>
  <c r="AL184" i="5" s="1"/>
  <c r="J185" i="5"/>
  <c r="K185" i="5"/>
  <c r="M185" i="5" s="1"/>
  <c r="P170" i="11"/>
  <c r="V170" i="11"/>
  <c r="AE185" i="5"/>
  <c r="AA186" i="5"/>
  <c r="AG186" i="5"/>
  <c r="H186" i="5"/>
  <c r="I186" i="5"/>
  <c r="N186" i="5" s="1"/>
  <c r="AH184" i="5"/>
  <c r="AJ184" i="5"/>
  <c r="BB182" i="10"/>
  <c r="BD182" i="10"/>
  <c r="BC183" i="10"/>
  <c r="DW183" i="10"/>
  <c r="DX182" i="10"/>
  <c r="DV182" i="10"/>
  <c r="CL493" i="10"/>
  <c r="CN493" i="10"/>
  <c r="CM494" i="10"/>
  <c r="CN182" i="10"/>
  <c r="CM183" i="10"/>
  <c r="CL182" i="10"/>
  <c r="BD494" i="10"/>
  <c r="BC495" i="10"/>
  <c r="BB494" i="10"/>
  <c r="S170" i="11"/>
  <c r="D171" i="11"/>
  <c r="U171" i="11"/>
  <c r="R171" i="11"/>
  <c r="T171" i="11"/>
  <c r="O171" i="11"/>
  <c r="B172" i="11"/>
  <c r="Q171" i="11"/>
  <c r="N171" i="11"/>
  <c r="D187" i="5"/>
  <c r="G187" i="5" s="1"/>
  <c r="F186" i="5"/>
  <c r="O186" i="5" s="1"/>
  <c r="AC186" i="5"/>
  <c r="E186" i="5"/>
  <c r="L186" i="5" s="1"/>
  <c r="AI186" i="5"/>
  <c r="K177" i="16" l="1"/>
  <c r="G177" i="16" s="1"/>
  <c r="L177" i="16"/>
  <c r="P171" i="11"/>
  <c r="S171" i="11"/>
  <c r="V171" i="11"/>
  <c r="P186" i="5"/>
  <c r="AE186" i="5"/>
  <c r="AH185" i="5"/>
  <c r="AK186" i="5"/>
  <c r="AL185" i="5" s="1"/>
  <c r="AA187" i="5"/>
  <c r="AG187" i="5"/>
  <c r="I187" i="5"/>
  <c r="N187" i="5" s="1"/>
  <c r="H187" i="5"/>
  <c r="K186" i="5"/>
  <c r="M186" i="5" s="1"/>
  <c r="J186" i="5"/>
  <c r="DV183" i="10"/>
  <c r="DW184" i="10"/>
  <c r="DX183" i="10"/>
  <c r="CN183" i="10"/>
  <c r="CM184" i="10"/>
  <c r="CL183" i="10"/>
  <c r="CM495" i="10"/>
  <c r="CN494" i="10"/>
  <c r="CL494" i="10"/>
  <c r="BD183" i="10"/>
  <c r="BC184" i="10"/>
  <c r="BB183" i="10"/>
  <c r="BB495" i="10"/>
  <c r="BD495" i="10"/>
  <c r="BC496" i="10"/>
  <c r="D188" i="5"/>
  <c r="G188" i="5" s="1"/>
  <c r="F187" i="5"/>
  <c r="O187" i="5" s="1"/>
  <c r="E187" i="5"/>
  <c r="L187" i="5" s="1"/>
  <c r="AC187" i="5"/>
  <c r="AI187" i="5"/>
  <c r="Q172" i="11"/>
  <c r="R172" i="11"/>
  <c r="U172" i="11"/>
  <c r="T172" i="11"/>
  <c r="N172" i="11"/>
  <c r="D172" i="11"/>
  <c r="O172" i="11"/>
  <c r="B173" i="11"/>
  <c r="AJ185" i="5"/>
  <c r="AK187" i="5" l="1"/>
  <c r="AL186" i="5" s="1"/>
  <c r="AE187" i="5"/>
  <c r="P187" i="5"/>
  <c r="AA188" i="5"/>
  <c r="H188" i="5"/>
  <c r="I188" i="5"/>
  <c r="N188" i="5" s="1"/>
  <c r="AG188" i="5"/>
  <c r="AH187" i="5" s="1"/>
  <c r="K187" i="5"/>
  <c r="M187" i="5" s="1"/>
  <c r="J187" i="5"/>
  <c r="S172" i="11"/>
  <c r="AH186" i="5"/>
  <c r="AJ186" i="5"/>
  <c r="DW185" i="10"/>
  <c r="DX184" i="10"/>
  <c r="DV184" i="10"/>
  <c r="BD184" i="10"/>
  <c r="BC185" i="10"/>
  <c r="BB184" i="10"/>
  <c r="CL495" i="10"/>
  <c r="CN495" i="10"/>
  <c r="CM496" i="10"/>
  <c r="CN184" i="10"/>
  <c r="CM185" i="10"/>
  <c r="CL184" i="10"/>
  <c r="BC497" i="10"/>
  <c r="BB496" i="10"/>
  <c r="BD496" i="10"/>
  <c r="P172" i="11"/>
  <c r="N173" i="11"/>
  <c r="D173" i="11"/>
  <c r="B174" i="11"/>
  <c r="R173" i="11"/>
  <c r="T173" i="11"/>
  <c r="Q173" i="11"/>
  <c r="U173" i="11"/>
  <c r="O173" i="11"/>
  <c r="V172" i="11"/>
  <c r="D189" i="5"/>
  <c r="G189" i="5" s="1"/>
  <c r="F188" i="5"/>
  <c r="O188" i="5" s="1"/>
  <c r="AC188" i="5"/>
  <c r="E188" i="5"/>
  <c r="L188" i="5" s="1"/>
  <c r="AI188" i="5"/>
  <c r="S173" i="11" l="1"/>
  <c r="P188" i="5"/>
  <c r="AK188" i="5"/>
  <c r="AL187" i="5" s="1"/>
  <c r="AE188" i="5"/>
  <c r="H189" i="5"/>
  <c r="I189" i="5"/>
  <c r="N189" i="5" s="1"/>
  <c r="AG189" i="5"/>
  <c r="AA189" i="5"/>
  <c r="J188" i="5"/>
  <c r="K188" i="5"/>
  <c r="M188" i="5" s="1"/>
  <c r="CN185" i="10"/>
  <c r="CL185" i="10"/>
  <c r="CM186" i="10"/>
  <c r="CN496" i="10"/>
  <c r="CM497" i="10"/>
  <c r="CL496" i="10"/>
  <c r="BC186" i="10"/>
  <c r="BD185" i="10"/>
  <c r="BB185" i="10"/>
  <c r="DV185" i="10"/>
  <c r="DW186" i="10"/>
  <c r="DX185" i="10"/>
  <c r="BD497" i="10"/>
  <c r="BC498" i="10"/>
  <c r="BB497" i="10"/>
  <c r="D190" i="5"/>
  <c r="G190" i="5" s="1"/>
  <c r="F189" i="5"/>
  <c r="O189" i="5" s="1"/>
  <c r="AI189" i="5"/>
  <c r="E189" i="5"/>
  <c r="L189" i="5" s="1"/>
  <c r="AC189" i="5"/>
  <c r="AJ187" i="5"/>
  <c r="V173" i="11"/>
  <c r="B175" i="11"/>
  <c r="R174" i="11"/>
  <c r="D174" i="11"/>
  <c r="T174" i="11"/>
  <c r="N174" i="11"/>
  <c r="U174" i="11"/>
  <c r="O174" i="11"/>
  <c r="Q174" i="11"/>
  <c r="S174" i="11" s="1"/>
  <c r="P173" i="11"/>
  <c r="AE189" i="5" l="1"/>
  <c r="H190" i="5"/>
  <c r="I190" i="5"/>
  <c r="N190" i="5" s="1"/>
  <c r="AA190" i="5"/>
  <c r="AG190" i="5"/>
  <c r="P189" i="5"/>
  <c r="AH188" i="5"/>
  <c r="J189" i="5"/>
  <c r="K189" i="5"/>
  <c r="M189" i="5" s="1"/>
  <c r="DV186" i="10"/>
  <c r="DW187" i="10"/>
  <c r="DX186" i="10"/>
  <c r="BC187" i="10"/>
  <c r="BB186" i="10"/>
  <c r="BD186" i="10"/>
  <c r="CN497" i="10"/>
  <c r="CL497" i="10"/>
  <c r="CM498" i="10"/>
  <c r="CN186" i="10"/>
  <c r="CL186" i="10"/>
  <c r="CM187" i="10"/>
  <c r="AJ188" i="5"/>
  <c r="AK189" i="5"/>
  <c r="BC499" i="10"/>
  <c r="BB498" i="10"/>
  <c r="BD498" i="10"/>
  <c r="P174" i="11"/>
  <c r="Q175" i="11"/>
  <c r="U175" i="11"/>
  <c r="R175" i="11"/>
  <c r="D175" i="11"/>
  <c r="O175" i="11"/>
  <c r="B176" i="11"/>
  <c r="T175" i="11"/>
  <c r="N175" i="11"/>
  <c r="V174" i="11"/>
  <c r="D191" i="5"/>
  <c r="G191" i="5" s="1"/>
  <c r="AI190" i="5"/>
  <c r="F190" i="5"/>
  <c r="O190" i="5" s="1"/>
  <c r="AC190" i="5"/>
  <c r="E190" i="5"/>
  <c r="L190" i="5" s="1"/>
  <c r="AE190" i="5" l="1"/>
  <c r="P190" i="5"/>
  <c r="AA191" i="5"/>
  <c r="AG191" i="5"/>
  <c r="AH190" i="5" s="1"/>
  <c r="H191" i="5"/>
  <c r="I191" i="5"/>
  <c r="N191" i="5" s="1"/>
  <c r="AH189" i="5"/>
  <c r="AK190" i="5"/>
  <c r="AL189" i="5" s="1"/>
  <c r="V175" i="11"/>
  <c r="K190" i="5"/>
  <c r="M190" i="5" s="1"/>
  <c r="J190" i="5"/>
  <c r="CL187" i="10"/>
  <c r="CM188" i="10"/>
  <c r="CN187" i="10"/>
  <c r="BB187" i="10"/>
  <c r="BD187" i="10"/>
  <c r="BC188" i="10"/>
  <c r="DX187" i="10"/>
  <c r="DV187" i="10"/>
  <c r="DW188" i="10"/>
  <c r="CM499" i="10"/>
  <c r="CN498" i="10"/>
  <c r="CL498" i="10"/>
  <c r="AL188" i="5"/>
  <c r="P175" i="11"/>
  <c r="BC500" i="10"/>
  <c r="BB499" i="10"/>
  <c r="BD499" i="10"/>
  <c r="D192" i="5"/>
  <c r="G192" i="5" s="1"/>
  <c r="F191" i="5"/>
  <c r="O191" i="5" s="1"/>
  <c r="E191" i="5"/>
  <c r="L191" i="5" s="1"/>
  <c r="AC191" i="5"/>
  <c r="AI191" i="5"/>
  <c r="S175" i="11"/>
  <c r="AJ189" i="5"/>
  <c r="Q176" i="11"/>
  <c r="O176" i="11"/>
  <c r="N176" i="11"/>
  <c r="B177" i="11"/>
  <c r="D176" i="11"/>
  <c r="R176" i="11"/>
  <c r="U176" i="11"/>
  <c r="T176" i="11"/>
  <c r="AE191" i="5" l="1"/>
  <c r="P191" i="5"/>
  <c r="J191" i="5"/>
  <c r="K191" i="5"/>
  <c r="M191" i="5" s="1"/>
  <c r="AA192" i="5"/>
  <c r="AG192" i="5"/>
  <c r="I192" i="5"/>
  <c r="N192" i="5" s="1"/>
  <c r="H192" i="5"/>
  <c r="CM500" i="10"/>
  <c r="CN499" i="10"/>
  <c r="CL499" i="10"/>
  <c r="BB188" i="10"/>
  <c r="BC189" i="10"/>
  <c r="BD188" i="10"/>
  <c r="CL188" i="10"/>
  <c r="CM189" i="10"/>
  <c r="CN188" i="10"/>
  <c r="DX188" i="10"/>
  <c r="DW189" i="10"/>
  <c r="DV188" i="10"/>
  <c r="AJ190" i="5"/>
  <c r="AK191" i="5"/>
  <c r="BB500" i="10"/>
  <c r="BC501" i="10"/>
  <c r="BD500" i="10"/>
  <c r="V176" i="11"/>
  <c r="P176" i="11"/>
  <c r="S176" i="11"/>
  <c r="Q177" i="11"/>
  <c r="R177" i="11"/>
  <c r="T177" i="11"/>
  <c r="U177" i="11"/>
  <c r="O177" i="11"/>
  <c r="B178" i="11"/>
  <c r="N177" i="11"/>
  <c r="P177" i="11" s="1"/>
  <c r="D177" i="11"/>
  <c r="D193" i="5"/>
  <c r="G193" i="5" s="1"/>
  <c r="E192" i="5"/>
  <c r="L192" i="5" s="1"/>
  <c r="AI192" i="5"/>
  <c r="F192" i="5"/>
  <c r="O192" i="5" s="1"/>
  <c r="AC192" i="5"/>
  <c r="AK192" i="5" l="1"/>
  <c r="AL191" i="5" s="1"/>
  <c r="P192" i="5"/>
  <c r="AE192" i="5"/>
  <c r="AG193" i="5"/>
  <c r="I193" i="5"/>
  <c r="N193" i="5" s="1"/>
  <c r="AA193" i="5"/>
  <c r="H193" i="5"/>
  <c r="V177" i="11"/>
  <c r="S177" i="11"/>
  <c r="K192" i="5"/>
  <c r="M192" i="5" s="1"/>
  <c r="J192" i="5"/>
  <c r="AH191" i="5"/>
  <c r="CL189" i="10"/>
  <c r="CM190" i="10"/>
  <c r="CN189" i="10"/>
  <c r="DW190" i="10"/>
  <c r="DX189" i="10"/>
  <c r="DV189" i="10"/>
  <c r="BD189" i="10"/>
  <c r="BC190" i="10"/>
  <c r="BB189" i="10"/>
  <c r="CL500" i="10"/>
  <c r="CN500" i="10"/>
  <c r="CM501" i="10"/>
  <c r="AL190" i="5"/>
  <c r="BD501" i="10"/>
  <c r="BC502" i="10"/>
  <c r="BB501" i="10"/>
  <c r="AJ191" i="5"/>
  <c r="D194" i="5"/>
  <c r="G194" i="5" s="1"/>
  <c r="AI193" i="5"/>
  <c r="F193" i="5"/>
  <c r="O193" i="5" s="1"/>
  <c r="AC193" i="5"/>
  <c r="E193" i="5"/>
  <c r="L193" i="5" s="1"/>
  <c r="D178" i="11"/>
  <c r="Q178" i="11"/>
  <c r="R178" i="11"/>
  <c r="T178" i="11"/>
  <c r="O178" i="11"/>
  <c r="B179" i="11"/>
  <c r="U178" i="11"/>
  <c r="N178" i="11"/>
  <c r="AE193" i="5" l="1"/>
  <c r="AK193" i="5"/>
  <c r="AL192" i="5" s="1"/>
  <c r="K193" i="5"/>
  <c r="M193" i="5" s="1"/>
  <c r="J193" i="5"/>
  <c r="P193" i="5"/>
  <c r="I194" i="5"/>
  <c r="N194" i="5" s="1"/>
  <c r="AG194" i="5"/>
  <c r="H194" i="5"/>
  <c r="AA194" i="5"/>
  <c r="AH192" i="5"/>
  <c r="AJ192" i="5"/>
  <c r="CN501" i="10"/>
  <c r="CL501" i="10"/>
  <c r="CM502" i="10"/>
  <c r="BB190" i="10"/>
  <c r="BD190" i="10"/>
  <c r="BC191" i="10"/>
  <c r="DW191" i="10"/>
  <c r="DX190" i="10"/>
  <c r="DV190" i="10"/>
  <c r="CM191" i="10"/>
  <c r="CL190" i="10"/>
  <c r="CN190" i="10"/>
  <c r="BD502" i="10"/>
  <c r="BB502" i="10"/>
  <c r="BC503" i="10"/>
  <c r="P178" i="11"/>
  <c r="V178" i="11"/>
  <c r="S178" i="11"/>
  <c r="Q179" i="11"/>
  <c r="U179" i="11"/>
  <c r="R179" i="11"/>
  <c r="D179" i="11"/>
  <c r="O179" i="11"/>
  <c r="B180" i="11"/>
  <c r="T179" i="11"/>
  <c r="N179" i="11"/>
  <c r="D195" i="5"/>
  <c r="G195" i="5" s="1"/>
  <c r="AC194" i="5"/>
  <c r="AI194" i="5"/>
  <c r="E194" i="5"/>
  <c r="L194" i="5" s="1"/>
  <c r="F194" i="5"/>
  <c r="O194" i="5" s="1"/>
  <c r="V179" i="11" l="1"/>
  <c r="P194" i="5"/>
  <c r="H195" i="5"/>
  <c r="AA195" i="5"/>
  <c r="I195" i="5"/>
  <c r="N195" i="5" s="1"/>
  <c r="AG195" i="5"/>
  <c r="AH193" i="5"/>
  <c r="AE194" i="5"/>
  <c r="J194" i="5"/>
  <c r="K194" i="5"/>
  <c r="M194" i="5" s="1"/>
  <c r="CM192" i="10"/>
  <c r="CN191" i="10"/>
  <c r="CL191" i="10"/>
  <c r="BB191" i="10"/>
  <c r="BC192" i="10"/>
  <c r="BD191" i="10"/>
  <c r="DW192" i="10"/>
  <c r="DV191" i="10"/>
  <c r="DX191" i="10"/>
  <c r="CL502" i="10"/>
  <c r="CM503" i="10"/>
  <c r="CN502" i="10"/>
  <c r="AJ193" i="5"/>
  <c r="AK194" i="5"/>
  <c r="BB503" i="10"/>
  <c r="BD503" i="10"/>
  <c r="BC504" i="10"/>
  <c r="D196" i="5"/>
  <c r="G196" i="5" s="1"/>
  <c r="AC195" i="5"/>
  <c r="AI195" i="5"/>
  <c r="F195" i="5"/>
  <c r="O195" i="5" s="1"/>
  <c r="E195" i="5"/>
  <c r="L195" i="5" s="1"/>
  <c r="P179" i="11"/>
  <c r="N180" i="11"/>
  <c r="R180" i="11"/>
  <c r="U180" i="11"/>
  <c r="O180" i="11"/>
  <c r="B181" i="11"/>
  <c r="Q180" i="11"/>
  <c r="S180" i="11" s="1"/>
  <c r="T180" i="11"/>
  <c r="V180" i="11" s="1"/>
  <c r="D180" i="11"/>
  <c r="S179" i="11"/>
  <c r="P195" i="5" l="1"/>
  <c r="AE195" i="5"/>
  <c r="AK195" i="5"/>
  <c r="AL194" i="5" s="1"/>
  <c r="H196" i="5"/>
  <c r="I196" i="5"/>
  <c r="N196" i="5" s="1"/>
  <c r="AA196" i="5"/>
  <c r="AG196" i="5"/>
  <c r="AH195" i="5" s="1"/>
  <c r="AH194" i="5"/>
  <c r="K195" i="5"/>
  <c r="M195" i="5" s="1"/>
  <c r="J195" i="5"/>
  <c r="AJ194" i="5"/>
  <c r="CM504" i="10"/>
  <c r="CL503" i="10"/>
  <c r="CN503" i="10"/>
  <c r="DX192" i="10"/>
  <c r="DW193" i="10"/>
  <c r="DV192" i="10"/>
  <c r="BB192" i="10"/>
  <c r="BC193" i="10"/>
  <c r="BD192" i="10"/>
  <c r="CL192" i="10"/>
  <c r="CN192" i="10"/>
  <c r="CM193" i="10"/>
  <c r="AL193" i="5"/>
  <c r="BB504" i="10"/>
  <c r="BD504" i="10"/>
  <c r="BC505" i="10"/>
  <c r="D197" i="5"/>
  <c r="G197" i="5" s="1"/>
  <c r="F196" i="5"/>
  <c r="O196" i="5" s="1"/>
  <c r="E196" i="5"/>
  <c r="L196" i="5" s="1"/>
  <c r="AC196" i="5"/>
  <c r="AI196" i="5"/>
  <c r="U181" i="11"/>
  <c r="R181" i="11"/>
  <c r="Q181" i="11"/>
  <c r="T181" i="11"/>
  <c r="N181" i="11"/>
  <c r="D181" i="11"/>
  <c r="B182" i="11"/>
  <c r="O181" i="11"/>
  <c r="P180" i="11"/>
  <c r="P196" i="5" l="1"/>
  <c r="AK196" i="5"/>
  <c r="AL195" i="5" s="1"/>
  <c r="I197" i="5"/>
  <c r="N197" i="5" s="1"/>
  <c r="AA197" i="5"/>
  <c r="H197" i="5"/>
  <c r="AG197" i="5"/>
  <c r="AH196" i="5" s="1"/>
  <c r="J196" i="5"/>
  <c r="K196" i="5"/>
  <c r="M196" i="5" s="1"/>
  <c r="P181" i="11"/>
  <c r="S181" i="11"/>
  <c r="AE196" i="5"/>
  <c r="AJ195" i="5"/>
  <c r="CL193" i="10"/>
  <c r="CM194" i="10"/>
  <c r="CN193" i="10"/>
  <c r="BC194" i="10"/>
  <c r="BB193" i="10"/>
  <c r="BD193" i="10"/>
  <c r="DX193" i="10"/>
  <c r="DW194" i="10"/>
  <c r="DV193" i="10"/>
  <c r="CN504" i="10"/>
  <c r="CL504" i="10"/>
  <c r="CM505" i="10"/>
  <c r="BC506" i="10"/>
  <c r="BB505" i="10"/>
  <c r="BD505" i="10"/>
  <c r="V181" i="11"/>
  <c r="D198" i="5"/>
  <c r="G198" i="5" s="1"/>
  <c r="AI197" i="5"/>
  <c r="E197" i="5"/>
  <c r="L197" i="5" s="1"/>
  <c r="F197" i="5"/>
  <c r="O197" i="5" s="1"/>
  <c r="AC197" i="5"/>
  <c r="N182" i="11"/>
  <c r="T182" i="11"/>
  <c r="D182" i="11"/>
  <c r="Q182" i="11"/>
  <c r="U182" i="11"/>
  <c r="B183" i="11"/>
  <c r="O182" i="11"/>
  <c r="R182" i="11"/>
  <c r="AK197" i="5" l="1"/>
  <c r="AL196" i="5" s="1"/>
  <c r="P197" i="5"/>
  <c r="AE197" i="5"/>
  <c r="J197" i="5"/>
  <c r="K197" i="5"/>
  <c r="M197" i="5" s="1"/>
  <c r="V182" i="11"/>
  <c r="I198" i="5"/>
  <c r="N198" i="5" s="1"/>
  <c r="AG198" i="5"/>
  <c r="H198" i="5"/>
  <c r="AA198" i="5"/>
  <c r="AJ196" i="5"/>
  <c r="CM506" i="10"/>
  <c r="CL505" i="10"/>
  <c r="CN505" i="10"/>
  <c r="DX194" i="10"/>
  <c r="DV194" i="10"/>
  <c r="DW195" i="10"/>
  <c r="BD194" i="10"/>
  <c r="BB194" i="10"/>
  <c r="BC195" i="10"/>
  <c r="CL194" i="10"/>
  <c r="CM195" i="10"/>
  <c r="CN194" i="10"/>
  <c r="BC507" i="10"/>
  <c r="BD506" i="10"/>
  <c r="BB506" i="10"/>
  <c r="P182" i="11"/>
  <c r="D199" i="5"/>
  <c r="G199" i="5" s="1"/>
  <c r="AI198" i="5"/>
  <c r="F198" i="5"/>
  <c r="O198" i="5" s="1"/>
  <c r="E198" i="5"/>
  <c r="L198" i="5" s="1"/>
  <c r="AC198" i="5"/>
  <c r="N183" i="11"/>
  <c r="D183" i="11"/>
  <c r="U183" i="11"/>
  <c r="O183" i="11"/>
  <c r="Q183" i="11"/>
  <c r="T183" i="11"/>
  <c r="R183" i="11"/>
  <c r="B184" i="11"/>
  <c r="S182" i="11"/>
  <c r="P198" i="5" l="1"/>
  <c r="AE198" i="5"/>
  <c r="AA199" i="5"/>
  <c r="I199" i="5"/>
  <c r="N199" i="5" s="1"/>
  <c r="AG199" i="5"/>
  <c r="AH198" i="5" s="1"/>
  <c r="H199" i="5"/>
  <c r="AH197" i="5"/>
  <c r="J198" i="5"/>
  <c r="K198" i="5"/>
  <c r="M198" i="5" s="1"/>
  <c r="DX195" i="10"/>
  <c r="DW196" i="10"/>
  <c r="DV195" i="10"/>
  <c r="CL195" i="10"/>
  <c r="CN195" i="10"/>
  <c r="CM196" i="10"/>
  <c r="BC196" i="10"/>
  <c r="BD195" i="10"/>
  <c r="BB195" i="10"/>
  <c r="CN506" i="10"/>
  <c r="CM507" i="10"/>
  <c r="CL506" i="10"/>
  <c r="AJ197" i="5"/>
  <c r="AK198" i="5"/>
  <c r="V183" i="11"/>
  <c r="BD507" i="10"/>
  <c r="BB507" i="10"/>
  <c r="BC508" i="10"/>
  <c r="S183" i="11"/>
  <c r="P183" i="11"/>
  <c r="D200" i="5"/>
  <c r="G200" i="5" s="1"/>
  <c r="F199" i="5"/>
  <c r="O199" i="5" s="1"/>
  <c r="AC199" i="5"/>
  <c r="AI199" i="5"/>
  <c r="E199" i="5"/>
  <c r="L199" i="5" s="1"/>
  <c r="B185" i="11"/>
  <c r="D184" i="11"/>
  <c r="N184" i="11"/>
  <c r="R184" i="11"/>
  <c r="T184" i="11"/>
  <c r="U184" i="11"/>
  <c r="Q184" i="11"/>
  <c r="O184" i="11"/>
  <c r="S184" i="11" l="1"/>
  <c r="AK199" i="5"/>
  <c r="AL198" i="5" s="1"/>
  <c r="P199" i="5"/>
  <c r="AE199" i="5"/>
  <c r="J199" i="5"/>
  <c r="K199" i="5"/>
  <c r="M199" i="5" s="1"/>
  <c r="H200" i="5"/>
  <c r="AG200" i="5"/>
  <c r="I200" i="5"/>
  <c r="N200" i="5" s="1"/>
  <c r="AA200" i="5"/>
  <c r="CL196" i="10"/>
  <c r="CN196" i="10"/>
  <c r="CM197" i="10"/>
  <c r="DV196" i="10"/>
  <c r="DW197" i="10"/>
  <c r="DX196" i="10"/>
  <c r="CM508" i="10"/>
  <c r="CL507" i="10"/>
  <c r="CN507" i="10"/>
  <c r="BD196" i="10"/>
  <c r="BC197" i="10"/>
  <c r="BB196" i="10"/>
  <c r="AL197" i="5"/>
  <c r="BC509" i="10"/>
  <c r="BB508" i="10"/>
  <c r="BD508" i="10"/>
  <c r="D201" i="5"/>
  <c r="G201" i="5" s="1"/>
  <c r="E200" i="5"/>
  <c r="L200" i="5" s="1"/>
  <c r="AI200" i="5"/>
  <c r="AC200" i="5"/>
  <c r="F200" i="5"/>
  <c r="O200" i="5" s="1"/>
  <c r="V184" i="11"/>
  <c r="P184" i="11"/>
  <c r="N185" i="11"/>
  <c r="O185" i="11"/>
  <c r="D185" i="11"/>
  <c r="B186" i="11"/>
  <c r="Q185" i="11"/>
  <c r="R185" i="11"/>
  <c r="T185" i="11"/>
  <c r="U185" i="11"/>
  <c r="AJ198" i="5"/>
  <c r="AK200" i="5" l="1"/>
  <c r="AL199" i="5" s="1"/>
  <c r="P200" i="5"/>
  <c r="AE200" i="5"/>
  <c r="I201" i="5"/>
  <c r="N201" i="5" s="1"/>
  <c r="AG201" i="5"/>
  <c r="AA201" i="5"/>
  <c r="H201" i="5"/>
  <c r="J200" i="5"/>
  <c r="K200" i="5"/>
  <c r="M200" i="5" s="1"/>
  <c r="AH199" i="5"/>
  <c r="BB197" i="10"/>
  <c r="BD197" i="10"/>
  <c r="BC198" i="10"/>
  <c r="CM509" i="10"/>
  <c r="CL508" i="10"/>
  <c r="CN508" i="10"/>
  <c r="DV197" i="10"/>
  <c r="DW198" i="10"/>
  <c r="DX197" i="10"/>
  <c r="CN197" i="10"/>
  <c r="CL197" i="10"/>
  <c r="CM198" i="10"/>
  <c r="V185" i="11"/>
  <c r="S185" i="11"/>
  <c r="P185" i="11"/>
  <c r="BC510" i="10"/>
  <c r="BB509" i="10"/>
  <c r="BD509" i="10"/>
  <c r="B187" i="11"/>
  <c r="U186" i="11"/>
  <c r="O186" i="11"/>
  <c r="R186" i="11"/>
  <c r="N186" i="11"/>
  <c r="Q186" i="11"/>
  <c r="T186" i="11"/>
  <c r="D186" i="11"/>
  <c r="AJ199" i="5"/>
  <c r="D202" i="5"/>
  <c r="G202" i="5" s="1"/>
  <c r="F201" i="5"/>
  <c r="O201" i="5" s="1"/>
  <c r="AI201" i="5"/>
  <c r="E201" i="5"/>
  <c r="L201" i="5" s="1"/>
  <c r="AC201" i="5"/>
  <c r="S186" i="11" l="1"/>
  <c r="P186" i="11"/>
  <c r="AK201" i="5"/>
  <c r="AL200" i="5" s="1"/>
  <c r="P201" i="5"/>
  <c r="AE201" i="5"/>
  <c r="H202" i="5"/>
  <c r="AG202" i="5"/>
  <c r="AA202" i="5"/>
  <c r="I202" i="5"/>
  <c r="N202" i="5" s="1"/>
  <c r="K201" i="5"/>
  <c r="M201" i="5" s="1"/>
  <c r="J201" i="5"/>
  <c r="AH200" i="5"/>
  <c r="CL198" i="10"/>
  <c r="CN198" i="10"/>
  <c r="CM199" i="10"/>
  <c r="DX198" i="10"/>
  <c r="DW199" i="10"/>
  <c r="DV198" i="10"/>
  <c r="CM510" i="10"/>
  <c r="CN509" i="10"/>
  <c r="CL509" i="10"/>
  <c r="BC199" i="10"/>
  <c r="BB198" i="10"/>
  <c r="BD198" i="10"/>
  <c r="BD510" i="10"/>
  <c r="BB510" i="10"/>
  <c r="BC511" i="10"/>
  <c r="V186" i="11"/>
  <c r="AJ200" i="5"/>
  <c r="D203" i="5"/>
  <c r="G203" i="5" s="1"/>
  <c r="F202" i="5"/>
  <c r="O202" i="5" s="1"/>
  <c r="AI202" i="5"/>
  <c r="AC202" i="5"/>
  <c r="E202" i="5"/>
  <c r="L202" i="5" s="1"/>
  <c r="Q187" i="11"/>
  <c r="T187" i="11"/>
  <c r="O187" i="11"/>
  <c r="N187" i="11"/>
  <c r="D187" i="11"/>
  <c r="B188" i="11"/>
  <c r="U187" i="11"/>
  <c r="R187" i="11"/>
  <c r="AE202" i="5" l="1"/>
  <c r="H203" i="5"/>
  <c r="I203" i="5"/>
  <c r="N203" i="5" s="1"/>
  <c r="AG203" i="5"/>
  <c r="AH202" i="5" s="1"/>
  <c r="AA203" i="5"/>
  <c r="AH201" i="5"/>
  <c r="S187" i="11"/>
  <c r="P202" i="5"/>
  <c r="K202" i="5"/>
  <c r="M202" i="5" s="1"/>
  <c r="J202" i="5"/>
  <c r="BB199" i="10"/>
  <c r="BC200" i="10"/>
  <c r="BD199" i="10"/>
  <c r="CN510" i="10"/>
  <c r="CL510" i="10"/>
  <c r="CM511" i="10"/>
  <c r="DV199" i="10"/>
  <c r="DX199" i="10"/>
  <c r="DW200" i="10"/>
  <c r="CL199" i="10"/>
  <c r="CM200" i="10"/>
  <c r="CN199" i="10"/>
  <c r="AJ201" i="5"/>
  <c r="AK202" i="5"/>
  <c r="BB511" i="10"/>
  <c r="BC512" i="10"/>
  <c r="BD511" i="10"/>
  <c r="O188" i="11"/>
  <c r="U188" i="11"/>
  <c r="T188" i="11"/>
  <c r="Q188" i="11"/>
  <c r="N188" i="11"/>
  <c r="P188" i="11" s="1"/>
  <c r="D188" i="11"/>
  <c r="B189" i="11"/>
  <c r="R188" i="11"/>
  <c r="P187" i="11"/>
  <c r="V187" i="11"/>
  <c r="D204" i="5"/>
  <c r="G204" i="5" s="1"/>
  <c r="F203" i="5"/>
  <c r="O203" i="5" s="1"/>
  <c r="AI203" i="5"/>
  <c r="AC203" i="5"/>
  <c r="E203" i="5"/>
  <c r="L203" i="5" s="1"/>
  <c r="V188" i="11" l="1"/>
  <c r="AE203" i="5"/>
  <c r="P203" i="5"/>
  <c r="AK203" i="5"/>
  <c r="AL202" i="5" s="1"/>
  <c r="AA204" i="5"/>
  <c r="AG204" i="5"/>
  <c r="I204" i="5"/>
  <c r="N204" i="5" s="1"/>
  <c r="H204" i="5"/>
  <c r="J203" i="5"/>
  <c r="K203" i="5"/>
  <c r="M203" i="5" s="1"/>
  <c r="CN511" i="10"/>
  <c r="CM512" i="10"/>
  <c r="CL511" i="10"/>
  <c r="BD200" i="10"/>
  <c r="BC201" i="10"/>
  <c r="BB200" i="10"/>
  <c r="CM201" i="10"/>
  <c r="CN200" i="10"/>
  <c r="CL200" i="10"/>
  <c r="DW201" i="10"/>
  <c r="DX200" i="10"/>
  <c r="DV200" i="10"/>
  <c r="AL201" i="5"/>
  <c r="BD512" i="10"/>
  <c r="BB512" i="10"/>
  <c r="BC513" i="10"/>
  <c r="D205" i="5"/>
  <c r="G205" i="5" s="1"/>
  <c r="AC204" i="5"/>
  <c r="AI204" i="5"/>
  <c r="E204" i="5"/>
  <c r="L204" i="5" s="1"/>
  <c r="F204" i="5"/>
  <c r="O204" i="5" s="1"/>
  <c r="B190" i="11"/>
  <c r="O189" i="11"/>
  <c r="N189" i="11"/>
  <c r="D189" i="11"/>
  <c r="U189" i="11"/>
  <c r="R189" i="11"/>
  <c r="Q189" i="11"/>
  <c r="T189" i="11"/>
  <c r="AJ202" i="5"/>
  <c r="S188" i="11"/>
  <c r="P204" i="5" l="1"/>
  <c r="H205" i="5"/>
  <c r="I205" i="5"/>
  <c r="N205" i="5" s="1"/>
  <c r="AG205" i="5"/>
  <c r="AA205" i="5"/>
  <c r="S189" i="11"/>
  <c r="P189" i="11"/>
  <c r="AE204" i="5"/>
  <c r="K204" i="5"/>
  <c r="M204" i="5" s="1"/>
  <c r="J204" i="5"/>
  <c r="AH203" i="5"/>
  <c r="DW202" i="10"/>
  <c r="DV201" i="10"/>
  <c r="DX201" i="10"/>
  <c r="CM513" i="10"/>
  <c r="CL512" i="10"/>
  <c r="CN512" i="10"/>
  <c r="CN201" i="10"/>
  <c r="CM202" i="10"/>
  <c r="CL201" i="10"/>
  <c r="BD201" i="10"/>
  <c r="BB201" i="10"/>
  <c r="BC202" i="10"/>
  <c r="AJ203" i="5"/>
  <c r="AK204" i="5"/>
  <c r="BB513" i="10"/>
  <c r="BC514" i="10"/>
  <c r="BD513" i="10"/>
  <c r="V189" i="11"/>
  <c r="Q190" i="11"/>
  <c r="R190" i="11"/>
  <c r="N190" i="11"/>
  <c r="B191" i="11"/>
  <c r="D190" i="11"/>
  <c r="O190" i="11"/>
  <c r="U190" i="11"/>
  <c r="T190" i="11"/>
  <c r="D206" i="5"/>
  <c r="G206" i="5" s="1"/>
  <c r="E205" i="5"/>
  <c r="L205" i="5" s="1"/>
  <c r="AC205" i="5"/>
  <c r="AI205" i="5"/>
  <c r="F205" i="5"/>
  <c r="O205" i="5" s="1"/>
  <c r="AK205" i="5" l="1"/>
  <c r="AL204" i="5" s="1"/>
  <c r="P205" i="5"/>
  <c r="AE205" i="5"/>
  <c r="H206" i="5"/>
  <c r="AA206" i="5"/>
  <c r="I206" i="5"/>
  <c r="N206" i="5" s="1"/>
  <c r="AG206" i="5"/>
  <c r="P190" i="11"/>
  <c r="S190" i="11"/>
  <c r="AH204" i="5"/>
  <c r="K205" i="5"/>
  <c r="M205" i="5" s="1"/>
  <c r="J205" i="5"/>
  <c r="BB202" i="10"/>
  <c r="BD202" i="10"/>
  <c r="BC203" i="10"/>
  <c r="CN202" i="10"/>
  <c r="CM203" i="10"/>
  <c r="CL202" i="10"/>
  <c r="CN513" i="10"/>
  <c r="CL513" i="10"/>
  <c r="CM514" i="10"/>
  <c r="DX202" i="10"/>
  <c r="DV202" i="10"/>
  <c r="DW203" i="10"/>
  <c r="AL203" i="5"/>
  <c r="BC515" i="10"/>
  <c r="BB514" i="10"/>
  <c r="BD514" i="10"/>
  <c r="D207" i="5"/>
  <c r="G207" i="5" s="1"/>
  <c r="E206" i="5"/>
  <c r="L206" i="5" s="1"/>
  <c r="AC206" i="5"/>
  <c r="F206" i="5"/>
  <c r="O206" i="5" s="1"/>
  <c r="AI206" i="5"/>
  <c r="V190" i="11"/>
  <c r="Q191" i="11"/>
  <c r="T191" i="11"/>
  <c r="O191" i="11"/>
  <c r="N191" i="11"/>
  <c r="D191" i="11"/>
  <c r="U191" i="11"/>
  <c r="R191" i="11"/>
  <c r="B192" i="11"/>
  <c r="AJ204" i="5"/>
  <c r="P206" i="5" l="1"/>
  <c r="AE206" i="5"/>
  <c r="K206" i="5"/>
  <c r="M206" i="5" s="1"/>
  <c r="J206" i="5"/>
  <c r="AA207" i="5"/>
  <c r="AG207" i="5"/>
  <c r="I207" i="5"/>
  <c r="N207" i="5" s="1"/>
  <c r="H207" i="5"/>
  <c r="AH205" i="5"/>
  <c r="DX203" i="10"/>
  <c r="DW204" i="10"/>
  <c r="DV203" i="10"/>
  <c r="CL514" i="10"/>
  <c r="CN514" i="10"/>
  <c r="CM515" i="10"/>
  <c r="CN203" i="10"/>
  <c r="CL203" i="10"/>
  <c r="CM204" i="10"/>
  <c r="BC204" i="10"/>
  <c r="BB203" i="10"/>
  <c r="BD203" i="10"/>
  <c r="AJ205" i="5"/>
  <c r="AK206" i="5"/>
  <c r="BC516" i="10"/>
  <c r="BD515" i="10"/>
  <c r="BB515" i="10"/>
  <c r="T192" i="11"/>
  <c r="N192" i="11"/>
  <c r="O192" i="11"/>
  <c r="R192" i="11"/>
  <c r="Q192" i="11"/>
  <c r="U192" i="11"/>
  <c r="B193" i="11"/>
  <c r="D192" i="11"/>
  <c r="P191" i="11"/>
  <c r="V191" i="11"/>
  <c r="S191" i="11"/>
  <c r="D208" i="5"/>
  <c r="G208" i="5" s="1"/>
  <c r="AC207" i="5"/>
  <c r="F207" i="5"/>
  <c r="O207" i="5" s="1"/>
  <c r="AI207" i="5"/>
  <c r="E207" i="5"/>
  <c r="L207" i="5" s="1"/>
  <c r="P207" i="5" l="1"/>
  <c r="AK207" i="5"/>
  <c r="AL206" i="5" s="1"/>
  <c r="AG208" i="5"/>
  <c r="H208" i="5"/>
  <c r="I208" i="5"/>
  <c r="N208" i="5" s="1"/>
  <c r="AA208" i="5"/>
  <c r="AE207" i="5"/>
  <c r="K207" i="5"/>
  <c r="M207" i="5" s="1"/>
  <c r="J207" i="5"/>
  <c r="AH206" i="5"/>
  <c r="BC205" i="10"/>
  <c r="BB204" i="10"/>
  <c r="BD204" i="10"/>
  <c r="CL515" i="10"/>
  <c r="CN515" i="10"/>
  <c r="CM516" i="10"/>
  <c r="DV204" i="10"/>
  <c r="DW205" i="10"/>
  <c r="DX204" i="10"/>
  <c r="CN204" i="10"/>
  <c r="CL204" i="10"/>
  <c r="CM205" i="10"/>
  <c r="AL205" i="5"/>
  <c r="P192" i="11"/>
  <c r="BD516" i="10"/>
  <c r="BB516" i="10"/>
  <c r="BC517" i="10"/>
  <c r="AJ206" i="5"/>
  <c r="N193" i="11"/>
  <c r="O193" i="11"/>
  <c r="D193" i="11"/>
  <c r="B194" i="11"/>
  <c r="Q193" i="11"/>
  <c r="R193" i="11"/>
  <c r="T193" i="11"/>
  <c r="U193" i="11"/>
  <c r="S192" i="11"/>
  <c r="V192" i="11"/>
  <c r="D209" i="5"/>
  <c r="G209" i="5" s="1"/>
  <c r="E208" i="5"/>
  <c r="L208" i="5" s="1"/>
  <c r="F208" i="5"/>
  <c r="O208" i="5" s="1"/>
  <c r="AI208" i="5"/>
  <c r="AC208" i="5"/>
  <c r="AE208" i="5" l="1"/>
  <c r="P208" i="5"/>
  <c r="AA209" i="5"/>
  <c r="H209" i="5"/>
  <c r="AG209" i="5"/>
  <c r="AH208" i="5" s="1"/>
  <c r="I209" i="5"/>
  <c r="N209" i="5" s="1"/>
  <c r="AH207" i="5"/>
  <c r="AK208" i="5"/>
  <c r="AL207" i="5" s="1"/>
  <c r="J208" i="5"/>
  <c r="K208" i="5"/>
  <c r="M208" i="5" s="1"/>
  <c r="CL205" i="10"/>
  <c r="CM206" i="10"/>
  <c r="CN205" i="10"/>
  <c r="DX205" i="10"/>
  <c r="DW206" i="10"/>
  <c r="DV205" i="10"/>
  <c r="CL516" i="10"/>
  <c r="CN516" i="10"/>
  <c r="CM517" i="10"/>
  <c r="BD205" i="10"/>
  <c r="BC206" i="10"/>
  <c r="BB205" i="10"/>
  <c r="BC518" i="10"/>
  <c r="BD517" i="10"/>
  <c r="BB517" i="10"/>
  <c r="D210" i="5"/>
  <c r="G210" i="5" s="1"/>
  <c r="E209" i="5"/>
  <c r="L209" i="5" s="1"/>
  <c r="F209" i="5"/>
  <c r="O209" i="5" s="1"/>
  <c r="AI209" i="5"/>
  <c r="AC209" i="5"/>
  <c r="B195" i="11"/>
  <c r="N194" i="11"/>
  <c r="Q194" i="11"/>
  <c r="U194" i="11"/>
  <c r="T194" i="11"/>
  <c r="D194" i="11"/>
  <c r="R194" i="11"/>
  <c r="O194" i="11"/>
  <c r="V193" i="11"/>
  <c r="S193" i="11"/>
  <c r="P193" i="11"/>
  <c r="AJ207" i="5"/>
  <c r="P209" i="5" l="1"/>
  <c r="AE209" i="5"/>
  <c r="H210" i="5"/>
  <c r="AG210" i="5"/>
  <c r="I210" i="5"/>
  <c r="N210" i="5" s="1"/>
  <c r="AA210" i="5"/>
  <c r="J209" i="5"/>
  <c r="K209" i="5"/>
  <c r="M209" i="5" s="1"/>
  <c r="CL206" i="10"/>
  <c r="CN206" i="10"/>
  <c r="CM207" i="10"/>
  <c r="BC207" i="10"/>
  <c r="BB206" i="10"/>
  <c r="BD206" i="10"/>
  <c r="CN517" i="10"/>
  <c r="CM518" i="10"/>
  <c r="CL517" i="10"/>
  <c r="DX206" i="10"/>
  <c r="DV206" i="10"/>
  <c r="DW207" i="10"/>
  <c r="AJ208" i="5"/>
  <c r="AK209" i="5"/>
  <c r="V194" i="11"/>
  <c r="BB518" i="10"/>
  <c r="BC519" i="10"/>
  <c r="BD518" i="10"/>
  <c r="P194" i="11"/>
  <c r="D211" i="5"/>
  <c r="G211" i="5" s="1"/>
  <c r="F210" i="5"/>
  <c r="O210" i="5" s="1"/>
  <c r="AI210" i="5"/>
  <c r="AC210" i="5"/>
  <c r="E210" i="5"/>
  <c r="L210" i="5" s="1"/>
  <c r="S194" i="11"/>
  <c r="N195" i="11"/>
  <c r="B196" i="11"/>
  <c r="T195" i="11"/>
  <c r="O195" i="11"/>
  <c r="R195" i="11"/>
  <c r="D195" i="11"/>
  <c r="Q195" i="11"/>
  <c r="S195" i="11" s="1"/>
  <c r="U195" i="11"/>
  <c r="V195" i="11" l="1"/>
  <c r="P195" i="11"/>
  <c r="AK210" i="5"/>
  <c r="AL209" i="5" s="1"/>
  <c r="P210" i="5"/>
  <c r="AG211" i="5"/>
  <c r="AA211" i="5"/>
  <c r="I211" i="5"/>
  <c r="N211" i="5" s="1"/>
  <c r="H211" i="5"/>
  <c r="AH209" i="5"/>
  <c r="AE210" i="5"/>
  <c r="J210" i="5"/>
  <c r="K210" i="5"/>
  <c r="M210" i="5" s="1"/>
  <c r="DW208" i="10"/>
  <c r="DV207" i="10"/>
  <c r="DX207" i="10"/>
  <c r="CM519" i="10"/>
  <c r="CN518" i="10"/>
  <c r="CL518" i="10"/>
  <c r="BD207" i="10"/>
  <c r="BB207" i="10"/>
  <c r="BC208" i="10"/>
  <c r="CN207" i="10"/>
  <c r="CM208" i="10"/>
  <c r="CL207" i="10"/>
  <c r="AL208" i="5"/>
  <c r="BB519" i="10"/>
  <c r="BD519" i="10"/>
  <c r="BC520" i="10"/>
  <c r="R196" i="11"/>
  <c r="T196" i="11"/>
  <c r="Q196" i="11"/>
  <c r="S196" i="11" s="1"/>
  <c r="N196" i="11"/>
  <c r="O196" i="11"/>
  <c r="B197" i="11"/>
  <c r="D196" i="11"/>
  <c r="U196" i="11"/>
  <c r="AJ209" i="5"/>
  <c r="D212" i="5"/>
  <c r="G212" i="5" s="1"/>
  <c r="F211" i="5"/>
  <c r="O211" i="5" s="1"/>
  <c r="E211" i="5"/>
  <c r="L211" i="5" s="1"/>
  <c r="AC211" i="5"/>
  <c r="AI211" i="5"/>
  <c r="AE211" i="5" l="1"/>
  <c r="P211" i="5"/>
  <c r="AH210" i="5"/>
  <c r="AK211" i="5"/>
  <c r="AL210" i="5" s="1"/>
  <c r="I212" i="5"/>
  <c r="N212" i="5" s="1"/>
  <c r="H212" i="5"/>
  <c r="AA212" i="5"/>
  <c r="AG212" i="5"/>
  <c r="K211" i="5"/>
  <c r="M211" i="5" s="1"/>
  <c r="J211" i="5"/>
  <c r="CN519" i="10"/>
  <c r="CM520" i="10"/>
  <c r="CL519" i="10"/>
  <c r="CN208" i="10"/>
  <c r="CM209" i="10"/>
  <c r="CL208" i="10"/>
  <c r="BB208" i="10"/>
  <c r="BD208" i="10"/>
  <c r="BC209" i="10"/>
  <c r="DX208" i="10"/>
  <c r="DW209" i="10"/>
  <c r="DV208" i="10"/>
  <c r="BB520" i="10"/>
  <c r="BC521" i="10"/>
  <c r="BD520" i="10"/>
  <c r="AJ210" i="5"/>
  <c r="D213" i="5"/>
  <c r="G213" i="5" s="1"/>
  <c r="F212" i="5"/>
  <c r="O212" i="5" s="1"/>
  <c r="AC212" i="5"/>
  <c r="AI212" i="5"/>
  <c r="E212" i="5"/>
  <c r="L212" i="5" s="1"/>
  <c r="O197" i="11"/>
  <c r="N197" i="11"/>
  <c r="D197" i="11"/>
  <c r="B198" i="11"/>
  <c r="R197" i="11"/>
  <c r="Q197" i="11"/>
  <c r="T197" i="11"/>
  <c r="U197" i="11"/>
  <c r="P196" i="11"/>
  <c r="V196" i="11"/>
  <c r="P212" i="5" l="1"/>
  <c r="AE212" i="5"/>
  <c r="AG213" i="5"/>
  <c r="AH212" i="5" s="1"/>
  <c r="H213" i="5"/>
  <c r="AA213" i="5"/>
  <c r="I213" i="5"/>
  <c r="N213" i="5" s="1"/>
  <c r="AH211" i="5"/>
  <c r="J212" i="5"/>
  <c r="K212" i="5"/>
  <c r="M212" i="5" s="1"/>
  <c r="CM521" i="10"/>
  <c r="CL520" i="10"/>
  <c r="CN520" i="10"/>
  <c r="DV209" i="10"/>
  <c r="DW210" i="10"/>
  <c r="DX209" i="10"/>
  <c r="BB209" i="10"/>
  <c r="BD209" i="10"/>
  <c r="BC210" i="10"/>
  <c r="CL209" i="10"/>
  <c r="CN209" i="10"/>
  <c r="CM210" i="10"/>
  <c r="AJ211" i="5"/>
  <c r="AK212" i="5"/>
  <c r="V197" i="11"/>
  <c r="BC522" i="10"/>
  <c r="BB521" i="10"/>
  <c r="BD521" i="10"/>
  <c r="S197" i="11"/>
  <c r="R198" i="11"/>
  <c r="T198" i="11"/>
  <c r="B199" i="11"/>
  <c r="U198" i="11"/>
  <c r="Q198" i="11"/>
  <c r="D198" i="11"/>
  <c r="N198" i="11"/>
  <c r="O198" i="11"/>
  <c r="P197" i="11"/>
  <c r="D214" i="5"/>
  <c r="G214" i="5" s="1"/>
  <c r="E213" i="5"/>
  <c r="L213" i="5" s="1"/>
  <c r="AI213" i="5"/>
  <c r="AC213" i="5"/>
  <c r="F213" i="5"/>
  <c r="O213" i="5" s="1"/>
  <c r="S198" i="11" l="1"/>
  <c r="P198" i="11"/>
  <c r="P213" i="5"/>
  <c r="AE213" i="5"/>
  <c r="AK213" i="5"/>
  <c r="AL212" i="5" s="1"/>
  <c r="AA214" i="5"/>
  <c r="H214" i="5"/>
  <c r="AG214" i="5"/>
  <c r="I214" i="5"/>
  <c r="N214" i="5" s="1"/>
  <c r="K213" i="5"/>
  <c r="M213" i="5" s="1"/>
  <c r="J213" i="5"/>
  <c r="CL210" i="10"/>
  <c r="CN210" i="10"/>
  <c r="CM211" i="10"/>
  <c r="BD210" i="10"/>
  <c r="BC211" i="10"/>
  <c r="BB210" i="10"/>
  <c r="DW211" i="10"/>
  <c r="DV210" i="10"/>
  <c r="DX210" i="10"/>
  <c r="CL521" i="10"/>
  <c r="CN521" i="10"/>
  <c r="CM522" i="10"/>
  <c r="AL211" i="5"/>
  <c r="BB522" i="10"/>
  <c r="BC523" i="10"/>
  <c r="BD522" i="10"/>
  <c r="D215" i="5"/>
  <c r="G215" i="5" s="1"/>
  <c r="AC214" i="5"/>
  <c r="E214" i="5"/>
  <c r="L214" i="5" s="1"/>
  <c r="AI214" i="5"/>
  <c r="F214" i="5"/>
  <c r="O214" i="5" s="1"/>
  <c r="O199" i="11"/>
  <c r="N199" i="11"/>
  <c r="D199" i="11"/>
  <c r="Q199" i="11"/>
  <c r="U199" i="11"/>
  <c r="R199" i="11"/>
  <c r="T199" i="11"/>
  <c r="V199" i="11" s="1"/>
  <c r="B200" i="11"/>
  <c r="AJ212" i="5"/>
  <c r="V198" i="11"/>
  <c r="AE214" i="5" l="1"/>
  <c r="P214" i="5"/>
  <c r="AH213" i="5"/>
  <c r="P199" i="11"/>
  <c r="AA215" i="5"/>
  <c r="AG215" i="5"/>
  <c r="H215" i="5"/>
  <c r="I215" i="5"/>
  <c r="N215" i="5" s="1"/>
  <c r="J214" i="5"/>
  <c r="K214" i="5"/>
  <c r="M214" i="5" s="1"/>
  <c r="CN522" i="10"/>
  <c r="CL522" i="10"/>
  <c r="CM523" i="10"/>
  <c r="DV211" i="10"/>
  <c r="DX211" i="10"/>
  <c r="DW212" i="10"/>
  <c r="BC212" i="10"/>
  <c r="BD211" i="10"/>
  <c r="BB211" i="10"/>
  <c r="CN211" i="10"/>
  <c r="CM212" i="10"/>
  <c r="CL211" i="10"/>
  <c r="AJ213" i="5"/>
  <c r="AK214" i="5"/>
  <c r="BB523" i="10"/>
  <c r="BD523" i="10"/>
  <c r="BC524" i="10"/>
  <c r="D216" i="5"/>
  <c r="G216" i="5" s="1"/>
  <c r="AI215" i="5"/>
  <c r="AC215" i="5"/>
  <c r="E215" i="5"/>
  <c r="L215" i="5" s="1"/>
  <c r="F215" i="5"/>
  <c r="O215" i="5" s="1"/>
  <c r="U200" i="11"/>
  <c r="N200" i="11"/>
  <c r="B201" i="11"/>
  <c r="Q200" i="11"/>
  <c r="R200" i="11"/>
  <c r="D200" i="11"/>
  <c r="T200" i="11"/>
  <c r="V200" i="11" s="1"/>
  <c r="O200" i="11"/>
  <c r="S199" i="11"/>
  <c r="P215" i="5" l="1"/>
  <c r="J215" i="5"/>
  <c r="K215" i="5"/>
  <c r="M215" i="5" s="1"/>
  <c r="AE215" i="5"/>
  <c r="I216" i="5"/>
  <c r="N216" i="5" s="1"/>
  <c r="AA216" i="5"/>
  <c r="AG216" i="5"/>
  <c r="AH215" i="5" s="1"/>
  <c r="H216" i="5"/>
  <c r="AH214" i="5"/>
  <c r="DV212" i="10"/>
  <c r="DW213" i="10"/>
  <c r="DX212" i="10"/>
  <c r="CM213" i="10"/>
  <c r="CL212" i="10"/>
  <c r="CN212" i="10"/>
  <c r="BD212" i="10"/>
  <c r="BC213" i="10"/>
  <c r="BB212" i="10"/>
  <c r="CM524" i="10"/>
  <c r="CN523" i="10"/>
  <c r="CL523" i="10"/>
  <c r="AJ214" i="5"/>
  <c r="AK215" i="5"/>
  <c r="AL214" i="5" s="1"/>
  <c r="AL213" i="5"/>
  <c r="BB524" i="10"/>
  <c r="BC525" i="10"/>
  <c r="BD524" i="10"/>
  <c r="B202" i="11"/>
  <c r="O201" i="11"/>
  <c r="U201" i="11"/>
  <c r="R201" i="11"/>
  <c r="Q201" i="11"/>
  <c r="T201" i="11"/>
  <c r="N201" i="11"/>
  <c r="D201" i="11"/>
  <c r="S200" i="11"/>
  <c r="P200" i="11"/>
  <c r="D217" i="5"/>
  <c r="G217" i="5" s="1"/>
  <c r="AI216" i="5"/>
  <c r="F216" i="5"/>
  <c r="O216" i="5" s="1"/>
  <c r="AC216" i="5"/>
  <c r="E216" i="5"/>
  <c r="L216" i="5" s="1"/>
  <c r="AK216" i="5" l="1"/>
  <c r="AL215" i="5" s="1"/>
  <c r="P216" i="5"/>
  <c r="H217" i="5"/>
  <c r="AG217" i="5"/>
  <c r="I217" i="5"/>
  <c r="N217" i="5" s="1"/>
  <c r="AA217" i="5"/>
  <c r="K216" i="5"/>
  <c r="M216" i="5" s="1"/>
  <c r="J216" i="5"/>
  <c r="AE216" i="5"/>
  <c r="V201" i="11"/>
  <c r="CL524" i="10"/>
  <c r="CN524" i="10"/>
  <c r="CM525" i="10"/>
  <c r="BB213" i="10"/>
  <c r="BC214" i="10"/>
  <c r="BD213" i="10"/>
  <c r="CM214" i="10"/>
  <c r="CN213" i="10"/>
  <c r="CL213" i="10"/>
  <c r="DW214" i="10"/>
  <c r="DV213" i="10"/>
  <c r="DX213" i="10"/>
  <c r="P201" i="11"/>
  <c r="S201" i="11"/>
  <c r="BC526" i="10"/>
  <c r="BD525" i="10"/>
  <c r="BB525" i="10"/>
  <c r="D218" i="5"/>
  <c r="G218" i="5" s="1"/>
  <c r="AC217" i="5"/>
  <c r="E217" i="5"/>
  <c r="L217" i="5" s="1"/>
  <c r="AI217" i="5"/>
  <c r="F217" i="5"/>
  <c r="O217" i="5" s="1"/>
  <c r="AJ215" i="5"/>
  <c r="O202" i="11"/>
  <c r="R202" i="11"/>
  <c r="N202" i="11"/>
  <c r="P202" i="11" s="1"/>
  <c r="B203" i="11"/>
  <c r="U202" i="11"/>
  <c r="Q202" i="11"/>
  <c r="S202" i="11" s="1"/>
  <c r="T202" i="11"/>
  <c r="D202" i="11"/>
  <c r="V202" i="11" l="1"/>
  <c r="AE217" i="5"/>
  <c r="K217" i="5"/>
  <c r="M217" i="5" s="1"/>
  <c r="J217" i="5"/>
  <c r="P217" i="5"/>
  <c r="I218" i="5"/>
  <c r="N218" i="5" s="1"/>
  <c r="AG218" i="5"/>
  <c r="AA218" i="5"/>
  <c r="H218" i="5"/>
  <c r="AH216" i="5"/>
  <c r="DX214" i="10"/>
  <c r="DW215" i="10"/>
  <c r="DV214" i="10"/>
  <c r="CM215" i="10"/>
  <c r="CN214" i="10"/>
  <c r="CL214" i="10"/>
  <c r="BB214" i="10"/>
  <c r="BD214" i="10"/>
  <c r="BC215" i="10"/>
  <c r="CL525" i="10"/>
  <c r="CN525" i="10"/>
  <c r="CM526" i="10"/>
  <c r="AJ216" i="5"/>
  <c r="AK217" i="5"/>
  <c r="BD526" i="10"/>
  <c r="BB526" i="10"/>
  <c r="BC527" i="10"/>
  <c r="Q203" i="11"/>
  <c r="U203" i="11"/>
  <c r="R203" i="11"/>
  <c r="T203" i="11"/>
  <c r="V203" i="11" s="1"/>
  <c r="D203" i="11"/>
  <c r="O203" i="11"/>
  <c r="N203" i="11"/>
  <c r="B204" i="11"/>
  <c r="D219" i="5"/>
  <c r="G219" i="5" s="1"/>
  <c r="E218" i="5"/>
  <c r="L218" i="5" s="1"/>
  <c r="F218" i="5"/>
  <c r="O218" i="5" s="1"/>
  <c r="AC218" i="5"/>
  <c r="AI218" i="5"/>
  <c r="P218" i="5" l="1"/>
  <c r="AE218" i="5"/>
  <c r="AK218" i="5"/>
  <c r="AL217" i="5" s="1"/>
  <c r="AG219" i="5"/>
  <c r="AH218" i="5" s="1"/>
  <c r="AA219" i="5"/>
  <c r="I219" i="5"/>
  <c r="N219" i="5" s="1"/>
  <c r="H219" i="5"/>
  <c r="J218" i="5"/>
  <c r="K218" i="5"/>
  <c r="M218" i="5" s="1"/>
  <c r="AH217" i="5"/>
  <c r="CM527" i="10"/>
  <c r="CL526" i="10"/>
  <c r="CN526" i="10"/>
  <c r="CM216" i="10"/>
  <c r="CN215" i="10"/>
  <c r="CL215" i="10"/>
  <c r="DW216" i="10"/>
  <c r="DV215" i="10"/>
  <c r="DX215" i="10"/>
  <c r="BB215" i="10"/>
  <c r="BD215" i="10"/>
  <c r="BC216" i="10"/>
  <c r="AL216" i="5"/>
  <c r="BD527" i="10"/>
  <c r="BC528" i="10"/>
  <c r="BB527" i="10"/>
  <c r="P203" i="11"/>
  <c r="AJ217" i="5"/>
  <c r="D220" i="5"/>
  <c r="G220" i="5" s="1"/>
  <c r="E219" i="5"/>
  <c r="L219" i="5" s="1"/>
  <c r="AI219" i="5"/>
  <c r="AC219" i="5"/>
  <c r="F219" i="5"/>
  <c r="O219" i="5" s="1"/>
  <c r="U204" i="11"/>
  <c r="V204" i="11" s="1"/>
  <c r="R204" i="11"/>
  <c r="D204" i="11"/>
  <c r="O204" i="11"/>
  <c r="S203" i="11"/>
  <c r="P219" i="5" l="1"/>
  <c r="AA220" i="5"/>
  <c r="H220" i="5"/>
  <c r="AG220" i="5"/>
  <c r="I220" i="5"/>
  <c r="N220" i="5" s="1"/>
  <c r="J219" i="5"/>
  <c r="K219" i="5"/>
  <c r="M219" i="5" s="1"/>
  <c r="AE219" i="5"/>
  <c r="BB216" i="10"/>
  <c r="BD216" i="10"/>
  <c r="BC217" i="10"/>
  <c r="CL216" i="10"/>
  <c r="CN216" i="10"/>
  <c r="CM217" i="10"/>
  <c r="DV216" i="10"/>
  <c r="DX216" i="10"/>
  <c r="DW217" i="10"/>
  <c r="CL527" i="10"/>
  <c r="CM528" i="10"/>
  <c r="CN527" i="10"/>
  <c r="AJ218" i="5"/>
  <c r="AK219" i="5"/>
  <c r="BB528" i="10"/>
  <c r="BD528" i="10"/>
  <c r="BC529" i="10"/>
  <c r="D221" i="5"/>
  <c r="G221" i="5" s="1"/>
  <c r="E220" i="5"/>
  <c r="L220" i="5" s="1"/>
  <c r="AI220" i="5"/>
  <c r="AC220" i="5"/>
  <c r="F220" i="5"/>
  <c r="O220" i="5" s="1"/>
  <c r="AE220" i="5" l="1"/>
  <c r="J220" i="5"/>
  <c r="K220" i="5"/>
  <c r="M220" i="5" s="1"/>
  <c r="P220" i="5"/>
  <c r="AA221" i="5"/>
  <c r="I221" i="5"/>
  <c r="N221" i="5" s="1"/>
  <c r="H221" i="5"/>
  <c r="AG221" i="5"/>
  <c r="AH219" i="5"/>
  <c r="CM218" i="10"/>
  <c r="CL217" i="10"/>
  <c r="CN217" i="10"/>
  <c r="CM529" i="10"/>
  <c r="CL528" i="10"/>
  <c r="CN528" i="10"/>
  <c r="DW218" i="10"/>
  <c r="DX217" i="10"/>
  <c r="DV217" i="10"/>
  <c r="BD217" i="10"/>
  <c r="BB217" i="10"/>
  <c r="BC218" i="10"/>
  <c r="AJ219" i="5"/>
  <c r="AK220" i="5"/>
  <c r="AL219" i="5" s="1"/>
  <c r="AL218" i="5"/>
  <c r="BB529" i="10"/>
  <c r="BC530" i="10"/>
  <c r="BD529" i="10"/>
  <c r="D222" i="5"/>
  <c r="G222" i="5" s="1"/>
  <c r="F221" i="5"/>
  <c r="O221" i="5" s="1"/>
  <c r="E221" i="5"/>
  <c r="L221" i="5" s="1"/>
  <c r="AC221" i="5"/>
  <c r="AI221" i="5"/>
  <c r="AE221" i="5" l="1"/>
  <c r="P221" i="5"/>
  <c r="AH220" i="5"/>
  <c r="AK221" i="5"/>
  <c r="AL220" i="5" s="1"/>
  <c r="AA222" i="5"/>
  <c r="AG222" i="5"/>
  <c r="I222" i="5"/>
  <c r="N222" i="5" s="1"/>
  <c r="H222" i="5"/>
  <c r="J221" i="5"/>
  <c r="K221" i="5"/>
  <c r="M221" i="5" s="1"/>
  <c r="BD218" i="10"/>
  <c r="BC219" i="10"/>
  <c r="BB218" i="10"/>
  <c r="CL529" i="10"/>
  <c r="CN529" i="10"/>
  <c r="CM530" i="10"/>
  <c r="DX218" i="10"/>
  <c r="DW219" i="10"/>
  <c r="DV218" i="10"/>
  <c r="CL218" i="10"/>
  <c r="CM219" i="10"/>
  <c r="CN218" i="10"/>
  <c r="BB530" i="10"/>
  <c r="BC531" i="10"/>
  <c r="BD530" i="10"/>
  <c r="AJ220" i="5"/>
  <c r="D223" i="5"/>
  <c r="G223" i="5" s="1"/>
  <c r="AC222" i="5"/>
  <c r="AI222" i="5"/>
  <c r="E222" i="5"/>
  <c r="L222" i="5" s="1"/>
  <c r="F222" i="5"/>
  <c r="O222" i="5" s="1"/>
  <c r="P222" i="5" l="1"/>
  <c r="AE222" i="5"/>
  <c r="K222" i="5"/>
  <c r="M222" i="5" s="1"/>
  <c r="J222" i="5"/>
  <c r="I223" i="5"/>
  <c r="N223" i="5" s="1"/>
  <c r="AG223" i="5"/>
  <c r="AH222" i="5" s="1"/>
  <c r="AA223" i="5"/>
  <c r="H223" i="5"/>
  <c r="AH221" i="5"/>
  <c r="DX219" i="10"/>
  <c r="DV219" i="10"/>
  <c r="DW220" i="10"/>
  <c r="CN530" i="10"/>
  <c r="CL530" i="10"/>
  <c r="CM531" i="10"/>
  <c r="BD219" i="10"/>
  <c r="BB219" i="10"/>
  <c r="BC220" i="10"/>
  <c r="CM220" i="10"/>
  <c r="CN219" i="10"/>
  <c r="CL219" i="10"/>
  <c r="AJ221" i="5"/>
  <c r="AK222" i="5"/>
  <c r="BC532" i="10"/>
  <c r="BD531" i="10"/>
  <c r="BB531" i="10"/>
  <c r="D224" i="5"/>
  <c r="G224" i="5" s="1"/>
  <c r="AI223" i="5"/>
  <c r="E223" i="5"/>
  <c r="L223" i="5" s="1"/>
  <c r="AC223" i="5"/>
  <c r="F223" i="5"/>
  <c r="O223" i="5" s="1"/>
  <c r="AE223" i="5" l="1"/>
  <c r="P223" i="5"/>
  <c r="I224" i="5"/>
  <c r="N224" i="5" s="1"/>
  <c r="AA224" i="5"/>
  <c r="AG224" i="5"/>
  <c r="H224" i="5"/>
  <c r="J223" i="5"/>
  <c r="K223" i="5"/>
  <c r="M223" i="5" s="1"/>
  <c r="AK223" i="5"/>
  <c r="AL222" i="5" s="1"/>
  <c r="AJ222" i="5"/>
  <c r="CM221" i="10"/>
  <c r="CN220" i="10"/>
  <c r="CL220" i="10"/>
  <c r="CM532" i="10"/>
  <c r="CN531" i="10"/>
  <c r="CL531" i="10"/>
  <c r="BC221" i="10"/>
  <c r="BD220" i="10"/>
  <c r="BB220" i="10"/>
  <c r="DX220" i="10"/>
  <c r="DW221" i="10"/>
  <c r="DV220" i="10"/>
  <c r="AL221" i="5"/>
  <c r="BC533" i="10"/>
  <c r="BB532" i="10"/>
  <c r="BD532" i="10"/>
  <c r="D225" i="5"/>
  <c r="G225" i="5" s="1"/>
  <c r="E224" i="5"/>
  <c r="L224" i="5" s="1"/>
  <c r="AC224" i="5"/>
  <c r="F224" i="5"/>
  <c r="O224" i="5" s="1"/>
  <c r="AI224" i="5"/>
  <c r="AE224" i="5" l="1"/>
  <c r="P224" i="5"/>
  <c r="AK224" i="5"/>
  <c r="AL223" i="5" s="1"/>
  <c r="AG225" i="5"/>
  <c r="AA225" i="5"/>
  <c r="I225" i="5"/>
  <c r="N225" i="5" s="1"/>
  <c r="H225" i="5"/>
  <c r="AH223" i="5"/>
  <c r="J224" i="5"/>
  <c r="K224" i="5"/>
  <c r="M224" i="5" s="1"/>
  <c r="CN532" i="10"/>
  <c r="CM533" i="10"/>
  <c r="CL532" i="10"/>
  <c r="DV221" i="10"/>
  <c r="DW222" i="10"/>
  <c r="DX221" i="10"/>
  <c r="BC222" i="10"/>
  <c r="BB221" i="10"/>
  <c r="BD221" i="10"/>
  <c r="CM222" i="10"/>
  <c r="CN221" i="10"/>
  <c r="CL221" i="10"/>
  <c r="BC534" i="10"/>
  <c r="BD533" i="10"/>
  <c r="BB533" i="10"/>
  <c r="D226" i="5"/>
  <c r="G226" i="5" s="1"/>
  <c r="AI225" i="5"/>
  <c r="E225" i="5"/>
  <c r="L225" i="5" s="1"/>
  <c r="AC225" i="5"/>
  <c r="F225" i="5"/>
  <c r="O225" i="5" s="1"/>
  <c r="AJ223" i="5"/>
  <c r="AE225" i="5" l="1"/>
  <c r="P225" i="5"/>
  <c r="AG226" i="5"/>
  <c r="AH225" i="5" s="1"/>
  <c r="I226" i="5"/>
  <c r="N226" i="5" s="1"/>
  <c r="H226" i="5"/>
  <c r="AA226" i="5"/>
  <c r="AH224" i="5"/>
  <c r="AK225" i="5"/>
  <c r="AL224" i="5" s="1"/>
  <c r="J225" i="5"/>
  <c r="K225" i="5"/>
  <c r="M225" i="5" s="1"/>
  <c r="CL222" i="10"/>
  <c r="CM223" i="10"/>
  <c r="CN222" i="10"/>
  <c r="CM534" i="10"/>
  <c r="CL533" i="10"/>
  <c r="CN533" i="10"/>
  <c r="BC223" i="10"/>
  <c r="BD222" i="10"/>
  <c r="BB222" i="10"/>
  <c r="DW223" i="10"/>
  <c r="DV222" i="10"/>
  <c r="DX222" i="10"/>
  <c r="AJ224" i="5"/>
  <c r="BB534" i="10"/>
  <c r="BD534" i="10"/>
  <c r="BC535" i="10"/>
  <c r="D227" i="5"/>
  <c r="G227" i="5" s="1"/>
  <c r="AC226" i="5"/>
  <c r="AI226" i="5"/>
  <c r="F226" i="5"/>
  <c r="O226" i="5" s="1"/>
  <c r="E226" i="5"/>
  <c r="L226" i="5" s="1"/>
  <c r="P226" i="5" l="1"/>
  <c r="AE226" i="5"/>
  <c r="K226" i="5"/>
  <c r="M226" i="5" s="1"/>
  <c r="J226" i="5"/>
  <c r="H227" i="5"/>
  <c r="I227" i="5"/>
  <c r="N227" i="5" s="1"/>
  <c r="AG227" i="5"/>
  <c r="AA227" i="5"/>
  <c r="DX223" i="10"/>
  <c r="DV223" i="10"/>
  <c r="DW224" i="10"/>
  <c r="CL534" i="10"/>
  <c r="CN534" i="10"/>
  <c r="CM535" i="10"/>
  <c r="CM224" i="10"/>
  <c r="CL223" i="10"/>
  <c r="CN223" i="10"/>
  <c r="BD223" i="10"/>
  <c r="BC224" i="10"/>
  <c r="BB223" i="10"/>
  <c r="AJ225" i="5"/>
  <c r="AK226" i="5"/>
  <c r="BB535" i="10"/>
  <c r="BD535" i="10"/>
  <c r="BC536" i="10"/>
  <c r="D228" i="5"/>
  <c r="G228" i="5" s="1"/>
  <c r="AC227" i="5"/>
  <c r="AI227" i="5"/>
  <c r="E227" i="5"/>
  <c r="L227" i="5" s="1"/>
  <c r="F227" i="5"/>
  <c r="O227" i="5" s="1"/>
  <c r="P227" i="5" l="1"/>
  <c r="AG228" i="5"/>
  <c r="AH227" i="5" s="1"/>
  <c r="AA228" i="5"/>
  <c r="H228" i="5"/>
  <c r="I228" i="5"/>
  <c r="N228" i="5" s="1"/>
  <c r="AE227" i="5"/>
  <c r="AH226" i="5"/>
  <c r="K227" i="5"/>
  <c r="M227" i="5" s="1"/>
  <c r="J227" i="5"/>
  <c r="CL535" i="10"/>
  <c r="CM536" i="10"/>
  <c r="CN535" i="10"/>
  <c r="BB224" i="10"/>
  <c r="BD224" i="10"/>
  <c r="BC225" i="10"/>
  <c r="CM225" i="10"/>
  <c r="CN224" i="10"/>
  <c r="CL224" i="10"/>
  <c r="DX224" i="10"/>
  <c r="DV224" i="10"/>
  <c r="DW225" i="10"/>
  <c r="AL225" i="5"/>
  <c r="AJ226" i="5"/>
  <c r="AK227" i="5"/>
  <c r="AL226" i="5" s="1"/>
  <c r="BC537" i="10"/>
  <c r="BD536" i="10"/>
  <c r="BB536" i="10"/>
  <c r="D229" i="5"/>
  <c r="G229" i="5" s="1"/>
  <c r="AI228" i="5"/>
  <c r="E228" i="5"/>
  <c r="L228" i="5" s="1"/>
  <c r="F228" i="5"/>
  <c r="O228" i="5" s="1"/>
  <c r="AC228" i="5"/>
  <c r="AE228" i="5" l="1"/>
  <c r="H229" i="5"/>
  <c r="I229" i="5"/>
  <c r="N229" i="5" s="1"/>
  <c r="AA229" i="5"/>
  <c r="AG229" i="5"/>
  <c r="P228" i="5"/>
  <c r="J228" i="5"/>
  <c r="K228" i="5"/>
  <c r="M228" i="5" s="1"/>
  <c r="DV225" i="10"/>
  <c r="DX225" i="10"/>
  <c r="DW226" i="10"/>
  <c r="BB225" i="10"/>
  <c r="BD225" i="10"/>
  <c r="BC226" i="10"/>
  <c r="CN536" i="10"/>
  <c r="CM537" i="10"/>
  <c r="CL536" i="10"/>
  <c r="CM226" i="10"/>
  <c r="CL225" i="10"/>
  <c r="CN225" i="10"/>
  <c r="AJ227" i="5"/>
  <c r="AK228" i="5"/>
  <c r="AL227" i="5" s="1"/>
  <c r="BB537" i="10"/>
  <c r="BD537" i="10"/>
  <c r="BC538" i="10"/>
  <c r="D230" i="5"/>
  <c r="G230" i="5" s="1"/>
  <c r="E229" i="5"/>
  <c r="L229" i="5" s="1"/>
  <c r="F229" i="5"/>
  <c r="O229" i="5" s="1"/>
  <c r="AI229" i="5"/>
  <c r="AC229" i="5"/>
  <c r="P229" i="5" l="1"/>
  <c r="K229" i="5"/>
  <c r="M229" i="5" s="1"/>
  <c r="J229" i="5"/>
  <c r="AE229" i="5"/>
  <c r="AG230" i="5"/>
  <c r="H230" i="5"/>
  <c r="AA230" i="5"/>
  <c r="I230" i="5"/>
  <c r="N230" i="5" s="1"/>
  <c r="AH228" i="5"/>
  <c r="CM227" i="10"/>
  <c r="CN226" i="10"/>
  <c r="CL226" i="10"/>
  <c r="CM538" i="10"/>
  <c r="CL537" i="10"/>
  <c r="CN537" i="10"/>
  <c r="BC227" i="10"/>
  <c r="BD226" i="10"/>
  <c r="BB226" i="10"/>
  <c r="DV226" i="10"/>
  <c r="DX226" i="10"/>
  <c r="DW227" i="10"/>
  <c r="AJ228" i="5"/>
  <c r="AK229" i="5"/>
  <c r="BB538" i="10"/>
  <c r="BD538" i="10"/>
  <c r="BC539" i="10"/>
  <c r="D231" i="5"/>
  <c r="G231" i="5" s="1"/>
  <c r="F230" i="5"/>
  <c r="O230" i="5" s="1"/>
  <c r="AI230" i="5"/>
  <c r="AC230" i="5"/>
  <c r="E230" i="5"/>
  <c r="L230" i="5" s="1"/>
  <c r="AE230" i="5" l="1"/>
  <c r="H231" i="5"/>
  <c r="AG231" i="5"/>
  <c r="AA231" i="5"/>
  <c r="I231" i="5"/>
  <c r="N231" i="5" s="1"/>
  <c r="K230" i="5"/>
  <c r="M230" i="5" s="1"/>
  <c r="J230" i="5"/>
  <c r="P230" i="5"/>
  <c r="AH229" i="5"/>
  <c r="DV227" i="10"/>
  <c r="DW228" i="10"/>
  <c r="DX227" i="10"/>
  <c r="CN538" i="10"/>
  <c r="CL538" i="10"/>
  <c r="CM539" i="10"/>
  <c r="BC228" i="10"/>
  <c r="BD227" i="10"/>
  <c r="BB227" i="10"/>
  <c r="CM228" i="10"/>
  <c r="CL227" i="10"/>
  <c r="CN227" i="10"/>
  <c r="AJ229" i="5"/>
  <c r="AK230" i="5"/>
  <c r="AL228" i="5"/>
  <c r="BD539" i="10"/>
  <c r="BC540" i="10"/>
  <c r="BB539" i="10"/>
  <c r="D232" i="5"/>
  <c r="G232" i="5" s="1"/>
  <c r="E231" i="5"/>
  <c r="L231" i="5" s="1"/>
  <c r="AC231" i="5"/>
  <c r="F231" i="5"/>
  <c r="O231" i="5" s="1"/>
  <c r="AI231" i="5"/>
  <c r="P231" i="5" l="1"/>
  <c r="AK231" i="5"/>
  <c r="AL230" i="5" s="1"/>
  <c r="K231" i="5"/>
  <c r="M231" i="5" s="1"/>
  <c r="J231" i="5"/>
  <c r="AE231" i="5"/>
  <c r="AA232" i="5"/>
  <c r="H232" i="5"/>
  <c r="I232" i="5"/>
  <c r="N232" i="5" s="1"/>
  <c r="AG232" i="5"/>
  <c r="AH230" i="5"/>
  <c r="CN228" i="10"/>
  <c r="CM229" i="10"/>
  <c r="CL228" i="10"/>
  <c r="CM540" i="10"/>
  <c r="CN539" i="10"/>
  <c r="CL539" i="10"/>
  <c r="DW229" i="10"/>
  <c r="DX228" i="10"/>
  <c r="DV228" i="10"/>
  <c r="BB228" i="10"/>
  <c r="BC229" i="10"/>
  <c r="BD228" i="10"/>
  <c r="AL229" i="5"/>
  <c r="BB540" i="10"/>
  <c r="BD540" i="10"/>
  <c r="BC541" i="10"/>
  <c r="AJ230" i="5"/>
  <c r="D233" i="5"/>
  <c r="G233" i="5" s="1"/>
  <c r="AC232" i="5"/>
  <c r="AI232" i="5"/>
  <c r="F232" i="5"/>
  <c r="O232" i="5" s="1"/>
  <c r="E232" i="5"/>
  <c r="L232" i="5" s="1"/>
  <c r="AE232" i="5" l="1"/>
  <c r="P232" i="5"/>
  <c r="AH231" i="5"/>
  <c r="J232" i="5"/>
  <c r="K232" i="5"/>
  <c r="M232" i="5" s="1"/>
  <c r="AA233" i="5"/>
  <c r="AG233" i="5"/>
  <c r="AH232" i="5" s="1"/>
  <c r="I233" i="5"/>
  <c r="N233" i="5" s="1"/>
  <c r="H233" i="5"/>
  <c r="CN540" i="10"/>
  <c r="CL540" i="10"/>
  <c r="CM541" i="10"/>
  <c r="CN229" i="10"/>
  <c r="CM230" i="10"/>
  <c r="CL229" i="10"/>
  <c r="BD229" i="10"/>
  <c r="BB229" i="10"/>
  <c r="BC230" i="10"/>
  <c r="DX229" i="10"/>
  <c r="DV229" i="10"/>
  <c r="DW230" i="10"/>
  <c r="AJ231" i="5"/>
  <c r="AK232" i="5"/>
  <c r="BD541" i="10"/>
  <c r="BC542" i="10"/>
  <c r="BB541" i="10"/>
  <c r="D234" i="5"/>
  <c r="G234" i="5" s="1"/>
  <c r="E233" i="5"/>
  <c r="L233" i="5" s="1"/>
  <c r="AI233" i="5"/>
  <c r="F233" i="5"/>
  <c r="O233" i="5" s="1"/>
  <c r="AC233" i="5"/>
  <c r="AE233" i="5" l="1"/>
  <c r="AG234" i="5"/>
  <c r="AH233" i="5" s="1"/>
  <c r="I234" i="5"/>
  <c r="N234" i="5" s="1"/>
  <c r="AA234" i="5"/>
  <c r="H234" i="5"/>
  <c r="P233" i="5"/>
  <c r="J233" i="5"/>
  <c r="K233" i="5"/>
  <c r="M233" i="5" s="1"/>
  <c r="DV230" i="10"/>
  <c r="DX230" i="10"/>
  <c r="DW231" i="10"/>
  <c r="BB230" i="10"/>
  <c r="BC231" i="10"/>
  <c r="BD230" i="10"/>
  <c r="CN230" i="10"/>
  <c r="CM231" i="10"/>
  <c r="CL230" i="10"/>
  <c r="CL541" i="10"/>
  <c r="CM542" i="10"/>
  <c r="CN541" i="10"/>
  <c r="AL231" i="5"/>
  <c r="AJ232" i="5"/>
  <c r="AK233" i="5"/>
  <c r="BB542" i="10"/>
  <c r="BC543" i="10"/>
  <c r="BD542" i="10"/>
  <c r="D235" i="5"/>
  <c r="G235" i="5" s="1"/>
  <c r="AC234" i="5"/>
  <c r="F234" i="5"/>
  <c r="O234" i="5" s="1"/>
  <c r="AI234" i="5"/>
  <c r="E234" i="5"/>
  <c r="L234" i="5" s="1"/>
  <c r="AE234" i="5" l="1"/>
  <c r="K234" i="5"/>
  <c r="M234" i="5" s="1"/>
  <c r="J234" i="5"/>
  <c r="P234" i="5"/>
  <c r="I235" i="5"/>
  <c r="N235" i="5" s="1"/>
  <c r="H235" i="5"/>
  <c r="AG235" i="5"/>
  <c r="AA235" i="5"/>
  <c r="CM232" i="10"/>
  <c r="CL231" i="10"/>
  <c r="CN231" i="10"/>
  <c r="CL542" i="10"/>
  <c r="CM543" i="10"/>
  <c r="CN542" i="10"/>
  <c r="BD231" i="10"/>
  <c r="BC232" i="10"/>
  <c r="BB231" i="10"/>
  <c r="DV231" i="10"/>
  <c r="DX231" i="10"/>
  <c r="DW232" i="10"/>
  <c r="AJ233" i="5"/>
  <c r="AK234" i="5"/>
  <c r="AL233" i="5" s="1"/>
  <c r="AL232" i="5"/>
  <c r="BB543" i="10"/>
  <c r="BC544" i="10"/>
  <c r="BD543" i="10"/>
  <c r="D236" i="5"/>
  <c r="G236" i="5" s="1"/>
  <c r="E235" i="5"/>
  <c r="L235" i="5" s="1"/>
  <c r="AC235" i="5"/>
  <c r="F235" i="5"/>
  <c r="O235" i="5" s="1"/>
  <c r="AI235" i="5"/>
  <c r="P235" i="5" l="1"/>
  <c r="AE235" i="5"/>
  <c r="AA236" i="5"/>
  <c r="H236" i="5"/>
  <c r="I236" i="5"/>
  <c r="N236" i="5" s="1"/>
  <c r="AG236" i="5"/>
  <c r="K235" i="5"/>
  <c r="M235" i="5" s="1"/>
  <c r="J235" i="5"/>
  <c r="AH234" i="5"/>
  <c r="DW233" i="10"/>
  <c r="DX232" i="10"/>
  <c r="DV232" i="10"/>
  <c r="BB232" i="10"/>
  <c r="BC233" i="10"/>
  <c r="BD232" i="10"/>
  <c r="CN543" i="10"/>
  <c r="CM544" i="10"/>
  <c r="CL543" i="10"/>
  <c r="CM233" i="10"/>
  <c r="CL232" i="10"/>
  <c r="CN232" i="10"/>
  <c r="AJ234" i="5"/>
  <c r="AK235" i="5"/>
  <c r="BB544" i="10"/>
  <c r="BD544" i="10"/>
  <c r="BC545" i="10"/>
  <c r="D237" i="5"/>
  <c r="G237" i="5" s="1"/>
  <c r="AC236" i="5"/>
  <c r="AI236" i="5"/>
  <c r="F236" i="5"/>
  <c r="O236" i="5" s="1"/>
  <c r="E236" i="5"/>
  <c r="L236" i="5" s="1"/>
  <c r="P236" i="5" l="1"/>
  <c r="AE236" i="5"/>
  <c r="AH235" i="5"/>
  <c r="J236" i="5"/>
  <c r="K236" i="5"/>
  <c r="M236" i="5" s="1"/>
  <c r="AK236" i="5"/>
  <c r="AL235" i="5" s="1"/>
  <c r="H237" i="5"/>
  <c r="I237" i="5"/>
  <c r="N237" i="5" s="1"/>
  <c r="AG237" i="5"/>
  <c r="AA237" i="5"/>
  <c r="CL233" i="10"/>
  <c r="CM234" i="10"/>
  <c r="CN233" i="10"/>
  <c r="CM545" i="10"/>
  <c r="CN544" i="10"/>
  <c r="CL544" i="10"/>
  <c r="BD233" i="10"/>
  <c r="BB233" i="10"/>
  <c r="BC234" i="10"/>
  <c r="DX233" i="10"/>
  <c r="DW234" i="10"/>
  <c r="DV233" i="10"/>
  <c r="AL234" i="5"/>
  <c r="BC546" i="10"/>
  <c r="BB545" i="10"/>
  <c r="BD545" i="10"/>
  <c r="D238" i="5"/>
  <c r="G238" i="5" s="1"/>
  <c r="AC237" i="5"/>
  <c r="AI237" i="5"/>
  <c r="F237" i="5"/>
  <c r="O237" i="5" s="1"/>
  <c r="E237" i="5"/>
  <c r="L237" i="5" s="1"/>
  <c r="AJ235" i="5"/>
  <c r="AK237" i="5" l="1"/>
  <c r="AL236" i="5" s="1"/>
  <c r="I238" i="5"/>
  <c r="N238" i="5" s="1"/>
  <c r="H238" i="5"/>
  <c r="AA238" i="5"/>
  <c r="AG238" i="5"/>
  <c r="AH237" i="5" s="1"/>
  <c r="P237" i="5"/>
  <c r="AE237" i="5"/>
  <c r="AH236" i="5"/>
  <c r="K237" i="5"/>
  <c r="M237" i="5" s="1"/>
  <c r="J237" i="5"/>
  <c r="CM546" i="10"/>
  <c r="CL545" i="10"/>
  <c r="CN545" i="10"/>
  <c r="CN234" i="10"/>
  <c r="CM235" i="10"/>
  <c r="CL234" i="10"/>
  <c r="DW235" i="10"/>
  <c r="DV234" i="10"/>
  <c r="DX234" i="10"/>
  <c r="BD234" i="10"/>
  <c r="BB234" i="10"/>
  <c r="BC235" i="10"/>
  <c r="BC547" i="10"/>
  <c r="BB546" i="10"/>
  <c r="BD546" i="10"/>
  <c r="AJ236" i="5"/>
  <c r="D239" i="5"/>
  <c r="G239" i="5" s="1"/>
  <c r="E238" i="5"/>
  <c r="L238" i="5" s="1"/>
  <c r="F238" i="5"/>
  <c r="O238" i="5" s="1"/>
  <c r="AC238" i="5"/>
  <c r="AI238" i="5"/>
  <c r="AE238" i="5" l="1"/>
  <c r="P238" i="5"/>
  <c r="AA239" i="5"/>
  <c r="I239" i="5"/>
  <c r="N239" i="5" s="1"/>
  <c r="AG239" i="5"/>
  <c r="H239" i="5"/>
  <c r="K238" i="5"/>
  <c r="M238" i="5" s="1"/>
  <c r="J238" i="5"/>
  <c r="BC236" i="10"/>
  <c r="BD235" i="10"/>
  <c r="BB235" i="10"/>
  <c r="DW236" i="10"/>
  <c r="DX235" i="10"/>
  <c r="DV235" i="10"/>
  <c r="CN235" i="10"/>
  <c r="CL235" i="10"/>
  <c r="CM236" i="10"/>
  <c r="CM547" i="10"/>
  <c r="CN546" i="10"/>
  <c r="CL546" i="10"/>
  <c r="AJ237" i="5"/>
  <c r="AK238" i="5"/>
  <c r="BC548" i="10"/>
  <c r="BD547" i="10"/>
  <c r="BB547" i="10"/>
  <c r="D240" i="5"/>
  <c r="G240" i="5" s="1"/>
  <c r="AC239" i="5"/>
  <c r="F239" i="5"/>
  <c r="O239" i="5" s="1"/>
  <c r="AI239" i="5"/>
  <c r="E239" i="5"/>
  <c r="L239" i="5" s="1"/>
  <c r="AK239" i="5" l="1"/>
  <c r="AL238" i="5" s="1"/>
  <c r="AE239" i="5"/>
  <c r="K239" i="5"/>
  <c r="M239" i="5" s="1"/>
  <c r="J239" i="5"/>
  <c r="P239" i="5"/>
  <c r="I240" i="5"/>
  <c r="N240" i="5" s="1"/>
  <c r="AA240" i="5"/>
  <c r="AG240" i="5"/>
  <c r="H240" i="5"/>
  <c r="AH238" i="5"/>
  <c r="CL547" i="10"/>
  <c r="CN547" i="10"/>
  <c r="CM548" i="10"/>
  <c r="DX236" i="10"/>
  <c r="DW237" i="10"/>
  <c r="DV236" i="10"/>
  <c r="CN236" i="10"/>
  <c r="CL236" i="10"/>
  <c r="CM237" i="10"/>
  <c r="BB236" i="10"/>
  <c r="BC237" i="10"/>
  <c r="BD236" i="10"/>
  <c r="AJ238" i="5"/>
  <c r="AL237" i="5"/>
  <c r="BD548" i="10"/>
  <c r="BC549" i="10"/>
  <c r="BB548" i="10"/>
  <c r="D241" i="5"/>
  <c r="G241" i="5" s="1"/>
  <c r="AI240" i="5"/>
  <c r="E240" i="5"/>
  <c r="L240" i="5" s="1"/>
  <c r="F240" i="5"/>
  <c r="O240" i="5" s="1"/>
  <c r="AC240" i="5"/>
  <c r="AK240" i="5" l="1"/>
  <c r="AL239" i="5" s="1"/>
  <c r="P240" i="5"/>
  <c r="J240" i="5"/>
  <c r="K240" i="5"/>
  <c r="M240" i="5" s="1"/>
  <c r="AE240" i="5"/>
  <c r="H241" i="5"/>
  <c r="I241" i="5"/>
  <c r="N241" i="5" s="1"/>
  <c r="AG241" i="5"/>
  <c r="AA241" i="5"/>
  <c r="AH239" i="5"/>
  <c r="AJ239" i="5"/>
  <c r="BD237" i="10"/>
  <c r="BB237" i="10"/>
  <c r="BC238" i="10"/>
  <c r="CL237" i="10"/>
  <c r="CN237" i="10"/>
  <c r="CM238" i="10"/>
  <c r="DV237" i="10"/>
  <c r="DW238" i="10"/>
  <c r="DX237" i="10"/>
  <c r="CM549" i="10"/>
  <c r="CL548" i="10"/>
  <c r="CN548" i="10"/>
  <c r="BB549" i="10"/>
  <c r="BD549" i="10"/>
  <c r="BC550" i="10"/>
  <c r="D242" i="5"/>
  <c r="G242" i="5" s="1"/>
  <c r="AC241" i="5"/>
  <c r="E241" i="5"/>
  <c r="L241" i="5" s="1"/>
  <c r="F241" i="5"/>
  <c r="O241" i="5" s="1"/>
  <c r="AI241" i="5"/>
  <c r="AK241" i="5" l="1"/>
  <c r="AL240" i="5" s="1"/>
  <c r="I242" i="5"/>
  <c r="N242" i="5" s="1"/>
  <c r="H242" i="5"/>
  <c r="AG242" i="5"/>
  <c r="AA242" i="5"/>
  <c r="P241" i="5"/>
  <c r="AE241" i="5"/>
  <c r="AH240" i="5"/>
  <c r="J241" i="5"/>
  <c r="K241" i="5"/>
  <c r="M241" i="5" s="1"/>
  <c r="CN549" i="10"/>
  <c r="CL549" i="10"/>
  <c r="CM550" i="10"/>
  <c r="DX238" i="10"/>
  <c r="DW239" i="10"/>
  <c r="DV238" i="10"/>
  <c r="CN238" i="10"/>
  <c r="CL238" i="10"/>
  <c r="CM239" i="10"/>
  <c r="BD238" i="10"/>
  <c r="BB238" i="10"/>
  <c r="BC239" i="10"/>
  <c r="BD550" i="10"/>
  <c r="BB550" i="10"/>
  <c r="BC551" i="10"/>
  <c r="AJ240" i="5"/>
  <c r="D243" i="5"/>
  <c r="G243" i="5" s="1"/>
  <c r="F242" i="5"/>
  <c r="O242" i="5" s="1"/>
  <c r="AC242" i="5"/>
  <c r="E242" i="5"/>
  <c r="L242" i="5" s="1"/>
  <c r="AI242" i="5"/>
  <c r="P242" i="5" l="1"/>
  <c r="AE242" i="5"/>
  <c r="AH241" i="5"/>
  <c r="H243" i="5"/>
  <c r="AG243" i="5"/>
  <c r="AA243" i="5"/>
  <c r="I243" i="5"/>
  <c r="N243" i="5" s="1"/>
  <c r="J242" i="5"/>
  <c r="K242" i="5"/>
  <c r="M242" i="5" s="1"/>
  <c r="BB239" i="10"/>
  <c r="BC240" i="10"/>
  <c r="BD239" i="10"/>
  <c r="CN239" i="10"/>
  <c r="CL239" i="10"/>
  <c r="CM240" i="10"/>
  <c r="DW240" i="10"/>
  <c r="DV239" i="10"/>
  <c r="DX239" i="10"/>
  <c r="CM551" i="10"/>
  <c r="CL550" i="10"/>
  <c r="CN550" i="10"/>
  <c r="AJ241" i="5"/>
  <c r="AK242" i="5"/>
  <c r="BD551" i="10"/>
  <c r="BB551" i="10"/>
  <c r="BC552" i="10"/>
  <c r="D244" i="5"/>
  <c r="G244" i="5" s="1"/>
  <c r="AI243" i="5"/>
  <c r="AC243" i="5"/>
  <c r="E243" i="5"/>
  <c r="L243" i="5" s="1"/>
  <c r="F243" i="5"/>
  <c r="O243" i="5" s="1"/>
  <c r="P243" i="5" l="1"/>
  <c r="K243" i="5"/>
  <c r="M243" i="5" s="1"/>
  <c r="J243" i="5"/>
  <c r="AE243" i="5"/>
  <c r="I244" i="5"/>
  <c r="N244" i="5" s="1"/>
  <c r="AG244" i="5"/>
  <c r="H244" i="5"/>
  <c r="AA244" i="5"/>
  <c r="AH242" i="5"/>
  <c r="CN551" i="10"/>
  <c r="CL551" i="10"/>
  <c r="CM552" i="10"/>
  <c r="CM241" i="10"/>
  <c r="CL240" i="10"/>
  <c r="CN240" i="10"/>
  <c r="BB240" i="10"/>
  <c r="BC241" i="10"/>
  <c r="BD240" i="10"/>
  <c r="DV240" i="10"/>
  <c r="DX240" i="10"/>
  <c r="DW241" i="10"/>
  <c r="AJ242" i="5"/>
  <c r="AK243" i="5"/>
  <c r="AL242" i="5" s="1"/>
  <c r="AL241" i="5"/>
  <c r="BB552" i="10"/>
  <c r="BD552" i="10"/>
  <c r="BC553" i="10"/>
  <c r="D245" i="5"/>
  <c r="G245" i="5" s="1"/>
  <c r="AI244" i="5"/>
  <c r="AC244" i="5"/>
  <c r="F244" i="5"/>
  <c r="O244" i="5" s="1"/>
  <c r="E244" i="5"/>
  <c r="L244" i="5" s="1"/>
  <c r="P244" i="5" l="1"/>
  <c r="AH243" i="5"/>
  <c r="AE244" i="5"/>
  <c r="AG245" i="5"/>
  <c r="AH244" i="5" s="1"/>
  <c r="H245" i="5"/>
  <c r="I245" i="5"/>
  <c r="N245" i="5" s="1"/>
  <c r="AA245" i="5"/>
  <c r="K244" i="5"/>
  <c r="M244" i="5" s="1"/>
  <c r="J244" i="5"/>
  <c r="DW242" i="10"/>
  <c r="DV241" i="10"/>
  <c r="DX241" i="10"/>
  <c r="BC242" i="10"/>
  <c r="BB241" i="10"/>
  <c r="BD241" i="10"/>
  <c r="CM242" i="10"/>
  <c r="CN241" i="10"/>
  <c r="CL241" i="10"/>
  <c r="CN552" i="10"/>
  <c r="CM553" i="10"/>
  <c r="CL552" i="10"/>
  <c r="AJ243" i="5"/>
  <c r="AK244" i="5"/>
  <c r="BB553" i="10"/>
  <c r="BD553" i="10"/>
  <c r="BC554" i="10"/>
  <c r="D246" i="5"/>
  <c r="G246" i="5" s="1"/>
  <c r="AC245" i="5"/>
  <c r="F245" i="5"/>
  <c r="O245" i="5" s="1"/>
  <c r="E245" i="5"/>
  <c r="L245" i="5" s="1"/>
  <c r="AI245" i="5"/>
  <c r="AE245" i="5" l="1"/>
  <c r="AK245" i="5"/>
  <c r="AL244" i="5" s="1"/>
  <c r="P245" i="5"/>
  <c r="K245" i="5"/>
  <c r="M245" i="5" s="1"/>
  <c r="J245" i="5"/>
  <c r="AA246" i="5"/>
  <c r="AG246" i="5"/>
  <c r="AH245" i="5" s="1"/>
  <c r="H246" i="5"/>
  <c r="I246" i="5"/>
  <c r="N246" i="5" s="1"/>
  <c r="BC243" i="10"/>
  <c r="BD242" i="10"/>
  <c r="BB242" i="10"/>
  <c r="CM554" i="10"/>
  <c r="CL553" i="10"/>
  <c r="CN553" i="10"/>
  <c r="CL242" i="10"/>
  <c r="CM243" i="10"/>
  <c r="CN242" i="10"/>
  <c r="DW243" i="10"/>
  <c r="DX242" i="10"/>
  <c r="DV242" i="10"/>
  <c r="AL243" i="5"/>
  <c r="BD554" i="10"/>
  <c r="BB554" i="10"/>
  <c r="BC555" i="10"/>
  <c r="D247" i="5"/>
  <c r="G247" i="5" s="1"/>
  <c r="AI246" i="5"/>
  <c r="E246" i="5"/>
  <c r="L246" i="5" s="1"/>
  <c r="AC246" i="5"/>
  <c r="F246" i="5"/>
  <c r="O246" i="5" s="1"/>
  <c r="AJ244" i="5"/>
  <c r="AK246" i="5" l="1"/>
  <c r="AL245" i="5" s="1"/>
  <c r="P246" i="5"/>
  <c r="AE246" i="5"/>
  <c r="J246" i="5"/>
  <c r="K246" i="5"/>
  <c r="M246" i="5" s="1"/>
  <c r="AA247" i="5"/>
  <c r="H247" i="5"/>
  <c r="AG247" i="5"/>
  <c r="I247" i="5"/>
  <c r="N247" i="5" s="1"/>
  <c r="DV243" i="10"/>
  <c r="DW244" i="10"/>
  <c r="DX243" i="10"/>
  <c r="CM244" i="10"/>
  <c r="CN243" i="10"/>
  <c r="CL243" i="10"/>
  <c r="CM555" i="10"/>
  <c r="CN554" i="10"/>
  <c r="CL554" i="10"/>
  <c r="BD243" i="10"/>
  <c r="BB243" i="10"/>
  <c r="BC244" i="10"/>
  <c r="AJ245" i="5"/>
  <c r="BD555" i="10"/>
  <c r="BC556" i="10"/>
  <c r="BB555" i="10"/>
  <c r="D248" i="5"/>
  <c r="G248" i="5" s="1"/>
  <c r="AI247" i="5"/>
  <c r="F247" i="5"/>
  <c r="O247" i="5" s="1"/>
  <c r="AC247" i="5"/>
  <c r="E247" i="5"/>
  <c r="L247" i="5" s="1"/>
  <c r="P247" i="5" l="1"/>
  <c r="I248" i="5"/>
  <c r="N248" i="5" s="1"/>
  <c r="AG248" i="5"/>
  <c r="AA248" i="5"/>
  <c r="H248" i="5"/>
  <c r="AH246" i="5"/>
  <c r="AE247" i="5"/>
  <c r="AK247" i="5"/>
  <c r="AL246" i="5" s="1"/>
  <c r="K247" i="5"/>
  <c r="M247" i="5" s="1"/>
  <c r="J247" i="5"/>
  <c r="BC245" i="10"/>
  <c r="BD244" i="10"/>
  <c r="BB244" i="10"/>
  <c r="CN244" i="10"/>
  <c r="CL244" i="10"/>
  <c r="CM245" i="10"/>
  <c r="DW245" i="10"/>
  <c r="DX244" i="10"/>
  <c r="DV244" i="10"/>
  <c r="CL555" i="10"/>
  <c r="CM556" i="10"/>
  <c r="CN555" i="10"/>
  <c r="BB556" i="10"/>
  <c r="BC557" i="10"/>
  <c r="BD556" i="10"/>
  <c r="AJ246" i="5"/>
  <c r="D249" i="5"/>
  <c r="G249" i="5" s="1"/>
  <c r="AC248" i="5"/>
  <c r="AI248" i="5"/>
  <c r="E248" i="5"/>
  <c r="L248" i="5" s="1"/>
  <c r="F248" i="5"/>
  <c r="O248" i="5" s="1"/>
  <c r="AK248" i="5" l="1"/>
  <c r="AL247" i="5" s="1"/>
  <c r="AE248" i="5"/>
  <c r="P248" i="5"/>
  <c r="AA249" i="5"/>
  <c r="AG249" i="5"/>
  <c r="I249" i="5"/>
  <c r="N249" i="5" s="1"/>
  <c r="H249" i="5"/>
  <c r="J248" i="5"/>
  <c r="K248" i="5"/>
  <c r="M248" i="5" s="1"/>
  <c r="AH247" i="5"/>
  <c r="CL245" i="10"/>
  <c r="CM246" i="10"/>
  <c r="CN245" i="10"/>
  <c r="CN556" i="10"/>
  <c r="CL556" i="10"/>
  <c r="CM557" i="10"/>
  <c r="DW246" i="10"/>
  <c r="DV245" i="10"/>
  <c r="DX245" i="10"/>
  <c r="BC246" i="10"/>
  <c r="BD245" i="10"/>
  <c r="BB245" i="10"/>
  <c r="AJ247" i="5"/>
  <c r="BD557" i="10"/>
  <c r="BB557" i="10"/>
  <c r="BC558" i="10"/>
  <c r="D250" i="5"/>
  <c r="G250" i="5" s="1"/>
  <c r="AC249" i="5"/>
  <c r="E249" i="5"/>
  <c r="L249" i="5" s="1"/>
  <c r="F249" i="5"/>
  <c r="O249" i="5" s="1"/>
  <c r="AI249" i="5"/>
  <c r="P249" i="5" l="1"/>
  <c r="AE249" i="5"/>
  <c r="AA250" i="5"/>
  <c r="AG250" i="5"/>
  <c r="AH249" i="5" s="1"/>
  <c r="I250" i="5"/>
  <c r="N250" i="5" s="1"/>
  <c r="H250" i="5"/>
  <c r="J249" i="5"/>
  <c r="K249" i="5"/>
  <c r="M249" i="5" s="1"/>
  <c r="AH248" i="5"/>
  <c r="BC247" i="10"/>
  <c r="BD246" i="10"/>
  <c r="BB246" i="10"/>
  <c r="CL557" i="10"/>
  <c r="CM558" i="10"/>
  <c r="CN557" i="10"/>
  <c r="CM247" i="10"/>
  <c r="CN246" i="10"/>
  <c r="CL246" i="10"/>
  <c r="DV246" i="10"/>
  <c r="DX246" i="10"/>
  <c r="DW247" i="10"/>
  <c r="AJ248" i="5"/>
  <c r="AK249" i="5"/>
  <c r="BB558" i="10"/>
  <c r="BD558" i="10"/>
  <c r="BC559" i="10"/>
  <c r="D251" i="5"/>
  <c r="G251" i="5" s="1"/>
  <c r="AC250" i="5"/>
  <c r="F250" i="5"/>
  <c r="O250" i="5" s="1"/>
  <c r="E250" i="5"/>
  <c r="L250" i="5" s="1"/>
  <c r="AI250" i="5"/>
  <c r="AK250" i="5" l="1"/>
  <c r="AL249" i="5" s="1"/>
  <c r="P250" i="5"/>
  <c r="I251" i="5"/>
  <c r="N251" i="5" s="1"/>
  <c r="AA251" i="5"/>
  <c r="AG251" i="5"/>
  <c r="H251" i="5"/>
  <c r="AE250" i="5"/>
  <c r="J250" i="5"/>
  <c r="K250" i="5"/>
  <c r="M250" i="5" s="1"/>
  <c r="DV247" i="10"/>
  <c r="DX247" i="10"/>
  <c r="DW248" i="10"/>
  <c r="CN247" i="10"/>
  <c r="CM248" i="10"/>
  <c r="CL247" i="10"/>
  <c r="CL558" i="10"/>
  <c r="CM559" i="10"/>
  <c r="CN558" i="10"/>
  <c r="BB247" i="10"/>
  <c r="BD247" i="10"/>
  <c r="BC248" i="10"/>
  <c r="AL248" i="5"/>
  <c r="BC560" i="10"/>
  <c r="BD559" i="10"/>
  <c r="BB559" i="10"/>
  <c r="D252" i="5"/>
  <c r="G252" i="5" s="1"/>
  <c r="E251" i="5"/>
  <c r="L251" i="5" s="1"/>
  <c r="F251" i="5"/>
  <c r="O251" i="5" s="1"/>
  <c r="AI251" i="5"/>
  <c r="AC251" i="5"/>
  <c r="AJ249" i="5"/>
  <c r="P251" i="5" l="1"/>
  <c r="AK251" i="5"/>
  <c r="AL250" i="5" s="1"/>
  <c r="J251" i="5"/>
  <c r="K251" i="5"/>
  <c r="M251" i="5" s="1"/>
  <c r="AE251" i="5"/>
  <c r="H252" i="5"/>
  <c r="AA252" i="5"/>
  <c r="I252" i="5"/>
  <c r="N252" i="5" s="1"/>
  <c r="AG252" i="5"/>
  <c r="AH250" i="5"/>
  <c r="BC249" i="10"/>
  <c r="BD248" i="10"/>
  <c r="BB248" i="10"/>
  <c r="CM560" i="10"/>
  <c r="CN559" i="10"/>
  <c r="CL559" i="10"/>
  <c r="CN248" i="10"/>
  <c r="CM249" i="10"/>
  <c r="CL248" i="10"/>
  <c r="DX248" i="10"/>
  <c r="DV248" i="10"/>
  <c r="DW249" i="10"/>
  <c r="BC561" i="10"/>
  <c r="BD560" i="10"/>
  <c r="BB560" i="10"/>
  <c r="AJ250" i="5"/>
  <c r="D253" i="5"/>
  <c r="G253" i="5" s="1"/>
  <c r="AI252" i="5"/>
  <c r="E252" i="5"/>
  <c r="L252" i="5" s="1"/>
  <c r="F252" i="5"/>
  <c r="O252" i="5" s="1"/>
  <c r="AC252" i="5"/>
  <c r="P252" i="5" l="1"/>
  <c r="AE252" i="5"/>
  <c r="AG253" i="5"/>
  <c r="I253" i="5"/>
  <c r="N253" i="5" s="1"/>
  <c r="AA253" i="5"/>
  <c r="H253" i="5"/>
  <c r="AH251" i="5"/>
  <c r="AK252" i="5"/>
  <c r="AL251" i="5" s="1"/>
  <c r="J252" i="5"/>
  <c r="K252" i="5"/>
  <c r="M252" i="5" s="1"/>
  <c r="DX249" i="10"/>
  <c r="DV249" i="10"/>
  <c r="DW250" i="10"/>
  <c r="CL249" i="10"/>
  <c r="CM250" i="10"/>
  <c r="CN249" i="10"/>
  <c r="CM561" i="10"/>
  <c r="CN560" i="10"/>
  <c r="CL560" i="10"/>
  <c r="BD249" i="10"/>
  <c r="BC250" i="10"/>
  <c r="BB249" i="10"/>
  <c r="BD561" i="10"/>
  <c r="BC562" i="10"/>
  <c r="BB561" i="10"/>
  <c r="D254" i="5"/>
  <c r="G254" i="5" s="1"/>
  <c r="F253" i="5"/>
  <c r="O253" i="5" s="1"/>
  <c r="E253" i="5"/>
  <c r="L253" i="5" s="1"/>
  <c r="AC253" i="5"/>
  <c r="AI253" i="5"/>
  <c r="AJ251" i="5"/>
  <c r="P253" i="5" l="1"/>
  <c r="H254" i="5"/>
  <c r="AA254" i="5"/>
  <c r="I254" i="5"/>
  <c r="N254" i="5" s="1"/>
  <c r="AG254" i="5"/>
  <c r="AE253" i="5"/>
  <c r="AH252" i="5"/>
  <c r="K253" i="5"/>
  <c r="M253" i="5" s="1"/>
  <c r="J253" i="5"/>
  <c r="BD250" i="10"/>
  <c r="BC251" i="10"/>
  <c r="BB250" i="10"/>
  <c r="CL561" i="10"/>
  <c r="CN561" i="10"/>
  <c r="CM562" i="10"/>
  <c r="CM251" i="10"/>
  <c r="CL250" i="10"/>
  <c r="CN250" i="10"/>
  <c r="DV250" i="10"/>
  <c r="DW251" i="10"/>
  <c r="DX250" i="10"/>
  <c r="AJ252" i="5"/>
  <c r="AK253" i="5"/>
  <c r="BD562" i="10"/>
  <c r="BC563" i="10"/>
  <c r="BB562" i="10"/>
  <c r="D255" i="5"/>
  <c r="G255" i="5" s="1"/>
  <c r="AI254" i="5"/>
  <c r="AC254" i="5"/>
  <c r="E254" i="5"/>
  <c r="L254" i="5" s="1"/>
  <c r="F254" i="5"/>
  <c r="O254" i="5" s="1"/>
  <c r="AE254" i="5" l="1"/>
  <c r="AK254" i="5"/>
  <c r="AL253" i="5" s="1"/>
  <c r="P254" i="5"/>
  <c r="AG255" i="5"/>
  <c r="AA255" i="5"/>
  <c r="I255" i="5"/>
  <c r="N255" i="5" s="1"/>
  <c r="H255" i="5"/>
  <c r="K254" i="5"/>
  <c r="M254" i="5" s="1"/>
  <c r="J254" i="5"/>
  <c r="AH253" i="5"/>
  <c r="CN562" i="10"/>
  <c r="CM563" i="10"/>
  <c r="CL562" i="10"/>
  <c r="BD251" i="10"/>
  <c r="BC252" i="10"/>
  <c r="BB251" i="10"/>
  <c r="DV251" i="10"/>
  <c r="DX251" i="10"/>
  <c r="DW252" i="10"/>
  <c r="CN251" i="10"/>
  <c r="CM252" i="10"/>
  <c r="CL251" i="10"/>
  <c r="AL252" i="5"/>
  <c r="BD563" i="10"/>
  <c r="BB563" i="10"/>
  <c r="BC564" i="10"/>
  <c r="AJ253" i="5"/>
  <c r="D256" i="5"/>
  <c r="G256" i="5" s="1"/>
  <c r="AC255" i="5"/>
  <c r="AI255" i="5"/>
  <c r="E255" i="5"/>
  <c r="L255" i="5" s="1"/>
  <c r="F255" i="5"/>
  <c r="O255" i="5" s="1"/>
  <c r="AK255" i="5" l="1"/>
  <c r="AL254" i="5" s="1"/>
  <c r="P255" i="5"/>
  <c r="H256" i="5"/>
  <c r="AG256" i="5"/>
  <c r="I256" i="5"/>
  <c r="N256" i="5" s="1"/>
  <c r="AA256" i="5"/>
  <c r="K255" i="5"/>
  <c r="M255" i="5" s="1"/>
  <c r="J255" i="5"/>
  <c r="AE255" i="5"/>
  <c r="AH254" i="5"/>
  <c r="CN563" i="10"/>
  <c r="CM564" i="10"/>
  <c r="CL563" i="10"/>
  <c r="CL252" i="10"/>
  <c r="CN252" i="10"/>
  <c r="CM253" i="10"/>
  <c r="DW253" i="10"/>
  <c r="DX252" i="10"/>
  <c r="DV252" i="10"/>
  <c r="BC253" i="10"/>
  <c r="BD252" i="10"/>
  <c r="BB252" i="10"/>
  <c r="BD564" i="10"/>
  <c r="BB564" i="10"/>
  <c r="BC565" i="10"/>
  <c r="D257" i="5"/>
  <c r="G257" i="5" s="1"/>
  <c r="AI256" i="5"/>
  <c r="F256" i="5"/>
  <c r="O256" i="5" s="1"/>
  <c r="AC256" i="5"/>
  <c r="E256" i="5"/>
  <c r="L256" i="5" s="1"/>
  <c r="AJ254" i="5"/>
  <c r="AE256" i="5" l="1"/>
  <c r="P256" i="5"/>
  <c r="AH255" i="5"/>
  <c r="H257" i="5"/>
  <c r="AA257" i="5"/>
  <c r="AG257" i="5"/>
  <c r="AH256" i="5" s="1"/>
  <c r="I257" i="5"/>
  <c r="N257" i="5" s="1"/>
  <c r="K256" i="5"/>
  <c r="M256" i="5" s="1"/>
  <c r="J256" i="5"/>
  <c r="BD253" i="10"/>
  <c r="BC254" i="10"/>
  <c r="BB253" i="10"/>
  <c r="CN253" i="10"/>
  <c r="CM254" i="10"/>
  <c r="CL253" i="10"/>
  <c r="CN564" i="10"/>
  <c r="CM565" i="10"/>
  <c r="CL564" i="10"/>
  <c r="DX253" i="10"/>
  <c r="DW254" i="10"/>
  <c r="DV253" i="10"/>
  <c r="AJ255" i="5"/>
  <c r="AK256" i="5"/>
  <c r="BB565" i="10"/>
  <c r="BD565" i="10"/>
  <c r="BC566" i="10"/>
  <c r="D258" i="5"/>
  <c r="G258" i="5" s="1"/>
  <c r="AC257" i="5"/>
  <c r="F257" i="5"/>
  <c r="O257" i="5" s="1"/>
  <c r="AI257" i="5"/>
  <c r="E257" i="5"/>
  <c r="L257" i="5" s="1"/>
  <c r="AE257" i="5" l="1"/>
  <c r="P257" i="5"/>
  <c r="AA258" i="5"/>
  <c r="I258" i="5"/>
  <c r="N258" i="5" s="1"/>
  <c r="AG258" i="5"/>
  <c r="H258" i="5"/>
  <c r="K257" i="5"/>
  <c r="M257" i="5" s="1"/>
  <c r="J257" i="5"/>
  <c r="CN565" i="10"/>
  <c r="CM566" i="10"/>
  <c r="CL565" i="10"/>
  <c r="BC255" i="10"/>
  <c r="BD254" i="10"/>
  <c r="BB254" i="10"/>
  <c r="DW255" i="10"/>
  <c r="DV254" i="10"/>
  <c r="DX254" i="10"/>
  <c r="CN254" i="10"/>
  <c r="CM255" i="10"/>
  <c r="CL254" i="10"/>
  <c r="AJ256" i="5"/>
  <c r="AK257" i="5"/>
  <c r="AL256" i="5" s="1"/>
  <c r="AL255" i="5"/>
  <c r="BC567" i="10"/>
  <c r="BB566" i="10"/>
  <c r="BD566" i="10"/>
  <c r="D259" i="5"/>
  <c r="G259" i="5" s="1"/>
  <c r="AI258" i="5"/>
  <c r="E258" i="5"/>
  <c r="L258" i="5" s="1"/>
  <c r="F258" i="5"/>
  <c r="O258" i="5" s="1"/>
  <c r="AC258" i="5"/>
  <c r="AE258" i="5" l="1"/>
  <c r="P258" i="5"/>
  <c r="I259" i="5"/>
  <c r="N259" i="5" s="1"/>
  <c r="H259" i="5"/>
  <c r="AA259" i="5"/>
  <c r="AG259" i="5"/>
  <c r="AK258" i="5"/>
  <c r="AL257" i="5" s="1"/>
  <c r="AH257" i="5"/>
  <c r="K258" i="5"/>
  <c r="M258" i="5" s="1"/>
  <c r="J258" i="5"/>
  <c r="AJ257" i="5"/>
  <c r="BC256" i="10"/>
  <c r="BD255" i="10"/>
  <c r="BB255" i="10"/>
  <c r="CM567" i="10"/>
  <c r="CL566" i="10"/>
  <c r="CN566" i="10"/>
  <c r="CL255" i="10"/>
  <c r="CN255" i="10"/>
  <c r="CM256" i="10"/>
  <c r="DW256" i="10"/>
  <c r="DV255" i="10"/>
  <c r="DX255" i="10"/>
  <c r="BD567" i="10"/>
  <c r="BB567" i="10"/>
  <c r="BC568" i="10"/>
  <c r="D260" i="5"/>
  <c r="G260" i="5" s="1"/>
  <c r="AC259" i="5"/>
  <c r="AI259" i="5"/>
  <c r="E259" i="5"/>
  <c r="L259" i="5" s="1"/>
  <c r="F259" i="5"/>
  <c r="O259" i="5" s="1"/>
  <c r="P259" i="5" l="1"/>
  <c r="AK259" i="5"/>
  <c r="AL258" i="5" s="1"/>
  <c r="H260" i="5"/>
  <c r="AA260" i="5"/>
  <c r="I260" i="5"/>
  <c r="N260" i="5" s="1"/>
  <c r="AG260" i="5"/>
  <c r="AE259" i="5"/>
  <c r="AH258" i="5"/>
  <c r="K259" i="5"/>
  <c r="M259" i="5" s="1"/>
  <c r="J259" i="5"/>
  <c r="DV256" i="10"/>
  <c r="DW257" i="10"/>
  <c r="DX256" i="10"/>
  <c r="CN567" i="10"/>
  <c r="CL567" i="10"/>
  <c r="CM568" i="10"/>
  <c r="CM257" i="10"/>
  <c r="CL256" i="10"/>
  <c r="CN256" i="10"/>
  <c r="BB256" i="10"/>
  <c r="BD256" i="10"/>
  <c r="BC257" i="10"/>
  <c r="BD568" i="10"/>
  <c r="BB568" i="10"/>
  <c r="BC569" i="10"/>
  <c r="AJ258" i="5"/>
  <c r="D261" i="5"/>
  <c r="G261" i="5" s="1"/>
  <c r="F260" i="5"/>
  <c r="O260" i="5" s="1"/>
  <c r="AC260" i="5"/>
  <c r="AI260" i="5"/>
  <c r="E260" i="5"/>
  <c r="L260" i="5" s="1"/>
  <c r="P260" i="5" l="1"/>
  <c r="AE260" i="5"/>
  <c r="AA261" i="5"/>
  <c r="I261" i="5"/>
  <c r="N261" i="5" s="1"/>
  <c r="AG261" i="5"/>
  <c r="H261" i="5"/>
  <c r="AH259" i="5"/>
  <c r="AK260" i="5"/>
  <c r="AL259" i="5" s="1"/>
  <c r="K260" i="5"/>
  <c r="M260" i="5" s="1"/>
  <c r="J260" i="5"/>
  <c r="BB257" i="10"/>
  <c r="BC258" i="10"/>
  <c r="BD257" i="10"/>
  <c r="CM569" i="10"/>
  <c r="CL568" i="10"/>
  <c r="CN568" i="10"/>
  <c r="DX257" i="10"/>
  <c r="DV257" i="10"/>
  <c r="DW258" i="10"/>
  <c r="CL257" i="10"/>
  <c r="CN257" i="10"/>
  <c r="CM258" i="10"/>
  <c r="BD569" i="10"/>
  <c r="BB569" i="10"/>
  <c r="BC570" i="10"/>
  <c r="AJ259" i="5"/>
  <c r="D262" i="5"/>
  <c r="G262" i="5" s="1"/>
  <c r="F261" i="5"/>
  <c r="O261" i="5" s="1"/>
  <c r="AC261" i="5"/>
  <c r="E261" i="5"/>
  <c r="L261" i="5" s="1"/>
  <c r="AI261" i="5"/>
  <c r="P261" i="5" l="1"/>
  <c r="AK261" i="5"/>
  <c r="AL260" i="5" s="1"/>
  <c r="AE261" i="5"/>
  <c r="H262" i="5"/>
  <c r="I262" i="5"/>
  <c r="N262" i="5" s="1"/>
  <c r="AA262" i="5"/>
  <c r="AG262" i="5"/>
  <c r="AH260" i="5"/>
  <c r="K261" i="5"/>
  <c r="M261" i="5" s="1"/>
  <c r="J261" i="5"/>
  <c r="CN258" i="10"/>
  <c r="CM259" i="10"/>
  <c r="CL258" i="10"/>
  <c r="CN569" i="10"/>
  <c r="CM570" i="10"/>
  <c r="CL569" i="10"/>
  <c r="BD258" i="10"/>
  <c r="BC259" i="10"/>
  <c r="BB258" i="10"/>
  <c r="DX258" i="10"/>
  <c r="DW259" i="10"/>
  <c r="DV258" i="10"/>
  <c r="BD570" i="10"/>
  <c r="BB570" i="10"/>
  <c r="BC571" i="10"/>
  <c r="AJ260" i="5"/>
  <c r="D263" i="5"/>
  <c r="G263" i="5" s="1"/>
  <c r="F262" i="5"/>
  <c r="O262" i="5" s="1"/>
  <c r="AC262" i="5"/>
  <c r="AI262" i="5"/>
  <c r="E262" i="5"/>
  <c r="L262" i="5" s="1"/>
  <c r="AE262" i="5" l="1"/>
  <c r="AK262" i="5"/>
  <c r="AL261" i="5" s="1"/>
  <c r="P262" i="5"/>
  <c r="AH261" i="5"/>
  <c r="H263" i="5"/>
  <c r="I263" i="5"/>
  <c r="N263" i="5" s="1"/>
  <c r="AA263" i="5"/>
  <c r="AG263" i="5"/>
  <c r="K262" i="5"/>
  <c r="M262" i="5" s="1"/>
  <c r="J262" i="5"/>
  <c r="BC260" i="10"/>
  <c r="BB259" i="10"/>
  <c r="BD259" i="10"/>
  <c r="CL259" i="10"/>
  <c r="CN259" i="10"/>
  <c r="CM260" i="10"/>
  <c r="DW260" i="10"/>
  <c r="DV259" i="10"/>
  <c r="DX259" i="10"/>
  <c r="CM571" i="10"/>
  <c r="CL570" i="10"/>
  <c r="CN570" i="10"/>
  <c r="BC572" i="10"/>
  <c r="BD571" i="10"/>
  <c r="BB571" i="10"/>
  <c r="D264" i="5"/>
  <c r="G264" i="5" s="1"/>
  <c r="AC263" i="5"/>
  <c r="F263" i="5"/>
  <c r="O263" i="5" s="1"/>
  <c r="AI263" i="5"/>
  <c r="E263" i="5"/>
  <c r="L263" i="5" s="1"/>
  <c r="AJ261" i="5"/>
  <c r="AE263" i="5" l="1"/>
  <c r="P263" i="5"/>
  <c r="AA264" i="5"/>
  <c r="H264" i="5"/>
  <c r="AG264" i="5"/>
  <c r="I264" i="5"/>
  <c r="N264" i="5" s="1"/>
  <c r="J263" i="5"/>
  <c r="K263" i="5"/>
  <c r="M263" i="5" s="1"/>
  <c r="AH262" i="5"/>
  <c r="CM572" i="10"/>
  <c r="CN571" i="10"/>
  <c r="CL571" i="10"/>
  <c r="CM261" i="10"/>
  <c r="CL260" i="10"/>
  <c r="CN260" i="10"/>
  <c r="DV260" i="10"/>
  <c r="DW261" i="10"/>
  <c r="DX260" i="10"/>
  <c r="BD260" i="10"/>
  <c r="BC261" i="10"/>
  <c r="BB260" i="10"/>
  <c r="AJ262" i="5"/>
  <c r="AK263" i="5"/>
  <c r="BB572" i="10"/>
  <c r="BC573" i="10"/>
  <c r="BD572" i="10"/>
  <c r="D265" i="5"/>
  <c r="G265" i="5" s="1"/>
  <c r="E264" i="5"/>
  <c r="L264" i="5" s="1"/>
  <c r="F264" i="5"/>
  <c r="O264" i="5" s="1"/>
  <c r="AI264" i="5"/>
  <c r="AC264" i="5"/>
  <c r="P264" i="5" l="1"/>
  <c r="AK264" i="5"/>
  <c r="AL263" i="5" s="1"/>
  <c r="AE264" i="5"/>
  <c r="I265" i="5"/>
  <c r="N265" i="5" s="1"/>
  <c r="H265" i="5"/>
  <c r="AA265" i="5"/>
  <c r="AG265" i="5"/>
  <c r="AH264" i="5" s="1"/>
  <c r="AH263" i="5"/>
  <c r="K264" i="5"/>
  <c r="M264" i="5" s="1"/>
  <c r="J264" i="5"/>
  <c r="DW262" i="10"/>
  <c r="DX261" i="10"/>
  <c r="DV261" i="10"/>
  <c r="CL261" i="10"/>
  <c r="CM262" i="10"/>
  <c r="CN261" i="10"/>
  <c r="BD261" i="10"/>
  <c r="BB261" i="10"/>
  <c r="BC262" i="10"/>
  <c r="CN572" i="10"/>
  <c r="CL572" i="10"/>
  <c r="CM573" i="10"/>
  <c r="AL262" i="5"/>
  <c r="BD573" i="10"/>
  <c r="BC574" i="10"/>
  <c r="BB573" i="10"/>
  <c r="D266" i="5"/>
  <c r="G266" i="5" s="1"/>
  <c r="F265" i="5"/>
  <c r="O265" i="5" s="1"/>
  <c r="AI265" i="5"/>
  <c r="E265" i="5"/>
  <c r="L265" i="5" s="1"/>
  <c r="AC265" i="5"/>
  <c r="AJ263" i="5"/>
  <c r="AK265" i="5" l="1"/>
  <c r="AL264" i="5" s="1"/>
  <c r="P265" i="5"/>
  <c r="AE265" i="5"/>
  <c r="AA266" i="5"/>
  <c r="AG266" i="5"/>
  <c r="I266" i="5"/>
  <c r="N266" i="5" s="1"/>
  <c r="H266" i="5"/>
  <c r="J265" i="5"/>
  <c r="K265" i="5"/>
  <c r="M265" i="5" s="1"/>
  <c r="CN573" i="10"/>
  <c r="CL573" i="10"/>
  <c r="CM574" i="10"/>
  <c r="BC263" i="10"/>
  <c r="BB262" i="10"/>
  <c r="BD262" i="10"/>
  <c r="CM263" i="10"/>
  <c r="CL262" i="10"/>
  <c r="CN262" i="10"/>
  <c r="DW263" i="10"/>
  <c r="DV262" i="10"/>
  <c r="DX262" i="10"/>
  <c r="BD574" i="10"/>
  <c r="BC575" i="10"/>
  <c r="BB574" i="10"/>
  <c r="AJ264" i="5"/>
  <c r="D267" i="5"/>
  <c r="G267" i="5" s="1"/>
  <c r="E266" i="5"/>
  <c r="L266" i="5" s="1"/>
  <c r="AI266" i="5"/>
  <c r="AC266" i="5"/>
  <c r="F266" i="5"/>
  <c r="O266" i="5" s="1"/>
  <c r="P266" i="5" l="1"/>
  <c r="AK266" i="5"/>
  <c r="AL265" i="5" s="1"/>
  <c r="AE266" i="5"/>
  <c r="I267" i="5"/>
  <c r="N267" i="5" s="1"/>
  <c r="AA267" i="5"/>
  <c r="H267" i="5"/>
  <c r="AG267" i="5"/>
  <c r="AH266" i="5" s="1"/>
  <c r="J266" i="5"/>
  <c r="K266" i="5"/>
  <c r="M266" i="5" s="1"/>
  <c r="AH265" i="5"/>
  <c r="DV263" i="10"/>
  <c r="DX263" i="10"/>
  <c r="DW264" i="10"/>
  <c r="BD263" i="10"/>
  <c r="BB263" i="10"/>
  <c r="BC264" i="10"/>
  <c r="CN263" i="10"/>
  <c r="CM264" i="10"/>
  <c r="CL263" i="10"/>
  <c r="CM575" i="10"/>
  <c r="CN574" i="10"/>
  <c r="CL574" i="10"/>
  <c r="BB575" i="10"/>
  <c r="BD575" i="10"/>
  <c r="BC576" i="10"/>
  <c r="AJ265" i="5"/>
  <c r="D268" i="5"/>
  <c r="G268" i="5" s="1"/>
  <c r="F267" i="5"/>
  <c r="O267" i="5" s="1"/>
  <c r="E267" i="5"/>
  <c r="L267" i="5" s="1"/>
  <c r="AC267" i="5"/>
  <c r="AI267" i="5"/>
  <c r="P267" i="5" l="1"/>
  <c r="I268" i="5"/>
  <c r="N268" i="5" s="1"/>
  <c r="AG268" i="5"/>
  <c r="AH267" i="5" s="1"/>
  <c r="AA268" i="5"/>
  <c r="H268" i="5"/>
  <c r="AE267" i="5"/>
  <c r="K267" i="5"/>
  <c r="M267" i="5" s="1"/>
  <c r="J267" i="5"/>
  <c r="CN575" i="10"/>
  <c r="CL575" i="10"/>
  <c r="CM576" i="10"/>
  <c r="CM265" i="10"/>
  <c r="CL264" i="10"/>
  <c r="CN264" i="10"/>
  <c r="BB264" i="10"/>
  <c r="BC265" i="10"/>
  <c r="BD264" i="10"/>
  <c r="DX264" i="10"/>
  <c r="DW265" i="10"/>
  <c r="DV264" i="10"/>
  <c r="AJ266" i="5"/>
  <c r="AK267" i="5"/>
  <c r="BC577" i="10"/>
  <c r="BB576" i="10"/>
  <c r="BD576" i="10"/>
  <c r="D269" i="5"/>
  <c r="G269" i="5" s="1"/>
  <c r="AI268" i="5"/>
  <c r="E268" i="5"/>
  <c r="L268" i="5" s="1"/>
  <c r="F268" i="5"/>
  <c r="O268" i="5" s="1"/>
  <c r="AC268" i="5"/>
  <c r="AK268" i="5" l="1"/>
  <c r="AL267" i="5" s="1"/>
  <c r="AE268" i="5"/>
  <c r="AG269" i="5"/>
  <c r="H269" i="5"/>
  <c r="I269" i="5"/>
  <c r="N269" i="5" s="1"/>
  <c r="AA269" i="5"/>
  <c r="P268" i="5"/>
  <c r="J268" i="5"/>
  <c r="K268" i="5"/>
  <c r="M268" i="5" s="1"/>
  <c r="AJ267" i="5"/>
  <c r="BB265" i="10"/>
  <c r="BC266" i="10"/>
  <c r="BD265" i="10"/>
  <c r="CM266" i="10"/>
  <c r="CN265" i="10"/>
  <c r="CL265" i="10"/>
  <c r="DV265" i="10"/>
  <c r="DW266" i="10"/>
  <c r="DX265" i="10"/>
  <c r="CN576" i="10"/>
  <c r="CM577" i="10"/>
  <c r="CL576" i="10"/>
  <c r="AL266" i="5"/>
  <c r="BC578" i="10"/>
  <c r="BD577" i="10"/>
  <c r="BB577" i="10"/>
  <c r="D270" i="5"/>
  <c r="G270" i="5" s="1"/>
  <c r="F269" i="5"/>
  <c r="O269" i="5" s="1"/>
  <c r="E269" i="5"/>
  <c r="L269" i="5" s="1"/>
  <c r="AI269" i="5"/>
  <c r="AC269" i="5"/>
  <c r="AE269" i="5" l="1"/>
  <c r="AA270" i="5"/>
  <c r="H270" i="5"/>
  <c r="I270" i="5"/>
  <c r="N270" i="5" s="1"/>
  <c r="AG270" i="5"/>
  <c r="AH269" i="5" s="1"/>
  <c r="AH268" i="5"/>
  <c r="AK269" i="5"/>
  <c r="AL268" i="5" s="1"/>
  <c r="P269" i="5"/>
  <c r="K269" i="5"/>
  <c r="M269" i="5" s="1"/>
  <c r="J269" i="5"/>
  <c r="DW267" i="10"/>
  <c r="DV266" i="10"/>
  <c r="DX266" i="10"/>
  <c r="CL266" i="10"/>
  <c r="CM267" i="10"/>
  <c r="CN266" i="10"/>
  <c r="BD266" i="10"/>
  <c r="BC267" i="10"/>
  <c r="BB266" i="10"/>
  <c r="CN577" i="10"/>
  <c r="CL577" i="10"/>
  <c r="CM578" i="10"/>
  <c r="BD578" i="10"/>
  <c r="BB578" i="10"/>
  <c r="BC579" i="10"/>
  <c r="AJ268" i="5"/>
  <c r="D271" i="5"/>
  <c r="G271" i="5" s="1"/>
  <c r="F270" i="5"/>
  <c r="O270" i="5" s="1"/>
  <c r="AI270" i="5"/>
  <c r="E270" i="5"/>
  <c r="L270" i="5" s="1"/>
  <c r="AC270" i="5"/>
  <c r="P270" i="5" l="1"/>
  <c r="AE270" i="5"/>
  <c r="AA271" i="5"/>
  <c r="H271" i="5"/>
  <c r="I271" i="5"/>
  <c r="N271" i="5" s="1"/>
  <c r="AG271" i="5"/>
  <c r="K270" i="5"/>
  <c r="M270" i="5" s="1"/>
  <c r="J270" i="5"/>
  <c r="CL578" i="10"/>
  <c r="CM579" i="10"/>
  <c r="CN578" i="10"/>
  <c r="BC268" i="10"/>
  <c r="BD267" i="10"/>
  <c r="BB267" i="10"/>
  <c r="CN267" i="10"/>
  <c r="CL267" i="10"/>
  <c r="CM268" i="10"/>
  <c r="DW268" i="10"/>
  <c r="DX267" i="10"/>
  <c r="DV267" i="10"/>
  <c r="AJ269" i="5"/>
  <c r="AK270" i="5"/>
  <c r="BD579" i="10"/>
  <c r="BB579" i="10"/>
  <c r="BC580" i="10"/>
  <c r="D272" i="5"/>
  <c r="G272" i="5" s="1"/>
  <c r="F271" i="5"/>
  <c r="O271" i="5" s="1"/>
  <c r="E271" i="5"/>
  <c r="L271" i="5" s="1"/>
  <c r="AI271" i="5"/>
  <c r="AC271" i="5"/>
  <c r="P271" i="5" l="1"/>
  <c r="AE271" i="5"/>
  <c r="AH270" i="5"/>
  <c r="J271" i="5"/>
  <c r="K271" i="5"/>
  <c r="M271" i="5" s="1"/>
  <c r="AG272" i="5"/>
  <c r="AH271" i="5" s="1"/>
  <c r="I272" i="5"/>
  <c r="N272" i="5" s="1"/>
  <c r="H272" i="5"/>
  <c r="AA272" i="5"/>
  <c r="DV268" i="10"/>
  <c r="DW269" i="10"/>
  <c r="DX268" i="10"/>
  <c r="BB268" i="10"/>
  <c r="BC269" i="10"/>
  <c r="BD268" i="10"/>
  <c r="CN579" i="10"/>
  <c r="CL579" i="10"/>
  <c r="CM580" i="10"/>
  <c r="CN268" i="10"/>
  <c r="CM269" i="10"/>
  <c r="CL268" i="10"/>
  <c r="AJ270" i="5"/>
  <c r="AK271" i="5"/>
  <c r="AL270" i="5" s="1"/>
  <c r="AL269" i="5"/>
  <c r="BB580" i="10"/>
  <c r="BD580" i="10"/>
  <c r="BC581" i="10"/>
  <c r="D273" i="5"/>
  <c r="G273" i="5" s="1"/>
  <c r="AC272" i="5"/>
  <c r="F272" i="5"/>
  <c r="O272" i="5" s="1"/>
  <c r="AI272" i="5"/>
  <c r="E272" i="5"/>
  <c r="L272" i="5" s="1"/>
  <c r="P272" i="5" l="1"/>
  <c r="AK272" i="5"/>
  <c r="AL271" i="5" s="1"/>
  <c r="AE272" i="5"/>
  <c r="J272" i="5"/>
  <c r="K272" i="5"/>
  <c r="M272" i="5" s="1"/>
  <c r="AG273" i="5"/>
  <c r="AH272" i="5" s="1"/>
  <c r="H273" i="5"/>
  <c r="AA273" i="5"/>
  <c r="I273" i="5"/>
  <c r="N273" i="5" s="1"/>
  <c r="DX269" i="10"/>
  <c r="DW270" i="10"/>
  <c r="DV269" i="10"/>
  <c r="CN269" i="10"/>
  <c r="CM270" i="10"/>
  <c r="CL269" i="10"/>
  <c r="CM581" i="10"/>
  <c r="CL580" i="10"/>
  <c r="CN580" i="10"/>
  <c r="BB269" i="10"/>
  <c r="BD269" i="10"/>
  <c r="BC270" i="10"/>
  <c r="BC582" i="10"/>
  <c r="BD581" i="10"/>
  <c r="BB581" i="10"/>
  <c r="D274" i="5"/>
  <c r="G274" i="5" s="1"/>
  <c r="F273" i="5"/>
  <c r="O273" i="5" s="1"/>
  <c r="AI273" i="5"/>
  <c r="E273" i="5"/>
  <c r="L273" i="5" s="1"/>
  <c r="AC273" i="5"/>
  <c r="AJ271" i="5"/>
  <c r="AE273" i="5" l="1"/>
  <c r="AK273" i="5"/>
  <c r="AL272" i="5" s="1"/>
  <c r="I274" i="5"/>
  <c r="N274" i="5" s="1"/>
  <c r="AG274" i="5"/>
  <c r="AH273" i="5" s="1"/>
  <c r="H274" i="5"/>
  <c r="AA274" i="5"/>
  <c r="J273" i="5"/>
  <c r="K273" i="5"/>
  <c r="M273" i="5" s="1"/>
  <c r="P273" i="5"/>
  <c r="AJ272" i="5"/>
  <c r="BD270" i="10"/>
  <c r="BC271" i="10"/>
  <c r="BB270" i="10"/>
  <c r="DW271" i="10"/>
  <c r="DV270" i="10"/>
  <c r="DX270" i="10"/>
  <c r="CN581" i="10"/>
  <c r="CM582" i="10"/>
  <c r="CL581" i="10"/>
  <c r="CM271" i="10"/>
  <c r="CL270" i="10"/>
  <c r="CN270" i="10"/>
  <c r="BC583" i="10"/>
  <c r="BD582" i="10"/>
  <c r="BB582" i="10"/>
  <c r="D275" i="5"/>
  <c r="G275" i="5" s="1"/>
  <c r="F274" i="5"/>
  <c r="O274" i="5" s="1"/>
  <c r="AC274" i="5"/>
  <c r="AI274" i="5"/>
  <c r="E274" i="5"/>
  <c r="L274" i="5" s="1"/>
  <c r="P274" i="5" l="1"/>
  <c r="AE274" i="5"/>
  <c r="H275" i="5"/>
  <c r="AG275" i="5"/>
  <c r="AH274" i="5" s="1"/>
  <c r="AA275" i="5"/>
  <c r="I275" i="5"/>
  <c r="N275" i="5" s="1"/>
  <c r="J274" i="5"/>
  <c r="K274" i="5"/>
  <c r="M274" i="5" s="1"/>
  <c r="CN271" i="10"/>
  <c r="CL271" i="10"/>
  <c r="CM272" i="10"/>
  <c r="CL582" i="10"/>
  <c r="CM583" i="10"/>
  <c r="CN582" i="10"/>
  <c r="DW272" i="10"/>
  <c r="DX271" i="10"/>
  <c r="DV271" i="10"/>
  <c r="BC272" i="10"/>
  <c r="BB271" i="10"/>
  <c r="BD271" i="10"/>
  <c r="AJ273" i="5"/>
  <c r="AK274" i="5"/>
  <c r="BB583" i="10"/>
  <c r="BC584" i="10"/>
  <c r="BD583" i="10"/>
  <c r="D276" i="5"/>
  <c r="G276" i="5" s="1"/>
  <c r="AI275" i="5"/>
  <c r="E275" i="5"/>
  <c r="L275" i="5" s="1"/>
  <c r="F275" i="5"/>
  <c r="O275" i="5" s="1"/>
  <c r="AC275" i="5"/>
  <c r="P275" i="5" l="1"/>
  <c r="AK275" i="5"/>
  <c r="AL274" i="5" s="1"/>
  <c r="K275" i="5"/>
  <c r="M275" i="5" s="1"/>
  <c r="J275" i="5"/>
  <c r="AE275" i="5"/>
  <c r="AG276" i="5"/>
  <c r="H276" i="5"/>
  <c r="I276" i="5"/>
  <c r="N276" i="5" s="1"/>
  <c r="AA276" i="5"/>
  <c r="BC273" i="10"/>
  <c r="BD272" i="10"/>
  <c r="BB272" i="10"/>
  <c r="DW273" i="10"/>
  <c r="DV272" i="10"/>
  <c r="DX272" i="10"/>
  <c r="CM584" i="10"/>
  <c r="CN583" i="10"/>
  <c r="CL583" i="10"/>
  <c r="CN272" i="10"/>
  <c r="CL272" i="10"/>
  <c r="CM273" i="10"/>
  <c r="AL273" i="5"/>
  <c r="BB584" i="10"/>
  <c r="BD584" i="10"/>
  <c r="BC585" i="10"/>
  <c r="D277" i="5"/>
  <c r="G277" i="5" s="1"/>
  <c r="F276" i="5"/>
  <c r="O276" i="5" s="1"/>
  <c r="AI276" i="5"/>
  <c r="E276" i="5"/>
  <c r="L276" i="5" s="1"/>
  <c r="AC276" i="5"/>
  <c r="AJ274" i="5"/>
  <c r="P276" i="5" l="1"/>
  <c r="AK276" i="5"/>
  <c r="AL275" i="5" s="1"/>
  <c r="K276" i="5"/>
  <c r="M276" i="5" s="1"/>
  <c r="J276" i="5"/>
  <c r="AE276" i="5"/>
  <c r="H277" i="5"/>
  <c r="I277" i="5"/>
  <c r="N277" i="5" s="1"/>
  <c r="AA277" i="5"/>
  <c r="AG277" i="5"/>
  <c r="AH275" i="5"/>
  <c r="CM274" i="10"/>
  <c r="CL273" i="10"/>
  <c r="CN273" i="10"/>
  <c r="DV273" i="10"/>
  <c r="DW274" i="10"/>
  <c r="DX273" i="10"/>
  <c r="CL584" i="10"/>
  <c r="CM585" i="10"/>
  <c r="CN584" i="10"/>
  <c r="BC274" i="10"/>
  <c r="BB273" i="10"/>
  <c r="BD273" i="10"/>
  <c r="BD585" i="10"/>
  <c r="BB585" i="10"/>
  <c r="BC586" i="10"/>
  <c r="D278" i="5"/>
  <c r="G278" i="5" s="1"/>
  <c r="E277" i="5"/>
  <c r="L277" i="5" s="1"/>
  <c r="AI277" i="5"/>
  <c r="F277" i="5"/>
  <c r="O277" i="5" s="1"/>
  <c r="AC277" i="5"/>
  <c r="AJ275" i="5"/>
  <c r="AE277" i="5" l="1"/>
  <c r="AK277" i="5"/>
  <c r="AL276" i="5" s="1"/>
  <c r="I278" i="5"/>
  <c r="N278" i="5" s="1"/>
  <c r="H278" i="5"/>
  <c r="AG278" i="5"/>
  <c r="AH277" i="5" s="1"/>
  <c r="AA278" i="5"/>
  <c r="AH276" i="5"/>
  <c r="P277" i="5"/>
  <c r="K277" i="5"/>
  <c r="M277" i="5" s="1"/>
  <c r="J277" i="5"/>
  <c r="BD274" i="10"/>
  <c r="BB274" i="10"/>
  <c r="BC275" i="10"/>
  <c r="CL585" i="10"/>
  <c r="CM586" i="10"/>
  <c r="CN585" i="10"/>
  <c r="DW275" i="10"/>
  <c r="DX274" i="10"/>
  <c r="DV274" i="10"/>
  <c r="CM275" i="10"/>
  <c r="CN274" i="10"/>
  <c r="CL274" i="10"/>
  <c r="BB586" i="10"/>
  <c r="BC587" i="10"/>
  <c r="BD586" i="10"/>
  <c r="AJ276" i="5"/>
  <c r="D279" i="5"/>
  <c r="G279" i="5" s="1"/>
  <c r="AC278" i="5"/>
  <c r="E278" i="5"/>
  <c r="L278" i="5" s="1"/>
  <c r="F278" i="5"/>
  <c r="O278" i="5" s="1"/>
  <c r="AI278" i="5"/>
  <c r="P278" i="5" l="1"/>
  <c r="AA279" i="5"/>
  <c r="I279" i="5"/>
  <c r="N279" i="5" s="1"/>
  <c r="AG279" i="5"/>
  <c r="H279" i="5"/>
  <c r="J278" i="5"/>
  <c r="K278" i="5"/>
  <c r="M278" i="5" s="1"/>
  <c r="AE278" i="5"/>
  <c r="CM276" i="10"/>
  <c r="CL275" i="10"/>
  <c r="CN275" i="10"/>
  <c r="DW276" i="10"/>
  <c r="DX275" i="10"/>
  <c r="DV275" i="10"/>
  <c r="CN586" i="10"/>
  <c r="CM587" i="10"/>
  <c r="CL586" i="10"/>
  <c r="BC276" i="10"/>
  <c r="BB275" i="10"/>
  <c r="BD275" i="10"/>
  <c r="AJ277" i="5"/>
  <c r="AK278" i="5"/>
  <c r="BC588" i="10"/>
  <c r="BD587" i="10"/>
  <c r="BB587" i="10"/>
  <c r="D280" i="5"/>
  <c r="G280" i="5" s="1"/>
  <c r="AI279" i="5"/>
  <c r="F279" i="5"/>
  <c r="O279" i="5" s="1"/>
  <c r="AC279" i="5"/>
  <c r="E279" i="5"/>
  <c r="L279" i="5" s="1"/>
  <c r="P279" i="5" l="1"/>
  <c r="AE279" i="5"/>
  <c r="AK279" i="5"/>
  <c r="AL278" i="5" s="1"/>
  <c r="AH278" i="5"/>
  <c r="AA280" i="5"/>
  <c r="I280" i="5"/>
  <c r="N280" i="5" s="1"/>
  <c r="H280" i="5"/>
  <c r="AG280" i="5"/>
  <c r="AH279" i="5" s="1"/>
  <c r="K279" i="5"/>
  <c r="M279" i="5" s="1"/>
  <c r="J279" i="5"/>
  <c r="AJ278" i="5"/>
  <c r="BD276" i="10"/>
  <c r="BB276" i="10"/>
  <c r="BC277" i="10"/>
  <c r="CL587" i="10"/>
  <c r="CN587" i="10"/>
  <c r="CM588" i="10"/>
  <c r="DW277" i="10"/>
  <c r="DX276" i="10"/>
  <c r="DV276" i="10"/>
  <c r="CM277" i="10"/>
  <c r="CN276" i="10"/>
  <c r="CL276" i="10"/>
  <c r="AL277" i="5"/>
  <c r="BD588" i="10"/>
  <c r="BB588" i="10"/>
  <c r="BC589" i="10"/>
  <c r="D281" i="5"/>
  <c r="G281" i="5" s="1"/>
  <c r="E280" i="5"/>
  <c r="L280" i="5" s="1"/>
  <c r="AC280" i="5"/>
  <c r="F280" i="5"/>
  <c r="O280" i="5" s="1"/>
  <c r="AI280" i="5"/>
  <c r="P280" i="5" l="1"/>
  <c r="K280" i="5"/>
  <c r="M280" i="5" s="1"/>
  <c r="J280" i="5"/>
  <c r="AE280" i="5"/>
  <c r="H281" i="5"/>
  <c r="AG281" i="5"/>
  <c r="AH280" i="5" s="1"/>
  <c r="AA281" i="5"/>
  <c r="I281" i="5"/>
  <c r="N281" i="5" s="1"/>
  <c r="CL277" i="10"/>
  <c r="CN277" i="10"/>
  <c r="CM278" i="10"/>
  <c r="CL588" i="10"/>
  <c r="CN588" i="10"/>
  <c r="CM589" i="10"/>
  <c r="DW278" i="10"/>
  <c r="DV277" i="10"/>
  <c r="DX277" i="10"/>
  <c r="BC278" i="10"/>
  <c r="BD277" i="10"/>
  <c r="BB277" i="10"/>
  <c r="AJ279" i="5"/>
  <c r="AK280" i="5"/>
  <c r="BD589" i="10"/>
  <c r="BB589" i="10"/>
  <c r="BC590" i="10"/>
  <c r="D282" i="5"/>
  <c r="G282" i="5" s="1"/>
  <c r="E281" i="5"/>
  <c r="L281" i="5" s="1"/>
  <c r="AI281" i="5"/>
  <c r="AC281" i="5"/>
  <c r="F281" i="5"/>
  <c r="O281" i="5" s="1"/>
  <c r="AE281" i="5" l="1"/>
  <c r="P281" i="5"/>
  <c r="AK281" i="5"/>
  <c r="AL280" i="5" s="1"/>
  <c r="H282" i="5"/>
  <c r="AG282" i="5"/>
  <c r="AA282" i="5"/>
  <c r="I282" i="5"/>
  <c r="N282" i="5" s="1"/>
  <c r="J281" i="5"/>
  <c r="K281" i="5"/>
  <c r="M281" i="5" s="1"/>
  <c r="BC279" i="10"/>
  <c r="BB278" i="10"/>
  <c r="BD278" i="10"/>
  <c r="CN589" i="10"/>
  <c r="CL589" i="10"/>
  <c r="CM590" i="10"/>
  <c r="DX278" i="10"/>
  <c r="DV278" i="10"/>
  <c r="DW279" i="10"/>
  <c r="CL278" i="10"/>
  <c r="CM279" i="10"/>
  <c r="CN278" i="10"/>
  <c r="AL279" i="5"/>
  <c r="BD590" i="10"/>
  <c r="BB590" i="10"/>
  <c r="BC591" i="10"/>
  <c r="AJ280" i="5"/>
  <c r="D283" i="5"/>
  <c r="G283" i="5" s="1"/>
  <c r="E282" i="5"/>
  <c r="L282" i="5" s="1"/>
  <c r="AI282" i="5"/>
  <c r="AC282" i="5"/>
  <c r="F282" i="5"/>
  <c r="O282" i="5" s="1"/>
  <c r="P282" i="5" l="1"/>
  <c r="AE282" i="5"/>
  <c r="H283" i="5"/>
  <c r="AA283" i="5"/>
  <c r="AG283" i="5"/>
  <c r="AH282" i="5" s="1"/>
  <c r="I283" i="5"/>
  <c r="N283" i="5" s="1"/>
  <c r="AH281" i="5"/>
  <c r="K282" i="5"/>
  <c r="M282" i="5" s="1"/>
  <c r="J282" i="5"/>
  <c r="CM591" i="10"/>
  <c r="CN590" i="10"/>
  <c r="CL590" i="10"/>
  <c r="CM280" i="10"/>
  <c r="CN279" i="10"/>
  <c r="CL279" i="10"/>
  <c r="DV279" i="10"/>
  <c r="DW280" i="10"/>
  <c r="DX279" i="10"/>
  <c r="BD279" i="10"/>
  <c r="BB279" i="10"/>
  <c r="BC280" i="10"/>
  <c r="AJ281" i="5"/>
  <c r="AK282" i="5"/>
  <c r="BD591" i="10"/>
  <c r="BB591" i="10"/>
  <c r="BC592" i="10"/>
  <c r="D284" i="5"/>
  <c r="G284" i="5" s="1"/>
  <c r="AI283" i="5"/>
  <c r="AC283" i="5"/>
  <c r="F283" i="5"/>
  <c r="O283" i="5" s="1"/>
  <c r="E283" i="5"/>
  <c r="L283" i="5" s="1"/>
  <c r="AK283" i="5" l="1"/>
  <c r="AL282" i="5" s="1"/>
  <c r="AE283" i="5"/>
  <c r="AA284" i="5"/>
  <c r="H284" i="5"/>
  <c r="I284" i="5"/>
  <c r="N284" i="5" s="1"/>
  <c r="AG284" i="5"/>
  <c r="P283" i="5"/>
  <c r="J283" i="5"/>
  <c r="K283" i="5"/>
  <c r="M283" i="5" s="1"/>
  <c r="AJ282" i="5"/>
  <c r="BB280" i="10"/>
  <c r="BD280" i="10"/>
  <c r="BC281" i="10"/>
  <c r="DV280" i="10"/>
  <c r="DW281" i="10"/>
  <c r="DX280" i="10"/>
  <c r="CL280" i="10"/>
  <c r="CN280" i="10"/>
  <c r="CM281" i="10"/>
  <c r="CM592" i="10"/>
  <c r="CN591" i="10"/>
  <c r="CL591" i="10"/>
  <c r="AL281" i="5"/>
  <c r="BC593" i="10"/>
  <c r="BB592" i="10"/>
  <c r="BD592" i="10"/>
  <c r="D285" i="5"/>
  <c r="G285" i="5" s="1"/>
  <c r="AI284" i="5"/>
  <c r="AC284" i="5"/>
  <c r="F284" i="5"/>
  <c r="O284" i="5" s="1"/>
  <c r="E284" i="5"/>
  <c r="L284" i="5" s="1"/>
  <c r="AE284" i="5" l="1"/>
  <c r="AG285" i="5"/>
  <c r="H285" i="5"/>
  <c r="AA285" i="5"/>
  <c r="I285" i="5"/>
  <c r="N285" i="5" s="1"/>
  <c r="P284" i="5"/>
  <c r="AH283" i="5"/>
  <c r="K284" i="5"/>
  <c r="M284" i="5" s="1"/>
  <c r="J284" i="5"/>
  <c r="CL592" i="10"/>
  <c r="CN592" i="10"/>
  <c r="CM593" i="10"/>
  <c r="CM282" i="10"/>
  <c r="CL281" i="10"/>
  <c r="CN281" i="10"/>
  <c r="DV281" i="10"/>
  <c r="DX281" i="10"/>
  <c r="DW282" i="10"/>
  <c r="BB281" i="10"/>
  <c r="BD281" i="10"/>
  <c r="BC282" i="10"/>
  <c r="AJ283" i="5"/>
  <c r="AK284" i="5"/>
  <c r="BB593" i="10"/>
  <c r="BC594" i="10"/>
  <c r="BD593" i="10"/>
  <c r="D286" i="5"/>
  <c r="G286" i="5" s="1"/>
  <c r="AI285" i="5"/>
  <c r="AC285" i="5"/>
  <c r="E285" i="5"/>
  <c r="L285" i="5" s="1"/>
  <c r="F285" i="5"/>
  <c r="O285" i="5" s="1"/>
  <c r="P285" i="5" l="1"/>
  <c r="AE285" i="5"/>
  <c r="I286" i="5"/>
  <c r="N286" i="5" s="1"/>
  <c r="AA286" i="5"/>
  <c r="H286" i="5"/>
  <c r="AG286" i="5"/>
  <c r="AH284" i="5"/>
  <c r="AK285" i="5"/>
  <c r="AL284" i="5" s="1"/>
  <c r="K285" i="5"/>
  <c r="M285" i="5" s="1"/>
  <c r="J285" i="5"/>
  <c r="BC283" i="10"/>
  <c r="BD282" i="10"/>
  <c r="BB282" i="10"/>
  <c r="CL282" i="10"/>
  <c r="CM283" i="10"/>
  <c r="CN282" i="10"/>
  <c r="DX282" i="10"/>
  <c r="DV282" i="10"/>
  <c r="DW283" i="10"/>
  <c r="CL593" i="10"/>
  <c r="CN593" i="10"/>
  <c r="CM594" i="10"/>
  <c r="AL283" i="5"/>
  <c r="BD594" i="10"/>
  <c r="BC595" i="10"/>
  <c r="BB594" i="10"/>
  <c r="D287" i="5"/>
  <c r="G287" i="5" s="1"/>
  <c r="F286" i="5"/>
  <c r="O286" i="5" s="1"/>
  <c r="AC286" i="5"/>
  <c r="AI286" i="5"/>
  <c r="E286" i="5"/>
  <c r="L286" i="5" s="1"/>
  <c r="AJ284" i="5"/>
  <c r="P286" i="5" l="1"/>
  <c r="AE286" i="5"/>
  <c r="AG287" i="5"/>
  <c r="I287" i="5"/>
  <c r="N287" i="5" s="1"/>
  <c r="AA287" i="5"/>
  <c r="H287" i="5"/>
  <c r="AH285" i="5"/>
  <c r="K286" i="5"/>
  <c r="M286" i="5" s="1"/>
  <c r="J286" i="5"/>
  <c r="CM595" i="10"/>
  <c r="CL594" i="10"/>
  <c r="CN594" i="10"/>
  <c r="DX283" i="10"/>
  <c r="DW284" i="10"/>
  <c r="DV283" i="10"/>
  <c r="CL283" i="10"/>
  <c r="CN283" i="10"/>
  <c r="CM284" i="10"/>
  <c r="BC284" i="10"/>
  <c r="BD283" i="10"/>
  <c r="BB283" i="10"/>
  <c r="AJ285" i="5"/>
  <c r="AK286" i="5"/>
  <c r="BC596" i="10"/>
  <c r="BB595" i="10"/>
  <c r="BD595" i="10"/>
  <c r="D288" i="5"/>
  <c r="G288" i="5" s="1"/>
  <c r="F287" i="5"/>
  <c r="O287" i="5" s="1"/>
  <c r="AI287" i="5"/>
  <c r="AC287" i="5"/>
  <c r="E287" i="5"/>
  <c r="L287" i="5" s="1"/>
  <c r="P287" i="5" l="1"/>
  <c r="AE287" i="5"/>
  <c r="AK287" i="5"/>
  <c r="AL286" i="5" s="1"/>
  <c r="I288" i="5"/>
  <c r="N288" i="5" s="1"/>
  <c r="H288" i="5"/>
  <c r="AG288" i="5"/>
  <c r="AA288" i="5"/>
  <c r="AH286" i="5"/>
  <c r="J287" i="5"/>
  <c r="K287" i="5"/>
  <c r="M287" i="5" s="1"/>
  <c r="BB284" i="10"/>
  <c r="BC285" i="10"/>
  <c r="BD284" i="10"/>
  <c r="CN284" i="10"/>
  <c r="CL284" i="10"/>
  <c r="CM285" i="10"/>
  <c r="DX284" i="10"/>
  <c r="DV284" i="10"/>
  <c r="DW285" i="10"/>
  <c r="CM596" i="10"/>
  <c r="CL595" i="10"/>
  <c r="CN595" i="10"/>
  <c r="AL285" i="5"/>
  <c r="BB596" i="10"/>
  <c r="BC597" i="10"/>
  <c r="BD596" i="10"/>
  <c r="AJ286" i="5"/>
  <c r="D289" i="5"/>
  <c r="G289" i="5" s="1"/>
  <c r="AI288" i="5"/>
  <c r="F288" i="5"/>
  <c r="O288" i="5" s="1"/>
  <c r="E288" i="5"/>
  <c r="L288" i="5" s="1"/>
  <c r="AC288" i="5"/>
  <c r="AE288" i="5" l="1"/>
  <c r="P288" i="5"/>
  <c r="H289" i="5"/>
  <c r="AA289" i="5"/>
  <c r="I289" i="5"/>
  <c r="N289" i="5" s="1"/>
  <c r="AG289" i="5"/>
  <c r="AK288" i="5"/>
  <c r="AL287" i="5" s="1"/>
  <c r="AH287" i="5"/>
  <c r="J288" i="5"/>
  <c r="K288" i="5"/>
  <c r="M288" i="5" s="1"/>
  <c r="CM597" i="10"/>
  <c r="CN596" i="10"/>
  <c r="CL596" i="10"/>
  <c r="CL285" i="10"/>
  <c r="CN285" i="10"/>
  <c r="CM286" i="10"/>
  <c r="BD285" i="10"/>
  <c r="BC286" i="10"/>
  <c r="BB285" i="10"/>
  <c r="DW286" i="10"/>
  <c r="DX285" i="10"/>
  <c r="DV285" i="10"/>
  <c r="BB597" i="10"/>
  <c r="BD597" i="10"/>
  <c r="BC598" i="10"/>
  <c r="D290" i="5"/>
  <c r="G290" i="5" s="1"/>
  <c r="E289" i="5"/>
  <c r="L289" i="5" s="1"/>
  <c r="F289" i="5"/>
  <c r="O289" i="5" s="1"/>
  <c r="AC289" i="5"/>
  <c r="AI289" i="5"/>
  <c r="AJ287" i="5"/>
  <c r="P289" i="5" l="1"/>
  <c r="AK289" i="5"/>
  <c r="AL288" i="5" s="1"/>
  <c r="H290" i="5"/>
  <c r="AG290" i="5"/>
  <c r="I290" i="5"/>
  <c r="N290" i="5" s="1"/>
  <c r="AA290" i="5"/>
  <c r="AE289" i="5"/>
  <c r="AH288" i="5"/>
  <c r="J289" i="5"/>
  <c r="K289" i="5"/>
  <c r="M289" i="5" s="1"/>
  <c r="DV286" i="10"/>
  <c r="DX286" i="10"/>
  <c r="DW287" i="10"/>
  <c r="BB286" i="10"/>
  <c r="BD286" i="10"/>
  <c r="BC287" i="10"/>
  <c r="CL286" i="10"/>
  <c r="CM287" i="10"/>
  <c r="CN286" i="10"/>
  <c r="CM598" i="10"/>
  <c r="CN597" i="10"/>
  <c r="CL597" i="10"/>
  <c r="BD598" i="10"/>
  <c r="BB598" i="10"/>
  <c r="BC599" i="10"/>
  <c r="D291" i="5"/>
  <c r="G291" i="5" s="1"/>
  <c r="E290" i="5"/>
  <c r="L290" i="5" s="1"/>
  <c r="AC290" i="5"/>
  <c r="F290" i="5"/>
  <c r="O290" i="5" s="1"/>
  <c r="AI290" i="5"/>
  <c r="AJ288" i="5"/>
  <c r="AK290" i="5" l="1"/>
  <c r="AL289" i="5" s="1"/>
  <c r="AE290" i="5"/>
  <c r="P290" i="5"/>
  <c r="AG291" i="5"/>
  <c r="AH290" i="5" s="1"/>
  <c r="AA291" i="5"/>
  <c r="I291" i="5"/>
  <c r="N291" i="5" s="1"/>
  <c r="H291" i="5"/>
  <c r="AH289" i="5"/>
  <c r="K290" i="5"/>
  <c r="M290" i="5" s="1"/>
  <c r="J290" i="5"/>
  <c r="CL598" i="10"/>
  <c r="CN598" i="10"/>
  <c r="CM599" i="10"/>
  <c r="CM288" i="10"/>
  <c r="CN287" i="10"/>
  <c r="CL287" i="10"/>
  <c r="BC288" i="10"/>
  <c r="BB287" i="10"/>
  <c r="BD287" i="10"/>
  <c r="DV287" i="10"/>
  <c r="DX287" i="10"/>
  <c r="DW288" i="10"/>
  <c r="BC600" i="10"/>
  <c r="BB599" i="10"/>
  <c r="BD599" i="10"/>
  <c r="AJ289" i="5"/>
  <c r="D292" i="5"/>
  <c r="G292" i="5" s="1"/>
  <c r="F291" i="5"/>
  <c r="O291" i="5" s="1"/>
  <c r="E291" i="5"/>
  <c r="L291" i="5" s="1"/>
  <c r="AI291" i="5"/>
  <c r="AC291" i="5"/>
  <c r="AE291" i="5" l="1"/>
  <c r="P291" i="5"/>
  <c r="AK291" i="5"/>
  <c r="AL290" i="5" s="1"/>
  <c r="AG292" i="5"/>
  <c r="AA292" i="5"/>
  <c r="H292" i="5"/>
  <c r="I292" i="5"/>
  <c r="N292" i="5" s="1"/>
  <c r="J291" i="5"/>
  <c r="K291" i="5"/>
  <c r="M291" i="5" s="1"/>
  <c r="DW289" i="10"/>
  <c r="DV288" i="10"/>
  <c r="DX288" i="10"/>
  <c r="CM289" i="10"/>
  <c r="CL288" i="10"/>
  <c r="CN288" i="10"/>
  <c r="BD288" i="10"/>
  <c r="BB288" i="10"/>
  <c r="BC289" i="10"/>
  <c r="CM600" i="10"/>
  <c r="CN599" i="10"/>
  <c r="CL599" i="10"/>
  <c r="BB600" i="10"/>
  <c r="BC601" i="10"/>
  <c r="BD600" i="10"/>
  <c r="D293" i="5"/>
  <c r="G293" i="5" s="1"/>
  <c r="E292" i="5"/>
  <c r="L292" i="5" s="1"/>
  <c r="AC292" i="5"/>
  <c r="AI292" i="5"/>
  <c r="F292" i="5"/>
  <c r="O292" i="5" s="1"/>
  <c r="AJ290" i="5"/>
  <c r="P292" i="5" l="1"/>
  <c r="AE292" i="5"/>
  <c r="J292" i="5"/>
  <c r="K292" i="5"/>
  <c r="M292" i="5" s="1"/>
  <c r="AH291" i="5"/>
  <c r="AG293" i="5"/>
  <c r="AA293" i="5"/>
  <c r="H293" i="5"/>
  <c r="I293" i="5"/>
  <c r="N293" i="5" s="1"/>
  <c r="CL600" i="10"/>
  <c r="CN600" i="10"/>
  <c r="CM601" i="10"/>
  <c r="CN289" i="10"/>
  <c r="CM290" i="10"/>
  <c r="CL289" i="10"/>
  <c r="BB289" i="10"/>
  <c r="BC290" i="10"/>
  <c r="BD289" i="10"/>
  <c r="DV289" i="10"/>
  <c r="DW290" i="10"/>
  <c r="DX289" i="10"/>
  <c r="AJ291" i="5"/>
  <c r="AK292" i="5"/>
  <c r="BC602" i="10"/>
  <c r="BB601" i="10"/>
  <c r="BD601" i="10"/>
  <c r="D294" i="5"/>
  <c r="G294" i="5" s="1"/>
  <c r="AI293" i="5"/>
  <c r="E293" i="5"/>
  <c r="L293" i="5" s="1"/>
  <c r="AC293" i="5"/>
  <c r="F293" i="5"/>
  <c r="O293" i="5" s="1"/>
  <c r="AK293" i="5" l="1"/>
  <c r="AL292" i="5" s="1"/>
  <c r="P293" i="5"/>
  <c r="AE293" i="5"/>
  <c r="K293" i="5"/>
  <c r="M293" i="5" s="1"/>
  <c r="J293" i="5"/>
  <c r="AH292" i="5"/>
  <c r="H294" i="5"/>
  <c r="I294" i="5"/>
  <c r="N294" i="5" s="1"/>
  <c r="AA294" i="5"/>
  <c r="AG294" i="5"/>
  <c r="BC291" i="10"/>
  <c r="BD290" i="10"/>
  <c r="BB290" i="10"/>
  <c r="DV290" i="10"/>
  <c r="DW291" i="10"/>
  <c r="DX290" i="10"/>
  <c r="CM291" i="10"/>
  <c r="CN290" i="10"/>
  <c r="CL290" i="10"/>
  <c r="CM602" i="10"/>
  <c r="CN601" i="10"/>
  <c r="CL601" i="10"/>
  <c r="AL291" i="5"/>
  <c r="BC603" i="10"/>
  <c r="BB602" i="10"/>
  <c r="BD602" i="10"/>
  <c r="AJ292" i="5"/>
  <c r="D295" i="5"/>
  <c r="G295" i="5" s="1"/>
  <c r="E294" i="5"/>
  <c r="L294" i="5" s="1"/>
  <c r="F294" i="5"/>
  <c r="O294" i="5" s="1"/>
  <c r="AI294" i="5"/>
  <c r="AC294" i="5"/>
  <c r="AE294" i="5" l="1"/>
  <c r="AK294" i="5"/>
  <c r="AL293" i="5" s="1"/>
  <c r="P294" i="5"/>
  <c r="H295" i="5"/>
  <c r="AG295" i="5"/>
  <c r="AH294" i="5" s="1"/>
  <c r="AA295" i="5"/>
  <c r="I295" i="5"/>
  <c r="N295" i="5" s="1"/>
  <c r="K294" i="5"/>
  <c r="M294" i="5" s="1"/>
  <c r="J294" i="5"/>
  <c r="AH293" i="5"/>
  <c r="CN602" i="10"/>
  <c r="CL602" i="10"/>
  <c r="CM603" i="10"/>
  <c r="CN291" i="10"/>
  <c r="CL291" i="10"/>
  <c r="CM292" i="10"/>
  <c r="DX291" i="10"/>
  <c r="DW292" i="10"/>
  <c r="DV291" i="10"/>
  <c r="BB291" i="10"/>
  <c r="BC292" i="10"/>
  <c r="BD291" i="10"/>
  <c r="BC604" i="10"/>
  <c r="BB603" i="10"/>
  <c r="BD603" i="10"/>
  <c r="AJ293" i="5"/>
  <c r="D296" i="5"/>
  <c r="G296" i="5" s="1"/>
  <c r="AI295" i="5"/>
  <c r="E295" i="5"/>
  <c r="L295" i="5" s="1"/>
  <c r="AC295" i="5"/>
  <c r="F295" i="5"/>
  <c r="O295" i="5" s="1"/>
  <c r="P295" i="5" l="1"/>
  <c r="AE295" i="5"/>
  <c r="AK295" i="5"/>
  <c r="AL294" i="5" s="1"/>
  <c r="K295" i="5"/>
  <c r="M295" i="5" s="1"/>
  <c r="J295" i="5"/>
  <c r="H296" i="5"/>
  <c r="AA296" i="5"/>
  <c r="AG296" i="5"/>
  <c r="I296" i="5"/>
  <c r="N296" i="5" s="1"/>
  <c r="AJ294" i="5"/>
  <c r="DW293" i="10"/>
  <c r="DX292" i="10"/>
  <c r="DV292" i="10"/>
  <c r="CN292" i="10"/>
  <c r="CM293" i="10"/>
  <c r="CL292" i="10"/>
  <c r="BB292" i="10"/>
  <c r="BC293" i="10"/>
  <c r="BD292" i="10"/>
  <c r="CM604" i="10"/>
  <c r="CL603" i="10"/>
  <c r="CN603" i="10"/>
  <c r="BB604" i="10"/>
  <c r="BD604" i="10"/>
  <c r="BC605" i="10"/>
  <c r="D297" i="5"/>
  <c r="G297" i="5" s="1"/>
  <c r="AC296" i="5"/>
  <c r="E296" i="5"/>
  <c r="L296" i="5" s="1"/>
  <c r="AI296" i="5"/>
  <c r="F296" i="5"/>
  <c r="O296" i="5" s="1"/>
  <c r="P296" i="5" l="1"/>
  <c r="AE296" i="5"/>
  <c r="AA297" i="5"/>
  <c r="H297" i="5"/>
  <c r="AG297" i="5"/>
  <c r="I297" i="5"/>
  <c r="N297" i="5" s="1"/>
  <c r="AH295" i="5"/>
  <c r="K296" i="5"/>
  <c r="M296" i="5" s="1"/>
  <c r="J296" i="5"/>
  <c r="CN604" i="10"/>
  <c r="CM605" i="10"/>
  <c r="CL604" i="10"/>
  <c r="BD293" i="10"/>
  <c r="BC294" i="10"/>
  <c r="BB293" i="10"/>
  <c r="CM294" i="10"/>
  <c r="CN293" i="10"/>
  <c r="CL293" i="10"/>
  <c r="DW294" i="10"/>
  <c r="DX293" i="10"/>
  <c r="DV293" i="10"/>
  <c r="AJ295" i="5"/>
  <c r="AK296" i="5"/>
  <c r="BB605" i="10"/>
  <c r="BD605" i="10"/>
  <c r="BC606" i="10"/>
  <c r="D298" i="5"/>
  <c r="G298" i="5" s="1"/>
  <c r="F297" i="5"/>
  <c r="O297" i="5" s="1"/>
  <c r="AI297" i="5"/>
  <c r="AC297" i="5"/>
  <c r="E297" i="5"/>
  <c r="L297" i="5" s="1"/>
  <c r="P297" i="5" l="1"/>
  <c r="AE297" i="5"/>
  <c r="AH296" i="5"/>
  <c r="AA298" i="5"/>
  <c r="I298" i="5"/>
  <c r="N298" i="5" s="1"/>
  <c r="H298" i="5"/>
  <c r="AG298" i="5"/>
  <c r="J297" i="5"/>
  <c r="K297" i="5"/>
  <c r="M297" i="5" s="1"/>
  <c r="DV294" i="10"/>
  <c r="DX294" i="10"/>
  <c r="DW295" i="10"/>
  <c r="CN605" i="10"/>
  <c r="CL605" i="10"/>
  <c r="CM606" i="10"/>
  <c r="CN294" i="10"/>
  <c r="CM295" i="10"/>
  <c r="CL294" i="10"/>
  <c r="BC295" i="10"/>
  <c r="BD294" i="10"/>
  <c r="BB294" i="10"/>
  <c r="AL295" i="5"/>
  <c r="AJ296" i="5"/>
  <c r="AK297" i="5"/>
  <c r="AL296" i="5" s="1"/>
  <c r="BB606" i="10"/>
  <c r="BD606" i="10"/>
  <c r="BC607" i="10"/>
  <c r="D299" i="5"/>
  <c r="G299" i="5" s="1"/>
  <c r="AI298" i="5"/>
  <c r="F298" i="5"/>
  <c r="O298" i="5" s="1"/>
  <c r="E298" i="5"/>
  <c r="L298" i="5" s="1"/>
  <c r="AC298" i="5"/>
  <c r="AE298" i="5" l="1"/>
  <c r="AK298" i="5"/>
  <c r="AL297" i="5" s="1"/>
  <c r="P298" i="5"/>
  <c r="AA299" i="5"/>
  <c r="H299" i="5"/>
  <c r="AG299" i="5"/>
  <c r="AH298" i="5" s="1"/>
  <c r="I299" i="5"/>
  <c r="N299" i="5" s="1"/>
  <c r="K298" i="5"/>
  <c r="M298" i="5" s="1"/>
  <c r="J298" i="5"/>
  <c r="AH297" i="5"/>
  <c r="BD295" i="10"/>
  <c r="BB295" i="10"/>
  <c r="BC296" i="10"/>
  <c r="CM296" i="10"/>
  <c r="CN295" i="10"/>
  <c r="CL295" i="10"/>
  <c r="CM607" i="10"/>
  <c r="CL606" i="10"/>
  <c r="CN606" i="10"/>
  <c r="DX295" i="10"/>
  <c r="DW296" i="10"/>
  <c r="DV295" i="10"/>
  <c r="BC608" i="10"/>
  <c r="BB607" i="10"/>
  <c r="BD607" i="10"/>
  <c r="AJ297" i="5"/>
  <c r="D300" i="5"/>
  <c r="G300" i="5" s="1"/>
  <c r="E299" i="5"/>
  <c r="L299" i="5" s="1"/>
  <c r="AC299" i="5"/>
  <c r="F299" i="5"/>
  <c r="O299" i="5" s="1"/>
  <c r="AI299" i="5"/>
  <c r="AK299" i="5" l="1"/>
  <c r="AL298" i="5" s="1"/>
  <c r="AE299" i="5"/>
  <c r="H300" i="5"/>
  <c r="AA300" i="5"/>
  <c r="AG300" i="5"/>
  <c r="I300" i="5"/>
  <c r="N300" i="5" s="1"/>
  <c r="J299" i="5"/>
  <c r="K299" i="5"/>
  <c r="M299" i="5" s="1"/>
  <c r="P299" i="5"/>
  <c r="CL296" i="10"/>
  <c r="CN296" i="10"/>
  <c r="CM297" i="10"/>
  <c r="DV296" i="10"/>
  <c r="DX296" i="10"/>
  <c r="DW297" i="10"/>
  <c r="CL607" i="10"/>
  <c r="CM608" i="10"/>
  <c r="CN607" i="10"/>
  <c r="BB296" i="10"/>
  <c r="BC297" i="10"/>
  <c r="BD296" i="10"/>
  <c r="BD608" i="10"/>
  <c r="BC609" i="10"/>
  <c r="BB608" i="10"/>
  <c r="D301" i="5"/>
  <c r="G301" i="5" s="1"/>
  <c r="F300" i="5"/>
  <c r="O300" i="5" s="1"/>
  <c r="AI300" i="5"/>
  <c r="AC300" i="5"/>
  <c r="E300" i="5"/>
  <c r="L300" i="5" s="1"/>
  <c r="AJ298" i="5"/>
  <c r="P300" i="5" l="1"/>
  <c r="AK300" i="5"/>
  <c r="AL299" i="5" s="1"/>
  <c r="AE300" i="5"/>
  <c r="H301" i="5"/>
  <c r="AG301" i="5"/>
  <c r="I301" i="5"/>
  <c r="N301" i="5" s="1"/>
  <c r="AA301" i="5"/>
  <c r="AH299" i="5"/>
  <c r="J300" i="5"/>
  <c r="K300" i="5"/>
  <c r="M300" i="5" s="1"/>
  <c r="AJ299" i="5"/>
  <c r="CN608" i="10"/>
  <c r="CM609" i="10"/>
  <c r="CL608" i="10"/>
  <c r="DV297" i="10"/>
  <c r="DW298" i="10"/>
  <c r="DX297" i="10"/>
  <c r="BC298" i="10"/>
  <c r="BB297" i="10"/>
  <c r="BD297" i="10"/>
  <c r="CM298" i="10"/>
  <c r="CL297" i="10"/>
  <c r="CN297" i="10"/>
  <c r="BD609" i="10"/>
  <c r="BC610" i="10"/>
  <c r="BB609" i="10"/>
  <c r="D302" i="5"/>
  <c r="G302" i="5" s="1"/>
  <c r="F301" i="5"/>
  <c r="O301" i="5" s="1"/>
  <c r="AC301" i="5"/>
  <c r="E301" i="5"/>
  <c r="L301" i="5" s="1"/>
  <c r="AI301" i="5"/>
  <c r="AK301" i="5" l="1"/>
  <c r="AL300" i="5" s="1"/>
  <c r="AE301" i="5"/>
  <c r="I302" i="5"/>
  <c r="N302" i="5" s="1"/>
  <c r="H302" i="5"/>
  <c r="AA302" i="5"/>
  <c r="AG302" i="5"/>
  <c r="J301" i="5"/>
  <c r="K301" i="5"/>
  <c r="M301" i="5" s="1"/>
  <c r="P301" i="5"/>
  <c r="AH300" i="5"/>
  <c r="CM299" i="10"/>
  <c r="CN298" i="10"/>
  <c r="CL298" i="10"/>
  <c r="CL609" i="10"/>
  <c r="CM610" i="10"/>
  <c r="CN609" i="10"/>
  <c r="BC299" i="10"/>
  <c r="BD298" i="10"/>
  <c r="BB298" i="10"/>
  <c r="DW299" i="10"/>
  <c r="DX298" i="10"/>
  <c r="DV298" i="10"/>
  <c r="BD610" i="10"/>
  <c r="BC611" i="10"/>
  <c r="BB610" i="10"/>
  <c r="AJ300" i="5"/>
  <c r="D303" i="5"/>
  <c r="G303" i="5" s="1"/>
  <c r="E302" i="5"/>
  <c r="L302" i="5" s="1"/>
  <c r="F302" i="5"/>
  <c r="O302" i="5" s="1"/>
  <c r="AC302" i="5"/>
  <c r="AI302" i="5"/>
  <c r="P302" i="5" l="1"/>
  <c r="AE302" i="5"/>
  <c r="AH301" i="5"/>
  <c r="K302" i="5"/>
  <c r="M302" i="5" s="1"/>
  <c r="J302" i="5"/>
  <c r="AK302" i="5"/>
  <c r="AL301" i="5" s="1"/>
  <c r="AG303" i="5"/>
  <c r="AH302" i="5" s="1"/>
  <c r="H303" i="5"/>
  <c r="AA303" i="5"/>
  <c r="I303" i="5"/>
  <c r="N303" i="5" s="1"/>
  <c r="DX299" i="10"/>
  <c r="DW300" i="10"/>
  <c r="DV299" i="10"/>
  <c r="BC300" i="10"/>
  <c r="BB299" i="10"/>
  <c r="BD299" i="10"/>
  <c r="CL610" i="10"/>
  <c r="CM611" i="10"/>
  <c r="CN610" i="10"/>
  <c r="CL299" i="10"/>
  <c r="CM300" i="10"/>
  <c r="CN299" i="10"/>
  <c r="BC612" i="10"/>
  <c r="BD611" i="10"/>
  <c r="BB611" i="10"/>
  <c r="D304" i="5"/>
  <c r="G304" i="5" s="1"/>
  <c r="E303" i="5"/>
  <c r="L303" i="5" s="1"/>
  <c r="AI303" i="5"/>
  <c r="AC303" i="5"/>
  <c r="F303" i="5"/>
  <c r="O303" i="5" s="1"/>
  <c r="AJ301" i="5"/>
  <c r="P303" i="5" l="1"/>
  <c r="AE303" i="5"/>
  <c r="AK303" i="5"/>
  <c r="AL302" i="5" s="1"/>
  <c r="AA304" i="5"/>
  <c r="I304" i="5"/>
  <c r="N304" i="5" s="1"/>
  <c r="AG304" i="5"/>
  <c r="H304" i="5"/>
  <c r="K303" i="5"/>
  <c r="M303" i="5" s="1"/>
  <c r="J303" i="5"/>
  <c r="CN611" i="10"/>
  <c r="CL611" i="10"/>
  <c r="CM612" i="10"/>
  <c r="BB300" i="10"/>
  <c r="BD300" i="10"/>
  <c r="BC301" i="10"/>
  <c r="DW301" i="10"/>
  <c r="DX300" i="10"/>
  <c r="DV300" i="10"/>
  <c r="CM301" i="10"/>
  <c r="CL300" i="10"/>
  <c r="CN300" i="10"/>
  <c r="BC613" i="10"/>
  <c r="BB612" i="10"/>
  <c r="BD612" i="10"/>
  <c r="D305" i="5"/>
  <c r="G305" i="5" s="1"/>
  <c r="AI304" i="5"/>
  <c r="AC304" i="5"/>
  <c r="F304" i="5"/>
  <c r="O304" i="5" s="1"/>
  <c r="E304" i="5"/>
  <c r="L304" i="5" s="1"/>
  <c r="AJ302" i="5"/>
  <c r="AK304" i="5" l="1"/>
  <c r="AL303" i="5" s="1"/>
  <c r="P304" i="5"/>
  <c r="AE304" i="5"/>
  <c r="J304" i="5"/>
  <c r="K304" i="5"/>
  <c r="M304" i="5" s="1"/>
  <c r="I305" i="5"/>
  <c r="N305" i="5" s="1"/>
  <c r="AA305" i="5"/>
  <c r="AG305" i="5"/>
  <c r="H305" i="5"/>
  <c r="AH303" i="5"/>
  <c r="CM302" i="10"/>
  <c r="CN301" i="10"/>
  <c r="CL301" i="10"/>
  <c r="BD301" i="10"/>
  <c r="BC302" i="10"/>
  <c r="BB301" i="10"/>
  <c r="DX301" i="10"/>
  <c r="DV301" i="10"/>
  <c r="DW302" i="10"/>
  <c r="CN612" i="10"/>
  <c r="CL612" i="10"/>
  <c r="CM613" i="10"/>
  <c r="BC614" i="10"/>
  <c r="BB613" i="10"/>
  <c r="BD613" i="10"/>
  <c r="AJ303" i="5"/>
  <c r="D306" i="5"/>
  <c r="G306" i="5" s="1"/>
  <c r="AC305" i="5"/>
  <c r="AI305" i="5"/>
  <c r="E305" i="5"/>
  <c r="L305" i="5" s="1"/>
  <c r="F305" i="5"/>
  <c r="O305" i="5" s="1"/>
  <c r="AE305" i="5" l="1"/>
  <c r="AH304" i="5"/>
  <c r="P305" i="5"/>
  <c r="AK305" i="5"/>
  <c r="AL304" i="5" s="1"/>
  <c r="AG306" i="5"/>
  <c r="AA306" i="5"/>
  <c r="I306" i="5"/>
  <c r="N306" i="5" s="1"/>
  <c r="H306" i="5"/>
  <c r="K305" i="5"/>
  <c r="M305" i="5" s="1"/>
  <c r="J305" i="5"/>
  <c r="CN613" i="10"/>
  <c r="CM614" i="10"/>
  <c r="CL613" i="10"/>
  <c r="DW303" i="10"/>
  <c r="DX302" i="10"/>
  <c r="DV302" i="10"/>
  <c r="BD302" i="10"/>
  <c r="BB302" i="10"/>
  <c r="BC303" i="10"/>
  <c r="CN302" i="10"/>
  <c r="CM303" i="10"/>
  <c r="CL302" i="10"/>
  <c r="BB614" i="10"/>
  <c r="BC615" i="10"/>
  <c r="BD614" i="10"/>
  <c r="AJ304" i="5"/>
  <c r="D307" i="5"/>
  <c r="G307" i="5" s="1"/>
  <c r="E306" i="5"/>
  <c r="L306" i="5" s="1"/>
  <c r="F306" i="5"/>
  <c r="O306" i="5" s="1"/>
  <c r="AC306" i="5"/>
  <c r="AI306" i="5"/>
  <c r="AE306" i="5" l="1"/>
  <c r="AH305" i="5"/>
  <c r="AK306" i="5"/>
  <c r="AL305" i="5" s="1"/>
  <c r="P306" i="5"/>
  <c r="H307" i="5"/>
  <c r="AA307" i="5"/>
  <c r="I307" i="5"/>
  <c r="N307" i="5" s="1"/>
  <c r="AG307" i="5"/>
  <c r="J306" i="5"/>
  <c r="K306" i="5"/>
  <c r="M306" i="5" s="1"/>
  <c r="DW304" i="10"/>
  <c r="DX303" i="10"/>
  <c r="DV303" i="10"/>
  <c r="CM615" i="10"/>
  <c r="CL614" i="10"/>
  <c r="CN614" i="10"/>
  <c r="CM304" i="10"/>
  <c r="CL303" i="10"/>
  <c r="CN303" i="10"/>
  <c r="BD303" i="10"/>
  <c r="BB303" i="10"/>
  <c r="BC304" i="10"/>
  <c r="BB615" i="10"/>
  <c r="BD615" i="10"/>
  <c r="BC616" i="10"/>
  <c r="D308" i="5"/>
  <c r="G308" i="5" s="1"/>
  <c r="E307" i="5"/>
  <c r="L307" i="5" s="1"/>
  <c r="AC307" i="5"/>
  <c r="AI307" i="5"/>
  <c r="F307" i="5"/>
  <c r="O307" i="5" s="1"/>
  <c r="AJ305" i="5"/>
  <c r="AK307" i="5" l="1"/>
  <c r="AL306" i="5" s="1"/>
  <c r="P307" i="5"/>
  <c r="AH306" i="5"/>
  <c r="AE307" i="5"/>
  <c r="AA308" i="5"/>
  <c r="AG308" i="5"/>
  <c r="AH307" i="5" s="1"/>
  <c r="I308" i="5"/>
  <c r="N308" i="5" s="1"/>
  <c r="H308" i="5"/>
  <c r="K307" i="5"/>
  <c r="M307" i="5" s="1"/>
  <c r="J307" i="5"/>
  <c r="BD304" i="10"/>
  <c r="BC305" i="10"/>
  <c r="BB304" i="10"/>
  <c r="CN615" i="10"/>
  <c r="CM616" i="10"/>
  <c r="CL615" i="10"/>
  <c r="CM305" i="10"/>
  <c r="CN304" i="10"/>
  <c r="CL304" i="10"/>
  <c r="DW305" i="10"/>
  <c r="DX304" i="10"/>
  <c r="DV304" i="10"/>
  <c r="BC617" i="10"/>
  <c r="BB616" i="10"/>
  <c r="BD616" i="10"/>
  <c r="D309" i="5"/>
  <c r="G309" i="5" s="1"/>
  <c r="AC308" i="5"/>
  <c r="AI308" i="5"/>
  <c r="E308" i="5"/>
  <c r="L308" i="5" s="1"/>
  <c r="F308" i="5"/>
  <c r="O308" i="5" s="1"/>
  <c r="AJ306" i="5"/>
  <c r="P308" i="5" l="1"/>
  <c r="I309" i="5"/>
  <c r="N309" i="5" s="1"/>
  <c r="AG309" i="5"/>
  <c r="AA309" i="5"/>
  <c r="H309" i="5"/>
  <c r="AE308" i="5"/>
  <c r="K308" i="5"/>
  <c r="M308" i="5" s="1"/>
  <c r="J308" i="5"/>
  <c r="DW306" i="10"/>
  <c r="DX305" i="10"/>
  <c r="DV305" i="10"/>
  <c r="BC306" i="10"/>
  <c r="BD305" i="10"/>
  <c r="BB305" i="10"/>
  <c r="CN305" i="10"/>
  <c r="CM306" i="10"/>
  <c r="CL305" i="10"/>
  <c r="CN616" i="10"/>
  <c r="CM617" i="10"/>
  <c r="CL616" i="10"/>
  <c r="AJ307" i="5"/>
  <c r="AK308" i="5"/>
  <c r="BC618" i="10"/>
  <c r="BB617" i="10"/>
  <c r="BD617" i="10"/>
  <c r="D310" i="5"/>
  <c r="G310" i="5" s="1"/>
  <c r="E309" i="5"/>
  <c r="L309" i="5" s="1"/>
  <c r="AI309" i="5"/>
  <c r="F309" i="5"/>
  <c r="O309" i="5" s="1"/>
  <c r="AC309" i="5"/>
  <c r="AE309" i="5" l="1"/>
  <c r="P309" i="5"/>
  <c r="K309" i="5"/>
  <c r="M309" i="5" s="1"/>
  <c r="J309" i="5"/>
  <c r="AH308" i="5"/>
  <c r="AA310" i="5"/>
  <c r="H310" i="5"/>
  <c r="AG310" i="5"/>
  <c r="AH309" i="5" s="1"/>
  <c r="I310" i="5"/>
  <c r="N310" i="5" s="1"/>
  <c r="CM307" i="10"/>
  <c r="CN306" i="10"/>
  <c r="CL306" i="10"/>
  <c r="BD306" i="10"/>
  <c r="BC307" i="10"/>
  <c r="BB306" i="10"/>
  <c r="CN617" i="10"/>
  <c r="CM618" i="10"/>
  <c r="CL617" i="10"/>
  <c r="DV306" i="10"/>
  <c r="DW307" i="10"/>
  <c r="DX306" i="10"/>
  <c r="AJ308" i="5"/>
  <c r="AK309" i="5"/>
  <c r="AL308" i="5" s="1"/>
  <c r="AL307" i="5"/>
  <c r="BD618" i="10"/>
  <c r="BC619" i="10"/>
  <c r="BB618" i="10"/>
  <c r="D311" i="5"/>
  <c r="G311" i="5" s="1"/>
  <c r="AI310" i="5"/>
  <c r="E310" i="5"/>
  <c r="L310" i="5" s="1"/>
  <c r="F310" i="5"/>
  <c r="O310" i="5" s="1"/>
  <c r="AC310" i="5"/>
  <c r="P310" i="5" l="1"/>
  <c r="AE310" i="5"/>
  <c r="I311" i="5"/>
  <c r="N311" i="5" s="1"/>
  <c r="AA311" i="5"/>
  <c r="H311" i="5"/>
  <c r="AG311" i="5"/>
  <c r="K310" i="5"/>
  <c r="M310" i="5" s="1"/>
  <c r="J310" i="5"/>
  <c r="CL618" i="10"/>
  <c r="CM619" i="10"/>
  <c r="CN618" i="10"/>
  <c r="DW308" i="10"/>
  <c r="DX307" i="10"/>
  <c r="DV307" i="10"/>
  <c r="BD307" i="10"/>
  <c r="BC308" i="10"/>
  <c r="BB307" i="10"/>
  <c r="CN307" i="10"/>
  <c r="CM308" i="10"/>
  <c r="CL307" i="10"/>
  <c r="AJ309" i="5"/>
  <c r="AK310" i="5"/>
  <c r="BB619" i="10"/>
  <c r="BC620" i="10"/>
  <c r="BD619" i="10"/>
  <c r="D312" i="5"/>
  <c r="G312" i="5" s="1"/>
  <c r="E311" i="5"/>
  <c r="L311" i="5" s="1"/>
  <c r="AI311" i="5"/>
  <c r="AC311" i="5"/>
  <c r="F311" i="5"/>
  <c r="O311" i="5" s="1"/>
  <c r="P311" i="5" l="1"/>
  <c r="AA312" i="5"/>
  <c r="AG312" i="5"/>
  <c r="H312" i="5"/>
  <c r="I312" i="5"/>
  <c r="N312" i="5" s="1"/>
  <c r="AH310" i="5"/>
  <c r="AE311" i="5"/>
  <c r="K311" i="5"/>
  <c r="M311" i="5" s="1"/>
  <c r="J311" i="5"/>
  <c r="BC309" i="10"/>
  <c r="BD308" i="10"/>
  <c r="BB308" i="10"/>
  <c r="DV308" i="10"/>
  <c r="DW309" i="10"/>
  <c r="DX308" i="10"/>
  <c r="CL619" i="10"/>
  <c r="CM620" i="10"/>
  <c r="CN619" i="10"/>
  <c r="CL308" i="10"/>
  <c r="CM309" i="10"/>
  <c r="CN308" i="10"/>
  <c r="AJ310" i="5"/>
  <c r="AK311" i="5"/>
  <c r="AL310" i="5" s="1"/>
  <c r="AL309" i="5"/>
  <c r="BD620" i="10"/>
  <c r="BC621" i="10"/>
  <c r="BB620" i="10"/>
  <c r="D313" i="5"/>
  <c r="G313" i="5" s="1"/>
  <c r="AI312" i="5"/>
  <c r="E312" i="5"/>
  <c r="L312" i="5" s="1"/>
  <c r="AC312" i="5"/>
  <c r="F312" i="5"/>
  <c r="O312" i="5" s="1"/>
  <c r="P312" i="5" l="1"/>
  <c r="AE312" i="5"/>
  <c r="H313" i="5"/>
  <c r="I313" i="5"/>
  <c r="N313" i="5" s="1"/>
  <c r="AG313" i="5"/>
  <c r="AA313" i="5"/>
  <c r="AK312" i="5"/>
  <c r="AL311" i="5" s="1"/>
  <c r="AH311" i="5"/>
  <c r="J312" i="5"/>
  <c r="K312" i="5"/>
  <c r="M312" i="5" s="1"/>
  <c r="CL620" i="10"/>
  <c r="CN620" i="10"/>
  <c r="CM621" i="10"/>
  <c r="CL309" i="10"/>
  <c r="CM310" i="10"/>
  <c r="CN309" i="10"/>
  <c r="DW310" i="10"/>
  <c r="DV309" i="10"/>
  <c r="DX309" i="10"/>
  <c r="BB309" i="10"/>
  <c r="BD309" i="10"/>
  <c r="BC310" i="10"/>
  <c r="BC622" i="10"/>
  <c r="BB621" i="10"/>
  <c r="BD621" i="10"/>
  <c r="AJ311" i="5"/>
  <c r="D314" i="5"/>
  <c r="G314" i="5" s="1"/>
  <c r="E313" i="5"/>
  <c r="L313" i="5" s="1"/>
  <c r="AC313" i="5"/>
  <c r="F313" i="5"/>
  <c r="O313" i="5" s="1"/>
  <c r="AI313" i="5"/>
  <c r="AE313" i="5" l="1"/>
  <c r="P313" i="5"/>
  <c r="J313" i="5"/>
  <c r="K313" i="5"/>
  <c r="M313" i="5" s="1"/>
  <c r="AK313" i="5"/>
  <c r="AL312" i="5" s="1"/>
  <c r="AG314" i="5"/>
  <c r="H314" i="5"/>
  <c r="AA314" i="5"/>
  <c r="I314" i="5"/>
  <c r="N314" i="5" s="1"/>
  <c r="AH312" i="5"/>
  <c r="BB310" i="10"/>
  <c r="BD310" i="10"/>
  <c r="BC311" i="10"/>
  <c r="DW311" i="10"/>
  <c r="DX310" i="10"/>
  <c r="DV310" i="10"/>
  <c r="CN310" i="10"/>
  <c r="CM311" i="10"/>
  <c r="CL310" i="10"/>
  <c r="CN621" i="10"/>
  <c r="CL621" i="10"/>
  <c r="CM622" i="10"/>
  <c r="BB622" i="10"/>
  <c r="BD622" i="10"/>
  <c r="BC623" i="10"/>
  <c r="D315" i="5"/>
  <c r="G315" i="5" s="1"/>
  <c r="AI314" i="5"/>
  <c r="E314" i="5"/>
  <c r="L314" i="5" s="1"/>
  <c r="F314" i="5"/>
  <c r="O314" i="5" s="1"/>
  <c r="AC314" i="5"/>
  <c r="AJ312" i="5"/>
  <c r="P314" i="5" l="1"/>
  <c r="AH313" i="5"/>
  <c r="AE314" i="5"/>
  <c r="AA315" i="5"/>
  <c r="AG315" i="5"/>
  <c r="H315" i="5"/>
  <c r="I315" i="5"/>
  <c r="N315" i="5" s="1"/>
  <c r="K314" i="5"/>
  <c r="M314" i="5" s="1"/>
  <c r="J314" i="5"/>
  <c r="CM623" i="10"/>
  <c r="CN622" i="10"/>
  <c r="CL622" i="10"/>
  <c r="CL311" i="10"/>
  <c r="CN311" i="10"/>
  <c r="CM312" i="10"/>
  <c r="DW312" i="10"/>
  <c r="DX311" i="10"/>
  <c r="DV311" i="10"/>
  <c r="BB311" i="10"/>
  <c r="BD311" i="10"/>
  <c r="BC312" i="10"/>
  <c r="AJ313" i="5"/>
  <c r="AK314" i="5"/>
  <c r="BC624" i="10"/>
  <c r="BB623" i="10"/>
  <c r="BD623" i="10"/>
  <c r="D316" i="5"/>
  <c r="G316" i="5" s="1"/>
  <c r="E315" i="5"/>
  <c r="L315" i="5" s="1"/>
  <c r="AI315" i="5"/>
  <c r="F315" i="5"/>
  <c r="O315" i="5" s="1"/>
  <c r="AC315" i="5"/>
  <c r="AK315" i="5" l="1"/>
  <c r="AL314" i="5" s="1"/>
  <c r="P315" i="5"/>
  <c r="J315" i="5"/>
  <c r="K315" i="5"/>
  <c r="M315" i="5" s="1"/>
  <c r="AE315" i="5"/>
  <c r="I316" i="5"/>
  <c r="N316" i="5" s="1"/>
  <c r="H316" i="5"/>
  <c r="AA316" i="5"/>
  <c r="AG316" i="5"/>
  <c r="AH314" i="5"/>
  <c r="BC313" i="10"/>
  <c r="BD312" i="10"/>
  <c r="BB312" i="10"/>
  <c r="CL312" i="10"/>
  <c r="CN312" i="10"/>
  <c r="CM313" i="10"/>
  <c r="DW313" i="10"/>
  <c r="DX312" i="10"/>
  <c r="DV312" i="10"/>
  <c r="CM624" i="10"/>
  <c r="CL623" i="10"/>
  <c r="CN623" i="10"/>
  <c r="AL313" i="5"/>
  <c r="BD624" i="10"/>
  <c r="BB624" i="10"/>
  <c r="BC625" i="10"/>
  <c r="D317" i="5"/>
  <c r="G317" i="5" s="1"/>
  <c r="F316" i="5"/>
  <c r="O316" i="5" s="1"/>
  <c r="E316" i="5"/>
  <c r="L316" i="5" s="1"/>
  <c r="AI316" i="5"/>
  <c r="AC316" i="5"/>
  <c r="AJ314" i="5"/>
  <c r="AE316" i="5" l="1"/>
  <c r="P316" i="5"/>
  <c r="J316" i="5"/>
  <c r="K316" i="5"/>
  <c r="M316" i="5" s="1"/>
  <c r="AG317" i="5"/>
  <c r="AH316" i="5" s="1"/>
  <c r="I317" i="5"/>
  <c r="N317" i="5" s="1"/>
  <c r="H317" i="5"/>
  <c r="AA317" i="5"/>
  <c r="AH315" i="5"/>
  <c r="CM625" i="10"/>
  <c r="CN624" i="10"/>
  <c r="CL624" i="10"/>
  <c r="CN313" i="10"/>
  <c r="CL313" i="10"/>
  <c r="CM314" i="10"/>
  <c r="DX313" i="10"/>
  <c r="DV313" i="10"/>
  <c r="DW314" i="10"/>
  <c r="BB313" i="10"/>
  <c r="BC314" i="10"/>
  <c r="BD313" i="10"/>
  <c r="AJ315" i="5"/>
  <c r="AK316" i="5"/>
  <c r="BD625" i="10"/>
  <c r="BC626" i="10"/>
  <c r="BB625" i="10"/>
  <c r="D318" i="5"/>
  <c r="G318" i="5" s="1"/>
  <c r="AI317" i="5"/>
  <c r="E317" i="5"/>
  <c r="L317" i="5" s="1"/>
  <c r="F317" i="5"/>
  <c r="O317" i="5" s="1"/>
  <c r="AC317" i="5"/>
  <c r="AE317" i="5" l="1"/>
  <c r="AK317" i="5"/>
  <c r="AL316" i="5" s="1"/>
  <c r="I318" i="5"/>
  <c r="N318" i="5" s="1"/>
  <c r="AG318" i="5"/>
  <c r="AH317" i="5" s="1"/>
  <c r="AA318" i="5"/>
  <c r="H318" i="5"/>
  <c r="P317" i="5"/>
  <c r="K317" i="5"/>
  <c r="M317" i="5" s="1"/>
  <c r="J317" i="5"/>
  <c r="AJ316" i="5"/>
  <c r="CN314" i="10"/>
  <c r="CL314" i="10"/>
  <c r="CM315" i="10"/>
  <c r="BD314" i="10"/>
  <c r="BB314" i="10"/>
  <c r="BC315" i="10"/>
  <c r="DW315" i="10"/>
  <c r="DV314" i="10"/>
  <c r="DX314" i="10"/>
  <c r="CL625" i="10"/>
  <c r="CM626" i="10"/>
  <c r="CN625" i="10"/>
  <c r="AL315" i="5"/>
  <c r="BC627" i="10"/>
  <c r="BD626" i="10"/>
  <c r="BB626" i="10"/>
  <c r="D319" i="5"/>
  <c r="G319" i="5" s="1"/>
  <c r="F318" i="5"/>
  <c r="O318" i="5" s="1"/>
  <c r="AC318" i="5"/>
  <c r="E318" i="5"/>
  <c r="L318" i="5" s="1"/>
  <c r="AI318" i="5"/>
  <c r="P318" i="5" l="1"/>
  <c r="AK318" i="5"/>
  <c r="AL317" i="5" s="1"/>
  <c r="AE318" i="5"/>
  <c r="AG319" i="5"/>
  <c r="I319" i="5"/>
  <c r="N319" i="5" s="1"/>
  <c r="AA319" i="5"/>
  <c r="H319" i="5"/>
  <c r="J318" i="5"/>
  <c r="K318" i="5"/>
  <c r="M318" i="5" s="1"/>
  <c r="BC316" i="10"/>
  <c r="BD315" i="10"/>
  <c r="BB315" i="10"/>
  <c r="CL626" i="10"/>
  <c r="CM627" i="10"/>
  <c r="CN626" i="10"/>
  <c r="DV315" i="10"/>
  <c r="DW316" i="10"/>
  <c r="DX315" i="10"/>
  <c r="CM316" i="10"/>
  <c r="CN315" i="10"/>
  <c r="CL315" i="10"/>
  <c r="BD627" i="10"/>
  <c r="BB627" i="10"/>
  <c r="AJ317" i="5"/>
  <c r="D320" i="5"/>
  <c r="G320" i="5" s="1"/>
  <c r="E319" i="5"/>
  <c r="L319" i="5" s="1"/>
  <c r="AC319" i="5"/>
  <c r="AI319" i="5"/>
  <c r="F319" i="5"/>
  <c r="O319" i="5" s="1"/>
  <c r="AE319" i="5" l="1"/>
  <c r="P319" i="5"/>
  <c r="AK319" i="5"/>
  <c r="AL318" i="5" s="1"/>
  <c r="AG320" i="5"/>
  <c r="I320" i="5"/>
  <c r="N320" i="5" s="1"/>
  <c r="AA320" i="5"/>
  <c r="H320" i="5"/>
  <c r="K319" i="5"/>
  <c r="M319" i="5" s="1"/>
  <c r="J319" i="5"/>
  <c r="AH318" i="5"/>
  <c r="CN627" i="10"/>
  <c r="CL627" i="10"/>
  <c r="BB316" i="10"/>
  <c r="BD316" i="10"/>
  <c r="CL316" i="10"/>
  <c r="CN316" i="10"/>
  <c r="DX316" i="10"/>
  <c r="DV316" i="10"/>
  <c r="D321" i="5"/>
  <c r="G321" i="5" s="1"/>
  <c r="F320" i="5"/>
  <c r="O320" i="5" s="1"/>
  <c r="E320" i="5"/>
  <c r="L320" i="5" s="1"/>
  <c r="AC320" i="5"/>
  <c r="AI320" i="5"/>
  <c r="AJ318" i="5"/>
  <c r="P320" i="5" l="1"/>
  <c r="AE320" i="5"/>
  <c r="AK320" i="5"/>
  <c r="AL319" i="5" s="1"/>
  <c r="K320" i="5"/>
  <c r="M320" i="5" s="1"/>
  <c r="J320" i="5"/>
  <c r="H321" i="5"/>
  <c r="I321" i="5"/>
  <c r="N321" i="5" s="1"/>
  <c r="AG321" i="5"/>
  <c r="AA321" i="5"/>
  <c r="AH319" i="5"/>
  <c r="D322" i="5"/>
  <c r="G322" i="5" s="1"/>
  <c r="E321" i="5"/>
  <c r="L321" i="5" s="1"/>
  <c r="AI321" i="5"/>
  <c r="AC321" i="5"/>
  <c r="F321" i="5"/>
  <c r="O321" i="5" s="1"/>
  <c r="AJ319" i="5"/>
  <c r="P321" i="5" l="1"/>
  <c r="AK321" i="5"/>
  <c r="AL320" i="5" s="1"/>
  <c r="AE321" i="5"/>
  <c r="AA322" i="5"/>
  <c r="H322" i="5"/>
  <c r="I322" i="5"/>
  <c r="N322" i="5" s="1"/>
  <c r="AG322" i="5"/>
  <c r="AH320" i="5"/>
  <c r="K321" i="5"/>
  <c r="M321" i="5" s="1"/>
  <c r="J321" i="5"/>
  <c r="AJ320" i="5"/>
  <c r="D323" i="5"/>
  <c r="G323" i="5" s="1"/>
  <c r="F322" i="5"/>
  <c r="O322" i="5" s="1"/>
  <c r="AI322" i="5"/>
  <c r="E322" i="5"/>
  <c r="L322" i="5" s="1"/>
  <c r="AC322" i="5"/>
  <c r="AE322" i="5" l="1"/>
  <c r="P322" i="5"/>
  <c r="I323" i="5"/>
  <c r="N323" i="5" s="1"/>
  <c r="AA323" i="5"/>
  <c r="AG323" i="5"/>
  <c r="AH322" i="5" s="1"/>
  <c r="H323" i="5"/>
  <c r="AH321" i="5"/>
  <c r="J322" i="5"/>
  <c r="K322" i="5"/>
  <c r="M322" i="5" s="1"/>
  <c r="AJ321" i="5"/>
  <c r="AK322" i="5"/>
  <c r="D324" i="5"/>
  <c r="G324" i="5" s="1"/>
  <c r="E323" i="5"/>
  <c r="L323" i="5" s="1"/>
  <c r="AC323" i="5"/>
  <c r="F323" i="5"/>
  <c r="O323" i="5" s="1"/>
  <c r="AI323" i="5"/>
  <c r="P323" i="5" l="1"/>
  <c r="AK323" i="5"/>
  <c r="AL322" i="5" s="1"/>
  <c r="J323" i="5"/>
  <c r="K323" i="5"/>
  <c r="M323" i="5" s="1"/>
  <c r="AE323" i="5"/>
  <c r="H324" i="5"/>
  <c r="AG324" i="5"/>
  <c r="I324" i="5"/>
  <c r="N324" i="5" s="1"/>
  <c r="AA324" i="5"/>
  <c r="AL321" i="5"/>
  <c r="AJ322" i="5"/>
  <c r="D325" i="5"/>
  <c r="G325" i="5" s="1"/>
  <c r="E324" i="5"/>
  <c r="L324" i="5" s="1"/>
  <c r="AI324" i="5"/>
  <c r="F324" i="5"/>
  <c r="O324" i="5" s="1"/>
  <c r="AC324" i="5"/>
  <c r="P324" i="5" l="1"/>
  <c r="AH323" i="5"/>
  <c r="AE324" i="5"/>
  <c r="AK324" i="5"/>
  <c r="AL323" i="5" s="1"/>
  <c r="H325" i="5"/>
  <c r="I325" i="5"/>
  <c r="N325" i="5" s="1"/>
  <c r="AG325" i="5"/>
  <c r="AH324" i="5" s="1"/>
  <c r="AA325" i="5"/>
  <c r="K324" i="5"/>
  <c r="M324" i="5" s="1"/>
  <c r="J324" i="5"/>
  <c r="D326" i="5"/>
  <c r="G326" i="5" s="1"/>
  <c r="F325" i="5"/>
  <c r="O325" i="5" s="1"/>
  <c r="AC325" i="5"/>
  <c r="AI325" i="5"/>
  <c r="E325" i="5"/>
  <c r="L325" i="5" s="1"/>
  <c r="AJ323" i="5"/>
  <c r="AK325" i="5" l="1"/>
  <c r="AL324" i="5" s="1"/>
  <c r="AE325" i="5"/>
  <c r="P325" i="5"/>
  <c r="K325" i="5"/>
  <c r="M325" i="5" s="1"/>
  <c r="J325" i="5"/>
  <c r="I326" i="5"/>
  <c r="N326" i="5" s="1"/>
  <c r="AA326" i="5"/>
  <c r="H326" i="5"/>
  <c r="AG326" i="5"/>
  <c r="AH325" i="5" s="1"/>
  <c r="D327" i="5"/>
  <c r="G327" i="5" s="1"/>
  <c r="F326" i="5"/>
  <c r="O326" i="5" s="1"/>
  <c r="AI326" i="5"/>
  <c r="AC326" i="5"/>
  <c r="E326" i="5"/>
  <c r="L326" i="5" s="1"/>
  <c r="AJ324" i="5"/>
  <c r="AE326" i="5" l="1"/>
  <c r="AA327" i="5"/>
  <c r="H327" i="5"/>
  <c r="I327" i="5"/>
  <c r="N327" i="5" s="1"/>
  <c r="AG327" i="5"/>
  <c r="AH326" i="5" s="1"/>
  <c r="J326" i="5"/>
  <c r="K326" i="5"/>
  <c r="M326" i="5" s="1"/>
  <c r="P326" i="5"/>
  <c r="AJ325" i="5"/>
  <c r="AK326" i="5"/>
  <c r="D328" i="5"/>
  <c r="G328" i="5" s="1"/>
  <c r="F327" i="5"/>
  <c r="O327" i="5" s="1"/>
  <c r="AC327" i="5"/>
  <c r="E327" i="5"/>
  <c r="L327" i="5" s="1"/>
  <c r="AI327" i="5"/>
  <c r="P327" i="5" l="1"/>
  <c r="AK327" i="5"/>
  <c r="AL326" i="5" s="1"/>
  <c r="AE327" i="5"/>
  <c r="H328" i="5"/>
  <c r="I328" i="5"/>
  <c r="N328" i="5" s="1"/>
  <c r="AG328" i="5"/>
  <c r="AA328" i="5"/>
  <c r="K327" i="5"/>
  <c r="M327" i="5" s="1"/>
  <c r="J327" i="5"/>
  <c r="AL325" i="5"/>
  <c r="AJ326" i="5"/>
  <c r="D329" i="5"/>
  <c r="G329" i="5" s="1"/>
  <c r="AI328" i="5"/>
  <c r="F328" i="5"/>
  <c r="O328" i="5" s="1"/>
  <c r="AC328" i="5"/>
  <c r="E328" i="5"/>
  <c r="L328" i="5" s="1"/>
  <c r="AK328" i="5" l="1"/>
  <c r="AL327" i="5" s="1"/>
  <c r="AE328" i="5"/>
  <c r="P328" i="5"/>
  <c r="I329" i="5"/>
  <c r="N329" i="5" s="1"/>
  <c r="AG329" i="5"/>
  <c r="AA329" i="5"/>
  <c r="H329" i="5"/>
  <c r="AH327" i="5"/>
  <c r="J328" i="5"/>
  <c r="K328" i="5"/>
  <c r="M328" i="5" s="1"/>
  <c r="D330" i="5"/>
  <c r="G330" i="5" s="1"/>
  <c r="F329" i="5"/>
  <c r="O329" i="5" s="1"/>
  <c r="AC329" i="5"/>
  <c r="AI329" i="5"/>
  <c r="E329" i="5"/>
  <c r="L329" i="5" s="1"/>
  <c r="AJ327" i="5"/>
  <c r="AE329" i="5" l="1"/>
  <c r="P329" i="5"/>
  <c r="AA330" i="5"/>
  <c r="AG330" i="5"/>
  <c r="AH329" i="5" s="1"/>
  <c r="H330" i="5"/>
  <c r="I330" i="5"/>
  <c r="N330" i="5" s="1"/>
  <c r="J329" i="5"/>
  <c r="K329" i="5"/>
  <c r="M329" i="5" s="1"/>
  <c r="AH328" i="5"/>
  <c r="AK329" i="5"/>
  <c r="AL328" i="5" s="1"/>
  <c r="D331" i="5"/>
  <c r="G331" i="5" s="1"/>
  <c r="F330" i="5"/>
  <c r="O330" i="5" s="1"/>
  <c r="E330" i="5"/>
  <c r="L330" i="5" s="1"/>
  <c r="AC330" i="5"/>
  <c r="AI330" i="5"/>
  <c r="AJ328" i="5"/>
  <c r="P330" i="5" l="1"/>
  <c r="AK330" i="5"/>
  <c r="AL329" i="5" s="1"/>
  <c r="AE330" i="5"/>
  <c r="K330" i="5"/>
  <c r="M330" i="5" s="1"/>
  <c r="J330" i="5"/>
  <c r="AA331" i="5"/>
  <c r="H331" i="5"/>
  <c r="I331" i="5"/>
  <c r="N331" i="5" s="1"/>
  <c r="AG331" i="5"/>
  <c r="AJ329" i="5"/>
  <c r="D332" i="5"/>
  <c r="G332" i="5" s="1"/>
  <c r="E331" i="5"/>
  <c r="L331" i="5" s="1"/>
  <c r="F331" i="5"/>
  <c r="O331" i="5" s="1"/>
  <c r="AI331" i="5"/>
  <c r="AC331" i="5"/>
  <c r="AE331" i="5" l="1"/>
  <c r="P331" i="5"/>
  <c r="H332" i="5"/>
  <c r="AA332" i="5"/>
  <c r="AG332" i="5"/>
  <c r="I332" i="5"/>
  <c r="N332" i="5" s="1"/>
  <c r="AH330" i="5"/>
  <c r="J331" i="5"/>
  <c r="K331" i="5"/>
  <c r="M331" i="5" s="1"/>
  <c r="AJ330" i="5"/>
  <c r="AK331" i="5"/>
  <c r="D333" i="5"/>
  <c r="G333" i="5" s="1"/>
  <c r="E332" i="5"/>
  <c r="L332" i="5" s="1"/>
  <c r="AI332" i="5"/>
  <c r="AC332" i="5"/>
  <c r="F332" i="5"/>
  <c r="O332" i="5" s="1"/>
  <c r="P332" i="5" l="1"/>
  <c r="AE332" i="5"/>
  <c r="AG333" i="5"/>
  <c r="I333" i="5"/>
  <c r="N333" i="5" s="1"/>
  <c r="AA333" i="5"/>
  <c r="H333" i="5"/>
  <c r="AH331" i="5"/>
  <c r="J332" i="5"/>
  <c r="K332" i="5"/>
  <c r="M332" i="5" s="1"/>
  <c r="AJ331" i="5"/>
  <c r="AK332" i="5"/>
  <c r="AL331" i="5" s="1"/>
  <c r="AL330" i="5"/>
  <c r="D334" i="5"/>
  <c r="G334" i="5" s="1"/>
  <c r="AI333" i="5"/>
  <c r="F333" i="5"/>
  <c r="O333" i="5" s="1"/>
  <c r="E333" i="5"/>
  <c r="L333" i="5" s="1"/>
  <c r="AC333" i="5"/>
  <c r="AE333" i="5" l="1"/>
  <c r="AK333" i="5"/>
  <c r="AL332" i="5" s="1"/>
  <c r="J333" i="5"/>
  <c r="K333" i="5"/>
  <c r="M333" i="5" s="1"/>
  <c r="P333" i="5"/>
  <c r="AA334" i="5"/>
  <c r="AG334" i="5"/>
  <c r="I334" i="5"/>
  <c r="N334" i="5" s="1"/>
  <c r="H334" i="5"/>
  <c r="AH332" i="5"/>
  <c r="D335" i="5"/>
  <c r="G335" i="5" s="1"/>
  <c r="AC334" i="5"/>
  <c r="AI334" i="5"/>
  <c r="F334" i="5"/>
  <c r="O334" i="5" s="1"/>
  <c r="E334" i="5"/>
  <c r="L334" i="5" s="1"/>
  <c r="AJ332" i="5"/>
  <c r="P334" i="5" l="1"/>
  <c r="AE334" i="5"/>
  <c r="AG335" i="5"/>
  <c r="AH334" i="5" s="1"/>
  <c r="I335" i="5"/>
  <c r="N335" i="5" s="1"/>
  <c r="AA335" i="5"/>
  <c r="H335" i="5"/>
  <c r="K334" i="5"/>
  <c r="M334" i="5" s="1"/>
  <c r="J334" i="5"/>
  <c r="AH333" i="5"/>
  <c r="AJ333" i="5"/>
  <c r="AK334" i="5"/>
  <c r="D336" i="5"/>
  <c r="G336" i="5" s="1"/>
  <c r="E335" i="5"/>
  <c r="L335" i="5" s="1"/>
  <c r="AI335" i="5"/>
  <c r="F335" i="5"/>
  <c r="O335" i="5" s="1"/>
  <c r="AC335" i="5"/>
  <c r="P335" i="5" l="1"/>
  <c r="AE335" i="5"/>
  <c r="AK335" i="5"/>
  <c r="AL334" i="5" s="1"/>
  <c r="AG336" i="5"/>
  <c r="I336" i="5"/>
  <c r="N336" i="5" s="1"/>
  <c r="AA336" i="5"/>
  <c r="H336" i="5"/>
  <c r="K335" i="5"/>
  <c r="M335" i="5" s="1"/>
  <c r="J335" i="5"/>
  <c r="AL333" i="5"/>
  <c r="AJ334" i="5"/>
  <c r="D337" i="5"/>
  <c r="G337" i="5" s="1"/>
  <c r="AI336" i="5"/>
  <c r="AC336" i="5"/>
  <c r="F336" i="5"/>
  <c r="O336" i="5" s="1"/>
  <c r="E336" i="5"/>
  <c r="L336" i="5" s="1"/>
  <c r="AE336" i="5" l="1"/>
  <c r="AK336" i="5"/>
  <c r="AL335" i="5" s="1"/>
  <c r="AG337" i="5"/>
  <c r="AA337" i="5"/>
  <c r="H337" i="5"/>
  <c r="I337" i="5"/>
  <c r="N337" i="5" s="1"/>
  <c r="K336" i="5"/>
  <c r="M336" i="5" s="1"/>
  <c r="J336" i="5"/>
  <c r="P336" i="5"/>
  <c r="AH335" i="5"/>
  <c r="D338" i="5"/>
  <c r="G338" i="5" s="1"/>
  <c r="AC337" i="5"/>
  <c r="F337" i="5"/>
  <c r="O337" i="5" s="1"/>
  <c r="E337" i="5"/>
  <c r="L337" i="5" s="1"/>
  <c r="AI337" i="5"/>
  <c r="AJ335" i="5"/>
  <c r="AK337" i="5" l="1"/>
  <c r="AL336" i="5" s="1"/>
  <c r="P337" i="5"/>
  <c r="AE337" i="5"/>
  <c r="I338" i="5"/>
  <c r="N338" i="5" s="1"/>
  <c r="AG338" i="5"/>
  <c r="AH337" i="5" s="1"/>
  <c r="H338" i="5"/>
  <c r="AA338" i="5"/>
  <c r="J337" i="5"/>
  <c r="K337" i="5"/>
  <c r="M337" i="5" s="1"/>
  <c r="AH336" i="5"/>
  <c r="D339" i="5"/>
  <c r="G339" i="5" s="1"/>
  <c r="AC338" i="5"/>
  <c r="E338" i="5"/>
  <c r="L338" i="5" s="1"/>
  <c r="AI338" i="5"/>
  <c r="F338" i="5"/>
  <c r="O338" i="5" s="1"/>
  <c r="AJ336" i="5"/>
  <c r="P338" i="5" l="1"/>
  <c r="AG339" i="5"/>
  <c r="I339" i="5"/>
  <c r="N339" i="5" s="1"/>
  <c r="H339" i="5"/>
  <c r="AA339" i="5"/>
  <c r="AK338" i="5"/>
  <c r="AL337" i="5" s="1"/>
  <c r="AE338" i="5"/>
  <c r="K338" i="5"/>
  <c r="M338" i="5" s="1"/>
  <c r="J338" i="5"/>
  <c r="D340" i="5"/>
  <c r="G340" i="5" s="1"/>
  <c r="AC339" i="5"/>
  <c r="E339" i="5"/>
  <c r="L339" i="5" s="1"/>
  <c r="AI339" i="5"/>
  <c r="F339" i="5"/>
  <c r="O339" i="5" s="1"/>
  <c r="AJ337" i="5"/>
  <c r="P339" i="5" l="1"/>
  <c r="AE339" i="5"/>
  <c r="K339" i="5"/>
  <c r="M339" i="5" s="1"/>
  <c r="J339" i="5"/>
  <c r="AG340" i="5"/>
  <c r="H340" i="5"/>
  <c r="AA340" i="5"/>
  <c r="I340" i="5"/>
  <c r="N340" i="5" s="1"/>
  <c r="AH338" i="5"/>
  <c r="AJ338" i="5"/>
  <c r="AK339" i="5"/>
  <c r="D341" i="5"/>
  <c r="G341" i="5" s="1"/>
  <c r="AC340" i="5"/>
  <c r="E340" i="5"/>
  <c r="L340" i="5" s="1"/>
  <c r="AI340" i="5"/>
  <c r="F340" i="5"/>
  <c r="O340" i="5" s="1"/>
  <c r="AE340" i="5" l="1"/>
  <c r="P340" i="5"/>
  <c r="AG341" i="5"/>
  <c r="AH340" i="5" s="1"/>
  <c r="I341" i="5"/>
  <c r="N341" i="5" s="1"/>
  <c r="AA341" i="5"/>
  <c r="H341" i="5"/>
  <c r="K340" i="5"/>
  <c r="M340" i="5" s="1"/>
  <c r="J340" i="5"/>
  <c r="AH339" i="5"/>
  <c r="AL338" i="5"/>
  <c r="AJ339" i="5"/>
  <c r="AK340" i="5"/>
  <c r="AL339" i="5" s="1"/>
  <c r="D342" i="5"/>
  <c r="G342" i="5" s="1"/>
  <c r="E341" i="5"/>
  <c r="L341" i="5" s="1"/>
  <c r="AI341" i="5"/>
  <c r="F341" i="5"/>
  <c r="O341" i="5" s="1"/>
  <c r="AC341" i="5"/>
  <c r="AE341" i="5" l="1"/>
  <c r="AK341" i="5"/>
  <c r="AL340" i="5" s="1"/>
  <c r="P341" i="5"/>
  <c r="AA342" i="5"/>
  <c r="I342" i="5"/>
  <c r="N342" i="5" s="1"/>
  <c r="H342" i="5"/>
  <c r="AG342" i="5"/>
  <c r="K341" i="5"/>
  <c r="M341" i="5" s="1"/>
  <c r="J341" i="5"/>
  <c r="D343" i="5"/>
  <c r="G343" i="5" s="1"/>
  <c r="F342" i="5"/>
  <c r="O342" i="5" s="1"/>
  <c r="AC342" i="5"/>
  <c r="E342" i="5"/>
  <c r="L342" i="5" s="1"/>
  <c r="AI342" i="5"/>
  <c r="AJ340" i="5"/>
  <c r="AE342" i="5" l="1"/>
  <c r="AK342" i="5"/>
  <c r="AL341" i="5" s="1"/>
  <c r="H343" i="5"/>
  <c r="I343" i="5"/>
  <c r="N343" i="5" s="1"/>
  <c r="AA343" i="5"/>
  <c r="AG343" i="5"/>
  <c r="AH341" i="5"/>
  <c r="P342" i="5"/>
  <c r="J342" i="5"/>
  <c r="K342" i="5"/>
  <c r="M342" i="5" s="1"/>
  <c r="AJ341" i="5"/>
  <c r="D344" i="5"/>
  <c r="G344" i="5" s="1"/>
  <c r="F343" i="5"/>
  <c r="O343" i="5" s="1"/>
  <c r="AC343" i="5"/>
  <c r="E343" i="5"/>
  <c r="L343" i="5" s="1"/>
  <c r="AI343" i="5"/>
  <c r="P343" i="5" l="1"/>
  <c r="AE343" i="5"/>
  <c r="AK343" i="5"/>
  <c r="AL342" i="5" s="1"/>
  <c r="I344" i="5"/>
  <c r="N344" i="5" s="1"/>
  <c r="H344" i="5"/>
  <c r="AA344" i="5"/>
  <c r="AG344" i="5"/>
  <c r="AH343" i="5" s="1"/>
  <c r="AH342" i="5"/>
  <c r="J343" i="5"/>
  <c r="K343" i="5"/>
  <c r="M343" i="5" s="1"/>
  <c r="D345" i="5"/>
  <c r="G345" i="5" s="1"/>
  <c r="E344" i="5"/>
  <c r="L344" i="5" s="1"/>
  <c r="AC344" i="5"/>
  <c r="F344" i="5"/>
  <c r="O344" i="5" s="1"/>
  <c r="AI344" i="5"/>
  <c r="AJ342" i="5"/>
  <c r="AE344" i="5" l="1"/>
  <c r="AK344" i="5"/>
  <c r="AL343" i="5" s="1"/>
  <c r="H345" i="5"/>
  <c r="AG345" i="5"/>
  <c r="AA345" i="5"/>
  <c r="I345" i="5"/>
  <c r="N345" i="5" s="1"/>
  <c r="P344" i="5"/>
  <c r="J344" i="5"/>
  <c r="K344" i="5"/>
  <c r="M344" i="5" s="1"/>
  <c r="D346" i="5"/>
  <c r="G346" i="5" s="1"/>
  <c r="AC345" i="5"/>
  <c r="E345" i="5"/>
  <c r="L345" i="5" s="1"/>
  <c r="F345" i="5"/>
  <c r="O345" i="5" s="1"/>
  <c r="AI345" i="5"/>
  <c r="AJ343" i="5"/>
  <c r="P345" i="5" l="1"/>
  <c r="AE345" i="5"/>
  <c r="AH344" i="5"/>
  <c r="H346" i="5"/>
  <c r="AA346" i="5"/>
  <c r="AG346" i="5"/>
  <c r="AH345" i="5" s="1"/>
  <c r="I346" i="5"/>
  <c r="N346" i="5" s="1"/>
  <c r="J345" i="5"/>
  <c r="K345" i="5"/>
  <c r="M345" i="5" s="1"/>
  <c r="AJ344" i="5"/>
  <c r="AK345" i="5"/>
  <c r="D347" i="5"/>
  <c r="G347" i="5" s="1"/>
  <c r="E346" i="5"/>
  <c r="L346" i="5" s="1"/>
  <c r="F346" i="5"/>
  <c r="O346" i="5" s="1"/>
  <c r="AI346" i="5"/>
  <c r="AC346" i="5"/>
  <c r="P346" i="5" l="1"/>
  <c r="AK346" i="5"/>
  <c r="AL345" i="5" s="1"/>
  <c r="AE346" i="5"/>
  <c r="J346" i="5"/>
  <c r="K346" i="5"/>
  <c r="M346" i="5" s="1"/>
  <c r="AG347" i="5"/>
  <c r="AH346" i="5" s="1"/>
  <c r="AA347" i="5"/>
  <c r="H347" i="5"/>
  <c r="I347" i="5"/>
  <c r="N347" i="5" s="1"/>
  <c r="AL344" i="5"/>
  <c r="D348" i="5"/>
  <c r="G348" i="5" s="1"/>
  <c r="F347" i="5"/>
  <c r="O347" i="5" s="1"/>
  <c r="E347" i="5"/>
  <c r="L347" i="5" s="1"/>
  <c r="AC347" i="5"/>
  <c r="AI347" i="5"/>
  <c r="AJ345" i="5"/>
  <c r="AK347" i="5" l="1"/>
  <c r="AL346" i="5" s="1"/>
  <c r="I348" i="5"/>
  <c r="N348" i="5" s="1"/>
  <c r="H348" i="5"/>
  <c r="AA348" i="5"/>
  <c r="AG348" i="5"/>
  <c r="AE347" i="5"/>
  <c r="P347" i="5"/>
  <c r="J347" i="5"/>
  <c r="K347" i="5"/>
  <c r="M347" i="5" s="1"/>
  <c r="D349" i="5"/>
  <c r="G349" i="5" s="1"/>
  <c r="AI348" i="5"/>
  <c r="F348" i="5"/>
  <c r="O348" i="5" s="1"/>
  <c r="E348" i="5"/>
  <c r="L348" i="5" s="1"/>
  <c r="AC348" i="5"/>
  <c r="AJ346" i="5"/>
  <c r="AE348" i="5" l="1"/>
  <c r="P348" i="5"/>
  <c r="AK348" i="5"/>
  <c r="AL347" i="5" s="1"/>
  <c r="I349" i="5"/>
  <c r="N349" i="5" s="1"/>
  <c r="AA349" i="5"/>
  <c r="AG349" i="5"/>
  <c r="H349" i="5"/>
  <c r="AH347" i="5"/>
  <c r="K348" i="5"/>
  <c r="M348" i="5" s="1"/>
  <c r="J348" i="5"/>
  <c r="AJ347" i="5"/>
  <c r="D350" i="5"/>
  <c r="G350" i="5" s="1"/>
  <c r="F349" i="5"/>
  <c r="O349" i="5" s="1"/>
  <c r="E349" i="5"/>
  <c r="L349" i="5" s="1"/>
  <c r="AC349" i="5"/>
  <c r="AI349" i="5"/>
  <c r="P349" i="5" l="1"/>
  <c r="I350" i="5"/>
  <c r="N350" i="5" s="1"/>
  <c r="H350" i="5"/>
  <c r="AA350" i="5"/>
  <c r="AG350" i="5"/>
  <c r="K349" i="5"/>
  <c r="M349" i="5" s="1"/>
  <c r="J349" i="5"/>
  <c r="AE349" i="5"/>
  <c r="AH348" i="5"/>
  <c r="AJ348" i="5"/>
  <c r="AK349" i="5"/>
  <c r="D351" i="5"/>
  <c r="G351" i="5" s="1"/>
  <c r="F350" i="5"/>
  <c r="O350" i="5" s="1"/>
  <c r="AC350" i="5"/>
  <c r="E350" i="5"/>
  <c r="L350" i="5" s="1"/>
  <c r="AI350" i="5"/>
  <c r="AK350" i="5" l="1"/>
  <c r="AL349" i="5" s="1"/>
  <c r="P350" i="5"/>
  <c r="AE350" i="5"/>
  <c r="AG351" i="5"/>
  <c r="H351" i="5"/>
  <c r="AA351" i="5"/>
  <c r="I351" i="5"/>
  <c r="N351" i="5" s="1"/>
  <c r="AH349" i="5"/>
  <c r="J350" i="5"/>
  <c r="K350" i="5"/>
  <c r="M350" i="5" s="1"/>
  <c r="AL348" i="5"/>
  <c r="AJ349" i="5"/>
  <c r="D352" i="5"/>
  <c r="G352" i="5" s="1"/>
  <c r="AC351" i="5"/>
  <c r="F351" i="5"/>
  <c r="O351" i="5" s="1"/>
  <c r="AI351" i="5"/>
  <c r="E351" i="5"/>
  <c r="L351" i="5" s="1"/>
  <c r="P351" i="5" l="1"/>
  <c r="AE351" i="5"/>
  <c r="H352" i="5"/>
  <c r="AA352" i="5"/>
  <c r="AG352" i="5"/>
  <c r="I352" i="5"/>
  <c r="N352" i="5" s="1"/>
  <c r="J351" i="5"/>
  <c r="K351" i="5"/>
  <c r="M351" i="5" s="1"/>
  <c r="AH350" i="5"/>
  <c r="AJ350" i="5"/>
  <c r="AK351" i="5"/>
  <c r="D353" i="5"/>
  <c r="G353" i="5" s="1"/>
  <c r="AI352" i="5"/>
  <c r="AC352" i="5"/>
  <c r="F352" i="5"/>
  <c r="O352" i="5" s="1"/>
  <c r="E352" i="5"/>
  <c r="L352" i="5" s="1"/>
  <c r="AE352" i="5" l="1"/>
  <c r="P352" i="5"/>
  <c r="AG353" i="5"/>
  <c r="H353" i="5"/>
  <c r="I353" i="5"/>
  <c r="N353" i="5" s="1"/>
  <c r="AA353" i="5"/>
  <c r="AH351" i="5"/>
  <c r="K352" i="5"/>
  <c r="M352" i="5" s="1"/>
  <c r="J352" i="5"/>
  <c r="AK352" i="5"/>
  <c r="AL351" i="5" s="1"/>
  <c r="AJ351" i="5"/>
  <c r="AL350" i="5"/>
  <c r="D354" i="5"/>
  <c r="G354" i="5" s="1"/>
  <c r="E353" i="5"/>
  <c r="L353" i="5" s="1"/>
  <c r="AC353" i="5"/>
  <c r="F353" i="5"/>
  <c r="O353" i="5" s="1"/>
  <c r="AI353" i="5"/>
  <c r="AE353" i="5" l="1"/>
  <c r="AA354" i="5"/>
  <c r="AG354" i="5"/>
  <c r="I354" i="5"/>
  <c r="N354" i="5" s="1"/>
  <c r="H354" i="5"/>
  <c r="AH352" i="5"/>
  <c r="P353" i="5"/>
  <c r="K353" i="5"/>
  <c r="M353" i="5" s="1"/>
  <c r="J353" i="5"/>
  <c r="AJ352" i="5"/>
  <c r="AK353" i="5"/>
  <c r="D355" i="5"/>
  <c r="G355" i="5" s="1"/>
  <c r="AI354" i="5"/>
  <c r="AC354" i="5"/>
  <c r="F354" i="5"/>
  <c r="O354" i="5" s="1"/>
  <c r="E354" i="5"/>
  <c r="L354" i="5" s="1"/>
  <c r="P354" i="5" l="1"/>
  <c r="AK354" i="5"/>
  <c r="AL353" i="5" s="1"/>
  <c r="AE354" i="5"/>
  <c r="J354" i="5"/>
  <c r="K354" i="5"/>
  <c r="M354" i="5" s="1"/>
  <c r="AH353" i="5"/>
  <c r="AG355" i="5"/>
  <c r="AH354" i="5" s="1"/>
  <c r="AA355" i="5"/>
  <c r="I355" i="5"/>
  <c r="N355" i="5" s="1"/>
  <c r="H355" i="5"/>
  <c r="AJ353" i="5"/>
  <c r="AL352" i="5"/>
  <c r="D356" i="5"/>
  <c r="G356" i="5" s="1"/>
  <c r="F355" i="5"/>
  <c r="O355" i="5" s="1"/>
  <c r="E355" i="5"/>
  <c r="L355" i="5" s="1"/>
  <c r="AI355" i="5"/>
  <c r="AC355" i="5"/>
  <c r="AE355" i="5" l="1"/>
  <c r="H356" i="5"/>
  <c r="AG356" i="5"/>
  <c r="AH355" i="5" s="1"/>
  <c r="I356" i="5"/>
  <c r="N356" i="5" s="1"/>
  <c r="AA356" i="5"/>
  <c r="P355" i="5"/>
  <c r="K355" i="5"/>
  <c r="M355" i="5" s="1"/>
  <c r="J355" i="5"/>
  <c r="AJ354" i="5"/>
  <c r="AK355" i="5"/>
  <c r="D357" i="5"/>
  <c r="G357" i="5" s="1"/>
  <c r="E356" i="5"/>
  <c r="L356" i="5" s="1"/>
  <c r="AC356" i="5"/>
  <c r="F356" i="5"/>
  <c r="O356" i="5" s="1"/>
  <c r="AI356" i="5"/>
  <c r="P356" i="5" l="1"/>
  <c r="AK356" i="5"/>
  <c r="AL355" i="5" s="1"/>
  <c r="AE356" i="5"/>
  <c r="K356" i="5"/>
  <c r="M356" i="5" s="1"/>
  <c r="J356" i="5"/>
  <c r="H357" i="5"/>
  <c r="AG357" i="5"/>
  <c r="I357" i="5"/>
  <c r="N357" i="5" s="1"/>
  <c r="AA357" i="5"/>
  <c r="AJ355" i="5"/>
  <c r="AL354" i="5"/>
  <c r="D358" i="5"/>
  <c r="G358" i="5" s="1"/>
  <c r="AC357" i="5"/>
  <c r="AI357" i="5"/>
  <c r="E357" i="5"/>
  <c r="L357" i="5" s="1"/>
  <c r="F357" i="5"/>
  <c r="O357" i="5" s="1"/>
  <c r="AK357" i="5" l="1"/>
  <c r="AL356" i="5" s="1"/>
  <c r="P357" i="5"/>
  <c r="AE357" i="5"/>
  <c r="H358" i="5"/>
  <c r="AG358" i="5"/>
  <c r="AA358" i="5"/>
  <c r="I358" i="5"/>
  <c r="N358" i="5" s="1"/>
  <c r="J357" i="5"/>
  <c r="K357" i="5"/>
  <c r="M357" i="5" s="1"/>
  <c r="AH356" i="5"/>
  <c r="AJ356" i="5"/>
  <c r="D359" i="5"/>
  <c r="G359" i="5" s="1"/>
  <c r="AI358" i="5"/>
  <c r="F358" i="5"/>
  <c r="O358" i="5" s="1"/>
  <c r="AC358" i="5"/>
  <c r="E358" i="5"/>
  <c r="L358" i="5" s="1"/>
  <c r="P358" i="5" l="1"/>
  <c r="AE358" i="5"/>
  <c r="I359" i="5"/>
  <c r="N359" i="5" s="1"/>
  <c r="AG359" i="5"/>
  <c r="H359" i="5"/>
  <c r="AA359" i="5"/>
  <c r="AH357" i="5"/>
  <c r="AK358" i="5"/>
  <c r="AL357" i="5" s="1"/>
  <c r="K358" i="5"/>
  <c r="M358" i="5" s="1"/>
  <c r="J358" i="5"/>
  <c r="D360" i="5"/>
  <c r="G360" i="5" s="1"/>
  <c r="AI359" i="5"/>
  <c r="AC359" i="5"/>
  <c r="F359" i="5"/>
  <c r="O359" i="5" s="1"/>
  <c r="E359" i="5"/>
  <c r="L359" i="5" s="1"/>
  <c r="AJ357" i="5"/>
  <c r="AK359" i="5" l="1"/>
  <c r="AL358" i="5" s="1"/>
  <c r="AE359" i="5"/>
  <c r="H360" i="5"/>
  <c r="AA360" i="5"/>
  <c r="AG360" i="5"/>
  <c r="I360" i="5"/>
  <c r="N360" i="5" s="1"/>
  <c r="K359" i="5"/>
  <c r="M359" i="5" s="1"/>
  <c r="J359" i="5"/>
  <c r="P359" i="5"/>
  <c r="AH358" i="5"/>
  <c r="D361" i="5"/>
  <c r="G361" i="5" s="1"/>
  <c r="E360" i="5"/>
  <c r="L360" i="5" s="1"/>
  <c r="F360" i="5"/>
  <c r="O360" i="5" s="1"/>
  <c r="AI360" i="5"/>
  <c r="AC360" i="5"/>
  <c r="AJ358" i="5"/>
  <c r="P360" i="5" l="1"/>
  <c r="AE360" i="5"/>
  <c r="H361" i="5"/>
  <c r="AA361" i="5"/>
  <c r="I361" i="5"/>
  <c r="N361" i="5" s="1"/>
  <c r="AG361" i="5"/>
  <c r="AH359" i="5"/>
  <c r="K360" i="5"/>
  <c r="M360" i="5" s="1"/>
  <c r="J360" i="5"/>
  <c r="AK360" i="5"/>
  <c r="AL359" i="5" s="1"/>
  <c r="D362" i="5"/>
  <c r="G362" i="5" s="1"/>
  <c r="AI361" i="5"/>
  <c r="F361" i="5"/>
  <c r="O361" i="5" s="1"/>
  <c r="AC361" i="5"/>
  <c r="E361" i="5"/>
  <c r="L361" i="5" s="1"/>
  <c r="AJ359" i="5"/>
  <c r="AK361" i="5" l="1"/>
  <c r="AL360" i="5" s="1"/>
  <c r="AE361" i="5"/>
  <c r="P361" i="5"/>
  <c r="I362" i="5"/>
  <c r="N362" i="5" s="1"/>
  <c r="H362" i="5"/>
  <c r="AG362" i="5"/>
  <c r="AH361" i="5" s="1"/>
  <c r="AA362" i="5"/>
  <c r="AH360" i="5"/>
  <c r="J361" i="5"/>
  <c r="K361" i="5"/>
  <c r="M361" i="5" s="1"/>
  <c r="AJ360" i="5"/>
  <c r="D363" i="5"/>
  <c r="G363" i="5" s="1"/>
  <c r="AC362" i="5"/>
  <c r="E362" i="5"/>
  <c r="L362" i="5" s="1"/>
  <c r="F362" i="5"/>
  <c r="O362" i="5" s="1"/>
  <c r="AI362" i="5"/>
  <c r="P362" i="5" l="1"/>
  <c r="AE362" i="5"/>
  <c r="AK362" i="5"/>
  <c r="AL361" i="5" s="1"/>
  <c r="J362" i="5"/>
  <c r="K362" i="5"/>
  <c r="M362" i="5" s="1"/>
  <c r="AG363" i="5"/>
  <c r="H363" i="5"/>
  <c r="I363" i="5"/>
  <c r="N363" i="5" s="1"/>
  <c r="AA363" i="5"/>
  <c r="AJ361" i="5"/>
  <c r="D364" i="5"/>
  <c r="G364" i="5" s="1"/>
  <c r="E363" i="5"/>
  <c r="L363" i="5" s="1"/>
  <c r="AI363" i="5"/>
  <c r="AC363" i="5"/>
  <c r="F363" i="5"/>
  <c r="O363" i="5" s="1"/>
  <c r="P363" i="5" l="1"/>
  <c r="AE363" i="5"/>
  <c r="H364" i="5"/>
  <c r="AG364" i="5"/>
  <c r="I364" i="5"/>
  <c r="N364" i="5" s="1"/>
  <c r="AA364" i="5"/>
  <c r="AH362" i="5"/>
  <c r="J363" i="5"/>
  <c r="K363" i="5"/>
  <c r="M363" i="5" s="1"/>
  <c r="AJ362" i="5"/>
  <c r="AK363" i="5"/>
  <c r="D365" i="5"/>
  <c r="G365" i="5" s="1"/>
  <c r="AC364" i="5"/>
  <c r="F364" i="5"/>
  <c r="O364" i="5" s="1"/>
  <c r="AI364" i="5"/>
  <c r="E364" i="5"/>
  <c r="L364" i="5" s="1"/>
  <c r="P364" i="5" l="1"/>
  <c r="I365" i="5"/>
  <c r="N365" i="5" s="1"/>
  <c r="AG365" i="5"/>
  <c r="AH364" i="5" s="1"/>
  <c r="AA365" i="5"/>
  <c r="H365" i="5"/>
  <c r="AH363" i="5"/>
  <c r="AK364" i="5"/>
  <c r="AL363" i="5" s="1"/>
  <c r="AE364" i="5"/>
  <c r="K364" i="5"/>
  <c r="M364" i="5" s="1"/>
  <c r="J364" i="5"/>
  <c r="AL362" i="5"/>
  <c r="AJ363" i="5"/>
  <c r="D366" i="5"/>
  <c r="G366" i="5" s="1"/>
  <c r="AI365" i="5"/>
  <c r="AC365" i="5"/>
  <c r="E365" i="5"/>
  <c r="L365" i="5" s="1"/>
  <c r="F365" i="5"/>
  <c r="O365" i="5" s="1"/>
  <c r="AK365" i="5" l="1"/>
  <c r="AL364" i="5" s="1"/>
  <c r="P365" i="5"/>
  <c r="AE365" i="5"/>
  <c r="AG366" i="5"/>
  <c r="AA366" i="5"/>
  <c r="H366" i="5"/>
  <c r="I366" i="5"/>
  <c r="N366" i="5" s="1"/>
  <c r="K365" i="5"/>
  <c r="M365" i="5" s="1"/>
  <c r="J365" i="5"/>
  <c r="AJ364" i="5"/>
  <c r="D367" i="5"/>
  <c r="G367" i="5" s="1"/>
  <c r="AI366" i="5"/>
  <c r="E366" i="5"/>
  <c r="L366" i="5" s="1"/>
  <c r="F366" i="5"/>
  <c r="O366" i="5" s="1"/>
  <c r="AC366" i="5"/>
  <c r="P366" i="5" l="1"/>
  <c r="AK366" i="5"/>
  <c r="AL365" i="5" s="1"/>
  <c r="AE366" i="5"/>
  <c r="I367" i="5"/>
  <c r="N367" i="5" s="1"/>
  <c r="AG367" i="5"/>
  <c r="AA367" i="5"/>
  <c r="H367" i="5"/>
  <c r="K366" i="5"/>
  <c r="M366" i="5" s="1"/>
  <c r="J366" i="5"/>
  <c r="AH365" i="5"/>
  <c r="AJ365" i="5"/>
  <c r="D368" i="5"/>
  <c r="G368" i="5" s="1"/>
  <c r="AI367" i="5"/>
  <c r="F367" i="5"/>
  <c r="O367" i="5" s="1"/>
  <c r="AC367" i="5"/>
  <c r="E367" i="5"/>
  <c r="L367" i="5" s="1"/>
  <c r="P367" i="5" l="1"/>
  <c r="AE367" i="5"/>
  <c r="AG368" i="5"/>
  <c r="H368" i="5"/>
  <c r="AA368" i="5"/>
  <c r="I368" i="5"/>
  <c r="N368" i="5" s="1"/>
  <c r="K367" i="5"/>
  <c r="M367" i="5" s="1"/>
  <c r="J367" i="5"/>
  <c r="AH366" i="5"/>
  <c r="AK367" i="5"/>
  <c r="AL366" i="5" s="1"/>
  <c r="AJ366" i="5"/>
  <c r="D369" i="5"/>
  <c r="G369" i="5" s="1"/>
  <c r="F368" i="5"/>
  <c r="O368" i="5" s="1"/>
  <c r="AI368" i="5"/>
  <c r="AC368" i="5"/>
  <c r="E368" i="5"/>
  <c r="L368" i="5" s="1"/>
  <c r="P368" i="5" l="1"/>
  <c r="H369" i="5"/>
  <c r="I369" i="5"/>
  <c r="N369" i="5" s="1"/>
  <c r="AG369" i="5"/>
  <c r="AA369" i="5"/>
  <c r="AE368" i="5"/>
  <c r="AH367" i="5"/>
  <c r="J368" i="5"/>
  <c r="K368" i="5"/>
  <c r="M368" i="5" s="1"/>
  <c r="AJ367" i="5"/>
  <c r="AK368" i="5"/>
  <c r="D370" i="5"/>
  <c r="G370" i="5" s="1"/>
  <c r="F369" i="5"/>
  <c r="O369" i="5" s="1"/>
  <c r="E369" i="5"/>
  <c r="L369" i="5" s="1"/>
  <c r="AI369" i="5"/>
  <c r="AC369" i="5"/>
  <c r="P369" i="5" l="1"/>
  <c r="AE369" i="5"/>
  <c r="AH368" i="5"/>
  <c r="K369" i="5"/>
  <c r="M369" i="5" s="1"/>
  <c r="J369" i="5"/>
  <c r="AA370" i="5"/>
  <c r="I370" i="5"/>
  <c r="N370" i="5" s="1"/>
  <c r="AG370" i="5"/>
  <c r="H370" i="5"/>
  <c r="AJ368" i="5"/>
  <c r="AK369" i="5"/>
  <c r="AL368" i="5" s="1"/>
  <c r="AL367" i="5"/>
  <c r="D371" i="5"/>
  <c r="G371" i="5" s="1"/>
  <c r="AC370" i="5"/>
  <c r="AI370" i="5"/>
  <c r="F370" i="5"/>
  <c r="O370" i="5" s="1"/>
  <c r="E370" i="5"/>
  <c r="L370" i="5" s="1"/>
  <c r="AE370" i="5" l="1"/>
  <c r="P370" i="5"/>
  <c r="AH369" i="5"/>
  <c r="AG371" i="5"/>
  <c r="AH370" i="5" s="1"/>
  <c r="AA371" i="5"/>
  <c r="H371" i="5"/>
  <c r="I371" i="5"/>
  <c r="N371" i="5" s="1"/>
  <c r="J370" i="5"/>
  <c r="K370" i="5"/>
  <c r="M370" i="5" s="1"/>
  <c r="AJ369" i="5"/>
  <c r="AK370" i="5"/>
  <c r="D372" i="5"/>
  <c r="G372" i="5" s="1"/>
  <c r="AC371" i="5"/>
  <c r="AI371" i="5"/>
  <c r="F371" i="5"/>
  <c r="O371" i="5" s="1"/>
  <c r="E371" i="5"/>
  <c r="L371" i="5" s="1"/>
  <c r="P371" i="5" l="1"/>
  <c r="AE371" i="5"/>
  <c r="J371" i="5"/>
  <c r="K371" i="5"/>
  <c r="M371" i="5" s="1"/>
  <c r="AK371" i="5"/>
  <c r="AL370" i="5" s="1"/>
  <c r="H372" i="5"/>
  <c r="AG372" i="5"/>
  <c r="AH371" i="5" s="1"/>
  <c r="AA372" i="5"/>
  <c r="I372" i="5"/>
  <c r="N372" i="5" s="1"/>
  <c r="AL369" i="5"/>
  <c r="AJ370" i="5"/>
  <c r="D373" i="5"/>
  <c r="G373" i="5" s="1"/>
  <c r="E372" i="5"/>
  <c r="L372" i="5" s="1"/>
  <c r="AC372" i="5"/>
  <c r="F372" i="5"/>
  <c r="O372" i="5" s="1"/>
  <c r="AI372" i="5"/>
  <c r="AE372" i="5" l="1"/>
  <c r="P372" i="5"/>
  <c r="H373" i="5"/>
  <c r="AA373" i="5"/>
  <c r="AG373" i="5"/>
  <c r="AH372" i="5" s="1"/>
  <c r="I373" i="5"/>
  <c r="N373" i="5" s="1"/>
  <c r="J372" i="5"/>
  <c r="K372" i="5"/>
  <c r="M372" i="5" s="1"/>
  <c r="AJ371" i="5"/>
  <c r="AK372" i="5"/>
  <c r="D374" i="5"/>
  <c r="G374" i="5" s="1"/>
  <c r="E373" i="5"/>
  <c r="L373" i="5" s="1"/>
  <c r="AI373" i="5"/>
  <c r="AC373" i="5"/>
  <c r="F373" i="5"/>
  <c r="O373" i="5" s="1"/>
  <c r="P373" i="5" l="1"/>
  <c r="AK373" i="5"/>
  <c r="AL372" i="5" s="1"/>
  <c r="I374" i="5"/>
  <c r="N374" i="5" s="1"/>
  <c r="AA374" i="5"/>
  <c r="H374" i="5"/>
  <c r="AG374" i="5"/>
  <c r="AE373" i="5"/>
  <c r="K373" i="5"/>
  <c r="M373" i="5" s="1"/>
  <c r="J373" i="5"/>
  <c r="AJ372" i="5"/>
  <c r="AL371" i="5"/>
  <c r="D375" i="5"/>
  <c r="G375" i="5" s="1"/>
  <c r="AC374" i="5"/>
  <c r="E374" i="5"/>
  <c r="L374" i="5" s="1"/>
  <c r="AI374" i="5"/>
  <c r="F374" i="5"/>
  <c r="O374" i="5" s="1"/>
  <c r="P374" i="5" l="1"/>
  <c r="AE374" i="5"/>
  <c r="AH373" i="5"/>
  <c r="AG375" i="5"/>
  <c r="AH374" i="5" s="1"/>
  <c r="AA375" i="5"/>
  <c r="H375" i="5"/>
  <c r="I375" i="5"/>
  <c r="N375" i="5" s="1"/>
  <c r="J374" i="5"/>
  <c r="K374" i="5"/>
  <c r="M374" i="5" s="1"/>
  <c r="AJ373" i="5"/>
  <c r="AK374" i="5"/>
  <c r="D376" i="5"/>
  <c r="G376" i="5" s="1"/>
  <c r="E375" i="5"/>
  <c r="L375" i="5" s="1"/>
  <c r="AI375" i="5"/>
  <c r="F375" i="5"/>
  <c r="O375" i="5" s="1"/>
  <c r="AC375" i="5"/>
  <c r="AE375" i="5" l="1"/>
  <c r="P375" i="5"/>
  <c r="J375" i="5"/>
  <c r="K375" i="5"/>
  <c r="M375" i="5" s="1"/>
  <c r="AG376" i="5"/>
  <c r="AH375" i="5" s="1"/>
  <c r="AA376" i="5"/>
  <c r="I376" i="5"/>
  <c r="N376" i="5" s="1"/>
  <c r="H376" i="5"/>
  <c r="AJ374" i="5"/>
  <c r="AK375" i="5"/>
  <c r="AL374" i="5" s="1"/>
  <c r="AL373" i="5"/>
  <c r="D377" i="5"/>
  <c r="G377" i="5" s="1"/>
  <c r="E376" i="5"/>
  <c r="L376" i="5" s="1"/>
  <c r="AI376" i="5"/>
  <c r="F376" i="5"/>
  <c r="O376" i="5" s="1"/>
  <c r="AC376" i="5"/>
  <c r="AK376" i="5" l="1"/>
  <c r="AL375" i="5" s="1"/>
  <c r="P376" i="5"/>
  <c r="J376" i="5"/>
  <c r="K376" i="5"/>
  <c r="M376" i="5" s="1"/>
  <c r="AE376" i="5"/>
  <c r="AA377" i="5"/>
  <c r="AG377" i="5"/>
  <c r="I377" i="5"/>
  <c r="N377" i="5" s="1"/>
  <c r="H377" i="5"/>
  <c r="AJ375" i="5"/>
  <c r="D378" i="5"/>
  <c r="G378" i="5" s="1"/>
  <c r="E377" i="5"/>
  <c r="L377" i="5" s="1"/>
  <c r="F377" i="5"/>
  <c r="O377" i="5" s="1"/>
  <c r="AI377" i="5"/>
  <c r="AC377" i="5"/>
  <c r="P377" i="5" l="1"/>
  <c r="AE377" i="5"/>
  <c r="AA378" i="5"/>
  <c r="H378" i="5"/>
  <c r="I378" i="5"/>
  <c r="N378" i="5" s="1"/>
  <c r="AG378" i="5"/>
  <c r="J377" i="5"/>
  <c r="K377" i="5"/>
  <c r="M377" i="5" s="1"/>
  <c r="AH376" i="5"/>
  <c r="AK377" i="5"/>
  <c r="AL376" i="5" s="1"/>
  <c r="D379" i="5"/>
  <c r="G379" i="5" s="1"/>
  <c r="AC378" i="5"/>
  <c r="AI378" i="5"/>
  <c r="F378" i="5"/>
  <c r="O378" i="5" s="1"/>
  <c r="E378" i="5"/>
  <c r="L378" i="5" s="1"/>
  <c r="AJ376" i="5"/>
  <c r="P378" i="5" l="1"/>
  <c r="AE378" i="5"/>
  <c r="K378" i="5"/>
  <c r="M378" i="5" s="1"/>
  <c r="J378" i="5"/>
  <c r="AA379" i="5"/>
  <c r="H379" i="5"/>
  <c r="I379" i="5"/>
  <c r="N379" i="5" s="1"/>
  <c r="AG379" i="5"/>
  <c r="AH378" i="5" s="1"/>
  <c r="AH377" i="5"/>
  <c r="AJ377" i="5"/>
  <c r="AK378" i="5"/>
  <c r="D380" i="5"/>
  <c r="G380" i="5" s="1"/>
  <c r="AI379" i="5"/>
  <c r="E379" i="5"/>
  <c r="L379" i="5" s="1"/>
  <c r="AC379" i="5"/>
  <c r="F379" i="5"/>
  <c r="O379" i="5" s="1"/>
  <c r="AK379" i="5" l="1"/>
  <c r="AL378" i="5" s="1"/>
  <c r="P379" i="5"/>
  <c r="AE379" i="5"/>
  <c r="K379" i="5"/>
  <c r="M379" i="5" s="1"/>
  <c r="J379" i="5"/>
  <c r="I380" i="5"/>
  <c r="N380" i="5" s="1"/>
  <c r="H380" i="5"/>
  <c r="AA380" i="5"/>
  <c r="AG380" i="5"/>
  <c r="AJ378" i="5"/>
  <c r="AL377" i="5"/>
  <c r="D381" i="5"/>
  <c r="G381" i="5" s="1"/>
  <c r="AI380" i="5"/>
  <c r="AC380" i="5"/>
  <c r="F380" i="5"/>
  <c r="O380" i="5" s="1"/>
  <c r="E380" i="5"/>
  <c r="L380" i="5" s="1"/>
  <c r="P380" i="5" l="1"/>
  <c r="AK380" i="5"/>
  <c r="AL379" i="5" s="1"/>
  <c r="AE380" i="5"/>
  <c r="J380" i="5"/>
  <c r="K380" i="5"/>
  <c r="M380" i="5" s="1"/>
  <c r="AG381" i="5"/>
  <c r="AH380" i="5" s="1"/>
  <c r="I381" i="5"/>
  <c r="N381" i="5" s="1"/>
  <c r="AA381" i="5"/>
  <c r="H381" i="5"/>
  <c r="AH379" i="5"/>
  <c r="AJ379" i="5"/>
  <c r="D382" i="5"/>
  <c r="G382" i="5" s="1"/>
  <c r="E381" i="5"/>
  <c r="L381" i="5" s="1"/>
  <c r="F381" i="5"/>
  <c r="O381" i="5" s="1"/>
  <c r="AC381" i="5"/>
  <c r="AI381" i="5"/>
  <c r="AE381" i="5" l="1"/>
  <c r="K381" i="5"/>
  <c r="M381" i="5" s="1"/>
  <c r="J381" i="5"/>
  <c r="P381" i="5"/>
  <c r="I382" i="5"/>
  <c r="N382" i="5" s="1"/>
  <c r="H382" i="5"/>
  <c r="AG382" i="5"/>
  <c r="AH381" i="5" s="1"/>
  <c r="AA382" i="5"/>
  <c r="AJ380" i="5"/>
  <c r="AK381" i="5"/>
  <c r="D383" i="5"/>
  <c r="G383" i="5" s="1"/>
  <c r="AC382" i="5"/>
  <c r="F382" i="5"/>
  <c r="O382" i="5" s="1"/>
  <c r="AI382" i="5"/>
  <c r="E382" i="5"/>
  <c r="L382" i="5" s="1"/>
  <c r="P382" i="5" l="1"/>
  <c r="AE382" i="5"/>
  <c r="K382" i="5"/>
  <c r="M382" i="5" s="1"/>
  <c r="J382" i="5"/>
  <c r="AG383" i="5"/>
  <c r="AA383" i="5"/>
  <c r="I383" i="5"/>
  <c r="N383" i="5" s="1"/>
  <c r="H383" i="5"/>
  <c r="AJ381" i="5"/>
  <c r="AK382" i="5"/>
  <c r="AL381" i="5" s="1"/>
  <c r="AL380" i="5"/>
  <c r="D384" i="5"/>
  <c r="G384" i="5" s="1"/>
  <c r="E383" i="5"/>
  <c r="L383" i="5" s="1"/>
  <c r="F383" i="5"/>
  <c r="O383" i="5" s="1"/>
  <c r="AC383" i="5"/>
  <c r="AI383" i="5"/>
  <c r="P383" i="5" l="1"/>
  <c r="AE383" i="5"/>
  <c r="AG384" i="5"/>
  <c r="H384" i="5"/>
  <c r="AA384" i="5"/>
  <c r="I384" i="5"/>
  <c r="N384" i="5" s="1"/>
  <c r="AH382" i="5"/>
  <c r="J383" i="5"/>
  <c r="K383" i="5"/>
  <c r="M383" i="5" s="1"/>
  <c r="AJ382" i="5"/>
  <c r="AK383" i="5"/>
  <c r="D385" i="5"/>
  <c r="G385" i="5" s="1"/>
  <c r="F384" i="5"/>
  <c r="O384" i="5" s="1"/>
  <c r="AI384" i="5"/>
  <c r="AC384" i="5"/>
  <c r="E384" i="5"/>
  <c r="L384" i="5" s="1"/>
  <c r="AE384" i="5" l="1"/>
  <c r="AK384" i="5"/>
  <c r="AL383" i="5" s="1"/>
  <c r="AA385" i="5"/>
  <c r="I385" i="5"/>
  <c r="N385" i="5" s="1"/>
  <c r="H385" i="5"/>
  <c r="AG385" i="5"/>
  <c r="J384" i="5"/>
  <c r="K384" i="5"/>
  <c r="M384" i="5" s="1"/>
  <c r="P384" i="5"/>
  <c r="AH383" i="5"/>
  <c r="AL382" i="5"/>
  <c r="AJ383" i="5"/>
  <c r="D386" i="5"/>
  <c r="G386" i="5" s="1"/>
  <c r="F385" i="5"/>
  <c r="O385" i="5" s="1"/>
  <c r="AC385" i="5"/>
  <c r="E385" i="5"/>
  <c r="L385" i="5" s="1"/>
  <c r="AI385" i="5"/>
  <c r="AK385" i="5" l="1"/>
  <c r="AL384" i="5" s="1"/>
  <c r="P385" i="5"/>
  <c r="AE385" i="5"/>
  <c r="AG386" i="5"/>
  <c r="AA386" i="5"/>
  <c r="I386" i="5"/>
  <c r="N386" i="5" s="1"/>
  <c r="H386" i="5"/>
  <c r="K385" i="5"/>
  <c r="M385" i="5" s="1"/>
  <c r="J385" i="5"/>
  <c r="AH384" i="5"/>
  <c r="D387" i="5"/>
  <c r="G387" i="5" s="1"/>
  <c r="AI386" i="5"/>
  <c r="E386" i="5"/>
  <c r="L386" i="5" s="1"/>
  <c r="F386" i="5"/>
  <c r="O386" i="5" s="1"/>
  <c r="AC386" i="5"/>
  <c r="AJ384" i="5"/>
  <c r="P386" i="5" l="1"/>
  <c r="AK386" i="5"/>
  <c r="AL385" i="5" s="1"/>
  <c r="AE386" i="5"/>
  <c r="I387" i="5"/>
  <c r="N387" i="5" s="1"/>
  <c r="AG387" i="5"/>
  <c r="H387" i="5"/>
  <c r="AA387" i="5"/>
  <c r="K386" i="5"/>
  <c r="M386" i="5" s="1"/>
  <c r="J386" i="5"/>
  <c r="AH385" i="5"/>
  <c r="AJ385" i="5"/>
  <c r="D388" i="5"/>
  <c r="G388" i="5" s="1"/>
  <c r="F387" i="5"/>
  <c r="O387" i="5" s="1"/>
  <c r="E387" i="5"/>
  <c r="L387" i="5" s="1"/>
  <c r="AI387" i="5"/>
  <c r="AC387" i="5"/>
  <c r="P387" i="5" l="1"/>
  <c r="AE387" i="5"/>
  <c r="K387" i="5"/>
  <c r="M387" i="5" s="1"/>
  <c r="J387" i="5"/>
  <c r="AA388" i="5"/>
  <c r="AG388" i="5"/>
  <c r="I388" i="5"/>
  <c r="N388" i="5" s="1"/>
  <c r="H388" i="5"/>
  <c r="AH386" i="5"/>
  <c r="AJ386" i="5"/>
  <c r="AK387" i="5"/>
  <c r="D389" i="5"/>
  <c r="G389" i="5" s="1"/>
  <c r="E388" i="5"/>
  <c r="L388" i="5" s="1"/>
  <c r="F388" i="5"/>
  <c r="O388" i="5" s="1"/>
  <c r="AI388" i="5"/>
  <c r="AC388" i="5"/>
  <c r="AK388" i="5" l="1"/>
  <c r="AL387" i="5" s="1"/>
  <c r="P388" i="5"/>
  <c r="AE388" i="5"/>
  <c r="AA389" i="5"/>
  <c r="I389" i="5"/>
  <c r="N389" i="5" s="1"/>
  <c r="AG389" i="5"/>
  <c r="H389" i="5"/>
  <c r="K388" i="5"/>
  <c r="M388" i="5" s="1"/>
  <c r="J388" i="5"/>
  <c r="AH387" i="5"/>
  <c r="AL386" i="5"/>
  <c r="D390" i="5"/>
  <c r="G390" i="5" s="1"/>
  <c r="E389" i="5"/>
  <c r="L389" i="5" s="1"/>
  <c r="AC389" i="5"/>
  <c r="AI389" i="5"/>
  <c r="F389" i="5"/>
  <c r="O389" i="5" s="1"/>
  <c r="AJ387" i="5"/>
  <c r="P389" i="5" l="1"/>
  <c r="AK389" i="5"/>
  <c r="AL388" i="5" s="1"/>
  <c r="AE389" i="5"/>
  <c r="AA390" i="5"/>
  <c r="AG390" i="5"/>
  <c r="H390" i="5"/>
  <c r="I390" i="5"/>
  <c r="N390" i="5" s="1"/>
  <c r="K389" i="5"/>
  <c r="M389" i="5" s="1"/>
  <c r="J389" i="5"/>
  <c r="AH388" i="5"/>
  <c r="D391" i="5"/>
  <c r="G391" i="5" s="1"/>
  <c r="F390" i="5"/>
  <c r="O390" i="5" s="1"/>
  <c r="E390" i="5"/>
  <c r="L390" i="5" s="1"/>
  <c r="AC390" i="5"/>
  <c r="AI390" i="5"/>
  <c r="AJ388" i="5"/>
  <c r="AE390" i="5" l="1"/>
  <c r="P390" i="5"/>
  <c r="AH389" i="5"/>
  <c r="AK390" i="5"/>
  <c r="AL389" i="5" s="1"/>
  <c r="H391" i="5"/>
  <c r="AA391" i="5"/>
  <c r="AG391" i="5"/>
  <c r="I391" i="5"/>
  <c r="N391" i="5" s="1"/>
  <c r="J390" i="5"/>
  <c r="K390" i="5"/>
  <c r="M390" i="5" s="1"/>
  <c r="AJ389" i="5"/>
  <c r="D392" i="5"/>
  <c r="G392" i="5" s="1"/>
  <c r="AI391" i="5"/>
  <c r="F391" i="5"/>
  <c r="O391" i="5" s="1"/>
  <c r="AC391" i="5"/>
  <c r="E391" i="5"/>
  <c r="L391" i="5" s="1"/>
  <c r="AK391" i="5" l="1"/>
  <c r="AL390" i="5" s="1"/>
  <c r="AE391" i="5"/>
  <c r="P391" i="5"/>
  <c r="I392" i="5"/>
  <c r="N392" i="5" s="1"/>
  <c r="H392" i="5"/>
  <c r="AG392" i="5"/>
  <c r="AH391" i="5" s="1"/>
  <c r="AA392" i="5"/>
  <c r="AH390" i="5"/>
  <c r="J391" i="5"/>
  <c r="K391" i="5"/>
  <c r="M391" i="5" s="1"/>
  <c r="D393" i="5"/>
  <c r="G393" i="5" s="1"/>
  <c r="AI392" i="5"/>
  <c r="AC392" i="5"/>
  <c r="E392" i="5"/>
  <c r="L392" i="5" s="1"/>
  <c r="F392" i="5"/>
  <c r="O392" i="5" s="1"/>
  <c r="AJ390" i="5"/>
  <c r="P392" i="5" l="1"/>
  <c r="AK392" i="5"/>
  <c r="AL391" i="5" s="1"/>
  <c r="K392" i="5"/>
  <c r="M392" i="5" s="1"/>
  <c r="J392" i="5"/>
  <c r="AE392" i="5"/>
  <c r="AA393" i="5"/>
  <c r="AG393" i="5"/>
  <c r="I393" i="5"/>
  <c r="N393" i="5" s="1"/>
  <c r="H393" i="5"/>
  <c r="AJ391" i="5"/>
  <c r="D394" i="5"/>
  <c r="G394" i="5" s="1"/>
  <c r="F393" i="5"/>
  <c r="O393" i="5" s="1"/>
  <c r="AI393" i="5"/>
  <c r="AC393" i="5"/>
  <c r="E393" i="5"/>
  <c r="L393" i="5" s="1"/>
  <c r="P393" i="5" l="1"/>
  <c r="AE393" i="5"/>
  <c r="I394" i="5"/>
  <c r="N394" i="5" s="1"/>
  <c r="H394" i="5"/>
  <c r="AG394" i="5"/>
  <c r="AH393" i="5" s="1"/>
  <c r="AA394" i="5"/>
  <c r="K393" i="5"/>
  <c r="M393" i="5" s="1"/>
  <c r="J393" i="5"/>
  <c r="AH392" i="5"/>
  <c r="AJ392" i="5"/>
  <c r="AK393" i="5"/>
  <c r="D395" i="5"/>
  <c r="G395" i="5" s="1"/>
  <c r="AI394" i="5"/>
  <c r="F394" i="5"/>
  <c r="O394" i="5" s="1"/>
  <c r="E394" i="5"/>
  <c r="L394" i="5" s="1"/>
  <c r="AC394" i="5"/>
  <c r="AE394" i="5" l="1"/>
  <c r="AK394" i="5"/>
  <c r="AL393" i="5" s="1"/>
  <c r="P394" i="5"/>
  <c r="AG395" i="5"/>
  <c r="AA395" i="5"/>
  <c r="H395" i="5"/>
  <c r="I395" i="5"/>
  <c r="N395" i="5" s="1"/>
  <c r="K394" i="5"/>
  <c r="M394" i="5" s="1"/>
  <c r="J394" i="5"/>
  <c r="AL392" i="5"/>
  <c r="AJ393" i="5"/>
  <c r="D396" i="5"/>
  <c r="G396" i="5" s="1"/>
  <c r="F395" i="5"/>
  <c r="O395" i="5" s="1"/>
  <c r="AI395" i="5"/>
  <c r="E395" i="5"/>
  <c r="L395" i="5" s="1"/>
  <c r="AC395" i="5"/>
  <c r="P395" i="5" l="1"/>
  <c r="AE395" i="5"/>
  <c r="K395" i="5"/>
  <c r="M395" i="5" s="1"/>
  <c r="J395" i="5"/>
  <c r="AH394" i="5"/>
  <c r="AK395" i="5"/>
  <c r="AL394" i="5" s="1"/>
  <c r="AG396" i="5"/>
  <c r="I396" i="5"/>
  <c r="N396" i="5" s="1"/>
  <c r="H396" i="5"/>
  <c r="AA396" i="5"/>
  <c r="D397" i="5"/>
  <c r="G397" i="5" s="1"/>
  <c r="AC396" i="5"/>
  <c r="AI396" i="5"/>
  <c r="E396" i="5"/>
  <c r="L396" i="5" s="1"/>
  <c r="F396" i="5"/>
  <c r="O396" i="5" s="1"/>
  <c r="AJ394" i="5"/>
  <c r="AE396" i="5" l="1"/>
  <c r="P396" i="5"/>
  <c r="J396" i="5"/>
  <c r="K396" i="5"/>
  <c r="M396" i="5" s="1"/>
  <c r="AH395" i="5"/>
  <c r="AK396" i="5"/>
  <c r="AL395" i="5" s="1"/>
  <c r="I397" i="5"/>
  <c r="N397" i="5" s="1"/>
  <c r="AA397" i="5"/>
  <c r="AG397" i="5"/>
  <c r="H397" i="5"/>
  <c r="AJ395" i="5"/>
  <c r="D398" i="5"/>
  <c r="G398" i="5" s="1"/>
  <c r="AI397" i="5"/>
  <c r="F397" i="5"/>
  <c r="O397" i="5" s="1"/>
  <c r="AC397" i="5"/>
  <c r="E397" i="5"/>
  <c r="L397" i="5" s="1"/>
  <c r="AE397" i="5" l="1"/>
  <c r="P397" i="5"/>
  <c r="AG398" i="5"/>
  <c r="AH397" i="5" s="1"/>
  <c r="AA398" i="5"/>
  <c r="I398" i="5"/>
  <c r="N398" i="5" s="1"/>
  <c r="H398" i="5"/>
  <c r="AH396" i="5"/>
  <c r="J397" i="5"/>
  <c r="K397" i="5"/>
  <c r="M397" i="5" s="1"/>
  <c r="AJ396" i="5"/>
  <c r="AK397" i="5"/>
  <c r="D399" i="5"/>
  <c r="G399" i="5" s="1"/>
  <c r="AI398" i="5"/>
  <c r="AC398" i="5"/>
  <c r="F398" i="5"/>
  <c r="O398" i="5" s="1"/>
  <c r="E398" i="5"/>
  <c r="L398" i="5" s="1"/>
  <c r="AE398" i="5" l="1"/>
  <c r="P398" i="5"/>
  <c r="H399" i="5"/>
  <c r="I399" i="5"/>
  <c r="N399" i="5" s="1"/>
  <c r="AG399" i="5"/>
  <c r="AA399" i="5"/>
  <c r="K398" i="5"/>
  <c r="M398" i="5" s="1"/>
  <c r="J398" i="5"/>
  <c r="AL396" i="5"/>
  <c r="AJ397" i="5"/>
  <c r="AK398" i="5"/>
  <c r="D400" i="5"/>
  <c r="G400" i="5" s="1"/>
  <c r="F399" i="5"/>
  <c r="O399" i="5" s="1"/>
  <c r="AC399" i="5"/>
  <c r="AI399" i="5"/>
  <c r="E399" i="5"/>
  <c r="L399" i="5" s="1"/>
  <c r="AK399" i="5" l="1"/>
  <c r="AL398" i="5" s="1"/>
  <c r="AE399" i="5"/>
  <c r="AG400" i="5"/>
  <c r="AA400" i="5"/>
  <c r="I400" i="5"/>
  <c r="N400" i="5" s="1"/>
  <c r="H400" i="5"/>
  <c r="P399" i="5"/>
  <c r="AH398" i="5"/>
  <c r="J399" i="5"/>
  <c r="K399" i="5"/>
  <c r="M399" i="5" s="1"/>
  <c r="AL397" i="5"/>
  <c r="AJ398" i="5"/>
  <c r="D401" i="5"/>
  <c r="G401" i="5" s="1"/>
  <c r="F400" i="5"/>
  <c r="O400" i="5" s="1"/>
  <c r="AC400" i="5"/>
  <c r="AI400" i="5"/>
  <c r="E400" i="5"/>
  <c r="L400" i="5" s="1"/>
  <c r="P400" i="5" l="1"/>
  <c r="AE400" i="5"/>
  <c r="AA401" i="5"/>
  <c r="AG401" i="5"/>
  <c r="AH400" i="5" s="1"/>
  <c r="I401" i="5"/>
  <c r="N401" i="5" s="1"/>
  <c r="H401" i="5"/>
  <c r="AH399" i="5"/>
  <c r="J400" i="5"/>
  <c r="K400" i="5"/>
  <c r="M400" i="5" s="1"/>
  <c r="AJ399" i="5"/>
  <c r="AK400" i="5"/>
  <c r="D402" i="5"/>
  <c r="G402" i="5" s="1"/>
  <c r="F401" i="5"/>
  <c r="O401" i="5" s="1"/>
  <c r="AI401" i="5"/>
  <c r="AC401" i="5"/>
  <c r="E401" i="5"/>
  <c r="L401" i="5" s="1"/>
  <c r="P401" i="5" l="1"/>
  <c r="AE401" i="5"/>
  <c r="K401" i="5"/>
  <c r="M401" i="5" s="1"/>
  <c r="J401" i="5"/>
  <c r="H402" i="5"/>
  <c r="AA402" i="5"/>
  <c r="AG402" i="5"/>
  <c r="AH401" i="5" s="1"/>
  <c r="I402" i="5"/>
  <c r="N402" i="5" s="1"/>
  <c r="AJ400" i="5"/>
  <c r="AK401" i="5"/>
  <c r="AL400" i="5" s="1"/>
  <c r="AL399" i="5"/>
  <c r="D403" i="5"/>
  <c r="G403" i="5" s="1"/>
  <c r="E402" i="5"/>
  <c r="L402" i="5" s="1"/>
  <c r="F402" i="5"/>
  <c r="O402" i="5" s="1"/>
  <c r="AI402" i="5"/>
  <c r="AC402" i="5"/>
  <c r="AK402" i="5" l="1"/>
  <c r="AL401" i="5" s="1"/>
  <c r="AE402" i="5"/>
  <c r="P402" i="5"/>
  <c r="I403" i="5"/>
  <c r="N403" i="5" s="1"/>
  <c r="AG403" i="5"/>
  <c r="AH402" i="5" s="1"/>
  <c r="H403" i="5"/>
  <c r="AA403" i="5"/>
  <c r="J402" i="5"/>
  <c r="K402" i="5"/>
  <c r="M402" i="5" s="1"/>
  <c r="D404" i="5"/>
  <c r="G404" i="5" s="1"/>
  <c r="E403" i="5"/>
  <c r="L403" i="5" s="1"/>
  <c r="AI403" i="5"/>
  <c r="AC403" i="5"/>
  <c r="F403" i="5"/>
  <c r="O403" i="5" s="1"/>
  <c r="AJ401" i="5"/>
  <c r="AE403" i="5" l="1"/>
  <c r="AK403" i="5"/>
  <c r="AL402" i="5" s="1"/>
  <c r="K403" i="5"/>
  <c r="M403" i="5" s="1"/>
  <c r="J403" i="5"/>
  <c r="P403" i="5"/>
  <c r="AG404" i="5"/>
  <c r="AA404" i="5"/>
  <c r="I404" i="5"/>
  <c r="N404" i="5" s="1"/>
  <c r="H404" i="5"/>
  <c r="D405" i="5"/>
  <c r="G405" i="5" s="1"/>
  <c r="AC404" i="5"/>
  <c r="E404" i="5"/>
  <c r="L404" i="5" s="1"/>
  <c r="F404" i="5"/>
  <c r="O404" i="5" s="1"/>
  <c r="AI404" i="5"/>
  <c r="AJ402" i="5"/>
  <c r="AK404" i="5" l="1"/>
  <c r="AL403" i="5" s="1"/>
  <c r="P404" i="5"/>
  <c r="I405" i="5"/>
  <c r="N405" i="5" s="1"/>
  <c r="H405" i="5"/>
  <c r="AA405" i="5"/>
  <c r="AG405" i="5"/>
  <c r="J404" i="5"/>
  <c r="K404" i="5"/>
  <c r="M404" i="5" s="1"/>
  <c r="AE404" i="5"/>
  <c r="AH403" i="5"/>
  <c r="AJ403" i="5"/>
  <c r="D406" i="5"/>
  <c r="G406" i="5" s="1"/>
  <c r="AI405" i="5"/>
  <c r="E405" i="5"/>
  <c r="L405" i="5" s="1"/>
  <c r="F405" i="5"/>
  <c r="O405" i="5" s="1"/>
  <c r="AC405" i="5"/>
  <c r="AK405" i="5" l="1"/>
  <c r="AL404" i="5" s="1"/>
  <c r="P405" i="5"/>
  <c r="AE405" i="5"/>
  <c r="I406" i="5"/>
  <c r="N406" i="5" s="1"/>
  <c r="AA406" i="5"/>
  <c r="H406" i="5"/>
  <c r="AG406" i="5"/>
  <c r="AH404" i="5"/>
  <c r="K405" i="5"/>
  <c r="M405" i="5" s="1"/>
  <c r="J405" i="5"/>
  <c r="AJ404" i="5"/>
  <c r="D407" i="5"/>
  <c r="G407" i="5" s="1"/>
  <c r="E406" i="5"/>
  <c r="L406" i="5" s="1"/>
  <c r="F406" i="5"/>
  <c r="O406" i="5" s="1"/>
  <c r="AI406" i="5"/>
  <c r="AC406" i="5"/>
  <c r="P406" i="5" l="1"/>
  <c r="AK406" i="5"/>
  <c r="AL405" i="5" s="1"/>
  <c r="AH405" i="5"/>
  <c r="AE406" i="5"/>
  <c r="I407" i="5"/>
  <c r="N407" i="5" s="1"/>
  <c r="AA407" i="5"/>
  <c r="H407" i="5"/>
  <c r="AG407" i="5"/>
  <c r="J406" i="5"/>
  <c r="K406" i="5"/>
  <c r="M406" i="5" s="1"/>
  <c r="AJ405" i="5"/>
  <c r="D408" i="5"/>
  <c r="G408" i="5" s="1"/>
  <c r="AC407" i="5"/>
  <c r="E407" i="5"/>
  <c r="L407" i="5" s="1"/>
  <c r="F407" i="5"/>
  <c r="O407" i="5" s="1"/>
  <c r="AI407" i="5"/>
  <c r="P407" i="5" l="1"/>
  <c r="AA408" i="5"/>
  <c r="AG408" i="5"/>
  <c r="AH407" i="5" s="1"/>
  <c r="H408" i="5"/>
  <c r="I408" i="5"/>
  <c r="N408" i="5" s="1"/>
  <c r="AE407" i="5"/>
  <c r="AH406" i="5"/>
  <c r="K407" i="5"/>
  <c r="M407" i="5" s="1"/>
  <c r="J407" i="5"/>
  <c r="AJ406" i="5"/>
  <c r="AK407" i="5"/>
  <c r="D409" i="5"/>
  <c r="G409" i="5" s="1"/>
  <c r="AC408" i="5"/>
  <c r="AI408" i="5"/>
  <c r="F408" i="5"/>
  <c r="O408" i="5" s="1"/>
  <c r="E408" i="5"/>
  <c r="L408" i="5" s="1"/>
  <c r="P408" i="5" l="1"/>
  <c r="AG409" i="5"/>
  <c r="I409" i="5"/>
  <c r="N409" i="5" s="1"/>
  <c r="AA409" i="5"/>
  <c r="H409" i="5"/>
  <c r="J408" i="5"/>
  <c r="K408" i="5"/>
  <c r="M408" i="5" s="1"/>
  <c r="AE408" i="5"/>
  <c r="AJ407" i="5"/>
  <c r="AK408" i="5"/>
  <c r="AL407" i="5" s="1"/>
  <c r="AL406" i="5"/>
  <c r="D410" i="5"/>
  <c r="G410" i="5" s="1"/>
  <c r="E409" i="5"/>
  <c r="L409" i="5" s="1"/>
  <c r="AC409" i="5"/>
  <c r="AI409" i="5"/>
  <c r="F409" i="5"/>
  <c r="O409" i="5" s="1"/>
  <c r="P409" i="5" l="1"/>
  <c r="AH408" i="5"/>
  <c r="AE409" i="5"/>
  <c r="AA410" i="5"/>
  <c r="H410" i="5"/>
  <c r="AG410" i="5"/>
  <c r="AH410" i="5" s="1"/>
  <c r="I410" i="5"/>
  <c r="N410" i="5" s="1"/>
  <c r="J409" i="5"/>
  <c r="K409" i="5"/>
  <c r="M409" i="5" s="1"/>
  <c r="AJ408" i="5"/>
  <c r="AK409" i="5"/>
  <c r="AC410" i="5"/>
  <c r="F410" i="5"/>
  <c r="O410" i="5" s="1"/>
  <c r="E410" i="5"/>
  <c r="L410" i="5" s="1"/>
  <c r="AI410" i="5"/>
  <c r="AH409" i="5" l="1"/>
  <c r="AE410" i="5"/>
  <c r="K410" i="5"/>
  <c r="M410" i="5" s="1"/>
  <c r="M8" i="5" s="1"/>
  <c r="J410" i="5"/>
  <c r="P410" i="5"/>
  <c r="P6" i="5" s="1"/>
  <c r="AJ410" i="5"/>
  <c r="AK410" i="5"/>
  <c r="AL409" i="5" s="1"/>
  <c r="AL408" i="5"/>
  <c r="AJ409" i="5"/>
  <c r="P8" i="5" l="1"/>
  <c r="AL410" i="5"/>
  <c r="Y1" i="5" s="1" a="1"/>
  <c r="Y4" i="5" s="1"/>
  <c r="D8" i="10" s="1"/>
  <c r="Y3" i="5" l="1"/>
  <c r="D7" i="10" s="1"/>
  <c r="Y1" i="5"/>
  <c r="D5" i="10" s="1"/>
  <c r="Y2" i="5"/>
  <c r="D6" i="10" s="1"/>
  <c r="G5" i="10" l="1"/>
  <c r="H12" i="10" s="1"/>
  <c r="I11" i="10" s="1"/>
  <c r="C115" i="10" s="1"/>
  <c r="E115" i="10" s="1"/>
  <c r="G7" i="10"/>
  <c r="G8" i="10"/>
  <c r="G6" i="10"/>
  <c r="K22" i="10" l="1"/>
  <c r="M22" i="10" s="1"/>
  <c r="D130" i="10" s="1"/>
  <c r="F130" i="10" s="1"/>
  <c r="H20" i="10"/>
  <c r="I20" i="10" s="1"/>
  <c r="C129" i="10" s="1"/>
  <c r="E129" i="10" s="1"/>
  <c r="K9" i="10"/>
  <c r="L9" i="10" s="1"/>
  <c r="D109" i="10" s="1"/>
  <c r="F109" i="10" s="1"/>
  <c r="H5" i="10"/>
  <c r="J5" i="10" s="1"/>
  <c r="C106" i="10" s="1"/>
  <c r="E106" i="10" s="1"/>
  <c r="H21" i="10"/>
  <c r="H6" i="10"/>
  <c r="J6" i="10" s="1"/>
  <c r="C108" i="10" s="1"/>
  <c r="E108" i="10" s="1"/>
  <c r="K6" i="10"/>
  <c r="L6" i="10" s="1"/>
  <c r="D105" i="10" s="1"/>
  <c r="F105" i="10" s="1"/>
  <c r="K11" i="10"/>
  <c r="M11" i="10" s="1"/>
  <c r="D112" i="10" s="1"/>
  <c r="F112" i="10" s="1"/>
  <c r="K14" i="10"/>
  <c r="L14" i="10" s="1"/>
  <c r="D115" i="10" s="1"/>
  <c r="F115" i="10" s="1"/>
  <c r="K17" i="10"/>
  <c r="L17" i="10" s="1"/>
  <c r="D121" i="10" s="1"/>
  <c r="F121" i="10" s="1"/>
  <c r="K16" i="10"/>
  <c r="K12" i="10"/>
  <c r="M12" i="10" s="1"/>
  <c r="D114" i="10" s="1"/>
  <c r="F114" i="10" s="1"/>
  <c r="H22" i="10"/>
  <c r="J22" i="10" s="1"/>
  <c r="C134" i="10" s="1"/>
  <c r="E134" i="10" s="1"/>
  <c r="K25" i="10"/>
  <c r="M25" i="10" s="1"/>
  <c r="D134" i="10" s="1"/>
  <c r="F134" i="10" s="1"/>
  <c r="H8" i="10"/>
  <c r="J8" i="10" s="1"/>
  <c r="C112" i="10" s="1"/>
  <c r="E112" i="10" s="1"/>
  <c r="H15" i="10"/>
  <c r="J15" i="10" s="1"/>
  <c r="C122" i="10" s="1"/>
  <c r="E122" i="10" s="1"/>
  <c r="H13" i="10"/>
  <c r="H16" i="10"/>
  <c r="I16" i="10" s="1"/>
  <c r="C123" i="10" s="1"/>
  <c r="E123" i="10" s="1"/>
  <c r="H26" i="10"/>
  <c r="J26" i="10" s="1"/>
  <c r="C140" i="10" s="1"/>
  <c r="E140" i="10" s="1"/>
  <c r="H11" i="10"/>
  <c r="J12" i="10" s="1"/>
  <c r="C118" i="10" s="1"/>
  <c r="E118" i="10" s="1"/>
  <c r="H7" i="10"/>
  <c r="K5" i="10"/>
  <c r="M5" i="10" s="1"/>
  <c r="D104" i="10" s="1"/>
  <c r="F104" i="10" s="1"/>
  <c r="K8" i="10"/>
  <c r="L8" i="10" s="1"/>
  <c r="D107" i="10" s="1"/>
  <c r="F107" i="10" s="1"/>
  <c r="K15" i="10"/>
  <c r="L15" i="10" s="1"/>
  <c r="D117" i="10" s="1"/>
  <c r="F117" i="10" s="1"/>
  <c r="H23" i="10"/>
  <c r="J23" i="10" s="1"/>
  <c r="C136" i="10" s="1"/>
  <c r="E136" i="10" s="1"/>
  <c r="K24" i="10"/>
  <c r="L24" i="10" s="1"/>
  <c r="D131" i="10" s="1"/>
  <c r="F131" i="10" s="1"/>
  <c r="K21" i="10"/>
  <c r="L21" i="10" s="1"/>
  <c r="D127" i="10" s="1"/>
  <c r="F127" i="10" s="1"/>
  <c r="K18" i="10"/>
  <c r="M18" i="10" s="1"/>
  <c r="D124" i="10" s="1"/>
  <c r="F124" i="10" s="1"/>
  <c r="H18" i="10"/>
  <c r="J18" i="10" s="1"/>
  <c r="C126" i="10" s="1"/>
  <c r="E126" i="10" s="1"/>
  <c r="H9" i="10"/>
  <c r="J9" i="10" s="1"/>
  <c r="C114" i="10" s="1"/>
  <c r="E114" i="10" s="1"/>
  <c r="K19" i="10"/>
  <c r="M19" i="10" s="1"/>
  <c r="D126" i="10" s="1"/>
  <c r="F126" i="10" s="1"/>
  <c r="H19" i="10"/>
  <c r="I19" i="10" s="1"/>
  <c r="C127" i="10" s="1"/>
  <c r="E127" i="10" s="1"/>
  <c r="H25" i="10"/>
  <c r="I25" i="10" s="1"/>
  <c r="C137" i="10" s="1"/>
  <c r="E137" i="10" s="1"/>
  <c r="H4" i="10"/>
  <c r="I4" i="10" s="1"/>
  <c r="C103" i="10" s="1"/>
  <c r="E103" i="10" s="1"/>
  <c r="B15" i="7"/>
  <c r="D8" i="12" s="1"/>
  <c r="J11" i="10"/>
  <c r="C116" i="10" s="1"/>
  <c r="E116" i="10" s="1"/>
  <c r="H31" i="10"/>
  <c r="H35" i="10"/>
  <c r="K33" i="10"/>
  <c r="M33" i="10" s="1"/>
  <c r="H33" i="10"/>
  <c r="J33" i="10" s="1"/>
  <c r="H32" i="10"/>
  <c r="I32" i="10" s="1"/>
  <c r="C147" i="10" s="1"/>
  <c r="E147" i="10" s="1"/>
  <c r="K30" i="10"/>
  <c r="K31" i="10"/>
  <c r="L31" i="10" s="1"/>
  <c r="D137" i="10" s="1"/>
  <c r="F137" i="10" s="1"/>
  <c r="B14" i="7"/>
  <c r="D7" i="12" s="1"/>
  <c r="H29" i="10"/>
  <c r="K34" i="10"/>
  <c r="H30" i="10"/>
  <c r="I7" i="10" l="1"/>
  <c r="C109" i="10" s="1"/>
  <c r="E109" i="10" s="1"/>
  <c r="Q5" i="10"/>
  <c r="CG48" i="10" s="1"/>
  <c r="M16" i="10"/>
  <c r="D120" i="10" s="1"/>
  <c r="F120" i="10" s="1"/>
  <c r="S6" i="10"/>
  <c r="L22" i="10"/>
  <c r="D129" i="10" s="1"/>
  <c r="F129" i="10" s="1"/>
  <c r="I18" i="10"/>
  <c r="C125" i="10" s="1"/>
  <c r="E125" i="10" s="1"/>
  <c r="L5" i="10"/>
  <c r="D103" i="10" s="1"/>
  <c r="F103" i="10" s="1"/>
  <c r="M24" i="10"/>
  <c r="D132" i="10" s="1"/>
  <c r="F132" i="10" s="1"/>
  <c r="M17" i="10"/>
  <c r="D122" i="10" s="1"/>
  <c r="F122" i="10" s="1"/>
  <c r="L25" i="10"/>
  <c r="D133" i="10" s="1"/>
  <c r="F133" i="10" s="1"/>
  <c r="I12" i="10"/>
  <c r="C117" i="10" s="1"/>
  <c r="E117" i="10" s="1"/>
  <c r="I5" i="10"/>
  <c r="C105" i="10" s="1"/>
  <c r="E105" i="10" s="1"/>
  <c r="I15" i="10"/>
  <c r="C121" i="10" s="1"/>
  <c r="E121" i="10" s="1"/>
  <c r="P5" i="10"/>
  <c r="I9" i="10"/>
  <c r="C113" i="10" s="1"/>
  <c r="E113" i="10" s="1"/>
  <c r="J16" i="10"/>
  <c r="C124" i="10" s="1"/>
  <c r="E124" i="10" s="1"/>
  <c r="M15" i="10"/>
  <c r="D118" i="10" s="1"/>
  <c r="F118" i="10" s="1"/>
  <c r="L11" i="10"/>
  <c r="D111" i="10" s="1"/>
  <c r="F111" i="10" s="1"/>
  <c r="L12" i="10"/>
  <c r="D113" i="10" s="1"/>
  <c r="F113" i="10" s="1"/>
  <c r="I6" i="10"/>
  <c r="C107" i="10" s="1"/>
  <c r="E107" i="10" s="1"/>
  <c r="R5" i="10"/>
  <c r="DR270" i="10" s="1"/>
  <c r="M8" i="10"/>
  <c r="D108" i="10" s="1"/>
  <c r="F108" i="10" s="1"/>
  <c r="I23" i="10"/>
  <c r="C135" i="10" s="1"/>
  <c r="E135" i="10" s="1"/>
  <c r="T5" i="10"/>
  <c r="CH427" i="10" s="1"/>
  <c r="J13" i="10"/>
  <c r="C120" i="10" s="1"/>
  <c r="E120" i="10" s="1"/>
  <c r="I22" i="10"/>
  <c r="C133" i="10" s="1"/>
  <c r="E133" i="10" s="1"/>
  <c r="M14" i="10"/>
  <c r="D116" i="10" s="1"/>
  <c r="F116" i="10" s="1"/>
  <c r="L18" i="10"/>
  <c r="D123" i="10" s="1"/>
  <c r="F123" i="10" s="1"/>
  <c r="J19" i="10"/>
  <c r="C128" i="10" s="1"/>
  <c r="E128" i="10" s="1"/>
  <c r="J4" i="10"/>
  <c r="C104" i="10" s="1"/>
  <c r="E104" i="10" s="1"/>
  <c r="I13" i="10"/>
  <c r="C119" i="10" s="1"/>
  <c r="E119" i="10" s="1"/>
  <c r="S5" i="10"/>
  <c r="J7" i="10"/>
  <c r="C110" i="10" s="1"/>
  <c r="E110" i="10" s="1"/>
  <c r="M21" i="10"/>
  <c r="D128" i="10" s="1"/>
  <c r="F128" i="10" s="1"/>
  <c r="I26" i="10"/>
  <c r="C139" i="10" s="1"/>
  <c r="E139" i="10" s="1"/>
  <c r="J25" i="10"/>
  <c r="C138" i="10" s="1"/>
  <c r="E138" i="10" s="1"/>
  <c r="L19" i="10"/>
  <c r="D125" i="10" s="1"/>
  <c r="F125" i="10" s="1"/>
  <c r="EF6" i="10"/>
  <c r="EF10" i="10" s="1"/>
  <c r="EE53" i="10" s="1"/>
  <c r="I8" i="10"/>
  <c r="C111" i="10" s="1"/>
  <c r="E111" i="10" s="1"/>
  <c r="M9" i="10"/>
  <c r="D110" i="10" s="1"/>
  <c r="F110" i="10" s="1"/>
  <c r="L16" i="10"/>
  <c r="D119" i="10" s="1"/>
  <c r="F119" i="10" s="1"/>
  <c r="M6" i="10"/>
  <c r="D106" i="10" s="1"/>
  <c r="F106" i="10" s="1"/>
  <c r="J20" i="10"/>
  <c r="C130" i="10" s="1"/>
  <c r="E130" i="10" s="1"/>
  <c r="I21" i="10"/>
  <c r="C131" i="10" s="1"/>
  <c r="E131" i="10" s="1"/>
  <c r="J21" i="10"/>
  <c r="C132" i="10" s="1"/>
  <c r="E132" i="10" s="1"/>
  <c r="L33" i="10"/>
  <c r="U23" i="12"/>
  <c r="V23" i="12"/>
  <c r="J32" i="10"/>
  <c r="M31" i="10"/>
  <c r="D138" i="10" s="1"/>
  <c r="F138" i="10" s="1"/>
  <c r="M30" i="10"/>
  <c r="D136" i="10" s="1"/>
  <c r="F136" i="10" s="1"/>
  <c r="S7" i="10"/>
  <c r="J35" i="10"/>
  <c r="C150" i="10" s="1"/>
  <c r="E150" i="10" s="1"/>
  <c r="I35" i="10"/>
  <c r="C149" i="10" s="1"/>
  <c r="E149" i="10" s="1"/>
  <c r="J31" i="10"/>
  <c r="C146" i="10" s="1"/>
  <c r="E146" i="10" s="1"/>
  <c r="I31" i="10"/>
  <c r="C145" i="10" s="1"/>
  <c r="E145" i="10" s="1"/>
  <c r="I33" i="10"/>
  <c r="L30" i="10"/>
  <c r="D135" i="10" s="1"/>
  <c r="F135" i="10" s="1"/>
  <c r="P7" i="10"/>
  <c r="U22" i="12"/>
  <c r="V22" i="12"/>
  <c r="C22" i="12"/>
  <c r="I30" i="10"/>
  <c r="C143" i="10" s="1"/>
  <c r="E143" i="10" s="1"/>
  <c r="J30" i="10"/>
  <c r="I29" i="10"/>
  <c r="C141" i="10" s="1"/>
  <c r="E141" i="10" s="1"/>
  <c r="J29" i="10"/>
  <c r="C142" i="10" s="1"/>
  <c r="E142" i="10" s="1"/>
  <c r="P6" i="10"/>
  <c r="L34" i="10"/>
  <c r="D139" i="10" s="1"/>
  <c r="F139" i="10" s="1"/>
  <c r="M34" i="10"/>
  <c r="D140" i="10" s="1"/>
  <c r="F140" i="10" s="1"/>
  <c r="EB6" i="10" l="1"/>
  <c r="ED6" i="10"/>
  <c r="EJ5" i="10"/>
  <c r="EJ9" i="10" s="1"/>
  <c r="EG74" i="10" s="1"/>
  <c r="CG448" i="10"/>
  <c r="EG5" i="10"/>
  <c r="EE5" i="10"/>
  <c r="EE9" i="10" s="1"/>
  <c r="EE41" i="10" s="1"/>
  <c r="ED5" i="10"/>
  <c r="EH5" i="10"/>
  <c r="EH6" i="10"/>
  <c r="BO342" i="10"/>
  <c r="DR237" i="10"/>
  <c r="EF5" i="10"/>
  <c r="EF9" i="10" s="1"/>
  <c r="EF24" i="10" s="1"/>
  <c r="EG6" i="10"/>
  <c r="CG452" i="10"/>
  <c r="DH50" i="10"/>
  <c r="AN470" i="10"/>
  <c r="AW538" i="10"/>
  <c r="AW610" i="10"/>
  <c r="CG407" i="10"/>
  <c r="CH606" i="10"/>
  <c r="DQ106" i="10"/>
  <c r="BX29" i="10"/>
  <c r="BG337" i="10"/>
  <c r="BP380" i="10"/>
  <c r="CZ17" i="10"/>
  <c r="DQ220" i="10"/>
  <c r="DI97" i="10"/>
  <c r="CH267" i="10"/>
  <c r="CH134" i="10"/>
  <c r="CG384" i="10"/>
  <c r="BO381" i="10"/>
  <c r="BX455" i="10"/>
  <c r="CH478" i="10"/>
  <c r="DH19" i="10"/>
  <c r="DQ248" i="10"/>
  <c r="DH134" i="10"/>
  <c r="DH87" i="10"/>
  <c r="CZ48" i="10"/>
  <c r="DR174" i="10"/>
  <c r="BO336" i="10"/>
  <c r="BF339" i="10"/>
  <c r="CG532" i="10"/>
  <c r="CH337" i="10"/>
  <c r="CG584" i="10"/>
  <c r="BY351" i="10"/>
  <c r="CH430" i="10"/>
  <c r="CH542" i="10"/>
  <c r="DQ39" i="10"/>
  <c r="CY25" i="10"/>
  <c r="DH100" i="10"/>
  <c r="CP57" i="10"/>
  <c r="DR18" i="10"/>
  <c r="CY55" i="10"/>
  <c r="DH84" i="10"/>
  <c r="DH46" i="10"/>
  <c r="CQ33" i="10"/>
  <c r="CQ65" i="10"/>
  <c r="DI129" i="10"/>
  <c r="DR302" i="10"/>
  <c r="CG586" i="10"/>
  <c r="CG433" i="10"/>
  <c r="BO391" i="10"/>
  <c r="BX411" i="10"/>
  <c r="CG614" i="10"/>
  <c r="CG340" i="10"/>
  <c r="BX333" i="10"/>
  <c r="CG609" i="10"/>
  <c r="CG333" i="10"/>
  <c r="CG478" i="10"/>
  <c r="CH343" i="10"/>
  <c r="CH361" i="10"/>
  <c r="BY399" i="10"/>
  <c r="BY462" i="10"/>
  <c r="CH510" i="10"/>
  <c r="CH574" i="10"/>
  <c r="DQ37" i="10"/>
  <c r="CY19" i="10"/>
  <c r="DQ240" i="10"/>
  <c r="DH142" i="10"/>
  <c r="DQ169" i="10"/>
  <c r="DQ262" i="10"/>
  <c r="DQ124" i="10"/>
  <c r="DQ147" i="10"/>
  <c r="CY23" i="10"/>
  <c r="DQ188" i="10"/>
  <c r="DQ70" i="10"/>
  <c r="DQ301" i="10"/>
  <c r="CQ21" i="10"/>
  <c r="DQ202" i="10"/>
  <c r="CY80" i="10"/>
  <c r="DH26" i="10"/>
  <c r="DH118" i="10"/>
  <c r="DI41" i="10"/>
  <c r="DR57" i="10"/>
  <c r="CZ84" i="10"/>
  <c r="DR113" i="10"/>
  <c r="DI145" i="10"/>
  <c r="DR238" i="10"/>
  <c r="CH527" i="10"/>
  <c r="CH203" i="10"/>
  <c r="CH44" i="10"/>
  <c r="BF333" i="10"/>
  <c r="BX332" i="10"/>
  <c r="BO387" i="10"/>
  <c r="BF340" i="10"/>
  <c r="BX335" i="10"/>
  <c r="CG385" i="10"/>
  <c r="BF329" i="10"/>
  <c r="CG331" i="10"/>
  <c r="CG382" i="10"/>
  <c r="CG408" i="10"/>
  <c r="CG459" i="10"/>
  <c r="CG625" i="10"/>
  <c r="BX408" i="10"/>
  <c r="CG429" i="10"/>
  <c r="BX339" i="10"/>
  <c r="BO401" i="10"/>
  <c r="BO355" i="10"/>
  <c r="BX434" i="10"/>
  <c r="BF356" i="10"/>
  <c r="BF365" i="10"/>
  <c r="BG340" i="10"/>
  <c r="BY347" i="10"/>
  <c r="BP357" i="10"/>
  <c r="CH369" i="10"/>
  <c r="CH388" i="10"/>
  <c r="CH414" i="10"/>
  <c r="CH446" i="10"/>
  <c r="BY470" i="10"/>
  <c r="CH494" i="10"/>
  <c r="CH526" i="10"/>
  <c r="CH558" i="10"/>
  <c r="CH590" i="10"/>
  <c r="CH622" i="10"/>
  <c r="CY39" i="10"/>
  <c r="CZ18" i="10"/>
  <c r="DQ173" i="10"/>
  <c r="DQ131" i="10"/>
  <c r="CY72" i="10"/>
  <c r="DH76" i="10"/>
  <c r="CP38" i="10"/>
  <c r="CY38" i="10"/>
  <c r="CQ26" i="10"/>
  <c r="DH67" i="10"/>
  <c r="DQ118" i="10"/>
  <c r="CY85" i="10"/>
  <c r="DQ149" i="10"/>
  <c r="DQ314" i="10"/>
  <c r="DQ49" i="10"/>
  <c r="DH114" i="10"/>
  <c r="DQ26" i="10"/>
  <c r="CY79" i="10"/>
  <c r="DH73" i="10"/>
  <c r="DQ279" i="10"/>
  <c r="CY41" i="10"/>
  <c r="DR16" i="10"/>
  <c r="DH37" i="10"/>
  <c r="DQ187" i="10"/>
  <c r="DI20" i="10"/>
  <c r="DH152" i="10"/>
  <c r="CY62" i="10"/>
  <c r="DQ48" i="10"/>
  <c r="CP29" i="10"/>
  <c r="DQ265" i="10"/>
  <c r="DH156" i="10"/>
  <c r="DQ227" i="10"/>
  <c r="CZ28" i="10"/>
  <c r="CZ36" i="10"/>
  <c r="CQ45" i="10"/>
  <c r="DI53" i="10"/>
  <c r="DR61" i="10"/>
  <c r="DR74" i="10"/>
  <c r="DR90" i="10"/>
  <c r="DR105" i="10"/>
  <c r="DI121" i="10"/>
  <c r="DR137" i="10"/>
  <c r="DR154" i="10"/>
  <c r="DR206" i="10"/>
  <c r="CH591" i="10"/>
  <c r="CH299" i="10"/>
  <c r="CH235" i="10"/>
  <c r="CH166" i="10"/>
  <c r="BP82" i="10"/>
  <c r="CG175" i="10"/>
  <c r="CH315" i="10"/>
  <c r="CH283" i="10"/>
  <c r="CH251" i="10"/>
  <c r="CH219" i="10"/>
  <c r="CH187" i="10"/>
  <c r="BY149" i="10"/>
  <c r="BY105" i="10"/>
  <c r="BP63" i="10"/>
  <c r="BP31" i="10"/>
  <c r="CG80" i="10"/>
  <c r="BO353" i="10"/>
  <c r="BP378" i="10"/>
  <c r="CH470" i="10"/>
  <c r="CH511" i="10"/>
  <c r="CH543" i="10"/>
  <c r="CH575" i="10"/>
  <c r="CH607" i="10"/>
  <c r="DR310" i="10"/>
  <c r="DR294" i="10"/>
  <c r="DR278" i="10"/>
  <c r="DR262" i="10"/>
  <c r="DR246" i="10"/>
  <c r="DR230" i="10"/>
  <c r="DR214" i="10"/>
  <c r="DR198" i="10"/>
  <c r="DR182" i="10"/>
  <c r="DI166" i="10"/>
  <c r="DR158" i="10"/>
  <c r="DI151" i="10"/>
  <c r="DR147" i="10"/>
  <c r="DR143" i="10"/>
  <c r="DR139" i="10"/>
  <c r="DR135" i="10"/>
  <c r="DI131" i="10"/>
  <c r="DR127" i="10"/>
  <c r="DR123" i="10"/>
  <c r="DR119" i="10"/>
  <c r="DR115" i="10"/>
  <c r="DI111" i="10"/>
  <c r="DI107" i="10"/>
  <c r="DR103" i="10"/>
  <c r="DI99" i="10"/>
  <c r="DR95" i="10"/>
  <c r="CZ91" i="10"/>
  <c r="CZ88" i="10"/>
  <c r="DI86" i="10"/>
  <c r="CZ81" i="10"/>
  <c r="DR77" i="10"/>
  <c r="DI71" i="10"/>
  <c r="DR66" i="10"/>
  <c r="DI64" i="10"/>
  <c r="DR62" i="10"/>
  <c r="DR60" i="10"/>
  <c r="DR58" i="10"/>
  <c r="CZ55" i="10"/>
  <c r="CQ54" i="10"/>
  <c r="DR52" i="10"/>
  <c r="DI50" i="10"/>
  <c r="DR48" i="10"/>
  <c r="DR46" i="10"/>
  <c r="DI44" i="10"/>
  <c r="DR42" i="10"/>
  <c r="DI40" i="10"/>
  <c r="DR38" i="10"/>
  <c r="DI36" i="10"/>
  <c r="CQ34" i="10"/>
  <c r="CZ31" i="10"/>
  <c r="CZ29" i="10"/>
  <c r="DR28" i="10"/>
  <c r="DH151" i="10"/>
  <c r="DJ151" i="10" s="1"/>
  <c r="DK151" i="10" s="1"/>
  <c r="DH90" i="10"/>
  <c r="DQ19" i="10"/>
  <c r="DQ126" i="10"/>
  <c r="DQ292" i="10"/>
  <c r="DQ87" i="10"/>
  <c r="CY50" i="10"/>
  <c r="DH130" i="10"/>
  <c r="DH68" i="10"/>
  <c r="CQ19" i="10"/>
  <c r="DQ108" i="10"/>
  <c r="CY75" i="10"/>
  <c r="CP32" i="10"/>
  <c r="DQ115" i="10"/>
  <c r="DI16" i="10"/>
  <c r="DQ239" i="10"/>
  <c r="CY18" i="10"/>
  <c r="DQ233" i="10"/>
  <c r="DQ303" i="10"/>
  <c r="DQ129" i="10"/>
  <c r="DH113" i="10"/>
  <c r="DH49" i="10"/>
  <c r="DQ130" i="10"/>
  <c r="DQ32" i="10"/>
  <c r="DQ159" i="10"/>
  <c r="DH51" i="10"/>
  <c r="BO375" i="10"/>
  <c r="CG588" i="10"/>
  <c r="CG599" i="10"/>
  <c r="BX380" i="10"/>
  <c r="CG526" i="10"/>
  <c r="BO378" i="10"/>
  <c r="CG450" i="10"/>
  <c r="BO396" i="10"/>
  <c r="BO333" i="10"/>
  <c r="BX387" i="10"/>
  <c r="CG420" i="10"/>
  <c r="CG373" i="10"/>
  <c r="CG597" i="10"/>
  <c r="BX360" i="10"/>
  <c r="CG445" i="10"/>
  <c r="CG367" i="10"/>
  <c r="BO373" i="10"/>
  <c r="CG593" i="10"/>
  <c r="CG389" i="10"/>
  <c r="BF371" i="10"/>
  <c r="CG399" i="10"/>
  <c r="CG397" i="10"/>
  <c r="CG615" i="10"/>
  <c r="CG598" i="10"/>
  <c r="CG402" i="10"/>
  <c r="BX348" i="10"/>
  <c r="CG417" i="10"/>
  <c r="CG369" i="10"/>
  <c r="CI369" i="10" s="1"/>
  <c r="CJ369" i="10" s="1"/>
  <c r="BX353" i="10"/>
  <c r="CG329" i="10"/>
  <c r="BG335" i="10"/>
  <c r="BX404" i="10"/>
  <c r="BX354" i="10"/>
  <c r="CG434" i="10"/>
  <c r="CG501" i="10"/>
  <c r="BF336" i="10"/>
  <c r="CG572" i="10"/>
  <c r="BX403" i="10"/>
  <c r="BX361" i="10"/>
  <c r="CH334" i="10"/>
  <c r="BP339" i="10"/>
  <c r="BG342" i="10"/>
  <c r="CH345" i="10"/>
  <c r="CH349" i="10"/>
  <c r="BY353" i="10"/>
  <c r="BP359" i="10"/>
  <c r="BY365" i="10"/>
  <c r="CH373" i="10"/>
  <c r="BP385" i="10"/>
  <c r="CH394" i="10"/>
  <c r="CH406" i="10"/>
  <c r="CH422" i="10"/>
  <c r="CH438" i="10"/>
  <c r="CH454" i="10"/>
  <c r="CH466" i="10"/>
  <c r="BY474" i="10"/>
  <c r="CH486" i="10"/>
  <c r="CH502" i="10"/>
  <c r="CH518" i="10"/>
  <c r="CH534" i="10"/>
  <c r="CH550" i="10"/>
  <c r="CH566" i="10"/>
  <c r="CH582" i="10"/>
  <c r="CH598" i="10"/>
  <c r="CH614" i="10"/>
  <c r="DI26" i="10"/>
  <c r="CY45" i="10"/>
  <c r="CY56" i="10"/>
  <c r="DQ101" i="10"/>
  <c r="CY29" i="10"/>
  <c r="CY63" i="10"/>
  <c r="DQ267" i="10"/>
  <c r="DH38" i="10"/>
  <c r="DQ291" i="10"/>
  <c r="DH21" i="10"/>
  <c r="DQ107" i="10"/>
  <c r="DH34" i="10"/>
  <c r="DH107" i="10"/>
  <c r="CP22" i="10"/>
  <c r="DH55" i="10"/>
  <c r="DQ185" i="10"/>
  <c r="CY84" i="10"/>
  <c r="DQ105" i="10"/>
  <c r="DS105" i="10" s="1"/>
  <c r="DT105" i="10" s="1"/>
  <c r="DH60" i="10"/>
  <c r="DH128" i="10"/>
  <c r="DQ203" i="10"/>
  <c r="CY67" i="10"/>
  <c r="DQ274" i="10"/>
  <c r="DQ33" i="10"/>
  <c r="DQ83" i="10"/>
  <c r="CY30" i="10"/>
  <c r="CP34" i="10"/>
  <c r="DQ295" i="10"/>
  <c r="DQ137" i="10"/>
  <c r="DQ93" i="10"/>
  <c r="DQ242" i="10"/>
  <c r="DH80" i="10"/>
  <c r="DH147" i="10"/>
  <c r="DH43" i="10"/>
  <c r="CY82" i="10"/>
  <c r="DQ142" i="10"/>
  <c r="DQ297" i="10"/>
  <c r="CP40" i="10"/>
  <c r="DH109" i="10"/>
  <c r="DQ146" i="10"/>
  <c r="DQ152" i="10"/>
  <c r="DQ198" i="10"/>
  <c r="DS198" i="10" s="1"/>
  <c r="DT198" i="10" s="1"/>
  <c r="DQ182" i="10"/>
  <c r="DQ20" i="10"/>
  <c r="DQ216" i="10"/>
  <c r="DQ110" i="10"/>
  <c r="CP63" i="10"/>
  <c r="CY73" i="10"/>
  <c r="CY70" i="10"/>
  <c r="DQ157" i="10"/>
  <c r="DH62" i="10"/>
  <c r="DH120" i="10"/>
  <c r="DQ309" i="10"/>
  <c r="DQ92" i="10"/>
  <c r="DQ76" i="10"/>
  <c r="DH143" i="10"/>
  <c r="CP26" i="10"/>
  <c r="DQ72" i="10"/>
  <c r="DQ311" i="10"/>
  <c r="CY34" i="10"/>
  <c r="DR19" i="10"/>
  <c r="DH93" i="10"/>
  <c r="CP41" i="10"/>
  <c r="DH20" i="10"/>
  <c r="CP39" i="10"/>
  <c r="CZ26" i="10"/>
  <c r="DR31" i="10"/>
  <c r="CQ35" i="10"/>
  <c r="DI39" i="10"/>
  <c r="DR43" i="10"/>
  <c r="DR47" i="10"/>
  <c r="CZ50" i="10"/>
  <c r="CZ54" i="10"/>
  <c r="DI59" i="10"/>
  <c r="DR63" i="10"/>
  <c r="DI69" i="10"/>
  <c r="DR79" i="10"/>
  <c r="DI88" i="10"/>
  <c r="DR93" i="10"/>
  <c r="DR101" i="10"/>
  <c r="DI109" i="10"/>
  <c r="DR117" i="10"/>
  <c r="DI125" i="10"/>
  <c r="DR133" i="10"/>
  <c r="DI141" i="10"/>
  <c r="DR149" i="10"/>
  <c r="DR162" i="10"/>
  <c r="DR190" i="10"/>
  <c r="DR222" i="10"/>
  <c r="DR254" i="10"/>
  <c r="DR286" i="10"/>
  <c r="CH623" i="10"/>
  <c r="CH559" i="10"/>
  <c r="CH495" i="10"/>
  <c r="CH342" i="10"/>
  <c r="CH307" i="10"/>
  <c r="CH291" i="10"/>
  <c r="CH275" i="10"/>
  <c r="CH259" i="10"/>
  <c r="CH243" i="10"/>
  <c r="CH227" i="10"/>
  <c r="CH211" i="10"/>
  <c r="CH195" i="10"/>
  <c r="CH179" i="10"/>
  <c r="CH158" i="10"/>
  <c r="CH142" i="10"/>
  <c r="CH122" i="10"/>
  <c r="BY89" i="10"/>
  <c r="BP71" i="10"/>
  <c r="BG52" i="10"/>
  <c r="BP39" i="10"/>
  <c r="BF43" i="10"/>
  <c r="BX60" i="10"/>
  <c r="CG276" i="10"/>
  <c r="CH311" i="10"/>
  <c r="CH303" i="10"/>
  <c r="CH295" i="10"/>
  <c r="CH287" i="10"/>
  <c r="CH279" i="10"/>
  <c r="CH271" i="10"/>
  <c r="CH263" i="10"/>
  <c r="CH255" i="10"/>
  <c r="CH247" i="10"/>
  <c r="CH239" i="10"/>
  <c r="CH231" i="10"/>
  <c r="CH223" i="10"/>
  <c r="CH215" i="10"/>
  <c r="CH207" i="10"/>
  <c r="CH199" i="10"/>
  <c r="CH191" i="10"/>
  <c r="CH183" i="10"/>
  <c r="CH173" i="10"/>
  <c r="BY161" i="10"/>
  <c r="BY153" i="10"/>
  <c r="CH146" i="10"/>
  <c r="BY137" i="10"/>
  <c r="CH130" i="10"/>
  <c r="BY113" i="10"/>
  <c r="BY97" i="10"/>
  <c r="BP87" i="10"/>
  <c r="BP77" i="10"/>
  <c r="BY63" i="10"/>
  <c r="BY55" i="10"/>
  <c r="BG48" i="10"/>
  <c r="BG40" i="10"/>
  <c r="BY31" i="10"/>
  <c r="BX150" i="10"/>
  <c r="BX28" i="10"/>
  <c r="CG69" i="10"/>
  <c r="BP25" i="10"/>
  <c r="BX153" i="10"/>
  <c r="BO58" i="10"/>
  <c r="BX441" i="10"/>
  <c r="CH435" i="10"/>
  <c r="CG358" i="10"/>
  <c r="CG534" i="10"/>
  <c r="BP354" i="10"/>
  <c r="BG369" i="10"/>
  <c r="BY386" i="10"/>
  <c r="CH411" i="10"/>
  <c r="BY443" i="10"/>
  <c r="BY466" i="10"/>
  <c r="CH474" i="10"/>
  <c r="CH487" i="10"/>
  <c r="CH503" i="10"/>
  <c r="CH519" i="10"/>
  <c r="CH535" i="10"/>
  <c r="CH551" i="10"/>
  <c r="CH567" i="10"/>
  <c r="CH583" i="10"/>
  <c r="CH599" i="10"/>
  <c r="CH615" i="10"/>
  <c r="DR45" i="10"/>
  <c r="DR314" i="10"/>
  <c r="DR306" i="10"/>
  <c r="DR298" i="10"/>
  <c r="DR290" i="10"/>
  <c r="DR282" i="10"/>
  <c r="DR274" i="10"/>
  <c r="DR266" i="10"/>
  <c r="DR258" i="10"/>
  <c r="DR250" i="10"/>
  <c r="DR242" i="10"/>
  <c r="DR234" i="10"/>
  <c r="DR226" i="10"/>
  <c r="DR218" i="10"/>
  <c r="DR210" i="10"/>
  <c r="DR202" i="10"/>
  <c r="DR194" i="10"/>
  <c r="DR186" i="10"/>
  <c r="DR178" i="10"/>
  <c r="DR170" i="10"/>
  <c r="DI164" i="10"/>
  <c r="DR160" i="10"/>
  <c r="DR156" i="10"/>
  <c r="DI152" i="10"/>
  <c r="DI150" i="10"/>
  <c r="DR148" i="10"/>
  <c r="DI146" i="10"/>
  <c r="DI144" i="10"/>
  <c r="DR142" i="10"/>
  <c r="DI140" i="10"/>
  <c r="DR138" i="10"/>
  <c r="DR136" i="10"/>
  <c r="DI134" i="10"/>
  <c r="DI132" i="10"/>
  <c r="DI130" i="10"/>
  <c r="DR128" i="10"/>
  <c r="DI126" i="10"/>
  <c r="DI124" i="10"/>
  <c r="DR122" i="10"/>
  <c r="DR120" i="10"/>
  <c r="DI118" i="10"/>
  <c r="DR116" i="10"/>
  <c r="DI114" i="10"/>
  <c r="DR112" i="10"/>
  <c r="DI110" i="10"/>
  <c r="DI108" i="10"/>
  <c r="DR106" i="10"/>
  <c r="DI104" i="10"/>
  <c r="DI102" i="10"/>
  <c r="DI100" i="10"/>
  <c r="DI98" i="10"/>
  <c r="DI96" i="10"/>
  <c r="DR94" i="10"/>
  <c r="DI92" i="10"/>
  <c r="DR91" i="10"/>
  <c r="CZ89" i="10"/>
  <c r="CZ87" i="10"/>
  <c r="DR87" i="10"/>
  <c r="CZ85" i="10"/>
  <c r="CZ82" i="10"/>
  <c r="CZ80" i="10"/>
  <c r="DI78" i="10"/>
  <c r="DI75" i="10"/>
  <c r="DR73" i="10"/>
  <c r="DR70" i="10"/>
  <c r="CZ66" i="10"/>
  <c r="CH479" i="10"/>
  <c r="CH459" i="10"/>
  <c r="BP399" i="10"/>
  <c r="BG361" i="10"/>
  <c r="CH333" i="10"/>
  <c r="BP383" i="10"/>
  <c r="CH313" i="10"/>
  <c r="CH309" i="10"/>
  <c r="CH305" i="10"/>
  <c r="CH301" i="10"/>
  <c r="CH297" i="10"/>
  <c r="CH293" i="10"/>
  <c r="CH289" i="10"/>
  <c r="CH285" i="10"/>
  <c r="CH281" i="10"/>
  <c r="CH277" i="10"/>
  <c r="CH273" i="10"/>
  <c r="CH269" i="10"/>
  <c r="CH265" i="10"/>
  <c r="CH261" i="10"/>
  <c r="CH257" i="10"/>
  <c r="CH253" i="10"/>
  <c r="CH249" i="10"/>
  <c r="CH245" i="10"/>
  <c r="CH241" i="10"/>
  <c r="CH237" i="10"/>
  <c r="CH233" i="10"/>
  <c r="CH229" i="10"/>
  <c r="CH225" i="10"/>
  <c r="CH221" i="10"/>
  <c r="CH217" i="10"/>
  <c r="CH213" i="10"/>
  <c r="CH209" i="10"/>
  <c r="CH205" i="10"/>
  <c r="CH201" i="10"/>
  <c r="CH197" i="10"/>
  <c r="CH193" i="10"/>
  <c r="CH189" i="10"/>
  <c r="CH185" i="10"/>
  <c r="CH181" i="10"/>
  <c r="CH177" i="10"/>
  <c r="CH169" i="10"/>
  <c r="BY163" i="10"/>
  <c r="CH160" i="10"/>
  <c r="BY155" i="10"/>
  <c r="BY151" i="10"/>
  <c r="CH148" i="10"/>
  <c r="BY143" i="10"/>
  <c r="BY139" i="10"/>
  <c r="CH136" i="10"/>
  <c r="CH132" i="10"/>
  <c r="CH126" i="10"/>
  <c r="BY117" i="10"/>
  <c r="CH110" i="10"/>
  <c r="CH102" i="10"/>
  <c r="BY93" i="10"/>
  <c r="BP90" i="10"/>
  <c r="CH82" i="10"/>
  <c r="CH76" i="10"/>
  <c r="CH71" i="10"/>
  <c r="BY65" i="10"/>
  <c r="CH62" i="10"/>
  <c r="CH58" i="10"/>
  <c r="BY53" i="10"/>
  <c r="BG50" i="10"/>
  <c r="CH46" i="10"/>
  <c r="CH42" i="10"/>
  <c r="CH38" i="10"/>
  <c r="CH34" i="10"/>
  <c r="BG30" i="10"/>
  <c r="BP29" i="10"/>
  <c r="BX81" i="10"/>
  <c r="BX107" i="10"/>
  <c r="CG161" i="10"/>
  <c r="CG247" i="10"/>
  <c r="BX148" i="10"/>
  <c r="BX103" i="10"/>
  <c r="CG259" i="10"/>
  <c r="CG277" i="10"/>
  <c r="BX108" i="10"/>
  <c r="CG67" i="10"/>
  <c r="CG204" i="10"/>
  <c r="CG286" i="10"/>
  <c r="BG17" i="10"/>
  <c r="CG110" i="10"/>
  <c r="BO65" i="10"/>
  <c r="CG254" i="10"/>
  <c r="CG76" i="10"/>
  <c r="BO35" i="10"/>
  <c r="BX75" i="10"/>
  <c r="BX45" i="10"/>
  <c r="BX163" i="10"/>
  <c r="CG23" i="10"/>
  <c r="CG278" i="10"/>
  <c r="BO52" i="10"/>
  <c r="CG167" i="10"/>
  <c r="CG223" i="10"/>
  <c r="CG109" i="10"/>
  <c r="CG241" i="10"/>
  <c r="CG99" i="10"/>
  <c r="CG24" i="10"/>
  <c r="BF26" i="10"/>
  <c r="CG222" i="10"/>
  <c r="CG291" i="10"/>
  <c r="BO61" i="10"/>
  <c r="CG50" i="10"/>
  <c r="CG183" i="10"/>
  <c r="BO47" i="10"/>
  <c r="BO87" i="10"/>
  <c r="BX77" i="10"/>
  <c r="BF33" i="10"/>
  <c r="BO89" i="10"/>
  <c r="BX97" i="10"/>
  <c r="BX166" i="10"/>
  <c r="CG225" i="10"/>
  <c r="CG219" i="10"/>
  <c r="CI219" i="10" s="1"/>
  <c r="CJ219" i="10" s="1"/>
  <c r="BX17" i="10"/>
  <c r="BO23" i="10"/>
  <c r="CG126" i="10"/>
  <c r="CG89" i="10"/>
  <c r="CG206" i="10"/>
  <c r="CG152" i="10"/>
  <c r="CG311" i="10"/>
  <c r="BO29" i="10"/>
  <c r="BF19" i="10"/>
  <c r="BF17" i="10"/>
  <c r="CG268" i="10"/>
  <c r="CG27" i="10"/>
  <c r="CG145" i="10"/>
  <c r="BP19" i="10"/>
  <c r="BF36" i="10"/>
  <c r="BF50" i="10"/>
  <c r="BF65" i="10"/>
  <c r="BX85" i="10"/>
  <c r="BX120" i="10"/>
  <c r="BF35" i="10"/>
  <c r="BX40" i="10"/>
  <c r="BF54" i="10"/>
  <c r="BX67" i="10"/>
  <c r="BX111" i="10"/>
  <c r="BX146" i="10"/>
  <c r="BX136" i="10"/>
  <c r="BX165" i="10"/>
  <c r="CG296" i="10"/>
  <c r="CG150" i="10"/>
  <c r="CG141" i="10"/>
  <c r="CG45" i="10"/>
  <c r="CG238" i="10"/>
  <c r="BO46" i="10"/>
  <c r="CG201" i="10"/>
  <c r="CG172" i="10"/>
  <c r="BY24" i="10"/>
  <c r="CG213" i="10"/>
  <c r="CG257" i="10"/>
  <c r="BO49" i="10"/>
  <c r="CG304" i="10"/>
  <c r="CG106" i="10"/>
  <c r="CG22" i="10"/>
  <c r="BG22" i="10"/>
  <c r="CG95" i="10"/>
  <c r="CG20" i="10"/>
  <c r="BF25" i="10"/>
  <c r="BO79" i="10"/>
  <c r="BX49" i="10"/>
  <c r="BX68" i="10"/>
  <c r="BX92" i="10"/>
  <c r="BX122" i="10"/>
  <c r="CG125" i="10"/>
  <c r="CG262" i="10"/>
  <c r="BO57" i="10"/>
  <c r="BF46" i="10"/>
  <c r="BX94" i="10"/>
  <c r="CG260" i="10"/>
  <c r="CG174" i="10"/>
  <c r="CG177" i="10"/>
  <c r="CG265" i="10"/>
  <c r="BO24" i="10"/>
  <c r="CG169" i="10"/>
  <c r="CI169" i="10" s="1"/>
  <c r="CJ169" i="10" s="1"/>
  <c r="CG197" i="10"/>
  <c r="CG92" i="10"/>
  <c r="BX56" i="10"/>
  <c r="BX38" i="10"/>
  <c r="BX132" i="10"/>
  <c r="CG269" i="10"/>
  <c r="CG217" i="10"/>
  <c r="CG299" i="10"/>
  <c r="CI299" i="10" s="1"/>
  <c r="CJ299" i="10" s="1"/>
  <c r="BO63" i="10"/>
  <c r="CG70" i="10"/>
  <c r="CG258" i="10"/>
  <c r="CG229" i="10"/>
  <c r="BO45" i="10"/>
  <c r="BO85" i="10"/>
  <c r="BX74" i="10"/>
  <c r="BF31" i="10"/>
  <c r="BX44" i="10"/>
  <c r="BX90" i="10"/>
  <c r="BX159" i="10"/>
  <c r="CG90" i="10"/>
  <c r="CG36" i="10"/>
  <c r="CG252" i="10"/>
  <c r="BO66" i="10"/>
  <c r="CG234" i="10"/>
  <c r="CG86" i="10"/>
  <c r="BO62" i="10"/>
  <c r="CG209" i="10"/>
  <c r="CG56" i="10"/>
  <c r="BO32" i="10"/>
  <c r="BF47" i="10"/>
  <c r="BX76" i="10"/>
  <c r="BX30" i="10"/>
  <c r="BX37" i="10"/>
  <c r="BX46" i="10"/>
  <c r="BF63" i="10"/>
  <c r="BX95" i="10"/>
  <c r="BX128" i="10"/>
  <c r="BX164" i="10"/>
  <c r="BX151" i="10"/>
  <c r="BG26" i="10"/>
  <c r="BG27" i="10"/>
  <c r="BG28" i="10"/>
  <c r="BG29" i="10"/>
  <c r="BP33" i="10"/>
  <c r="BP34" i="10"/>
  <c r="BP35" i="10"/>
  <c r="BG33" i="10"/>
  <c r="BG34" i="10"/>
  <c r="BP38" i="10"/>
  <c r="BG36" i="10"/>
  <c r="BP40" i="10"/>
  <c r="BG38" i="10"/>
  <c r="BP42" i="10"/>
  <c r="BP43" i="10"/>
  <c r="BG41" i="10"/>
  <c r="BP45" i="10"/>
  <c r="BP46" i="10"/>
  <c r="BP47" i="10"/>
  <c r="BP48" i="10"/>
  <c r="BP49" i="10"/>
  <c r="BP50" i="10"/>
  <c r="BP51" i="10"/>
  <c r="BP52" i="10"/>
  <c r="BP53" i="10"/>
  <c r="BG51" i="10"/>
  <c r="CH52" i="10"/>
  <c r="BP56" i="10"/>
  <c r="BG54" i="10"/>
  <c r="BP58" i="10"/>
  <c r="BP59" i="10"/>
  <c r="BP60" i="10"/>
  <c r="BY57" i="10"/>
  <c r="CH59" i="10"/>
  <c r="CH60" i="10"/>
  <c r="BP64" i="10"/>
  <c r="BP65" i="10"/>
  <c r="CH63" i="10"/>
  <c r="BG64" i="10"/>
  <c r="BP68" i="10"/>
  <c r="BP69" i="10"/>
  <c r="CH68" i="10"/>
  <c r="CH69" i="10"/>
  <c r="CH70" i="10"/>
  <c r="BP75" i="10"/>
  <c r="BP76" i="10"/>
  <c r="CH74" i="10"/>
  <c r="BP79" i="10"/>
  <c r="CH77" i="10"/>
  <c r="BY77" i="10"/>
  <c r="CH80" i="10"/>
  <c r="BP84" i="10"/>
  <c r="BY81" i="10"/>
  <c r="CH84" i="10"/>
  <c r="BP88" i="10"/>
  <c r="BP89" i="10"/>
  <c r="CH88" i="10"/>
  <c r="BY88" i="10"/>
  <c r="CH91" i="10"/>
  <c r="CH93" i="10"/>
  <c r="BY94" i="10"/>
  <c r="CH97" i="10"/>
  <c r="CH99" i="10"/>
  <c r="CH101" i="10"/>
  <c r="BY102" i="10"/>
  <c r="BY104" i="10"/>
  <c r="BY106" i="10"/>
  <c r="CH109" i="10"/>
  <c r="BY110" i="10"/>
  <c r="BY112" i="10"/>
  <c r="BY114" i="10"/>
  <c r="BY116" i="10"/>
  <c r="BY118" i="10"/>
  <c r="BY120" i="10"/>
  <c r="BY122" i="10"/>
  <c r="CH125" i="10"/>
  <c r="CH127" i="10"/>
  <c r="CH129" i="10"/>
  <c r="CH131" i="10"/>
  <c r="BY131" i="10"/>
  <c r="CH133" i="10"/>
  <c r="BY133" i="10"/>
  <c r="BY134" i="10"/>
  <c r="BY135" i="10"/>
  <c r="CH137" i="10"/>
  <c r="CH138" i="10"/>
  <c r="BY138" i="10"/>
  <c r="CH140" i="10"/>
  <c r="BY140" i="10"/>
  <c r="BY141" i="10"/>
  <c r="CH143" i="10"/>
  <c r="CH144" i="10"/>
  <c r="CH145" i="10"/>
  <c r="BY145" i="10"/>
  <c r="BY146" i="10"/>
  <c r="BY147" i="10"/>
  <c r="CH149" i="10"/>
  <c r="CH150" i="10"/>
  <c r="BY150" i="10"/>
  <c r="CH152" i="10"/>
  <c r="BY152" i="10"/>
  <c r="CH154" i="10"/>
  <c r="BY154" i="10"/>
  <c r="CH156" i="10"/>
  <c r="BY156" i="10"/>
  <c r="BY157" i="10"/>
  <c r="CH159" i="10"/>
  <c r="BY159" i="10"/>
  <c r="BY160" i="10"/>
  <c r="CH162" i="10"/>
  <c r="BY162" i="10"/>
  <c r="CH164" i="10"/>
  <c r="BY164" i="10"/>
  <c r="BY165" i="10"/>
  <c r="BY166" i="10"/>
  <c r="CH168" i="10"/>
  <c r="CH170" i="10"/>
  <c r="CH172" i="10"/>
  <c r="CH174" i="10"/>
  <c r="CH176" i="10"/>
  <c r="CH316" i="10"/>
  <c r="CH314" i="10"/>
  <c r="CH312" i="10"/>
  <c r="CH310" i="10"/>
  <c r="CH308" i="10"/>
  <c r="CH306" i="10"/>
  <c r="CH304" i="10"/>
  <c r="CH302" i="10"/>
  <c r="CH300" i="10"/>
  <c r="CH298" i="10"/>
  <c r="CH296" i="10"/>
  <c r="CH294" i="10"/>
  <c r="CH292" i="10"/>
  <c r="CH290" i="10"/>
  <c r="CH288" i="10"/>
  <c r="CH286" i="10"/>
  <c r="CH284" i="10"/>
  <c r="CH282" i="10"/>
  <c r="CH280" i="10"/>
  <c r="CH278" i="10"/>
  <c r="CH276" i="10"/>
  <c r="CH274" i="10"/>
  <c r="CH272" i="10"/>
  <c r="CH270" i="10"/>
  <c r="CH268" i="10"/>
  <c r="CH266" i="10"/>
  <c r="CH264" i="10"/>
  <c r="CH262" i="10"/>
  <c r="CH260" i="10"/>
  <c r="CH258" i="10"/>
  <c r="CH256" i="10"/>
  <c r="CH254" i="10"/>
  <c r="CH252" i="10"/>
  <c r="CH250" i="10"/>
  <c r="CH248" i="10"/>
  <c r="CH246" i="10"/>
  <c r="CH244" i="10"/>
  <c r="CH242" i="10"/>
  <c r="CH240" i="10"/>
  <c r="CH238" i="10"/>
  <c r="CH236" i="10"/>
  <c r="CH234" i="10"/>
  <c r="CH232" i="10"/>
  <c r="CH230" i="10"/>
  <c r="CH228" i="10"/>
  <c r="CH226" i="10"/>
  <c r="CH224" i="10"/>
  <c r="CH222" i="10"/>
  <c r="CH220" i="10"/>
  <c r="CH218" i="10"/>
  <c r="CH216" i="10"/>
  <c r="CH214" i="10"/>
  <c r="CH212" i="10"/>
  <c r="CH210" i="10"/>
  <c r="CH208" i="10"/>
  <c r="CH206" i="10"/>
  <c r="CH204" i="10"/>
  <c r="CH202" i="10"/>
  <c r="CH200" i="10"/>
  <c r="CH198" i="10"/>
  <c r="CH196" i="10"/>
  <c r="CH194" i="10"/>
  <c r="CH192" i="10"/>
  <c r="CH190" i="10"/>
  <c r="CH188" i="10"/>
  <c r="CH186" i="10"/>
  <c r="CH184" i="10"/>
  <c r="CH182" i="10"/>
  <c r="CH180" i="10"/>
  <c r="CH178" i="10"/>
  <c r="CH175" i="10"/>
  <c r="CH171" i="10"/>
  <c r="CH167" i="10"/>
  <c r="CH165" i="10"/>
  <c r="CH163" i="10"/>
  <c r="CH161" i="10"/>
  <c r="BY158" i="10"/>
  <c r="CH157" i="10"/>
  <c r="CH155" i="10"/>
  <c r="CH153" i="10"/>
  <c r="CH151" i="10"/>
  <c r="BY148" i="10"/>
  <c r="CH147" i="10"/>
  <c r="BY144" i="10"/>
  <c r="BY142" i="10"/>
  <c r="CH141" i="10"/>
  <c r="CH139" i="10"/>
  <c r="BY136" i="10"/>
  <c r="CH135" i="10"/>
  <c r="BY132" i="10"/>
  <c r="BY130" i="10"/>
  <c r="BY127" i="10"/>
  <c r="BY123" i="10"/>
  <c r="CH120" i="10"/>
  <c r="BY115" i="10"/>
  <c r="BY111" i="10"/>
  <c r="CH108" i="10"/>
  <c r="BY103" i="10"/>
  <c r="CH100" i="10"/>
  <c r="CH96" i="10"/>
  <c r="BY91" i="10"/>
  <c r="BY87" i="10"/>
  <c r="BY85" i="10"/>
  <c r="BY82" i="10"/>
  <c r="BP83" i="10"/>
  <c r="BP81" i="10"/>
  <c r="BP78" i="10"/>
  <c r="BY71" i="10"/>
  <c r="BY69" i="10"/>
  <c r="CH67" i="10"/>
  <c r="BY64" i="10"/>
  <c r="BY62" i="10"/>
  <c r="CH61" i="10"/>
  <c r="BG59" i="10"/>
  <c r="BG57" i="10"/>
  <c r="CH55" i="10"/>
  <c r="BG53" i="10"/>
  <c r="BP54" i="10"/>
  <c r="BY48" i="10"/>
  <c r="BG47" i="10"/>
  <c r="CH45" i="10"/>
  <c r="BG43" i="10"/>
  <c r="BY40" i="10"/>
  <c r="BY38" i="10"/>
  <c r="BG37" i="10"/>
  <c r="BG35" i="10"/>
  <c r="BP36" i="10"/>
  <c r="BG31" i="10"/>
  <c r="CH29" i="10"/>
  <c r="CH27" i="10"/>
  <c r="BX138" i="10"/>
  <c r="BX113" i="10"/>
  <c r="BX54" i="10"/>
  <c r="BO76" i="10"/>
  <c r="BQ76" i="10" s="1"/>
  <c r="BR76" i="10" s="1"/>
  <c r="BF57" i="10"/>
  <c r="CG294" i="10"/>
  <c r="CG180" i="10"/>
  <c r="CG103" i="10"/>
  <c r="CG37" i="10"/>
  <c r="CG78" i="10"/>
  <c r="BX125" i="10"/>
  <c r="BF38" i="10"/>
  <c r="BF56" i="10"/>
  <c r="CG159" i="10"/>
  <c r="CG87" i="10"/>
  <c r="CG251" i="10"/>
  <c r="CG146" i="10"/>
  <c r="BF64" i="10"/>
  <c r="BO71" i="10"/>
  <c r="CG144" i="10"/>
  <c r="CG240" i="10"/>
  <c r="CI240" i="10" s="1"/>
  <c r="CJ240" i="10" s="1"/>
  <c r="CG123" i="10"/>
  <c r="CG35" i="10"/>
  <c r="CG282" i="10"/>
  <c r="CI282" i="10" s="1"/>
  <c r="CJ282" i="10" s="1"/>
  <c r="CG154" i="10"/>
  <c r="CG374" i="10"/>
  <c r="BO338" i="10"/>
  <c r="BX423" i="10"/>
  <c r="BX435" i="10"/>
  <c r="BG373" i="10"/>
  <c r="BP393" i="10"/>
  <c r="BY419" i="10"/>
  <c r="BY451" i="10"/>
  <c r="BX397" i="10"/>
  <c r="BF337" i="10"/>
  <c r="BX431" i="10"/>
  <c r="CG607" i="10"/>
  <c r="BX400" i="10"/>
  <c r="CH348" i="10"/>
  <c r="CH356" i="10"/>
  <c r="BY364" i="10"/>
  <c r="CH372" i="10"/>
  <c r="CH381" i="10"/>
  <c r="BY392" i="10"/>
  <c r="BY403" i="10"/>
  <c r="CH419" i="10"/>
  <c r="BY435" i="10"/>
  <c r="CH451" i="10"/>
  <c r="CH464" i="10"/>
  <c r="CH468" i="10"/>
  <c r="CH472" i="10"/>
  <c r="BY476" i="10"/>
  <c r="CH483" i="10"/>
  <c r="CH491" i="10"/>
  <c r="CH499" i="10"/>
  <c r="CH507" i="10"/>
  <c r="CH515" i="10"/>
  <c r="CH523" i="10"/>
  <c r="CH531" i="10"/>
  <c r="CH539" i="10"/>
  <c r="CH547" i="10"/>
  <c r="CH555" i="10"/>
  <c r="CH563" i="10"/>
  <c r="CH571" i="10"/>
  <c r="CH579" i="10"/>
  <c r="CH587" i="10"/>
  <c r="CH595" i="10"/>
  <c r="CH603" i="10"/>
  <c r="CH611" i="10"/>
  <c r="CH619" i="10"/>
  <c r="CH627" i="10"/>
  <c r="CH626" i="10"/>
  <c r="CH618" i="10"/>
  <c r="CH610" i="10"/>
  <c r="CH602" i="10"/>
  <c r="CH594" i="10"/>
  <c r="CH586" i="10"/>
  <c r="CH578" i="10"/>
  <c r="CH570" i="10"/>
  <c r="CH562" i="10"/>
  <c r="CH554" i="10"/>
  <c r="CH546" i="10"/>
  <c r="CH538" i="10"/>
  <c r="CH530" i="10"/>
  <c r="CH522" i="10"/>
  <c r="CH514" i="10"/>
  <c r="CH506" i="10"/>
  <c r="CH498" i="10"/>
  <c r="CH490" i="10"/>
  <c r="CH482" i="10"/>
  <c r="CH476" i="10"/>
  <c r="BY472" i="10"/>
  <c r="BY468" i="10"/>
  <c r="BY464" i="10"/>
  <c r="BY458" i="10"/>
  <c r="BY450" i="10"/>
  <c r="CH442" i="10"/>
  <c r="CH434" i="10"/>
  <c r="CH426" i="10"/>
  <c r="CH418" i="10"/>
  <c r="CH410" i="10"/>
  <c r="CH402" i="10"/>
  <c r="CH396" i="10"/>
  <c r="CH391" i="10"/>
  <c r="CH386" i="10"/>
  <c r="CH380" i="10"/>
  <c r="BP377" i="10"/>
  <c r="BG372" i="10"/>
  <c r="BP369" i="10"/>
  <c r="BP365" i="10"/>
  <c r="BP361" i="10"/>
  <c r="CG573" i="10"/>
  <c r="CH403" i="10"/>
  <c r="BG357" i="10"/>
  <c r="CG443" i="10"/>
  <c r="CH462" i="10"/>
  <c r="CH455" i="10"/>
  <c r="CH447" i="10"/>
  <c r="CH439" i="10"/>
  <c r="BY431" i="10"/>
  <c r="CH423" i="10"/>
  <c r="CH415" i="10"/>
  <c r="BY407" i="10"/>
  <c r="BY400" i="10"/>
  <c r="BY394" i="10"/>
  <c r="BP391" i="10"/>
  <c r="BP386" i="10"/>
  <c r="CH378" i="10"/>
  <c r="BG375" i="10"/>
  <c r="BY370" i="10"/>
  <c r="BY366" i="10"/>
  <c r="BP364" i="10"/>
  <c r="CH358" i="10"/>
  <c r="BY354" i="10"/>
  <c r="CH350" i="10"/>
  <c r="BY346" i="10"/>
  <c r="CH338" i="10"/>
  <c r="CG499" i="10"/>
  <c r="CG545" i="10"/>
  <c r="CH327" i="10"/>
  <c r="BX407" i="10"/>
  <c r="CG603" i="10"/>
  <c r="BY329" i="10"/>
  <c r="BX398" i="10"/>
  <c r="CG472" i="10"/>
  <c r="CG565" i="10"/>
  <c r="BY459" i="10"/>
  <c r="CH443" i="10"/>
  <c r="BY427" i="10"/>
  <c r="BY411" i="10"/>
  <c r="CH397" i="10"/>
  <c r="BP388" i="10"/>
  <c r="BG377" i="10"/>
  <c r="BG365" i="10"/>
  <c r="BP350" i="10"/>
  <c r="CG554" i="10"/>
  <c r="BX374" i="10"/>
  <c r="BX460" i="10"/>
  <c r="CG327" i="10"/>
  <c r="DI81" i="10"/>
  <c r="BP346" i="10"/>
  <c r="BY340" i="10"/>
  <c r="BX472" i="10"/>
  <c r="BF330" i="10"/>
  <c r="CG610" i="10"/>
  <c r="CG346" i="10"/>
  <c r="CG596" i="10"/>
  <c r="BX454" i="10"/>
  <c r="BO328" i="10"/>
  <c r="CG581" i="10"/>
  <c r="CG536" i="10"/>
  <c r="BO340" i="10"/>
  <c r="BX385" i="10"/>
  <c r="CG412" i="10"/>
  <c r="BY332" i="10"/>
  <c r="CH329" i="10"/>
  <c r="BX425" i="10"/>
  <c r="CG602" i="10"/>
  <c r="CG351" i="10"/>
  <c r="CG506" i="10"/>
  <c r="BO358" i="10"/>
  <c r="CG519" i="10"/>
  <c r="BY455" i="10"/>
  <c r="BY447" i="10"/>
  <c r="BY439" i="10"/>
  <c r="CH431" i="10"/>
  <c r="BY423" i="10"/>
  <c r="BY415" i="10"/>
  <c r="CH407" i="10"/>
  <c r="CH399" i="10"/>
  <c r="BP396" i="10"/>
  <c r="BY389" i="10"/>
  <c r="BY383" i="10"/>
  <c r="BY378" i="10"/>
  <c r="CH374" i="10"/>
  <c r="BY368" i="10"/>
  <c r="CH360" i="10"/>
  <c r="BY352" i="10"/>
  <c r="BP345" i="10"/>
  <c r="CG561" i="10"/>
  <c r="CG547" i="10"/>
  <c r="BO397" i="10"/>
  <c r="CG431" i="10"/>
  <c r="BX378" i="10"/>
  <c r="BY331" i="10"/>
  <c r="CG475" i="10"/>
  <c r="CG549" i="10"/>
  <c r="CG422" i="10"/>
  <c r="CG580" i="10"/>
  <c r="BY333" i="10"/>
  <c r="CG510" i="10"/>
  <c r="BG333" i="10"/>
  <c r="CG576" i="10"/>
  <c r="BX381" i="10"/>
  <c r="BX396" i="10"/>
  <c r="BX364" i="10"/>
  <c r="CG350" i="10"/>
  <c r="CG529" i="10"/>
  <c r="BF361" i="10"/>
  <c r="CG505" i="10"/>
  <c r="BF335" i="10"/>
  <c r="BH335" i="10" s="1"/>
  <c r="BI335" i="10" s="1"/>
  <c r="BX376" i="10"/>
  <c r="BX355" i="10"/>
  <c r="BP330" i="10"/>
  <c r="CG348" i="10"/>
  <c r="CG543" i="10"/>
  <c r="CG396" i="10"/>
  <c r="CG356" i="10"/>
  <c r="BF348" i="10"/>
  <c r="BX444" i="10"/>
  <c r="BX379" i="10"/>
  <c r="CG622" i="10"/>
  <c r="CG442" i="10"/>
  <c r="CI442" i="10" s="1"/>
  <c r="CJ442" i="10" s="1"/>
  <c r="BX417" i="10"/>
  <c r="BF364" i="10"/>
  <c r="BO368" i="10"/>
  <c r="CG484" i="10"/>
  <c r="BF372" i="10"/>
  <c r="BX477" i="10"/>
  <c r="BX342" i="10"/>
  <c r="BP332" i="10"/>
  <c r="BO359" i="10"/>
  <c r="BQ359" i="10" s="1"/>
  <c r="BR359" i="10" s="1"/>
  <c r="CG390" i="10"/>
  <c r="BG336" i="10"/>
  <c r="BP343" i="10"/>
  <c r="BG346" i="10"/>
  <c r="CH347" i="10"/>
  <c r="BG350" i="10"/>
  <c r="BP353" i="10"/>
  <c r="BP355" i="10"/>
  <c r="BY355" i="10"/>
  <c r="BG358" i="10"/>
  <c r="BG360" i="10"/>
  <c r="BG362" i="10"/>
  <c r="BY363" i="10"/>
  <c r="BP367" i="10"/>
  <c r="BY367" i="10"/>
  <c r="BG370" i="10"/>
  <c r="BP373" i="10"/>
  <c r="BG374" i="10"/>
  <c r="BG376" i="10"/>
  <c r="BP379" i="10"/>
  <c r="CH379" i="10"/>
  <c r="BP384" i="10"/>
  <c r="BP387" i="10"/>
  <c r="BP389" i="10"/>
  <c r="BY390" i="10"/>
  <c r="BP395" i="10"/>
  <c r="CH395" i="10"/>
  <c r="BP400" i="10"/>
  <c r="BY401" i="10"/>
  <c r="CH405" i="10"/>
  <c r="CH409" i="10"/>
  <c r="BY413" i="10"/>
  <c r="BY417" i="10"/>
  <c r="BY421" i="10"/>
  <c r="BY425" i="10"/>
  <c r="BY429" i="10"/>
  <c r="BY433" i="10"/>
  <c r="BY437" i="10"/>
  <c r="BY441" i="10"/>
  <c r="BY445" i="10"/>
  <c r="BY449" i="10"/>
  <c r="BY453" i="10"/>
  <c r="BY457" i="10"/>
  <c r="BY461" i="10"/>
  <c r="BO335" i="10"/>
  <c r="CG339" i="10"/>
  <c r="DQ153" i="10"/>
  <c r="CZ35" i="10"/>
  <c r="CQ53" i="10"/>
  <c r="DI70" i="10"/>
  <c r="BP372" i="10"/>
  <c r="BG367" i="10"/>
  <c r="CH362" i="10"/>
  <c r="BG359" i="10"/>
  <c r="BG355" i="10"/>
  <c r="BP352" i="10"/>
  <c r="BG347" i="10"/>
  <c r="BP341" i="10"/>
  <c r="CH328" i="10"/>
  <c r="CG424" i="10"/>
  <c r="BX394" i="10"/>
  <c r="BX338" i="10"/>
  <c r="CG372" i="10"/>
  <c r="CG473" i="10"/>
  <c r="BO371" i="10"/>
  <c r="CG486" i="10"/>
  <c r="CG410" i="10"/>
  <c r="CI410" i="10" s="1"/>
  <c r="CJ410" i="10" s="1"/>
  <c r="BF328" i="10"/>
  <c r="BF375" i="10"/>
  <c r="CG579" i="10"/>
  <c r="BX437" i="10"/>
  <c r="BO370" i="10"/>
  <c r="CG524" i="10"/>
  <c r="BF358" i="10"/>
  <c r="BH358" i="10" s="1"/>
  <c r="BI358" i="10" s="1"/>
  <c r="BO330" i="10"/>
  <c r="BO349" i="10"/>
  <c r="DI61" i="10"/>
  <c r="DH57" i="10"/>
  <c r="BP21" i="10"/>
  <c r="CG121" i="10"/>
  <c r="CG313" i="10"/>
  <c r="BY20" i="10"/>
  <c r="CG42" i="10"/>
  <c r="CG253" i="10"/>
  <c r="CG202" i="10"/>
  <c r="BG20" i="10"/>
  <c r="CG250" i="10"/>
  <c r="CG113" i="10"/>
  <c r="CG33" i="10"/>
  <c r="CG34" i="10"/>
  <c r="BY17" i="10"/>
  <c r="BO51" i="10"/>
  <c r="CG249" i="10"/>
  <c r="BG23" i="10"/>
  <c r="CG231" i="10"/>
  <c r="CG198" i="10"/>
  <c r="CI198" i="10" s="1"/>
  <c r="CJ198" i="10" s="1"/>
  <c r="CG256" i="10"/>
  <c r="CG111" i="10"/>
  <c r="CG185" i="10"/>
  <c r="CG100" i="10"/>
  <c r="CG295" i="10"/>
  <c r="CH20" i="10"/>
  <c r="CG108" i="10"/>
  <c r="BO43" i="10"/>
  <c r="BF22" i="10"/>
  <c r="BX25" i="10"/>
  <c r="CG162" i="10"/>
  <c r="CG66" i="10"/>
  <c r="CG176" i="10"/>
  <c r="CG237" i="10"/>
  <c r="CG60" i="10"/>
  <c r="CI60" i="10" s="1"/>
  <c r="CJ60" i="10" s="1"/>
  <c r="BF18" i="10"/>
  <c r="CG194" i="10"/>
  <c r="CG205" i="10"/>
  <c r="CG137" i="10"/>
  <c r="CI137" i="10" s="1"/>
  <c r="CJ137" i="10" s="1"/>
  <c r="CG138" i="10"/>
  <c r="BO33" i="10"/>
  <c r="BQ33" i="10" s="1"/>
  <c r="BR33" i="10" s="1"/>
  <c r="BY21" i="10"/>
  <c r="CH18" i="10"/>
  <c r="CG44" i="10"/>
  <c r="CG115" i="10"/>
  <c r="CG17" i="10"/>
  <c r="CG281" i="10"/>
  <c r="BF16" i="10"/>
  <c r="CG142" i="10"/>
  <c r="CG173" i="10"/>
  <c r="CG215" i="10"/>
  <c r="CG114" i="10"/>
  <c r="BO39" i="10"/>
  <c r="BF21" i="10"/>
  <c r="BP24" i="10"/>
  <c r="BF32" i="10"/>
  <c r="BO83" i="10"/>
  <c r="BQ83" i="10" s="1"/>
  <c r="BR83" i="10" s="1"/>
  <c r="BF48" i="10"/>
  <c r="BX51" i="10"/>
  <c r="BF60" i="10"/>
  <c r="BX71" i="10"/>
  <c r="BX80" i="10"/>
  <c r="BX98" i="10"/>
  <c r="BX110" i="10"/>
  <c r="BP26" i="10"/>
  <c r="BO74" i="10"/>
  <c r="BO77" i="10"/>
  <c r="BF41" i="10"/>
  <c r="BF45" i="10"/>
  <c r="BX48" i="10"/>
  <c r="BX57" i="10"/>
  <c r="BF66" i="10"/>
  <c r="BX87" i="10"/>
  <c r="BX102" i="10"/>
  <c r="BX117" i="10"/>
  <c r="BX135" i="10"/>
  <c r="BZ135" i="10" s="1"/>
  <c r="CA135" i="10" s="1"/>
  <c r="BX155" i="10"/>
  <c r="BX130" i="10"/>
  <c r="BX142" i="10"/>
  <c r="BX160" i="10"/>
  <c r="BF23" i="10"/>
  <c r="CG263" i="10"/>
  <c r="CI263" i="10" s="1"/>
  <c r="CJ263" i="10" s="1"/>
  <c r="BY19" i="10"/>
  <c r="CG71" i="10"/>
  <c r="CG55" i="10"/>
  <c r="CH23" i="10"/>
  <c r="BF29" i="10"/>
  <c r="CG127" i="10"/>
  <c r="CG199" i="10"/>
  <c r="CG74" i="10"/>
  <c r="CG303" i="10"/>
  <c r="CI303" i="10" s="1"/>
  <c r="CJ303" i="10" s="1"/>
  <c r="CG190" i="10"/>
  <c r="CG289" i="10"/>
  <c r="BX20" i="10"/>
  <c r="BZ20" i="10" s="1"/>
  <c r="CA20" i="10" s="1"/>
  <c r="CG43" i="10"/>
  <c r="CG98" i="10"/>
  <c r="CG57" i="10"/>
  <c r="CG53" i="10"/>
  <c r="CG292" i="10"/>
  <c r="CI292" i="10" s="1"/>
  <c r="CJ292" i="10" s="1"/>
  <c r="BO38" i="10"/>
  <c r="BO31" i="10"/>
  <c r="BF20" i="10"/>
  <c r="CH19" i="10"/>
  <c r="CG280" i="10"/>
  <c r="CG163" i="10"/>
  <c r="BO37" i="10"/>
  <c r="CG160" i="10"/>
  <c r="CI160" i="10" s="1"/>
  <c r="CJ160" i="10" s="1"/>
  <c r="CG96" i="10"/>
  <c r="CI96" i="10" s="1"/>
  <c r="CJ96" i="10" s="1"/>
  <c r="CG181" i="10"/>
  <c r="CG274" i="10"/>
  <c r="CI274" i="10" s="1"/>
  <c r="CJ274" i="10" s="1"/>
  <c r="CG210" i="10"/>
  <c r="CG297" i="10"/>
  <c r="BX23" i="10"/>
  <c r="BF37" i="10"/>
  <c r="BF51" i="10"/>
  <c r="BX66" i="10"/>
  <c r="BX91" i="10"/>
  <c r="BZ91" i="10" s="1"/>
  <c r="CA91" i="10" s="1"/>
  <c r="BX121" i="10"/>
  <c r="BX33" i="10"/>
  <c r="BF42" i="10"/>
  <c r="BF55" i="10"/>
  <c r="BX79" i="10"/>
  <c r="BX112" i="10"/>
  <c r="BX147" i="10"/>
  <c r="BX137" i="10"/>
  <c r="BO69" i="10"/>
  <c r="BO18" i="10"/>
  <c r="CG143" i="10"/>
  <c r="CG40" i="10"/>
  <c r="CG284" i="10"/>
  <c r="CG97" i="10"/>
  <c r="CH24" i="10"/>
  <c r="CG157" i="10"/>
  <c r="CG243" i="10"/>
  <c r="CG84" i="10"/>
  <c r="CG288" i="10"/>
  <c r="BO41" i="10"/>
  <c r="CG242" i="10"/>
  <c r="CG309" i="10"/>
  <c r="CG178" i="10"/>
  <c r="BX21" i="10"/>
  <c r="CG293" i="10"/>
  <c r="BP17" i="10"/>
  <c r="CG72" i="10"/>
  <c r="CG134" i="10"/>
  <c r="CG155" i="10"/>
  <c r="CG38" i="10"/>
  <c r="CI38" i="10" s="1"/>
  <c r="CJ38" i="10" s="1"/>
  <c r="BG21" i="10"/>
  <c r="CG135" i="10"/>
  <c r="CG31" i="10"/>
  <c r="BO60" i="10"/>
  <c r="CG91" i="10"/>
  <c r="CG77" i="10"/>
  <c r="CI77" i="10" s="1"/>
  <c r="CJ77" i="10" s="1"/>
  <c r="CG119" i="10"/>
  <c r="CG82" i="10"/>
  <c r="CG156" i="10"/>
  <c r="BO26" i="10"/>
  <c r="CG182" i="10"/>
  <c r="CG16" i="10"/>
  <c r="CG279" i="10"/>
  <c r="CI279" i="10" s="1"/>
  <c r="CJ279" i="10" s="1"/>
  <c r="BP16" i="10"/>
  <c r="CG298" i="10"/>
  <c r="CI298" i="10" s="1"/>
  <c r="CJ298" i="10" s="1"/>
  <c r="BO28" i="10"/>
  <c r="BX22" i="10"/>
  <c r="BO68" i="10"/>
  <c r="CG221" i="10"/>
  <c r="CG308" i="10"/>
  <c r="CI308" i="10" s="1"/>
  <c r="CJ308" i="10" s="1"/>
  <c r="CG170" i="10"/>
  <c r="CG312" i="10"/>
  <c r="CG129" i="10"/>
  <c r="CG227" i="10"/>
  <c r="CG128" i="10"/>
  <c r="CG81" i="10"/>
  <c r="CG51" i="10"/>
  <c r="BG24" i="10"/>
  <c r="BO50" i="10"/>
  <c r="CG301" i="10"/>
  <c r="CI301" i="10" s="1"/>
  <c r="CJ301" i="10" s="1"/>
  <c r="CH22" i="10"/>
  <c r="CG285" i="10"/>
  <c r="CI285" i="10" s="1"/>
  <c r="CJ285" i="10" s="1"/>
  <c r="CG218" i="10"/>
  <c r="CG32" i="10"/>
  <c r="CG153" i="10"/>
  <c r="CG116" i="10"/>
  <c r="CG246" i="10"/>
  <c r="CG187" i="10"/>
  <c r="CG208" i="10"/>
  <c r="BG19" i="10"/>
  <c r="BO55" i="10"/>
  <c r="BO64" i="10"/>
  <c r="BF28" i="10"/>
  <c r="BO75" i="10"/>
  <c r="BQ75" i="10" s="1"/>
  <c r="BR75" i="10" s="1"/>
  <c r="BF44" i="10"/>
  <c r="BO90" i="10"/>
  <c r="BX53" i="10"/>
  <c r="BX62" i="10"/>
  <c r="BX73" i="10"/>
  <c r="BX83" i="10"/>
  <c r="BX101" i="10"/>
  <c r="BX118" i="10"/>
  <c r="BP28" i="10"/>
  <c r="BX32" i="10"/>
  <c r="BX36" i="10"/>
  <c r="BO81" i="10"/>
  <c r="BO86" i="10"/>
  <c r="BF53" i="10"/>
  <c r="BH53" i="10" s="1"/>
  <c r="BI53" i="10" s="1"/>
  <c r="BX59" i="10"/>
  <c r="BX65" i="10"/>
  <c r="BX89" i="10"/>
  <c r="BX105" i="10"/>
  <c r="BX123" i="10"/>
  <c r="BX143" i="10"/>
  <c r="BX158" i="10"/>
  <c r="BX134" i="10"/>
  <c r="BX145" i="10"/>
  <c r="BZ145" i="10" s="1"/>
  <c r="CA145" i="10" s="1"/>
  <c r="BX162" i="10"/>
  <c r="BZ162" i="10" s="1"/>
  <c r="CA162" i="10" s="1"/>
  <c r="BG16" i="10"/>
  <c r="CG307" i="10"/>
  <c r="CI307" i="10" s="1"/>
  <c r="CJ307" i="10" s="1"/>
  <c r="CG28" i="10"/>
  <c r="CG165" i="10"/>
  <c r="CG214" i="10"/>
  <c r="CI214" i="10" s="1"/>
  <c r="CJ214" i="10" s="1"/>
  <c r="CG189" i="10"/>
  <c r="CI189" i="10" s="1"/>
  <c r="CJ189" i="10" s="1"/>
  <c r="CG270" i="10"/>
  <c r="BO25" i="10"/>
  <c r="BQ25" i="10" s="1"/>
  <c r="BR25" i="10" s="1"/>
  <c r="CG191" i="10"/>
  <c r="CG101" i="10"/>
  <c r="CG58" i="10"/>
  <c r="CG63" i="10"/>
  <c r="CG236" i="10"/>
  <c r="BO30" i="10"/>
  <c r="BP20" i="10"/>
  <c r="CG85" i="10"/>
  <c r="CG261" i="10"/>
  <c r="BP18" i="10"/>
  <c r="CG18" i="10"/>
  <c r="CG147" i="10"/>
  <c r="CI147" i="10" s="1"/>
  <c r="CJ147" i="10" s="1"/>
  <c r="CG148" i="10"/>
  <c r="CG75" i="10"/>
  <c r="CG88" i="10"/>
  <c r="CH16" i="10"/>
  <c r="CG266" i="10"/>
  <c r="BO42" i="10"/>
  <c r="BO67" i="10"/>
  <c r="CG83" i="10"/>
  <c r="CG39" i="10"/>
  <c r="CG211" i="10"/>
  <c r="BO20" i="10"/>
  <c r="BQ20" i="10" s="1"/>
  <c r="BR20" i="10" s="1"/>
  <c r="CG124" i="10"/>
  <c r="CG112" i="10"/>
  <c r="CG230" i="10"/>
  <c r="BY23" i="10"/>
  <c r="CG94" i="10"/>
  <c r="CG315" i="10"/>
  <c r="BO27" i="10"/>
  <c r="CG107" i="10"/>
  <c r="CG105" i="10"/>
  <c r="CG275" i="10"/>
  <c r="CG117" i="10"/>
  <c r="CG166" i="10"/>
  <c r="CG25" i="10"/>
  <c r="BO44" i="10"/>
  <c r="CG316" i="10"/>
  <c r="CG212" i="10"/>
  <c r="CG196" i="10"/>
  <c r="CI196" i="10" s="1"/>
  <c r="CJ196" i="10" s="1"/>
  <c r="CH25" i="10"/>
  <c r="CG248" i="10"/>
  <c r="BG18" i="10"/>
  <c r="CG19" i="10"/>
  <c r="BY25" i="10"/>
  <c r="BO16" i="10"/>
  <c r="BF30" i="10"/>
  <c r="BX55" i="10"/>
  <c r="BX106" i="10"/>
  <c r="BF39" i="10"/>
  <c r="BX61" i="10"/>
  <c r="BX127" i="10"/>
  <c r="BX149" i="10"/>
  <c r="CG49" i="10"/>
  <c r="CG314" i="10"/>
  <c r="CG273" i="10"/>
  <c r="CG271" i="10"/>
  <c r="CG226" i="10"/>
  <c r="BX27" i="10"/>
  <c r="CG207" i="10"/>
  <c r="CG306" i="10"/>
  <c r="CG68" i="10"/>
  <c r="CG305" i="10"/>
  <c r="CG235" i="10"/>
  <c r="CG62" i="10"/>
  <c r="CG300" i="10"/>
  <c r="CI300" i="10" s="1"/>
  <c r="CJ300" i="10" s="1"/>
  <c r="CG267" i="10"/>
  <c r="CG131" i="10"/>
  <c r="CG151" i="10"/>
  <c r="CG310" i="10"/>
  <c r="CG171" i="10"/>
  <c r="BO48" i="10"/>
  <c r="CG302" i="10"/>
  <c r="CI302" i="10" s="1"/>
  <c r="CJ302" i="10" s="1"/>
  <c r="CG192" i="10"/>
  <c r="CG41" i="10"/>
  <c r="CG136" i="10"/>
  <c r="CG186" i="10"/>
  <c r="BO53" i="10"/>
  <c r="CG158" i="10"/>
  <c r="CG46" i="10"/>
  <c r="CG26" i="10"/>
  <c r="CG272" i="10"/>
  <c r="CG59" i="10"/>
  <c r="CI59" i="10" s="1"/>
  <c r="CJ59" i="10" s="1"/>
  <c r="CG195" i="10"/>
  <c r="BX24" i="10"/>
  <c r="BO80" i="10"/>
  <c r="BF52" i="10"/>
  <c r="BX69" i="10"/>
  <c r="BZ69" i="10" s="1"/>
  <c r="CA69" i="10" s="1"/>
  <c r="BX93" i="10"/>
  <c r="BX124" i="10"/>
  <c r="BX34" i="10"/>
  <c r="BX41" i="10"/>
  <c r="BF58" i="10"/>
  <c r="BX84" i="10"/>
  <c r="BX114" i="10"/>
  <c r="BX152" i="10"/>
  <c r="BZ152" i="10" s="1"/>
  <c r="CA152" i="10" s="1"/>
  <c r="BX139" i="10"/>
  <c r="BZ139" i="10" s="1"/>
  <c r="CA139" i="10" s="1"/>
  <c r="BP27" i="10"/>
  <c r="CG21" i="10"/>
  <c r="CG47" i="10"/>
  <c r="BO19" i="10"/>
  <c r="CG79" i="10"/>
  <c r="BY16" i="10"/>
  <c r="CG287" i="10"/>
  <c r="CI287" i="10" s="1"/>
  <c r="CJ287" i="10" s="1"/>
  <c r="BO56" i="10"/>
  <c r="CG102" i="10"/>
  <c r="CG179" i="10"/>
  <c r="CG61" i="10"/>
  <c r="CG164" i="10"/>
  <c r="BX18" i="10"/>
  <c r="BP22" i="10"/>
  <c r="CG149" i="10"/>
  <c r="CG264" i="10"/>
  <c r="CG65" i="10"/>
  <c r="CG30" i="10"/>
  <c r="CG193" i="10"/>
  <c r="BO54" i="10"/>
  <c r="CG232" i="10"/>
  <c r="CG245" i="10"/>
  <c r="CG255" i="10"/>
  <c r="CG93" i="10"/>
  <c r="BX16" i="10"/>
  <c r="CG104" i="10"/>
  <c r="CG239" i="10"/>
  <c r="CI239" i="10" s="1"/>
  <c r="CJ239" i="10" s="1"/>
  <c r="CG228" i="10"/>
  <c r="CG224" i="10"/>
  <c r="BG25" i="10"/>
  <c r="BO40" i="10"/>
  <c r="BP23" i="10"/>
  <c r="BO72" i="10"/>
  <c r="BO82" i="10"/>
  <c r="BO88" i="10"/>
  <c r="BX50" i="10"/>
  <c r="BX58" i="10"/>
  <c r="BX70" i="10"/>
  <c r="BX78" i="10"/>
  <c r="BX96" i="10"/>
  <c r="BX109" i="10"/>
  <c r="BX126" i="10"/>
  <c r="BX31" i="10"/>
  <c r="BZ31" i="10" s="1"/>
  <c r="CA31" i="10" s="1"/>
  <c r="BX35" i="10"/>
  <c r="BF40" i="10"/>
  <c r="BO84" i="10"/>
  <c r="BX47" i="10"/>
  <c r="BF59" i="10"/>
  <c r="BX63" i="10"/>
  <c r="BX86" i="10"/>
  <c r="BX99" i="10"/>
  <c r="BX116" i="10"/>
  <c r="BX133" i="10"/>
  <c r="BX154" i="10"/>
  <c r="BX129" i="10"/>
  <c r="BX140" i="10"/>
  <c r="BX157" i="10"/>
  <c r="BX19" i="10"/>
  <c r="BY18" i="10"/>
  <c r="CH17" i="10"/>
  <c r="CG140" i="10"/>
  <c r="CG220" i="10"/>
  <c r="CG132" i="10"/>
  <c r="CG290" i="10"/>
  <c r="CG29" i="10"/>
  <c r="CI29" i="10" s="1"/>
  <c r="CJ29" i="10" s="1"/>
  <c r="Q11" i="10"/>
  <c r="BO22" i="10"/>
  <c r="CG130" i="10"/>
  <c r="CG200" i="10"/>
  <c r="BF24" i="10"/>
  <c r="BX26" i="10"/>
  <c r="CG233" i="10"/>
  <c r="CG64" i="10"/>
  <c r="CG203" i="10"/>
  <c r="CG216" i="10"/>
  <c r="CI216" i="10" s="1"/>
  <c r="CJ216" i="10" s="1"/>
  <c r="CH21" i="10"/>
  <c r="CG133" i="10"/>
  <c r="CG188" i="10"/>
  <c r="CG54" i="10"/>
  <c r="CG118" i="10"/>
  <c r="BO21" i="10"/>
  <c r="BO36" i="10"/>
  <c r="CG73" i="10"/>
  <c r="CG168" i="10"/>
  <c r="CI168" i="10" s="1"/>
  <c r="CJ168" i="10" s="1"/>
  <c r="CG120" i="10"/>
  <c r="CG184" i="10"/>
  <c r="CG283" i="10"/>
  <c r="BO17" i="10"/>
  <c r="CG244" i="10"/>
  <c r="CI244" i="10" s="1"/>
  <c r="CJ244" i="10" s="1"/>
  <c r="CG139" i="10"/>
  <c r="BY22" i="10"/>
  <c r="CG122" i="10"/>
  <c r="CI122" i="10" s="1"/>
  <c r="CJ122" i="10" s="1"/>
  <c r="CG52" i="10"/>
  <c r="BO34" i="10"/>
  <c r="BQ34" i="10" s="1"/>
  <c r="BR34" i="10" s="1"/>
  <c r="BO59" i="10"/>
  <c r="BQ59" i="10" s="1"/>
  <c r="BR59" i="10" s="1"/>
  <c r="BF27" i="10"/>
  <c r="BO73" i="10"/>
  <c r="BX42" i="10"/>
  <c r="BF49" i="10"/>
  <c r="BX52" i="10"/>
  <c r="BF62" i="10"/>
  <c r="BX72" i="10"/>
  <c r="BX82" i="10"/>
  <c r="BX100" i="10"/>
  <c r="BX115" i="10"/>
  <c r="BO70" i="10"/>
  <c r="BF34" i="10"/>
  <c r="BO78" i="10"/>
  <c r="BX39" i="10"/>
  <c r="BX43" i="10"/>
  <c r="BO91" i="10"/>
  <c r="BF61" i="10"/>
  <c r="BX64" i="10"/>
  <c r="BX88" i="10"/>
  <c r="BZ88" i="10" s="1"/>
  <c r="CA88" i="10" s="1"/>
  <c r="BX104" i="10"/>
  <c r="BX119" i="10"/>
  <c r="BX141" i="10"/>
  <c r="BX156" i="10"/>
  <c r="BX131" i="10"/>
  <c r="BX144" i="10"/>
  <c r="BX161" i="10"/>
  <c r="CH26" i="10"/>
  <c r="BP30" i="10"/>
  <c r="BY26" i="10"/>
  <c r="CH28" i="10"/>
  <c r="BY27" i="10"/>
  <c r="BY28" i="10"/>
  <c r="BP32" i="10"/>
  <c r="CH30" i="10"/>
  <c r="BY29" i="10"/>
  <c r="CH31" i="10"/>
  <c r="BY30" i="10"/>
  <c r="BG32" i="10"/>
  <c r="CH32" i="10"/>
  <c r="BY32" i="10"/>
  <c r="CH33" i="10"/>
  <c r="BY33" i="10"/>
  <c r="BP37" i="10"/>
  <c r="CH35" i="10"/>
  <c r="BY34" i="10"/>
  <c r="BY35" i="10"/>
  <c r="CH36" i="10"/>
  <c r="BY36" i="10"/>
  <c r="CH37" i="10"/>
  <c r="BY37" i="10"/>
  <c r="BP41" i="10"/>
  <c r="CH39" i="10"/>
  <c r="BG39" i="10"/>
  <c r="CH40" i="10"/>
  <c r="BY39" i="10"/>
  <c r="CH41" i="10"/>
  <c r="BP44" i="10"/>
  <c r="BY41" i="10"/>
  <c r="BG42" i="10"/>
  <c r="BY42" i="10"/>
  <c r="CH43" i="10"/>
  <c r="BY43" i="10"/>
  <c r="BG44" i="10"/>
  <c r="BY44" i="10"/>
  <c r="BG45" i="10"/>
  <c r="BG46" i="10"/>
  <c r="BY45" i="10"/>
  <c r="BY46" i="10"/>
  <c r="CH47" i="10"/>
  <c r="CH48" i="10"/>
  <c r="CI48" i="10" s="1"/>
  <c r="CJ48" i="10" s="1"/>
  <c r="BY47" i="10"/>
  <c r="BG49" i="10"/>
  <c r="CH49" i="10"/>
  <c r="BY49" i="10"/>
  <c r="CH50" i="10"/>
  <c r="CH51" i="10"/>
  <c r="BY50" i="10"/>
  <c r="BP55" i="10"/>
  <c r="BY51" i="10"/>
  <c r="BY52" i="10"/>
  <c r="CH53" i="10"/>
  <c r="BP57" i="10"/>
  <c r="CH54" i="10"/>
  <c r="BG55" i="10"/>
  <c r="BY54" i="10"/>
  <c r="BG56" i="10"/>
  <c r="CH56" i="10"/>
  <c r="CH57" i="10"/>
  <c r="BY56" i="10"/>
  <c r="BG58" i="10"/>
  <c r="BP61" i="10"/>
  <c r="BP62" i="10"/>
  <c r="BY58" i="10"/>
  <c r="BY59" i="10"/>
  <c r="BG60" i="10"/>
  <c r="BG61" i="10"/>
  <c r="BY60" i="10"/>
  <c r="BY61" i="10"/>
  <c r="BG62" i="10"/>
  <c r="BP66" i="10"/>
  <c r="BG63" i="10"/>
  <c r="BP67" i="10"/>
  <c r="CH64" i="10"/>
  <c r="CH65" i="10"/>
  <c r="BG65" i="10"/>
  <c r="CH66" i="10"/>
  <c r="BG66" i="10"/>
  <c r="BP70" i="10"/>
  <c r="BY66" i="10"/>
  <c r="BY67" i="10"/>
  <c r="BP72" i="10"/>
  <c r="BY68" i="10"/>
  <c r="BP73" i="10"/>
  <c r="BY70" i="10"/>
  <c r="BP74" i="10"/>
  <c r="CH72" i="10"/>
  <c r="BY72" i="10"/>
  <c r="CH73" i="10"/>
  <c r="BY73" i="10"/>
  <c r="CH75" i="10"/>
  <c r="BY74" i="10"/>
  <c r="BY75" i="10"/>
  <c r="BP80" i="10"/>
  <c r="BY76" i="10"/>
  <c r="CH78" i="10"/>
  <c r="CH79" i="10"/>
  <c r="BY78" i="10"/>
  <c r="BY79" i="10"/>
  <c r="CH81" i="10"/>
  <c r="BY80" i="10"/>
  <c r="BP85" i="10"/>
  <c r="CH83" i="10"/>
  <c r="BP86" i="10"/>
  <c r="BY83" i="10"/>
  <c r="BY84" i="10"/>
  <c r="CH85" i="10"/>
  <c r="CH86" i="10"/>
  <c r="BY86" i="10"/>
  <c r="CH87" i="10"/>
  <c r="BP91" i="10"/>
  <c r="CH89" i="10"/>
  <c r="CH90" i="10"/>
  <c r="BY90" i="10"/>
  <c r="CH92" i="10"/>
  <c r="BY92" i="10"/>
  <c r="CH94" i="10"/>
  <c r="CH95" i="10"/>
  <c r="BY95" i="10"/>
  <c r="BY96" i="10"/>
  <c r="CH98" i="10"/>
  <c r="BY98" i="10"/>
  <c r="BY99" i="10"/>
  <c r="BY100" i="10"/>
  <c r="BY101" i="10"/>
  <c r="CH103" i="10"/>
  <c r="CH104" i="10"/>
  <c r="CH105" i="10"/>
  <c r="CH106" i="10"/>
  <c r="CH107" i="10"/>
  <c r="BY107" i="10"/>
  <c r="BY108" i="10"/>
  <c r="BY109" i="10"/>
  <c r="CH111" i="10"/>
  <c r="CH112" i="10"/>
  <c r="CH113" i="10"/>
  <c r="CH114" i="10"/>
  <c r="CH115" i="10"/>
  <c r="CH116" i="10"/>
  <c r="CH117" i="10"/>
  <c r="CH118" i="10"/>
  <c r="CH119" i="10"/>
  <c r="BY119" i="10"/>
  <c r="CH121" i="10"/>
  <c r="BY121" i="10"/>
  <c r="CH123" i="10"/>
  <c r="CH124" i="10"/>
  <c r="BY124" i="10"/>
  <c r="BY125" i="10"/>
  <c r="BY126" i="10"/>
  <c r="CH128" i="10"/>
  <c r="BY128" i="10"/>
  <c r="BY129" i="10"/>
  <c r="CG474" i="10"/>
  <c r="CG578" i="10"/>
  <c r="CG352" i="10"/>
  <c r="BX393" i="10"/>
  <c r="CG624" i="10"/>
  <c r="CG441" i="10"/>
  <c r="BO365" i="10"/>
  <c r="CG604" i="10"/>
  <c r="BF359" i="10"/>
  <c r="CG476" i="10"/>
  <c r="CI476" i="10" s="1"/>
  <c r="CJ476" i="10" s="1"/>
  <c r="BX401" i="10"/>
  <c r="CG436" i="10"/>
  <c r="CH331" i="10"/>
  <c r="BO339" i="10"/>
  <c r="CG600" i="10"/>
  <c r="BX406" i="10"/>
  <c r="BX471" i="10"/>
  <c r="CG589" i="10"/>
  <c r="BX334" i="10"/>
  <c r="CG470" i="10"/>
  <c r="CI470" i="10" s="1"/>
  <c r="CJ470" i="10" s="1"/>
  <c r="T11" i="10"/>
  <c r="CG514" i="10"/>
  <c r="CG611" i="10"/>
  <c r="CG518" i="10"/>
  <c r="BP327" i="10"/>
  <c r="CG626" i="10"/>
  <c r="BP338" i="10"/>
  <c r="BX350" i="10"/>
  <c r="BO376" i="10"/>
  <c r="BX416" i="10"/>
  <c r="BX349" i="10"/>
  <c r="BP335" i="10"/>
  <c r="CG403" i="10"/>
  <c r="CH335" i="10"/>
  <c r="BX344" i="10"/>
  <c r="CG590" i="10"/>
  <c r="CI590" i="10" s="1"/>
  <c r="CJ590" i="10" s="1"/>
  <c r="BX365" i="10"/>
  <c r="BX459" i="10"/>
  <c r="BZ459" i="10" s="1"/>
  <c r="CA459" i="10" s="1"/>
  <c r="CG516" i="10"/>
  <c r="BO351" i="10"/>
  <c r="CG541" i="10"/>
  <c r="CG479" i="10"/>
  <c r="BO329" i="10"/>
  <c r="CG388" i="10"/>
  <c r="CI388" i="10" s="1"/>
  <c r="CJ388" i="10" s="1"/>
  <c r="CG435" i="10"/>
  <c r="BX383" i="10"/>
  <c r="BZ383" i="10" s="1"/>
  <c r="CA383" i="10" s="1"/>
  <c r="CG548" i="10"/>
  <c r="CG469" i="10"/>
  <c r="CG621" i="10"/>
  <c r="CH330" i="10"/>
  <c r="BO327" i="10"/>
  <c r="CG381" i="10"/>
  <c r="CI381" i="10" s="1"/>
  <c r="CJ381" i="10" s="1"/>
  <c r="CG457" i="10"/>
  <c r="CG488" i="10"/>
  <c r="BO369" i="10"/>
  <c r="CG557" i="10"/>
  <c r="BY328" i="10"/>
  <c r="BO362" i="10"/>
  <c r="CG425" i="10"/>
  <c r="CG449" i="10"/>
  <c r="CG364" i="10"/>
  <c r="BX414" i="10"/>
  <c r="BF344" i="10"/>
  <c r="CG368" i="10"/>
  <c r="CG617" i="10"/>
  <c r="BX418" i="10"/>
  <c r="BY327" i="10"/>
  <c r="BO389" i="10"/>
  <c r="CG592" i="10"/>
  <c r="BX427" i="10"/>
  <c r="CG414" i="10"/>
  <c r="BX340" i="10"/>
  <c r="BF363" i="10"/>
  <c r="CG577" i="10"/>
  <c r="CG546" i="10"/>
  <c r="CG419" i="10"/>
  <c r="BO374" i="10"/>
  <c r="CG542" i="10"/>
  <c r="CG480" i="10"/>
  <c r="BX358" i="10"/>
  <c r="BX438" i="10"/>
  <c r="BX466" i="10"/>
  <c r="CG458" i="10"/>
  <c r="BO331" i="10"/>
  <c r="BX413" i="10"/>
  <c r="BO350" i="10"/>
  <c r="BQ350" i="10" s="1"/>
  <c r="BR350" i="10" s="1"/>
  <c r="CG511" i="10"/>
  <c r="BO337" i="10"/>
  <c r="BX347" i="10"/>
  <c r="BO394" i="10"/>
  <c r="CG342" i="10"/>
  <c r="CI342" i="10" s="1"/>
  <c r="CJ342" i="10" s="1"/>
  <c r="CG533" i="10"/>
  <c r="BP337" i="10"/>
  <c r="BX426" i="10"/>
  <c r="BX458" i="10"/>
  <c r="CG432" i="10"/>
  <c r="CG400" i="10"/>
  <c r="CG343" i="10"/>
  <c r="CI343" i="10" s="1"/>
  <c r="CJ343" i="10" s="1"/>
  <c r="CG560" i="10"/>
  <c r="BX389" i="10"/>
  <c r="CG568" i="10"/>
  <c r="CG375" i="10"/>
  <c r="BO402" i="10"/>
  <c r="BX371" i="10"/>
  <c r="CG500" i="10"/>
  <c r="CG338" i="10"/>
  <c r="CG613" i="10"/>
  <c r="BG330" i="10"/>
  <c r="BF349" i="10"/>
  <c r="CG535" i="10"/>
  <c r="CG531" i="10"/>
  <c r="CG467" i="10"/>
  <c r="BX410" i="10"/>
  <c r="BX445" i="10"/>
  <c r="CG605" i="10"/>
  <c r="BX352" i="10"/>
  <c r="CG538" i="10"/>
  <c r="BF362" i="10"/>
  <c r="BO372" i="10"/>
  <c r="BX370" i="10"/>
  <c r="BF355" i="10"/>
  <c r="BF369" i="10"/>
  <c r="BH369" i="10" s="1"/>
  <c r="BI369" i="10" s="1"/>
  <c r="BX463" i="10"/>
  <c r="CG591" i="10"/>
  <c r="BO343" i="10"/>
  <c r="CG428" i="10"/>
  <c r="CG359" i="10"/>
  <c r="BO341" i="10"/>
  <c r="CG515" i="10"/>
  <c r="BP334" i="10"/>
  <c r="BX449" i="10"/>
  <c r="BF354" i="10"/>
  <c r="BF345" i="10"/>
  <c r="CG496" i="10"/>
  <c r="CG383" i="10"/>
  <c r="CG556" i="10"/>
  <c r="BO392" i="10"/>
  <c r="CG353" i="10"/>
  <c r="BO395" i="10"/>
  <c r="BQ395" i="10" s="1"/>
  <c r="BR395" i="10" s="1"/>
  <c r="BX392" i="10"/>
  <c r="BZ392" i="10" s="1"/>
  <c r="CA392" i="10" s="1"/>
  <c r="BX473" i="10"/>
  <c r="BP333" i="10"/>
  <c r="CG349" i="10"/>
  <c r="CI349" i="10" s="1"/>
  <c r="CJ349" i="10" s="1"/>
  <c r="BO344" i="10"/>
  <c r="BF327" i="10"/>
  <c r="CG587" i="10"/>
  <c r="BX432" i="10"/>
  <c r="CG386" i="10"/>
  <c r="CG616" i="10"/>
  <c r="CG555" i="10"/>
  <c r="CG371" i="10"/>
  <c r="BX405" i="10"/>
  <c r="BO399" i="10"/>
  <c r="BX343" i="10"/>
  <c r="CG465" i="10"/>
  <c r="BX330" i="10"/>
  <c r="BX452" i="10"/>
  <c r="CG466" i="10"/>
  <c r="CI466" i="10" s="1"/>
  <c r="CJ466" i="10" s="1"/>
  <c r="CG601" i="10"/>
  <c r="BO398" i="10"/>
  <c r="CG421" i="10"/>
  <c r="BX419" i="10"/>
  <c r="BX453" i="10"/>
  <c r="BZ453" i="10" s="1"/>
  <c r="CA453" i="10" s="1"/>
  <c r="CG468" i="10"/>
  <c r="CG360" i="10"/>
  <c r="BX382" i="10"/>
  <c r="CG387" i="10"/>
  <c r="CG494" i="10"/>
  <c r="CG460" i="10"/>
  <c r="BX362" i="10"/>
  <c r="CG357" i="10"/>
  <c r="CG409" i="10"/>
  <c r="CG620" i="10"/>
  <c r="BX357" i="10"/>
  <c r="BX428" i="10"/>
  <c r="BX461" i="10"/>
  <c r="CG508" i="10"/>
  <c r="CG391" i="10"/>
  <c r="BO386" i="10"/>
  <c r="CG335" i="10"/>
  <c r="BO348" i="10"/>
  <c r="CG444" i="10"/>
  <c r="CG612" i="10"/>
  <c r="BF352" i="10"/>
  <c r="BX395" i="10"/>
  <c r="BF350" i="10"/>
  <c r="BX329" i="10"/>
  <c r="CG392" i="10"/>
  <c r="CH332" i="10"/>
  <c r="CG330" i="10"/>
  <c r="CG490" i="10"/>
  <c r="CG363" i="10"/>
  <c r="CG525" i="10"/>
  <c r="BX412" i="10"/>
  <c r="BX450" i="10"/>
  <c r="BG334" i="10"/>
  <c r="BG338" i="10"/>
  <c r="BP340" i="10"/>
  <c r="CH339" i="10"/>
  <c r="BP342" i="10"/>
  <c r="CH341" i="10"/>
  <c r="BY342" i="10"/>
  <c r="BY343" i="10"/>
  <c r="BY344" i="10"/>
  <c r="CG564" i="10"/>
  <c r="BX327" i="10"/>
  <c r="BF368" i="10"/>
  <c r="BO388" i="10"/>
  <c r="BX436" i="10"/>
  <c r="BO383" i="10"/>
  <c r="BQ383" i="10" s="1"/>
  <c r="BR383" i="10" s="1"/>
  <c r="CG454" i="10"/>
  <c r="CI454" i="10" s="1"/>
  <c r="CJ454" i="10" s="1"/>
  <c r="BO352" i="10"/>
  <c r="CG513" i="10"/>
  <c r="CG562" i="10"/>
  <c r="BF338" i="10"/>
  <c r="BY334" i="10"/>
  <c r="BO360" i="10"/>
  <c r="BO347" i="10"/>
  <c r="CG567" i="10"/>
  <c r="BX451" i="10"/>
  <c r="CG377" i="10"/>
  <c r="BF332" i="10"/>
  <c r="CG413" i="10"/>
  <c r="CG507" i="10"/>
  <c r="CG498" i="10"/>
  <c r="BX402" i="10"/>
  <c r="BX474" i="10"/>
  <c r="BZ474" i="10" s="1"/>
  <c r="CA474" i="10" s="1"/>
  <c r="CG344" i="10"/>
  <c r="BX336" i="10"/>
  <c r="CG530" i="10"/>
  <c r="CI530" i="10" s="1"/>
  <c r="CJ530" i="10" s="1"/>
  <c r="CG595" i="10"/>
  <c r="CG430" i="10"/>
  <c r="CI430" i="10" s="1"/>
  <c r="CJ430" i="10" s="1"/>
  <c r="BF376" i="10"/>
  <c r="BX328" i="10"/>
  <c r="BO334" i="10"/>
  <c r="BX429" i="10"/>
  <c r="BO393" i="10"/>
  <c r="BX391" i="10"/>
  <c r="CG502" i="10"/>
  <c r="BX373" i="10"/>
  <c r="CG456" i="10"/>
  <c r="CG415" i="10"/>
  <c r="CG477" i="10"/>
  <c r="BY335" i="10"/>
  <c r="CG574" i="10"/>
  <c r="BX366" i="10"/>
  <c r="BZ366" i="10" s="1"/>
  <c r="CA366" i="10" s="1"/>
  <c r="BX356" i="10"/>
  <c r="BO366" i="10"/>
  <c r="CG504" i="10"/>
  <c r="CG394" i="10"/>
  <c r="CG520" i="10"/>
  <c r="BF346" i="10"/>
  <c r="BX465" i="10"/>
  <c r="CG347" i="10"/>
  <c r="BO332" i="10"/>
  <c r="CG418" i="10"/>
  <c r="CI418" i="10" s="1"/>
  <c r="CJ418" i="10" s="1"/>
  <c r="CG440" i="10"/>
  <c r="BX476" i="10"/>
  <c r="BZ476" i="10" s="1"/>
  <c r="CA476" i="10" s="1"/>
  <c r="CG522" i="10"/>
  <c r="BX377" i="10"/>
  <c r="BX469" i="10"/>
  <c r="CG406" i="10"/>
  <c r="CI406" i="10" s="1"/>
  <c r="CJ406" i="10" s="1"/>
  <c r="CG491" i="10"/>
  <c r="BF347" i="10"/>
  <c r="BH347" i="10" s="1"/>
  <c r="BI347" i="10" s="1"/>
  <c r="BF370" i="10"/>
  <c r="CG606" i="10"/>
  <c r="CI606" i="10" s="1"/>
  <c r="CJ606" i="10" s="1"/>
  <c r="BX443" i="10"/>
  <c r="BF357" i="10"/>
  <c r="BF351" i="10"/>
  <c r="CG495" i="10"/>
  <c r="CG464" i="10"/>
  <c r="CG563" i="10"/>
  <c r="CG539" i="10"/>
  <c r="CI539" i="10" s="1"/>
  <c r="CJ539" i="10" s="1"/>
  <c r="BX390" i="10"/>
  <c r="BZ390" i="10" s="1"/>
  <c r="CA390" i="10" s="1"/>
  <c r="CG361" i="10"/>
  <c r="CI361" i="10" s="1"/>
  <c r="CJ361" i="10" s="1"/>
  <c r="BX369" i="10"/>
  <c r="BX464" i="10"/>
  <c r="BG339" i="10"/>
  <c r="BG341" i="10"/>
  <c r="BG343" i="10"/>
  <c r="BG345" i="10"/>
  <c r="BP347" i="10"/>
  <c r="CH346" i="10"/>
  <c r="BP349" i="10"/>
  <c r="BG349" i="10"/>
  <c r="BY349" i="10"/>
  <c r="BG351" i="10"/>
  <c r="BG352" i="10"/>
  <c r="CH352" i="10"/>
  <c r="BG354" i="10"/>
  <c r="BP356" i="10"/>
  <c r="CH355" i="10"/>
  <c r="BY356" i="10"/>
  <c r="BY357" i="10"/>
  <c r="BY358" i="10"/>
  <c r="BY359" i="10"/>
  <c r="BP362" i="10"/>
  <c r="BY361" i="10"/>
  <c r="BG363" i="10"/>
  <c r="BG364" i="10"/>
  <c r="BP366" i="10"/>
  <c r="BG366" i="10"/>
  <c r="CH366" i="10"/>
  <c r="BG368" i="10"/>
  <c r="BP370" i="10"/>
  <c r="BP371" i="10"/>
  <c r="CH370" i="10"/>
  <c r="CH371" i="10"/>
  <c r="BP374" i="10"/>
  <c r="BP375" i="10"/>
  <c r="BP376" i="10"/>
  <c r="BY375" i="10"/>
  <c r="CH376" i="10"/>
  <c r="CH377" i="10"/>
  <c r="BP381" i="10"/>
  <c r="BP382" i="10"/>
  <c r="BY381" i="10"/>
  <c r="CH383" i="10"/>
  <c r="BY384" i="10"/>
  <c r="CH385" i="10"/>
  <c r="BY387" i="10"/>
  <c r="BY388" i="10"/>
  <c r="CH389" i="10"/>
  <c r="BY391" i="10"/>
  <c r="CH392" i="10"/>
  <c r="CH393" i="10"/>
  <c r="BY395" i="10"/>
  <c r="BY396" i="10"/>
  <c r="BY397" i="10"/>
  <c r="BP401" i="10"/>
  <c r="BP402" i="10"/>
  <c r="BY402" i="10"/>
  <c r="BY404" i="10"/>
  <c r="BY406" i="10"/>
  <c r="BY408" i="10"/>
  <c r="BY410" i="10"/>
  <c r="BY412" i="10"/>
  <c r="BY414" i="10"/>
  <c r="CH416" i="10"/>
  <c r="BY418" i="10"/>
  <c r="BY420" i="10"/>
  <c r="BY422" i="10"/>
  <c r="BY424" i="10"/>
  <c r="BY426" i="10"/>
  <c r="BY428" i="10"/>
  <c r="BY430" i="10"/>
  <c r="CH432" i="10"/>
  <c r="BY434" i="10"/>
  <c r="CH436" i="10"/>
  <c r="BY438" i="10"/>
  <c r="CH440" i="10"/>
  <c r="BY442" i="10"/>
  <c r="CH444" i="10"/>
  <c r="BY446" i="10"/>
  <c r="BY448" i="10"/>
  <c r="CH450" i="10"/>
  <c r="CH452" i="10"/>
  <c r="BY454" i="10"/>
  <c r="BY456" i="10"/>
  <c r="CH458" i="10"/>
  <c r="BY460" i="10"/>
  <c r="BX345" i="10"/>
  <c r="BO354" i="10"/>
  <c r="BQ354" i="10" s="1"/>
  <c r="BR354" i="10" s="1"/>
  <c r="BO385" i="10"/>
  <c r="BQ385" i="10" s="1"/>
  <c r="BR385" i="10" s="1"/>
  <c r="BO400" i="10"/>
  <c r="CG453" i="10"/>
  <c r="BX399" i="10"/>
  <c r="BX367" i="10"/>
  <c r="CG527" i="10"/>
  <c r="BX467" i="10"/>
  <c r="CG362" i="10"/>
  <c r="CG438" i="10"/>
  <c r="CI438" i="10" s="1"/>
  <c r="CJ438" i="10" s="1"/>
  <c r="CG566" i="10"/>
  <c r="CI566" i="10" s="1"/>
  <c r="CJ566" i="10" s="1"/>
  <c r="CG336" i="10"/>
  <c r="CG416" i="10"/>
  <c r="CG575" i="10"/>
  <c r="CG446" i="10"/>
  <c r="BX448" i="10"/>
  <c r="BG327" i="10"/>
  <c r="CG366" i="10"/>
  <c r="BO363" i="10"/>
  <c r="CG483" i="10"/>
  <c r="BX468" i="10"/>
  <c r="BG331" i="10"/>
  <c r="BX346" i="10"/>
  <c r="BX462" i="10"/>
  <c r="CG509" i="10"/>
  <c r="CG493" i="10"/>
  <c r="BO390" i="10"/>
  <c r="CG482" i="10"/>
  <c r="CG437" i="10"/>
  <c r="BX420" i="10"/>
  <c r="CG398" i="10"/>
  <c r="CG401" i="10"/>
  <c r="BX375" i="10"/>
  <c r="CG395" i="10"/>
  <c r="BX363" i="10"/>
  <c r="CG378" i="10"/>
  <c r="CG571" i="10"/>
  <c r="CG540" i="10"/>
  <c r="CG365" i="10"/>
  <c r="BX442" i="10"/>
  <c r="BY337" i="10"/>
  <c r="BY339" i="10"/>
  <c r="BY341" i="10"/>
  <c r="BG344" i="10"/>
  <c r="BY345" i="10"/>
  <c r="BG348" i="10"/>
  <c r="BP351" i="10"/>
  <c r="CH351" i="10"/>
  <c r="CH353" i="10"/>
  <c r="BG356" i="10"/>
  <c r="CH357" i="10"/>
  <c r="CH359" i="10"/>
  <c r="BP363" i="10"/>
  <c r="CH363" i="10"/>
  <c r="CH365" i="10"/>
  <c r="CH367" i="10"/>
  <c r="BY369" i="10"/>
  <c r="BY371" i="10"/>
  <c r="BY373" i="10"/>
  <c r="CH375" i="10"/>
  <c r="BY377" i="10"/>
  <c r="BY380" i="10"/>
  <c r="CH382" i="10"/>
  <c r="BY385" i="10"/>
  <c r="BP390" i="10"/>
  <c r="CH390" i="10"/>
  <c r="BY393" i="10"/>
  <c r="BP398" i="10"/>
  <c r="CH398" i="10"/>
  <c r="CH401" i="10"/>
  <c r="BY405" i="10"/>
  <c r="BY409" i="10"/>
  <c r="CH413" i="10"/>
  <c r="CH417" i="10"/>
  <c r="CH421" i="10"/>
  <c r="CH425" i="10"/>
  <c r="CH429" i="10"/>
  <c r="CH433" i="10"/>
  <c r="CH437" i="10"/>
  <c r="CH441" i="10"/>
  <c r="CH445" i="10"/>
  <c r="CH449" i="10"/>
  <c r="CH453" i="10"/>
  <c r="CH457" i="10"/>
  <c r="CH461" i="10"/>
  <c r="CH463" i="10"/>
  <c r="BY465" i="10"/>
  <c r="CH467" i="10"/>
  <c r="BY469" i="10"/>
  <c r="CH471" i="10"/>
  <c r="BY473" i="10"/>
  <c r="CH475" i="10"/>
  <c r="CH477" i="10"/>
  <c r="CH481" i="10"/>
  <c r="CH485" i="10"/>
  <c r="CH489" i="10"/>
  <c r="CH493" i="10"/>
  <c r="CH497" i="10"/>
  <c r="CH501" i="10"/>
  <c r="CH505" i="10"/>
  <c r="CH509" i="10"/>
  <c r="CH513" i="10"/>
  <c r="CH517" i="10"/>
  <c r="CH521" i="10"/>
  <c r="CH525" i="10"/>
  <c r="CH529" i="10"/>
  <c r="CH533" i="10"/>
  <c r="CH537" i="10"/>
  <c r="CH541" i="10"/>
  <c r="CH545" i="10"/>
  <c r="CH549" i="10"/>
  <c r="CH553" i="10"/>
  <c r="CH557" i="10"/>
  <c r="CH561" i="10"/>
  <c r="CH565" i="10"/>
  <c r="CH569" i="10"/>
  <c r="CH573" i="10"/>
  <c r="CH577" i="10"/>
  <c r="CH581" i="10"/>
  <c r="CH585" i="10"/>
  <c r="CH589" i="10"/>
  <c r="CH593" i="10"/>
  <c r="CH597" i="10"/>
  <c r="CH601" i="10"/>
  <c r="CH605" i="10"/>
  <c r="CH609" i="10"/>
  <c r="CH613" i="10"/>
  <c r="CH617" i="10"/>
  <c r="CH621" i="10"/>
  <c r="CH625" i="10"/>
  <c r="DQ206" i="10"/>
  <c r="DS206" i="10" s="1"/>
  <c r="DT206" i="10" s="1"/>
  <c r="DQ23" i="10"/>
  <c r="DH58" i="10"/>
  <c r="DQ155" i="10"/>
  <c r="DQ282" i="10"/>
  <c r="DQ50" i="10"/>
  <c r="DQ237" i="10"/>
  <c r="DS237" i="10" s="1"/>
  <c r="DT237" i="10" s="1"/>
  <c r="DQ308" i="10"/>
  <c r="DQ268" i="10"/>
  <c r="CY43" i="10"/>
  <c r="CQ30" i="10"/>
  <c r="DR34" i="10"/>
  <c r="DI38" i="10"/>
  <c r="DR40" i="10"/>
  <c r="CQ42" i="10"/>
  <c r="CQ44" i="10"/>
  <c r="CQ46" i="10"/>
  <c r="CQ48" i="10"/>
  <c r="CQ50" i="10"/>
  <c r="CQ52" i="10"/>
  <c r="CZ53" i="10"/>
  <c r="CQ56" i="10"/>
  <c r="DI58" i="10"/>
  <c r="CQ60" i="10"/>
  <c r="CQ62" i="10"/>
  <c r="CQ64" i="10"/>
  <c r="DI66" i="10"/>
  <c r="DR69" i="10"/>
  <c r="CZ71" i="10"/>
  <c r="DI74" i="10"/>
  <c r="DI77" i="10"/>
  <c r="DR80" i="10"/>
  <c r="DI82" i="10"/>
  <c r="DR85" i="10"/>
  <c r="DQ84" i="10"/>
  <c r="DQ258" i="10"/>
  <c r="DS258" i="10" s="1"/>
  <c r="DT258" i="10" s="1"/>
  <c r="DH103" i="10"/>
  <c r="DH54" i="10"/>
  <c r="DQ269" i="10"/>
  <c r="CQ32" i="10"/>
  <c r="DR39" i="10"/>
  <c r="CZ42" i="10"/>
  <c r="CQ47" i="10"/>
  <c r="DR51" i="10"/>
  <c r="CQ55" i="10"/>
  <c r="CQ59" i="10"/>
  <c r="CQ63" i="10"/>
  <c r="CZ67" i="10"/>
  <c r="CZ72" i="10"/>
  <c r="DR78" i="10"/>
  <c r="DI84" i="10"/>
  <c r="DQ77" i="10"/>
  <c r="CY31" i="10"/>
  <c r="DA31" i="10" s="1"/>
  <c r="DB31" i="10" s="1"/>
  <c r="DH137" i="10"/>
  <c r="CQ41" i="10"/>
  <c r="CQ49" i="10"/>
  <c r="CQ57" i="10"/>
  <c r="DR65" i="10"/>
  <c r="DI76" i="10"/>
  <c r="DR316" i="10"/>
  <c r="DR312" i="10"/>
  <c r="DR308" i="10"/>
  <c r="DR304" i="10"/>
  <c r="DR300" i="10"/>
  <c r="DR296" i="10"/>
  <c r="DR292" i="10"/>
  <c r="DR288" i="10"/>
  <c r="DR284" i="10"/>
  <c r="DR280" i="10"/>
  <c r="DR276" i="10"/>
  <c r="DR272" i="10"/>
  <c r="DR268" i="10"/>
  <c r="DR264" i="10"/>
  <c r="DR260" i="10"/>
  <c r="DR256" i="10"/>
  <c r="DR252" i="10"/>
  <c r="DR248" i="10"/>
  <c r="DR244" i="10"/>
  <c r="DR240" i="10"/>
  <c r="DR236" i="10"/>
  <c r="DR232" i="10"/>
  <c r="DR228" i="10"/>
  <c r="DR224" i="10"/>
  <c r="DR220" i="10"/>
  <c r="DR216" i="10"/>
  <c r="DR212" i="10"/>
  <c r="DR208" i="10"/>
  <c r="DR204" i="10"/>
  <c r="DR200" i="10"/>
  <c r="DR196" i="10"/>
  <c r="DR192" i="10"/>
  <c r="DR188" i="10"/>
  <c r="DR184" i="10"/>
  <c r="DR180" i="10"/>
  <c r="DR176" i="10"/>
  <c r="DR172" i="10"/>
  <c r="DR168" i="10"/>
  <c r="DI165" i="10"/>
  <c r="DI163" i="10"/>
  <c r="DI161" i="10"/>
  <c r="DR159" i="10"/>
  <c r="DR157" i="10"/>
  <c r="DI155" i="10"/>
  <c r="DI153" i="10"/>
  <c r="CH354" i="10"/>
  <c r="CH540" i="10"/>
  <c r="CG481" i="10"/>
  <c r="BF331" i="10"/>
  <c r="BH331" i="10" s="1"/>
  <c r="BI331" i="10" s="1"/>
  <c r="CG447" i="10"/>
  <c r="CG380" i="10"/>
  <c r="CG337" i="10"/>
  <c r="BO382" i="10"/>
  <c r="BQ382" i="10" s="1"/>
  <c r="BR382" i="10" s="1"/>
  <c r="CG489" i="10"/>
  <c r="BF374" i="10"/>
  <c r="BH374" i="10" s="1"/>
  <c r="BI374" i="10" s="1"/>
  <c r="BO367" i="10"/>
  <c r="CG370" i="10"/>
  <c r="BY330" i="10"/>
  <c r="BX359" i="10"/>
  <c r="CG619" i="10"/>
  <c r="CI619" i="10" s="1"/>
  <c r="CJ619" i="10" s="1"/>
  <c r="CH336" i="10"/>
  <c r="BF341" i="10"/>
  <c r="CG345" i="10"/>
  <c r="CI345" i="10" s="1"/>
  <c r="CJ345" i="10" s="1"/>
  <c r="CG552" i="10"/>
  <c r="BX372" i="10"/>
  <c r="CG618" i="10"/>
  <c r="CG393" i="10"/>
  <c r="BP329" i="10"/>
  <c r="BP336" i="10"/>
  <c r="BO361" i="10"/>
  <c r="CG379" i="10"/>
  <c r="CG411" i="10"/>
  <c r="BF353" i="10"/>
  <c r="BX386" i="10"/>
  <c r="CG426" i="10"/>
  <c r="CI426" i="10" s="1"/>
  <c r="CJ426" i="10" s="1"/>
  <c r="CG528" i="10"/>
  <c r="CG485" i="10"/>
  <c r="BG332" i="10"/>
  <c r="BX351" i="10"/>
  <c r="BZ351" i="10" s="1"/>
  <c r="CA351" i="10" s="1"/>
  <c r="BX424" i="10"/>
  <c r="BZ424" i="10" s="1"/>
  <c r="CA424" i="10" s="1"/>
  <c r="BX457" i="10"/>
  <c r="CG354" i="10"/>
  <c r="BO346" i="10"/>
  <c r="CG627" i="10"/>
  <c r="CG512" i="10"/>
  <c r="BX384" i="10"/>
  <c r="CG623" i="10"/>
  <c r="CI623" i="10" s="1"/>
  <c r="CJ623" i="10" s="1"/>
  <c r="CG594" i="10"/>
  <c r="CI594" i="10" s="1"/>
  <c r="CJ594" i="10" s="1"/>
  <c r="CG341" i="10"/>
  <c r="BX368" i="10"/>
  <c r="BZ368" i="10" s="1"/>
  <c r="CA368" i="10" s="1"/>
  <c r="BO384" i="10"/>
  <c r="CG585" i="10"/>
  <c r="BG328" i="10"/>
  <c r="BO364" i="10"/>
  <c r="BQ364" i="10" s="1"/>
  <c r="BR364" i="10" s="1"/>
  <c r="BX422" i="10"/>
  <c r="BZ422" i="10" s="1"/>
  <c r="CA422" i="10" s="1"/>
  <c r="BX337" i="10"/>
  <c r="CG497" i="10"/>
  <c r="BG329" i="10"/>
  <c r="BX341" i="10"/>
  <c r="CG517" i="10"/>
  <c r="BO379" i="10"/>
  <c r="BF334" i="10"/>
  <c r="BF342" i="10"/>
  <c r="CG404" i="10"/>
  <c r="CG463" i="10"/>
  <c r="CI463" i="10" s="1"/>
  <c r="CJ463" i="10" s="1"/>
  <c r="BO380" i="10"/>
  <c r="BX446" i="10"/>
  <c r="BZ446" i="10" s="1"/>
  <c r="CA446" i="10" s="1"/>
  <c r="CG487" i="10"/>
  <c r="CG376" i="10"/>
  <c r="CI376" i="10" s="1"/>
  <c r="CJ376" i="10" s="1"/>
  <c r="BP328" i="10"/>
  <c r="BP331" i="10"/>
  <c r="CG558" i="10"/>
  <c r="CI558" i="10" s="1"/>
  <c r="CJ558" i="10" s="1"/>
  <c r="BO357" i="10"/>
  <c r="BQ357" i="10" s="1"/>
  <c r="BR357" i="10" s="1"/>
  <c r="CG451" i="10"/>
  <c r="CG551" i="10"/>
  <c r="CG492" i="10"/>
  <c r="CG461" i="10"/>
  <c r="CG455" i="10"/>
  <c r="BF367" i="10"/>
  <c r="CG550" i="10"/>
  <c r="BF360" i="10"/>
  <c r="BX409" i="10"/>
  <c r="BX439" i="10"/>
  <c r="BX475" i="10"/>
  <c r="BF373" i="10"/>
  <c r="DR145" i="10"/>
  <c r="DR307" i="10"/>
  <c r="DR165" i="10"/>
  <c r="DR41" i="10"/>
  <c r="CP58" i="10"/>
  <c r="DQ103" i="10"/>
  <c r="DS103" i="10" s="1"/>
  <c r="DT103" i="10" s="1"/>
  <c r="DQ273" i="10"/>
  <c r="DQ183" i="10"/>
  <c r="DQ117" i="10"/>
  <c r="DQ68" i="10"/>
  <c r="DQ166" i="10"/>
  <c r="DH77" i="10"/>
  <c r="DQ229" i="10"/>
  <c r="DQ199" i="10"/>
  <c r="CY21" i="10"/>
  <c r="CP48" i="10"/>
  <c r="CR48" i="10" s="1"/>
  <c r="CS48" i="10" s="1"/>
  <c r="DQ47" i="10"/>
  <c r="DS47" i="10" s="1"/>
  <c r="DT47" i="10" s="1"/>
  <c r="CQ25" i="10"/>
  <c r="DH153" i="10"/>
  <c r="DI19" i="10"/>
  <c r="DQ35" i="10"/>
  <c r="DH115" i="10"/>
  <c r="DQ224" i="10"/>
  <c r="DQ234" i="10"/>
  <c r="DS234" i="10" s="1"/>
  <c r="DT234" i="10" s="1"/>
  <c r="DQ41" i="10"/>
  <c r="DQ231" i="10"/>
  <c r="DQ168" i="10"/>
  <c r="DS168" i="10" s="1"/>
  <c r="DT168" i="10" s="1"/>
  <c r="CP54" i="10"/>
  <c r="DH112" i="10"/>
  <c r="CY16" i="10"/>
  <c r="DH61" i="10"/>
  <c r="CY53" i="10"/>
  <c r="DA53" i="10" s="1"/>
  <c r="DB53" i="10" s="1"/>
  <c r="DQ197" i="10"/>
  <c r="DH24" i="10"/>
  <c r="DQ31" i="10"/>
  <c r="DS31" i="10" s="1"/>
  <c r="DT31" i="10" s="1"/>
  <c r="DQ112" i="10"/>
  <c r="DH16" i="10"/>
  <c r="CP43" i="10"/>
  <c r="DH91" i="10"/>
  <c r="DH121" i="10"/>
  <c r="DJ121" i="10" s="1"/>
  <c r="DK121" i="10" s="1"/>
  <c r="DH155" i="10"/>
  <c r="DQ251" i="10"/>
  <c r="DQ315" i="10"/>
  <c r="CY91" i="10"/>
  <c r="DA91" i="10" s="1"/>
  <c r="DB91" i="10" s="1"/>
  <c r="DQ28" i="10"/>
  <c r="DS28" i="10" s="1"/>
  <c r="DT28" i="10" s="1"/>
  <c r="DQ189" i="10"/>
  <c r="DQ217" i="10"/>
  <c r="CY33" i="10"/>
  <c r="CY22" i="10"/>
  <c r="DQ161" i="10"/>
  <c r="DQ75" i="10"/>
  <c r="DQ66" i="10"/>
  <c r="DS66" i="10" s="1"/>
  <c r="DT66" i="10" s="1"/>
  <c r="DQ133" i="10"/>
  <c r="CY77" i="10"/>
  <c r="DH27" i="10"/>
  <c r="DQ46" i="10"/>
  <c r="DS46" i="10" s="1"/>
  <c r="DT46" i="10" s="1"/>
  <c r="DQ111" i="10"/>
  <c r="DQ190" i="10"/>
  <c r="CQ24" i="10"/>
  <c r="DQ184" i="10"/>
  <c r="DS184" i="10" s="1"/>
  <c r="DT184" i="10" s="1"/>
  <c r="DQ121" i="10"/>
  <c r="DQ81" i="10"/>
  <c r="DH56" i="10"/>
  <c r="DH72" i="10"/>
  <c r="DH104" i="10"/>
  <c r="DH139" i="10"/>
  <c r="DH160" i="10"/>
  <c r="DH22" i="10"/>
  <c r="CP56" i="10"/>
  <c r="CY71" i="10"/>
  <c r="DA71" i="10" s="1"/>
  <c r="DB71" i="10" s="1"/>
  <c r="DQ192" i="10"/>
  <c r="DQ45" i="10"/>
  <c r="DS45" i="10" s="1"/>
  <c r="DT45" i="10" s="1"/>
  <c r="DQ167" i="10"/>
  <c r="CY49" i="10"/>
  <c r="DQ56" i="10"/>
  <c r="DQ96" i="10"/>
  <c r="CP59" i="10"/>
  <c r="DH95" i="10"/>
  <c r="DH125" i="10"/>
  <c r="DJ125" i="10" s="1"/>
  <c r="DK125" i="10" s="1"/>
  <c r="DH164" i="10"/>
  <c r="DJ164" i="10" s="1"/>
  <c r="DK164" i="10" s="1"/>
  <c r="DI27" i="10"/>
  <c r="CQ28" i="10"/>
  <c r="CQ29" i="10"/>
  <c r="DR30" i="10"/>
  <c r="DR102" i="10"/>
  <c r="DQ91" i="10"/>
  <c r="DS91" i="10" s="1"/>
  <c r="DT91" i="10" s="1"/>
  <c r="CY86" i="10"/>
  <c r="DQ65" i="10"/>
  <c r="DS65" i="10" s="1"/>
  <c r="DT65" i="10" s="1"/>
  <c r="CQ16" i="10"/>
  <c r="DH136" i="10"/>
  <c r="DQ305" i="10"/>
  <c r="DQ264" i="10"/>
  <c r="DS264" i="10" s="1"/>
  <c r="DT264" i="10" s="1"/>
  <c r="DH85" i="10"/>
  <c r="CP24" i="10"/>
  <c r="DQ246" i="10"/>
  <c r="DS246" i="10" s="1"/>
  <c r="DT246" i="10" s="1"/>
  <c r="CY47" i="10"/>
  <c r="CY54" i="10"/>
  <c r="DA54" i="10" s="1"/>
  <c r="DB54" i="10" s="1"/>
  <c r="DH79" i="10"/>
  <c r="CP46" i="10"/>
  <c r="CR46" i="10" s="1"/>
  <c r="CS46" i="10" s="1"/>
  <c r="DQ196" i="10"/>
  <c r="CY65" i="10"/>
  <c r="CY58" i="10"/>
  <c r="DH65" i="10"/>
  <c r="DH132" i="10"/>
  <c r="DJ132" i="10" s="1"/>
  <c r="DK132" i="10" s="1"/>
  <c r="DQ204" i="10"/>
  <c r="DQ143" i="10"/>
  <c r="DS143" i="10" s="1"/>
  <c r="DT143" i="10" s="1"/>
  <c r="CP23" i="10"/>
  <c r="DQ179" i="10"/>
  <c r="DQ170" i="10"/>
  <c r="DQ89" i="10"/>
  <c r="CP42" i="10"/>
  <c r="CR42" i="10" s="1"/>
  <c r="CS42" i="10" s="1"/>
  <c r="CY36" i="10"/>
  <c r="DA36" i="10" s="1"/>
  <c r="DB36" i="10" s="1"/>
  <c r="DQ270" i="10"/>
  <c r="DS270" i="10" s="1"/>
  <c r="DT270" i="10" s="1"/>
  <c r="DQ306" i="10"/>
  <c r="DS306" i="10" s="1"/>
  <c r="DT306" i="10" s="1"/>
  <c r="DQ219" i="10"/>
  <c r="DH83" i="10"/>
  <c r="DH150" i="10"/>
  <c r="DJ150" i="10" s="1"/>
  <c r="DK150" i="10" s="1"/>
  <c r="DH47" i="10"/>
  <c r="CZ16" i="10"/>
  <c r="DQ288" i="10"/>
  <c r="DS288" i="10" s="1"/>
  <c r="DT288" i="10" s="1"/>
  <c r="DQ63" i="10"/>
  <c r="DS63" i="10" s="1"/>
  <c r="DT63" i="10" s="1"/>
  <c r="DH45" i="10"/>
  <c r="DH111" i="10"/>
  <c r="DJ111" i="10" s="1"/>
  <c r="DK111" i="10" s="1"/>
  <c r="DR27" i="10"/>
  <c r="DI29" i="10"/>
  <c r="CQ31" i="10"/>
  <c r="DI32" i="10"/>
  <c r="DI33" i="10"/>
  <c r="CZ33" i="10"/>
  <c r="DI35" i="10"/>
  <c r="DR36" i="10"/>
  <c r="CQ37" i="10"/>
  <c r="CQ38" i="10"/>
  <c r="CQ39" i="10"/>
  <c r="CZ39" i="10"/>
  <c r="CZ40" i="10"/>
  <c r="CZ41" i="10"/>
  <c r="DI43" i="10"/>
  <c r="DR44" i="10"/>
  <c r="CZ44" i="10"/>
  <c r="CZ45" i="10"/>
  <c r="CZ46" i="10"/>
  <c r="DI48" i="10"/>
  <c r="DR49" i="10"/>
  <c r="DR50" i="10"/>
  <c r="DI51" i="10"/>
  <c r="CZ51" i="10"/>
  <c r="CZ52" i="10"/>
  <c r="DR54" i="10"/>
  <c r="DR55" i="10"/>
  <c r="DI56" i="10"/>
  <c r="DI57" i="10"/>
  <c r="CQ58" i="10"/>
  <c r="CZ58" i="10"/>
  <c r="DI60" i="10"/>
  <c r="CZ60" i="10"/>
  <c r="DI62" i="10"/>
  <c r="CZ62" i="10"/>
  <c r="CZ63" i="10"/>
  <c r="CZ64" i="10"/>
  <c r="CQ66" i="10"/>
  <c r="DR67" i="10"/>
  <c r="DI68" i="10"/>
  <c r="CZ69" i="10"/>
  <c r="CZ70" i="10"/>
  <c r="DR72" i="10"/>
  <c r="CZ73" i="10"/>
  <c r="CZ74" i="10"/>
  <c r="CZ75" i="10"/>
  <c r="CZ77" i="10"/>
  <c r="DI79" i="10"/>
  <c r="CZ79" i="10"/>
  <c r="DR82" i="10"/>
  <c r="DR83" i="10"/>
  <c r="CZ83" i="10"/>
  <c r="DI37" i="10"/>
  <c r="DR35" i="10"/>
  <c r="CZ32" i="10"/>
  <c r="CZ30" i="10"/>
  <c r="CZ27" i="10"/>
  <c r="DH81" i="10"/>
  <c r="DJ81" i="10" s="1"/>
  <c r="DK81" i="10" s="1"/>
  <c r="DQ289" i="10"/>
  <c r="DQ79" i="10"/>
  <c r="DS79" i="10" s="1"/>
  <c r="DT79" i="10" s="1"/>
  <c r="DH119" i="10"/>
  <c r="CY64" i="10"/>
  <c r="DQ245" i="10"/>
  <c r="DQ195" i="10"/>
  <c r="DQ27" i="10"/>
  <c r="DS27" i="10" s="1"/>
  <c r="DT27" i="10" s="1"/>
  <c r="DQ276" i="10"/>
  <c r="DQ313" i="10"/>
  <c r="DH28" i="10"/>
  <c r="CQ17" i="10"/>
  <c r="DH146" i="10"/>
  <c r="DJ146" i="10" s="1"/>
  <c r="DK146" i="10" s="1"/>
  <c r="DQ286" i="10"/>
  <c r="DS286" i="10" s="1"/>
  <c r="DT286" i="10" s="1"/>
  <c r="CP35" i="10"/>
  <c r="DQ98" i="10"/>
  <c r="DQ114" i="10"/>
  <c r="DH117" i="10"/>
  <c r="CH560" i="10"/>
  <c r="DR227" i="10"/>
  <c r="BX456" i="10"/>
  <c r="CH428" i="10"/>
  <c r="BX447" i="10"/>
  <c r="CH536" i="10"/>
  <c r="CH624" i="10"/>
  <c r="CH496" i="10"/>
  <c r="BP392" i="10"/>
  <c r="BO377" i="10"/>
  <c r="BQ377" i="10" s="1"/>
  <c r="BR377" i="10" s="1"/>
  <c r="CG570" i="10"/>
  <c r="CP31" i="10"/>
  <c r="CR31" i="10" s="1"/>
  <c r="CS31" i="10" s="1"/>
  <c r="DI105" i="10"/>
  <c r="DR275" i="10"/>
  <c r="DR243" i="10"/>
  <c r="DR211" i="10"/>
  <c r="DR179" i="10"/>
  <c r="DR150" i="10"/>
  <c r="DR118" i="10"/>
  <c r="DR88" i="10"/>
  <c r="DR53" i="10"/>
  <c r="DR33" i="10"/>
  <c r="DQ171" i="10"/>
  <c r="CP28" i="10"/>
  <c r="CP61" i="10"/>
  <c r="DQ287" i="10"/>
  <c r="DQ71" i="10"/>
  <c r="DI21" i="10"/>
  <c r="DQ97" i="10"/>
  <c r="DR17" i="10"/>
  <c r="DQ284" i="10"/>
  <c r="DQ255" i="10"/>
  <c r="DQ25" i="10"/>
  <c r="DQ150" i="10"/>
  <c r="DS150" i="10" s="1"/>
  <c r="DT150" i="10" s="1"/>
  <c r="DQ252" i="10"/>
  <c r="DQ205" i="10"/>
  <c r="CP37" i="10"/>
  <c r="DQ141" i="10"/>
  <c r="CY37" i="10"/>
  <c r="DQ94" i="10"/>
  <c r="DS94" i="10" s="1"/>
  <c r="DT94" i="10" s="1"/>
  <c r="CY68" i="10"/>
  <c r="DH82" i="10"/>
  <c r="DJ82" i="10" s="1"/>
  <c r="DK82" i="10" s="1"/>
  <c r="DH148" i="10"/>
  <c r="CP52" i="10"/>
  <c r="CY32" i="10"/>
  <c r="DQ138" i="10"/>
  <c r="DS138" i="10" s="1"/>
  <c r="DT138" i="10" s="1"/>
  <c r="DQ210" i="10"/>
  <c r="DS210" i="10" s="1"/>
  <c r="DT210" i="10" s="1"/>
  <c r="CP50" i="10"/>
  <c r="DH110" i="10"/>
  <c r="DJ110" i="10" s="1"/>
  <c r="DK110" i="10" s="1"/>
  <c r="DQ181" i="10"/>
  <c r="CP18" i="10"/>
  <c r="DQ186" i="10"/>
  <c r="DS186" i="10" s="1"/>
  <c r="DT186" i="10" s="1"/>
  <c r="DQ200" i="10"/>
  <c r="DS200" i="10" s="1"/>
  <c r="DT200" i="10" s="1"/>
  <c r="CY60" i="10"/>
  <c r="DA60" i="10" s="1"/>
  <c r="DB60" i="10" s="1"/>
  <c r="CY48" i="10"/>
  <c r="DA48" i="10" s="1"/>
  <c r="DB48" i="10" s="1"/>
  <c r="DQ280" i="10"/>
  <c r="DS280" i="10" s="1"/>
  <c r="DT280" i="10" s="1"/>
  <c r="DH59" i="10"/>
  <c r="DQ174" i="10"/>
  <c r="DS174" i="10" s="1"/>
  <c r="DT174" i="10" s="1"/>
  <c r="DQ207" i="10"/>
  <c r="DQ109" i="10"/>
  <c r="DH64" i="10"/>
  <c r="DJ64" i="10" s="1"/>
  <c r="DK64" i="10" s="1"/>
  <c r="DH123" i="10"/>
  <c r="DQ99" i="10"/>
  <c r="DQ80" i="10"/>
  <c r="DQ113" i="10"/>
  <c r="CZ20" i="10"/>
  <c r="DQ24" i="10"/>
  <c r="DH88" i="10"/>
  <c r="DJ88" i="10" s="1"/>
  <c r="DK88" i="10" s="1"/>
  <c r="DH145" i="10"/>
  <c r="DJ145" i="10" s="1"/>
  <c r="DK145" i="10" s="1"/>
  <c r="DQ298" i="10"/>
  <c r="DR26" i="10"/>
  <c r="DQ165" i="10"/>
  <c r="DQ55" i="10"/>
  <c r="DR22" i="10"/>
  <c r="DQ299" i="10"/>
  <c r="DH48" i="10"/>
  <c r="CZ19" i="10"/>
  <c r="DI18" i="10"/>
  <c r="DH42" i="10"/>
  <c r="DH69" i="10"/>
  <c r="DJ69" i="10" s="1"/>
  <c r="DK69" i="10" s="1"/>
  <c r="DH98" i="10"/>
  <c r="DJ98" i="10" s="1"/>
  <c r="DK98" i="10" s="1"/>
  <c r="DH133" i="10"/>
  <c r="DH157" i="10"/>
  <c r="DH17" i="10"/>
  <c r="CP44" i="10"/>
  <c r="CZ21" i="10"/>
  <c r="DQ300" i="10"/>
  <c r="DH53" i="10"/>
  <c r="DJ53" i="10" s="1"/>
  <c r="DK53" i="10" s="1"/>
  <c r="CY81" i="10"/>
  <c r="DA81" i="10" s="1"/>
  <c r="DB81" i="10" s="1"/>
  <c r="DH52" i="10"/>
  <c r="DQ201" i="10"/>
  <c r="DH25" i="10"/>
  <c r="CY59" i="10"/>
  <c r="CG332" i="10"/>
  <c r="CH448" i="10"/>
  <c r="CP66" i="10"/>
  <c r="CR66" i="10" s="1"/>
  <c r="CS66" i="10" s="1"/>
  <c r="CY76" i="10"/>
  <c r="DQ119" i="10"/>
  <c r="DS119" i="10" s="1"/>
  <c r="DT119" i="10" s="1"/>
  <c r="CY88" i="10"/>
  <c r="DA88" i="10" s="1"/>
  <c r="DB88" i="10" s="1"/>
  <c r="DH102" i="10"/>
  <c r="DJ102" i="10" s="1"/>
  <c r="DK102" i="10" s="1"/>
  <c r="CZ68" i="10"/>
  <c r="DR134" i="10"/>
  <c r="DR195" i="10"/>
  <c r="DR259" i="10"/>
  <c r="CH424" i="10"/>
  <c r="CH344" i="10"/>
  <c r="CQ40" i="10"/>
  <c r="CG405" i="10"/>
  <c r="CG523" i="10"/>
  <c r="CI523" i="10" s="1"/>
  <c r="CJ523" i="10" s="1"/>
  <c r="CG439" i="10"/>
  <c r="CG608" i="10"/>
  <c r="BX331" i="10"/>
  <c r="BZ331" i="10" s="1"/>
  <c r="CA331" i="10" s="1"/>
  <c r="BY336" i="10"/>
  <c r="BG353" i="10"/>
  <c r="CH368" i="10"/>
  <c r="CH387" i="10"/>
  <c r="CH412" i="10"/>
  <c r="BY444" i="10"/>
  <c r="CH469" i="10"/>
  <c r="CH492" i="10"/>
  <c r="CH524" i="10"/>
  <c r="CH556" i="10"/>
  <c r="CH588" i="10"/>
  <c r="CH620" i="10"/>
  <c r="BX415" i="10"/>
  <c r="BZ415" i="10" s="1"/>
  <c r="CA415" i="10" s="1"/>
  <c r="BF366" i="10"/>
  <c r="BY350" i="10"/>
  <c r="CH384" i="10"/>
  <c r="CH408" i="10"/>
  <c r="BY440" i="10"/>
  <c r="BY467" i="10"/>
  <c r="CH488" i="10"/>
  <c r="CH520" i="10"/>
  <c r="CH552" i="10"/>
  <c r="CH584" i="10"/>
  <c r="CH616" i="10"/>
  <c r="CG544" i="10"/>
  <c r="BX440" i="10"/>
  <c r="BZ440" i="10" s="1"/>
  <c r="CA440" i="10" s="1"/>
  <c r="CG471" i="10"/>
  <c r="BY360" i="10"/>
  <c r="BY398" i="10"/>
  <c r="CH460" i="10"/>
  <c r="CH508" i="10"/>
  <c r="CH572" i="10"/>
  <c r="BX433" i="10"/>
  <c r="BX421" i="10"/>
  <c r="BZ421" i="10" s="1"/>
  <c r="CA421" i="10" s="1"/>
  <c r="BP397" i="10"/>
  <c r="CH456" i="10"/>
  <c r="CH504" i="10"/>
  <c r="CH568" i="10"/>
  <c r="CH592" i="10"/>
  <c r="CH528" i="10"/>
  <c r="BY471" i="10"/>
  <c r="BY416" i="10"/>
  <c r="BG371" i="10"/>
  <c r="BY338" i="10"/>
  <c r="CG521" i="10"/>
  <c r="CG503" i="10"/>
  <c r="CI503" i="10" s="1"/>
  <c r="CJ503" i="10" s="1"/>
  <c r="DQ244" i="10"/>
  <c r="DQ191" i="10"/>
  <c r="DR225" i="10"/>
  <c r="DH29" i="10"/>
  <c r="DJ29" i="10" s="1"/>
  <c r="DK29" i="10" s="1"/>
  <c r="DQ238" i="10"/>
  <c r="DS238" i="10" s="1"/>
  <c r="DT238" i="10" s="1"/>
  <c r="DQ307" i="10"/>
  <c r="DS307" i="10" s="1"/>
  <c r="DT307" i="10" s="1"/>
  <c r="DQ163" i="10"/>
  <c r="DQ235" i="10"/>
  <c r="CQ22" i="10"/>
  <c r="CY17" i="10"/>
  <c r="DA17" i="10" s="1"/>
  <c r="DB17" i="10" s="1"/>
  <c r="CP64" i="10"/>
  <c r="DR32" i="10"/>
  <c r="CZ47" i="10"/>
  <c r="DR64" i="10"/>
  <c r="DR84" i="10"/>
  <c r="DR97" i="10"/>
  <c r="DI113" i="10"/>
  <c r="DR125" i="10"/>
  <c r="DI133" i="10"/>
  <c r="DR141" i="10"/>
  <c r="DI149" i="10"/>
  <c r="DI157" i="10"/>
  <c r="DR311" i="10"/>
  <c r="DR303" i="10"/>
  <c r="DR295" i="10"/>
  <c r="DR287" i="10"/>
  <c r="DR279" i="10"/>
  <c r="DR271" i="10"/>
  <c r="DR263" i="10"/>
  <c r="DR255" i="10"/>
  <c r="DR247" i="10"/>
  <c r="DR239" i="10"/>
  <c r="DR231" i="10"/>
  <c r="DR223" i="10"/>
  <c r="DR215" i="10"/>
  <c r="DR207" i="10"/>
  <c r="DR199" i="10"/>
  <c r="DR191" i="10"/>
  <c r="DR183" i="10"/>
  <c r="DR175" i="10"/>
  <c r="DR167" i="10"/>
  <c r="DI162" i="10"/>
  <c r="DI154" i="10"/>
  <c r="DR146" i="10"/>
  <c r="DI138" i="10"/>
  <c r="DR130" i="10"/>
  <c r="DI122" i="10"/>
  <c r="DR114" i="10"/>
  <c r="DI106" i="10"/>
  <c r="DR98" i="10"/>
  <c r="CZ90" i="10"/>
  <c r="DI85" i="10"/>
  <c r="DR75" i="10"/>
  <c r="DI65" i="10"/>
  <c r="CZ56" i="10"/>
  <c r="DI49" i="10"/>
  <c r="DR245" i="10"/>
  <c r="DR100" i="10"/>
  <c r="DQ148" i="10"/>
  <c r="CY26" i="10"/>
  <c r="DA26" i="10" s="1"/>
  <c r="DB26" i="10" s="1"/>
  <c r="DQ215" i="10"/>
  <c r="DH63" i="10"/>
  <c r="DR56" i="10"/>
  <c r="DI90" i="10"/>
  <c r="DR121" i="10"/>
  <c r="DI137" i="10"/>
  <c r="DR153" i="10"/>
  <c r="DR315" i="10"/>
  <c r="DR299" i="10"/>
  <c r="DR283" i="10"/>
  <c r="DR267" i="10"/>
  <c r="DR251" i="10"/>
  <c r="DR235" i="10"/>
  <c r="DR219" i="10"/>
  <c r="DR203" i="10"/>
  <c r="DR187" i="10"/>
  <c r="DR171" i="10"/>
  <c r="DI158" i="10"/>
  <c r="DI142" i="10"/>
  <c r="DR126" i="10"/>
  <c r="DR110" i="10"/>
  <c r="DI94" i="10"/>
  <c r="DI80" i="10"/>
  <c r="CQ61" i="10"/>
  <c r="DI45" i="10"/>
  <c r="DR37" i="10"/>
  <c r="DR29" i="10"/>
  <c r="DQ296" i="10"/>
  <c r="DS296" i="10" s="1"/>
  <c r="DT296" i="10" s="1"/>
  <c r="DH144" i="10"/>
  <c r="DQ128" i="10"/>
  <c r="DQ266" i="10"/>
  <c r="CP21" i="10"/>
  <c r="CR21" i="10" s="1"/>
  <c r="CS21" i="10" s="1"/>
  <c r="DI17" i="10"/>
  <c r="DH105" i="10"/>
  <c r="DQ144" i="10"/>
  <c r="DQ59" i="10"/>
  <c r="DH162" i="10"/>
  <c r="DQ136" i="10"/>
  <c r="DS136" i="10" s="1"/>
  <c r="DT136" i="10" s="1"/>
  <c r="DH70" i="10"/>
  <c r="DJ70" i="10" s="1"/>
  <c r="DK70" i="10" s="1"/>
  <c r="DQ164" i="10"/>
  <c r="DR21" i="10"/>
  <c r="DH116" i="10"/>
  <c r="DH66" i="10"/>
  <c r="DJ66" i="10" s="1"/>
  <c r="DK66" i="10" s="1"/>
  <c r="DQ151" i="10"/>
  <c r="CZ25" i="10"/>
  <c r="CY27" i="10"/>
  <c r="DQ285" i="10"/>
  <c r="CY61" i="10"/>
  <c r="DQ194" i="10"/>
  <c r="DS194" i="10" s="1"/>
  <c r="DT194" i="10" s="1"/>
  <c r="DQ232" i="10"/>
  <c r="DS232" i="10" s="1"/>
  <c r="DT232" i="10" s="1"/>
  <c r="DQ278" i="10"/>
  <c r="DS278" i="10" s="1"/>
  <c r="DT278" i="10" s="1"/>
  <c r="DQ17" i="10"/>
  <c r="DS17" i="10" s="1"/>
  <c r="DT17" i="10" s="1"/>
  <c r="DQ42" i="10"/>
  <c r="DQ140" i="10"/>
  <c r="DQ43" i="10"/>
  <c r="CZ23" i="10"/>
  <c r="DQ275" i="10"/>
  <c r="DQ18" i="10"/>
  <c r="DS18" i="10" s="1"/>
  <c r="DT18" i="10" s="1"/>
  <c r="CP33" i="10"/>
  <c r="DQ272" i="10"/>
  <c r="DQ261" i="10"/>
  <c r="CY46" i="10"/>
  <c r="DA46" i="10" s="1"/>
  <c r="DB46" i="10" s="1"/>
  <c r="DQ122" i="10"/>
  <c r="DS122" i="10" s="1"/>
  <c r="DT122" i="10" s="1"/>
  <c r="CY89" i="10"/>
  <c r="DA89" i="10" s="1"/>
  <c r="DB89" i="10" s="1"/>
  <c r="DQ293" i="10"/>
  <c r="DQ256" i="10"/>
  <c r="DS256" i="10" s="1"/>
  <c r="DT256" i="10" s="1"/>
  <c r="CP53" i="10"/>
  <c r="DH71" i="10"/>
  <c r="DJ71" i="10" s="1"/>
  <c r="DK71" i="10" s="1"/>
  <c r="DH101" i="10"/>
  <c r="DH138" i="10"/>
  <c r="DJ138" i="10" s="1"/>
  <c r="DK138" i="10" s="1"/>
  <c r="DH159" i="10"/>
  <c r="DR25" i="10"/>
  <c r="DH41" i="10"/>
  <c r="DJ41" i="10" s="1"/>
  <c r="DK41" i="10" s="1"/>
  <c r="CY42" i="10"/>
  <c r="DA42" i="10" s="1"/>
  <c r="DB42" i="10" s="1"/>
  <c r="DQ225" i="10"/>
  <c r="DS225" i="10" s="1"/>
  <c r="DT225" i="10" s="1"/>
  <c r="DQ120" i="10"/>
  <c r="DS120" i="10" s="1"/>
  <c r="DT120" i="10" s="1"/>
  <c r="DQ62" i="10"/>
  <c r="CY83" i="10"/>
  <c r="DQ135" i="10"/>
  <c r="DS135" i="10" s="1"/>
  <c r="DT135" i="10" s="1"/>
  <c r="CQ18" i="10"/>
  <c r="CP55" i="10"/>
  <c r="CR55" i="10" s="1"/>
  <c r="CS55" i="10" s="1"/>
  <c r="DH94" i="10"/>
  <c r="DJ94" i="10" s="1"/>
  <c r="DK94" i="10" s="1"/>
  <c r="DH124" i="10"/>
  <c r="DH163" i="10"/>
  <c r="CY40" i="10"/>
  <c r="DQ100" i="10"/>
  <c r="DS100" i="10" s="1"/>
  <c r="DT100" i="10" s="1"/>
  <c r="DQ304" i="10"/>
  <c r="DS304" i="10" s="1"/>
  <c r="DT304" i="10" s="1"/>
  <c r="DQ249" i="10"/>
  <c r="CY87" i="10"/>
  <c r="DA87" i="10" s="1"/>
  <c r="DB87" i="10" s="1"/>
  <c r="CY69" i="10"/>
  <c r="DQ52" i="10"/>
  <c r="DS52" i="10" s="1"/>
  <c r="DT52" i="10" s="1"/>
  <c r="DQ64" i="10"/>
  <c r="CY90" i="10"/>
  <c r="DQ57" i="10"/>
  <c r="DS57" i="10" s="1"/>
  <c r="DT57" i="10" s="1"/>
  <c r="DQ193" i="10"/>
  <c r="DQ180" i="10"/>
  <c r="DS180" i="10" s="1"/>
  <c r="DT180" i="10" s="1"/>
  <c r="DR23" i="10"/>
  <c r="DH35" i="10"/>
  <c r="DJ35" i="10" s="1"/>
  <c r="DK35" i="10" s="1"/>
  <c r="DQ156" i="10"/>
  <c r="DS156" i="10" s="1"/>
  <c r="DT156" i="10" s="1"/>
  <c r="DQ95" i="10"/>
  <c r="DS95" i="10" s="1"/>
  <c r="DT95" i="10" s="1"/>
  <c r="DQ214" i="10"/>
  <c r="DI22" i="10"/>
  <c r="CP20" i="10"/>
  <c r="DQ29" i="10"/>
  <c r="CP19" i="10"/>
  <c r="CR19" i="10" s="1"/>
  <c r="CS19" i="10" s="1"/>
  <c r="DH31" i="10"/>
  <c r="DH75" i="10"/>
  <c r="DJ75" i="10" s="1"/>
  <c r="DK75" i="10" s="1"/>
  <c r="DH106" i="10"/>
  <c r="DJ106" i="10" s="1"/>
  <c r="DK106" i="10" s="1"/>
  <c r="DH141" i="10"/>
  <c r="DJ141" i="10" s="1"/>
  <c r="DK141" i="10" s="1"/>
  <c r="DH165" i="10"/>
  <c r="CP36" i="10"/>
  <c r="CP60" i="10"/>
  <c r="CR60" i="10" s="1"/>
  <c r="CS60" i="10" s="1"/>
  <c r="DQ177" i="10"/>
  <c r="DQ21" i="10"/>
  <c r="DS21" i="10" s="1"/>
  <c r="DT21" i="10" s="1"/>
  <c r="DQ230" i="10"/>
  <c r="DS230" i="10" s="1"/>
  <c r="DT230" i="10" s="1"/>
  <c r="DQ254" i="10"/>
  <c r="DS254" i="10" s="1"/>
  <c r="DT254" i="10" s="1"/>
  <c r="DQ139" i="10"/>
  <c r="CY66" i="10"/>
  <c r="DA66" i="10" s="1"/>
  <c r="DB66" i="10" s="1"/>
  <c r="DH18" i="10"/>
  <c r="CP65" i="10"/>
  <c r="CR65" i="10" s="1"/>
  <c r="CS65" i="10" s="1"/>
  <c r="DH97" i="10"/>
  <c r="DJ97" i="10" s="1"/>
  <c r="DK97" i="10" s="1"/>
  <c r="DH127" i="10"/>
  <c r="CQ27" i="10"/>
  <c r="DQ54" i="10"/>
  <c r="DS54" i="10" s="1"/>
  <c r="DT54" i="10" s="1"/>
  <c r="DQ134" i="10"/>
  <c r="DQ160" i="10"/>
  <c r="DS160" i="10" s="1"/>
  <c r="DT160" i="10" s="1"/>
  <c r="CY74" i="10"/>
  <c r="CP17" i="10"/>
  <c r="DQ259" i="10"/>
  <c r="DQ67" i="10"/>
  <c r="DS67" i="10" s="1"/>
  <c r="DT67" i="10" s="1"/>
  <c r="DQ69" i="10"/>
  <c r="DQ222" i="10"/>
  <c r="DS222" i="10" s="1"/>
  <c r="DT222" i="10" s="1"/>
  <c r="CY51" i="10"/>
  <c r="DQ85" i="10"/>
  <c r="DS85" i="10" s="1"/>
  <c r="DT85" i="10" s="1"/>
  <c r="DQ178" i="10"/>
  <c r="DS178" i="10" s="1"/>
  <c r="DT178" i="10" s="1"/>
  <c r="DH23" i="10"/>
  <c r="CP49" i="10"/>
  <c r="DQ16" i="10"/>
  <c r="DS16" i="10" s="1"/>
  <c r="DT16" i="10" s="1"/>
  <c r="DQ312" i="10"/>
  <c r="DS312" i="10" s="1"/>
  <c r="DT312" i="10" s="1"/>
  <c r="CY52" i="10"/>
  <c r="DA52" i="10" s="1"/>
  <c r="DB52" i="10" s="1"/>
  <c r="DQ316" i="10"/>
  <c r="DQ253" i="10"/>
  <c r="DQ294" i="10"/>
  <c r="DS294" i="10" s="1"/>
  <c r="DT294" i="10" s="1"/>
  <c r="CY35" i="10"/>
  <c r="DA35" i="10" s="1"/>
  <c r="DB35" i="10" s="1"/>
  <c r="DR291" i="10"/>
  <c r="CH600" i="10"/>
  <c r="BY475" i="10"/>
  <c r="BP368" i="10"/>
  <c r="CH604" i="10"/>
  <c r="BY477" i="10"/>
  <c r="BY376" i="10"/>
  <c r="CG334" i="10"/>
  <c r="DR161" i="10"/>
  <c r="DR129" i="10"/>
  <c r="DI73" i="10"/>
  <c r="DQ78" i="10"/>
  <c r="DS78" i="10" s="1"/>
  <c r="DT78" i="10" s="1"/>
  <c r="DH39" i="10"/>
  <c r="DJ39" i="10" s="1"/>
  <c r="DK39" i="10" s="1"/>
  <c r="CH480" i="10"/>
  <c r="CG559" i="10"/>
  <c r="CI559" i="10" s="1"/>
  <c r="CJ559" i="10" s="1"/>
  <c r="CG355" i="10"/>
  <c r="CI355" i="10" s="1"/>
  <c r="CJ355" i="10" s="1"/>
  <c r="CG583" i="10"/>
  <c r="CG537" i="10"/>
  <c r="CI537" i="10" s="1"/>
  <c r="CJ537" i="10" s="1"/>
  <c r="CG569" i="10"/>
  <c r="BF343" i="10"/>
  <c r="BH343" i="10" s="1"/>
  <c r="BI343" i="10" s="1"/>
  <c r="CG553" i="10"/>
  <c r="BX470" i="10"/>
  <c r="BZ470" i="10" s="1"/>
  <c r="CA470" i="10" s="1"/>
  <c r="BO345" i="10"/>
  <c r="CG427" i="10"/>
  <c r="CI427" i="10" s="1"/>
  <c r="CJ427" i="10" s="1"/>
  <c r="CH340" i="10"/>
  <c r="BY348" i="10"/>
  <c r="BP358" i="10"/>
  <c r="CH364" i="10"/>
  <c r="BY372" i="10"/>
  <c r="BY382" i="10"/>
  <c r="BP394" i="10"/>
  <c r="CH404" i="10"/>
  <c r="CH420" i="10"/>
  <c r="BY436" i="10"/>
  <c r="BY452" i="10"/>
  <c r="CH465" i="10"/>
  <c r="CH473" i="10"/>
  <c r="CH484" i="10"/>
  <c r="CH500" i="10"/>
  <c r="CH516" i="10"/>
  <c r="CH532" i="10"/>
  <c r="CH548" i="10"/>
  <c r="CH564" i="10"/>
  <c r="CH580" i="10"/>
  <c r="CH596" i="10"/>
  <c r="CH612" i="10"/>
  <c r="BX430" i="10"/>
  <c r="CG328" i="10"/>
  <c r="BF377" i="10"/>
  <c r="CG423" i="10"/>
  <c r="CI423" i="10" s="1"/>
  <c r="CJ423" i="10" s="1"/>
  <c r="BO356" i="10"/>
  <c r="BP344" i="10"/>
  <c r="BP360" i="10"/>
  <c r="BY374" i="10"/>
  <c r="DR205" i="10"/>
  <c r="DQ263" i="10"/>
  <c r="DS263" i="10" s="1"/>
  <c r="DT263" i="10" s="1"/>
  <c r="DI120" i="10"/>
  <c r="DR289" i="10"/>
  <c r="DR164" i="10"/>
  <c r="CZ34" i="10"/>
  <c r="DQ86" i="10"/>
  <c r="DH44" i="10"/>
  <c r="DJ44" i="10" s="1"/>
  <c r="DK44" i="10" s="1"/>
  <c r="CY78" i="10"/>
  <c r="DQ90" i="10"/>
  <c r="DS90" i="10" s="1"/>
  <c r="DT90" i="10" s="1"/>
  <c r="DQ44" i="10"/>
  <c r="CP47" i="10"/>
  <c r="CR47" i="10" s="1"/>
  <c r="CS47" i="10" s="1"/>
  <c r="DR20" i="10"/>
  <c r="DQ290" i="10"/>
  <c r="DS290" i="10" s="1"/>
  <c r="DT290" i="10" s="1"/>
  <c r="DH74" i="10"/>
  <c r="DQ223" i="10"/>
  <c r="DS223" i="10" s="1"/>
  <c r="DT223" i="10" s="1"/>
  <c r="DH166" i="10"/>
  <c r="DJ166" i="10" s="1"/>
  <c r="DK166" i="10" s="1"/>
  <c r="DQ211" i="10"/>
  <c r="DS211" i="10" s="1"/>
  <c r="DT211" i="10" s="1"/>
  <c r="DQ213" i="10"/>
  <c r="DH108" i="10"/>
  <c r="DJ108" i="10" s="1"/>
  <c r="DK108" i="10" s="1"/>
  <c r="DQ271" i="10"/>
  <c r="DI28" i="10"/>
  <c r="CQ36" i="10"/>
  <c r="CZ43" i="10"/>
  <c r="DI52" i="10"/>
  <c r="CZ59" i="10"/>
  <c r="DR68" i="10"/>
  <c r="CZ78" i="10"/>
  <c r="DI87" i="10"/>
  <c r="DI93" i="10"/>
  <c r="DI101" i="10"/>
  <c r="DR109" i="10"/>
  <c r="DI117" i="10"/>
  <c r="DI123" i="10"/>
  <c r="DI127" i="10"/>
  <c r="DR131" i="10"/>
  <c r="DI135" i="10"/>
  <c r="DI139" i="10"/>
  <c r="DI143" i="10"/>
  <c r="DI147" i="10"/>
  <c r="DR151" i="10"/>
  <c r="DR155" i="10"/>
  <c r="DI159" i="10"/>
  <c r="DR163" i="10"/>
  <c r="BX388" i="10"/>
  <c r="CH576" i="10"/>
  <c r="BY362" i="10"/>
  <c r="DR173" i="10"/>
  <c r="DR285" i="10"/>
  <c r="DI83" i="10"/>
  <c r="DI47" i="10"/>
  <c r="DR189" i="10"/>
  <c r="DI63" i="10"/>
  <c r="DH135" i="10"/>
  <c r="DR277" i="10"/>
  <c r="DR213" i="10"/>
  <c r="DR152" i="10"/>
  <c r="DR89" i="10"/>
  <c r="DI23" i="10"/>
  <c r="DQ260" i="10"/>
  <c r="DS260" i="10" s="1"/>
  <c r="DT260" i="10" s="1"/>
  <c r="DQ221" i="10"/>
  <c r="DR305" i="10"/>
  <c r="DR273" i="10"/>
  <c r="DR241" i="10"/>
  <c r="DR209" i="10"/>
  <c r="DR177" i="10"/>
  <c r="DI148" i="10"/>
  <c r="DI116" i="10"/>
  <c r="CZ86" i="10"/>
  <c r="CQ51" i="10"/>
  <c r="DQ145" i="10"/>
  <c r="DS145" i="10" s="1"/>
  <c r="DT145" i="10" s="1"/>
  <c r="DH126" i="10"/>
  <c r="DJ126" i="10" s="1"/>
  <c r="DK126" i="10" s="1"/>
  <c r="DQ88" i="10"/>
  <c r="DQ104" i="10"/>
  <c r="DQ208" i="10"/>
  <c r="DS208" i="10" s="1"/>
  <c r="DT208" i="10" s="1"/>
  <c r="CQ23" i="10"/>
  <c r="DQ257" i="10"/>
  <c r="DH154" i="10"/>
  <c r="DQ158" i="10"/>
  <c r="DS158" i="10" s="1"/>
  <c r="DT158" i="10" s="1"/>
  <c r="CZ22" i="10"/>
  <c r="DH129" i="10"/>
  <c r="DJ129" i="10" s="1"/>
  <c r="DK129" i="10" s="1"/>
  <c r="DH149" i="10"/>
  <c r="DJ149" i="10" s="1"/>
  <c r="DK149" i="10" s="1"/>
  <c r="CY28" i="10"/>
  <c r="DA28" i="10" s="1"/>
  <c r="DB28" i="10" s="1"/>
  <c r="DQ61" i="10"/>
  <c r="DS61" i="10" s="1"/>
  <c r="DT61" i="10" s="1"/>
  <c r="DH99" i="10"/>
  <c r="DJ99" i="10" s="1"/>
  <c r="DK99" i="10" s="1"/>
  <c r="DQ51" i="10"/>
  <c r="DS51" i="10" s="1"/>
  <c r="DT51" i="10" s="1"/>
  <c r="DQ58" i="10"/>
  <c r="DS58" i="10" s="1"/>
  <c r="DT58" i="10" s="1"/>
  <c r="DQ228" i="10"/>
  <c r="DS228" i="10" s="1"/>
  <c r="DT228" i="10" s="1"/>
  <c r="DQ53" i="10"/>
  <c r="DS53" i="10" s="1"/>
  <c r="DT53" i="10" s="1"/>
  <c r="DQ162" i="10"/>
  <c r="DS162" i="10" s="1"/>
  <c r="DT162" i="10" s="1"/>
  <c r="DQ102" i="10"/>
  <c r="DS102" i="10" s="1"/>
  <c r="DT102" i="10" s="1"/>
  <c r="DQ218" i="10"/>
  <c r="DS218" i="10" s="1"/>
  <c r="DT218" i="10" s="1"/>
  <c r="DH140" i="10"/>
  <c r="DJ140" i="10" s="1"/>
  <c r="DK140" i="10" s="1"/>
  <c r="DQ250" i="10"/>
  <c r="DS250" i="10" s="1"/>
  <c r="DT250" i="10" s="1"/>
  <c r="DQ30" i="10"/>
  <c r="DH96" i="10"/>
  <c r="DQ38" i="10"/>
  <c r="DQ243" i="10"/>
  <c r="DS243" i="10" s="1"/>
  <c r="DT243" i="10" s="1"/>
  <c r="DQ226" i="10"/>
  <c r="DS226" i="10" s="1"/>
  <c r="DT226" i="10" s="1"/>
  <c r="DH40" i="10"/>
  <c r="DJ40" i="10" s="1"/>
  <c r="DK40" i="10" s="1"/>
  <c r="CP30" i="10"/>
  <c r="CR30" i="10" s="1"/>
  <c r="CS30" i="10" s="1"/>
  <c r="CP45" i="10"/>
  <c r="CR45" i="10" s="1"/>
  <c r="CS45" i="10" s="1"/>
  <c r="DQ209" i="10"/>
  <c r="DQ73" i="10"/>
  <c r="DS73" i="10" s="1"/>
  <c r="DT73" i="10" s="1"/>
  <c r="DQ172" i="10"/>
  <c r="DH131" i="10"/>
  <c r="DJ131" i="10" s="1"/>
  <c r="DK131" i="10" s="1"/>
  <c r="DI30" i="10"/>
  <c r="DI34" i="10"/>
  <c r="CZ37" i="10"/>
  <c r="DI42" i="10"/>
  <c r="DI46" i="10"/>
  <c r="CZ49" i="10"/>
  <c r="DI54" i="10"/>
  <c r="CZ57" i="10"/>
  <c r="CZ61" i="10"/>
  <c r="CZ65" i="10"/>
  <c r="DR71" i="10"/>
  <c r="DR76" i="10"/>
  <c r="DR81" i="10"/>
  <c r="DR86" i="10"/>
  <c r="DI89" i="10"/>
  <c r="DI91" i="10"/>
  <c r="DI95" i="10"/>
  <c r="DR99" i="10"/>
  <c r="DI103" i="10"/>
  <c r="DR107" i="10"/>
  <c r="DR111" i="10"/>
  <c r="DI115" i="10"/>
  <c r="DI119" i="10"/>
  <c r="DQ247" i="10"/>
  <c r="DS247" i="10" s="1"/>
  <c r="DT247" i="10" s="1"/>
  <c r="CP27" i="10"/>
  <c r="DQ212" i="10"/>
  <c r="DS212" i="10" s="1"/>
  <c r="DT212" i="10" s="1"/>
  <c r="BY463" i="10"/>
  <c r="CY57" i="10"/>
  <c r="DQ82" i="10"/>
  <c r="DS82" i="10" s="1"/>
  <c r="DT82" i="10" s="1"/>
  <c r="DI67" i="10"/>
  <c r="DR132" i="10"/>
  <c r="DR193" i="10"/>
  <c r="DR257" i="10"/>
  <c r="DQ310" i="10"/>
  <c r="DS310" i="10" s="1"/>
  <c r="DT310" i="10" s="1"/>
  <c r="DI55" i="10"/>
  <c r="DR181" i="10"/>
  <c r="DR309" i="10"/>
  <c r="DI128" i="10"/>
  <c r="CH544" i="10"/>
  <c r="BY432" i="10"/>
  <c r="EI53" i="10"/>
  <c r="CG462" i="10"/>
  <c r="CI462" i="10" s="1"/>
  <c r="CJ462" i="10" s="1"/>
  <c r="BP348" i="10"/>
  <c r="CH608" i="10"/>
  <c r="BY379" i="10"/>
  <c r="CH512" i="10"/>
  <c r="CH400" i="10"/>
  <c r="CG582" i="10"/>
  <c r="CI582" i="10" s="1"/>
  <c r="CJ582" i="10" s="1"/>
  <c r="CP16" i="10"/>
  <c r="CR16" i="10" s="1"/>
  <c r="CS16" i="10" s="1"/>
  <c r="DI112" i="10"/>
  <c r="DR301" i="10"/>
  <c r="DR269" i="10"/>
  <c r="DH36" i="10"/>
  <c r="DJ36" i="10" s="1"/>
  <c r="DK36" i="10" s="1"/>
  <c r="DR253" i="10"/>
  <c r="DR144" i="10"/>
  <c r="DQ123" i="10"/>
  <c r="DS123" i="10" s="1"/>
  <c r="DT123" i="10" s="1"/>
  <c r="DQ241" i="10"/>
  <c r="DR221" i="10"/>
  <c r="DI160" i="10"/>
  <c r="DR96" i="10"/>
  <c r="DI31" i="10"/>
  <c r="CZ24" i="10"/>
  <c r="CY20" i="10"/>
  <c r="DR293" i="10"/>
  <c r="DR261" i="10"/>
  <c r="DR229" i="10"/>
  <c r="DR197" i="10"/>
  <c r="DR166" i="10"/>
  <c r="DI136" i="10"/>
  <c r="DR104" i="10"/>
  <c r="DI72" i="10"/>
  <c r="CZ38" i="10"/>
  <c r="DQ116" i="10"/>
  <c r="DS116" i="10" s="1"/>
  <c r="DT116" i="10" s="1"/>
  <c r="DH161" i="10"/>
  <c r="DQ34" i="10"/>
  <c r="DS34" i="10" s="1"/>
  <c r="DT34" i="10" s="1"/>
  <c r="DQ302" i="10"/>
  <c r="DS302" i="10" s="1"/>
  <c r="DT302" i="10" s="1"/>
  <c r="DR313" i="10"/>
  <c r="DR297" i="10"/>
  <c r="DR281" i="10"/>
  <c r="DR265" i="10"/>
  <c r="DR249" i="10"/>
  <c r="DR233" i="10"/>
  <c r="DR217" i="10"/>
  <c r="DR201" i="10"/>
  <c r="DR185" i="10"/>
  <c r="DR169" i="10"/>
  <c r="DI156" i="10"/>
  <c r="DR140" i="10"/>
  <c r="DR124" i="10"/>
  <c r="DR108" i="10"/>
  <c r="DR92" i="10"/>
  <c r="CZ76" i="10"/>
  <c r="DR59" i="10"/>
  <c r="CQ43" i="10"/>
  <c r="DI24" i="10"/>
  <c r="DH78" i="10"/>
  <c r="DJ78" i="10" s="1"/>
  <c r="DK78" i="10" s="1"/>
  <c r="DQ127" i="10"/>
  <c r="DS127" i="10" s="1"/>
  <c r="DT127" i="10" s="1"/>
  <c r="DQ125" i="10"/>
  <c r="DH33" i="10"/>
  <c r="DH92" i="10"/>
  <c r="DJ92" i="10" s="1"/>
  <c r="DK92" i="10" s="1"/>
  <c r="CQ20" i="10"/>
  <c r="DQ60" i="10"/>
  <c r="DS60" i="10" s="1"/>
  <c r="DT60" i="10" s="1"/>
  <c r="DQ40" i="10"/>
  <c r="DS40" i="10" s="1"/>
  <c r="DT40" i="10" s="1"/>
  <c r="DI25" i="10"/>
  <c r="CP25" i="10"/>
  <c r="CR25" i="10" s="1"/>
  <c r="CS25" i="10" s="1"/>
  <c r="DQ283" i="10"/>
  <c r="CY24" i="10"/>
  <c r="DQ74" i="10"/>
  <c r="DS74" i="10" s="1"/>
  <c r="DT74" i="10" s="1"/>
  <c r="R11" i="10"/>
  <c r="DH86" i="10"/>
  <c r="DJ86" i="10" s="1"/>
  <c r="DK86" i="10" s="1"/>
  <c r="DH32" i="10"/>
  <c r="DJ32" i="10" s="1"/>
  <c r="DK32" i="10" s="1"/>
  <c r="DR24" i="10"/>
  <c r="DH30" i="10"/>
  <c r="DJ30" i="10" s="1"/>
  <c r="DK30" i="10" s="1"/>
  <c r="DQ154" i="10"/>
  <c r="DS154" i="10" s="1"/>
  <c r="DT154" i="10" s="1"/>
  <c r="DQ236" i="10"/>
  <c r="DQ277" i="10"/>
  <c r="DS277" i="10" s="1"/>
  <c r="DT277" i="10" s="1"/>
  <c r="DQ175" i="10"/>
  <c r="DH89" i="10"/>
  <c r="DQ36" i="10"/>
  <c r="DS36" i="10" s="1"/>
  <c r="DT36" i="10" s="1"/>
  <c r="DQ281" i="10"/>
  <c r="DQ22" i="10"/>
  <c r="CP62" i="10"/>
  <c r="CR62" i="10" s="1"/>
  <c r="CS62" i="10" s="1"/>
  <c r="DQ176" i="10"/>
  <c r="DS176" i="10" s="1"/>
  <c r="DT176" i="10" s="1"/>
  <c r="CP51" i="10"/>
  <c r="DH158" i="10"/>
  <c r="CY44" i="10"/>
  <c r="DQ132" i="10"/>
  <c r="DS132" i="10" s="1"/>
  <c r="DT132" i="10" s="1"/>
  <c r="DH122" i="10"/>
  <c r="DJ122" i="10" s="1"/>
  <c r="DK122" i="10" s="1"/>
  <c r="EF53" i="10"/>
  <c r="EG53" i="10"/>
  <c r="EF13" i="10"/>
  <c r="EH53" i="10"/>
  <c r="EL53" i="10" s="1"/>
  <c r="ED53" i="10"/>
  <c r="EJ6" i="10"/>
  <c r="EJ10" i="10" s="1"/>
  <c r="EG75" i="10" s="1"/>
  <c r="EB5" i="10"/>
  <c r="V327" i="10"/>
  <c r="AW594" i="10"/>
  <c r="AW351" i="10"/>
  <c r="AW428" i="10"/>
  <c r="AW455" i="10"/>
  <c r="AN378" i="10"/>
  <c r="AE332" i="10"/>
  <c r="AW495" i="10"/>
  <c r="AN446" i="10"/>
  <c r="AW606" i="10"/>
  <c r="AW560" i="10"/>
  <c r="AN375" i="10"/>
  <c r="AW464" i="10"/>
  <c r="AW431" i="10"/>
  <c r="AW558" i="10"/>
  <c r="AN415" i="10"/>
  <c r="AW377" i="10"/>
  <c r="AW500" i="10"/>
  <c r="AW485" i="10"/>
  <c r="S11" i="10"/>
  <c r="AN428" i="10"/>
  <c r="W328" i="10"/>
  <c r="AW483" i="10"/>
  <c r="AN433" i="10"/>
  <c r="AE363" i="10"/>
  <c r="AW611" i="10"/>
  <c r="AW343" i="10"/>
  <c r="AW398" i="10"/>
  <c r="AN366" i="10"/>
  <c r="AN374" i="10"/>
  <c r="AW401" i="10"/>
  <c r="V349" i="10"/>
  <c r="AN423" i="10"/>
  <c r="AW408" i="10"/>
  <c r="AE390" i="10"/>
  <c r="AW381" i="10"/>
  <c r="AN339" i="10"/>
  <c r="AE402" i="10"/>
  <c r="AW508" i="10"/>
  <c r="V356" i="10"/>
  <c r="AN346" i="10"/>
  <c r="AW517" i="10"/>
  <c r="AE377" i="10"/>
  <c r="AW350" i="10"/>
  <c r="AW384" i="10"/>
  <c r="AW499" i="10"/>
  <c r="AN340" i="10"/>
  <c r="AE387" i="10"/>
  <c r="AO329" i="10"/>
  <c r="AN418" i="10"/>
  <c r="AN462" i="10"/>
  <c r="AN401" i="10"/>
  <c r="AW345" i="10"/>
  <c r="AN333" i="10"/>
  <c r="AW573" i="10"/>
  <c r="AN477" i="10"/>
  <c r="AN459" i="10"/>
  <c r="AE381" i="10"/>
  <c r="AW502" i="10"/>
  <c r="AN410" i="10"/>
  <c r="AE359" i="10"/>
  <c r="AW520" i="10"/>
  <c r="AW367" i="10"/>
  <c r="AW597" i="10"/>
  <c r="AW420" i="10"/>
  <c r="AN350" i="10"/>
  <c r="AN436" i="10"/>
  <c r="W23" i="12"/>
  <c r="EI5" i="10"/>
  <c r="AW396" i="10"/>
  <c r="AW571" i="10"/>
  <c r="AE364" i="10"/>
  <c r="W333" i="10"/>
  <c r="AF327" i="10"/>
  <c r="AO328" i="10"/>
  <c r="AN362" i="10"/>
  <c r="AN400" i="10"/>
  <c r="V354" i="10"/>
  <c r="AW362" i="10"/>
  <c r="AW557" i="10"/>
  <c r="AE366" i="10"/>
  <c r="AW551" i="10"/>
  <c r="AW474" i="10"/>
  <c r="AN363" i="10"/>
  <c r="AN442" i="10"/>
  <c r="AN455" i="10"/>
  <c r="AW460" i="10"/>
  <c r="AN399" i="10"/>
  <c r="AW616" i="10"/>
  <c r="AW514" i="10"/>
  <c r="AE382" i="10"/>
  <c r="AW393" i="10"/>
  <c r="AW619" i="10"/>
  <c r="AW450" i="10"/>
  <c r="AN397" i="10"/>
  <c r="AN450" i="10"/>
  <c r="AW608" i="10"/>
  <c r="AN373" i="10"/>
  <c r="AW336" i="10"/>
  <c r="AW626" i="10"/>
  <c r="AW471" i="10"/>
  <c r="AW565" i="10"/>
  <c r="AW368" i="10"/>
  <c r="V375" i="10"/>
  <c r="AN335" i="10"/>
  <c r="AW507" i="10"/>
  <c r="AW590" i="10"/>
  <c r="AN391" i="10"/>
  <c r="AE395" i="10"/>
  <c r="AN474" i="10"/>
  <c r="AW587" i="10"/>
  <c r="W330" i="10"/>
  <c r="AW554" i="10"/>
  <c r="AE380" i="10"/>
  <c r="AW480" i="10"/>
  <c r="AW477" i="10"/>
  <c r="AW417" i="10"/>
  <c r="AW424" i="10"/>
  <c r="AN334" i="10"/>
  <c r="V336" i="10"/>
  <c r="AW581" i="10"/>
  <c r="W327" i="10"/>
  <c r="AW596" i="10"/>
  <c r="AF332" i="10"/>
  <c r="AW358" i="10"/>
  <c r="V347" i="10"/>
  <c r="AW379" i="10"/>
  <c r="AN352" i="10"/>
  <c r="AW562" i="10"/>
  <c r="AW346" i="10"/>
  <c r="AN377" i="10"/>
  <c r="AW627" i="10"/>
  <c r="AX334" i="10"/>
  <c r="AN434" i="10"/>
  <c r="W332" i="10"/>
  <c r="AW576" i="10"/>
  <c r="AW623" i="10"/>
  <c r="AW572" i="10"/>
  <c r="AN380" i="10"/>
  <c r="AN469" i="10"/>
  <c r="W335" i="10"/>
  <c r="AW446" i="10"/>
  <c r="V355" i="10"/>
  <c r="AN447" i="10"/>
  <c r="AF328" i="10"/>
  <c r="AN388" i="10"/>
  <c r="AW601" i="10"/>
  <c r="AW625" i="10"/>
  <c r="AW407" i="10"/>
  <c r="AW337" i="10"/>
  <c r="AW561" i="10"/>
  <c r="AW395" i="10"/>
  <c r="AW403" i="10"/>
  <c r="AN396" i="10"/>
  <c r="AE347" i="10"/>
  <c r="AW530" i="10"/>
  <c r="AW419" i="10"/>
  <c r="AX330" i="10"/>
  <c r="AW380" i="10"/>
  <c r="AW522" i="10"/>
  <c r="AN353" i="10"/>
  <c r="AE392" i="10"/>
  <c r="AF330" i="10"/>
  <c r="AN365" i="10"/>
  <c r="AW462" i="10"/>
  <c r="AW582" i="10"/>
  <c r="AE341" i="10"/>
  <c r="AN328" i="10"/>
  <c r="AX332" i="10"/>
  <c r="AW429" i="10"/>
  <c r="W331" i="10"/>
  <c r="AN330" i="10"/>
  <c r="AN463" i="10"/>
  <c r="AE369" i="10"/>
  <c r="AE345" i="10"/>
  <c r="AW589" i="10"/>
  <c r="AW339" i="10"/>
  <c r="AN421" i="10"/>
  <c r="AW618" i="10"/>
  <c r="AW341" i="10"/>
  <c r="V362" i="10"/>
  <c r="V352" i="10"/>
  <c r="AW444" i="10"/>
  <c r="AW599" i="10"/>
  <c r="AN370" i="10"/>
  <c r="AW354" i="10"/>
  <c r="AW465" i="10"/>
  <c r="AN466" i="10"/>
  <c r="AW423" i="10"/>
  <c r="AW617" i="10"/>
  <c r="AN444" i="10"/>
  <c r="AW405" i="10"/>
  <c r="AN358" i="10"/>
  <c r="V371" i="10"/>
  <c r="AE355" i="10"/>
  <c r="AX327" i="10"/>
  <c r="AX331" i="10"/>
  <c r="AN345" i="10"/>
  <c r="AW394" i="10"/>
  <c r="AN389" i="10"/>
  <c r="AW388" i="10"/>
  <c r="AO332" i="10"/>
  <c r="AN431" i="10"/>
  <c r="AW454" i="10"/>
  <c r="AW333" i="10"/>
  <c r="AW519" i="10"/>
  <c r="AW390" i="10"/>
  <c r="V365" i="10"/>
  <c r="AW615" i="10"/>
  <c r="AW612" i="10"/>
  <c r="AW583" i="10"/>
  <c r="AW332" i="10"/>
  <c r="AN347" i="10"/>
  <c r="AE383" i="10"/>
  <c r="AN426" i="10"/>
  <c r="AW504" i="10"/>
  <c r="AW494" i="10"/>
  <c r="AW409" i="10"/>
  <c r="W334" i="10"/>
  <c r="AW376" i="10"/>
  <c r="AN438" i="10"/>
  <c r="AW532" i="10"/>
  <c r="AW512" i="10"/>
  <c r="AW524" i="10"/>
  <c r="AW447" i="10"/>
  <c r="AW440" i="10"/>
  <c r="AE384" i="10"/>
  <c r="V342" i="10"/>
  <c r="AN476" i="10"/>
  <c r="AN468" i="10"/>
  <c r="AW586" i="10"/>
  <c r="AW489" i="10"/>
  <c r="AN417" i="10"/>
  <c r="V361" i="10"/>
  <c r="AE352" i="10"/>
  <c r="AW385" i="10"/>
  <c r="AN419" i="10"/>
  <c r="AN452" i="10"/>
  <c r="AW352" i="10"/>
  <c r="AN414" i="10"/>
  <c r="AW461" i="10"/>
  <c r="AN368" i="10"/>
  <c r="AN405" i="10"/>
  <c r="AW541" i="10"/>
  <c r="AW604" i="10"/>
  <c r="AW482" i="10"/>
  <c r="V370" i="10"/>
  <c r="AW523" i="10"/>
  <c r="AW426" i="10"/>
  <c r="AE342" i="10"/>
  <c r="AE357" i="10"/>
  <c r="AW349" i="10"/>
  <c r="AW578" i="10"/>
  <c r="AW492" i="10"/>
  <c r="AN407" i="10"/>
  <c r="AW622" i="10"/>
  <c r="AW592" i="10"/>
  <c r="AE362" i="10"/>
  <c r="AE391" i="10"/>
  <c r="AW433" i="10"/>
  <c r="AW591" i="10"/>
  <c r="AW452" i="10"/>
  <c r="AW468" i="10"/>
  <c r="AW533" i="10"/>
  <c r="V360" i="10"/>
  <c r="AW546" i="10"/>
  <c r="AW588" i="10"/>
  <c r="AW534" i="10"/>
  <c r="AE378" i="10"/>
  <c r="AW493" i="10"/>
  <c r="V333" i="10"/>
  <c r="AN369" i="10"/>
  <c r="AW427" i="10"/>
  <c r="AN393" i="10"/>
  <c r="AE399" i="10"/>
  <c r="AE334" i="10"/>
  <c r="AF334" i="10"/>
  <c r="AX328" i="10"/>
  <c r="AW552" i="10"/>
  <c r="AW476" i="10"/>
  <c r="AN383" i="10"/>
  <c r="AW415" i="10"/>
  <c r="AW579" i="10"/>
  <c r="AW372" i="10"/>
  <c r="AN357" i="10"/>
  <c r="AW510" i="10"/>
  <c r="AN343" i="10"/>
  <c r="AW414" i="10"/>
  <c r="AE400" i="10"/>
  <c r="AN349" i="10"/>
  <c r="AW400" i="10"/>
  <c r="AN359" i="10"/>
  <c r="AE365" i="10"/>
  <c r="V331" i="10"/>
  <c r="V357" i="10"/>
  <c r="AN379" i="10"/>
  <c r="AO336" i="10"/>
  <c r="AW536" i="10"/>
  <c r="AN471" i="10"/>
  <c r="EI6" i="10"/>
  <c r="C148" i="10"/>
  <c r="E148" i="10" s="1"/>
  <c r="EE6" i="10"/>
  <c r="EE10" i="10" s="1"/>
  <c r="AW386" i="10"/>
  <c r="AE379" i="10"/>
  <c r="AW484" i="10"/>
  <c r="AN356" i="10"/>
  <c r="AF331" i="10"/>
  <c r="AW490" i="10"/>
  <c r="AW620" i="10"/>
  <c r="AW486" i="10"/>
  <c r="AW421" i="10"/>
  <c r="AW347" i="10"/>
  <c r="AW555" i="10"/>
  <c r="AW595" i="10"/>
  <c r="AN344" i="10"/>
  <c r="V345" i="10"/>
  <c r="AW392" i="10"/>
  <c r="AW503" i="10"/>
  <c r="AE385" i="10"/>
  <c r="AN348" i="10"/>
  <c r="AW567" i="10"/>
  <c r="AW607" i="10"/>
  <c r="AN372" i="10"/>
  <c r="AW624" i="10"/>
  <c r="AW370" i="10"/>
  <c r="AW438" i="10"/>
  <c r="AN327" i="10"/>
  <c r="AW374" i="10"/>
  <c r="AN416" i="10"/>
  <c r="AN425" i="10"/>
  <c r="AE360" i="10"/>
  <c r="AE376" i="10"/>
  <c r="AW491" i="10"/>
  <c r="AW469" i="10"/>
  <c r="AO330" i="10"/>
  <c r="AN456" i="10"/>
  <c r="AW577" i="10"/>
  <c r="AN336" i="10"/>
  <c r="AW389" i="10"/>
  <c r="V330" i="10"/>
  <c r="AW566" i="10"/>
  <c r="V332" i="10"/>
  <c r="AE348" i="10"/>
  <c r="V359" i="10"/>
  <c r="AW413" i="10"/>
  <c r="AN395" i="10"/>
  <c r="AW549" i="10"/>
  <c r="AN432" i="10"/>
  <c r="AW402" i="10"/>
  <c r="AE344" i="10"/>
  <c r="V372" i="10"/>
  <c r="AN392" i="10"/>
  <c r="AN402" i="10"/>
  <c r="AN422" i="10"/>
  <c r="AN413" i="10"/>
  <c r="V374" i="10"/>
  <c r="AW331" i="10"/>
  <c r="AW478" i="10"/>
  <c r="AN387" i="10"/>
  <c r="AN390" i="10"/>
  <c r="AN429" i="10"/>
  <c r="AE375" i="10"/>
  <c r="AW585" i="10"/>
  <c r="AW338" i="10"/>
  <c r="AE393" i="10"/>
  <c r="AN406" i="10"/>
  <c r="AW412" i="10"/>
  <c r="AW498" i="10"/>
  <c r="AW443" i="10"/>
  <c r="AW621" i="10"/>
  <c r="AW605" i="10"/>
  <c r="AW456" i="10"/>
  <c r="AX335" i="10"/>
  <c r="AW527" i="10"/>
  <c r="V351" i="10"/>
  <c r="AW559" i="10"/>
  <c r="V335" i="10"/>
  <c r="AW448" i="10"/>
  <c r="V328" i="10"/>
  <c r="AW580" i="10"/>
  <c r="AN448" i="10"/>
  <c r="AN472" i="10"/>
  <c r="AE358" i="10"/>
  <c r="AE340" i="10"/>
  <c r="AN451" i="10"/>
  <c r="AW442" i="10"/>
  <c r="AW501" i="10"/>
  <c r="AW360" i="10"/>
  <c r="AE327" i="10"/>
  <c r="W336" i="10"/>
  <c r="AW496" i="10"/>
  <c r="AE396" i="10"/>
  <c r="AE372" i="10"/>
  <c r="AW416" i="10"/>
  <c r="AW382" i="10"/>
  <c r="AW355" i="10"/>
  <c r="AN329" i="10"/>
  <c r="AW602" i="10"/>
  <c r="AW569" i="10"/>
  <c r="AN367" i="10"/>
  <c r="AW406" i="10"/>
  <c r="AW463" i="10"/>
  <c r="AW340" i="10"/>
  <c r="AW383" i="10"/>
  <c r="AN437" i="10"/>
  <c r="AW518" i="10"/>
  <c r="AN453" i="10"/>
  <c r="AW335" i="10"/>
  <c r="AN457" i="10"/>
  <c r="AN360" i="10"/>
  <c r="AW422" i="10"/>
  <c r="AN443" i="10"/>
  <c r="AW453" i="10"/>
  <c r="V344" i="10"/>
  <c r="AW432" i="10"/>
  <c r="AW600" i="10"/>
  <c r="AW467" i="10"/>
  <c r="AE370" i="10"/>
  <c r="AN473" i="10"/>
  <c r="AW506" i="10"/>
  <c r="V350" i="10"/>
  <c r="AW487" i="10"/>
  <c r="AN384" i="10"/>
  <c r="AW593" i="10"/>
  <c r="AE337" i="10"/>
  <c r="V339" i="10"/>
  <c r="AW481" i="10"/>
  <c r="V348" i="10"/>
  <c r="W329" i="10"/>
  <c r="AW584" i="10"/>
  <c r="AE371" i="10"/>
  <c r="AW543" i="10"/>
  <c r="AW540" i="10"/>
  <c r="AW363" i="10"/>
  <c r="AW342" i="10"/>
  <c r="AN441" i="10"/>
  <c r="V334" i="10"/>
  <c r="AO335" i="10"/>
  <c r="AW357" i="10"/>
  <c r="AN331" i="10"/>
  <c r="AN337" i="10"/>
  <c r="AE373" i="10"/>
  <c r="AN404" i="10"/>
  <c r="AW550" i="10"/>
  <c r="AW434" i="10"/>
  <c r="AN411" i="10"/>
  <c r="AN435" i="10"/>
  <c r="V353" i="10"/>
  <c r="AW425" i="10"/>
  <c r="AW356" i="10"/>
  <c r="AE367" i="10"/>
  <c r="V346" i="10"/>
  <c r="AW459" i="10"/>
  <c r="AN430" i="10"/>
  <c r="AW488" i="10"/>
  <c r="AE338" i="10"/>
  <c r="AW613" i="10"/>
  <c r="AW348" i="10"/>
  <c r="AW436" i="10"/>
  <c r="AE343" i="10"/>
  <c r="AE349" i="10"/>
  <c r="AN412" i="10"/>
  <c r="AE368" i="10"/>
  <c r="AN398" i="10"/>
  <c r="AN454" i="10"/>
  <c r="AW511" i="10"/>
  <c r="V367" i="10"/>
  <c r="V377" i="10"/>
  <c r="AW330" i="10"/>
  <c r="AW466" i="10"/>
  <c r="AW548" i="10"/>
  <c r="AW375" i="10"/>
  <c r="V341" i="10"/>
  <c r="AN376" i="10"/>
  <c r="AW361" i="10"/>
  <c r="AX333" i="10"/>
  <c r="AW515" i="10"/>
  <c r="AF329" i="10"/>
  <c r="AE331" i="10"/>
  <c r="AN338" i="10"/>
  <c r="AW556" i="10"/>
  <c r="AW542" i="10"/>
  <c r="V338" i="10"/>
  <c r="AE397" i="10"/>
  <c r="AW545" i="10"/>
  <c r="AN424" i="10"/>
  <c r="AN464" i="10"/>
  <c r="AN381" i="10"/>
  <c r="AN394" i="10"/>
  <c r="AE336" i="10"/>
  <c r="AE350" i="10"/>
  <c r="AO331" i="10"/>
  <c r="AW441" i="10"/>
  <c r="AW329" i="10"/>
  <c r="AW397" i="10"/>
  <c r="AN341" i="10"/>
  <c r="AW598" i="10"/>
  <c r="AW563" i="10"/>
  <c r="AX329" i="10"/>
  <c r="V337" i="10"/>
  <c r="AE374" i="10"/>
  <c r="V366" i="10"/>
  <c r="AW369" i="10"/>
  <c r="AW399" i="10"/>
  <c r="AW439" i="10"/>
  <c r="AN427" i="10"/>
  <c r="AN458" i="10"/>
  <c r="AW373" i="10"/>
  <c r="AW568" i="10"/>
  <c r="AE335" i="10"/>
  <c r="AW516" i="10"/>
  <c r="AE333" i="10"/>
  <c r="AN449" i="10"/>
  <c r="AW411" i="10"/>
  <c r="AW457" i="10"/>
  <c r="AE339" i="10"/>
  <c r="AW328" i="10"/>
  <c r="AW614" i="10"/>
  <c r="AN355" i="10"/>
  <c r="AW497" i="10"/>
  <c r="AW475" i="10"/>
  <c r="AW535" i="10"/>
  <c r="AE328" i="10"/>
  <c r="AW570" i="10"/>
  <c r="AE354" i="10"/>
  <c r="AE386" i="10"/>
  <c r="V364" i="10"/>
  <c r="AW344" i="10"/>
  <c r="AN361" i="10"/>
  <c r="AW470" i="10"/>
  <c r="AN420" i="10"/>
  <c r="AN386" i="10"/>
  <c r="AW359" i="10"/>
  <c r="AW526" i="10"/>
  <c r="AW553" i="10"/>
  <c r="AW479" i="10"/>
  <c r="AW378" i="10"/>
  <c r="AW539" i="10"/>
  <c r="AE351" i="10"/>
  <c r="AE389" i="10"/>
  <c r="AE398" i="10"/>
  <c r="AF335" i="10"/>
  <c r="AO337" i="10"/>
  <c r="W337" i="10"/>
  <c r="AF337" i="10"/>
  <c r="AW430" i="10"/>
  <c r="AW603" i="10"/>
  <c r="AE356" i="10"/>
  <c r="AW513" i="10"/>
  <c r="V376" i="10"/>
  <c r="AW564" i="10"/>
  <c r="V329" i="10"/>
  <c r="AN351" i="10"/>
  <c r="AW547" i="10"/>
  <c r="V363" i="10"/>
  <c r="AN475" i="10"/>
  <c r="AN465" i="10"/>
  <c r="AE330" i="10"/>
  <c r="AO333" i="10"/>
  <c r="AN460" i="10"/>
  <c r="AW391" i="10"/>
  <c r="AN332" i="10"/>
  <c r="AN382" i="10"/>
  <c r="AE394" i="10"/>
  <c r="AW472" i="10"/>
  <c r="AN461" i="10"/>
  <c r="AW449" i="10"/>
  <c r="AE329" i="10"/>
  <c r="AW437" i="10"/>
  <c r="AW521" i="10"/>
  <c r="AW525" i="10"/>
  <c r="AW371" i="10"/>
  <c r="AN439" i="10"/>
  <c r="AO327" i="10"/>
  <c r="AN440" i="10"/>
  <c r="V368" i="10"/>
  <c r="AE388" i="10"/>
  <c r="AN354" i="10"/>
  <c r="AN403" i="10"/>
  <c r="AN342" i="10"/>
  <c r="AW473" i="10"/>
  <c r="AW529" i="10"/>
  <c r="V373" i="10"/>
  <c r="AO334" i="10"/>
  <c r="AF336" i="10"/>
  <c r="AX337" i="10"/>
  <c r="AX338" i="10"/>
  <c r="AO339" i="10"/>
  <c r="W339" i="10"/>
  <c r="AF339" i="10"/>
  <c r="W340" i="10"/>
  <c r="AX340" i="10"/>
  <c r="AO342" i="10"/>
  <c r="W341" i="10"/>
  <c r="AX342" i="10"/>
  <c r="W342" i="10"/>
  <c r="AF343" i="10"/>
  <c r="W343" i="10"/>
  <c r="AO345" i="10"/>
  <c r="AX344" i="10"/>
  <c r="W345" i="10"/>
  <c r="AF345" i="10"/>
  <c r="AX346" i="10"/>
  <c r="AO347" i="10"/>
  <c r="AF347" i="10"/>
  <c r="W347" i="10"/>
  <c r="AX348" i="10"/>
  <c r="AF348" i="10"/>
  <c r="W349" i="10"/>
  <c r="AF349" i="10"/>
  <c r="W350" i="10"/>
  <c r="AX350" i="10"/>
  <c r="AO352" i="10"/>
  <c r="W351" i="10"/>
  <c r="AX352" i="10"/>
  <c r="W352" i="10"/>
  <c r="AF353" i="10"/>
  <c r="AX353" i="10"/>
  <c r="AF354" i="10"/>
  <c r="AX354" i="10"/>
  <c r="AO356" i="10"/>
  <c r="W355" i="10"/>
  <c r="AO357" i="10"/>
  <c r="AX356" i="10"/>
  <c r="AX357" i="10"/>
  <c r="AO358" i="10"/>
  <c r="AO359" i="10"/>
  <c r="W358" i="10"/>
  <c r="AO360" i="10"/>
  <c r="W359" i="10"/>
  <c r="AO361" i="10"/>
  <c r="AX360" i="10"/>
  <c r="AX361" i="10"/>
  <c r="W361" i="10"/>
  <c r="AF362" i="10"/>
  <c r="AX362" i="10"/>
  <c r="AO364" i="10"/>
  <c r="AF363" i="10"/>
  <c r="AF364" i="10"/>
  <c r="W364" i="10"/>
  <c r="W365" i="10"/>
  <c r="AO366" i="10"/>
  <c r="W366" i="10"/>
  <c r="AX366" i="10"/>
  <c r="AF367" i="10"/>
  <c r="AO368" i="10"/>
  <c r="W368" i="10"/>
  <c r="AX368" i="10"/>
  <c r="AF369" i="10"/>
  <c r="W369" i="10"/>
  <c r="W370" i="10"/>
  <c r="AX370" i="10"/>
  <c r="AO372" i="10"/>
  <c r="AF371" i="10"/>
  <c r="AO373" i="10"/>
  <c r="AX372" i="10"/>
  <c r="AF373" i="10"/>
  <c r="AX373" i="10"/>
  <c r="W374" i="10"/>
  <c r="AX374" i="10"/>
  <c r="AX375" i="10"/>
  <c r="W375" i="10"/>
  <c r="AF376" i="10"/>
  <c r="W376" i="10"/>
  <c r="AX377" i="10"/>
  <c r="AF377" i="10"/>
  <c r="AO379" i="10"/>
  <c r="AX379" i="10"/>
  <c r="AO380" i="10"/>
  <c r="AF380" i="10"/>
  <c r="AO382" i="10"/>
  <c r="AX381" i="10"/>
  <c r="AX382" i="10"/>
  <c r="AX383" i="10"/>
  <c r="AO384" i="10"/>
  <c r="AX384" i="10"/>
  <c r="AO386" i="10"/>
  <c r="AF385" i="10"/>
  <c r="AF386" i="10"/>
  <c r="AW528" i="10"/>
  <c r="AW365" i="10"/>
  <c r="AW435" i="10"/>
  <c r="AW445" i="10"/>
  <c r="AW410" i="10"/>
  <c r="AN364" i="10"/>
  <c r="AW458" i="10"/>
  <c r="AW366" i="10"/>
  <c r="AW418" i="10"/>
  <c r="AW364" i="10"/>
  <c r="V369" i="10"/>
  <c r="AN409" i="10"/>
  <c r="AW404" i="10"/>
  <c r="V358" i="10"/>
  <c r="AF333" i="10"/>
  <c r="AW531" i="10"/>
  <c r="AW387" i="10"/>
  <c r="AN408" i="10"/>
  <c r="AE346" i="10"/>
  <c r="AE401" i="10"/>
  <c r="AW327" i="10"/>
  <c r="AN445" i="10"/>
  <c r="AW575" i="10"/>
  <c r="AW451" i="10"/>
  <c r="AW353" i="10"/>
  <c r="AW334" i="10"/>
  <c r="AW537" i="10"/>
  <c r="AW505" i="10"/>
  <c r="AN385" i="10"/>
  <c r="AW509" i="10"/>
  <c r="V343" i="10"/>
  <c r="AE353" i="10"/>
  <c r="AN371" i="10"/>
  <c r="AW609" i="10"/>
  <c r="AW574" i="10"/>
  <c r="AN467" i="10"/>
  <c r="AW544" i="10"/>
  <c r="V340" i="10"/>
  <c r="AE361" i="10"/>
  <c r="AX336" i="10"/>
  <c r="AO338" i="10"/>
  <c r="AF338" i="10"/>
  <c r="W338" i="10"/>
  <c r="AX339" i="10"/>
  <c r="AO340" i="10"/>
  <c r="AO341" i="10"/>
  <c r="AF340" i="10"/>
  <c r="AF341" i="10"/>
  <c r="AX341" i="10"/>
  <c r="AF342" i="10"/>
  <c r="AO343" i="10"/>
  <c r="AX343" i="10"/>
  <c r="AO344" i="10"/>
  <c r="AF344" i="10"/>
  <c r="W344" i="10"/>
  <c r="AO346" i="10"/>
  <c r="AX345" i="10"/>
  <c r="AF346" i="10"/>
  <c r="W346" i="10"/>
  <c r="AO348" i="10"/>
  <c r="AX347" i="10"/>
  <c r="AO349" i="10"/>
  <c r="W348" i="10"/>
  <c r="AX349" i="10"/>
  <c r="AO350" i="10"/>
  <c r="AF350" i="10"/>
  <c r="AO351" i="10"/>
  <c r="AF351" i="10"/>
  <c r="AX351" i="10"/>
  <c r="AO353" i="10"/>
  <c r="AF352" i="10"/>
  <c r="AO354" i="10"/>
  <c r="W353" i="10"/>
  <c r="AO355" i="10"/>
  <c r="W354" i="10"/>
  <c r="AX355" i="10"/>
  <c r="AF355" i="10"/>
  <c r="W356" i="10"/>
  <c r="AF356" i="10"/>
  <c r="W357" i="10"/>
  <c r="AF357" i="10"/>
  <c r="AX358" i="10"/>
  <c r="AF358" i="10"/>
  <c r="AF359" i="10"/>
  <c r="W360" i="10"/>
  <c r="AF361" i="10"/>
  <c r="AO363" i="10"/>
  <c r="W363" i="10"/>
  <c r="AX364" i="10"/>
  <c r="AX365" i="10"/>
  <c r="AF366" i="10"/>
  <c r="W367" i="10"/>
  <c r="AO369" i="10"/>
  <c r="AX369" i="10"/>
  <c r="AO371" i="10"/>
  <c r="AX371" i="10"/>
  <c r="W372" i="10"/>
  <c r="AO374" i="10"/>
  <c r="AF374" i="10"/>
  <c r="AF375" i="10"/>
  <c r="AO377" i="10"/>
  <c r="W377" i="10"/>
  <c r="AX378" i="10"/>
  <c r="AF379" i="10"/>
  <c r="AX380" i="10"/>
  <c r="AF382" i="10"/>
  <c r="AF383" i="10"/>
  <c r="AO385" i="10"/>
  <c r="AO387" i="10"/>
  <c r="AO388" i="10"/>
  <c r="AF387" i="10"/>
  <c r="AF388" i="10"/>
  <c r="AO390" i="10"/>
  <c r="AF389" i="10"/>
  <c r="AO391" i="10"/>
  <c r="AO392" i="10"/>
  <c r="AX391" i="10"/>
  <c r="AX392" i="10"/>
  <c r="AO394" i="10"/>
  <c r="AF393" i="10"/>
  <c r="AO395" i="10"/>
  <c r="AX395" i="10"/>
  <c r="AF395" i="10"/>
  <c r="AX396" i="10"/>
  <c r="AX397" i="10"/>
  <c r="AF397" i="10"/>
  <c r="AF398" i="10"/>
  <c r="AF399" i="10"/>
  <c r="AX399" i="10"/>
  <c r="AX400" i="10"/>
  <c r="AO402" i="10"/>
  <c r="AX401" i="10"/>
  <c r="AX402" i="10"/>
  <c r="AO404" i="10"/>
  <c r="AO405" i="10"/>
  <c r="AO406" i="10"/>
  <c r="AO407" i="10"/>
  <c r="AO408" i="10"/>
  <c r="AO409" i="10"/>
  <c r="AO410" i="10"/>
  <c r="AO411" i="10"/>
  <c r="AX411" i="10"/>
  <c r="AO413" i="10"/>
  <c r="AO414" i="10"/>
  <c r="AX414" i="10"/>
  <c r="AO416" i="10"/>
  <c r="AO417" i="10"/>
  <c r="AO418" i="10"/>
  <c r="AO419" i="10"/>
  <c r="AO420" i="10"/>
  <c r="AO421" i="10"/>
  <c r="AO422" i="10"/>
  <c r="AO423" i="10"/>
  <c r="AO424" i="10"/>
  <c r="AO425" i="10"/>
  <c r="AO426" i="10"/>
  <c r="AO427" i="10"/>
  <c r="AO428" i="10"/>
  <c r="AO429" i="10"/>
  <c r="AO430" i="10"/>
  <c r="AX430" i="10"/>
  <c r="AO432" i="10"/>
  <c r="AO433" i="10"/>
  <c r="AX433" i="10"/>
  <c r="AX434" i="10"/>
  <c r="AO436" i="10"/>
  <c r="AO437" i="10"/>
  <c r="AO438" i="10"/>
  <c r="AO439" i="10"/>
  <c r="AO440" i="10"/>
  <c r="AO441" i="10"/>
  <c r="AO442" i="10"/>
  <c r="AX442" i="10"/>
  <c r="AO444" i="10"/>
  <c r="AO445" i="10"/>
  <c r="AO446" i="10"/>
  <c r="AO447" i="10"/>
  <c r="AO448" i="10"/>
  <c r="AX448" i="10"/>
  <c r="AO450" i="10"/>
  <c r="AO451" i="10"/>
  <c r="AO452" i="10"/>
  <c r="AO453" i="10"/>
  <c r="AX453" i="10"/>
  <c r="AX454" i="10"/>
  <c r="AO456" i="10"/>
  <c r="AO457" i="10"/>
  <c r="AO458" i="10"/>
  <c r="AX458" i="10"/>
  <c r="AX459" i="10"/>
  <c r="AO461" i="10"/>
  <c r="AX461" i="10"/>
  <c r="AO463" i="10"/>
  <c r="AO464" i="10"/>
  <c r="AX464" i="10"/>
  <c r="AX465" i="10"/>
  <c r="AX466" i="10"/>
  <c r="AX467" i="10"/>
  <c r="AO469" i="10"/>
  <c r="AO470" i="10"/>
  <c r="AO471" i="10"/>
  <c r="AO472" i="10"/>
  <c r="AO473" i="10"/>
  <c r="AO474" i="10"/>
  <c r="AO475" i="10"/>
  <c r="AO476" i="10"/>
  <c r="AX476" i="10"/>
  <c r="AX477" i="10"/>
  <c r="AX479" i="10"/>
  <c r="AX481" i="10"/>
  <c r="AX483" i="10"/>
  <c r="AX485" i="10"/>
  <c r="AX487" i="10"/>
  <c r="AX489" i="10"/>
  <c r="AX491" i="10"/>
  <c r="AX493" i="10"/>
  <c r="AX495" i="10"/>
  <c r="AX497" i="10"/>
  <c r="AX499" i="10"/>
  <c r="AX501" i="10"/>
  <c r="AX503" i="10"/>
  <c r="AX505" i="10"/>
  <c r="AX507" i="10"/>
  <c r="AX509" i="10"/>
  <c r="AX511" i="10"/>
  <c r="AX513" i="10"/>
  <c r="AX515" i="10"/>
  <c r="AX517" i="10"/>
  <c r="AX519" i="10"/>
  <c r="AX521" i="10"/>
  <c r="AX523" i="10"/>
  <c r="AX525" i="10"/>
  <c r="AX527" i="10"/>
  <c r="AX529" i="10"/>
  <c r="AX531" i="10"/>
  <c r="AX533" i="10"/>
  <c r="AX535" i="10"/>
  <c r="AX537" i="10"/>
  <c r="AX539" i="10"/>
  <c r="AX541" i="10"/>
  <c r="AX543" i="10"/>
  <c r="AX545" i="10"/>
  <c r="AX547" i="10"/>
  <c r="AX549" i="10"/>
  <c r="AX551" i="10"/>
  <c r="AX553" i="10"/>
  <c r="AX555" i="10"/>
  <c r="AX557" i="10"/>
  <c r="AX559" i="10"/>
  <c r="AX561" i="10"/>
  <c r="AX563" i="10"/>
  <c r="AX565" i="10"/>
  <c r="AX567" i="10"/>
  <c r="AX569" i="10"/>
  <c r="AX359" i="10"/>
  <c r="AF360" i="10"/>
  <c r="AO362" i="10"/>
  <c r="W362" i="10"/>
  <c r="AX363" i="10"/>
  <c r="AO365" i="10"/>
  <c r="AF365" i="10"/>
  <c r="AO367" i="10"/>
  <c r="AX367" i="10"/>
  <c r="AF368" i="10"/>
  <c r="AO370" i="10"/>
  <c r="AF370" i="10"/>
  <c r="W371" i="10"/>
  <c r="AF372" i="10"/>
  <c r="W373" i="10"/>
  <c r="AO375" i="10"/>
  <c r="AO376" i="10"/>
  <c r="AX376" i="10"/>
  <c r="AO378" i="10"/>
  <c r="AF378" i="10"/>
  <c r="AO381" i="10"/>
  <c r="AF381" i="10"/>
  <c r="AO383" i="10"/>
  <c r="AF384" i="10"/>
  <c r="AX385" i="10"/>
  <c r="AX386" i="10"/>
  <c r="AX387" i="10"/>
  <c r="AO389" i="10"/>
  <c r="AX388" i="10"/>
  <c r="AX389" i="10"/>
  <c r="AF390" i="10"/>
  <c r="AX390" i="10"/>
  <c r="AF391" i="10"/>
  <c r="AO393" i="10"/>
  <c r="AF392" i="10"/>
  <c r="AX393" i="10"/>
  <c r="AF394" i="10"/>
  <c r="AX394" i="10"/>
  <c r="AO396" i="10"/>
  <c r="AO397" i="10"/>
  <c r="AF396" i="10"/>
  <c r="AO398" i="10"/>
  <c r="AO399" i="10"/>
  <c r="AX398" i="10"/>
  <c r="AO400" i="10"/>
  <c r="AO401" i="10"/>
  <c r="AF400" i="10"/>
  <c r="AF401" i="10"/>
  <c r="AO403" i="10"/>
  <c r="AF402" i="10"/>
  <c r="AX403" i="10"/>
  <c r="AX404" i="10"/>
  <c r="AX405" i="10"/>
  <c r="AX406" i="10"/>
  <c r="AX407" i="10"/>
  <c r="AX408" i="10"/>
  <c r="AX409" i="10"/>
  <c r="AX410" i="10"/>
  <c r="AO412" i="10"/>
  <c r="AX412" i="10"/>
  <c r="AX413" i="10"/>
  <c r="AO415" i="10"/>
  <c r="AX415" i="10"/>
  <c r="AX416" i="10"/>
  <c r="AX417" i="10"/>
  <c r="AX418" i="10"/>
  <c r="AX419" i="10"/>
  <c r="AX420" i="10"/>
  <c r="AX421" i="10"/>
  <c r="AX422" i="10"/>
  <c r="AX423" i="10"/>
  <c r="AX424" i="10"/>
  <c r="AX425" i="10"/>
  <c r="AX426" i="10"/>
  <c r="AX427" i="10"/>
  <c r="AX428" i="10"/>
  <c r="AX429" i="10"/>
  <c r="AO431" i="10"/>
  <c r="AX431" i="10"/>
  <c r="AX432" i="10"/>
  <c r="AO434" i="10"/>
  <c r="AO435" i="10"/>
  <c r="AX435" i="10"/>
  <c r="AX436" i="10"/>
  <c r="AX437" i="10"/>
  <c r="AX438" i="10"/>
  <c r="AX439" i="10"/>
  <c r="AX440" i="10"/>
  <c r="AX441" i="10"/>
  <c r="AO443" i="10"/>
  <c r="AX443" i="10"/>
  <c r="AX444" i="10"/>
  <c r="AX445" i="10"/>
  <c r="AX446" i="10"/>
  <c r="AX447" i="10"/>
  <c r="AO449" i="10"/>
  <c r="AX449" i="10"/>
  <c r="AX450" i="10"/>
  <c r="AX451" i="10"/>
  <c r="AX452" i="10"/>
  <c r="AO454" i="10"/>
  <c r="AO455" i="10"/>
  <c r="AX455" i="10"/>
  <c r="AX456" i="10"/>
  <c r="AX457" i="10"/>
  <c r="AO459" i="10"/>
  <c r="AO460" i="10"/>
  <c r="AX460" i="10"/>
  <c r="AO462" i="10"/>
  <c r="AX462" i="10"/>
  <c r="AX463" i="10"/>
  <c r="AO465" i="10"/>
  <c r="AO466" i="10"/>
  <c r="AO467" i="10"/>
  <c r="AO468" i="10"/>
  <c r="AX468" i="10"/>
  <c r="AX469" i="10"/>
  <c r="AX470" i="10"/>
  <c r="AX471" i="10"/>
  <c r="AX472" i="10"/>
  <c r="AX473" i="10"/>
  <c r="AX474" i="10"/>
  <c r="AX475" i="10"/>
  <c r="AO477" i="10"/>
  <c r="AX478" i="10"/>
  <c r="AX480" i="10"/>
  <c r="AX482" i="10"/>
  <c r="AX484" i="10"/>
  <c r="AX486" i="10"/>
  <c r="AX488" i="10"/>
  <c r="AX490" i="10"/>
  <c r="AX492" i="10"/>
  <c r="AX494" i="10"/>
  <c r="AX496" i="10"/>
  <c r="AX498" i="10"/>
  <c r="AX500" i="10"/>
  <c r="AX502" i="10"/>
  <c r="AX504" i="10"/>
  <c r="AX506" i="10"/>
  <c r="AX508" i="10"/>
  <c r="AX510" i="10"/>
  <c r="AX512" i="10"/>
  <c r="AX514" i="10"/>
  <c r="AX516" i="10"/>
  <c r="AX518" i="10"/>
  <c r="AX520" i="10"/>
  <c r="AX522" i="10"/>
  <c r="AX524" i="10"/>
  <c r="AX526" i="10"/>
  <c r="AX528" i="10"/>
  <c r="AX530" i="10"/>
  <c r="AX532" i="10"/>
  <c r="AX534" i="10"/>
  <c r="AX536" i="10"/>
  <c r="AX538" i="10"/>
  <c r="AX540" i="10"/>
  <c r="AX542" i="10"/>
  <c r="AY542" i="10" s="1"/>
  <c r="AZ542" i="10" s="1"/>
  <c r="AX544" i="10"/>
  <c r="AX546" i="10"/>
  <c r="AX548" i="10"/>
  <c r="AX550" i="10"/>
  <c r="AX552" i="10"/>
  <c r="AX554" i="10"/>
  <c r="AX556" i="10"/>
  <c r="AX558" i="10"/>
  <c r="AX560" i="10"/>
  <c r="AX562" i="10"/>
  <c r="AX564" i="10"/>
  <c r="AX566" i="10"/>
  <c r="AX568" i="10"/>
  <c r="AX571" i="10"/>
  <c r="AX573" i="10"/>
  <c r="AX575" i="10"/>
  <c r="AX577" i="10"/>
  <c r="AX579" i="10"/>
  <c r="AX581" i="10"/>
  <c r="AX583" i="10"/>
  <c r="AX585" i="10"/>
  <c r="AX587" i="10"/>
  <c r="AX589" i="10"/>
  <c r="AX591" i="10"/>
  <c r="AX593" i="10"/>
  <c r="AX595" i="10"/>
  <c r="AX597" i="10"/>
  <c r="AX599" i="10"/>
  <c r="AX601" i="10"/>
  <c r="AX603" i="10"/>
  <c r="AX605" i="10"/>
  <c r="AX607" i="10"/>
  <c r="AX609" i="10"/>
  <c r="AX611" i="10"/>
  <c r="AX613" i="10"/>
  <c r="AX615" i="10"/>
  <c r="AX617" i="10"/>
  <c r="AX619" i="10"/>
  <c r="AX621" i="10"/>
  <c r="AX623" i="10"/>
  <c r="AX625" i="10"/>
  <c r="AX627" i="10"/>
  <c r="AX570" i="10"/>
  <c r="AX572" i="10"/>
  <c r="AX574" i="10"/>
  <c r="AX576" i="10"/>
  <c r="AX578" i="10"/>
  <c r="AX580" i="10"/>
  <c r="AX582" i="10"/>
  <c r="AX584" i="10"/>
  <c r="AX586" i="10"/>
  <c r="AX588" i="10"/>
  <c r="AX590" i="10"/>
  <c r="AX592" i="10"/>
  <c r="AX594" i="10"/>
  <c r="AX596" i="10"/>
  <c r="AX598" i="10"/>
  <c r="AX600" i="10"/>
  <c r="AX602" i="10"/>
  <c r="AX604" i="10"/>
  <c r="AX606" i="10"/>
  <c r="AX608" i="10"/>
  <c r="AX610" i="10"/>
  <c r="AX612" i="10"/>
  <c r="AX614" i="10"/>
  <c r="AX616" i="10"/>
  <c r="AX618" i="10"/>
  <c r="AX620" i="10"/>
  <c r="AX622" i="10"/>
  <c r="AX624" i="10"/>
  <c r="AX626" i="10"/>
  <c r="W22" i="12"/>
  <c r="Y22" i="12"/>
  <c r="Z22" i="12"/>
  <c r="C23" i="12"/>
  <c r="EC5" i="10"/>
  <c r="C144" i="10"/>
  <c r="E144" i="10" s="1"/>
  <c r="EC6" i="10"/>
  <c r="EB10" i="10" s="1"/>
  <c r="AF26" i="10"/>
  <c r="AN108" i="10"/>
  <c r="AW225" i="10"/>
  <c r="AW134" i="10"/>
  <c r="AN20" i="10"/>
  <c r="V18" i="10"/>
  <c r="AW305" i="10"/>
  <c r="AW196" i="10"/>
  <c r="AW265" i="10"/>
  <c r="V16" i="10"/>
  <c r="AO17" i="10"/>
  <c r="V35" i="10"/>
  <c r="AW277" i="10"/>
  <c r="AE26" i="10"/>
  <c r="AW257" i="10"/>
  <c r="AW164" i="10"/>
  <c r="AE80" i="10"/>
  <c r="AN35" i="10"/>
  <c r="AN76" i="10"/>
  <c r="AN94" i="10"/>
  <c r="AW71" i="10"/>
  <c r="AE75" i="10"/>
  <c r="AW236" i="10"/>
  <c r="AW139" i="10"/>
  <c r="AW270" i="10"/>
  <c r="AW197" i="10"/>
  <c r="AW193" i="10"/>
  <c r="AW68" i="10"/>
  <c r="AW230" i="10"/>
  <c r="AE35" i="10"/>
  <c r="AE23" i="10"/>
  <c r="AW189" i="10"/>
  <c r="AW216" i="10"/>
  <c r="AN18" i="10"/>
  <c r="V23" i="10"/>
  <c r="AN78" i="10"/>
  <c r="AN103" i="10"/>
  <c r="AN114" i="10"/>
  <c r="AW81" i="10"/>
  <c r="AX17" i="10"/>
  <c r="AW201" i="10"/>
  <c r="AW126" i="10"/>
  <c r="AW180" i="10"/>
  <c r="AW116" i="10"/>
  <c r="V39" i="10"/>
  <c r="AN22" i="10"/>
  <c r="AW163" i="10"/>
  <c r="AW181" i="10"/>
  <c r="AN19" i="10"/>
  <c r="AW212" i="10"/>
  <c r="AE90" i="10"/>
  <c r="AW21" i="10"/>
  <c r="AN34" i="10"/>
  <c r="AN74" i="10"/>
  <c r="AN89" i="10"/>
  <c r="AE25" i="10"/>
  <c r="AW250" i="10"/>
  <c r="AW219" i="10"/>
  <c r="V50" i="10"/>
  <c r="AE89" i="10"/>
  <c r="AE44" i="10"/>
  <c r="AW179" i="10"/>
  <c r="AW275" i="10"/>
  <c r="AW133" i="10"/>
  <c r="AW315" i="10"/>
  <c r="AW169" i="10"/>
  <c r="AW282" i="10"/>
  <c r="AE40" i="10"/>
  <c r="AW292" i="10"/>
  <c r="AW266" i="10"/>
  <c r="AN61" i="10"/>
  <c r="AN65" i="10"/>
  <c r="AN106" i="10"/>
  <c r="AN122" i="10"/>
  <c r="AN140" i="10"/>
  <c r="AN152" i="10"/>
  <c r="AN116" i="10"/>
  <c r="AN126" i="10"/>
  <c r="AN147" i="10"/>
  <c r="AN161" i="10"/>
  <c r="AW48" i="10"/>
  <c r="AW185" i="10"/>
  <c r="AX19" i="10"/>
  <c r="AW153" i="10"/>
  <c r="AW37" i="10"/>
  <c r="AW213" i="10"/>
  <c r="AW313" i="10"/>
  <c r="AW168" i="10"/>
  <c r="AE77" i="10"/>
  <c r="AW80" i="10"/>
  <c r="AW194" i="10"/>
  <c r="AO16" i="10"/>
  <c r="AN56" i="10"/>
  <c r="AN98" i="10"/>
  <c r="AW47" i="10"/>
  <c r="AW124" i="10"/>
  <c r="AW271" i="10"/>
  <c r="AW288" i="10"/>
  <c r="AW30" i="10"/>
  <c r="AE45" i="10"/>
  <c r="V42" i="10"/>
  <c r="AN62" i="10"/>
  <c r="AE34" i="10"/>
  <c r="AW100" i="10"/>
  <c r="AW39" i="10"/>
  <c r="AW221" i="10"/>
  <c r="V41" i="10"/>
  <c r="AW253" i="10"/>
  <c r="AW186" i="10"/>
  <c r="AO18" i="10"/>
  <c r="AN41" i="10"/>
  <c r="AW173" i="10"/>
  <c r="AW295" i="10"/>
  <c r="V28" i="10"/>
  <c r="AW85" i="10"/>
  <c r="AW122" i="10"/>
  <c r="AW55" i="10"/>
  <c r="AW22" i="10"/>
  <c r="AO24" i="10"/>
  <c r="AN85" i="10"/>
  <c r="AN131" i="10"/>
  <c r="AN163" i="10"/>
  <c r="AN135" i="10"/>
  <c r="V63" i="10"/>
  <c r="AW143" i="10"/>
  <c r="AE33" i="10"/>
  <c r="AX23" i="10"/>
  <c r="AW23" i="10"/>
  <c r="AW62" i="10"/>
  <c r="W17" i="10"/>
  <c r="AW95" i="10"/>
  <c r="AE79" i="10"/>
  <c r="AW78" i="10"/>
  <c r="AE17" i="10"/>
  <c r="AW90" i="10"/>
  <c r="AE22" i="10"/>
  <c r="AW233" i="10"/>
  <c r="AW20" i="10"/>
  <c r="AW294" i="10"/>
  <c r="AW316" i="10"/>
  <c r="V37" i="10"/>
  <c r="AE58" i="10"/>
  <c r="AW50" i="10"/>
  <c r="W24" i="10"/>
  <c r="AN69" i="10"/>
  <c r="AN66" i="10"/>
  <c r="V58" i="10"/>
  <c r="AW131" i="10"/>
  <c r="AW254" i="10"/>
  <c r="AW103" i="10"/>
  <c r="AE47" i="10"/>
  <c r="AE24" i="10"/>
  <c r="AW158" i="10"/>
  <c r="AW77" i="10"/>
  <c r="AN26" i="10"/>
  <c r="AW111" i="10"/>
  <c r="AW229" i="10"/>
  <c r="AW162" i="10"/>
  <c r="AE49" i="10"/>
  <c r="AW268" i="10"/>
  <c r="AW145" i="10"/>
  <c r="AN64" i="10"/>
  <c r="AN87" i="10"/>
  <c r="AN112" i="10"/>
  <c r="AE78" i="10"/>
  <c r="AW291" i="10"/>
  <c r="AW298" i="10"/>
  <c r="AW287" i="10"/>
  <c r="AF27" i="10"/>
  <c r="AE61" i="10"/>
  <c r="AW165" i="10"/>
  <c r="AW232" i="10"/>
  <c r="AW84" i="10"/>
  <c r="AW58" i="10"/>
  <c r="AE71" i="10"/>
  <c r="AE88" i="10"/>
  <c r="W20" i="10"/>
  <c r="AN48" i="10"/>
  <c r="AW42" i="10"/>
  <c r="AW301" i="10"/>
  <c r="AW154" i="10"/>
  <c r="AW18" i="10"/>
  <c r="AW227" i="10"/>
  <c r="AE84" i="10"/>
  <c r="AW51" i="10"/>
  <c r="AN49" i="10"/>
  <c r="AN110" i="10"/>
  <c r="AW140" i="10"/>
  <c r="AW91" i="10"/>
  <c r="AW306" i="10"/>
  <c r="AW40" i="10"/>
  <c r="AW182" i="10"/>
  <c r="AW195" i="10"/>
  <c r="AW99" i="10"/>
  <c r="AN52" i="10"/>
  <c r="AN97" i="10"/>
  <c r="AE57" i="10"/>
  <c r="AW148" i="10"/>
  <c r="AW272" i="10"/>
  <c r="AX22" i="10"/>
  <c r="AW223" i="10"/>
  <c r="AW94" i="10"/>
  <c r="AW31" i="10"/>
  <c r="AN83" i="10"/>
  <c r="AN113" i="10"/>
  <c r="AN144" i="10"/>
  <c r="AN120" i="10"/>
  <c r="AN157" i="10"/>
  <c r="AW88" i="10"/>
  <c r="V52" i="10"/>
  <c r="P11" i="10"/>
  <c r="AW38" i="10"/>
  <c r="AW28" i="10"/>
  <c r="AW258" i="10"/>
  <c r="AW104" i="10"/>
  <c r="AW177" i="10"/>
  <c r="V33" i="10"/>
  <c r="AW276" i="10"/>
  <c r="AW156" i="10"/>
  <c r="AW235" i="10"/>
  <c r="V38" i="10"/>
  <c r="AO25" i="10"/>
  <c r="AW46" i="10"/>
  <c r="AW243" i="10"/>
  <c r="AW183" i="10"/>
  <c r="AW284" i="10"/>
  <c r="V51" i="10"/>
  <c r="AE36" i="10"/>
  <c r="AN43" i="10"/>
  <c r="AN33" i="10"/>
  <c r="AN86" i="10"/>
  <c r="AW300" i="10"/>
  <c r="AW262" i="10"/>
  <c r="AW35" i="10"/>
  <c r="W16" i="10"/>
  <c r="AW93" i="10"/>
  <c r="AE85" i="10"/>
  <c r="AW34" i="10"/>
  <c r="AW167" i="10"/>
  <c r="AW199" i="10"/>
  <c r="AE69" i="10"/>
  <c r="AW135" i="10"/>
  <c r="AW278" i="10"/>
  <c r="AW119" i="10"/>
  <c r="AW290" i="10"/>
  <c r="AO20" i="10"/>
  <c r="AN31" i="10"/>
  <c r="AN101" i="10"/>
  <c r="AW147" i="10"/>
  <c r="AW228" i="10"/>
  <c r="AW70" i="10"/>
  <c r="AW89" i="10"/>
  <c r="AW215" i="10"/>
  <c r="AW41" i="10"/>
  <c r="AE42" i="10"/>
  <c r="AW45" i="10"/>
  <c r="AN28" i="10"/>
  <c r="AW264" i="10"/>
  <c r="AW29" i="10"/>
  <c r="AW86" i="10"/>
  <c r="AW260" i="10"/>
  <c r="AN16" i="10"/>
  <c r="AW293" i="10"/>
  <c r="AN42" i="10"/>
  <c r="AN30" i="10"/>
  <c r="AN105" i="10"/>
  <c r="AW57" i="10"/>
  <c r="AW214" i="10"/>
  <c r="AE87" i="10"/>
  <c r="AW73" i="10"/>
  <c r="AW208" i="10"/>
  <c r="AW289" i="10"/>
  <c r="AW114" i="10"/>
  <c r="AE82" i="10"/>
  <c r="AW56" i="10"/>
  <c r="AW176" i="10"/>
  <c r="AE65" i="10"/>
  <c r="AW175" i="10"/>
  <c r="AW184" i="10"/>
  <c r="AW54" i="10"/>
  <c r="AO19" i="10"/>
  <c r="AN77" i="10"/>
  <c r="AN90" i="10"/>
  <c r="AN111" i="10"/>
  <c r="AN128" i="10"/>
  <c r="AN142" i="10"/>
  <c r="AN155" i="10"/>
  <c r="AN117" i="10"/>
  <c r="AN133" i="10"/>
  <c r="AN151" i="10"/>
  <c r="AN165" i="10"/>
  <c r="AE20" i="10"/>
  <c r="AE62" i="10"/>
  <c r="AF19" i="10"/>
  <c r="AW142" i="10"/>
  <c r="AW105" i="10"/>
  <c r="AE19" i="10"/>
  <c r="AW234" i="10"/>
  <c r="AE29" i="10"/>
  <c r="AE70" i="10"/>
  <c r="AW17" i="10"/>
  <c r="AW286" i="10"/>
  <c r="V32" i="10"/>
  <c r="AE16" i="10"/>
  <c r="AE31" i="10"/>
  <c r="AF21" i="10"/>
  <c r="AN59" i="10"/>
  <c r="AN57" i="10"/>
  <c r="V56" i="10"/>
  <c r="AW166" i="10"/>
  <c r="V49" i="10"/>
  <c r="AW74" i="10"/>
  <c r="AE60" i="10"/>
  <c r="AE68" i="10"/>
  <c r="AW209" i="10"/>
  <c r="AW66" i="10"/>
  <c r="AN29" i="10"/>
  <c r="AW97" i="10"/>
  <c r="AW299" i="10"/>
  <c r="AX18" i="10"/>
  <c r="AW310" i="10"/>
  <c r="AE72" i="10"/>
  <c r="V53" i="10"/>
  <c r="AN54" i="10"/>
  <c r="AN67" i="10"/>
  <c r="V60" i="10"/>
  <c r="AW302" i="10"/>
  <c r="AW157" i="10"/>
  <c r="AW309" i="10"/>
  <c r="AW307" i="10"/>
  <c r="AW115" i="10"/>
  <c r="AW102" i="10"/>
  <c r="V21" i="10"/>
  <c r="AE38" i="10"/>
  <c r="AW138" i="10"/>
  <c r="AW192" i="10"/>
  <c r="AW231" i="10"/>
  <c r="AW263" i="10"/>
  <c r="AW155" i="10"/>
  <c r="AE67" i="10"/>
  <c r="AW245" i="10"/>
  <c r="AW123" i="10"/>
  <c r="AW241" i="10"/>
  <c r="W23" i="10"/>
  <c r="AN63" i="10"/>
  <c r="AO26" i="10"/>
  <c r="AE73" i="10"/>
  <c r="AE48" i="10"/>
  <c r="AW238" i="10"/>
  <c r="AW151" i="10"/>
  <c r="AW303" i="10"/>
  <c r="AE41" i="10"/>
  <c r="AN46" i="10"/>
  <c r="AN102" i="10"/>
  <c r="AN138" i="10"/>
  <c r="AN166" i="10"/>
  <c r="AN137" i="10"/>
  <c r="AN17" i="10"/>
  <c r="AW152" i="10"/>
  <c r="V20" i="10"/>
  <c r="AW25" i="10"/>
  <c r="AO22" i="10"/>
  <c r="AW64" i="10"/>
  <c r="V36" i="10"/>
  <c r="AE50" i="10"/>
  <c r="AN84" i="10"/>
  <c r="AF20" i="10"/>
  <c r="AF17" i="10"/>
  <c r="AW217" i="10"/>
  <c r="AW108" i="10"/>
  <c r="AW121" i="10"/>
  <c r="AW198" i="10"/>
  <c r="AW269" i="10"/>
  <c r="AN27" i="10"/>
  <c r="AN88" i="10"/>
  <c r="AW144" i="10"/>
  <c r="AE56" i="10"/>
  <c r="AW120" i="10"/>
  <c r="AW248" i="10"/>
  <c r="AF22" i="10"/>
  <c r="AW204" i="10"/>
  <c r="AW106" i="10"/>
  <c r="AW304" i="10"/>
  <c r="W21" i="10"/>
  <c r="AN58" i="10"/>
  <c r="AN55" i="10"/>
  <c r="AN104" i="10"/>
  <c r="AW161" i="10"/>
  <c r="AW72" i="10"/>
  <c r="AE37" i="10"/>
  <c r="V34" i="10"/>
  <c r="AW281" i="10"/>
  <c r="V47" i="10"/>
  <c r="AW187" i="10"/>
  <c r="AW60" i="10"/>
  <c r="AW247" i="10"/>
  <c r="AE30" i="10"/>
  <c r="AW27" i="10"/>
  <c r="V43" i="10"/>
  <c r="AE83" i="10"/>
  <c r="V40" i="10"/>
  <c r="AO21" i="10"/>
  <c r="AN80" i="10"/>
  <c r="AN91" i="10"/>
  <c r="V64" i="10"/>
  <c r="AN129" i="10"/>
  <c r="AN143" i="10"/>
  <c r="AN156" i="10"/>
  <c r="AN119" i="10"/>
  <c r="AN134" i="10"/>
  <c r="AN153" i="10"/>
  <c r="AF24" i="10"/>
  <c r="AE52" i="10"/>
  <c r="AE28" i="10"/>
  <c r="AW210" i="10"/>
  <c r="AW314" i="10"/>
  <c r="W18" i="10"/>
  <c r="AW101" i="10"/>
  <c r="AN50" i="10"/>
  <c r="AN39" i="10"/>
  <c r="AN96" i="10"/>
  <c r="AF16" i="10"/>
  <c r="AE32" i="10"/>
  <c r="AF18" i="10"/>
  <c r="AE59" i="10"/>
  <c r="AW132" i="10"/>
  <c r="AW146" i="10"/>
  <c r="AW98" i="10"/>
  <c r="W19" i="10"/>
  <c r="AW83" i="10"/>
  <c r="AW226" i="10"/>
  <c r="AW69" i="10"/>
  <c r="AE74" i="10"/>
  <c r="AW312" i="10"/>
  <c r="AE81" i="10"/>
  <c r="AN44" i="10"/>
  <c r="AN47" i="10"/>
  <c r="AN107" i="10"/>
  <c r="AW141" i="10"/>
  <c r="AW43" i="10"/>
  <c r="AW311" i="10"/>
  <c r="AW110" i="10"/>
  <c r="AW267" i="10"/>
  <c r="AW240" i="10"/>
  <c r="AW19" i="10"/>
  <c r="AW53" i="10"/>
  <c r="AW96" i="10"/>
  <c r="AW252" i="10"/>
  <c r="AX25" i="10"/>
  <c r="AW246" i="10"/>
  <c r="AW107" i="10"/>
  <c r="AW255" i="10"/>
  <c r="AW220" i="10"/>
  <c r="AN45" i="10"/>
  <c r="AN38" i="10"/>
  <c r="AN93" i="10"/>
  <c r="AW61" i="10"/>
  <c r="AW261" i="10"/>
  <c r="V17" i="10"/>
  <c r="AW32" i="10"/>
  <c r="V24" i="10"/>
  <c r="AW259" i="10"/>
  <c r="AE18" i="10"/>
  <c r="AE54" i="10"/>
  <c r="AW75" i="10"/>
  <c r="AW24" i="10"/>
  <c r="AW249" i="10"/>
  <c r="AW52" i="10"/>
  <c r="AE86" i="10"/>
  <c r="AW65" i="10"/>
  <c r="AX21" i="10"/>
  <c r="AN68" i="10"/>
  <c r="AN95" i="10"/>
  <c r="V61" i="10"/>
  <c r="AN127" i="10"/>
  <c r="AN141" i="10"/>
  <c r="AN154" i="10"/>
  <c r="V65" i="10"/>
  <c r="AN130" i="10"/>
  <c r="AN149" i="10"/>
  <c r="AN162" i="10"/>
  <c r="AF28" i="10"/>
  <c r="W26" i="10"/>
  <c r="AX27" i="10"/>
  <c r="AO28" i="10"/>
  <c r="W28" i="10"/>
  <c r="AO29" i="10"/>
  <c r="W29" i="10"/>
  <c r="AO30" i="10"/>
  <c r="W30" i="10"/>
  <c r="AO31" i="10"/>
  <c r="AF33" i="10"/>
  <c r="AO32" i="10"/>
  <c r="AX32" i="10"/>
  <c r="W32" i="10"/>
  <c r="AF35" i="10"/>
  <c r="W33" i="10"/>
  <c r="AO35" i="10"/>
  <c r="AP35" i="10" s="1"/>
  <c r="AQ35" i="10" s="1"/>
  <c r="AX34" i="10"/>
  <c r="AO36" i="10"/>
  <c r="AF37" i="10"/>
  <c r="AX36" i="10"/>
  <c r="AF38" i="10"/>
  <c r="AX37" i="10"/>
  <c r="W37" i="10"/>
  <c r="AO39" i="10"/>
  <c r="AX38" i="10"/>
  <c r="AX39" i="10"/>
  <c r="AW308" i="10"/>
  <c r="AW285" i="10"/>
  <c r="AE53" i="10"/>
  <c r="AW280" i="10"/>
  <c r="AW178" i="10"/>
  <c r="AN60" i="10"/>
  <c r="AE55" i="10"/>
  <c r="AW202" i="10"/>
  <c r="AW170" i="10"/>
  <c r="AW191" i="10"/>
  <c r="AN25" i="10"/>
  <c r="AW207" i="10"/>
  <c r="AW59" i="10"/>
  <c r="AW26" i="10"/>
  <c r="AN40" i="10"/>
  <c r="AN118" i="10"/>
  <c r="AN148" i="10"/>
  <c r="AN124" i="10"/>
  <c r="AN159" i="10"/>
  <c r="AW159" i="10"/>
  <c r="V29" i="10"/>
  <c r="V44" i="10"/>
  <c r="AW82" i="10"/>
  <c r="AE51" i="10"/>
  <c r="AW117" i="10"/>
  <c r="V26" i="10"/>
  <c r="AN37" i="10"/>
  <c r="AN100" i="10"/>
  <c r="AW203" i="10"/>
  <c r="AE21" i="10"/>
  <c r="AG21" i="10" s="1"/>
  <c r="AH21" i="10" s="1"/>
  <c r="V54" i="10"/>
  <c r="AW44" i="10"/>
  <c r="AW87" i="10"/>
  <c r="AE63" i="10"/>
  <c r="AW125" i="10"/>
  <c r="AN81" i="10"/>
  <c r="V57" i="10"/>
  <c r="AW200" i="10"/>
  <c r="AE66" i="10"/>
  <c r="V46" i="10"/>
  <c r="AN24" i="10"/>
  <c r="AN21" i="10"/>
  <c r="AE46" i="10"/>
  <c r="AW205" i="10"/>
  <c r="AW160" i="10"/>
  <c r="AN36" i="10"/>
  <c r="AN79" i="10"/>
  <c r="AN99" i="10"/>
  <c r="AW129" i="10"/>
  <c r="V30" i="10"/>
  <c r="V48" i="10"/>
  <c r="AW224" i="10"/>
  <c r="AW112" i="10"/>
  <c r="AE64" i="10"/>
  <c r="AW172" i="10"/>
  <c r="V45" i="10"/>
  <c r="AO23" i="10"/>
  <c r="AW150" i="10"/>
  <c r="AW218" i="10"/>
  <c r="V31" i="10"/>
  <c r="AE43" i="10"/>
  <c r="AE76" i="10"/>
  <c r="AW136" i="10"/>
  <c r="AN51" i="10"/>
  <c r="AN82" i="10"/>
  <c r="V59" i="10"/>
  <c r="AN121" i="10"/>
  <c r="AN139" i="10"/>
  <c r="AN150" i="10"/>
  <c r="AN115" i="10"/>
  <c r="AN125" i="10"/>
  <c r="AN145" i="10"/>
  <c r="AN160" i="10"/>
  <c r="AF25" i="10"/>
  <c r="V19" i="10"/>
  <c r="V22" i="10"/>
  <c r="AW297" i="10"/>
  <c r="AW109" i="10"/>
  <c r="AE27" i="10"/>
  <c r="W22" i="10"/>
  <c r="AN73" i="10"/>
  <c r="AN72" i="10"/>
  <c r="AX24" i="10"/>
  <c r="AW36" i="10"/>
  <c r="AW33" i="10"/>
  <c r="AW242" i="10"/>
  <c r="AW149" i="10"/>
  <c r="AW113" i="10"/>
  <c r="AX20" i="10"/>
  <c r="AW128" i="10"/>
  <c r="AW244" i="10"/>
  <c r="AW222" i="10"/>
  <c r="AW251" i="10"/>
  <c r="AW92" i="10"/>
  <c r="AF23" i="10"/>
  <c r="AN92" i="10"/>
  <c r="AW190" i="10"/>
  <c r="AW237" i="10"/>
  <c r="AW63" i="10"/>
  <c r="V25" i="10"/>
  <c r="AW211" i="10"/>
  <c r="AX16" i="10"/>
  <c r="V27" i="10"/>
  <c r="W25" i="10"/>
  <c r="AN71" i="10"/>
  <c r="AE39" i="10"/>
  <c r="AW127" i="10"/>
  <c r="AE91" i="10"/>
  <c r="AW76" i="10"/>
  <c r="AW206" i="10"/>
  <c r="AW279" i="10"/>
  <c r="AW256" i="10"/>
  <c r="AN32" i="10"/>
  <c r="V55" i="10"/>
  <c r="AN132" i="10"/>
  <c r="AN164" i="10"/>
  <c r="AN136" i="10"/>
  <c r="AO27" i="10"/>
  <c r="W27" i="10"/>
  <c r="AF30" i="10"/>
  <c r="AF31" i="10"/>
  <c r="AF32" i="10"/>
  <c r="AX31" i="10"/>
  <c r="AF34" i="10"/>
  <c r="AO34" i="10"/>
  <c r="AF36" i="10"/>
  <c r="W35" i="10"/>
  <c r="W36" i="10"/>
  <c r="AF39" i="10"/>
  <c r="W38" i="10"/>
  <c r="AF41" i="10"/>
  <c r="W39" i="10"/>
  <c r="AX40" i="10"/>
  <c r="AO41" i="10"/>
  <c r="W41" i="10"/>
  <c r="AO42" i="10"/>
  <c r="AX42" i="10"/>
  <c r="AO43" i="10"/>
  <c r="AF45" i="10"/>
  <c r="AO44" i="10"/>
  <c r="AF46" i="10"/>
  <c r="AX44" i="10"/>
  <c r="AX45" i="10"/>
  <c r="AO46" i="10"/>
  <c r="W46" i="10"/>
  <c r="AO47" i="10"/>
  <c r="AX47" i="10"/>
  <c r="AF49" i="10"/>
  <c r="W48" i="10"/>
  <c r="AO49" i="10"/>
  <c r="AX49" i="10"/>
  <c r="AO50" i="10"/>
  <c r="AX50" i="10"/>
  <c r="AO51" i="10"/>
  <c r="W51" i="10"/>
  <c r="AO52" i="10"/>
  <c r="W52" i="10"/>
  <c r="AX52" i="10"/>
  <c r="AF55" i="10"/>
  <c r="AX53" i="10"/>
  <c r="AX54" i="10"/>
  <c r="AO55" i="10"/>
  <c r="AF57" i="10"/>
  <c r="AO56" i="10"/>
  <c r="W56" i="10"/>
  <c r="AO57" i="10"/>
  <c r="W57" i="10"/>
  <c r="AX57" i="10"/>
  <c r="AF60" i="10"/>
  <c r="AX58" i="10"/>
  <c r="AX59" i="10"/>
  <c r="W59" i="10"/>
  <c r="AF62" i="10"/>
  <c r="AO61" i="10"/>
  <c r="W61" i="10"/>
  <c r="AO62" i="10"/>
  <c r="AF64" i="10"/>
  <c r="W62" i="10"/>
  <c r="AO64" i="10"/>
  <c r="W63" i="10"/>
  <c r="AX64" i="10"/>
  <c r="W64" i="10"/>
  <c r="AO66" i="10"/>
  <c r="AX65" i="10"/>
  <c r="AF68" i="10"/>
  <c r="AX66" i="10"/>
  <c r="AX67" i="10"/>
  <c r="AF70" i="10"/>
  <c r="AO69" i="10"/>
  <c r="AX69" i="10"/>
  <c r="AX70" i="10"/>
  <c r="AF72" i="10"/>
  <c r="AF73" i="10"/>
  <c r="AF74" i="10"/>
  <c r="AO73" i="10"/>
  <c r="AO74" i="10"/>
  <c r="AF76" i="10"/>
  <c r="AO75" i="10"/>
  <c r="AO76" i="10"/>
  <c r="AO77" i="10"/>
  <c r="AF78" i="10"/>
  <c r="AX77" i="10"/>
  <c r="AF80" i="10"/>
  <c r="AX78" i="10"/>
  <c r="AX79" i="10"/>
  <c r="AF82" i="10"/>
  <c r="AG82" i="10" s="1"/>
  <c r="AH82" i="10" s="1"/>
  <c r="AX80" i="10"/>
  <c r="AO82" i="10"/>
  <c r="AX82" i="10"/>
  <c r="AF84" i="10"/>
  <c r="AF85" i="10"/>
  <c r="AX84" i="10"/>
  <c r="AF86" i="10"/>
  <c r="AO86" i="10"/>
  <c r="AF88" i="10"/>
  <c r="AO87" i="10"/>
  <c r="AX87" i="10"/>
  <c r="AF90" i="10"/>
  <c r="AO89" i="10"/>
  <c r="AX89" i="10"/>
  <c r="AX90" i="10"/>
  <c r="AO92" i="10"/>
  <c r="AO93" i="10"/>
  <c r="AX93" i="10"/>
  <c r="AX94" i="10"/>
  <c r="AO96" i="10"/>
  <c r="AX96" i="10"/>
  <c r="AX97" i="10"/>
  <c r="AX98" i="10"/>
  <c r="AO100" i="10"/>
  <c r="AX100" i="10"/>
  <c r="AX101" i="10"/>
  <c r="AX102" i="10"/>
  <c r="AX103" i="10"/>
  <c r="AX104" i="10"/>
  <c r="AY104" i="10" s="1"/>
  <c r="AZ104" i="10" s="1"/>
  <c r="AO106" i="10"/>
  <c r="AX106" i="10"/>
  <c r="AX107" i="10"/>
  <c r="AX108" i="10"/>
  <c r="AX109" i="10"/>
  <c r="AX110" i="10"/>
  <c r="AX111" i="10"/>
  <c r="AX112" i="10"/>
  <c r="AO114" i="10"/>
  <c r="AX114" i="10"/>
  <c r="AX115" i="10"/>
  <c r="AX116" i="10"/>
  <c r="AO118" i="10"/>
  <c r="AX118" i="10"/>
  <c r="AX119" i="10"/>
  <c r="AX120" i="10"/>
  <c r="AX121" i="10"/>
  <c r="AX122" i="10"/>
  <c r="AX123" i="10"/>
  <c r="AX124" i="10"/>
  <c r="AX125" i="10"/>
  <c r="AX126" i="10"/>
  <c r="AO128" i="10"/>
  <c r="AX128" i="10"/>
  <c r="AX129" i="10"/>
  <c r="AX130" i="10"/>
  <c r="AX131" i="10"/>
  <c r="AX132" i="10"/>
  <c r="AW239" i="10"/>
  <c r="AW130" i="10"/>
  <c r="AN75" i="10"/>
  <c r="V62" i="10"/>
  <c r="AW49" i="10"/>
  <c r="AW174" i="10"/>
  <c r="AW171" i="10"/>
  <c r="AW274" i="10"/>
  <c r="AW188" i="10"/>
  <c r="AW296" i="10"/>
  <c r="AW16" i="10"/>
  <c r="AN70" i="10"/>
  <c r="AN109" i="10"/>
  <c r="AW67" i="10"/>
  <c r="AW273" i="10"/>
  <c r="AW118" i="10"/>
  <c r="AN23" i="10"/>
  <c r="AW283" i="10"/>
  <c r="AW137" i="10"/>
  <c r="AW79" i="10"/>
  <c r="AN53" i="10"/>
  <c r="V66" i="10"/>
  <c r="AN146" i="10"/>
  <c r="AN123" i="10"/>
  <c r="AN158" i="10"/>
  <c r="AX26" i="10"/>
  <c r="AF29" i="10"/>
  <c r="AX28" i="10"/>
  <c r="AX29" i="10"/>
  <c r="AX30" i="10"/>
  <c r="W31" i="10"/>
  <c r="AO33" i="10"/>
  <c r="AX33" i="10"/>
  <c r="W34" i="10"/>
  <c r="AX35" i="10"/>
  <c r="AO37" i="10"/>
  <c r="AO38" i="10"/>
  <c r="AF40" i="10"/>
  <c r="AO40" i="10"/>
  <c r="AF42" i="10"/>
  <c r="W40" i="10"/>
  <c r="AF43" i="10"/>
  <c r="AX41" i="10"/>
  <c r="AY41" i="10" s="1"/>
  <c r="AZ41" i="10" s="1"/>
  <c r="AF44" i="10"/>
  <c r="W42" i="10"/>
  <c r="W43" i="10"/>
  <c r="AX43" i="10"/>
  <c r="W44" i="10"/>
  <c r="AO45" i="10"/>
  <c r="AF47" i="10"/>
  <c r="W45" i="10"/>
  <c r="AF48" i="10"/>
  <c r="AX46" i="10"/>
  <c r="W47" i="10"/>
  <c r="AO48" i="10"/>
  <c r="AP48" i="10" s="1"/>
  <c r="AQ48" i="10" s="1"/>
  <c r="AX48" i="10"/>
  <c r="AF50" i="10"/>
  <c r="AF51" i="10"/>
  <c r="W49" i="10"/>
  <c r="AF52" i="10"/>
  <c r="W50" i="10"/>
  <c r="AF53" i="10"/>
  <c r="AX51" i="10"/>
  <c r="AF54" i="10"/>
  <c r="AO53" i="10"/>
  <c r="AO54" i="10"/>
  <c r="W53" i="10"/>
  <c r="AF56" i="10"/>
  <c r="W54" i="10"/>
  <c r="W55" i="10"/>
  <c r="AX55" i="10"/>
  <c r="AF58" i="10"/>
  <c r="AX56" i="10"/>
  <c r="AF59" i="10"/>
  <c r="AO58" i="10"/>
  <c r="AO59" i="10"/>
  <c r="W58" i="10"/>
  <c r="AF61" i="10"/>
  <c r="AO60" i="10"/>
  <c r="W60" i="10"/>
  <c r="AX60" i="10"/>
  <c r="AF63" i="10"/>
  <c r="AX61" i="10"/>
  <c r="AO63" i="10"/>
  <c r="AX62" i="10"/>
  <c r="AF65" i="10"/>
  <c r="AX63" i="10"/>
  <c r="AF66" i="10"/>
  <c r="AO65" i="10"/>
  <c r="AF67" i="10"/>
  <c r="W65" i="10"/>
  <c r="AO67" i="10"/>
  <c r="W66" i="10"/>
  <c r="AF69" i="10"/>
  <c r="AO68" i="10"/>
  <c r="AX68" i="10"/>
  <c r="AF71" i="10"/>
  <c r="AO70" i="10"/>
  <c r="AO71" i="10"/>
  <c r="AO72" i="10"/>
  <c r="AX71" i="10"/>
  <c r="AX72" i="10"/>
  <c r="AF75" i="10"/>
  <c r="AX73" i="10"/>
  <c r="AX74" i="10"/>
  <c r="AX75" i="10"/>
  <c r="AF77" i="10"/>
  <c r="AX76" i="10"/>
  <c r="AF79" i="10"/>
  <c r="AO78" i="10"/>
  <c r="AO79" i="10"/>
  <c r="AO80" i="10"/>
  <c r="AF81" i="10"/>
  <c r="AO81" i="10"/>
  <c r="AF83" i="10"/>
  <c r="AX81" i="10"/>
  <c r="AO83" i="10"/>
  <c r="AX83" i="10"/>
  <c r="AO84" i="10"/>
  <c r="AO85" i="10"/>
  <c r="AX85" i="10"/>
  <c r="AF87" i="10"/>
  <c r="AX86" i="10"/>
  <c r="AF89" i="10"/>
  <c r="AO88" i="10"/>
  <c r="AX88" i="10"/>
  <c r="AF91" i="10"/>
  <c r="AO90" i="10"/>
  <c r="AO91" i="10"/>
  <c r="AX91" i="10"/>
  <c r="AX92" i="10"/>
  <c r="AO94" i="10"/>
  <c r="AO95" i="10"/>
  <c r="AX95" i="10"/>
  <c r="AO97" i="10"/>
  <c r="AO98" i="10"/>
  <c r="AO99" i="10"/>
  <c r="AP99" i="10" s="1"/>
  <c r="AQ99" i="10" s="1"/>
  <c r="AX99" i="10"/>
  <c r="AO101" i="10"/>
  <c r="AO102" i="10"/>
  <c r="AO103" i="10"/>
  <c r="AO104" i="10"/>
  <c r="AO105" i="10"/>
  <c r="AX105" i="10"/>
  <c r="AO107" i="10"/>
  <c r="AO108" i="10"/>
  <c r="AO109" i="10"/>
  <c r="AO110" i="10"/>
  <c r="AO111" i="10"/>
  <c r="AO112" i="10"/>
  <c r="AO113" i="10"/>
  <c r="AX113" i="10"/>
  <c r="AO115" i="10"/>
  <c r="AO116" i="10"/>
  <c r="AP116" i="10" s="1"/>
  <c r="AQ116" i="10" s="1"/>
  <c r="AO117" i="10"/>
  <c r="AX117" i="10"/>
  <c r="AO119" i="10"/>
  <c r="AO120" i="10"/>
  <c r="AO121" i="10"/>
  <c r="AO122" i="10"/>
  <c r="AO123" i="10"/>
  <c r="AO124" i="10"/>
  <c r="AO125" i="10"/>
  <c r="AO126" i="10"/>
  <c r="AO127" i="10"/>
  <c r="AX127" i="10"/>
  <c r="AO129" i="10"/>
  <c r="AO130" i="10"/>
  <c r="AO131" i="10"/>
  <c r="AO132" i="10"/>
  <c r="AO133" i="10"/>
  <c r="AO134" i="10"/>
  <c r="AO135" i="10"/>
  <c r="AO136" i="10"/>
  <c r="AO137" i="10"/>
  <c r="AO138" i="10"/>
  <c r="AX138" i="10"/>
  <c r="AO140" i="10"/>
  <c r="AX140" i="10"/>
  <c r="AO142" i="10"/>
  <c r="AO143" i="10"/>
  <c r="AX143" i="10"/>
  <c r="AX144" i="10"/>
  <c r="AO146" i="10"/>
  <c r="AO147" i="10"/>
  <c r="AO148" i="10"/>
  <c r="AO149" i="10"/>
  <c r="AX149" i="10"/>
  <c r="AO151" i="10"/>
  <c r="AO152" i="10"/>
  <c r="AO153" i="10"/>
  <c r="AO154" i="10"/>
  <c r="AO155" i="10"/>
  <c r="AO156" i="10"/>
  <c r="AO157" i="10"/>
  <c r="AO158" i="10"/>
  <c r="AO159" i="10"/>
  <c r="AX159" i="10"/>
  <c r="AX160" i="10"/>
  <c r="AX161" i="10"/>
  <c r="AO163" i="10"/>
  <c r="AO164" i="10"/>
  <c r="AO165" i="10"/>
  <c r="AO166" i="10"/>
  <c r="AX167" i="10"/>
  <c r="AX169" i="10"/>
  <c r="AX171" i="10"/>
  <c r="AX173" i="10"/>
  <c r="AX175" i="10"/>
  <c r="AX177" i="10"/>
  <c r="AX179" i="10"/>
  <c r="AX181" i="10"/>
  <c r="AX183" i="10"/>
  <c r="AX185" i="10"/>
  <c r="AX187" i="10"/>
  <c r="AX189" i="10"/>
  <c r="AX191" i="10"/>
  <c r="AX193" i="10"/>
  <c r="AX195" i="10"/>
  <c r="AX197" i="10"/>
  <c r="AX199" i="10"/>
  <c r="AX201" i="10"/>
  <c r="AX203" i="10"/>
  <c r="AX205" i="10"/>
  <c r="AX207" i="10"/>
  <c r="AX209" i="10"/>
  <c r="AX211" i="10"/>
  <c r="AX213" i="10"/>
  <c r="AX215" i="10"/>
  <c r="AX217" i="10"/>
  <c r="AX219" i="10"/>
  <c r="AY219" i="10" s="1"/>
  <c r="AZ219" i="10" s="1"/>
  <c r="AX221" i="10"/>
  <c r="AX223" i="10"/>
  <c r="AX225" i="10"/>
  <c r="AX227" i="10"/>
  <c r="AX229" i="10"/>
  <c r="AX231" i="10"/>
  <c r="AX233" i="10"/>
  <c r="AY233" i="10" s="1"/>
  <c r="AZ233" i="10" s="1"/>
  <c r="AX235" i="10"/>
  <c r="AX237" i="10"/>
  <c r="AX239" i="10"/>
  <c r="AX241" i="10"/>
  <c r="AX243" i="10"/>
  <c r="AX245" i="10"/>
  <c r="AX247" i="10"/>
  <c r="AX249" i="10"/>
  <c r="AX251" i="10"/>
  <c r="AX253" i="10"/>
  <c r="AX255" i="10"/>
  <c r="AX257" i="10"/>
  <c r="AX259" i="10"/>
  <c r="AX261" i="10"/>
  <c r="AX263" i="10"/>
  <c r="AX265" i="10"/>
  <c r="AY265" i="10" s="1"/>
  <c r="AZ265" i="10" s="1"/>
  <c r="AX267" i="10"/>
  <c r="AX269" i="10"/>
  <c r="AX271" i="10"/>
  <c r="AX273" i="10"/>
  <c r="AX275" i="10"/>
  <c r="AX277" i="10"/>
  <c r="AX279" i="10"/>
  <c r="AX281" i="10"/>
  <c r="AX283" i="10"/>
  <c r="AX285" i="10"/>
  <c r="AX287" i="10"/>
  <c r="AX289" i="10"/>
  <c r="AX291" i="10"/>
  <c r="AY291" i="10" s="1"/>
  <c r="AZ291" i="10" s="1"/>
  <c r="AX293" i="10"/>
  <c r="AX295" i="10"/>
  <c r="AX297" i="10"/>
  <c r="AX299" i="10"/>
  <c r="AX301" i="10"/>
  <c r="AX303" i="10"/>
  <c r="AX305" i="10"/>
  <c r="AX307" i="10"/>
  <c r="AX309" i="10"/>
  <c r="AX311" i="10"/>
  <c r="AX313" i="10"/>
  <c r="AX315" i="10"/>
  <c r="AX133" i="10"/>
  <c r="AX134" i="10"/>
  <c r="AX135" i="10"/>
  <c r="AX136" i="10"/>
  <c r="AX137" i="10"/>
  <c r="AO139" i="10"/>
  <c r="AX139" i="10"/>
  <c r="AO141" i="10"/>
  <c r="AX141" i="10"/>
  <c r="AX142" i="10"/>
  <c r="AO144" i="10"/>
  <c r="AO145" i="10"/>
  <c r="AX145" i="10"/>
  <c r="AX146" i="10"/>
  <c r="AX147" i="10"/>
  <c r="AX148" i="10"/>
  <c r="AO150" i="10"/>
  <c r="AX150" i="10"/>
  <c r="AX151" i="10"/>
  <c r="AX152" i="10"/>
  <c r="AX153" i="10"/>
  <c r="AX154" i="10"/>
  <c r="AX155" i="10"/>
  <c r="AX156" i="10"/>
  <c r="AX157" i="10"/>
  <c r="AX158" i="10"/>
  <c r="AO160" i="10"/>
  <c r="AO161" i="10"/>
  <c r="AO162" i="10"/>
  <c r="AX162" i="10"/>
  <c r="AX163" i="10"/>
  <c r="AX164" i="10"/>
  <c r="AX165" i="10"/>
  <c r="AX166" i="10"/>
  <c r="AX168" i="10"/>
  <c r="AX170" i="10"/>
  <c r="AX172" i="10"/>
  <c r="AX174" i="10"/>
  <c r="AX176" i="10"/>
  <c r="AX178" i="10"/>
  <c r="AX180" i="10"/>
  <c r="AX182" i="10"/>
  <c r="AX184" i="10"/>
  <c r="AX186" i="10"/>
  <c r="AX188" i="10"/>
  <c r="AX190" i="10"/>
  <c r="AX192" i="10"/>
  <c r="AX194" i="10"/>
  <c r="AX196" i="10"/>
  <c r="AX198" i="10"/>
  <c r="AX200" i="10"/>
  <c r="AX202" i="10"/>
  <c r="AX204" i="10"/>
  <c r="AX206" i="10"/>
  <c r="AX208" i="10"/>
  <c r="AX210" i="10"/>
  <c r="AX212" i="10"/>
  <c r="AX214" i="10"/>
  <c r="AX216" i="10"/>
  <c r="AX218" i="10"/>
  <c r="AX220" i="10"/>
  <c r="AX222" i="10"/>
  <c r="AX224" i="10"/>
  <c r="AX226" i="10"/>
  <c r="AX228" i="10"/>
  <c r="AX230" i="10"/>
  <c r="AX232" i="10"/>
  <c r="AX234" i="10"/>
  <c r="AX236" i="10"/>
  <c r="AY236" i="10" s="1"/>
  <c r="AZ236" i="10" s="1"/>
  <c r="AX238" i="10"/>
  <c r="AX240" i="10"/>
  <c r="AX242" i="10"/>
  <c r="AX244" i="10"/>
  <c r="AX246" i="10"/>
  <c r="AX248" i="10"/>
  <c r="AX250" i="10"/>
  <c r="AX252" i="10"/>
  <c r="AX254" i="10"/>
  <c r="AX256" i="10"/>
  <c r="AX258" i="10"/>
  <c r="AX260" i="10"/>
  <c r="AX262" i="10"/>
  <c r="AX264" i="10"/>
  <c r="AX266" i="10"/>
  <c r="AX268" i="10"/>
  <c r="AX270" i="10"/>
  <c r="AX272" i="10"/>
  <c r="AX274" i="10"/>
  <c r="AX276" i="10"/>
  <c r="AX278" i="10"/>
  <c r="AX280" i="10"/>
  <c r="AX282" i="10"/>
  <c r="AX284" i="10"/>
  <c r="AX286" i="10"/>
  <c r="AX288" i="10"/>
  <c r="AX290" i="10"/>
  <c r="AX292" i="10"/>
  <c r="AX294" i="10"/>
  <c r="AX296" i="10"/>
  <c r="AX298" i="10"/>
  <c r="AX300" i="10"/>
  <c r="AX302" i="10"/>
  <c r="AX304" i="10"/>
  <c r="AX306" i="10"/>
  <c r="AX308" i="10"/>
  <c r="AX310" i="10"/>
  <c r="AX312" i="10"/>
  <c r="AX314" i="10"/>
  <c r="AX316" i="10"/>
  <c r="CI290" i="10" l="1"/>
  <c r="CJ290" i="10" s="1"/>
  <c r="BQ50" i="10"/>
  <c r="BR50" i="10" s="1"/>
  <c r="BZ142" i="10"/>
  <c r="CA142" i="10" s="1"/>
  <c r="BQ54" i="10"/>
  <c r="BR54" i="10" s="1"/>
  <c r="CI306" i="10"/>
  <c r="CJ306" i="10" s="1"/>
  <c r="CI148" i="10"/>
  <c r="CJ148" i="10" s="1"/>
  <c r="CI44" i="10"/>
  <c r="CJ44" i="10" s="1"/>
  <c r="DA27" i="10"/>
  <c r="DB27" i="10" s="1"/>
  <c r="DS175" i="10"/>
  <c r="DT175" i="10" s="1"/>
  <c r="DA69" i="10"/>
  <c r="DB69" i="10" s="1"/>
  <c r="CR52" i="10"/>
  <c r="CS52" i="10" s="1"/>
  <c r="DS29" i="10"/>
  <c r="DT29" i="10" s="1"/>
  <c r="DJ20" i="10"/>
  <c r="DK20" i="10" s="1"/>
  <c r="DJ48" i="10"/>
  <c r="DK48" i="10" s="1"/>
  <c r="BZ63" i="10"/>
  <c r="CA63" i="10" s="1"/>
  <c r="CI211" i="10"/>
  <c r="CJ211" i="10" s="1"/>
  <c r="BZ143" i="10"/>
  <c r="CA143" i="10" s="1"/>
  <c r="CI309" i="10"/>
  <c r="CJ309" i="10" s="1"/>
  <c r="BZ64" i="10"/>
  <c r="CA64" i="10" s="1"/>
  <c r="BZ115" i="10"/>
  <c r="CA115" i="10" s="1"/>
  <c r="CI272" i="10"/>
  <c r="CJ272" i="10" s="1"/>
  <c r="CI192" i="10"/>
  <c r="CJ192" i="10" s="1"/>
  <c r="BQ88" i="10"/>
  <c r="BR88" i="10" s="1"/>
  <c r="CI131" i="10"/>
  <c r="CJ131" i="10" s="1"/>
  <c r="CI334" i="10"/>
  <c r="CJ334" i="10" s="1"/>
  <c r="BH373" i="10"/>
  <c r="BI373" i="10" s="1"/>
  <c r="BQ379" i="10"/>
  <c r="BR379" i="10" s="1"/>
  <c r="BH346" i="10"/>
  <c r="BI346" i="10" s="1"/>
  <c r="BZ429" i="10"/>
  <c r="CA429" i="10" s="1"/>
  <c r="BZ352" i="10"/>
  <c r="CA352" i="10" s="1"/>
  <c r="CI419" i="10"/>
  <c r="CJ419" i="10" s="1"/>
  <c r="CI479" i="10"/>
  <c r="CJ479" i="10" s="1"/>
  <c r="CI578" i="10"/>
  <c r="CJ578" i="10" s="1"/>
  <c r="BZ386" i="10"/>
  <c r="CA386" i="10" s="1"/>
  <c r="CI447" i="10"/>
  <c r="CJ447" i="10" s="1"/>
  <c r="BZ461" i="10"/>
  <c r="CA461" i="10" s="1"/>
  <c r="BH337" i="10"/>
  <c r="BI337" i="10" s="1"/>
  <c r="CI491" i="10"/>
  <c r="CJ491" i="10" s="1"/>
  <c r="CI414" i="10"/>
  <c r="CJ414" i="10" s="1"/>
  <c r="BQ365" i="10"/>
  <c r="BR365" i="10" s="1"/>
  <c r="CI543" i="10"/>
  <c r="CJ543" i="10" s="1"/>
  <c r="BH367" i="10"/>
  <c r="BI367" i="10" s="1"/>
  <c r="CI555" i="10"/>
  <c r="CJ555" i="10" s="1"/>
  <c r="BH362" i="10"/>
  <c r="BI362" i="10" s="1"/>
  <c r="CI535" i="10"/>
  <c r="CJ535" i="10" s="1"/>
  <c r="CI542" i="10"/>
  <c r="CJ542" i="10" s="1"/>
  <c r="CI514" i="10"/>
  <c r="CJ514" i="10" s="1"/>
  <c r="BQ400" i="10"/>
  <c r="BR400" i="10" s="1"/>
  <c r="BZ464" i="10"/>
  <c r="CA464" i="10" s="1"/>
  <c r="CI328" i="10"/>
  <c r="CJ328" i="10" s="1"/>
  <c r="CI395" i="10"/>
  <c r="CJ395" i="10" s="1"/>
  <c r="BH360" i="10"/>
  <c r="BI360" i="10" s="1"/>
  <c r="BZ457" i="10"/>
  <c r="CA457" i="10" s="1"/>
  <c r="CI483" i="10"/>
  <c r="CJ483" i="10" s="1"/>
  <c r="CI495" i="10"/>
  <c r="CJ495" i="10" s="1"/>
  <c r="BZ427" i="10"/>
  <c r="CA427" i="10" s="1"/>
  <c r="CI138" i="10"/>
  <c r="CJ138" i="10" s="1"/>
  <c r="BQ341" i="10"/>
  <c r="BR341" i="10" s="1"/>
  <c r="CI224" i="10"/>
  <c r="CJ224" i="10" s="1"/>
  <c r="CI181" i="10"/>
  <c r="CJ181" i="10" s="1"/>
  <c r="CI256" i="10"/>
  <c r="CJ256" i="10" s="1"/>
  <c r="CI178" i="10"/>
  <c r="CJ178" i="10" s="1"/>
  <c r="CI547" i="10"/>
  <c r="CJ547" i="10" s="1"/>
  <c r="CI58" i="10"/>
  <c r="CJ58" i="10" s="1"/>
  <c r="CI129" i="10"/>
  <c r="CJ129" i="10" s="1"/>
  <c r="CI242" i="10"/>
  <c r="CJ242" i="10" s="1"/>
  <c r="EE74" i="10"/>
  <c r="CI19" i="10"/>
  <c r="CJ19" i="10" s="1"/>
  <c r="BZ138" i="10"/>
  <c r="CA138" i="10" s="1"/>
  <c r="BQ82" i="10"/>
  <c r="BR82" i="10" s="1"/>
  <c r="BZ394" i="10"/>
  <c r="CA394" i="10" s="1"/>
  <c r="DA20" i="10"/>
  <c r="DB20" i="10" s="1"/>
  <c r="DS38" i="10"/>
  <c r="DT38" i="10" s="1"/>
  <c r="DS113" i="10"/>
  <c r="DT113" i="10" s="1"/>
  <c r="DS192" i="10"/>
  <c r="DT192" i="10" s="1"/>
  <c r="DS224" i="10"/>
  <c r="DT224" i="10" s="1"/>
  <c r="DJ89" i="10"/>
  <c r="DK89" i="10" s="1"/>
  <c r="DJ96" i="10"/>
  <c r="DK96" i="10" s="1"/>
  <c r="DJ165" i="10"/>
  <c r="DK165" i="10" s="1"/>
  <c r="DA83" i="10"/>
  <c r="DB83" i="10" s="1"/>
  <c r="DS128" i="10"/>
  <c r="DT128" i="10" s="1"/>
  <c r="DS165" i="10"/>
  <c r="DT165" i="10" s="1"/>
  <c r="DS80" i="10"/>
  <c r="DT80" i="10" s="1"/>
  <c r="CR50" i="10"/>
  <c r="CS50" i="10" s="1"/>
  <c r="CR28" i="10"/>
  <c r="CS28" i="10" s="1"/>
  <c r="DA18" i="10"/>
  <c r="DB18" i="10" s="1"/>
  <c r="DJ158" i="10"/>
  <c r="DK158" i="10" s="1"/>
  <c r="DA51" i="10"/>
  <c r="DB51" i="10" s="1"/>
  <c r="DS139" i="10"/>
  <c r="DT139" i="10" s="1"/>
  <c r="DS214" i="10"/>
  <c r="DT214" i="10" s="1"/>
  <c r="CR17" i="10"/>
  <c r="CS17" i="10" s="1"/>
  <c r="DJ154" i="10"/>
  <c r="DK154" i="10" s="1"/>
  <c r="DS64" i="10"/>
  <c r="DT64" i="10" s="1"/>
  <c r="DJ163" i="10"/>
  <c r="DK163" i="10" s="1"/>
  <c r="DS272" i="10"/>
  <c r="DT272" i="10" s="1"/>
  <c r="DS298" i="10"/>
  <c r="DT298" i="10" s="1"/>
  <c r="DS196" i="10"/>
  <c r="DT196" i="10" s="1"/>
  <c r="DS112" i="10"/>
  <c r="DT112" i="10" s="1"/>
  <c r="CR54" i="10"/>
  <c r="CS54" i="10" s="1"/>
  <c r="DJ77" i="10"/>
  <c r="DK77" i="10" s="1"/>
  <c r="DS77" i="10"/>
  <c r="DT77" i="10" s="1"/>
  <c r="DS236" i="10"/>
  <c r="DT236" i="10" s="1"/>
  <c r="DJ33" i="10"/>
  <c r="DK33" i="10" s="1"/>
  <c r="CR33" i="10"/>
  <c r="CS33" i="10" s="1"/>
  <c r="DJ105" i="10"/>
  <c r="DK105" i="10" s="1"/>
  <c r="DS190" i="10"/>
  <c r="DT190" i="10" s="1"/>
  <c r="DS22" i="10"/>
  <c r="DT22" i="10" s="1"/>
  <c r="DS44" i="10"/>
  <c r="DT44" i="10" s="1"/>
  <c r="CR26" i="10"/>
  <c r="CS26" i="10" s="1"/>
  <c r="DA84" i="10"/>
  <c r="DB84" i="10" s="1"/>
  <c r="BH357" i="10"/>
  <c r="BI357" i="10" s="1"/>
  <c r="CI468" i="10"/>
  <c r="CJ468" i="10" s="1"/>
  <c r="CI591" i="10"/>
  <c r="CJ591" i="10" s="1"/>
  <c r="CI337" i="10"/>
  <c r="CJ337" i="10" s="1"/>
  <c r="CI380" i="10"/>
  <c r="CJ380" i="10" s="1"/>
  <c r="CI415" i="10"/>
  <c r="CJ415" i="10" s="1"/>
  <c r="CI527" i="10"/>
  <c r="CJ527" i="10" s="1"/>
  <c r="BZ347" i="10"/>
  <c r="CA347" i="10" s="1"/>
  <c r="CI474" i="10"/>
  <c r="CJ474" i="10" s="1"/>
  <c r="BZ370" i="10"/>
  <c r="CA370" i="10" s="1"/>
  <c r="BZ340" i="10"/>
  <c r="CA340" i="10" s="1"/>
  <c r="CI526" i="10"/>
  <c r="CJ526" i="10" s="1"/>
  <c r="CI482" i="10"/>
  <c r="CJ482" i="10" s="1"/>
  <c r="CI574" i="10"/>
  <c r="CJ574" i="10" s="1"/>
  <c r="CI335" i="10"/>
  <c r="CJ335" i="10" s="1"/>
  <c r="CI330" i="10"/>
  <c r="CJ330" i="10" s="1"/>
  <c r="CI461" i="10"/>
  <c r="CJ461" i="10" s="1"/>
  <c r="BQ352" i="10"/>
  <c r="BR352" i="10" s="1"/>
  <c r="BQ389" i="10"/>
  <c r="BR389" i="10" s="1"/>
  <c r="CI546" i="10"/>
  <c r="CJ546" i="10" s="1"/>
  <c r="CI587" i="10"/>
  <c r="CJ587" i="10" s="1"/>
  <c r="BZ445" i="10"/>
  <c r="CA445" i="10" s="1"/>
  <c r="BH370" i="10"/>
  <c r="BI370" i="10" s="1"/>
  <c r="CI372" i="10"/>
  <c r="CJ372" i="10" s="1"/>
  <c r="BZ456" i="10"/>
  <c r="CA456" i="10" s="1"/>
  <c r="BZ384" i="10"/>
  <c r="CA384" i="10" s="1"/>
  <c r="BH341" i="10"/>
  <c r="BI341" i="10" s="1"/>
  <c r="BZ413" i="10"/>
  <c r="CA413" i="10" s="1"/>
  <c r="CI422" i="10"/>
  <c r="CJ422" i="10" s="1"/>
  <c r="BZ144" i="10"/>
  <c r="CA144" i="10" s="1"/>
  <c r="CI93" i="10"/>
  <c r="CJ93" i="10" s="1"/>
  <c r="BQ56" i="10"/>
  <c r="BR56" i="10" s="1"/>
  <c r="CI246" i="10"/>
  <c r="CJ246" i="10" s="1"/>
  <c r="BZ97" i="10"/>
  <c r="CA97" i="10" s="1"/>
  <c r="BQ84" i="10"/>
  <c r="BR84" i="10" s="1"/>
  <c r="CI182" i="10"/>
  <c r="CJ182" i="10" s="1"/>
  <c r="CI34" i="10"/>
  <c r="CJ34" i="10" s="1"/>
  <c r="CI144" i="10"/>
  <c r="CJ144" i="10" s="1"/>
  <c r="CI251" i="10"/>
  <c r="CJ251" i="10" s="1"/>
  <c r="CI311" i="10"/>
  <c r="CJ311" i="10" s="1"/>
  <c r="CI183" i="10"/>
  <c r="CJ183" i="10" s="1"/>
  <c r="CI247" i="10"/>
  <c r="CJ247" i="10" s="1"/>
  <c r="CR27" i="10"/>
  <c r="CS27" i="10" s="1"/>
  <c r="DS209" i="10"/>
  <c r="DT209" i="10" s="1"/>
  <c r="DA90" i="10"/>
  <c r="DB90" i="10" s="1"/>
  <c r="DA57" i="10"/>
  <c r="DB57" i="10" s="1"/>
  <c r="DA24" i="10"/>
  <c r="DB24" i="10" s="1"/>
  <c r="DS241" i="10"/>
  <c r="DT241" i="10" s="1"/>
  <c r="DS215" i="10"/>
  <c r="DT215" i="10" s="1"/>
  <c r="DJ155" i="10"/>
  <c r="DK155" i="10" s="1"/>
  <c r="BH372" i="10"/>
  <c r="BI372" i="10" s="1"/>
  <c r="BZ328" i="10"/>
  <c r="CA328" i="10" s="1"/>
  <c r="CI341" i="10"/>
  <c r="CJ341" i="10" s="1"/>
  <c r="CI294" i="10"/>
  <c r="CJ294" i="10" s="1"/>
  <c r="CI551" i="10"/>
  <c r="CJ551" i="10" s="1"/>
  <c r="BQ380" i="10"/>
  <c r="BR380" i="10" s="1"/>
  <c r="CI446" i="10"/>
  <c r="CJ446" i="10" s="1"/>
  <c r="CI439" i="10"/>
  <c r="CJ439" i="10" s="1"/>
  <c r="CI575" i="10"/>
  <c r="CJ575" i="10" s="1"/>
  <c r="CI563" i="10"/>
  <c r="CJ563" i="10" s="1"/>
  <c r="CI396" i="10"/>
  <c r="CJ396" i="10" s="1"/>
  <c r="BZ399" i="10"/>
  <c r="CA399" i="10" s="1"/>
  <c r="CI379" i="10"/>
  <c r="CJ379" i="10" s="1"/>
  <c r="CI347" i="10"/>
  <c r="CJ347" i="10" s="1"/>
  <c r="BQ339" i="10"/>
  <c r="BR339" i="10" s="1"/>
  <c r="CI348" i="10"/>
  <c r="CJ348" i="10" s="1"/>
  <c r="CI517" i="10"/>
  <c r="CJ517" i="10" s="1"/>
  <c r="CI603" i="10"/>
  <c r="CJ603" i="10" s="1"/>
  <c r="CI497" i="10"/>
  <c r="CJ497" i="10" s="1"/>
  <c r="CI370" i="10"/>
  <c r="CJ370" i="10" s="1"/>
  <c r="BQ356" i="10"/>
  <c r="BR356" i="10" s="1"/>
  <c r="BZ337" i="10"/>
  <c r="CA337" i="10" s="1"/>
  <c r="BZ327" i="10"/>
  <c r="CA327" i="10" s="1"/>
  <c r="CI350" i="10"/>
  <c r="CJ350" i="10" s="1"/>
  <c r="BZ378" i="10"/>
  <c r="CA378" i="10" s="1"/>
  <c r="CI485" i="10"/>
  <c r="CJ485" i="10" s="1"/>
  <c r="CI416" i="10"/>
  <c r="CJ416" i="10" s="1"/>
  <c r="CI225" i="10"/>
  <c r="CJ225" i="10" s="1"/>
  <c r="BH34" i="10"/>
  <c r="BI34" i="10" s="1"/>
  <c r="CI136" i="10"/>
  <c r="CJ136" i="10" s="1"/>
  <c r="CI207" i="10"/>
  <c r="CJ207" i="10" s="1"/>
  <c r="CI217" i="10"/>
  <c r="CJ217" i="10" s="1"/>
  <c r="CI241" i="10"/>
  <c r="CJ241" i="10" s="1"/>
  <c r="X369" i="10"/>
  <c r="Y369" i="10" s="1"/>
  <c r="AG351" i="10"/>
  <c r="AH351" i="10" s="1"/>
  <c r="AY179" i="10"/>
  <c r="AZ179" i="10" s="1"/>
  <c r="AY91" i="10"/>
  <c r="AZ91" i="10" s="1"/>
  <c r="AP364" i="10"/>
  <c r="AQ364" i="10" s="1"/>
  <c r="AP89" i="10"/>
  <c r="AQ89" i="10" s="1"/>
  <c r="AY180" i="10"/>
  <c r="AZ180" i="10" s="1"/>
  <c r="AY81" i="10"/>
  <c r="AZ81" i="10" s="1"/>
  <c r="AP32" i="10"/>
  <c r="AQ32" i="10" s="1"/>
  <c r="AY214" i="10"/>
  <c r="AZ214" i="10" s="1"/>
  <c r="AY114" i="10"/>
  <c r="AZ114" i="10" s="1"/>
  <c r="AG69" i="10"/>
  <c r="AH69" i="10" s="1"/>
  <c r="X33" i="10"/>
  <c r="Y33" i="10" s="1"/>
  <c r="AY217" i="10"/>
  <c r="AZ217" i="10" s="1"/>
  <c r="X36" i="10"/>
  <c r="Y36" i="10" s="1"/>
  <c r="AP461" i="10"/>
  <c r="AQ461" i="10" s="1"/>
  <c r="AG87" i="10"/>
  <c r="AH87" i="10" s="1"/>
  <c r="AY293" i="10"/>
  <c r="AZ293" i="10" s="1"/>
  <c r="X367" i="10"/>
  <c r="Y367" i="10" s="1"/>
  <c r="AY147" i="10"/>
  <c r="AZ147" i="10" s="1"/>
  <c r="AY199" i="10"/>
  <c r="AZ199" i="10" s="1"/>
  <c r="X32" i="10"/>
  <c r="Y32" i="10" s="1"/>
  <c r="AY88" i="10"/>
  <c r="AZ88" i="10" s="1"/>
  <c r="X65" i="10"/>
  <c r="Y65" i="10" s="1"/>
  <c r="AY365" i="10"/>
  <c r="AZ365" i="10" s="1"/>
  <c r="AP148" i="10"/>
  <c r="AQ148" i="10" s="1"/>
  <c r="CI405" i="10"/>
  <c r="CJ405" i="10" s="1"/>
  <c r="BH342" i="10"/>
  <c r="BI342" i="10" s="1"/>
  <c r="CI378" i="10"/>
  <c r="CJ378" i="10" s="1"/>
  <c r="CI562" i="10"/>
  <c r="CJ562" i="10" s="1"/>
  <c r="CI472" i="10"/>
  <c r="CJ472" i="10" s="1"/>
  <c r="BZ389" i="10"/>
  <c r="CA389" i="10" s="1"/>
  <c r="CI180" i="10"/>
  <c r="CJ180" i="10" s="1"/>
  <c r="BZ443" i="10"/>
  <c r="CA443" i="10" s="1"/>
  <c r="CI567" i="10"/>
  <c r="CJ567" i="10" s="1"/>
  <c r="BZ450" i="10"/>
  <c r="CA450" i="10" s="1"/>
  <c r="BZ341" i="10"/>
  <c r="CA341" i="10" s="1"/>
  <c r="BQ384" i="10"/>
  <c r="BR384" i="10" s="1"/>
  <c r="BZ359" i="10"/>
  <c r="CA359" i="10" s="1"/>
  <c r="BZ442" i="10"/>
  <c r="CA442" i="10" s="1"/>
  <c r="BZ462" i="10"/>
  <c r="CA462" i="10" s="1"/>
  <c r="CI394" i="10"/>
  <c r="CJ394" i="10" s="1"/>
  <c r="BH350" i="10"/>
  <c r="BI350" i="10" s="1"/>
  <c r="CI391" i="10"/>
  <c r="CJ391" i="10" s="1"/>
  <c r="BZ419" i="10"/>
  <c r="CA419" i="10" s="1"/>
  <c r="CI626" i="10"/>
  <c r="CJ626" i="10" s="1"/>
  <c r="CI607" i="10"/>
  <c r="CJ607" i="10" s="1"/>
  <c r="CI451" i="10"/>
  <c r="CJ451" i="10" s="1"/>
  <c r="CI354" i="10"/>
  <c r="CJ354" i="10" s="1"/>
  <c r="BZ346" i="10"/>
  <c r="CA346" i="10" s="1"/>
  <c r="CI498" i="10"/>
  <c r="CJ498" i="10" s="1"/>
  <c r="BQ399" i="10"/>
  <c r="BR399" i="10" s="1"/>
  <c r="BH359" i="10"/>
  <c r="BI359" i="10" s="1"/>
  <c r="CI356" i="10"/>
  <c r="CJ356" i="10" s="1"/>
  <c r="CI478" i="10"/>
  <c r="CJ478" i="10" s="1"/>
  <c r="CI332" i="10"/>
  <c r="CJ332" i="10" s="1"/>
  <c r="CI507" i="10"/>
  <c r="CJ507" i="10" s="1"/>
  <c r="BQ388" i="10"/>
  <c r="BR388" i="10" s="1"/>
  <c r="BZ447" i="10"/>
  <c r="CA447" i="10" s="1"/>
  <c r="BQ367" i="10"/>
  <c r="BR367" i="10" s="1"/>
  <c r="CI571" i="10"/>
  <c r="CJ571" i="10" s="1"/>
  <c r="CI502" i="10"/>
  <c r="CJ502" i="10" s="1"/>
  <c r="CI583" i="10"/>
  <c r="CJ583" i="10" s="1"/>
  <c r="BZ451" i="10"/>
  <c r="CA451" i="10" s="1"/>
  <c r="CI409" i="10"/>
  <c r="CJ409" i="10" s="1"/>
  <c r="CI386" i="10"/>
  <c r="CJ386" i="10" s="1"/>
  <c r="BH375" i="10"/>
  <c r="BI375" i="10" s="1"/>
  <c r="BZ439" i="10"/>
  <c r="CA439" i="10" s="1"/>
  <c r="BQ346" i="10"/>
  <c r="BR346" i="10" s="1"/>
  <c r="CI393" i="10"/>
  <c r="CJ393" i="10" s="1"/>
  <c r="CI338" i="10"/>
  <c r="CJ338" i="10" s="1"/>
  <c r="BZ466" i="10"/>
  <c r="CA466" i="10" s="1"/>
  <c r="BH366" i="10"/>
  <c r="BI366" i="10" s="1"/>
  <c r="BZ367" i="10"/>
  <c r="CA367" i="10" s="1"/>
  <c r="CI494" i="10"/>
  <c r="CJ494" i="10" s="1"/>
  <c r="CI518" i="10"/>
  <c r="CJ518" i="10" s="1"/>
  <c r="BH361" i="10"/>
  <c r="BI361" i="10" s="1"/>
  <c r="CI510" i="10"/>
  <c r="CJ510" i="10" s="1"/>
  <c r="CI61" i="10"/>
  <c r="CJ61" i="10" s="1"/>
  <c r="CI82" i="10"/>
  <c r="CJ82" i="10" s="1"/>
  <c r="CI108" i="10"/>
  <c r="CJ108" i="10" s="1"/>
  <c r="BQ327" i="10"/>
  <c r="BR327" i="10" s="1"/>
  <c r="BZ407" i="10"/>
  <c r="CA407" i="10" s="1"/>
  <c r="BH338" i="10"/>
  <c r="BI338" i="10" s="1"/>
  <c r="AG329" i="10"/>
  <c r="AH329" i="10" s="1"/>
  <c r="AY286" i="10"/>
  <c r="AZ286" i="10" s="1"/>
  <c r="AP114" i="10"/>
  <c r="AQ114" i="10" s="1"/>
  <c r="AY97" i="10"/>
  <c r="AZ97" i="10" s="1"/>
  <c r="AP74" i="10"/>
  <c r="AQ74" i="10" s="1"/>
  <c r="AG35" i="10"/>
  <c r="AH35" i="10" s="1"/>
  <c r="AY96" i="10"/>
  <c r="AZ96" i="10" s="1"/>
  <c r="AG36" i="10"/>
  <c r="AH36" i="10" s="1"/>
  <c r="AY247" i="10"/>
  <c r="AZ247" i="10" s="1"/>
  <c r="AP111" i="10"/>
  <c r="AQ111" i="10" s="1"/>
  <c r="AY89" i="10"/>
  <c r="AZ89" i="10" s="1"/>
  <c r="AG70" i="10"/>
  <c r="AH70" i="10" s="1"/>
  <c r="AY140" i="10"/>
  <c r="AZ140" i="10" s="1"/>
  <c r="AY86" i="10"/>
  <c r="AZ86" i="10" s="1"/>
  <c r="AY119" i="10"/>
  <c r="AZ119" i="10" s="1"/>
  <c r="AY66" i="10"/>
  <c r="AZ66" i="10" s="1"/>
  <c r="X56" i="10"/>
  <c r="Y56" i="10" s="1"/>
  <c r="AY277" i="10"/>
  <c r="AZ277" i="10" s="1"/>
  <c r="AY245" i="10"/>
  <c r="AZ245" i="10" s="1"/>
  <c r="AY229" i="10"/>
  <c r="AZ229" i="10" s="1"/>
  <c r="AG44" i="10"/>
  <c r="AH44" i="10" s="1"/>
  <c r="AG85" i="10"/>
  <c r="AH85" i="10" s="1"/>
  <c r="AY19" i="10"/>
  <c r="AZ19" i="10" s="1"/>
  <c r="AY36" i="10"/>
  <c r="AZ36" i="10" s="1"/>
  <c r="AY67" i="10"/>
  <c r="AZ67" i="10" s="1"/>
  <c r="AP29" i="10"/>
  <c r="AQ29" i="10" s="1"/>
  <c r="AY193" i="10"/>
  <c r="AZ193" i="10" s="1"/>
  <c r="AY225" i="10"/>
  <c r="AZ225" i="10" s="1"/>
  <c r="AY272" i="10"/>
  <c r="AZ272" i="10" s="1"/>
  <c r="AY163" i="10"/>
  <c r="AZ163" i="10" s="1"/>
  <c r="AY313" i="10"/>
  <c r="AZ313" i="10" s="1"/>
  <c r="AY249" i="10"/>
  <c r="AZ249" i="10" s="1"/>
  <c r="AP104" i="10"/>
  <c r="AQ104" i="10" s="1"/>
  <c r="AY95" i="10"/>
  <c r="AZ95" i="10" s="1"/>
  <c r="AP110" i="10"/>
  <c r="AQ110" i="10" s="1"/>
  <c r="AP59" i="10"/>
  <c r="AQ59" i="10" s="1"/>
  <c r="X363" i="10"/>
  <c r="Y363" i="10" s="1"/>
  <c r="AP140" i="10"/>
  <c r="AQ140" i="10" s="1"/>
  <c r="AY208" i="10"/>
  <c r="AZ208" i="10" s="1"/>
  <c r="AP120" i="10"/>
  <c r="AQ120" i="10" s="1"/>
  <c r="AY304" i="10"/>
  <c r="AZ304" i="10" s="1"/>
  <c r="AP440" i="10"/>
  <c r="AQ440" i="10" s="1"/>
  <c r="AP355" i="10"/>
  <c r="AQ355" i="10" s="1"/>
  <c r="AY505" i="10"/>
  <c r="AZ505" i="10" s="1"/>
  <c r="AY292" i="10"/>
  <c r="AZ292" i="10" s="1"/>
  <c r="AY260" i="10"/>
  <c r="AZ260" i="10" s="1"/>
  <c r="AY269" i="10"/>
  <c r="AZ269" i="10" s="1"/>
  <c r="AP154" i="10"/>
  <c r="AQ154" i="10" s="1"/>
  <c r="AP16" i="10"/>
  <c r="AQ16" i="10" s="1"/>
  <c r="AG356" i="10"/>
  <c r="AH356" i="10" s="1"/>
  <c r="CI248" i="10"/>
  <c r="CJ248" i="10" s="1"/>
  <c r="BH27" i="10"/>
  <c r="BI27" i="10" s="1"/>
  <c r="CI266" i="10"/>
  <c r="CJ266" i="10" s="1"/>
  <c r="CI283" i="10"/>
  <c r="CJ283" i="10" s="1"/>
  <c r="CI255" i="10"/>
  <c r="CJ255" i="10" s="1"/>
  <c r="CI149" i="10"/>
  <c r="CJ149" i="10" s="1"/>
  <c r="CI46" i="10"/>
  <c r="CJ46" i="10" s="1"/>
  <c r="BZ118" i="10"/>
  <c r="CA118" i="10" s="1"/>
  <c r="BZ57" i="10"/>
  <c r="CA57" i="10" s="1"/>
  <c r="BH57" i="10"/>
  <c r="BI57" i="10" s="1"/>
  <c r="CI269" i="10"/>
  <c r="CJ269" i="10" s="1"/>
  <c r="CI312" i="10"/>
  <c r="CJ312" i="10" s="1"/>
  <c r="CI158" i="10"/>
  <c r="CJ158" i="10" s="1"/>
  <c r="CI171" i="10"/>
  <c r="CJ171" i="10" s="1"/>
  <c r="CI305" i="10"/>
  <c r="CJ305" i="10" s="1"/>
  <c r="CI314" i="10"/>
  <c r="CJ314" i="10" s="1"/>
  <c r="CI270" i="10"/>
  <c r="CJ270" i="10" s="1"/>
  <c r="CI153" i="10"/>
  <c r="CJ153" i="10" s="1"/>
  <c r="BH20" i="10"/>
  <c r="BI20" i="10" s="1"/>
  <c r="CI177" i="10"/>
  <c r="CJ177" i="10" s="1"/>
  <c r="BH59" i="10"/>
  <c r="BI59" i="10" s="1"/>
  <c r="CI297" i="10"/>
  <c r="CJ297" i="10" s="1"/>
  <c r="CI52" i="10"/>
  <c r="CJ52" i="10" s="1"/>
  <c r="CI133" i="10"/>
  <c r="CJ133" i="10" s="1"/>
  <c r="CI200" i="10"/>
  <c r="CJ200" i="10" s="1"/>
  <c r="CI232" i="10"/>
  <c r="CJ232" i="10" s="1"/>
  <c r="BQ53" i="10"/>
  <c r="BR53" i="10" s="1"/>
  <c r="BQ16" i="10"/>
  <c r="BR16" i="10" s="1"/>
  <c r="CI316" i="10"/>
  <c r="CJ316" i="10" s="1"/>
  <c r="BZ134" i="10"/>
  <c r="CA134" i="10" s="1"/>
  <c r="BQ26" i="10"/>
  <c r="BR26" i="10" s="1"/>
  <c r="CI135" i="10"/>
  <c r="CJ135" i="10" s="1"/>
  <c r="BZ137" i="10"/>
  <c r="CA137" i="10" s="1"/>
  <c r="CI229" i="10"/>
  <c r="CJ229" i="10" s="1"/>
  <c r="BH17" i="10"/>
  <c r="BI17" i="10" s="1"/>
  <c r="BQ21" i="10"/>
  <c r="BR21" i="10" s="1"/>
  <c r="CI163" i="10"/>
  <c r="CJ163" i="10" s="1"/>
  <c r="CI142" i="10"/>
  <c r="CJ142" i="10" s="1"/>
  <c r="CI233" i="10"/>
  <c r="CJ233" i="10" s="1"/>
  <c r="CI130" i="10"/>
  <c r="CJ130" i="10" s="1"/>
  <c r="BZ116" i="10"/>
  <c r="CA116" i="10" s="1"/>
  <c r="CI164" i="10"/>
  <c r="CJ164" i="10" s="1"/>
  <c r="CI186" i="10"/>
  <c r="CJ186" i="10" s="1"/>
  <c r="CI315" i="10"/>
  <c r="CJ315" i="10" s="1"/>
  <c r="CI218" i="10"/>
  <c r="CJ218" i="10" s="1"/>
  <c r="CI156" i="10"/>
  <c r="CJ156" i="10" s="1"/>
  <c r="BZ147" i="10"/>
  <c r="CA147" i="10" s="1"/>
  <c r="BQ38" i="10"/>
  <c r="BR38" i="10" s="1"/>
  <c r="CI190" i="10"/>
  <c r="CJ190" i="10" s="1"/>
  <c r="BH41" i="10"/>
  <c r="BI41" i="10" s="1"/>
  <c r="CI209" i="10"/>
  <c r="CJ209" i="10" s="1"/>
  <c r="AY435" i="10"/>
  <c r="AZ435" i="10" s="1"/>
  <c r="AY92" i="10"/>
  <c r="AZ92" i="10" s="1"/>
  <c r="AP376" i="10"/>
  <c r="AQ376" i="10" s="1"/>
  <c r="EJ12" i="10"/>
  <c r="AP163" i="10"/>
  <c r="AQ163" i="10" s="1"/>
  <c r="AY101" i="10"/>
  <c r="AZ101" i="10" s="1"/>
  <c r="AG72" i="10"/>
  <c r="AH72" i="10" s="1"/>
  <c r="AY307" i="10"/>
  <c r="AZ307" i="10" s="1"/>
  <c r="AP63" i="10"/>
  <c r="AQ63" i="10" s="1"/>
  <c r="AP157" i="10"/>
  <c r="AQ157" i="10" s="1"/>
  <c r="AY184" i="10"/>
  <c r="AZ184" i="10" s="1"/>
  <c r="AY305" i="10"/>
  <c r="AZ305" i="10" s="1"/>
  <c r="AY241" i="10"/>
  <c r="AZ241" i="10" s="1"/>
  <c r="AY75" i="10"/>
  <c r="AZ75" i="10" s="1"/>
  <c r="AG59" i="10"/>
  <c r="AH59" i="10" s="1"/>
  <c r="AG43" i="10"/>
  <c r="AH43" i="10" s="1"/>
  <c r="AG31" i="10"/>
  <c r="AH31" i="10" s="1"/>
  <c r="AP24" i="10"/>
  <c r="AQ24" i="10" s="1"/>
  <c r="AP28" i="10"/>
  <c r="AQ28" i="10" s="1"/>
  <c r="AY564" i="10"/>
  <c r="AZ564" i="10" s="1"/>
  <c r="AY516" i="10"/>
  <c r="AZ516" i="10" s="1"/>
  <c r="AP449" i="10"/>
  <c r="AQ449" i="10" s="1"/>
  <c r="AY314" i="10"/>
  <c r="AZ314" i="10" s="1"/>
  <c r="AY182" i="10"/>
  <c r="AZ182" i="10" s="1"/>
  <c r="AY166" i="10"/>
  <c r="AZ166" i="10" s="1"/>
  <c r="AY287" i="10"/>
  <c r="AZ287" i="10" s="1"/>
  <c r="AY207" i="10"/>
  <c r="AZ207" i="10" s="1"/>
  <c r="AY191" i="10"/>
  <c r="AZ191" i="10" s="1"/>
  <c r="AY175" i="10"/>
  <c r="AZ175" i="10" s="1"/>
  <c r="AY74" i="10"/>
  <c r="AZ74" i="10" s="1"/>
  <c r="AY27" i="10"/>
  <c r="AZ27" i="10" s="1"/>
  <c r="AG56" i="10"/>
  <c r="AH56" i="10" s="1"/>
  <c r="AP130" i="10"/>
  <c r="AQ130" i="10" s="1"/>
  <c r="AY48" i="10"/>
  <c r="AZ48" i="10" s="1"/>
  <c r="AG42" i="10"/>
  <c r="AH42" i="10" s="1"/>
  <c r="AG27" i="10"/>
  <c r="AH27" i="10" s="1"/>
  <c r="AP31" i="10"/>
  <c r="AQ31" i="10" s="1"/>
  <c r="AY598" i="10"/>
  <c r="AZ598" i="10" s="1"/>
  <c r="AY609" i="10"/>
  <c r="AZ609" i="10" s="1"/>
  <c r="AY79" i="10"/>
  <c r="AZ79" i="10" s="1"/>
  <c r="AP109" i="10"/>
  <c r="AQ109" i="10" s="1"/>
  <c r="AG83" i="10"/>
  <c r="AH83" i="10" s="1"/>
  <c r="AY258" i="10"/>
  <c r="AZ258" i="10" s="1"/>
  <c r="AY164" i="10"/>
  <c r="AZ164" i="10" s="1"/>
  <c r="AY144" i="10"/>
  <c r="AZ144" i="10" s="1"/>
  <c r="AP129" i="10"/>
  <c r="AQ129" i="10" s="1"/>
  <c r="AP68" i="10"/>
  <c r="AQ68" i="10" s="1"/>
  <c r="AY43" i="10"/>
  <c r="AZ43" i="10" s="1"/>
  <c r="X31" i="10"/>
  <c r="Y31" i="10" s="1"/>
  <c r="AY69" i="10"/>
  <c r="AZ69" i="10" s="1"/>
  <c r="AY575" i="10"/>
  <c r="AZ575" i="10" s="1"/>
  <c r="AY526" i="10"/>
  <c r="AZ526" i="10" s="1"/>
  <c r="AP381" i="10"/>
  <c r="AQ381" i="10" s="1"/>
  <c r="EF17" i="10"/>
  <c r="ED54" i="10" s="1"/>
  <c r="ED74" i="10"/>
  <c r="EK74" i="10" s="1"/>
  <c r="EF74" i="10"/>
  <c r="EH74" i="10"/>
  <c r="EI74" i="10"/>
  <c r="AG75" i="10"/>
  <c r="AH75" i="10" s="1"/>
  <c r="AG53" i="10"/>
  <c r="AH53" i="10" s="1"/>
  <c r="AY369" i="10"/>
  <c r="AZ369" i="10" s="1"/>
  <c r="AY76" i="10"/>
  <c r="AZ76" i="10" s="1"/>
  <c r="AY568" i="10"/>
  <c r="AZ568" i="10" s="1"/>
  <c r="AY32" i="10"/>
  <c r="AZ32" i="10" s="1"/>
  <c r="AG388" i="10"/>
  <c r="AH388" i="10" s="1"/>
  <c r="AG47" i="10"/>
  <c r="AH47" i="10" s="1"/>
  <c r="AP76" i="10"/>
  <c r="AQ76" i="10" s="1"/>
  <c r="AY509" i="10"/>
  <c r="AZ509" i="10" s="1"/>
  <c r="AG65" i="10"/>
  <c r="AH65" i="10" s="1"/>
  <c r="AY72" i="10"/>
  <c r="AZ72" i="10" s="1"/>
  <c r="AG80" i="10"/>
  <c r="AH80" i="10" s="1"/>
  <c r="AY259" i="10"/>
  <c r="AZ259" i="10" s="1"/>
  <c r="AP83" i="10"/>
  <c r="AQ83" i="10" s="1"/>
  <c r="X43" i="10"/>
  <c r="Y43" i="10" s="1"/>
  <c r="AY118" i="10"/>
  <c r="AZ118" i="10" s="1"/>
  <c r="AY28" i="10"/>
  <c r="AZ28" i="10" s="1"/>
  <c r="AP34" i="10"/>
  <c r="AQ34" i="10" s="1"/>
  <c r="AP149" i="10"/>
  <c r="AQ149" i="10" s="1"/>
  <c r="X47" i="10"/>
  <c r="Y47" i="10" s="1"/>
  <c r="AP75" i="10"/>
  <c r="AQ75" i="10" s="1"/>
  <c r="AG52" i="10"/>
  <c r="AH52" i="10" s="1"/>
  <c r="AY134" i="10"/>
  <c r="AZ134" i="10" s="1"/>
  <c r="AP465" i="10"/>
  <c r="AQ465" i="10" s="1"/>
  <c r="AP37" i="10"/>
  <c r="AQ37" i="10" s="1"/>
  <c r="AY165" i="10"/>
  <c r="AZ165" i="10" s="1"/>
  <c r="AP65" i="10"/>
  <c r="AQ65" i="10" s="1"/>
  <c r="AG66" i="10"/>
  <c r="AH66" i="10" s="1"/>
  <c r="AP138" i="10"/>
  <c r="AQ138" i="10" s="1"/>
  <c r="AY216" i="10"/>
  <c r="AZ216" i="10" s="1"/>
  <c r="EG41" i="10"/>
  <c r="EE12" i="10"/>
  <c r="AY257" i="10"/>
  <c r="AZ257" i="10" s="1"/>
  <c r="AY35" i="10"/>
  <c r="AZ35" i="10" s="1"/>
  <c r="AP60" i="10"/>
  <c r="AQ60" i="10" s="1"/>
  <c r="AY220" i="10"/>
  <c r="AZ220" i="10" s="1"/>
  <c r="AG350" i="10"/>
  <c r="AH350" i="10" s="1"/>
  <c r="AY266" i="10"/>
  <c r="AZ266" i="10" s="1"/>
  <c r="AY306" i="10"/>
  <c r="AZ306" i="10" s="1"/>
  <c r="AY127" i="10"/>
  <c r="AZ127" i="10" s="1"/>
  <c r="AY556" i="10"/>
  <c r="AZ556" i="10" s="1"/>
  <c r="X30" i="10"/>
  <c r="Y30" i="10" s="1"/>
  <c r="AY297" i="10"/>
  <c r="AZ297" i="10" s="1"/>
  <c r="AY187" i="10"/>
  <c r="AZ187" i="10" s="1"/>
  <c r="AY141" i="10"/>
  <c r="AZ141" i="10" s="1"/>
  <c r="AY143" i="10"/>
  <c r="AZ143" i="10" s="1"/>
  <c r="AY65" i="10"/>
  <c r="AZ65" i="10" s="1"/>
  <c r="AP90" i="10"/>
  <c r="AQ90" i="10" s="1"/>
  <c r="AY525" i="10"/>
  <c r="AZ525" i="10" s="1"/>
  <c r="AP136" i="10"/>
  <c r="AQ136" i="10" s="1"/>
  <c r="AY31" i="10"/>
  <c r="AZ31" i="10" s="1"/>
  <c r="AP117" i="10"/>
  <c r="AQ117" i="10" s="1"/>
  <c r="AY117" i="10"/>
  <c r="AZ117" i="10" s="1"/>
  <c r="AP30" i="10"/>
  <c r="AQ30" i="10" s="1"/>
  <c r="AY309" i="10"/>
  <c r="AZ309" i="10" s="1"/>
  <c r="AP161" i="10"/>
  <c r="AQ161" i="10" s="1"/>
  <c r="AY93" i="10"/>
  <c r="AZ93" i="10" s="1"/>
  <c r="AY149" i="10"/>
  <c r="AZ149" i="10" s="1"/>
  <c r="AP132" i="10"/>
  <c r="AQ132" i="10" s="1"/>
  <c r="AG91" i="10"/>
  <c r="AH91" i="10" s="1"/>
  <c r="AP21" i="10"/>
  <c r="AQ21" i="10" s="1"/>
  <c r="AP67" i="10"/>
  <c r="AQ67" i="10" s="1"/>
  <c r="AY263" i="10"/>
  <c r="AZ263" i="10" s="1"/>
  <c r="AP101" i="10"/>
  <c r="AQ101" i="10" s="1"/>
  <c r="AY148" i="10"/>
  <c r="AZ148" i="10" s="1"/>
  <c r="AP53" i="10"/>
  <c r="AQ53" i="10" s="1"/>
  <c r="AP36" i="10"/>
  <c r="AQ36" i="10" s="1"/>
  <c r="X51" i="10"/>
  <c r="Y51" i="10" s="1"/>
  <c r="X337" i="10"/>
  <c r="Y337" i="10" s="1"/>
  <c r="AY201" i="10"/>
  <c r="AZ201" i="10" s="1"/>
  <c r="CI134" i="10"/>
  <c r="CJ134" i="10" s="1"/>
  <c r="AG60" i="10"/>
  <c r="AH60" i="10" s="1"/>
  <c r="AP44" i="10"/>
  <c r="AQ44" i="10" s="1"/>
  <c r="AP107" i="10"/>
  <c r="AQ107" i="10" s="1"/>
  <c r="AY243" i="10"/>
  <c r="AZ243" i="10" s="1"/>
  <c r="AP408" i="10"/>
  <c r="AQ408" i="10" s="1"/>
  <c r="X27" i="10"/>
  <c r="Y27" i="10" s="1"/>
  <c r="AP382" i="10"/>
  <c r="AQ382" i="10" s="1"/>
  <c r="AP84" i="10"/>
  <c r="AQ84" i="10" s="1"/>
  <c r="AY255" i="10"/>
  <c r="AZ255" i="10" s="1"/>
  <c r="AY209" i="10"/>
  <c r="AZ209" i="10" s="1"/>
  <c r="AG86" i="10"/>
  <c r="AH86" i="10" s="1"/>
  <c r="AP97" i="10"/>
  <c r="AQ97" i="10" s="1"/>
  <c r="AY234" i="10"/>
  <c r="AZ234" i="10" s="1"/>
  <c r="AP105" i="10"/>
  <c r="AQ105" i="10" s="1"/>
  <c r="AP45" i="10"/>
  <c r="AQ45" i="10" s="1"/>
  <c r="AP91" i="10"/>
  <c r="AQ91" i="10" s="1"/>
  <c r="AP42" i="10"/>
  <c r="AQ42" i="10" s="1"/>
  <c r="AY30" i="10"/>
  <c r="AZ30" i="10" s="1"/>
  <c r="AY235" i="10"/>
  <c r="AZ235" i="10" s="1"/>
  <c r="AP39" i="10"/>
  <c r="AQ39" i="10" s="1"/>
  <c r="X45" i="10"/>
  <c r="Y45" i="10" s="1"/>
  <c r="AP141" i="10"/>
  <c r="AQ141" i="10" s="1"/>
  <c r="AP151" i="10"/>
  <c r="AQ151" i="10" s="1"/>
  <c r="DA44" i="10"/>
  <c r="DB44" i="10" s="1"/>
  <c r="CR51" i="10"/>
  <c r="CS51" i="10" s="1"/>
  <c r="DS283" i="10"/>
  <c r="DT283" i="10" s="1"/>
  <c r="DS125" i="10"/>
  <c r="DT125" i="10" s="1"/>
  <c r="DJ161" i="10"/>
  <c r="DK161" i="10" s="1"/>
  <c r="DS172" i="10"/>
  <c r="DT172" i="10" s="1"/>
  <c r="DS30" i="10"/>
  <c r="DT30" i="10" s="1"/>
  <c r="DS88" i="10"/>
  <c r="DT88" i="10" s="1"/>
  <c r="DS271" i="10"/>
  <c r="DT271" i="10" s="1"/>
  <c r="DJ74" i="10"/>
  <c r="DK74" i="10" s="1"/>
  <c r="DS316" i="10"/>
  <c r="DT316" i="10" s="1"/>
  <c r="CR49" i="10"/>
  <c r="CS49" i="10" s="1"/>
  <c r="DS69" i="10"/>
  <c r="DT69" i="10" s="1"/>
  <c r="DS259" i="10"/>
  <c r="DT259" i="10" s="1"/>
  <c r="DA74" i="10"/>
  <c r="DB74" i="10" s="1"/>
  <c r="DS134" i="10"/>
  <c r="DT134" i="10" s="1"/>
  <c r="DJ18" i="10"/>
  <c r="DK18" i="10" s="1"/>
  <c r="DA40" i="10"/>
  <c r="DB40" i="10" s="1"/>
  <c r="DJ124" i="10"/>
  <c r="DK124" i="10" s="1"/>
  <c r="DS62" i="10"/>
  <c r="DT62" i="10" s="1"/>
  <c r="CR53" i="10"/>
  <c r="CS53" i="10" s="1"/>
  <c r="DS275" i="10"/>
  <c r="DT275" i="10" s="1"/>
  <c r="DS43" i="10"/>
  <c r="DT43" i="10" s="1"/>
  <c r="DS42" i="10"/>
  <c r="DT42" i="10" s="1"/>
  <c r="DS266" i="10"/>
  <c r="DT266" i="10" s="1"/>
  <c r="DJ144" i="10"/>
  <c r="DK144" i="10" s="1"/>
  <c r="DS148" i="10"/>
  <c r="DT148" i="10" s="1"/>
  <c r="CR64" i="10"/>
  <c r="CS64" i="10" s="1"/>
  <c r="DS244" i="10"/>
  <c r="DT244" i="10" s="1"/>
  <c r="DS300" i="10"/>
  <c r="DT300" i="10" s="1"/>
  <c r="CR44" i="10"/>
  <c r="CS44" i="10" s="1"/>
  <c r="DS55" i="10"/>
  <c r="DT55" i="10" s="1"/>
  <c r="DJ59" i="10"/>
  <c r="DK59" i="10" s="1"/>
  <c r="DS252" i="10"/>
  <c r="DT252" i="10" s="1"/>
  <c r="DS284" i="10"/>
  <c r="DT284" i="10" s="1"/>
  <c r="CR35" i="10"/>
  <c r="CS35" i="10" s="1"/>
  <c r="DS276" i="10"/>
  <c r="DT276" i="10" s="1"/>
  <c r="DS170" i="10"/>
  <c r="DT170" i="10" s="1"/>
  <c r="DS204" i="10"/>
  <c r="DT204" i="10" s="1"/>
  <c r="CR59" i="10"/>
  <c r="CS59" i="10" s="1"/>
  <c r="CR56" i="10"/>
  <c r="CS56" i="10" s="1"/>
  <c r="DJ104" i="10"/>
  <c r="DK104" i="10" s="1"/>
  <c r="DS133" i="10"/>
  <c r="DT133" i="10" s="1"/>
  <c r="DJ16" i="10"/>
  <c r="DK16" i="10" s="1"/>
  <c r="DJ61" i="10"/>
  <c r="DK61" i="10" s="1"/>
  <c r="DJ153" i="10"/>
  <c r="DK153" i="10" s="1"/>
  <c r="DS117" i="10"/>
  <c r="DT117" i="10" s="1"/>
  <c r="CI550" i="10"/>
  <c r="CJ550" i="10" s="1"/>
  <c r="CI487" i="10"/>
  <c r="CJ487" i="10" s="1"/>
  <c r="CI411" i="10"/>
  <c r="CJ411" i="10" s="1"/>
  <c r="DS282" i="10"/>
  <c r="DT282" i="10" s="1"/>
  <c r="CI511" i="10"/>
  <c r="CJ511" i="10" s="1"/>
  <c r="CI435" i="10"/>
  <c r="CJ435" i="10" s="1"/>
  <c r="BZ365" i="10"/>
  <c r="CA365" i="10" s="1"/>
  <c r="CI486" i="10"/>
  <c r="CJ486" i="10" s="1"/>
  <c r="CI622" i="10"/>
  <c r="CJ622" i="10" s="1"/>
  <c r="CI519" i="10"/>
  <c r="CJ519" i="10" s="1"/>
  <c r="DS182" i="10"/>
  <c r="DT182" i="10" s="1"/>
  <c r="DS137" i="10"/>
  <c r="DT137" i="10" s="1"/>
  <c r="CR34" i="10"/>
  <c r="CS34" i="10" s="1"/>
  <c r="DJ107" i="10"/>
  <c r="DK107" i="10" s="1"/>
  <c r="DA29" i="10"/>
  <c r="DB29" i="10" s="1"/>
  <c r="BQ378" i="10"/>
  <c r="BR378" i="10" s="1"/>
  <c r="DS115" i="10"/>
  <c r="DT115" i="10" s="1"/>
  <c r="BZ388" i="10"/>
  <c r="CA388" i="10" s="1"/>
  <c r="BH377" i="10"/>
  <c r="BI377" i="10" s="1"/>
  <c r="BZ430" i="10"/>
  <c r="CA430" i="10" s="1"/>
  <c r="BQ345" i="10"/>
  <c r="BR345" i="10" s="1"/>
  <c r="CI553" i="10"/>
  <c r="CJ553" i="10" s="1"/>
  <c r="CI569" i="10"/>
  <c r="CJ569" i="10" s="1"/>
  <c r="CI521" i="10"/>
  <c r="CJ521" i="10" s="1"/>
  <c r="BZ433" i="10"/>
  <c r="CA433" i="10" s="1"/>
  <c r="CI471" i="10"/>
  <c r="CJ471" i="10" s="1"/>
  <c r="CI570" i="10"/>
  <c r="CJ570" i="10" s="1"/>
  <c r="CI455" i="10"/>
  <c r="CJ455" i="10" s="1"/>
  <c r="CI627" i="10"/>
  <c r="CJ627" i="10" s="1"/>
  <c r="BQ361" i="10"/>
  <c r="BR361" i="10" s="1"/>
  <c r="CI618" i="10"/>
  <c r="CJ618" i="10" s="1"/>
  <c r="BZ363" i="10"/>
  <c r="CA363" i="10" s="1"/>
  <c r="BZ468" i="10"/>
  <c r="CA468" i="10" s="1"/>
  <c r="CI362" i="10"/>
  <c r="CJ362" i="10" s="1"/>
  <c r="CI464" i="10"/>
  <c r="CJ464" i="10" s="1"/>
  <c r="CI522" i="10"/>
  <c r="CJ522" i="10" s="1"/>
  <c r="BQ332" i="10"/>
  <c r="BR332" i="10" s="1"/>
  <c r="BQ393" i="10"/>
  <c r="BR393" i="10" s="1"/>
  <c r="BH376" i="10"/>
  <c r="BI376" i="10" s="1"/>
  <c r="CI595" i="10"/>
  <c r="CJ595" i="10" s="1"/>
  <c r="CI490" i="10"/>
  <c r="CJ490" i="10" s="1"/>
  <c r="BZ329" i="10"/>
  <c r="CA329" i="10" s="1"/>
  <c r="BQ386" i="10"/>
  <c r="BR386" i="10" s="1"/>
  <c r="CI360" i="10"/>
  <c r="CJ360" i="10" s="1"/>
  <c r="BZ449" i="10"/>
  <c r="CA449" i="10" s="1"/>
  <c r="CI515" i="10"/>
  <c r="CJ515" i="10" s="1"/>
  <c r="BQ343" i="10"/>
  <c r="BR343" i="10" s="1"/>
  <c r="BH355" i="10"/>
  <c r="BI355" i="10" s="1"/>
  <c r="BQ372" i="10"/>
  <c r="BR372" i="10" s="1"/>
  <c r="CI538" i="10"/>
  <c r="CJ538" i="10" s="1"/>
  <c r="CI531" i="10"/>
  <c r="CJ531" i="10" s="1"/>
  <c r="BZ458" i="10"/>
  <c r="CA458" i="10" s="1"/>
  <c r="BQ369" i="10"/>
  <c r="BR369" i="10" s="1"/>
  <c r="CI403" i="10"/>
  <c r="CJ403" i="10" s="1"/>
  <c r="CI611" i="10"/>
  <c r="CJ611" i="10" s="1"/>
  <c r="BZ401" i="10"/>
  <c r="CA401" i="10" s="1"/>
  <c r="AY171" i="10"/>
  <c r="AZ171" i="10" s="1"/>
  <c r="AP55" i="10"/>
  <c r="AQ55" i="10" s="1"/>
  <c r="CI448" i="10"/>
  <c r="CJ448" i="10" s="1"/>
  <c r="CI99" i="10"/>
  <c r="CJ99" i="10" s="1"/>
  <c r="AY52" i="10"/>
  <c r="AZ52" i="10" s="1"/>
  <c r="AY53" i="10"/>
  <c r="AZ53" i="10" s="1"/>
  <c r="ED41" i="10"/>
  <c r="BH42" i="10"/>
  <c r="BI42" i="10" s="1"/>
  <c r="EI41" i="10"/>
  <c r="AP80" i="10"/>
  <c r="AQ80" i="10" s="1"/>
  <c r="AY130" i="10"/>
  <c r="AZ130" i="10" s="1"/>
  <c r="AY239" i="10"/>
  <c r="AZ239" i="10" s="1"/>
  <c r="EH41" i="10"/>
  <c r="EL41" i="10" s="1"/>
  <c r="EF41" i="10"/>
  <c r="BZ409" i="10"/>
  <c r="CA409" i="10" s="1"/>
  <c r="BH334" i="10"/>
  <c r="BI334" i="10" s="1"/>
  <c r="CI585" i="10"/>
  <c r="CJ585" i="10" s="1"/>
  <c r="CI489" i="10"/>
  <c r="CJ489" i="10" s="1"/>
  <c r="CI579" i="10"/>
  <c r="CJ579" i="10" s="1"/>
  <c r="BZ364" i="10"/>
  <c r="CA364" i="10" s="1"/>
  <c r="CI506" i="10"/>
  <c r="CJ506" i="10" s="1"/>
  <c r="CI602" i="10"/>
  <c r="CJ602" i="10" s="1"/>
  <c r="BZ381" i="10"/>
  <c r="CA381" i="10" s="1"/>
  <c r="BZ130" i="10"/>
  <c r="CA130" i="10" s="1"/>
  <c r="CI223" i="10"/>
  <c r="CJ223" i="10" s="1"/>
  <c r="BZ153" i="10"/>
  <c r="CA153" i="10" s="1"/>
  <c r="AP115" i="10"/>
  <c r="AQ115" i="10" s="1"/>
  <c r="AG62" i="10"/>
  <c r="AH62" i="10" s="1"/>
  <c r="AP162" i="10"/>
  <c r="AQ162" i="10" s="1"/>
  <c r="X19" i="10"/>
  <c r="Y19" i="10" s="1"/>
  <c r="BQ86" i="10"/>
  <c r="BR86" i="10" s="1"/>
  <c r="CI119" i="10"/>
  <c r="CJ119" i="10" s="1"/>
  <c r="CI31" i="10"/>
  <c r="CJ31" i="10" s="1"/>
  <c r="BZ122" i="10"/>
  <c r="CA122" i="10" s="1"/>
  <c r="AP70" i="10"/>
  <c r="AQ70" i="10" s="1"/>
  <c r="AP77" i="10"/>
  <c r="AQ77" i="10" s="1"/>
  <c r="AY548" i="10"/>
  <c r="AZ548" i="10" s="1"/>
  <c r="EG10" i="10"/>
  <c r="EE64" i="10" s="1"/>
  <c r="AY16" i="10"/>
  <c r="AZ16" i="10" s="1"/>
  <c r="BZ131" i="10"/>
  <c r="CA131" i="10" s="1"/>
  <c r="BZ82" i="10"/>
  <c r="CA82" i="10" s="1"/>
  <c r="CI195" i="10"/>
  <c r="CJ195" i="10" s="1"/>
  <c r="CI235" i="10"/>
  <c r="CJ235" i="10" s="1"/>
  <c r="BZ105" i="10"/>
  <c r="CA105" i="10" s="1"/>
  <c r="CI187" i="10"/>
  <c r="CJ187" i="10" s="1"/>
  <c r="BQ68" i="10"/>
  <c r="BR68" i="10" s="1"/>
  <c r="BQ60" i="10"/>
  <c r="BR60" i="10" s="1"/>
  <c r="BQ31" i="10"/>
  <c r="BR31" i="10" s="1"/>
  <c r="CI185" i="10"/>
  <c r="CJ185" i="10" s="1"/>
  <c r="CI231" i="10"/>
  <c r="CJ231" i="10" s="1"/>
  <c r="CI313" i="10"/>
  <c r="CJ313" i="10" s="1"/>
  <c r="DJ162" i="10"/>
  <c r="DK162" i="10" s="1"/>
  <c r="DA32" i="10"/>
  <c r="DB32" i="10" s="1"/>
  <c r="CR37" i="10"/>
  <c r="CS37" i="10" s="1"/>
  <c r="CI481" i="10"/>
  <c r="CJ481" i="10" s="1"/>
  <c r="BZ375" i="10"/>
  <c r="CA375" i="10" s="1"/>
  <c r="BQ334" i="10"/>
  <c r="BR334" i="10" s="1"/>
  <c r="CI91" i="10"/>
  <c r="CJ91" i="10" s="1"/>
  <c r="CI155" i="10"/>
  <c r="CJ155" i="10" s="1"/>
  <c r="BH37" i="10"/>
  <c r="BI37" i="10" s="1"/>
  <c r="BH38" i="10"/>
  <c r="BI38" i="10" s="1"/>
  <c r="BZ420" i="10"/>
  <c r="CA420" i="10" s="1"/>
  <c r="CI366" i="10"/>
  <c r="CJ366" i="10" s="1"/>
  <c r="BQ330" i="10"/>
  <c r="BR330" i="10" s="1"/>
  <c r="BZ437" i="10"/>
  <c r="CA437" i="10" s="1"/>
  <c r="CI610" i="10"/>
  <c r="CJ610" i="10" s="1"/>
  <c r="BZ472" i="10"/>
  <c r="CA472" i="10" s="1"/>
  <c r="CI327" i="10"/>
  <c r="CJ327" i="10" s="1"/>
  <c r="CI534" i="10"/>
  <c r="CJ534" i="10" s="1"/>
  <c r="CI505" i="10"/>
  <c r="CJ505" i="10" s="1"/>
  <c r="CI565" i="10"/>
  <c r="CJ565" i="10" s="1"/>
  <c r="CI374" i="10"/>
  <c r="CJ374" i="10" s="1"/>
  <c r="BZ86" i="10"/>
  <c r="CA86" i="10" s="1"/>
  <c r="CI53" i="10"/>
  <c r="CJ53" i="10" s="1"/>
  <c r="BH21" i="10"/>
  <c r="BI21" i="10" s="1"/>
  <c r="CI286" i="10"/>
  <c r="CJ286" i="10" s="1"/>
  <c r="AY308" i="10"/>
  <c r="AZ308" i="10" s="1"/>
  <c r="BZ163" i="10"/>
  <c r="CA163" i="10" s="1"/>
  <c r="BZ156" i="10"/>
  <c r="CA156" i="10" s="1"/>
  <c r="BQ78" i="10"/>
  <c r="BR78" i="10" s="1"/>
  <c r="CI139" i="10"/>
  <c r="CJ139" i="10" s="1"/>
  <c r="CI184" i="10"/>
  <c r="CJ184" i="10" s="1"/>
  <c r="BQ36" i="10"/>
  <c r="BR36" i="10" s="1"/>
  <c r="CI188" i="10"/>
  <c r="CJ188" i="10" s="1"/>
  <c r="CI203" i="10"/>
  <c r="CJ203" i="10" s="1"/>
  <c r="CI220" i="10"/>
  <c r="CJ220" i="10" s="1"/>
  <c r="BZ140" i="10"/>
  <c r="CA140" i="10" s="1"/>
  <c r="BZ154" i="10"/>
  <c r="CA154" i="10" s="1"/>
  <c r="CI228" i="10"/>
  <c r="CJ228" i="10" s="1"/>
  <c r="CI245" i="10"/>
  <c r="CJ245" i="10" s="1"/>
  <c r="CI264" i="10"/>
  <c r="CJ264" i="10" s="1"/>
  <c r="CI179" i="10"/>
  <c r="CJ179" i="10" s="1"/>
  <c r="BQ19" i="10"/>
  <c r="BR19" i="10" s="1"/>
  <c r="BZ114" i="10"/>
  <c r="CA114" i="10" s="1"/>
  <c r="BZ93" i="10"/>
  <c r="CA93" i="10" s="1"/>
  <c r="BH52" i="10"/>
  <c r="BI52" i="10" s="1"/>
  <c r="BZ24" i="10"/>
  <c r="CA24" i="10" s="1"/>
  <c r="CI267" i="10"/>
  <c r="CJ267" i="10" s="1"/>
  <c r="CI62" i="10"/>
  <c r="CJ62" i="10" s="1"/>
  <c r="CI271" i="10"/>
  <c r="CJ271" i="10" s="1"/>
  <c r="BZ149" i="10"/>
  <c r="CA149" i="10" s="1"/>
  <c r="BZ106" i="10"/>
  <c r="CA106" i="10" s="1"/>
  <c r="BH30" i="10"/>
  <c r="BI30" i="10" s="1"/>
  <c r="CI166" i="10"/>
  <c r="CJ166" i="10" s="1"/>
  <c r="CI275" i="10"/>
  <c r="CJ275" i="10" s="1"/>
  <c r="CI261" i="10"/>
  <c r="CJ261" i="10" s="1"/>
  <c r="CI191" i="10"/>
  <c r="CJ191" i="10" s="1"/>
  <c r="BZ158" i="10"/>
  <c r="CA158" i="10" s="1"/>
  <c r="BZ89" i="10"/>
  <c r="CA89" i="10" s="1"/>
  <c r="BZ53" i="10"/>
  <c r="CA53" i="10" s="1"/>
  <c r="BH28" i="10"/>
  <c r="BI28" i="10" s="1"/>
  <c r="CI221" i="10"/>
  <c r="CJ221" i="10" s="1"/>
  <c r="CI293" i="10"/>
  <c r="CJ293" i="10" s="1"/>
  <c r="CI243" i="10"/>
  <c r="CJ243" i="10" s="1"/>
  <c r="CI71" i="10"/>
  <c r="CJ71" i="10" s="1"/>
  <c r="BH48" i="10"/>
  <c r="BI48" i="10" s="1"/>
  <c r="CI173" i="10"/>
  <c r="CJ173" i="10" s="1"/>
  <c r="CI554" i="10"/>
  <c r="CJ554" i="10" s="1"/>
  <c r="CI499" i="10"/>
  <c r="CJ499" i="10" s="1"/>
  <c r="BZ148" i="10"/>
  <c r="CA148" i="10" s="1"/>
  <c r="DA64" i="10"/>
  <c r="DB64" i="10" s="1"/>
  <c r="DS41" i="10"/>
  <c r="DT41" i="10" s="1"/>
  <c r="BQ349" i="10"/>
  <c r="BR349" i="10" s="1"/>
  <c r="BZ417" i="10"/>
  <c r="CA417" i="10" s="1"/>
  <c r="CI529" i="10"/>
  <c r="CJ529" i="10" s="1"/>
  <c r="CI358" i="10"/>
  <c r="CJ358" i="10" s="1"/>
  <c r="BH348" i="10"/>
  <c r="BI348" i="10" s="1"/>
  <c r="CI549" i="10"/>
  <c r="CJ549" i="10" s="1"/>
  <c r="CI351" i="10"/>
  <c r="CJ351" i="10" s="1"/>
  <c r="CI443" i="10"/>
  <c r="CJ443" i="10" s="1"/>
  <c r="BZ435" i="10"/>
  <c r="CA435" i="10" s="1"/>
  <c r="CI459" i="10"/>
  <c r="CJ459" i="10" s="1"/>
  <c r="CI614" i="10"/>
  <c r="CJ614" i="10" s="1"/>
  <c r="BQ342" i="10"/>
  <c r="BR342" i="10" s="1"/>
  <c r="CI81" i="10"/>
  <c r="CJ81" i="10" s="1"/>
  <c r="CI304" i="10"/>
  <c r="CJ304" i="10" s="1"/>
  <c r="CI276" i="10"/>
  <c r="CJ276" i="10" s="1"/>
  <c r="AP470" i="10"/>
  <c r="AQ470" i="10" s="1"/>
  <c r="CI124" i="10"/>
  <c r="CJ124" i="10" s="1"/>
  <c r="CI234" i="10"/>
  <c r="CJ234" i="10" s="1"/>
  <c r="CI174" i="10"/>
  <c r="CJ174" i="10" s="1"/>
  <c r="BZ108" i="10"/>
  <c r="CA108" i="10" s="1"/>
  <c r="EG9" i="10"/>
  <c r="EG63" i="10" s="1"/>
  <c r="CI18" i="10"/>
  <c r="CJ18" i="10" s="1"/>
  <c r="BZ104" i="10"/>
  <c r="CA104" i="10" s="1"/>
  <c r="BQ48" i="10"/>
  <c r="BR48" i="10" s="1"/>
  <c r="CI68" i="10"/>
  <c r="CJ68" i="10" s="1"/>
  <c r="CI226" i="10"/>
  <c r="CJ226" i="10" s="1"/>
  <c r="CI273" i="10"/>
  <c r="CJ273" i="10" s="1"/>
  <c r="CI199" i="10"/>
  <c r="CJ199" i="10" s="1"/>
  <c r="BH29" i="10"/>
  <c r="BI29" i="10" s="1"/>
  <c r="BZ71" i="10"/>
  <c r="CA71" i="10" s="1"/>
  <c r="CI295" i="10"/>
  <c r="CJ295" i="10" s="1"/>
  <c r="CI265" i="10"/>
  <c r="CJ265" i="10" s="1"/>
  <c r="CI257" i="10"/>
  <c r="CJ257" i="10" s="1"/>
  <c r="BQ91" i="10"/>
  <c r="BR91" i="10" s="1"/>
  <c r="CI32" i="10"/>
  <c r="CJ32" i="10" s="1"/>
  <c r="BZ79" i="10"/>
  <c r="CA79" i="10" s="1"/>
  <c r="CI98" i="10"/>
  <c r="CJ98" i="10" s="1"/>
  <c r="BH18" i="10"/>
  <c r="BI18" i="10" s="1"/>
  <c r="CI123" i="10"/>
  <c r="CJ123" i="10" s="1"/>
  <c r="BZ56" i="10"/>
  <c r="CA56" i="10" s="1"/>
  <c r="BH19" i="10"/>
  <c r="BI19" i="10" s="1"/>
  <c r="BH49" i="10"/>
  <c r="BI49" i="10" s="1"/>
  <c r="BZ41" i="10"/>
  <c r="CA41" i="10" s="1"/>
  <c r="CI116" i="10"/>
  <c r="CJ116" i="10" s="1"/>
  <c r="BH55" i="10"/>
  <c r="BI55" i="10" s="1"/>
  <c r="BZ33" i="10"/>
  <c r="CA33" i="10" s="1"/>
  <c r="CI57" i="10"/>
  <c r="CJ57" i="10" s="1"/>
  <c r="CI43" i="10"/>
  <c r="CJ43" i="10" s="1"/>
  <c r="CI33" i="10"/>
  <c r="CJ33" i="10" s="1"/>
  <c r="CI37" i="10"/>
  <c r="CJ37" i="10" s="1"/>
  <c r="BZ54" i="10"/>
  <c r="CA54" i="10" s="1"/>
  <c r="BZ90" i="10"/>
  <c r="CA90" i="10" s="1"/>
  <c r="BQ85" i="10"/>
  <c r="BR85" i="10" s="1"/>
  <c r="BZ94" i="10"/>
  <c r="CA94" i="10" s="1"/>
  <c r="CI125" i="10"/>
  <c r="CJ125" i="10" s="1"/>
  <c r="CI89" i="10"/>
  <c r="CJ89" i="10" s="1"/>
  <c r="BZ166" i="10"/>
  <c r="CA166" i="10" s="1"/>
  <c r="CI50" i="10"/>
  <c r="CJ50" i="10" s="1"/>
  <c r="CI109" i="10"/>
  <c r="CJ109" i="10" s="1"/>
  <c r="CI167" i="10"/>
  <c r="CJ167" i="10" s="1"/>
  <c r="BZ75" i="10"/>
  <c r="CA75" i="10" s="1"/>
  <c r="CI161" i="10"/>
  <c r="CJ161" i="10" s="1"/>
  <c r="BQ17" i="10"/>
  <c r="BR17" i="10" s="1"/>
  <c r="BZ19" i="10"/>
  <c r="CA19" i="10" s="1"/>
  <c r="CI151" i="10"/>
  <c r="CJ151" i="10" s="1"/>
  <c r="CI212" i="10"/>
  <c r="CJ212" i="10" s="1"/>
  <c r="CI88" i="10"/>
  <c r="CJ88" i="10" s="1"/>
  <c r="CI236" i="10"/>
  <c r="CJ236" i="10" s="1"/>
  <c r="BZ123" i="10"/>
  <c r="CA123" i="10" s="1"/>
  <c r="CI208" i="10"/>
  <c r="CJ208" i="10" s="1"/>
  <c r="CI170" i="10"/>
  <c r="CJ170" i="10" s="1"/>
  <c r="CI288" i="10"/>
  <c r="CJ288" i="10" s="1"/>
  <c r="CI284" i="10"/>
  <c r="CJ284" i="10" s="1"/>
  <c r="CI143" i="10"/>
  <c r="CJ143" i="10" s="1"/>
  <c r="BQ69" i="10"/>
  <c r="BR69" i="10" s="1"/>
  <c r="CI280" i="10"/>
  <c r="CJ280" i="10" s="1"/>
  <c r="CI74" i="10"/>
  <c r="CJ74" i="10" s="1"/>
  <c r="CI127" i="10"/>
  <c r="CJ127" i="10" s="1"/>
  <c r="BZ160" i="10"/>
  <c r="CA160" i="10" s="1"/>
  <c r="BZ102" i="10"/>
  <c r="CA102" i="10" s="1"/>
  <c r="BZ48" i="10"/>
  <c r="CA48" i="10" s="1"/>
  <c r="BZ110" i="10"/>
  <c r="CA110" i="10" s="1"/>
  <c r="CI205" i="10"/>
  <c r="CJ205" i="10" s="1"/>
  <c r="CI237" i="10"/>
  <c r="CJ237" i="10" s="1"/>
  <c r="BQ43" i="10"/>
  <c r="BR43" i="10" s="1"/>
  <c r="CI100" i="10"/>
  <c r="CJ100" i="10" s="1"/>
  <c r="BQ51" i="10"/>
  <c r="BR51" i="10" s="1"/>
  <c r="CI253" i="10"/>
  <c r="CJ253" i="10" s="1"/>
  <c r="BZ113" i="10"/>
  <c r="CA113" i="10" s="1"/>
  <c r="BQ63" i="10"/>
  <c r="BR63" i="10" s="1"/>
  <c r="BH24" i="10"/>
  <c r="BI24" i="10" s="1"/>
  <c r="BH64" i="10"/>
  <c r="BI64" i="10" s="1"/>
  <c r="BZ151" i="10"/>
  <c r="CA151" i="10" s="1"/>
  <c r="DJ135" i="10"/>
  <c r="DK135" i="10" s="1"/>
  <c r="CR24" i="10"/>
  <c r="CS24" i="10" s="1"/>
  <c r="DS104" i="10"/>
  <c r="DT104" i="10" s="1"/>
  <c r="DS253" i="10"/>
  <c r="DT253" i="10" s="1"/>
  <c r="DJ23" i="10"/>
  <c r="DK23" i="10" s="1"/>
  <c r="DJ127" i="10"/>
  <c r="DK127" i="10" s="1"/>
  <c r="DJ31" i="10"/>
  <c r="DK31" i="10" s="1"/>
  <c r="DS249" i="10"/>
  <c r="DT249" i="10" s="1"/>
  <c r="DS140" i="10"/>
  <c r="DT140" i="10" s="1"/>
  <c r="DA61" i="10"/>
  <c r="DB61" i="10" s="1"/>
  <c r="DS151" i="10"/>
  <c r="DT151" i="10" s="1"/>
  <c r="DJ116" i="10"/>
  <c r="DK116" i="10" s="1"/>
  <c r="DS164" i="10"/>
  <c r="DT164" i="10" s="1"/>
  <c r="DS59" i="10"/>
  <c r="DT59" i="10" s="1"/>
  <c r="DJ63" i="10"/>
  <c r="DK63" i="10" s="1"/>
  <c r="DS235" i="10"/>
  <c r="DT235" i="10" s="1"/>
  <c r="DS191" i="10"/>
  <c r="DT191" i="10" s="1"/>
  <c r="DJ25" i="10"/>
  <c r="DK25" i="10" s="1"/>
  <c r="DJ52" i="10"/>
  <c r="DK52" i="10" s="1"/>
  <c r="DJ17" i="10"/>
  <c r="DK17" i="10" s="1"/>
  <c r="DJ133" i="10"/>
  <c r="DK133" i="10" s="1"/>
  <c r="DS299" i="10"/>
  <c r="DT299" i="10" s="1"/>
  <c r="DS24" i="10"/>
  <c r="DT24" i="10" s="1"/>
  <c r="DS99" i="10"/>
  <c r="DT99" i="10" s="1"/>
  <c r="DS207" i="10"/>
  <c r="DT207" i="10" s="1"/>
  <c r="CR18" i="10"/>
  <c r="CS18" i="10" s="1"/>
  <c r="DJ148" i="10"/>
  <c r="DK148" i="10" s="1"/>
  <c r="DA68" i="10"/>
  <c r="DB68" i="10" s="1"/>
  <c r="DA37" i="10"/>
  <c r="DB37" i="10" s="1"/>
  <c r="DS25" i="10"/>
  <c r="DT25" i="10" s="1"/>
  <c r="DS97" i="10"/>
  <c r="DT97" i="10" s="1"/>
  <c r="DS71" i="10"/>
  <c r="DT71" i="10" s="1"/>
  <c r="CR61" i="10"/>
  <c r="CS61" i="10" s="1"/>
  <c r="DS171" i="10"/>
  <c r="DT171" i="10" s="1"/>
  <c r="DS114" i="10"/>
  <c r="DT114" i="10" s="1"/>
  <c r="DJ28" i="10"/>
  <c r="DK28" i="10" s="1"/>
  <c r="DS195" i="10"/>
  <c r="DT195" i="10" s="1"/>
  <c r="DS219" i="10"/>
  <c r="DT219" i="10" s="1"/>
  <c r="CR23" i="10"/>
  <c r="CS23" i="10" s="1"/>
  <c r="DJ65" i="10"/>
  <c r="DK65" i="10" s="1"/>
  <c r="DA65" i="10"/>
  <c r="DB65" i="10" s="1"/>
  <c r="DJ85" i="10"/>
  <c r="DK85" i="10" s="1"/>
  <c r="DS305" i="10"/>
  <c r="DT305" i="10" s="1"/>
  <c r="DA86" i="10"/>
  <c r="DB86" i="10" s="1"/>
  <c r="DS56" i="10"/>
  <c r="DT56" i="10" s="1"/>
  <c r="DS167" i="10"/>
  <c r="DT167" i="10" s="1"/>
  <c r="DJ160" i="10"/>
  <c r="DK160" i="10" s="1"/>
  <c r="DJ56" i="10"/>
  <c r="DK56" i="10" s="1"/>
  <c r="DS121" i="10"/>
  <c r="DT121" i="10" s="1"/>
  <c r="DS111" i="10"/>
  <c r="DT111" i="10" s="1"/>
  <c r="DJ27" i="10"/>
  <c r="DK27" i="10" s="1"/>
  <c r="DS75" i="10"/>
  <c r="DT75" i="10" s="1"/>
  <c r="DA22" i="10"/>
  <c r="DB22" i="10" s="1"/>
  <c r="DS217" i="10"/>
  <c r="DT217" i="10" s="1"/>
  <c r="DS315" i="10"/>
  <c r="DT315" i="10" s="1"/>
  <c r="DJ91" i="10"/>
  <c r="DK91" i="10" s="1"/>
  <c r="DS197" i="10"/>
  <c r="DT197" i="10" s="1"/>
  <c r="DJ112" i="10"/>
  <c r="DK112" i="10" s="1"/>
  <c r="DS35" i="10"/>
  <c r="DT35" i="10" s="1"/>
  <c r="DA21" i="10"/>
  <c r="DB21" i="10" s="1"/>
  <c r="DS281" i="10"/>
  <c r="DT281" i="10" s="1"/>
  <c r="DS257" i="10"/>
  <c r="DT257" i="10" s="1"/>
  <c r="DS221" i="10"/>
  <c r="DT221" i="10" s="1"/>
  <c r="DS213" i="10"/>
  <c r="DT213" i="10" s="1"/>
  <c r="DA78" i="10"/>
  <c r="DB78" i="10" s="1"/>
  <c r="DS86" i="10"/>
  <c r="DT86" i="10" s="1"/>
  <c r="DS177" i="10"/>
  <c r="DT177" i="10" s="1"/>
  <c r="CR36" i="10"/>
  <c r="CS36" i="10" s="1"/>
  <c r="CR20" i="10"/>
  <c r="CS20" i="10" s="1"/>
  <c r="DS193" i="10"/>
  <c r="DT193" i="10" s="1"/>
  <c r="DJ159" i="10"/>
  <c r="DK159" i="10" s="1"/>
  <c r="DJ101" i="10"/>
  <c r="DK101" i="10" s="1"/>
  <c r="DS293" i="10"/>
  <c r="DT293" i="10" s="1"/>
  <c r="DS261" i="10"/>
  <c r="DT261" i="10" s="1"/>
  <c r="DS285" i="10"/>
  <c r="DT285" i="10" s="1"/>
  <c r="DS144" i="10"/>
  <c r="DT144" i="10" s="1"/>
  <c r="DS163" i="10"/>
  <c r="DT163" i="10" s="1"/>
  <c r="DA76" i="10"/>
  <c r="DB76" i="10" s="1"/>
  <c r="DA59" i="10"/>
  <c r="DB59" i="10" s="1"/>
  <c r="DS201" i="10"/>
  <c r="DT201" i="10" s="1"/>
  <c r="DJ157" i="10"/>
  <c r="DK157" i="10" s="1"/>
  <c r="DJ42" i="10"/>
  <c r="DK42" i="10" s="1"/>
  <c r="DJ123" i="10"/>
  <c r="DK123" i="10" s="1"/>
  <c r="DS109" i="10"/>
  <c r="DT109" i="10" s="1"/>
  <c r="DS181" i="10"/>
  <c r="DT181" i="10" s="1"/>
  <c r="DS141" i="10"/>
  <c r="DT141" i="10" s="1"/>
  <c r="DS205" i="10"/>
  <c r="DT205" i="10" s="1"/>
  <c r="DS255" i="10"/>
  <c r="DT255" i="10" s="1"/>
  <c r="DS287" i="10"/>
  <c r="DT287" i="10" s="1"/>
  <c r="DJ117" i="10"/>
  <c r="DK117" i="10" s="1"/>
  <c r="DS98" i="10"/>
  <c r="DT98" i="10" s="1"/>
  <c r="DS313" i="10"/>
  <c r="DT313" i="10" s="1"/>
  <c r="DS245" i="10"/>
  <c r="DT245" i="10" s="1"/>
  <c r="DJ119" i="10"/>
  <c r="DK119" i="10" s="1"/>
  <c r="DS289" i="10"/>
  <c r="DT289" i="10" s="1"/>
  <c r="DJ45" i="10"/>
  <c r="DK45" i="10" s="1"/>
  <c r="DJ47" i="10"/>
  <c r="DK47" i="10" s="1"/>
  <c r="DJ83" i="10"/>
  <c r="DK83" i="10" s="1"/>
  <c r="DS89" i="10"/>
  <c r="DT89" i="10" s="1"/>
  <c r="DS179" i="10"/>
  <c r="DT179" i="10" s="1"/>
  <c r="DA58" i="10"/>
  <c r="DB58" i="10" s="1"/>
  <c r="DJ79" i="10"/>
  <c r="DK79" i="10" s="1"/>
  <c r="DA47" i="10"/>
  <c r="DB47" i="10" s="1"/>
  <c r="DJ136" i="10"/>
  <c r="DK136" i="10" s="1"/>
  <c r="DJ95" i="10"/>
  <c r="DK95" i="10" s="1"/>
  <c r="DS96" i="10"/>
  <c r="DT96" i="10" s="1"/>
  <c r="DA49" i="10"/>
  <c r="DB49" i="10" s="1"/>
  <c r="DJ22" i="10"/>
  <c r="DK22" i="10" s="1"/>
  <c r="DJ139" i="10"/>
  <c r="DK139" i="10" s="1"/>
  <c r="DJ72" i="10"/>
  <c r="DK72" i="10" s="1"/>
  <c r="DS81" i="10"/>
  <c r="DT81" i="10" s="1"/>
  <c r="DA77" i="10"/>
  <c r="DB77" i="10" s="1"/>
  <c r="DS161" i="10"/>
  <c r="DT161" i="10" s="1"/>
  <c r="DA33" i="10"/>
  <c r="DB33" i="10" s="1"/>
  <c r="DS189" i="10"/>
  <c r="DT189" i="10" s="1"/>
  <c r="DS251" i="10"/>
  <c r="DT251" i="10" s="1"/>
  <c r="CR43" i="10"/>
  <c r="CS43" i="10" s="1"/>
  <c r="DJ24" i="10"/>
  <c r="DK24" i="10" s="1"/>
  <c r="DA16" i="10"/>
  <c r="DB16" i="10" s="1"/>
  <c r="DS231" i="10"/>
  <c r="DT231" i="10" s="1"/>
  <c r="DJ115" i="10"/>
  <c r="DK115" i="10" s="1"/>
  <c r="DS199" i="10"/>
  <c r="DT199" i="10" s="1"/>
  <c r="DS68" i="10"/>
  <c r="DT68" i="10" s="1"/>
  <c r="DS183" i="10"/>
  <c r="DT183" i="10" s="1"/>
  <c r="DJ137" i="10"/>
  <c r="DK137" i="10" s="1"/>
  <c r="DJ54" i="10"/>
  <c r="DK54" i="10" s="1"/>
  <c r="DA43" i="10"/>
  <c r="DB43" i="10" s="1"/>
  <c r="DS308" i="10"/>
  <c r="DT308" i="10" s="1"/>
  <c r="DS50" i="10"/>
  <c r="DT50" i="10" s="1"/>
  <c r="DS155" i="10"/>
  <c r="DT155" i="10" s="1"/>
  <c r="DS23" i="10"/>
  <c r="DT23" i="10" s="1"/>
  <c r="DS153" i="10"/>
  <c r="DT153" i="10" s="1"/>
  <c r="DJ93" i="10"/>
  <c r="DK93" i="10" s="1"/>
  <c r="DA34" i="10"/>
  <c r="DB34" i="10" s="1"/>
  <c r="DS72" i="10"/>
  <c r="DT72" i="10" s="1"/>
  <c r="DJ143" i="10"/>
  <c r="DK143" i="10" s="1"/>
  <c r="DS92" i="10"/>
  <c r="DT92" i="10" s="1"/>
  <c r="DJ120" i="10"/>
  <c r="DK120" i="10" s="1"/>
  <c r="DS157" i="10"/>
  <c r="DT157" i="10" s="1"/>
  <c r="DA73" i="10"/>
  <c r="DB73" i="10" s="1"/>
  <c r="DS110" i="10"/>
  <c r="DT110" i="10" s="1"/>
  <c r="DS20" i="10"/>
  <c r="DT20" i="10" s="1"/>
  <c r="DS146" i="10"/>
  <c r="DT146" i="10" s="1"/>
  <c r="CR40" i="10"/>
  <c r="CS40" i="10" s="1"/>
  <c r="DS142" i="10"/>
  <c r="DT142" i="10" s="1"/>
  <c r="DJ43" i="10"/>
  <c r="DK43" i="10" s="1"/>
  <c r="DJ80" i="10"/>
  <c r="DK80" i="10" s="1"/>
  <c r="DS93" i="10"/>
  <c r="DT93" i="10" s="1"/>
  <c r="DS295" i="10"/>
  <c r="DT295" i="10" s="1"/>
  <c r="DA30" i="10"/>
  <c r="DB30" i="10" s="1"/>
  <c r="DS33" i="10"/>
  <c r="DT33" i="10" s="1"/>
  <c r="DA67" i="10"/>
  <c r="DB67" i="10" s="1"/>
  <c r="DJ128" i="10"/>
  <c r="DK128" i="10" s="1"/>
  <c r="DS185" i="10"/>
  <c r="DT185" i="10" s="1"/>
  <c r="CR22" i="10"/>
  <c r="CS22" i="10" s="1"/>
  <c r="DJ34" i="10"/>
  <c r="DK34" i="10" s="1"/>
  <c r="DJ21" i="10"/>
  <c r="DK21" i="10" s="1"/>
  <c r="DJ38" i="10"/>
  <c r="DK38" i="10" s="1"/>
  <c r="DA63" i="10"/>
  <c r="DB63" i="10" s="1"/>
  <c r="DS101" i="10"/>
  <c r="DT101" i="10" s="1"/>
  <c r="DA45" i="10"/>
  <c r="DB45" i="10" s="1"/>
  <c r="DS159" i="10"/>
  <c r="DT159" i="10" s="1"/>
  <c r="DS130" i="10"/>
  <c r="DT130" i="10" s="1"/>
  <c r="DJ113" i="10"/>
  <c r="DK113" i="10" s="1"/>
  <c r="DS303" i="10"/>
  <c r="DT303" i="10" s="1"/>
  <c r="CR32" i="10"/>
  <c r="CS32" i="10" s="1"/>
  <c r="DS108" i="10"/>
  <c r="DT108" i="10" s="1"/>
  <c r="DJ68" i="10"/>
  <c r="DK68" i="10" s="1"/>
  <c r="DA50" i="10"/>
  <c r="DB50" i="10" s="1"/>
  <c r="DS292" i="10"/>
  <c r="DT292" i="10" s="1"/>
  <c r="DS19" i="10"/>
  <c r="DT19" i="10" s="1"/>
  <c r="DS227" i="10"/>
  <c r="DT227" i="10" s="1"/>
  <c r="DS265" i="10"/>
  <c r="DT265" i="10" s="1"/>
  <c r="DS48" i="10"/>
  <c r="DT48" i="10" s="1"/>
  <c r="DJ152" i="10"/>
  <c r="DK152" i="10" s="1"/>
  <c r="DS187" i="10"/>
  <c r="DT187" i="10" s="1"/>
  <c r="DS279" i="10"/>
  <c r="DT279" i="10" s="1"/>
  <c r="DA79" i="10"/>
  <c r="DB79" i="10" s="1"/>
  <c r="DJ114" i="10"/>
  <c r="DK114" i="10" s="1"/>
  <c r="DS314" i="10"/>
  <c r="DT314" i="10" s="1"/>
  <c r="DA85" i="10"/>
  <c r="DB85" i="10" s="1"/>
  <c r="DJ67" i="10"/>
  <c r="DK67" i="10" s="1"/>
  <c r="DA38" i="10"/>
  <c r="DB38" i="10" s="1"/>
  <c r="DJ76" i="10"/>
  <c r="DK76" i="10" s="1"/>
  <c r="DS131" i="10"/>
  <c r="DT131" i="10" s="1"/>
  <c r="DJ118" i="10"/>
  <c r="DK118" i="10" s="1"/>
  <c r="DA80" i="10"/>
  <c r="DB80" i="10" s="1"/>
  <c r="DS70" i="10"/>
  <c r="DT70" i="10" s="1"/>
  <c r="DA23" i="10"/>
  <c r="DB23" i="10" s="1"/>
  <c r="DS124" i="10"/>
  <c r="DT124" i="10" s="1"/>
  <c r="DS169" i="10"/>
  <c r="DT169" i="10" s="1"/>
  <c r="DS240" i="10"/>
  <c r="DT240" i="10" s="1"/>
  <c r="DS37" i="10"/>
  <c r="DT37" i="10" s="1"/>
  <c r="DJ84" i="10"/>
  <c r="DK84" i="10" s="1"/>
  <c r="DJ100" i="10"/>
  <c r="DK100" i="10" s="1"/>
  <c r="DS39" i="10"/>
  <c r="DT39" i="10" s="1"/>
  <c r="DJ134" i="10"/>
  <c r="DK134" i="10" s="1"/>
  <c r="DJ19" i="10"/>
  <c r="DK19" i="10" s="1"/>
  <c r="DS220" i="10"/>
  <c r="DT220" i="10" s="1"/>
  <c r="DJ50" i="10"/>
  <c r="DK50" i="10" s="1"/>
  <c r="DS229" i="10"/>
  <c r="DT229" i="10" s="1"/>
  <c r="DS166" i="10"/>
  <c r="DT166" i="10" s="1"/>
  <c r="DS273" i="10"/>
  <c r="DT273" i="10" s="1"/>
  <c r="CR58" i="10"/>
  <c r="CS58" i="10" s="1"/>
  <c r="DS269" i="10"/>
  <c r="DT269" i="10" s="1"/>
  <c r="DJ103" i="10"/>
  <c r="DK103" i="10" s="1"/>
  <c r="DS84" i="10"/>
  <c r="DT84" i="10" s="1"/>
  <c r="DS268" i="10"/>
  <c r="DT268" i="10" s="1"/>
  <c r="DJ58" i="10"/>
  <c r="DK58" i="10" s="1"/>
  <c r="DJ57" i="10"/>
  <c r="DK57" i="10" s="1"/>
  <c r="CR39" i="10"/>
  <c r="CS39" i="10" s="1"/>
  <c r="CR41" i="10"/>
  <c r="CS41" i="10" s="1"/>
  <c r="DS311" i="10"/>
  <c r="DT311" i="10" s="1"/>
  <c r="DS76" i="10"/>
  <c r="DT76" i="10" s="1"/>
  <c r="DS309" i="10"/>
  <c r="DT309" i="10" s="1"/>
  <c r="DJ62" i="10"/>
  <c r="DK62" i="10" s="1"/>
  <c r="DA70" i="10"/>
  <c r="DB70" i="10" s="1"/>
  <c r="CR63" i="10"/>
  <c r="CS63" i="10" s="1"/>
  <c r="DS216" i="10"/>
  <c r="DT216" i="10" s="1"/>
  <c r="DS152" i="10"/>
  <c r="DT152" i="10" s="1"/>
  <c r="DJ109" i="10"/>
  <c r="DK109" i="10" s="1"/>
  <c r="DS297" i="10"/>
  <c r="DT297" i="10" s="1"/>
  <c r="DA82" i="10"/>
  <c r="DB82" i="10" s="1"/>
  <c r="DJ147" i="10"/>
  <c r="DK147" i="10" s="1"/>
  <c r="DS242" i="10"/>
  <c r="DT242" i="10" s="1"/>
  <c r="DS83" i="10"/>
  <c r="DT83" i="10" s="1"/>
  <c r="DS274" i="10"/>
  <c r="DT274" i="10" s="1"/>
  <c r="DS203" i="10"/>
  <c r="DT203" i="10" s="1"/>
  <c r="DJ60" i="10"/>
  <c r="DK60" i="10" s="1"/>
  <c r="DJ55" i="10"/>
  <c r="DK55" i="10" s="1"/>
  <c r="DS107" i="10"/>
  <c r="DT107" i="10" s="1"/>
  <c r="DS291" i="10"/>
  <c r="DT291" i="10" s="1"/>
  <c r="DS267" i="10"/>
  <c r="DT267" i="10" s="1"/>
  <c r="DA56" i="10"/>
  <c r="DB56" i="10" s="1"/>
  <c r="DJ51" i="10"/>
  <c r="DK51" i="10" s="1"/>
  <c r="DS32" i="10"/>
  <c r="DT32" i="10" s="1"/>
  <c r="DJ49" i="10"/>
  <c r="DK49" i="10" s="1"/>
  <c r="DS129" i="10"/>
  <c r="DT129" i="10" s="1"/>
  <c r="DS233" i="10"/>
  <c r="DT233" i="10" s="1"/>
  <c r="DS239" i="10"/>
  <c r="DT239" i="10" s="1"/>
  <c r="DA75" i="10"/>
  <c r="DB75" i="10" s="1"/>
  <c r="DJ130" i="10"/>
  <c r="DK130" i="10" s="1"/>
  <c r="DS87" i="10"/>
  <c r="DT87" i="10" s="1"/>
  <c r="DS126" i="10"/>
  <c r="DT126" i="10" s="1"/>
  <c r="DJ90" i="10"/>
  <c r="DK90" i="10" s="1"/>
  <c r="DJ156" i="10"/>
  <c r="DK156" i="10" s="1"/>
  <c r="CR29" i="10"/>
  <c r="CS29" i="10" s="1"/>
  <c r="DA62" i="10"/>
  <c r="DB62" i="10" s="1"/>
  <c r="DJ37" i="10"/>
  <c r="DK37" i="10" s="1"/>
  <c r="DA41" i="10"/>
  <c r="DB41" i="10" s="1"/>
  <c r="DJ73" i="10"/>
  <c r="DK73" i="10" s="1"/>
  <c r="DS26" i="10"/>
  <c r="DT26" i="10" s="1"/>
  <c r="DS49" i="10"/>
  <c r="DT49" i="10" s="1"/>
  <c r="DS149" i="10"/>
  <c r="DT149" i="10" s="1"/>
  <c r="DS118" i="10"/>
  <c r="DT118" i="10" s="1"/>
  <c r="CR38" i="10"/>
  <c r="CS38" i="10" s="1"/>
  <c r="DA72" i="10"/>
  <c r="DB72" i="10" s="1"/>
  <c r="DS173" i="10"/>
  <c r="DT173" i="10" s="1"/>
  <c r="DA39" i="10"/>
  <c r="DB39" i="10" s="1"/>
  <c r="DJ26" i="10"/>
  <c r="DK26" i="10" s="1"/>
  <c r="DS202" i="10"/>
  <c r="DT202" i="10" s="1"/>
  <c r="DS301" i="10"/>
  <c r="DT301" i="10" s="1"/>
  <c r="DS188" i="10"/>
  <c r="DT188" i="10" s="1"/>
  <c r="DS147" i="10"/>
  <c r="DT147" i="10" s="1"/>
  <c r="DS262" i="10"/>
  <c r="DT262" i="10" s="1"/>
  <c r="DJ142" i="10"/>
  <c r="DK142" i="10" s="1"/>
  <c r="DA19" i="10"/>
  <c r="DB19" i="10" s="1"/>
  <c r="DJ46" i="10"/>
  <c r="DK46" i="10" s="1"/>
  <c r="DA55" i="10"/>
  <c r="DB55" i="10" s="1"/>
  <c r="CR57" i="10"/>
  <c r="CS57" i="10" s="1"/>
  <c r="DA25" i="10"/>
  <c r="DB25" i="10" s="1"/>
  <c r="DJ87" i="10"/>
  <c r="DK87" i="10" s="1"/>
  <c r="DS248" i="10"/>
  <c r="DT248" i="10" s="1"/>
  <c r="DS106" i="10"/>
  <c r="DT106" i="10" s="1"/>
  <c r="EF52" i="10"/>
  <c r="EI52" i="10"/>
  <c r="EG52" i="10"/>
  <c r="ED52" i="10"/>
  <c r="EH52" i="10"/>
  <c r="EF12" i="10"/>
  <c r="EE52" i="10"/>
  <c r="BZ161" i="10"/>
  <c r="CA161" i="10" s="1"/>
  <c r="BZ141" i="10"/>
  <c r="CA141" i="10" s="1"/>
  <c r="CI120" i="10"/>
  <c r="CJ120" i="10" s="1"/>
  <c r="BQ22" i="10"/>
  <c r="BR22" i="10" s="1"/>
  <c r="CI132" i="10"/>
  <c r="CJ132" i="10" s="1"/>
  <c r="CI140" i="10"/>
  <c r="CJ140" i="10" s="1"/>
  <c r="BZ157" i="10"/>
  <c r="CA157" i="10" s="1"/>
  <c r="BZ133" i="10"/>
  <c r="CA133" i="10" s="1"/>
  <c r="BH40" i="10"/>
  <c r="BI40" i="10" s="1"/>
  <c r="BQ40" i="10"/>
  <c r="BR40" i="10" s="1"/>
  <c r="CI193" i="10"/>
  <c r="CJ193" i="10" s="1"/>
  <c r="CI102" i="10"/>
  <c r="CJ102" i="10" s="1"/>
  <c r="CI310" i="10"/>
  <c r="CJ310" i="10" s="1"/>
  <c r="BZ127" i="10"/>
  <c r="CA127" i="10" s="1"/>
  <c r="BZ55" i="10"/>
  <c r="CA55" i="10" s="1"/>
  <c r="CI230" i="10"/>
  <c r="CJ230" i="10" s="1"/>
  <c r="BQ42" i="10"/>
  <c r="BR42" i="10" s="1"/>
  <c r="CI63" i="10"/>
  <c r="CJ63" i="10" s="1"/>
  <c r="CI101" i="10"/>
  <c r="CJ101" i="10" s="1"/>
  <c r="CI165" i="10"/>
  <c r="CJ165" i="10" s="1"/>
  <c r="BZ65" i="10"/>
  <c r="CA65" i="10" s="1"/>
  <c r="BQ81" i="10"/>
  <c r="BR81" i="10" s="1"/>
  <c r="BZ62" i="10"/>
  <c r="CA62" i="10" s="1"/>
  <c r="BQ90" i="10"/>
  <c r="BR90" i="10" s="1"/>
  <c r="BQ64" i="10"/>
  <c r="BR64" i="10" s="1"/>
  <c r="CI227" i="10"/>
  <c r="CJ227" i="10" s="1"/>
  <c r="BZ21" i="10"/>
  <c r="CA21" i="10" s="1"/>
  <c r="CI84" i="10"/>
  <c r="CJ84" i="10" s="1"/>
  <c r="CI157" i="10"/>
  <c r="CJ157" i="10" s="1"/>
  <c r="CI97" i="10"/>
  <c r="CJ97" i="10" s="1"/>
  <c r="BZ112" i="10"/>
  <c r="CA112" i="10" s="1"/>
  <c r="BH51" i="10"/>
  <c r="BI51" i="10" s="1"/>
  <c r="CI210" i="10"/>
  <c r="CJ210" i="10" s="1"/>
  <c r="CI289" i="10"/>
  <c r="CJ289" i="10" s="1"/>
  <c r="CI55" i="10"/>
  <c r="CJ55" i="10" s="1"/>
  <c r="BH23" i="10"/>
  <c r="BI23" i="10" s="1"/>
  <c r="BZ155" i="10"/>
  <c r="CA155" i="10" s="1"/>
  <c r="BZ117" i="10"/>
  <c r="CA117" i="10" s="1"/>
  <c r="BZ87" i="10"/>
  <c r="CA87" i="10" s="1"/>
  <c r="BQ77" i="10"/>
  <c r="BR77" i="10" s="1"/>
  <c r="BQ39" i="10"/>
  <c r="BR39" i="10" s="1"/>
  <c r="CI215" i="10"/>
  <c r="CJ215" i="10" s="1"/>
  <c r="CI281" i="10"/>
  <c r="CJ281" i="10" s="1"/>
  <c r="CI194" i="10"/>
  <c r="CJ194" i="10" s="1"/>
  <c r="CI176" i="10"/>
  <c r="CJ176" i="10" s="1"/>
  <c r="CI162" i="10"/>
  <c r="CJ162" i="10" s="1"/>
  <c r="BH22" i="10"/>
  <c r="BI22" i="10" s="1"/>
  <c r="CI249" i="10"/>
  <c r="CJ249" i="10" s="1"/>
  <c r="CI250" i="10"/>
  <c r="CJ250" i="10" s="1"/>
  <c r="CI202" i="10"/>
  <c r="CJ202" i="10" s="1"/>
  <c r="CI42" i="10"/>
  <c r="CJ42" i="10" s="1"/>
  <c r="CI154" i="10"/>
  <c r="CJ154" i="10" s="1"/>
  <c r="BQ71" i="10"/>
  <c r="BR71" i="10" s="1"/>
  <c r="CI146" i="10"/>
  <c r="CJ146" i="10" s="1"/>
  <c r="CI201" i="10"/>
  <c r="CJ201" i="10" s="1"/>
  <c r="BH50" i="10"/>
  <c r="BI50" i="10" s="1"/>
  <c r="BQ29" i="10"/>
  <c r="BR29" i="10" s="1"/>
  <c r="CI291" i="10"/>
  <c r="CJ291" i="10" s="1"/>
  <c r="CI76" i="10"/>
  <c r="CJ76" i="10" s="1"/>
  <c r="CI259" i="10"/>
  <c r="CJ259" i="10" s="1"/>
  <c r="CI159" i="10"/>
  <c r="CJ159" i="10" s="1"/>
  <c r="CI197" i="10"/>
  <c r="CJ197" i="10" s="1"/>
  <c r="CI213" i="10"/>
  <c r="CJ213" i="10" s="1"/>
  <c r="CI126" i="10"/>
  <c r="CJ126" i="10" s="1"/>
  <c r="BQ87" i="10"/>
  <c r="BR87" i="10" s="1"/>
  <c r="CI110" i="10"/>
  <c r="CJ110" i="10" s="1"/>
  <c r="CI277" i="10"/>
  <c r="CJ277" i="10" s="1"/>
  <c r="BZ475" i="10"/>
  <c r="CA475" i="10" s="1"/>
  <c r="CI492" i="10"/>
  <c r="CJ492" i="10" s="1"/>
  <c r="CI404" i="10"/>
  <c r="CJ404" i="10" s="1"/>
  <c r="CI528" i="10"/>
  <c r="CJ528" i="10" s="1"/>
  <c r="CI552" i="10"/>
  <c r="CJ552" i="10" s="1"/>
  <c r="CI365" i="10"/>
  <c r="CJ365" i="10" s="1"/>
  <c r="CI398" i="10"/>
  <c r="CJ398" i="10" s="1"/>
  <c r="CI437" i="10"/>
  <c r="CJ437" i="10" s="1"/>
  <c r="BQ390" i="10"/>
  <c r="BR390" i="10" s="1"/>
  <c r="CI509" i="10"/>
  <c r="CJ509" i="10" s="1"/>
  <c r="BQ363" i="10"/>
  <c r="BR363" i="10" s="1"/>
  <c r="BH351" i="10"/>
  <c r="BI351" i="10" s="1"/>
  <c r="BZ469" i="10"/>
  <c r="CA469" i="10" s="1"/>
  <c r="CI440" i="10"/>
  <c r="CJ440" i="10" s="1"/>
  <c r="BZ465" i="10"/>
  <c r="CA465" i="10" s="1"/>
  <c r="CI520" i="10"/>
  <c r="CJ520" i="10" s="1"/>
  <c r="CI504" i="10"/>
  <c r="CJ504" i="10" s="1"/>
  <c r="BZ356" i="10"/>
  <c r="CA356" i="10" s="1"/>
  <c r="CI477" i="10"/>
  <c r="CJ477" i="10" s="1"/>
  <c r="CI456" i="10"/>
  <c r="CJ456" i="10" s="1"/>
  <c r="BZ336" i="10"/>
  <c r="CA336" i="10" s="1"/>
  <c r="CI413" i="10"/>
  <c r="CJ413" i="10" s="1"/>
  <c r="CI377" i="10"/>
  <c r="CJ377" i="10" s="1"/>
  <c r="BQ360" i="10"/>
  <c r="BR360" i="10" s="1"/>
  <c r="CI513" i="10"/>
  <c r="CJ513" i="10" s="1"/>
  <c r="BZ436" i="10"/>
  <c r="CA436" i="10" s="1"/>
  <c r="BH368" i="10"/>
  <c r="BI368" i="10" s="1"/>
  <c r="CI564" i="10"/>
  <c r="CJ564" i="10" s="1"/>
  <c r="CI525" i="10"/>
  <c r="CJ525" i="10" s="1"/>
  <c r="BZ395" i="10"/>
  <c r="CA395" i="10" s="1"/>
  <c r="CI612" i="10"/>
  <c r="CJ612" i="10" s="1"/>
  <c r="BQ348" i="10"/>
  <c r="BR348" i="10" s="1"/>
  <c r="CI508" i="10"/>
  <c r="CJ508" i="10" s="1"/>
  <c r="BZ428" i="10"/>
  <c r="CA428" i="10" s="1"/>
  <c r="CI620" i="10"/>
  <c r="CJ620" i="10" s="1"/>
  <c r="CI357" i="10"/>
  <c r="CJ357" i="10" s="1"/>
  <c r="CI460" i="10"/>
  <c r="CJ460" i="10" s="1"/>
  <c r="CI387" i="10"/>
  <c r="CJ387" i="10" s="1"/>
  <c r="CI421" i="10"/>
  <c r="CJ421" i="10" s="1"/>
  <c r="CI601" i="10"/>
  <c r="CJ601" i="10" s="1"/>
  <c r="BZ452" i="10"/>
  <c r="CA452" i="10" s="1"/>
  <c r="CI465" i="10"/>
  <c r="CJ465" i="10" s="1"/>
  <c r="CI371" i="10"/>
  <c r="CJ371" i="10" s="1"/>
  <c r="CI616" i="10"/>
  <c r="CJ616" i="10" s="1"/>
  <c r="BZ432" i="10"/>
  <c r="CA432" i="10" s="1"/>
  <c r="BH327" i="10"/>
  <c r="BI327" i="10" s="1"/>
  <c r="BZ473" i="10"/>
  <c r="CA473" i="10" s="1"/>
  <c r="BQ392" i="10"/>
  <c r="BR392" i="10" s="1"/>
  <c r="CI383" i="10"/>
  <c r="CJ383" i="10" s="1"/>
  <c r="BH345" i="10"/>
  <c r="BI345" i="10" s="1"/>
  <c r="CI359" i="10"/>
  <c r="CJ359" i="10" s="1"/>
  <c r="BZ463" i="10"/>
  <c r="CA463" i="10" s="1"/>
  <c r="CI605" i="10"/>
  <c r="CJ605" i="10" s="1"/>
  <c r="BZ410" i="10"/>
  <c r="CA410" i="10" s="1"/>
  <c r="BH349" i="10"/>
  <c r="BI349" i="10" s="1"/>
  <c r="CI613" i="10"/>
  <c r="CJ613" i="10" s="1"/>
  <c r="CI500" i="10"/>
  <c r="CJ500" i="10" s="1"/>
  <c r="BQ402" i="10"/>
  <c r="BR402" i="10" s="1"/>
  <c r="CI568" i="10"/>
  <c r="CJ568" i="10" s="1"/>
  <c r="CI560" i="10"/>
  <c r="CJ560" i="10" s="1"/>
  <c r="CI400" i="10"/>
  <c r="CJ400" i="10" s="1"/>
  <c r="CI458" i="10"/>
  <c r="CJ458" i="10" s="1"/>
  <c r="BZ438" i="10"/>
  <c r="CA438" i="10" s="1"/>
  <c r="CI480" i="10"/>
  <c r="CJ480" i="10" s="1"/>
  <c r="BQ374" i="10"/>
  <c r="BR374" i="10" s="1"/>
  <c r="CI544" i="10"/>
  <c r="CJ544" i="10" s="1"/>
  <c r="CI608" i="10"/>
  <c r="CJ608" i="10" s="1"/>
  <c r="CI512" i="10"/>
  <c r="CJ512" i="10" s="1"/>
  <c r="BH353" i="10"/>
  <c r="BI353" i="10" s="1"/>
  <c r="BZ372" i="10"/>
  <c r="CA372" i="10" s="1"/>
  <c r="CI540" i="10"/>
  <c r="CJ540" i="10" s="1"/>
  <c r="CI401" i="10"/>
  <c r="CJ401" i="10" s="1"/>
  <c r="CI493" i="10"/>
  <c r="CJ493" i="10" s="1"/>
  <c r="BZ448" i="10"/>
  <c r="CA448" i="10" s="1"/>
  <c r="CI336" i="10"/>
  <c r="CJ336" i="10" s="1"/>
  <c r="BZ467" i="10"/>
  <c r="CA467" i="10" s="1"/>
  <c r="CI453" i="10"/>
  <c r="CJ453" i="10" s="1"/>
  <c r="BZ345" i="10"/>
  <c r="CA345" i="10" s="1"/>
  <c r="BZ369" i="10"/>
  <c r="CA369" i="10" s="1"/>
  <c r="BZ377" i="10"/>
  <c r="CA377" i="10" s="1"/>
  <c r="BQ366" i="10"/>
  <c r="BR366" i="10" s="1"/>
  <c r="BZ373" i="10"/>
  <c r="CA373" i="10" s="1"/>
  <c r="BZ391" i="10"/>
  <c r="CA391" i="10" s="1"/>
  <c r="CI344" i="10"/>
  <c r="CJ344" i="10" s="1"/>
  <c r="BZ402" i="10"/>
  <c r="CA402" i="10" s="1"/>
  <c r="BH332" i="10"/>
  <c r="BI332" i="10" s="1"/>
  <c r="BQ347" i="10"/>
  <c r="BR347" i="10" s="1"/>
  <c r="BZ412" i="10"/>
  <c r="CA412" i="10" s="1"/>
  <c r="CI363" i="10"/>
  <c r="CJ363" i="10" s="1"/>
  <c r="CI392" i="10"/>
  <c r="CJ392" i="10" s="1"/>
  <c r="BH352" i="10"/>
  <c r="BI352" i="10" s="1"/>
  <c r="CI444" i="10"/>
  <c r="CJ444" i="10" s="1"/>
  <c r="BZ357" i="10"/>
  <c r="CA357" i="10" s="1"/>
  <c r="BZ362" i="10"/>
  <c r="CA362" i="10" s="1"/>
  <c r="BZ382" i="10"/>
  <c r="CA382" i="10" s="1"/>
  <c r="BQ398" i="10"/>
  <c r="BR398" i="10" s="1"/>
  <c r="BZ330" i="10"/>
  <c r="CA330" i="10" s="1"/>
  <c r="BZ343" i="10"/>
  <c r="CA343" i="10" s="1"/>
  <c r="BZ405" i="10"/>
  <c r="CA405" i="10" s="1"/>
  <c r="BQ344" i="10"/>
  <c r="BR344" i="10" s="1"/>
  <c r="CI353" i="10"/>
  <c r="CJ353" i="10" s="1"/>
  <c r="CI556" i="10"/>
  <c r="CJ556" i="10" s="1"/>
  <c r="CI496" i="10"/>
  <c r="CJ496" i="10" s="1"/>
  <c r="BH354" i="10"/>
  <c r="BI354" i="10" s="1"/>
  <c r="CI428" i="10"/>
  <c r="CJ428" i="10" s="1"/>
  <c r="CI467" i="10"/>
  <c r="CJ467" i="10" s="1"/>
  <c r="BH363" i="10"/>
  <c r="BI363" i="10" s="1"/>
  <c r="CI592" i="10"/>
  <c r="CJ592" i="10" s="1"/>
  <c r="CI617" i="10"/>
  <c r="CJ617" i="10" s="1"/>
  <c r="BH344" i="10"/>
  <c r="BI344" i="10" s="1"/>
  <c r="CI364" i="10"/>
  <c r="CJ364" i="10" s="1"/>
  <c r="CI425" i="10"/>
  <c r="CJ425" i="10" s="1"/>
  <c r="CI457" i="10"/>
  <c r="CJ457" i="10" s="1"/>
  <c r="CI621" i="10"/>
  <c r="CJ621" i="10" s="1"/>
  <c r="CI548" i="10"/>
  <c r="CJ548" i="10" s="1"/>
  <c r="BQ329" i="10"/>
  <c r="BR329" i="10" s="1"/>
  <c r="CI541" i="10"/>
  <c r="CJ541" i="10" s="1"/>
  <c r="CI516" i="10"/>
  <c r="CJ516" i="10" s="1"/>
  <c r="BZ344" i="10"/>
  <c r="CA344" i="10" s="1"/>
  <c r="BZ349" i="10"/>
  <c r="CA349" i="10" s="1"/>
  <c r="BQ376" i="10"/>
  <c r="BR376" i="10" s="1"/>
  <c r="BZ334" i="10"/>
  <c r="CA334" i="10" s="1"/>
  <c r="BZ471" i="10"/>
  <c r="CA471" i="10" s="1"/>
  <c r="CI600" i="10"/>
  <c r="CJ600" i="10" s="1"/>
  <c r="CI624" i="10"/>
  <c r="CJ624" i="10" s="1"/>
  <c r="CI352" i="10"/>
  <c r="CJ352" i="10" s="1"/>
  <c r="BQ370" i="10"/>
  <c r="BR370" i="10" s="1"/>
  <c r="BH328" i="10"/>
  <c r="BI328" i="10" s="1"/>
  <c r="CI473" i="10"/>
  <c r="CJ473" i="10" s="1"/>
  <c r="BZ338" i="10"/>
  <c r="CA338" i="10" s="1"/>
  <c r="CI424" i="10"/>
  <c r="CJ424" i="10" s="1"/>
  <c r="CI339" i="10"/>
  <c r="CJ339" i="10" s="1"/>
  <c r="BZ342" i="10"/>
  <c r="CA342" i="10" s="1"/>
  <c r="BQ368" i="10"/>
  <c r="BR368" i="10" s="1"/>
  <c r="BZ444" i="10"/>
  <c r="CA444" i="10" s="1"/>
  <c r="BZ376" i="10"/>
  <c r="CA376" i="10" s="1"/>
  <c r="CI475" i="10"/>
  <c r="CJ475" i="10" s="1"/>
  <c r="BQ397" i="10"/>
  <c r="BR397" i="10" s="1"/>
  <c r="CI561" i="10"/>
  <c r="CJ561" i="10" s="1"/>
  <c r="CI412" i="10"/>
  <c r="CJ412" i="10" s="1"/>
  <c r="BQ340" i="10"/>
  <c r="BR340" i="10" s="1"/>
  <c r="CI581" i="10"/>
  <c r="CJ581" i="10" s="1"/>
  <c r="BZ454" i="10"/>
  <c r="CA454" i="10" s="1"/>
  <c r="CI346" i="10"/>
  <c r="CJ346" i="10" s="1"/>
  <c r="BH330" i="10"/>
  <c r="BI330" i="10" s="1"/>
  <c r="BZ460" i="10"/>
  <c r="CA460" i="10" s="1"/>
  <c r="BZ398" i="10"/>
  <c r="CA398" i="10" s="1"/>
  <c r="CI573" i="10"/>
  <c r="CJ573" i="10" s="1"/>
  <c r="BZ400" i="10"/>
  <c r="CA400" i="10" s="1"/>
  <c r="BZ431" i="10"/>
  <c r="CA431" i="10" s="1"/>
  <c r="BZ397" i="10"/>
  <c r="CA397" i="10" s="1"/>
  <c r="BZ423" i="10"/>
  <c r="CA423" i="10" s="1"/>
  <c r="BZ441" i="10"/>
  <c r="CA441" i="10" s="1"/>
  <c r="BZ403" i="10"/>
  <c r="CA403" i="10" s="1"/>
  <c r="BH336" i="10"/>
  <c r="BI336" i="10" s="1"/>
  <c r="CI434" i="10"/>
  <c r="CJ434" i="10" s="1"/>
  <c r="BZ404" i="10"/>
  <c r="CA404" i="10" s="1"/>
  <c r="CI329" i="10"/>
  <c r="CJ329" i="10" s="1"/>
  <c r="BZ348" i="10"/>
  <c r="CA348" i="10" s="1"/>
  <c r="CI598" i="10"/>
  <c r="CJ598" i="10" s="1"/>
  <c r="CI397" i="10"/>
  <c r="CJ397" i="10" s="1"/>
  <c r="BH371" i="10"/>
  <c r="BI371" i="10" s="1"/>
  <c r="CI593" i="10"/>
  <c r="CJ593" i="10" s="1"/>
  <c r="CI367" i="10"/>
  <c r="CJ367" i="10" s="1"/>
  <c r="BZ360" i="10"/>
  <c r="CA360" i="10" s="1"/>
  <c r="CI373" i="10"/>
  <c r="CJ373" i="10" s="1"/>
  <c r="BZ387" i="10"/>
  <c r="CA387" i="10" s="1"/>
  <c r="BQ396" i="10"/>
  <c r="BR396" i="10" s="1"/>
  <c r="BZ380" i="10"/>
  <c r="CA380" i="10" s="1"/>
  <c r="CI588" i="10"/>
  <c r="CJ588" i="10" s="1"/>
  <c r="BQ353" i="10"/>
  <c r="BR353" i="10" s="1"/>
  <c r="BH365" i="10"/>
  <c r="BI365" i="10" s="1"/>
  <c r="BZ434" i="10"/>
  <c r="CA434" i="10" s="1"/>
  <c r="BQ401" i="10"/>
  <c r="BR401" i="10" s="1"/>
  <c r="CI429" i="10"/>
  <c r="CJ429" i="10" s="1"/>
  <c r="CI625" i="10"/>
  <c r="CJ625" i="10" s="1"/>
  <c r="CI408" i="10"/>
  <c r="CJ408" i="10" s="1"/>
  <c r="CI331" i="10"/>
  <c r="CJ331" i="10" s="1"/>
  <c r="CI385" i="10"/>
  <c r="CJ385" i="10" s="1"/>
  <c r="BH340" i="10"/>
  <c r="BI340" i="10" s="1"/>
  <c r="BZ332" i="10"/>
  <c r="CA332" i="10" s="1"/>
  <c r="CI609" i="10"/>
  <c r="CJ609" i="10" s="1"/>
  <c r="CI340" i="10"/>
  <c r="CJ340" i="10" s="1"/>
  <c r="BZ411" i="10"/>
  <c r="CA411" i="10" s="1"/>
  <c r="CI433" i="10"/>
  <c r="CJ433" i="10" s="1"/>
  <c r="BH339" i="10"/>
  <c r="BI339" i="10" s="1"/>
  <c r="BQ381" i="10"/>
  <c r="BR381" i="10" s="1"/>
  <c r="CI407" i="10"/>
  <c r="CJ407" i="10" s="1"/>
  <c r="CI452" i="10"/>
  <c r="CJ452" i="10" s="1"/>
  <c r="BZ371" i="10"/>
  <c r="CA371" i="10" s="1"/>
  <c r="CI375" i="10"/>
  <c r="CJ375" i="10" s="1"/>
  <c r="CI432" i="10"/>
  <c r="CJ432" i="10" s="1"/>
  <c r="BZ426" i="10"/>
  <c r="CA426" i="10" s="1"/>
  <c r="CI533" i="10"/>
  <c r="CJ533" i="10" s="1"/>
  <c r="BQ394" i="10"/>
  <c r="BR394" i="10" s="1"/>
  <c r="BQ337" i="10"/>
  <c r="BR337" i="10" s="1"/>
  <c r="BQ331" i="10"/>
  <c r="BR331" i="10" s="1"/>
  <c r="BZ358" i="10"/>
  <c r="CA358" i="10" s="1"/>
  <c r="CI577" i="10"/>
  <c r="CJ577" i="10" s="1"/>
  <c r="BZ418" i="10"/>
  <c r="CA418" i="10" s="1"/>
  <c r="CI368" i="10"/>
  <c r="CJ368" i="10" s="1"/>
  <c r="BZ414" i="10"/>
  <c r="CA414" i="10" s="1"/>
  <c r="CI449" i="10"/>
  <c r="CJ449" i="10" s="1"/>
  <c r="BQ362" i="10"/>
  <c r="BR362" i="10" s="1"/>
  <c r="CI557" i="10"/>
  <c r="CJ557" i="10" s="1"/>
  <c r="CI488" i="10"/>
  <c r="CJ488" i="10" s="1"/>
  <c r="CI469" i="10"/>
  <c r="CJ469" i="10" s="1"/>
  <c r="BQ351" i="10"/>
  <c r="BR351" i="10" s="1"/>
  <c r="BZ416" i="10"/>
  <c r="CA416" i="10" s="1"/>
  <c r="BZ350" i="10"/>
  <c r="CA350" i="10" s="1"/>
  <c r="CI589" i="10"/>
  <c r="CJ589" i="10" s="1"/>
  <c r="BZ406" i="10"/>
  <c r="CA406" i="10" s="1"/>
  <c r="CI436" i="10"/>
  <c r="CJ436" i="10" s="1"/>
  <c r="CI604" i="10"/>
  <c r="CJ604" i="10" s="1"/>
  <c r="CI441" i="10"/>
  <c r="CJ441" i="10" s="1"/>
  <c r="BZ393" i="10"/>
  <c r="CA393" i="10" s="1"/>
  <c r="CI524" i="10"/>
  <c r="CJ524" i="10" s="1"/>
  <c r="BQ371" i="10"/>
  <c r="BR371" i="10" s="1"/>
  <c r="BQ335" i="10"/>
  <c r="BR335" i="10" s="1"/>
  <c r="CI390" i="10"/>
  <c r="CJ390" i="10" s="1"/>
  <c r="BZ477" i="10"/>
  <c r="CA477" i="10" s="1"/>
  <c r="CI484" i="10"/>
  <c r="CJ484" i="10" s="1"/>
  <c r="BH364" i="10"/>
  <c r="BI364" i="10" s="1"/>
  <c r="BZ379" i="10"/>
  <c r="CA379" i="10" s="1"/>
  <c r="BZ355" i="10"/>
  <c r="CA355" i="10" s="1"/>
  <c r="BZ396" i="10"/>
  <c r="CA396" i="10" s="1"/>
  <c r="CI576" i="10"/>
  <c r="CJ576" i="10" s="1"/>
  <c r="CI580" i="10"/>
  <c r="CJ580" i="10" s="1"/>
  <c r="CI431" i="10"/>
  <c r="CJ431" i="10" s="1"/>
  <c r="BQ358" i="10"/>
  <c r="BR358" i="10" s="1"/>
  <c r="BZ425" i="10"/>
  <c r="CA425" i="10" s="1"/>
  <c r="BZ385" i="10"/>
  <c r="CA385" i="10" s="1"/>
  <c r="CI536" i="10"/>
  <c r="CJ536" i="10" s="1"/>
  <c r="BQ328" i="10"/>
  <c r="BR328" i="10" s="1"/>
  <c r="CI596" i="10"/>
  <c r="CJ596" i="10" s="1"/>
  <c r="BZ374" i="10"/>
  <c r="CA374" i="10" s="1"/>
  <c r="CI545" i="10"/>
  <c r="CJ545" i="10" s="1"/>
  <c r="BQ338" i="10"/>
  <c r="BR338" i="10" s="1"/>
  <c r="BZ361" i="10"/>
  <c r="CA361" i="10" s="1"/>
  <c r="CI572" i="10"/>
  <c r="CJ572" i="10" s="1"/>
  <c r="CI501" i="10"/>
  <c r="CJ501" i="10" s="1"/>
  <c r="BZ354" i="10"/>
  <c r="CA354" i="10" s="1"/>
  <c r="BZ353" i="10"/>
  <c r="CA353" i="10" s="1"/>
  <c r="CI417" i="10"/>
  <c r="CJ417" i="10" s="1"/>
  <c r="CI402" i="10"/>
  <c r="CJ402" i="10" s="1"/>
  <c r="CI615" i="10"/>
  <c r="CJ615" i="10" s="1"/>
  <c r="CI399" i="10"/>
  <c r="CJ399" i="10" s="1"/>
  <c r="CI389" i="10"/>
  <c r="CJ389" i="10" s="1"/>
  <c r="BQ373" i="10"/>
  <c r="BR373" i="10" s="1"/>
  <c r="CI445" i="10"/>
  <c r="CJ445" i="10" s="1"/>
  <c r="CI597" i="10"/>
  <c r="CJ597" i="10" s="1"/>
  <c r="CI420" i="10"/>
  <c r="CJ420" i="10" s="1"/>
  <c r="BQ333" i="10"/>
  <c r="BR333" i="10" s="1"/>
  <c r="CI450" i="10"/>
  <c r="CJ450" i="10" s="1"/>
  <c r="CI599" i="10"/>
  <c r="CJ599" i="10" s="1"/>
  <c r="BQ375" i="10"/>
  <c r="BR375" i="10" s="1"/>
  <c r="BH356" i="10"/>
  <c r="BI356" i="10" s="1"/>
  <c r="BQ355" i="10"/>
  <c r="BR355" i="10" s="1"/>
  <c r="BZ339" i="10"/>
  <c r="CA339" i="10" s="1"/>
  <c r="BZ408" i="10"/>
  <c r="CA408" i="10" s="1"/>
  <c r="CI382" i="10"/>
  <c r="CJ382" i="10" s="1"/>
  <c r="BH329" i="10"/>
  <c r="BI329" i="10" s="1"/>
  <c r="BZ335" i="10"/>
  <c r="CA335" i="10" s="1"/>
  <c r="BQ387" i="10"/>
  <c r="BR387" i="10" s="1"/>
  <c r="BH333" i="10"/>
  <c r="BI333" i="10" s="1"/>
  <c r="CI333" i="10"/>
  <c r="CJ333" i="10" s="1"/>
  <c r="BZ333" i="10"/>
  <c r="CA333" i="10" s="1"/>
  <c r="BQ391" i="10"/>
  <c r="BR391" i="10" s="1"/>
  <c r="CI586" i="10"/>
  <c r="CJ586" i="10" s="1"/>
  <c r="CI584" i="10"/>
  <c r="CJ584" i="10" s="1"/>
  <c r="CI532" i="10"/>
  <c r="CJ532" i="10" s="1"/>
  <c r="BQ336" i="10"/>
  <c r="BR336" i="10" s="1"/>
  <c r="BZ455" i="10"/>
  <c r="CA455" i="10" s="1"/>
  <c r="CI384" i="10"/>
  <c r="CJ384" i="10" s="1"/>
  <c r="BZ16" i="10"/>
  <c r="CA16" i="10" s="1"/>
  <c r="CI104" i="10"/>
  <c r="CJ104" i="10" s="1"/>
  <c r="CI26" i="10"/>
  <c r="CJ26" i="10" s="1"/>
  <c r="BZ27" i="10"/>
  <c r="CA27" i="10" s="1"/>
  <c r="CI28" i="10"/>
  <c r="CJ28" i="10" s="1"/>
  <c r="BZ101" i="10"/>
  <c r="CA101" i="10" s="1"/>
  <c r="BQ37" i="10"/>
  <c r="BR37" i="10" s="1"/>
  <c r="CI17" i="10"/>
  <c r="CJ17" i="10" s="1"/>
  <c r="CI111" i="10"/>
  <c r="CJ111" i="10" s="1"/>
  <c r="CI86" i="10"/>
  <c r="CJ86" i="10" s="1"/>
  <c r="BQ66" i="10"/>
  <c r="BR66" i="10" s="1"/>
  <c r="CI36" i="10"/>
  <c r="CJ36" i="10" s="1"/>
  <c r="BQ79" i="10"/>
  <c r="BR79" i="10" s="1"/>
  <c r="CI106" i="10"/>
  <c r="CJ106" i="10" s="1"/>
  <c r="BQ49" i="10"/>
  <c r="BR49" i="10" s="1"/>
  <c r="CI23" i="10"/>
  <c r="CJ23" i="10" s="1"/>
  <c r="CI25" i="10"/>
  <c r="CJ25" i="10" s="1"/>
  <c r="BZ39" i="10"/>
  <c r="CA39" i="10" s="1"/>
  <c r="BH62" i="10"/>
  <c r="BI62" i="10" s="1"/>
  <c r="BQ73" i="10"/>
  <c r="BR73" i="10" s="1"/>
  <c r="CI73" i="10"/>
  <c r="CJ73" i="10" s="1"/>
  <c r="CI54" i="10"/>
  <c r="CJ54" i="10" s="1"/>
  <c r="CI64" i="10"/>
  <c r="CJ64" i="10" s="1"/>
  <c r="BZ26" i="10"/>
  <c r="CA26" i="10" s="1"/>
  <c r="BZ129" i="10"/>
  <c r="CA129" i="10" s="1"/>
  <c r="BZ99" i="10"/>
  <c r="CA99" i="10" s="1"/>
  <c r="BZ47" i="10"/>
  <c r="CA47" i="10" s="1"/>
  <c r="BZ109" i="10"/>
  <c r="CA109" i="10" s="1"/>
  <c r="BZ78" i="10"/>
  <c r="CA78" i="10" s="1"/>
  <c r="BZ58" i="10"/>
  <c r="CA58" i="10" s="1"/>
  <c r="BQ72" i="10"/>
  <c r="BR72" i="10" s="1"/>
  <c r="BZ119" i="10"/>
  <c r="CA119" i="10" s="1"/>
  <c r="BH61" i="10"/>
  <c r="BI61" i="10" s="1"/>
  <c r="BZ43" i="10"/>
  <c r="CA43" i="10" s="1"/>
  <c r="BQ70" i="10"/>
  <c r="BR70" i="10" s="1"/>
  <c r="BZ100" i="10"/>
  <c r="CA100" i="10" s="1"/>
  <c r="BZ72" i="10"/>
  <c r="CA72" i="10" s="1"/>
  <c r="BZ52" i="10"/>
  <c r="CA52" i="10" s="1"/>
  <c r="BZ42" i="10"/>
  <c r="CA42" i="10" s="1"/>
  <c r="CI118" i="10"/>
  <c r="CJ118" i="10" s="1"/>
  <c r="BZ35" i="10"/>
  <c r="CA35" i="10" s="1"/>
  <c r="CI65" i="10"/>
  <c r="CJ65" i="10" s="1"/>
  <c r="BZ18" i="10"/>
  <c r="CA18" i="10" s="1"/>
  <c r="CI79" i="10"/>
  <c r="CJ79" i="10" s="1"/>
  <c r="CI47" i="10"/>
  <c r="CJ47" i="10" s="1"/>
  <c r="BZ84" i="10"/>
  <c r="CA84" i="10" s="1"/>
  <c r="BZ124" i="10"/>
  <c r="CA124" i="10" s="1"/>
  <c r="BQ80" i="10"/>
  <c r="BR80" i="10" s="1"/>
  <c r="CI49" i="10"/>
  <c r="CJ49" i="10" s="1"/>
  <c r="BH39" i="10"/>
  <c r="BI39" i="10" s="1"/>
  <c r="CI117" i="10"/>
  <c r="CJ117" i="10" s="1"/>
  <c r="CI105" i="10"/>
  <c r="CJ105" i="10" s="1"/>
  <c r="BQ27" i="10"/>
  <c r="BR27" i="10" s="1"/>
  <c r="CI94" i="10"/>
  <c r="CJ94" i="10" s="1"/>
  <c r="CI83" i="10"/>
  <c r="CJ83" i="10" s="1"/>
  <c r="CI75" i="10"/>
  <c r="CJ75" i="10" s="1"/>
  <c r="CI85" i="10"/>
  <c r="CJ85" i="10" s="1"/>
  <c r="BQ30" i="10"/>
  <c r="BR30" i="10" s="1"/>
  <c r="BZ32" i="10"/>
  <c r="CA32" i="10" s="1"/>
  <c r="BZ83" i="10"/>
  <c r="CA83" i="10" s="1"/>
  <c r="BQ28" i="10"/>
  <c r="BR28" i="10" s="1"/>
  <c r="CI16" i="10"/>
  <c r="CJ16" i="10" s="1"/>
  <c r="BQ41" i="10"/>
  <c r="BR41" i="10" s="1"/>
  <c r="CI40" i="10"/>
  <c r="CJ40" i="10" s="1"/>
  <c r="BQ18" i="10"/>
  <c r="BR18" i="10" s="1"/>
  <c r="BZ23" i="10"/>
  <c r="CA23" i="10" s="1"/>
  <c r="BH45" i="10"/>
  <c r="BI45" i="10" s="1"/>
  <c r="BZ98" i="10"/>
  <c r="CA98" i="10" s="1"/>
  <c r="BZ51" i="10"/>
  <c r="CA51" i="10" s="1"/>
  <c r="CI115" i="10"/>
  <c r="CJ115" i="10" s="1"/>
  <c r="CI35" i="10"/>
  <c r="CJ35" i="10" s="1"/>
  <c r="CI87" i="10"/>
  <c r="CJ87" i="10" s="1"/>
  <c r="BH56" i="10"/>
  <c r="BI56" i="10" s="1"/>
  <c r="BZ125" i="10"/>
  <c r="CA125" i="10" s="1"/>
  <c r="BZ164" i="10"/>
  <c r="CA164" i="10" s="1"/>
  <c r="BZ95" i="10"/>
  <c r="CA95" i="10" s="1"/>
  <c r="BZ46" i="10"/>
  <c r="CA46" i="10" s="1"/>
  <c r="BZ30" i="10"/>
  <c r="CA30" i="10" s="1"/>
  <c r="BH47" i="10"/>
  <c r="BI47" i="10" s="1"/>
  <c r="CI56" i="10"/>
  <c r="CJ56" i="10" s="1"/>
  <c r="BQ62" i="10"/>
  <c r="BR62" i="10" s="1"/>
  <c r="CI252" i="10"/>
  <c r="CJ252" i="10" s="1"/>
  <c r="CI90" i="10"/>
  <c r="CJ90" i="10" s="1"/>
  <c r="BH31" i="10"/>
  <c r="BI31" i="10" s="1"/>
  <c r="CI70" i="10"/>
  <c r="CJ70" i="10" s="1"/>
  <c r="BZ38" i="10"/>
  <c r="CA38" i="10" s="1"/>
  <c r="CI92" i="10"/>
  <c r="CJ92" i="10" s="1"/>
  <c r="BQ57" i="10"/>
  <c r="BR57" i="10" s="1"/>
  <c r="BZ92" i="10"/>
  <c r="CA92" i="10" s="1"/>
  <c r="BZ49" i="10"/>
  <c r="CA49" i="10" s="1"/>
  <c r="BH25" i="10"/>
  <c r="BI25" i="10" s="1"/>
  <c r="CI95" i="10"/>
  <c r="CJ95" i="10" s="1"/>
  <c r="CI22" i="10"/>
  <c r="CJ22" i="10" s="1"/>
  <c r="CI238" i="10"/>
  <c r="CJ238" i="10" s="1"/>
  <c r="CI141" i="10"/>
  <c r="CJ141" i="10" s="1"/>
  <c r="CI296" i="10"/>
  <c r="CJ296" i="10" s="1"/>
  <c r="BZ136" i="10"/>
  <c r="CA136" i="10" s="1"/>
  <c r="BZ111" i="10"/>
  <c r="CA111" i="10" s="1"/>
  <c r="BH54" i="10"/>
  <c r="BI54" i="10" s="1"/>
  <c r="BH35" i="10"/>
  <c r="BI35" i="10" s="1"/>
  <c r="BZ85" i="10"/>
  <c r="CA85" i="10" s="1"/>
  <c r="CI27" i="10"/>
  <c r="CJ27" i="10" s="1"/>
  <c r="CI152" i="10"/>
  <c r="CJ152" i="10" s="1"/>
  <c r="BQ23" i="10"/>
  <c r="BR23" i="10" s="1"/>
  <c r="BQ89" i="10"/>
  <c r="BR89" i="10" s="1"/>
  <c r="BZ77" i="10"/>
  <c r="CA77" i="10" s="1"/>
  <c r="BQ47" i="10"/>
  <c r="BR47" i="10" s="1"/>
  <c r="BH26" i="10"/>
  <c r="BI26" i="10" s="1"/>
  <c r="CI278" i="10"/>
  <c r="CJ278" i="10" s="1"/>
  <c r="BQ65" i="10"/>
  <c r="BR65" i="10" s="1"/>
  <c r="CI204" i="10"/>
  <c r="CJ204" i="10" s="1"/>
  <c r="BZ81" i="10"/>
  <c r="CA81" i="10" s="1"/>
  <c r="BQ58" i="10"/>
  <c r="BR58" i="10" s="1"/>
  <c r="BZ28" i="10"/>
  <c r="CA28" i="10" s="1"/>
  <c r="BH43" i="10"/>
  <c r="BI43" i="10" s="1"/>
  <c r="CI80" i="10"/>
  <c r="CJ80" i="10" s="1"/>
  <c r="CI175" i="10"/>
  <c r="CJ175" i="10" s="1"/>
  <c r="BZ29" i="10"/>
  <c r="CA29" i="10" s="1"/>
  <c r="BZ126" i="10"/>
  <c r="CA126" i="10" s="1"/>
  <c r="BZ96" i="10"/>
  <c r="CA96" i="10" s="1"/>
  <c r="BZ70" i="10"/>
  <c r="CA70" i="10" s="1"/>
  <c r="BZ50" i="10"/>
  <c r="CA50" i="10" s="1"/>
  <c r="CI30" i="10"/>
  <c r="CJ30" i="10" s="1"/>
  <c r="CI21" i="10"/>
  <c r="CJ21" i="10" s="1"/>
  <c r="BH58" i="10"/>
  <c r="BI58" i="10" s="1"/>
  <c r="BZ34" i="10"/>
  <c r="CA34" i="10" s="1"/>
  <c r="CI41" i="10"/>
  <c r="CJ41" i="10" s="1"/>
  <c r="BZ61" i="10"/>
  <c r="CA61" i="10" s="1"/>
  <c r="BQ44" i="10"/>
  <c r="BR44" i="10" s="1"/>
  <c r="CI107" i="10"/>
  <c r="CJ107" i="10" s="1"/>
  <c r="CI112" i="10"/>
  <c r="CJ112" i="10" s="1"/>
  <c r="CI39" i="10"/>
  <c r="CJ39" i="10" s="1"/>
  <c r="BQ67" i="10"/>
  <c r="BR67" i="10" s="1"/>
  <c r="BZ59" i="10"/>
  <c r="CA59" i="10" s="1"/>
  <c r="BZ36" i="10"/>
  <c r="CA36" i="10" s="1"/>
  <c r="BZ73" i="10"/>
  <c r="CA73" i="10" s="1"/>
  <c r="BH44" i="10"/>
  <c r="BI44" i="10" s="1"/>
  <c r="BQ55" i="10"/>
  <c r="BR55" i="10" s="1"/>
  <c r="CI51" i="10"/>
  <c r="CJ51" i="10" s="1"/>
  <c r="CI128" i="10"/>
  <c r="CJ128" i="10" s="1"/>
  <c r="BZ22" i="10"/>
  <c r="CA22" i="10" s="1"/>
  <c r="CI72" i="10"/>
  <c r="CJ72" i="10" s="1"/>
  <c r="BZ121" i="10"/>
  <c r="CA121" i="10" s="1"/>
  <c r="BZ66" i="10"/>
  <c r="CA66" i="10" s="1"/>
  <c r="BH66" i="10"/>
  <c r="BI66" i="10" s="1"/>
  <c r="BQ74" i="10"/>
  <c r="BR74" i="10" s="1"/>
  <c r="BZ80" i="10"/>
  <c r="CA80" i="10" s="1"/>
  <c r="BH60" i="10"/>
  <c r="BI60" i="10" s="1"/>
  <c r="BH32" i="10"/>
  <c r="BI32" i="10" s="1"/>
  <c r="CI114" i="10"/>
  <c r="CJ114" i="10" s="1"/>
  <c r="BH16" i="10"/>
  <c r="BI16" i="10" s="1"/>
  <c r="CI66" i="10"/>
  <c r="CJ66" i="10" s="1"/>
  <c r="BZ25" i="10"/>
  <c r="CA25" i="10" s="1"/>
  <c r="CI113" i="10"/>
  <c r="CJ113" i="10" s="1"/>
  <c r="CI121" i="10"/>
  <c r="CJ121" i="10" s="1"/>
  <c r="CI78" i="10"/>
  <c r="CJ78" i="10" s="1"/>
  <c r="CI103" i="10"/>
  <c r="CJ103" i="10" s="1"/>
  <c r="BZ128" i="10"/>
  <c r="CA128" i="10" s="1"/>
  <c r="BH63" i="10"/>
  <c r="BI63" i="10" s="1"/>
  <c r="BZ37" i="10"/>
  <c r="CA37" i="10" s="1"/>
  <c r="BZ76" i="10"/>
  <c r="CA76" i="10" s="1"/>
  <c r="BQ32" i="10"/>
  <c r="BR32" i="10" s="1"/>
  <c r="BZ159" i="10"/>
  <c r="CA159" i="10" s="1"/>
  <c r="BZ44" i="10"/>
  <c r="CA44" i="10" s="1"/>
  <c r="BZ74" i="10"/>
  <c r="CA74" i="10" s="1"/>
  <c r="BQ45" i="10"/>
  <c r="BR45" i="10" s="1"/>
  <c r="CI258" i="10"/>
  <c r="CJ258" i="10" s="1"/>
  <c r="BZ132" i="10"/>
  <c r="CA132" i="10" s="1"/>
  <c r="BQ24" i="10"/>
  <c r="BR24" i="10" s="1"/>
  <c r="CI260" i="10"/>
  <c r="CJ260" i="10" s="1"/>
  <c r="BH46" i="10"/>
  <c r="BI46" i="10" s="1"/>
  <c r="CI262" i="10"/>
  <c r="CJ262" i="10" s="1"/>
  <c r="BZ68" i="10"/>
  <c r="CA68" i="10" s="1"/>
  <c r="CI20" i="10"/>
  <c r="CJ20" i="10" s="1"/>
  <c r="CI172" i="10"/>
  <c r="CJ172" i="10" s="1"/>
  <c r="BQ46" i="10"/>
  <c r="BR46" i="10" s="1"/>
  <c r="CI45" i="10"/>
  <c r="CJ45" i="10" s="1"/>
  <c r="CI150" i="10"/>
  <c r="CJ150" i="10" s="1"/>
  <c r="BZ165" i="10"/>
  <c r="CA165" i="10" s="1"/>
  <c r="BZ146" i="10"/>
  <c r="CA146" i="10" s="1"/>
  <c r="BZ67" i="10"/>
  <c r="CA67" i="10" s="1"/>
  <c r="BZ40" i="10"/>
  <c r="CA40" i="10" s="1"/>
  <c r="BZ120" i="10"/>
  <c r="CA120" i="10" s="1"/>
  <c r="BH65" i="10"/>
  <c r="BI65" i="10" s="1"/>
  <c r="BH36" i="10"/>
  <c r="BI36" i="10" s="1"/>
  <c r="CI145" i="10"/>
  <c r="CJ145" i="10" s="1"/>
  <c r="CI268" i="10"/>
  <c r="CJ268" i="10" s="1"/>
  <c r="CI206" i="10"/>
  <c r="CJ206" i="10" s="1"/>
  <c r="BZ17" i="10"/>
  <c r="CA17" i="10" s="1"/>
  <c r="BH33" i="10"/>
  <c r="BI33" i="10" s="1"/>
  <c r="BQ61" i="10"/>
  <c r="BR61" i="10" s="1"/>
  <c r="CI222" i="10"/>
  <c r="CJ222" i="10" s="1"/>
  <c r="CI24" i="10"/>
  <c r="CJ24" i="10" s="1"/>
  <c r="BQ52" i="10"/>
  <c r="BR52" i="10" s="1"/>
  <c r="BZ45" i="10"/>
  <c r="CA45" i="10" s="1"/>
  <c r="BQ35" i="10"/>
  <c r="BR35" i="10" s="1"/>
  <c r="CI254" i="10"/>
  <c r="CJ254" i="10" s="1"/>
  <c r="CI67" i="10"/>
  <c r="CJ67" i="10" s="1"/>
  <c r="BZ103" i="10"/>
  <c r="CA103" i="10" s="1"/>
  <c r="BZ107" i="10"/>
  <c r="CA107" i="10" s="1"/>
  <c r="CI69" i="10"/>
  <c r="CJ69" i="10" s="1"/>
  <c r="BZ150" i="10"/>
  <c r="CA150" i="10" s="1"/>
  <c r="BZ60" i="10"/>
  <c r="CA60" i="10" s="1"/>
  <c r="X334" i="10"/>
  <c r="Y334" i="10" s="1"/>
  <c r="X335" i="10"/>
  <c r="Y335" i="10" s="1"/>
  <c r="AY331" i="10"/>
  <c r="AZ331" i="10" s="1"/>
  <c r="AY610" i="10"/>
  <c r="AZ610" i="10" s="1"/>
  <c r="EM53" i="10"/>
  <c r="EK53" i="10"/>
  <c r="AY538" i="10"/>
  <c r="AZ538" i="10" s="1"/>
  <c r="AP434" i="10"/>
  <c r="AQ434" i="10" s="1"/>
  <c r="AY246" i="10"/>
  <c r="AZ246" i="10" s="1"/>
  <c r="EF75" i="10"/>
  <c r="AP57" i="10"/>
  <c r="AQ57" i="10" s="1"/>
  <c r="EB9" i="10"/>
  <c r="EF30" i="10" s="1"/>
  <c r="AY606" i="10"/>
  <c r="AZ606" i="10" s="1"/>
  <c r="AY594" i="10"/>
  <c r="AZ594" i="10" s="1"/>
  <c r="AY428" i="10"/>
  <c r="AZ428" i="10" s="1"/>
  <c r="AP415" i="10"/>
  <c r="AQ415" i="10" s="1"/>
  <c r="AP375" i="10"/>
  <c r="AQ375" i="10" s="1"/>
  <c r="AG79" i="10"/>
  <c r="AH79" i="10" s="1"/>
  <c r="AY407" i="10"/>
  <c r="AZ407" i="10" s="1"/>
  <c r="AY604" i="10"/>
  <c r="AZ604" i="10" s="1"/>
  <c r="AY592" i="10"/>
  <c r="AZ592" i="10" s="1"/>
  <c r="AY588" i="10"/>
  <c r="AZ588" i="10" s="1"/>
  <c r="AY615" i="10"/>
  <c r="AZ615" i="10" s="1"/>
  <c r="AY591" i="10"/>
  <c r="AZ591" i="10" s="1"/>
  <c r="AY583" i="10"/>
  <c r="AZ583" i="10" s="1"/>
  <c r="AY558" i="10"/>
  <c r="AZ558" i="10" s="1"/>
  <c r="AY455" i="10"/>
  <c r="AZ455" i="10" s="1"/>
  <c r="AY447" i="10"/>
  <c r="AZ447" i="10" s="1"/>
  <c r="AY427" i="10"/>
  <c r="AZ427" i="10" s="1"/>
  <c r="AY403" i="10"/>
  <c r="AZ403" i="10" s="1"/>
  <c r="AG391" i="10"/>
  <c r="AH391" i="10" s="1"/>
  <c r="AY499" i="10"/>
  <c r="AZ499" i="10" s="1"/>
  <c r="AY483" i="10"/>
  <c r="AZ483" i="10" s="1"/>
  <c r="AY464" i="10"/>
  <c r="AZ464" i="10" s="1"/>
  <c r="AP423" i="10"/>
  <c r="AQ423" i="10" s="1"/>
  <c r="AP407" i="10"/>
  <c r="AQ407" i="10" s="1"/>
  <c r="AG387" i="10"/>
  <c r="AH387" i="10" s="1"/>
  <c r="AG355" i="10"/>
  <c r="AH355" i="10" s="1"/>
  <c r="AY351" i="10"/>
  <c r="AZ351" i="10" s="1"/>
  <c r="AP350" i="10"/>
  <c r="AQ350" i="10" s="1"/>
  <c r="AY381" i="10"/>
  <c r="AZ381" i="10" s="1"/>
  <c r="AP366" i="10"/>
  <c r="AQ366" i="10" s="1"/>
  <c r="AG363" i="10"/>
  <c r="AH363" i="10" s="1"/>
  <c r="AY350" i="10"/>
  <c r="AZ350" i="10" s="1"/>
  <c r="EJ13" i="10"/>
  <c r="AG357" i="10"/>
  <c r="AH357" i="10" s="1"/>
  <c r="X355" i="10"/>
  <c r="Y355" i="10" s="1"/>
  <c r="AG330" i="10"/>
  <c r="AH330" i="10" s="1"/>
  <c r="AP335" i="10"/>
  <c r="AQ335" i="10" s="1"/>
  <c r="X332" i="10"/>
  <c r="Y332" i="10" s="1"/>
  <c r="AP328" i="10"/>
  <c r="AQ328" i="10" s="1"/>
  <c r="AG332" i="10"/>
  <c r="AH332" i="10" s="1"/>
  <c r="X327" i="10"/>
  <c r="Y327" i="10" s="1"/>
  <c r="EJ17" i="10"/>
  <c r="EH76" i="10" s="1"/>
  <c r="EJ24" i="10"/>
  <c r="EH75" i="10"/>
  <c r="EE75" i="10"/>
  <c r="AY566" i="10"/>
  <c r="AZ566" i="10" s="1"/>
  <c r="AY421" i="10"/>
  <c r="AZ421" i="10" s="1"/>
  <c r="AP383" i="10"/>
  <c r="AQ383" i="10" s="1"/>
  <c r="AY555" i="10"/>
  <c r="AZ555" i="10" s="1"/>
  <c r="ED75" i="10"/>
  <c r="EK75" i="10" s="1"/>
  <c r="EI75" i="10"/>
  <c r="AY599" i="10"/>
  <c r="AZ599" i="10" s="1"/>
  <c r="AY595" i="10"/>
  <c r="AZ595" i="10" s="1"/>
  <c r="AY546" i="10"/>
  <c r="AZ546" i="10" s="1"/>
  <c r="AY510" i="10"/>
  <c r="AZ510" i="10" s="1"/>
  <c r="AY486" i="10"/>
  <c r="AZ486" i="10" s="1"/>
  <c r="AY431" i="10"/>
  <c r="AZ431" i="10" s="1"/>
  <c r="AP378" i="10"/>
  <c r="AQ378" i="10" s="1"/>
  <c r="AY495" i="10"/>
  <c r="AZ495" i="10" s="1"/>
  <c r="AP425" i="10"/>
  <c r="AQ425" i="10" s="1"/>
  <c r="AY347" i="10"/>
  <c r="AZ347" i="10" s="1"/>
  <c r="X359" i="10"/>
  <c r="Y359" i="10" s="1"/>
  <c r="AY354" i="10"/>
  <c r="AZ354" i="10" s="1"/>
  <c r="AP453" i="10"/>
  <c r="AQ453" i="10" s="1"/>
  <c r="AP463" i="10"/>
  <c r="AQ463" i="10" s="1"/>
  <c r="AY402" i="10"/>
  <c r="AZ402" i="10" s="1"/>
  <c r="AP405" i="10"/>
  <c r="AQ405" i="10" s="1"/>
  <c r="AG352" i="10"/>
  <c r="AH352" i="10" s="1"/>
  <c r="AY494" i="10"/>
  <c r="AZ494" i="10" s="1"/>
  <c r="AY388" i="10"/>
  <c r="AZ388" i="10" s="1"/>
  <c r="AY423" i="10"/>
  <c r="AZ423" i="10" s="1"/>
  <c r="AP370" i="10"/>
  <c r="AQ370" i="10" s="1"/>
  <c r="AY380" i="10"/>
  <c r="AZ380" i="10" s="1"/>
  <c r="AY560" i="10"/>
  <c r="AZ560" i="10" s="1"/>
  <c r="AY360" i="10"/>
  <c r="AZ360" i="10" s="1"/>
  <c r="X34" i="10"/>
  <c r="Y34" i="10" s="1"/>
  <c r="AP344" i="10"/>
  <c r="AQ344" i="10" s="1"/>
  <c r="X360" i="10"/>
  <c r="Y360" i="10" s="1"/>
  <c r="AP419" i="10"/>
  <c r="AQ419" i="10" s="1"/>
  <c r="AP417" i="10"/>
  <c r="AQ417" i="10" s="1"/>
  <c r="AP347" i="10"/>
  <c r="AQ347" i="10" s="1"/>
  <c r="AY333" i="10"/>
  <c r="AZ333" i="10" s="1"/>
  <c r="AP358" i="10"/>
  <c r="AQ358" i="10" s="1"/>
  <c r="AG345" i="10"/>
  <c r="AH345" i="10" s="1"/>
  <c r="AY419" i="10"/>
  <c r="AZ419" i="10" s="1"/>
  <c r="AY626" i="10"/>
  <c r="AZ626" i="10" s="1"/>
  <c r="AY618" i="10"/>
  <c r="AZ618" i="10" s="1"/>
  <c r="AY586" i="10"/>
  <c r="AZ586" i="10" s="1"/>
  <c r="AY578" i="10"/>
  <c r="AZ578" i="10" s="1"/>
  <c r="AY613" i="10"/>
  <c r="AZ613" i="10" s="1"/>
  <c r="AY605" i="10"/>
  <c r="AZ605" i="10" s="1"/>
  <c r="AY601" i="10"/>
  <c r="AZ601" i="10" s="1"/>
  <c r="AY597" i="10"/>
  <c r="AZ597" i="10" s="1"/>
  <c r="AY585" i="10"/>
  <c r="AZ585" i="10" s="1"/>
  <c r="AY577" i="10"/>
  <c r="AZ577" i="10" s="1"/>
  <c r="AY552" i="10"/>
  <c r="AZ552" i="10" s="1"/>
  <c r="AY540" i="10"/>
  <c r="AZ540" i="10" s="1"/>
  <c r="AY520" i="10"/>
  <c r="AZ520" i="10" s="1"/>
  <c r="AY512" i="10"/>
  <c r="AZ512" i="10" s="1"/>
  <c r="AY496" i="10"/>
  <c r="AZ496" i="10" s="1"/>
  <c r="AY488" i="10"/>
  <c r="AZ488" i="10" s="1"/>
  <c r="AY484" i="10"/>
  <c r="AZ484" i="10" s="1"/>
  <c r="AP477" i="10"/>
  <c r="AQ477" i="10" s="1"/>
  <c r="AY468" i="10"/>
  <c r="AZ468" i="10" s="1"/>
  <c r="AY462" i="10"/>
  <c r="AZ462" i="10" s="1"/>
  <c r="AP455" i="10"/>
  <c r="AQ455" i="10" s="1"/>
  <c r="AY450" i="10"/>
  <c r="AZ450" i="10" s="1"/>
  <c r="AY444" i="10"/>
  <c r="AZ444" i="10" s="1"/>
  <c r="AY436" i="10"/>
  <c r="AZ436" i="10" s="1"/>
  <c r="AP435" i="10"/>
  <c r="AQ435" i="10" s="1"/>
  <c r="AY432" i="10"/>
  <c r="AZ432" i="10" s="1"/>
  <c r="AP431" i="10"/>
  <c r="AQ431" i="10" s="1"/>
  <c r="AY426" i="10"/>
  <c r="AZ426" i="10" s="1"/>
  <c r="AY424" i="10"/>
  <c r="AZ424" i="10" s="1"/>
  <c r="AY422" i="10"/>
  <c r="AZ422" i="10" s="1"/>
  <c r="AY412" i="10"/>
  <c r="AZ412" i="10" s="1"/>
  <c r="AY408" i="10"/>
  <c r="AZ408" i="10" s="1"/>
  <c r="AY406" i="10"/>
  <c r="AZ406" i="10" s="1"/>
  <c r="AG402" i="10"/>
  <c r="AH402" i="10" s="1"/>
  <c r="AP401" i="10"/>
  <c r="AQ401" i="10" s="1"/>
  <c r="AY394" i="10"/>
  <c r="AZ394" i="10" s="1"/>
  <c r="AY393" i="10"/>
  <c r="AZ393" i="10" s="1"/>
  <c r="AY390" i="10"/>
  <c r="AZ390" i="10" s="1"/>
  <c r="AY389" i="10"/>
  <c r="AZ389" i="10" s="1"/>
  <c r="AY386" i="10"/>
  <c r="AZ386" i="10" s="1"/>
  <c r="AG384" i="10"/>
  <c r="AH384" i="10" s="1"/>
  <c r="AG381" i="10"/>
  <c r="AH381" i="10" s="1"/>
  <c r="AG378" i="10"/>
  <c r="AH378" i="10" s="1"/>
  <c r="AG372" i="10"/>
  <c r="AH372" i="10" s="1"/>
  <c r="X362" i="10"/>
  <c r="Y362" i="10" s="1"/>
  <c r="AG360" i="10"/>
  <c r="AH360" i="10" s="1"/>
  <c r="AY565" i="10"/>
  <c r="AZ565" i="10" s="1"/>
  <c r="AY561" i="10"/>
  <c r="AZ561" i="10" s="1"/>
  <c r="AY557" i="10"/>
  <c r="AZ557" i="10" s="1"/>
  <c r="AY549" i="10"/>
  <c r="AZ549" i="10" s="1"/>
  <c r="AY517" i="10"/>
  <c r="AZ517" i="10" s="1"/>
  <c r="AY501" i="10"/>
  <c r="AZ501" i="10" s="1"/>
  <c r="AY485" i="10"/>
  <c r="AZ485" i="10" s="1"/>
  <c r="AY481" i="10"/>
  <c r="AZ481" i="10" s="1"/>
  <c r="AY477" i="10"/>
  <c r="AZ477" i="10" s="1"/>
  <c r="AP476" i="10"/>
  <c r="AQ476" i="10" s="1"/>
  <c r="AP474" i="10"/>
  <c r="AQ474" i="10" s="1"/>
  <c r="AY467" i="10"/>
  <c r="AZ467" i="10" s="1"/>
  <c r="AY465" i="10"/>
  <c r="AZ465" i="10" s="1"/>
  <c r="AY461" i="10"/>
  <c r="AZ461" i="10" s="1"/>
  <c r="AY459" i="10"/>
  <c r="AZ459" i="10" s="1"/>
  <c r="AP450" i="10"/>
  <c r="AQ450" i="10" s="1"/>
  <c r="AP448" i="10"/>
  <c r="AQ448" i="10" s="1"/>
  <c r="AP446" i="10"/>
  <c r="AQ446" i="10" s="1"/>
  <c r="AP444" i="10"/>
  <c r="AQ444" i="10" s="1"/>
  <c r="AP438" i="10"/>
  <c r="AQ438" i="10" s="1"/>
  <c r="AP428" i="10"/>
  <c r="AQ428" i="10" s="1"/>
  <c r="AP426" i="10"/>
  <c r="AQ426" i="10" s="1"/>
  <c r="AP418" i="10"/>
  <c r="AQ418" i="10" s="1"/>
  <c r="AP416" i="10"/>
  <c r="AQ416" i="10" s="1"/>
  <c r="AP410" i="10"/>
  <c r="AQ410" i="10" s="1"/>
  <c r="AP404" i="10"/>
  <c r="AQ404" i="10" s="1"/>
  <c r="AY401" i="10"/>
  <c r="AZ401" i="10" s="1"/>
  <c r="AY400" i="10"/>
  <c r="AZ400" i="10" s="1"/>
  <c r="AG399" i="10"/>
  <c r="AH399" i="10" s="1"/>
  <c r="AY396" i="10"/>
  <c r="AZ396" i="10" s="1"/>
  <c r="AG393" i="10"/>
  <c r="AH393" i="10" s="1"/>
  <c r="AY392" i="10"/>
  <c r="AZ392" i="10" s="1"/>
  <c r="X357" i="10"/>
  <c r="Y357" i="10" s="1"/>
  <c r="X356" i="10"/>
  <c r="Y356" i="10" s="1"/>
  <c r="AP353" i="10"/>
  <c r="AQ353" i="10" s="1"/>
  <c r="AY343" i="10"/>
  <c r="AZ343" i="10" s="1"/>
  <c r="AG341" i="10"/>
  <c r="AH341" i="10" s="1"/>
  <c r="AY339" i="10"/>
  <c r="AZ339" i="10" s="1"/>
  <c r="AP380" i="10"/>
  <c r="AQ380" i="10" s="1"/>
  <c r="AY377" i="10"/>
  <c r="AZ377" i="10" s="1"/>
  <c r="AP373" i="10"/>
  <c r="AQ373" i="10" s="1"/>
  <c r="AP372" i="10"/>
  <c r="AQ372" i="10" s="1"/>
  <c r="X370" i="10"/>
  <c r="Y370" i="10" s="1"/>
  <c r="AG364" i="10"/>
  <c r="AH364" i="10" s="1"/>
  <c r="AP357" i="10"/>
  <c r="AQ357" i="10" s="1"/>
  <c r="AY352" i="10"/>
  <c r="AZ352" i="10" s="1"/>
  <c r="AP352" i="10"/>
  <c r="AQ352" i="10" s="1"/>
  <c r="AG347" i="10"/>
  <c r="AH347" i="10" s="1"/>
  <c r="AY346" i="10"/>
  <c r="AZ346" i="10" s="1"/>
  <c r="AP333" i="10"/>
  <c r="AQ333" i="10" s="1"/>
  <c r="AG328" i="10"/>
  <c r="AH328" i="10" s="1"/>
  <c r="AP384" i="10"/>
  <c r="AQ384" i="10" s="1"/>
  <c r="AY382" i="10"/>
  <c r="AZ382" i="10" s="1"/>
  <c r="AG367" i="10"/>
  <c r="AH367" i="10" s="1"/>
  <c r="AY357" i="10"/>
  <c r="AZ357" i="10" s="1"/>
  <c r="X350" i="10"/>
  <c r="Y350" i="10" s="1"/>
  <c r="AY342" i="10"/>
  <c r="AZ342" i="10" s="1"/>
  <c r="AG331" i="10"/>
  <c r="AH331" i="10" s="1"/>
  <c r="X336" i="10"/>
  <c r="Y336" i="10" s="1"/>
  <c r="X330" i="10"/>
  <c r="Y330" i="10" s="1"/>
  <c r="AY332" i="10"/>
  <c r="AZ332" i="10" s="1"/>
  <c r="AP360" i="10"/>
  <c r="AQ360" i="10" s="1"/>
  <c r="AY383" i="10"/>
  <c r="AZ383" i="10" s="1"/>
  <c r="AY541" i="10"/>
  <c r="AZ541" i="10" s="1"/>
  <c r="AP368" i="10"/>
  <c r="AQ368" i="10" s="1"/>
  <c r="AY385" i="10"/>
  <c r="AZ385" i="10" s="1"/>
  <c r="X361" i="10"/>
  <c r="Y361" i="10" s="1"/>
  <c r="AP468" i="10"/>
  <c r="AQ468" i="10" s="1"/>
  <c r="AY409" i="10"/>
  <c r="AZ409" i="10" s="1"/>
  <c r="AG383" i="10"/>
  <c r="AH383" i="10" s="1"/>
  <c r="AY341" i="10"/>
  <c r="AZ341" i="10" s="1"/>
  <c r="AP396" i="10"/>
  <c r="AQ396" i="10" s="1"/>
  <c r="AY337" i="10"/>
  <c r="AZ337" i="10" s="1"/>
  <c r="AY622" i="10"/>
  <c r="AZ622" i="10" s="1"/>
  <c r="AY614" i="10"/>
  <c r="AZ614" i="10" s="1"/>
  <c r="AY602" i="10"/>
  <c r="AZ602" i="10" s="1"/>
  <c r="AY590" i="10"/>
  <c r="AZ590" i="10" s="1"/>
  <c r="AY582" i="10"/>
  <c r="AZ582" i="10" s="1"/>
  <c r="AY570" i="10"/>
  <c r="AZ570" i="10" s="1"/>
  <c r="AY625" i="10"/>
  <c r="AZ625" i="10" s="1"/>
  <c r="AY621" i="10"/>
  <c r="AZ621" i="10" s="1"/>
  <c r="AY617" i="10"/>
  <c r="AZ617" i="10" s="1"/>
  <c r="AY593" i="10"/>
  <c r="AZ593" i="10" s="1"/>
  <c r="AP329" i="10"/>
  <c r="AQ329" i="10" s="1"/>
  <c r="AY487" i="10"/>
  <c r="AZ487" i="10" s="1"/>
  <c r="AY506" i="10"/>
  <c r="AZ506" i="10" s="1"/>
  <c r="AY463" i="10"/>
  <c r="AZ463" i="10" s="1"/>
  <c r="AG396" i="10"/>
  <c r="AH396" i="10" s="1"/>
  <c r="AY415" i="10"/>
  <c r="AZ415" i="10" s="1"/>
  <c r="AY534" i="10"/>
  <c r="AZ534" i="10" s="1"/>
  <c r="AY523" i="10"/>
  <c r="AZ523" i="10" s="1"/>
  <c r="AY482" i="10"/>
  <c r="AZ482" i="10" s="1"/>
  <c r="X342" i="10"/>
  <c r="Y342" i="10" s="1"/>
  <c r="AY612" i="10"/>
  <c r="AZ612" i="10" s="1"/>
  <c r="AY519" i="10"/>
  <c r="AZ519" i="10" s="1"/>
  <c r="AY454" i="10"/>
  <c r="AZ454" i="10" s="1"/>
  <c r="AP332" i="10"/>
  <c r="AQ332" i="10" s="1"/>
  <c r="AY327" i="10"/>
  <c r="AZ327" i="10" s="1"/>
  <c r="X371" i="10"/>
  <c r="Y371" i="10" s="1"/>
  <c r="AY405" i="10"/>
  <c r="AZ405" i="10" s="1"/>
  <c r="AP466" i="10"/>
  <c r="AQ466" i="10" s="1"/>
  <c r="X352" i="10"/>
  <c r="Y352" i="10" s="1"/>
  <c r="AP421" i="10"/>
  <c r="AQ421" i="10" s="1"/>
  <c r="AY429" i="10"/>
  <c r="AZ429" i="10" s="1"/>
  <c r="AG392" i="10"/>
  <c r="AH392" i="10" s="1"/>
  <c r="AY522" i="10"/>
  <c r="AZ522" i="10" s="1"/>
  <c r="AY530" i="10"/>
  <c r="AZ530" i="10" s="1"/>
  <c r="AY589" i="10"/>
  <c r="AZ589" i="10" s="1"/>
  <c r="AY581" i="10"/>
  <c r="AZ581" i="10" s="1"/>
  <c r="AY573" i="10"/>
  <c r="AZ573" i="10" s="1"/>
  <c r="AY536" i="10"/>
  <c r="AZ536" i="10" s="1"/>
  <c r="AY532" i="10"/>
  <c r="AZ532" i="10" s="1"/>
  <c r="AY528" i="10"/>
  <c r="AZ528" i="10" s="1"/>
  <c r="AY524" i="10"/>
  <c r="AZ524" i="10" s="1"/>
  <c r="AY508" i="10"/>
  <c r="AZ508" i="10" s="1"/>
  <c r="AY504" i="10"/>
  <c r="AZ504" i="10" s="1"/>
  <c r="AY500" i="10"/>
  <c r="AZ500" i="10" s="1"/>
  <c r="AY492" i="10"/>
  <c r="AZ492" i="10" s="1"/>
  <c r="AY480" i="10"/>
  <c r="AZ480" i="10" s="1"/>
  <c r="AY474" i="10"/>
  <c r="AZ474" i="10" s="1"/>
  <c r="AY470" i="10"/>
  <c r="AZ470" i="10" s="1"/>
  <c r="AY460" i="10"/>
  <c r="AZ460" i="10" s="1"/>
  <c r="AP459" i="10"/>
  <c r="AQ459" i="10" s="1"/>
  <c r="AY456" i="10"/>
  <c r="AZ456" i="10" s="1"/>
  <c r="AY452" i="10"/>
  <c r="AZ452" i="10" s="1"/>
  <c r="AY446" i="10"/>
  <c r="AZ446" i="10" s="1"/>
  <c r="AY440" i="10"/>
  <c r="AZ440" i="10" s="1"/>
  <c r="AY420" i="10"/>
  <c r="AZ420" i="10" s="1"/>
  <c r="AY418" i="10"/>
  <c r="AZ418" i="10" s="1"/>
  <c r="AY416" i="10"/>
  <c r="AZ416" i="10" s="1"/>
  <c r="AY404" i="10"/>
  <c r="AZ404" i="10" s="1"/>
  <c r="AY398" i="10"/>
  <c r="AZ398" i="10" s="1"/>
  <c r="AP398" i="10"/>
  <c r="AQ398" i="10" s="1"/>
  <c r="AP397" i="10"/>
  <c r="AQ397" i="10" s="1"/>
  <c r="AP393" i="10"/>
  <c r="AQ393" i="10" s="1"/>
  <c r="AP389" i="10"/>
  <c r="AQ389" i="10" s="1"/>
  <c r="AY376" i="10"/>
  <c r="AZ376" i="10" s="1"/>
  <c r="AG370" i="10"/>
  <c r="AH370" i="10" s="1"/>
  <c r="AP367" i="10"/>
  <c r="AQ367" i="10" s="1"/>
  <c r="AP365" i="10"/>
  <c r="AQ365" i="10" s="1"/>
  <c r="AY537" i="10"/>
  <c r="AZ537" i="10" s="1"/>
  <c r="AY533" i="10"/>
  <c r="AZ533" i="10" s="1"/>
  <c r="AY529" i="10"/>
  <c r="AZ529" i="10" s="1"/>
  <c r="AY521" i="10"/>
  <c r="AZ521" i="10" s="1"/>
  <c r="AY493" i="10"/>
  <c r="AZ493" i="10" s="1"/>
  <c r="AY489" i="10"/>
  <c r="AZ489" i="10" s="1"/>
  <c r="AP472" i="10"/>
  <c r="AQ472" i="10" s="1"/>
  <c r="AP452" i="10"/>
  <c r="AQ452" i="10" s="1"/>
  <c r="AP442" i="10"/>
  <c r="AQ442" i="10" s="1"/>
  <c r="AP436" i="10"/>
  <c r="AQ436" i="10" s="1"/>
  <c r="AY433" i="10"/>
  <c r="AZ433" i="10" s="1"/>
  <c r="AP432" i="10"/>
  <c r="AQ432" i="10" s="1"/>
  <c r="AP430" i="10"/>
  <c r="AQ430" i="10" s="1"/>
  <c r="AP422" i="10"/>
  <c r="AQ422" i="10" s="1"/>
  <c r="AP414" i="10"/>
  <c r="AQ414" i="10" s="1"/>
  <c r="AP406" i="10"/>
  <c r="AQ406" i="10" s="1"/>
  <c r="AY395" i="10"/>
  <c r="AZ395" i="10" s="1"/>
  <c r="AP392" i="10"/>
  <c r="AQ392" i="10" s="1"/>
  <c r="AP388" i="10"/>
  <c r="AQ388" i="10" s="1"/>
  <c r="AG382" i="10"/>
  <c r="AH382" i="10" s="1"/>
  <c r="X377" i="10"/>
  <c r="Y377" i="10" s="1"/>
  <c r="AG375" i="10"/>
  <c r="AH375" i="10" s="1"/>
  <c r="AP374" i="10"/>
  <c r="AQ374" i="10" s="1"/>
  <c r="AG359" i="10"/>
  <c r="AH359" i="10" s="1"/>
  <c r="AY358" i="10"/>
  <c r="AZ358" i="10" s="1"/>
  <c r="AY349" i="10"/>
  <c r="AZ349" i="10" s="1"/>
  <c r="AP349" i="10"/>
  <c r="AQ349" i="10" s="1"/>
  <c r="AP348" i="10"/>
  <c r="AQ348" i="10" s="1"/>
  <c r="AP346" i="10"/>
  <c r="AQ346" i="10" s="1"/>
  <c r="AG344" i="10"/>
  <c r="AH344" i="10" s="1"/>
  <c r="AG342" i="10"/>
  <c r="AH342" i="10" s="1"/>
  <c r="AP341" i="10"/>
  <c r="AQ341" i="10" s="1"/>
  <c r="AG338" i="10"/>
  <c r="AH338" i="10" s="1"/>
  <c r="AY336" i="10"/>
  <c r="AZ336" i="10" s="1"/>
  <c r="AY334" i="10"/>
  <c r="AZ334" i="10" s="1"/>
  <c r="AP379" i="10"/>
  <c r="AQ379" i="10" s="1"/>
  <c r="X374" i="10"/>
  <c r="Y374" i="10" s="1"/>
  <c r="AG373" i="10"/>
  <c r="AH373" i="10" s="1"/>
  <c r="AG369" i="10"/>
  <c r="AH369" i="10" s="1"/>
  <c r="X365" i="10"/>
  <c r="Y365" i="10" s="1"/>
  <c r="AG362" i="10"/>
  <c r="AH362" i="10" s="1"/>
  <c r="AP359" i="10"/>
  <c r="AQ359" i="10" s="1"/>
  <c r="AP356" i="10"/>
  <c r="AQ356" i="10" s="1"/>
  <c r="X349" i="10"/>
  <c r="Y349" i="10" s="1"/>
  <c r="AY348" i="10"/>
  <c r="AZ348" i="10" s="1"/>
  <c r="X345" i="10"/>
  <c r="Y345" i="10" s="1"/>
  <c r="AP345" i="10"/>
  <c r="AQ345" i="10" s="1"/>
  <c r="AG343" i="10"/>
  <c r="AH343" i="10" s="1"/>
  <c r="X339" i="10"/>
  <c r="Y339" i="10" s="1"/>
  <c r="AY338" i="10"/>
  <c r="AZ338" i="10" s="1"/>
  <c r="AY328" i="10"/>
  <c r="AZ328" i="10" s="1"/>
  <c r="AY330" i="10"/>
  <c r="AZ330" i="10" s="1"/>
  <c r="AG379" i="10"/>
  <c r="AH379" i="10" s="1"/>
  <c r="AP17" i="10"/>
  <c r="AQ17" i="10" s="1"/>
  <c r="AY616" i="10"/>
  <c r="AZ616" i="10" s="1"/>
  <c r="AY608" i="10"/>
  <c r="AZ608" i="10" s="1"/>
  <c r="AY596" i="10"/>
  <c r="AZ596" i="10" s="1"/>
  <c r="AY623" i="10"/>
  <c r="AZ623" i="10" s="1"/>
  <c r="AY619" i="10"/>
  <c r="AZ619" i="10" s="1"/>
  <c r="AY611" i="10"/>
  <c r="AZ611" i="10" s="1"/>
  <c r="AY587" i="10"/>
  <c r="AZ587" i="10" s="1"/>
  <c r="AY571" i="10"/>
  <c r="AZ571" i="10" s="1"/>
  <c r="AY562" i="10"/>
  <c r="AZ562" i="10" s="1"/>
  <c r="AY554" i="10"/>
  <c r="AZ554" i="10" s="1"/>
  <c r="AY471" i="10"/>
  <c r="AZ471" i="10" s="1"/>
  <c r="AY417" i="10"/>
  <c r="AZ417" i="10" s="1"/>
  <c r="AP400" i="10"/>
  <c r="AQ400" i="10" s="1"/>
  <c r="AP433" i="10"/>
  <c r="AQ433" i="10" s="1"/>
  <c r="AG395" i="10"/>
  <c r="AH395" i="10" s="1"/>
  <c r="AP377" i="10"/>
  <c r="AQ377" i="10" s="1"/>
  <c r="AG366" i="10"/>
  <c r="AH366" i="10" s="1"/>
  <c r="AY379" i="10"/>
  <c r="AZ379" i="10" s="1"/>
  <c r="AY368" i="10"/>
  <c r="AZ368" i="10" s="1"/>
  <c r="AY362" i="10"/>
  <c r="AZ362" i="10" s="1"/>
  <c r="AP334" i="10"/>
  <c r="AQ334" i="10" s="1"/>
  <c r="X328" i="10"/>
  <c r="Y328" i="10" s="1"/>
  <c r="X333" i="10"/>
  <c r="Y333" i="10" s="1"/>
  <c r="C20" i="12"/>
  <c r="AY576" i="10"/>
  <c r="AZ576" i="10" s="1"/>
  <c r="AY572" i="10"/>
  <c r="AZ572" i="10" s="1"/>
  <c r="AY627" i="10"/>
  <c r="AZ627" i="10" s="1"/>
  <c r="AY514" i="10"/>
  <c r="AZ514" i="10" s="1"/>
  <c r="AY502" i="10"/>
  <c r="AZ502" i="10" s="1"/>
  <c r="AP462" i="10"/>
  <c r="AQ462" i="10" s="1"/>
  <c r="AP399" i="10"/>
  <c r="AQ399" i="10" s="1"/>
  <c r="AG390" i="10"/>
  <c r="AH390" i="10" s="1"/>
  <c r="AY367" i="10"/>
  <c r="AZ367" i="10" s="1"/>
  <c r="AP362" i="10"/>
  <c r="AQ362" i="10" s="1"/>
  <c r="AY551" i="10"/>
  <c r="AZ551" i="10" s="1"/>
  <c r="AY507" i="10"/>
  <c r="AZ507" i="10" s="1"/>
  <c r="AY476" i="10"/>
  <c r="AZ476" i="10" s="1"/>
  <c r="AP469" i="10"/>
  <c r="AQ469" i="10" s="1"/>
  <c r="AP447" i="10"/>
  <c r="AQ447" i="10" s="1"/>
  <c r="AY414" i="10"/>
  <c r="AZ414" i="10" s="1"/>
  <c r="AP391" i="10"/>
  <c r="AQ391" i="10" s="1"/>
  <c r="AP369" i="10"/>
  <c r="AQ369" i="10" s="1"/>
  <c r="AP363" i="10"/>
  <c r="AQ363" i="10" s="1"/>
  <c r="X354" i="10"/>
  <c r="Y354" i="10" s="1"/>
  <c r="AY345" i="10"/>
  <c r="AZ345" i="10" s="1"/>
  <c r="AP340" i="10"/>
  <c r="AQ340" i="10" s="1"/>
  <c r="AY384" i="10"/>
  <c r="AZ384" i="10" s="1"/>
  <c r="AG380" i="10"/>
  <c r="AH380" i="10" s="1"/>
  <c r="AG377" i="10"/>
  <c r="AH377" i="10" s="1"/>
  <c r="X375" i="10"/>
  <c r="Y375" i="10" s="1"/>
  <c r="AY372" i="10"/>
  <c r="AZ372" i="10" s="1"/>
  <c r="X347" i="10"/>
  <c r="Y347" i="10" s="1"/>
  <c r="AP339" i="10"/>
  <c r="AQ339" i="10" s="1"/>
  <c r="AG327" i="10"/>
  <c r="AH327" i="10" s="1"/>
  <c r="AP330" i="10"/>
  <c r="AQ330" i="10" s="1"/>
  <c r="AP337" i="10"/>
  <c r="AQ337" i="10" s="1"/>
  <c r="X331" i="10"/>
  <c r="Y331" i="10" s="1"/>
  <c r="X329" i="10"/>
  <c r="Y329" i="10" s="1"/>
  <c r="AG337" i="10"/>
  <c r="AH337" i="10" s="1"/>
  <c r="AP473" i="10"/>
  <c r="AQ473" i="10" s="1"/>
  <c r="AY453" i="10"/>
  <c r="AZ453" i="10" s="1"/>
  <c r="AP457" i="10"/>
  <c r="AQ457" i="10" s="1"/>
  <c r="AP437" i="10"/>
  <c r="AQ437" i="10" s="1"/>
  <c r="AY340" i="10"/>
  <c r="AZ340" i="10" s="1"/>
  <c r="AY569" i="10"/>
  <c r="AZ569" i="10" s="1"/>
  <c r="AG348" i="10"/>
  <c r="AH348" i="10" s="1"/>
  <c r="AY491" i="10"/>
  <c r="AZ491" i="10" s="1"/>
  <c r="AY620" i="10"/>
  <c r="AZ620" i="10" s="1"/>
  <c r="AY579" i="10"/>
  <c r="AZ579" i="10" s="1"/>
  <c r="AY443" i="10"/>
  <c r="AZ443" i="10" s="1"/>
  <c r="AY425" i="10"/>
  <c r="AZ425" i="10" s="1"/>
  <c r="AY413" i="10"/>
  <c r="AZ413" i="10" s="1"/>
  <c r="AG400" i="10"/>
  <c r="AH400" i="10" s="1"/>
  <c r="AG365" i="10"/>
  <c r="AH365" i="10" s="1"/>
  <c r="AY567" i="10"/>
  <c r="AZ567" i="10" s="1"/>
  <c r="AP471" i="10"/>
  <c r="AQ471" i="10" s="1"/>
  <c r="AP451" i="10"/>
  <c r="AQ451" i="10" s="1"/>
  <c r="AY434" i="10"/>
  <c r="AZ434" i="10" s="1"/>
  <c r="AP429" i="10"/>
  <c r="AQ429" i="10" s="1"/>
  <c r="AP413" i="10"/>
  <c r="AQ413" i="10" s="1"/>
  <c r="AP402" i="10"/>
  <c r="AQ402" i="10" s="1"/>
  <c r="AP387" i="10"/>
  <c r="AQ387" i="10" s="1"/>
  <c r="X372" i="10"/>
  <c r="Y372" i="10" s="1"/>
  <c r="AG358" i="10"/>
  <c r="AH358" i="10" s="1"/>
  <c r="AP343" i="10"/>
  <c r="AQ343" i="10" s="1"/>
  <c r="AG385" i="10"/>
  <c r="AH385" i="10" s="1"/>
  <c r="AY370" i="10"/>
  <c r="AZ370" i="10" s="1"/>
  <c r="X351" i="10"/>
  <c r="Y351" i="10" s="1"/>
  <c r="AP327" i="10"/>
  <c r="AQ327" i="10" s="1"/>
  <c r="AY363" i="10"/>
  <c r="AZ363" i="10" s="1"/>
  <c r="X348" i="10"/>
  <c r="Y348" i="10" s="1"/>
  <c r="X344" i="10"/>
  <c r="Y344" i="10" s="1"/>
  <c r="AP443" i="10"/>
  <c r="AQ443" i="10" s="1"/>
  <c r="AY335" i="10"/>
  <c r="AZ335" i="10" s="1"/>
  <c r="AY355" i="10"/>
  <c r="AZ355" i="10" s="1"/>
  <c r="AP395" i="10"/>
  <c r="AQ395" i="10" s="1"/>
  <c r="AP336" i="10"/>
  <c r="AQ336" i="10" s="1"/>
  <c r="AP456" i="10"/>
  <c r="AQ456" i="10" s="1"/>
  <c r="AG376" i="10"/>
  <c r="AH376" i="10" s="1"/>
  <c r="AY438" i="10"/>
  <c r="AZ438" i="10" s="1"/>
  <c r="AY490" i="10"/>
  <c r="AZ490" i="10" s="1"/>
  <c r="AG334" i="10"/>
  <c r="AH334" i="10" s="1"/>
  <c r="AY316" i="10"/>
  <c r="AZ316" i="10" s="1"/>
  <c r="AY312" i="10"/>
  <c r="AZ312" i="10" s="1"/>
  <c r="AY300" i="10"/>
  <c r="AZ300" i="10" s="1"/>
  <c r="AY288" i="10"/>
  <c r="AZ288" i="10" s="1"/>
  <c r="AY284" i="10"/>
  <c r="AZ284" i="10" s="1"/>
  <c r="AY280" i="10"/>
  <c r="AZ280" i="10" s="1"/>
  <c r="AY276" i="10"/>
  <c r="AZ276" i="10" s="1"/>
  <c r="AY268" i="10"/>
  <c r="AZ268" i="10" s="1"/>
  <c r="AY264" i="10"/>
  <c r="AZ264" i="10" s="1"/>
  <c r="AY252" i="10"/>
  <c r="AZ252" i="10" s="1"/>
  <c r="AY240" i="10"/>
  <c r="AZ240" i="10" s="1"/>
  <c r="AY232" i="10"/>
  <c r="AZ232" i="10" s="1"/>
  <c r="AY228" i="10"/>
  <c r="AZ228" i="10" s="1"/>
  <c r="AY212" i="10"/>
  <c r="AZ212" i="10" s="1"/>
  <c r="AY196" i="10"/>
  <c r="AZ196" i="10" s="1"/>
  <c r="AY192" i="10"/>
  <c r="AZ192" i="10" s="1"/>
  <c r="AP25" i="10"/>
  <c r="AQ25" i="10" s="1"/>
  <c r="X24" i="10"/>
  <c r="Y24" i="10" s="1"/>
  <c r="X17" i="10"/>
  <c r="Y17" i="10" s="1"/>
  <c r="AY17" i="10"/>
  <c r="AZ17" i="10" s="1"/>
  <c r="AY624" i="10"/>
  <c r="AZ624" i="10" s="1"/>
  <c r="AY600" i="10"/>
  <c r="AZ600" i="10" s="1"/>
  <c r="AY584" i="10"/>
  <c r="AZ584" i="10" s="1"/>
  <c r="AY580" i="10"/>
  <c r="AZ580" i="10" s="1"/>
  <c r="AY607" i="10"/>
  <c r="AZ607" i="10" s="1"/>
  <c r="AY603" i="10"/>
  <c r="AZ603" i="10" s="1"/>
  <c r="AY550" i="10"/>
  <c r="AZ550" i="10" s="1"/>
  <c r="AY518" i="10"/>
  <c r="AZ518" i="10" s="1"/>
  <c r="AY498" i="10"/>
  <c r="AZ498" i="10" s="1"/>
  <c r="AY478" i="10"/>
  <c r="AZ478" i="10" s="1"/>
  <c r="AY475" i="10"/>
  <c r="AZ475" i="10" s="1"/>
  <c r="AY469" i="10"/>
  <c r="AZ469" i="10" s="1"/>
  <c r="AY457" i="10"/>
  <c r="AZ457" i="10" s="1"/>
  <c r="AP454" i="10"/>
  <c r="AQ454" i="10" s="1"/>
  <c r="AY445" i="10"/>
  <c r="AZ445" i="10" s="1"/>
  <c r="AY441" i="10"/>
  <c r="AZ441" i="10" s="1"/>
  <c r="AY439" i="10"/>
  <c r="AZ439" i="10" s="1"/>
  <c r="AP412" i="10"/>
  <c r="AQ412" i="10" s="1"/>
  <c r="AY359" i="10"/>
  <c r="AZ359" i="10" s="1"/>
  <c r="AY559" i="10"/>
  <c r="AZ559" i="10" s="1"/>
  <c r="AY543" i="10"/>
  <c r="AZ543" i="10" s="1"/>
  <c r="AY527" i="10"/>
  <c r="AZ527" i="10" s="1"/>
  <c r="AY503" i="10"/>
  <c r="AZ503" i="10" s="1"/>
  <c r="AY448" i="10"/>
  <c r="AZ448" i="10" s="1"/>
  <c r="AY442" i="10"/>
  <c r="AZ442" i="10" s="1"/>
  <c r="AP441" i="10"/>
  <c r="AQ441" i="10" s="1"/>
  <c r="AP411" i="10"/>
  <c r="AQ411" i="10" s="1"/>
  <c r="AP390" i="10"/>
  <c r="AQ390" i="10" s="1"/>
  <c r="X353" i="10"/>
  <c r="Y353" i="10" s="1"/>
  <c r="X346" i="10"/>
  <c r="Y346" i="10" s="1"/>
  <c r="AG340" i="10"/>
  <c r="AH340" i="10" s="1"/>
  <c r="AY374" i="10"/>
  <c r="AZ374" i="10" s="1"/>
  <c r="AY356" i="10"/>
  <c r="AZ356" i="10" s="1"/>
  <c r="AP331" i="10"/>
  <c r="AQ331" i="10" s="1"/>
  <c r="X358" i="10"/>
  <c r="Y358" i="10" s="1"/>
  <c r="AY366" i="10"/>
  <c r="AZ366" i="10" s="1"/>
  <c r="X368" i="10"/>
  <c r="Y368" i="10" s="1"/>
  <c r="EF42" i="10"/>
  <c r="EH42" i="10"/>
  <c r="ED42" i="10"/>
  <c r="EG42" i="10"/>
  <c r="EE24" i="10"/>
  <c r="EE17" i="10"/>
  <c r="EE42" i="10"/>
  <c r="EI42" i="10"/>
  <c r="EE13" i="10"/>
  <c r="AP23" i="10"/>
  <c r="AQ23" i="10" s="1"/>
  <c r="X20" i="10"/>
  <c r="Y20" i="10" s="1"/>
  <c r="AP439" i="10"/>
  <c r="AQ439" i="10" s="1"/>
  <c r="AY391" i="10"/>
  <c r="AZ391" i="10" s="1"/>
  <c r="AY378" i="10"/>
  <c r="AZ378" i="10" s="1"/>
  <c r="AG374" i="10"/>
  <c r="AH374" i="10" s="1"/>
  <c r="X338" i="10"/>
  <c r="Y338" i="10" s="1"/>
  <c r="AG371" i="10"/>
  <c r="AH371" i="10" s="1"/>
  <c r="AG349" i="10"/>
  <c r="AH349" i="10" s="1"/>
  <c r="AY531" i="10"/>
  <c r="AZ531" i="10" s="1"/>
  <c r="AY298" i="10"/>
  <c r="AZ298" i="10" s="1"/>
  <c r="AY294" i="10"/>
  <c r="AZ294" i="10" s="1"/>
  <c r="AY290" i="10"/>
  <c r="AZ290" i="10" s="1"/>
  <c r="AY282" i="10"/>
  <c r="AZ282" i="10" s="1"/>
  <c r="AY278" i="10"/>
  <c r="AZ278" i="10" s="1"/>
  <c r="AY270" i="10"/>
  <c r="AZ270" i="10" s="1"/>
  <c r="AY262" i="10"/>
  <c r="AZ262" i="10" s="1"/>
  <c r="AY254" i="10"/>
  <c r="AZ254" i="10" s="1"/>
  <c r="AY250" i="10"/>
  <c r="AZ250" i="10" s="1"/>
  <c r="AY230" i="10"/>
  <c r="AZ230" i="10" s="1"/>
  <c r="AY194" i="10"/>
  <c r="AZ194" i="10" s="1"/>
  <c r="AY186" i="10"/>
  <c r="AZ186" i="10" s="1"/>
  <c r="AY156" i="10"/>
  <c r="AZ156" i="10" s="1"/>
  <c r="AY154" i="10"/>
  <c r="AZ154" i="10" s="1"/>
  <c r="AY315" i="10"/>
  <c r="AZ315" i="10" s="1"/>
  <c r="AY295" i="10"/>
  <c r="AZ295" i="10" s="1"/>
  <c r="AY275" i="10"/>
  <c r="AZ275" i="10" s="1"/>
  <c r="AY271" i="10"/>
  <c r="AZ271" i="10" s="1"/>
  <c r="AY227" i="10"/>
  <c r="AZ227" i="10" s="1"/>
  <c r="AY223" i="10"/>
  <c r="AZ223" i="10" s="1"/>
  <c r="AY195" i="10"/>
  <c r="AZ195" i="10" s="1"/>
  <c r="AY183" i="10"/>
  <c r="AZ183" i="10" s="1"/>
  <c r="AY167" i="10"/>
  <c r="AZ167" i="10" s="1"/>
  <c r="AP147" i="10"/>
  <c r="AQ147" i="10" s="1"/>
  <c r="AP135" i="10"/>
  <c r="AQ135" i="10" s="1"/>
  <c r="AP131" i="10"/>
  <c r="AQ131" i="10" s="1"/>
  <c r="AP113" i="10"/>
  <c r="AQ113" i="10" s="1"/>
  <c r="AP103" i="10"/>
  <c r="AQ103" i="10" s="1"/>
  <c r="AY85" i="10"/>
  <c r="AZ85" i="10" s="1"/>
  <c r="AG77" i="10"/>
  <c r="AH77" i="10" s="1"/>
  <c r="AY71" i="10"/>
  <c r="AZ71" i="10" s="1"/>
  <c r="AG71" i="10"/>
  <c r="AH71" i="10" s="1"/>
  <c r="AY62" i="10"/>
  <c r="AZ62" i="10" s="1"/>
  <c r="X58" i="10"/>
  <c r="Y58" i="10" s="1"/>
  <c r="AY55" i="10"/>
  <c r="AZ55" i="10" s="1"/>
  <c r="AY51" i="10"/>
  <c r="AZ51" i="10" s="1"/>
  <c r="X50" i="10"/>
  <c r="Y50" i="10" s="1"/>
  <c r="AY46" i="10"/>
  <c r="AZ46" i="10" s="1"/>
  <c r="X42" i="10"/>
  <c r="Y42" i="10" s="1"/>
  <c r="AP106" i="10"/>
  <c r="AQ106" i="10" s="1"/>
  <c r="AG90" i="10"/>
  <c r="AH90" i="10" s="1"/>
  <c r="AP86" i="10"/>
  <c r="AQ86" i="10" s="1"/>
  <c r="AP61" i="10"/>
  <c r="AQ61" i="10" s="1"/>
  <c r="AP43" i="10"/>
  <c r="AQ43" i="10" s="1"/>
  <c r="X39" i="10"/>
  <c r="Y39" i="10" s="1"/>
  <c r="X38" i="10"/>
  <c r="Y38" i="10" s="1"/>
  <c r="AG34" i="10"/>
  <c r="AH34" i="10" s="1"/>
  <c r="AP445" i="10"/>
  <c r="AQ445" i="10" s="1"/>
  <c r="AY364" i="10"/>
  <c r="AZ364" i="10" s="1"/>
  <c r="AP351" i="10"/>
  <c r="AQ351" i="10" s="1"/>
  <c r="AP342" i="10"/>
  <c r="AQ342" i="10" s="1"/>
  <c r="AG361" i="10"/>
  <c r="AH361" i="10" s="1"/>
  <c r="AY544" i="10"/>
  <c r="AZ544" i="10" s="1"/>
  <c r="AY574" i="10"/>
  <c r="AZ574" i="10" s="1"/>
  <c r="AP371" i="10"/>
  <c r="AQ371" i="10" s="1"/>
  <c r="AP385" i="10"/>
  <c r="AQ385" i="10" s="1"/>
  <c r="AG346" i="10"/>
  <c r="AH346" i="10" s="1"/>
  <c r="AY387" i="10"/>
  <c r="AZ387" i="10" s="1"/>
  <c r="AY458" i="10"/>
  <c r="AZ458" i="10" s="1"/>
  <c r="AY410" i="10"/>
  <c r="AZ410" i="10" s="1"/>
  <c r="AY353" i="10"/>
  <c r="AZ353" i="10" s="1"/>
  <c r="X343" i="10"/>
  <c r="Y343" i="10" s="1"/>
  <c r="AP354" i="10"/>
  <c r="AQ354" i="10" s="1"/>
  <c r="AY371" i="10"/>
  <c r="AZ371" i="10" s="1"/>
  <c r="AG394" i="10"/>
  <c r="AH394" i="10" s="1"/>
  <c r="AP460" i="10"/>
  <c r="AQ460" i="10" s="1"/>
  <c r="AP475" i="10"/>
  <c r="AQ475" i="10" s="1"/>
  <c r="AY547" i="10"/>
  <c r="AZ547" i="10" s="1"/>
  <c r="X376" i="10"/>
  <c r="Y376" i="10" s="1"/>
  <c r="AY430" i="10"/>
  <c r="AZ430" i="10" s="1"/>
  <c r="AG389" i="10"/>
  <c r="AH389" i="10" s="1"/>
  <c r="AY539" i="10"/>
  <c r="AZ539" i="10" s="1"/>
  <c r="AY479" i="10"/>
  <c r="AZ479" i="10" s="1"/>
  <c r="AP386" i="10"/>
  <c r="AQ386" i="10" s="1"/>
  <c r="AY344" i="10"/>
  <c r="AZ344" i="10" s="1"/>
  <c r="AG386" i="10"/>
  <c r="AH386" i="10" s="1"/>
  <c r="AY535" i="10"/>
  <c r="AZ535" i="10" s="1"/>
  <c r="AY497" i="10"/>
  <c r="AZ497" i="10" s="1"/>
  <c r="AG339" i="10"/>
  <c r="AH339" i="10" s="1"/>
  <c r="AY411" i="10"/>
  <c r="AZ411" i="10" s="1"/>
  <c r="AG333" i="10"/>
  <c r="AH333" i="10" s="1"/>
  <c r="AG335" i="10"/>
  <c r="AH335" i="10" s="1"/>
  <c r="AY373" i="10"/>
  <c r="AZ373" i="10" s="1"/>
  <c r="AP427" i="10"/>
  <c r="AQ427" i="10" s="1"/>
  <c r="AY399" i="10"/>
  <c r="AZ399" i="10" s="1"/>
  <c r="X366" i="10"/>
  <c r="Y366" i="10" s="1"/>
  <c r="AY563" i="10"/>
  <c r="AZ563" i="10" s="1"/>
  <c r="AY329" i="10"/>
  <c r="AZ329" i="10" s="1"/>
  <c r="AG336" i="10"/>
  <c r="AH336" i="10" s="1"/>
  <c r="AP424" i="10"/>
  <c r="AQ424" i="10" s="1"/>
  <c r="AG397" i="10"/>
  <c r="AH397" i="10" s="1"/>
  <c r="AP338" i="10"/>
  <c r="AQ338" i="10" s="1"/>
  <c r="AY375" i="10"/>
  <c r="AZ375" i="10" s="1"/>
  <c r="AY466" i="10"/>
  <c r="AZ466" i="10" s="1"/>
  <c r="AY511" i="10"/>
  <c r="AZ511" i="10" s="1"/>
  <c r="AP467" i="10"/>
  <c r="AQ467" i="10" s="1"/>
  <c r="AY451" i="10"/>
  <c r="AZ451" i="10" s="1"/>
  <c r="AG401" i="10"/>
  <c r="AH401" i="10" s="1"/>
  <c r="AP409" i="10"/>
  <c r="AQ409" i="10" s="1"/>
  <c r="AG353" i="10"/>
  <c r="AH353" i="10" s="1"/>
  <c r="X340" i="10"/>
  <c r="Y340" i="10" s="1"/>
  <c r="X373" i="10"/>
  <c r="Y373" i="10" s="1"/>
  <c r="AY473" i="10"/>
  <c r="AZ473" i="10" s="1"/>
  <c r="AP403" i="10"/>
  <c r="AQ403" i="10" s="1"/>
  <c r="AY437" i="10"/>
  <c r="AZ437" i="10" s="1"/>
  <c r="AY449" i="10"/>
  <c r="AZ449" i="10" s="1"/>
  <c r="AY472" i="10"/>
  <c r="AZ472" i="10" s="1"/>
  <c r="AY513" i="10"/>
  <c r="AZ513" i="10" s="1"/>
  <c r="AG398" i="10"/>
  <c r="AH398" i="10" s="1"/>
  <c r="AY553" i="10"/>
  <c r="AZ553" i="10" s="1"/>
  <c r="AP420" i="10"/>
  <c r="AQ420" i="10" s="1"/>
  <c r="AP361" i="10"/>
  <c r="AQ361" i="10" s="1"/>
  <c r="X364" i="10"/>
  <c r="Y364" i="10" s="1"/>
  <c r="AG354" i="10"/>
  <c r="AH354" i="10" s="1"/>
  <c r="AP458" i="10"/>
  <c r="AQ458" i="10" s="1"/>
  <c r="AY397" i="10"/>
  <c r="AZ397" i="10" s="1"/>
  <c r="AP394" i="10"/>
  <c r="AQ394" i="10" s="1"/>
  <c r="AP464" i="10"/>
  <c r="AQ464" i="10" s="1"/>
  <c r="AY545" i="10"/>
  <c r="AZ545" i="10" s="1"/>
  <c r="AY515" i="10"/>
  <c r="AZ515" i="10" s="1"/>
  <c r="AY361" i="10"/>
  <c r="AZ361" i="10" s="1"/>
  <c r="X341" i="10"/>
  <c r="Y341" i="10" s="1"/>
  <c r="AG368" i="10"/>
  <c r="AH368" i="10" s="1"/>
  <c r="AY49" i="10"/>
  <c r="AZ49" i="10" s="1"/>
  <c r="AY70" i="10"/>
  <c r="AZ70" i="10" s="1"/>
  <c r="AY310" i="10"/>
  <c r="AZ310" i="10" s="1"/>
  <c r="AY302" i="10"/>
  <c r="AZ302" i="10" s="1"/>
  <c r="AY226" i="10"/>
  <c r="AZ226" i="10" s="1"/>
  <c r="AY210" i="10"/>
  <c r="AZ210" i="10" s="1"/>
  <c r="AY146" i="10"/>
  <c r="AZ146" i="10" s="1"/>
  <c r="AY142" i="10"/>
  <c r="AZ142" i="10" s="1"/>
  <c r="AY311" i="10"/>
  <c r="AZ311" i="10" s="1"/>
  <c r="AY303" i="10"/>
  <c r="AZ303" i="10" s="1"/>
  <c r="AY299" i="10"/>
  <c r="AZ299" i="10" s="1"/>
  <c r="AY267" i="10"/>
  <c r="AZ267" i="10" s="1"/>
  <c r="AY231" i="10"/>
  <c r="AZ231" i="10" s="1"/>
  <c r="AY215" i="10"/>
  <c r="AZ215" i="10" s="1"/>
  <c r="AP165" i="10"/>
  <c r="AQ165" i="10" s="1"/>
  <c r="AP155" i="10"/>
  <c r="AQ155" i="10" s="1"/>
  <c r="AP153" i="10"/>
  <c r="AQ153" i="10" s="1"/>
  <c r="AP143" i="10"/>
  <c r="AQ143" i="10" s="1"/>
  <c r="AY138" i="10"/>
  <c r="AZ138" i="10" s="1"/>
  <c r="AP137" i="10"/>
  <c r="AQ137" i="10" s="1"/>
  <c r="AP133" i="10"/>
  <c r="AQ133" i="10" s="1"/>
  <c r="AP119" i="10"/>
  <c r="AQ119" i="10" s="1"/>
  <c r="AP88" i="10"/>
  <c r="AQ88" i="10" s="1"/>
  <c r="AG81" i="10"/>
  <c r="AH81" i="10" s="1"/>
  <c r="AY60" i="10"/>
  <c r="AZ60" i="10" s="1"/>
  <c r="AP58" i="10"/>
  <c r="AQ58" i="10" s="1"/>
  <c r="AY56" i="10"/>
  <c r="AZ56" i="10" s="1"/>
  <c r="X53" i="10"/>
  <c r="Y53" i="10" s="1"/>
  <c r="X49" i="10"/>
  <c r="Y49" i="10" s="1"/>
  <c r="AG50" i="10"/>
  <c r="AH50" i="10" s="1"/>
  <c r="X40" i="10"/>
  <c r="Y40" i="10" s="1"/>
  <c r="AP38" i="10"/>
  <c r="AQ38" i="10" s="1"/>
  <c r="AY29" i="10"/>
  <c r="AZ29" i="10" s="1"/>
  <c r="AG29" i="10"/>
  <c r="AH29" i="10" s="1"/>
  <c r="AP128" i="10"/>
  <c r="AQ128" i="10" s="1"/>
  <c r="AY115" i="10"/>
  <c r="AZ115" i="10" s="1"/>
  <c r="AY107" i="10"/>
  <c r="AZ107" i="10" s="1"/>
  <c r="AP96" i="10"/>
  <c r="AQ96" i="10" s="1"/>
  <c r="AG74" i="10"/>
  <c r="AH74" i="10" s="1"/>
  <c r="X64" i="10"/>
  <c r="Y64" i="10" s="1"/>
  <c r="AY57" i="10"/>
  <c r="AZ57" i="10" s="1"/>
  <c r="AP50" i="10"/>
  <c r="AQ50" i="10" s="1"/>
  <c r="AP47" i="10"/>
  <c r="AQ47" i="10" s="1"/>
  <c r="AG32" i="10"/>
  <c r="AH32" i="10" s="1"/>
  <c r="AG30" i="10"/>
  <c r="AH30" i="10" s="1"/>
  <c r="AY283" i="10"/>
  <c r="AZ283" i="10" s="1"/>
  <c r="AY279" i="10"/>
  <c r="AZ279" i="10" s="1"/>
  <c r="AY251" i="10"/>
  <c r="AZ251" i="10" s="1"/>
  <c r="AY211" i="10"/>
  <c r="AZ211" i="10" s="1"/>
  <c r="AY203" i="10"/>
  <c r="AZ203" i="10" s="1"/>
  <c r="AY160" i="10"/>
  <c r="AZ160" i="10" s="1"/>
  <c r="AP159" i="10"/>
  <c r="AQ159" i="10" s="1"/>
  <c r="AP127" i="10"/>
  <c r="AQ127" i="10" s="1"/>
  <c r="AP125" i="10"/>
  <c r="AQ125" i="10" s="1"/>
  <c r="AP123" i="10"/>
  <c r="AQ123" i="10" s="1"/>
  <c r="AP121" i="10"/>
  <c r="AQ121" i="10" s="1"/>
  <c r="AP95" i="10"/>
  <c r="AQ95" i="10" s="1"/>
  <c r="AP79" i="10"/>
  <c r="AQ79" i="10" s="1"/>
  <c r="AP71" i="10"/>
  <c r="AQ71" i="10" s="1"/>
  <c r="X66" i="10"/>
  <c r="Y66" i="10" s="1"/>
  <c r="AY63" i="10"/>
  <c r="AZ63" i="10" s="1"/>
  <c r="AY61" i="10"/>
  <c r="AZ61" i="10" s="1"/>
  <c r="X54" i="10"/>
  <c r="Y54" i="10" s="1"/>
  <c r="AP40" i="10"/>
  <c r="AQ40" i="10" s="1"/>
  <c r="AY33" i="10"/>
  <c r="AZ33" i="10" s="1"/>
  <c r="AA22" i="12"/>
  <c r="D22" i="12" s="1"/>
  <c r="Z23" i="12"/>
  <c r="Y23" i="12"/>
  <c r="C24" i="12"/>
  <c r="AY176" i="10"/>
  <c r="AZ176" i="10" s="1"/>
  <c r="AY168" i="10"/>
  <c r="AZ168" i="10" s="1"/>
  <c r="AY157" i="10"/>
  <c r="AZ157" i="10" s="1"/>
  <c r="AY153" i="10"/>
  <c r="AZ153" i="10" s="1"/>
  <c r="AY139" i="10"/>
  <c r="AZ139" i="10" s="1"/>
  <c r="AY135" i="10"/>
  <c r="AZ135" i="10" s="1"/>
  <c r="AY133" i="10"/>
  <c r="AZ133" i="10" s="1"/>
  <c r="AY301" i="10"/>
  <c r="AZ301" i="10" s="1"/>
  <c r="AY289" i="10"/>
  <c r="AZ289" i="10" s="1"/>
  <c r="AY285" i="10"/>
  <c r="AZ285" i="10" s="1"/>
  <c r="AY281" i="10"/>
  <c r="AZ281" i="10" s="1"/>
  <c r="AY273" i="10"/>
  <c r="AZ273" i="10" s="1"/>
  <c r="AY261" i="10"/>
  <c r="AZ261" i="10" s="1"/>
  <c r="AY253" i="10"/>
  <c r="AZ253" i="10" s="1"/>
  <c r="AY237" i="10"/>
  <c r="AZ237" i="10" s="1"/>
  <c r="AY221" i="10"/>
  <c r="AZ221" i="10" s="1"/>
  <c r="AY213" i="10"/>
  <c r="AZ213" i="10" s="1"/>
  <c r="AY205" i="10"/>
  <c r="AZ205" i="10" s="1"/>
  <c r="AY197" i="10"/>
  <c r="AZ197" i="10" s="1"/>
  <c r="AY189" i="10"/>
  <c r="AZ189" i="10" s="1"/>
  <c r="AY185" i="10"/>
  <c r="AZ185" i="10" s="1"/>
  <c r="AY181" i="10"/>
  <c r="AZ181" i="10" s="1"/>
  <c r="AY177" i="10"/>
  <c r="AZ177" i="10" s="1"/>
  <c r="AY173" i="10"/>
  <c r="AZ173" i="10" s="1"/>
  <c r="AY169" i="10"/>
  <c r="AZ169" i="10" s="1"/>
  <c r="AP166" i="10"/>
  <c r="AQ166" i="10" s="1"/>
  <c r="AP164" i="10"/>
  <c r="AQ164" i="10" s="1"/>
  <c r="AY161" i="10"/>
  <c r="AZ161" i="10" s="1"/>
  <c r="AY159" i="10"/>
  <c r="AZ159" i="10" s="1"/>
  <c r="AP158" i="10"/>
  <c r="AQ158" i="10" s="1"/>
  <c r="AP156" i="10"/>
  <c r="AQ156" i="10" s="1"/>
  <c r="AP152" i="10"/>
  <c r="AQ152" i="10" s="1"/>
  <c r="AP146" i="10"/>
  <c r="AQ146" i="10" s="1"/>
  <c r="AP142" i="10"/>
  <c r="AQ142" i="10" s="1"/>
  <c r="AP134" i="10"/>
  <c r="AQ134" i="10" s="1"/>
  <c r="AP126" i="10"/>
  <c r="AQ126" i="10" s="1"/>
  <c r="AP124" i="10"/>
  <c r="AQ124" i="10" s="1"/>
  <c r="AP122" i="10"/>
  <c r="AQ122" i="10" s="1"/>
  <c r="AY113" i="10"/>
  <c r="AZ113" i="10" s="1"/>
  <c r="AP112" i="10"/>
  <c r="AQ112" i="10" s="1"/>
  <c r="AP108" i="10"/>
  <c r="AQ108" i="10" s="1"/>
  <c r="AY105" i="10"/>
  <c r="AZ105" i="10" s="1"/>
  <c r="AP102" i="10"/>
  <c r="AQ102" i="10" s="1"/>
  <c r="AY99" i="10"/>
  <c r="AZ99" i="10" s="1"/>
  <c r="AP98" i="10"/>
  <c r="AQ98" i="10" s="1"/>
  <c r="AP94" i="10"/>
  <c r="AQ94" i="10" s="1"/>
  <c r="AG89" i="10"/>
  <c r="AH89" i="10" s="1"/>
  <c r="AP85" i="10"/>
  <c r="AQ85" i="10" s="1"/>
  <c r="AY83" i="10"/>
  <c r="AZ83" i="10" s="1"/>
  <c r="AP81" i="10"/>
  <c r="AQ81" i="10" s="1"/>
  <c r="AP78" i="10"/>
  <c r="AQ78" i="10" s="1"/>
  <c r="AY73" i="10"/>
  <c r="AZ73" i="10" s="1"/>
  <c r="AP72" i="10"/>
  <c r="AQ72" i="10" s="1"/>
  <c r="AY68" i="10"/>
  <c r="AZ68" i="10" s="1"/>
  <c r="AG67" i="10"/>
  <c r="AH67" i="10" s="1"/>
  <c r="AG63" i="10"/>
  <c r="AH63" i="10" s="1"/>
  <c r="X60" i="10"/>
  <c r="Y60" i="10" s="1"/>
  <c r="AG61" i="10"/>
  <c r="AH61" i="10" s="1"/>
  <c r="AG58" i="10"/>
  <c r="AH58" i="10" s="1"/>
  <c r="X55" i="10"/>
  <c r="Y55" i="10" s="1"/>
  <c r="AP54" i="10"/>
  <c r="AQ54" i="10" s="1"/>
  <c r="AG54" i="10"/>
  <c r="AH54" i="10" s="1"/>
  <c r="AG51" i="10"/>
  <c r="AH51" i="10" s="1"/>
  <c r="AG48" i="10"/>
  <c r="AH48" i="10" s="1"/>
  <c r="X44" i="10"/>
  <c r="Y44" i="10" s="1"/>
  <c r="AG40" i="10"/>
  <c r="AH40" i="10" s="1"/>
  <c r="AP33" i="10"/>
  <c r="AQ33" i="10" s="1"/>
  <c r="AY132" i="10"/>
  <c r="AZ132" i="10" s="1"/>
  <c r="AY126" i="10"/>
  <c r="AZ126" i="10" s="1"/>
  <c r="AY124" i="10"/>
  <c r="AZ124" i="10" s="1"/>
  <c r="AY116" i="10"/>
  <c r="AZ116" i="10" s="1"/>
  <c r="AY110" i="10"/>
  <c r="AZ110" i="10" s="1"/>
  <c r="AY106" i="10"/>
  <c r="AZ106" i="10" s="1"/>
  <c r="AY102" i="10"/>
  <c r="AZ102" i="10" s="1"/>
  <c r="AY98" i="10"/>
  <c r="AZ98" i="10" s="1"/>
  <c r="AP93" i="10"/>
  <c r="AQ93" i="10" s="1"/>
  <c r="AG68" i="10"/>
  <c r="AH68" i="10" s="1"/>
  <c r="X61" i="10"/>
  <c r="Y61" i="10" s="1"/>
  <c r="AY54" i="10"/>
  <c r="AZ54" i="10" s="1"/>
  <c r="AY45" i="10"/>
  <c r="AZ45" i="10" s="1"/>
  <c r="AG41" i="10"/>
  <c r="AH41" i="10" s="1"/>
  <c r="X35" i="10"/>
  <c r="Y35" i="10" s="1"/>
  <c r="AY38" i="10"/>
  <c r="AZ38" i="10" s="1"/>
  <c r="AG38" i="10"/>
  <c r="AH38" i="10" s="1"/>
  <c r="AY34" i="10"/>
  <c r="AZ34" i="10" s="1"/>
  <c r="X62" i="10"/>
  <c r="Y62" i="10" s="1"/>
  <c r="AG39" i="10"/>
  <c r="AH39" i="10" s="1"/>
  <c r="X29" i="10"/>
  <c r="Y29" i="10" s="1"/>
  <c r="AG37" i="10"/>
  <c r="AH37" i="10" s="1"/>
  <c r="AG18" i="10"/>
  <c r="AH18" i="10" s="1"/>
  <c r="X26" i="10"/>
  <c r="Y26" i="10" s="1"/>
  <c r="EI31" i="10"/>
  <c r="EH31" i="10"/>
  <c r="EB13" i="10"/>
  <c r="EG31" i="10"/>
  <c r="EE31" i="10"/>
  <c r="ED31" i="10"/>
  <c r="EF31" i="10"/>
  <c r="AG26" i="10"/>
  <c r="AH26" i="10" s="1"/>
  <c r="AY137" i="10"/>
  <c r="AZ137" i="10" s="1"/>
  <c r="AY188" i="10"/>
  <c r="AZ188" i="10" s="1"/>
  <c r="AY256" i="10"/>
  <c r="AZ256" i="10" s="1"/>
  <c r="AY206" i="10"/>
  <c r="AZ206" i="10" s="1"/>
  <c r="X25" i="10"/>
  <c r="Y25" i="10" s="1"/>
  <c r="AP92" i="10"/>
  <c r="AQ92" i="10" s="1"/>
  <c r="AY222" i="10"/>
  <c r="AZ222" i="10" s="1"/>
  <c r="AY128" i="10"/>
  <c r="AZ128" i="10" s="1"/>
  <c r="AY242" i="10"/>
  <c r="AZ242" i="10" s="1"/>
  <c r="AY109" i="10"/>
  <c r="AZ109" i="10" s="1"/>
  <c r="X22" i="10"/>
  <c r="Y22" i="10" s="1"/>
  <c r="AP145" i="10"/>
  <c r="AQ145" i="10" s="1"/>
  <c r="AP139" i="10"/>
  <c r="AQ139" i="10" s="1"/>
  <c r="X59" i="10"/>
  <c r="Y59" i="10" s="1"/>
  <c r="AP51" i="10"/>
  <c r="AQ51" i="10" s="1"/>
  <c r="AG76" i="10"/>
  <c r="AH76" i="10" s="1"/>
  <c r="AY150" i="10"/>
  <c r="AZ150" i="10" s="1"/>
  <c r="AG64" i="10"/>
  <c r="AH64" i="10" s="1"/>
  <c r="AY224" i="10"/>
  <c r="AZ224" i="10" s="1"/>
  <c r="X46" i="10"/>
  <c r="Y46" i="10" s="1"/>
  <c r="AY200" i="10"/>
  <c r="AZ200" i="10" s="1"/>
  <c r="AY44" i="10"/>
  <c r="AZ44" i="10" s="1"/>
  <c r="AP100" i="10"/>
  <c r="AQ100" i="10" s="1"/>
  <c r="AP118" i="10"/>
  <c r="AQ118" i="10" s="1"/>
  <c r="AY26" i="10"/>
  <c r="AZ26" i="10" s="1"/>
  <c r="AY202" i="10"/>
  <c r="AZ202" i="10" s="1"/>
  <c r="AY24" i="10"/>
  <c r="AZ24" i="10" s="1"/>
  <c r="AG28" i="10"/>
  <c r="AH28" i="10" s="1"/>
  <c r="AY120" i="10"/>
  <c r="AZ120" i="10" s="1"/>
  <c r="AP27" i="10"/>
  <c r="AQ27" i="10" s="1"/>
  <c r="AY198" i="10"/>
  <c r="AZ198" i="10" s="1"/>
  <c r="AY108" i="10"/>
  <c r="AZ108" i="10" s="1"/>
  <c r="AY151" i="10"/>
  <c r="AZ151" i="10" s="1"/>
  <c r="AY123" i="10"/>
  <c r="AZ123" i="10" s="1"/>
  <c r="AG16" i="10"/>
  <c r="AH16" i="10" s="1"/>
  <c r="AG20" i="10"/>
  <c r="AH20" i="10" s="1"/>
  <c r="X52" i="10"/>
  <c r="Y52" i="10" s="1"/>
  <c r="AP144" i="10"/>
  <c r="AQ144" i="10" s="1"/>
  <c r="AY94" i="10"/>
  <c r="AZ94" i="10" s="1"/>
  <c r="AP49" i="10"/>
  <c r="AQ49" i="10" s="1"/>
  <c r="AG84" i="10"/>
  <c r="AH84" i="10" s="1"/>
  <c r="AY18" i="10"/>
  <c r="AZ18" i="10" s="1"/>
  <c r="AG88" i="10"/>
  <c r="AH88" i="10" s="1"/>
  <c r="AY58" i="10"/>
  <c r="AZ58" i="10" s="1"/>
  <c r="AP64" i="10"/>
  <c r="AQ64" i="10" s="1"/>
  <c r="AY162" i="10"/>
  <c r="AZ162" i="10" s="1"/>
  <c r="AY111" i="10"/>
  <c r="AZ111" i="10" s="1"/>
  <c r="AY77" i="10"/>
  <c r="AZ77" i="10" s="1"/>
  <c r="AG24" i="10"/>
  <c r="AH24" i="10" s="1"/>
  <c r="AY103" i="10"/>
  <c r="AZ103" i="10" s="1"/>
  <c r="AY131" i="10"/>
  <c r="AZ131" i="10" s="1"/>
  <c r="AP66" i="10"/>
  <c r="AQ66" i="10" s="1"/>
  <c r="AY20" i="10"/>
  <c r="AZ20" i="10" s="1"/>
  <c r="AG22" i="10"/>
  <c r="AH22" i="10" s="1"/>
  <c r="AG17" i="10"/>
  <c r="AH17" i="10" s="1"/>
  <c r="AY23" i="10"/>
  <c r="AZ23" i="10" s="1"/>
  <c r="AG33" i="10"/>
  <c r="AH33" i="10" s="1"/>
  <c r="X63" i="10"/>
  <c r="Y63" i="10" s="1"/>
  <c r="AY22" i="10"/>
  <c r="AZ22" i="10" s="1"/>
  <c r="AY122" i="10"/>
  <c r="AZ122" i="10" s="1"/>
  <c r="X28" i="10"/>
  <c r="Y28" i="10" s="1"/>
  <c r="AY100" i="10"/>
  <c r="AZ100" i="10" s="1"/>
  <c r="AP62" i="10"/>
  <c r="AQ62" i="10" s="1"/>
  <c r="AG45" i="10"/>
  <c r="AH45" i="10" s="1"/>
  <c r="AY80" i="10"/>
  <c r="AZ80" i="10" s="1"/>
  <c r="AG25" i="10"/>
  <c r="AH25" i="10" s="1"/>
  <c r="AY21" i="10"/>
  <c r="AZ21" i="10" s="1"/>
  <c r="AP22" i="10"/>
  <c r="AQ22" i="10" s="1"/>
  <c r="AP18" i="10"/>
  <c r="AQ18" i="10" s="1"/>
  <c r="X16" i="10"/>
  <c r="Y16" i="10" s="1"/>
  <c r="X18" i="10"/>
  <c r="Y18" i="10" s="1"/>
  <c r="AY296" i="10"/>
  <c r="AZ296" i="10" s="1"/>
  <c r="AY274" i="10"/>
  <c r="AZ274" i="10" s="1"/>
  <c r="AY174" i="10"/>
  <c r="AZ174" i="10" s="1"/>
  <c r="AY190" i="10"/>
  <c r="AZ190" i="10" s="1"/>
  <c r="AY244" i="10"/>
  <c r="AZ244" i="10" s="1"/>
  <c r="AP73" i="10"/>
  <c r="AQ73" i="10" s="1"/>
  <c r="AP160" i="10"/>
  <c r="AQ160" i="10" s="1"/>
  <c r="AP150" i="10"/>
  <c r="AQ150" i="10" s="1"/>
  <c r="AP82" i="10"/>
  <c r="AQ82" i="10" s="1"/>
  <c r="AY136" i="10"/>
  <c r="AZ136" i="10" s="1"/>
  <c r="AY218" i="10"/>
  <c r="AZ218" i="10" s="1"/>
  <c r="AY172" i="10"/>
  <c r="AZ172" i="10" s="1"/>
  <c r="AY112" i="10"/>
  <c r="AZ112" i="10" s="1"/>
  <c r="X48" i="10"/>
  <c r="Y48" i="10" s="1"/>
  <c r="AY129" i="10"/>
  <c r="AZ129" i="10" s="1"/>
  <c r="AG46" i="10"/>
  <c r="AH46" i="10" s="1"/>
  <c r="X57" i="10"/>
  <c r="Y57" i="10" s="1"/>
  <c r="AY125" i="10"/>
  <c r="AZ125" i="10" s="1"/>
  <c r="AY87" i="10"/>
  <c r="AZ87" i="10" s="1"/>
  <c r="AY82" i="10"/>
  <c r="AZ82" i="10" s="1"/>
  <c r="AY59" i="10"/>
  <c r="AZ59" i="10" s="1"/>
  <c r="AY170" i="10"/>
  <c r="AZ170" i="10" s="1"/>
  <c r="AG55" i="10"/>
  <c r="AH55" i="10" s="1"/>
  <c r="AY178" i="10"/>
  <c r="AZ178" i="10" s="1"/>
  <c r="AY204" i="10"/>
  <c r="AZ204" i="10" s="1"/>
  <c r="AY248" i="10"/>
  <c r="AZ248" i="10" s="1"/>
  <c r="AY121" i="10"/>
  <c r="AZ121" i="10" s="1"/>
  <c r="AY64" i="10"/>
  <c r="AZ64" i="10" s="1"/>
  <c r="AY25" i="10"/>
  <c r="AZ25" i="10" s="1"/>
  <c r="AY152" i="10"/>
  <c r="AZ152" i="10" s="1"/>
  <c r="AP46" i="10"/>
  <c r="AQ46" i="10" s="1"/>
  <c r="AY238" i="10"/>
  <c r="AZ238" i="10" s="1"/>
  <c r="AG73" i="10"/>
  <c r="AH73" i="10" s="1"/>
  <c r="AY155" i="10"/>
  <c r="AZ155" i="10" s="1"/>
  <c r="X21" i="10"/>
  <c r="Y21" i="10" s="1"/>
  <c r="AG19" i="10"/>
  <c r="AH19" i="10" s="1"/>
  <c r="AG57" i="10"/>
  <c r="AH57" i="10" s="1"/>
  <c r="AP52" i="10"/>
  <c r="AQ52" i="10" s="1"/>
  <c r="AY40" i="10"/>
  <c r="AZ40" i="10" s="1"/>
  <c r="AY42" i="10"/>
  <c r="AZ42" i="10" s="1"/>
  <c r="AY84" i="10"/>
  <c r="AZ84" i="10" s="1"/>
  <c r="AG78" i="10"/>
  <c r="AH78" i="10" s="1"/>
  <c r="AP87" i="10"/>
  <c r="AQ87" i="10" s="1"/>
  <c r="AY145" i="10"/>
  <c r="AZ145" i="10" s="1"/>
  <c r="AG49" i="10"/>
  <c r="AH49" i="10" s="1"/>
  <c r="AP26" i="10"/>
  <c r="AQ26" i="10" s="1"/>
  <c r="AY158" i="10"/>
  <c r="AZ158" i="10" s="1"/>
  <c r="AP69" i="10"/>
  <c r="AQ69" i="10" s="1"/>
  <c r="AY50" i="10"/>
  <c r="AZ50" i="10" s="1"/>
  <c r="X37" i="10"/>
  <c r="Y37" i="10" s="1"/>
  <c r="AY90" i="10"/>
  <c r="AZ90" i="10" s="1"/>
  <c r="AY78" i="10"/>
  <c r="AZ78" i="10" s="1"/>
  <c r="AP41" i="10"/>
  <c r="AQ41" i="10" s="1"/>
  <c r="X41" i="10"/>
  <c r="Y41" i="10" s="1"/>
  <c r="AY39" i="10"/>
  <c r="AZ39" i="10" s="1"/>
  <c r="AY47" i="10"/>
  <c r="AZ47" i="10" s="1"/>
  <c r="AP56" i="10"/>
  <c r="AQ56" i="10" s="1"/>
  <c r="AY37" i="10"/>
  <c r="AZ37" i="10" s="1"/>
  <c r="AP19" i="10"/>
  <c r="AQ19" i="10" s="1"/>
  <c r="X23" i="10"/>
  <c r="Y23" i="10" s="1"/>
  <c r="AG23" i="10"/>
  <c r="AH23" i="10" s="1"/>
  <c r="AP20" i="10"/>
  <c r="AQ20" i="10" s="1"/>
  <c r="EL74" i="10" l="1"/>
  <c r="EL52" i="10"/>
  <c r="EW56" i="10" s="1"/>
  <c r="EM74" i="10"/>
  <c r="EH54" i="10"/>
  <c r="EI54" i="10"/>
  <c r="EG54" i="10"/>
  <c r="EK54" i="10" s="1"/>
  <c r="EF18" i="10"/>
  <c r="EH55" i="10" s="1"/>
  <c r="EF54" i="10"/>
  <c r="EE54" i="10"/>
  <c r="EK41" i="10"/>
  <c r="EM31" i="10"/>
  <c r="EG12" i="10"/>
  <c r="EM41" i="10"/>
  <c r="EG13" i="10"/>
  <c r="EH64" i="10"/>
  <c r="EL64" i="10" s="1"/>
  <c r="EI64" i="10"/>
  <c r="ED64" i="10"/>
  <c r="EF64" i="10"/>
  <c r="EG64" i="10"/>
  <c r="EG24" i="10"/>
  <c r="EH63" i="10"/>
  <c r="EG17" i="10"/>
  <c r="ED65" i="10" s="1"/>
  <c r="EI63" i="10"/>
  <c r="EF63" i="10"/>
  <c r="EE63" i="10"/>
  <c r="ED63" i="10"/>
  <c r="EK63" i="10" s="1"/>
  <c r="EK52" i="10"/>
  <c r="EP57" i="10" s="1"/>
  <c r="EM52" i="10"/>
  <c r="EK31" i="10"/>
  <c r="ED30" i="10"/>
  <c r="EM75" i="10"/>
  <c r="EL75" i="10"/>
  <c r="EW78" i="10" s="1"/>
  <c r="EE30" i="10"/>
  <c r="EB24" i="10"/>
  <c r="EH30" i="10"/>
  <c r="EB12" i="10"/>
  <c r="EJ18" i="10"/>
  <c r="ED77" i="10" s="1"/>
  <c r="EB17" i="10"/>
  <c r="EF32" i="10" s="1"/>
  <c r="EI30" i="10"/>
  <c r="EM30" i="10" s="1"/>
  <c r="EG30" i="10"/>
  <c r="EG76" i="10"/>
  <c r="ED76" i="10"/>
  <c r="EE76" i="10"/>
  <c r="EL76" i="10" s="1"/>
  <c r="EI76" i="10"/>
  <c r="EF76" i="10"/>
  <c r="EP77" i="10"/>
  <c r="EQ77" i="10" s="1"/>
  <c r="EP80" i="10"/>
  <c r="EQ80" i="10" s="1"/>
  <c r="EP79" i="10"/>
  <c r="EQ79" i="10" s="1"/>
  <c r="EP76" i="10"/>
  <c r="EQ76" i="10" s="1"/>
  <c r="EP78" i="10"/>
  <c r="EQ78" i="10" s="1"/>
  <c r="EL42" i="10"/>
  <c r="EW45" i="10" s="1"/>
  <c r="EK42" i="10"/>
  <c r="EM42" i="10"/>
  <c r="EI43" i="10"/>
  <c r="EH43" i="10"/>
  <c r="EE18" i="10"/>
  <c r="ED43" i="10"/>
  <c r="EF43" i="10"/>
  <c r="EE43" i="10"/>
  <c r="EG43" i="10"/>
  <c r="AA23" i="12"/>
  <c r="D23" i="12" s="1"/>
  <c r="E23" i="12" s="1"/>
  <c r="G23" i="12" s="1"/>
  <c r="C25" i="12"/>
  <c r="Y24" i="12"/>
  <c r="Z24" i="12"/>
  <c r="EL31" i="10"/>
  <c r="EK30" i="10" l="1"/>
  <c r="EP34" i="10" s="1"/>
  <c r="EL30" i="10"/>
  <c r="EW34" i="10" s="1"/>
  <c r="EL54" i="10"/>
  <c r="EM54" i="10"/>
  <c r="EF19" i="10"/>
  <c r="EF56" i="10" s="1"/>
  <c r="EG55" i="10"/>
  <c r="EF55" i="10"/>
  <c r="ED55" i="10"/>
  <c r="EI55" i="10"/>
  <c r="EE55" i="10"/>
  <c r="EL55" i="10" s="1"/>
  <c r="EP47" i="10"/>
  <c r="EF65" i="10"/>
  <c r="EK64" i="10"/>
  <c r="EP69" i="10" s="1"/>
  <c r="EM64" i="10"/>
  <c r="EL43" i="10"/>
  <c r="EP56" i="10"/>
  <c r="EP58" i="10"/>
  <c r="EL63" i="10"/>
  <c r="EW67" i="10" s="1"/>
  <c r="EM43" i="10"/>
  <c r="EH65" i="10"/>
  <c r="EI65" i="10"/>
  <c r="EE65" i="10"/>
  <c r="EG18" i="10"/>
  <c r="EG66" i="10" s="1"/>
  <c r="EG65" i="10"/>
  <c r="EK65" i="10" s="1"/>
  <c r="EM63" i="10"/>
  <c r="EP54" i="10"/>
  <c r="EQ57" i="10" s="1"/>
  <c r="EP55" i="10"/>
  <c r="EH77" i="10"/>
  <c r="EG32" i="10"/>
  <c r="ED32" i="10"/>
  <c r="EG77" i="10"/>
  <c r="EK77" i="10" s="1"/>
  <c r="ER77" i="10" s="1"/>
  <c r="EE32" i="10"/>
  <c r="EI77" i="10"/>
  <c r="EE77" i="10"/>
  <c r="EJ19" i="10"/>
  <c r="EI78" i="10" s="1"/>
  <c r="EF77" i="10"/>
  <c r="EB18" i="10"/>
  <c r="EF33" i="10" s="1"/>
  <c r="EI32" i="10"/>
  <c r="EM32" i="10" s="1"/>
  <c r="EH32" i="10"/>
  <c r="EP46" i="10"/>
  <c r="EK76" i="10"/>
  <c r="ER76" i="10" s="1"/>
  <c r="EM76" i="10"/>
  <c r="EP45" i="10"/>
  <c r="EP43" i="10"/>
  <c r="EP44" i="10"/>
  <c r="EK43" i="10"/>
  <c r="EG44" i="10"/>
  <c r="EF44" i="10"/>
  <c r="EE44" i="10"/>
  <c r="EH44" i="10"/>
  <c r="ED44" i="10"/>
  <c r="EE19" i="10"/>
  <c r="EI44" i="10"/>
  <c r="F23" i="12"/>
  <c r="AA24" i="12"/>
  <c r="D24" i="12" s="1"/>
  <c r="E24" i="12" s="1"/>
  <c r="G24" i="12" s="1"/>
  <c r="Z25" i="12"/>
  <c r="C26" i="12"/>
  <c r="Y25" i="12"/>
  <c r="EG56" i="10" l="1"/>
  <c r="EI56" i="10"/>
  <c r="EM56" i="10" s="1"/>
  <c r="EF20" i="10"/>
  <c r="EE57" i="10" s="1"/>
  <c r="ED56" i="10"/>
  <c r="EK55" i="10"/>
  <c r="EM55" i="10"/>
  <c r="EE56" i="10"/>
  <c r="EH56" i="10"/>
  <c r="EP67" i="10"/>
  <c r="EP66" i="10"/>
  <c r="EM65" i="10"/>
  <c r="EF66" i="10"/>
  <c r="EP68" i="10"/>
  <c r="EP65" i="10"/>
  <c r="EQ65" i="10" s="1"/>
  <c r="ER65" i="10" s="1"/>
  <c r="EL65" i="10"/>
  <c r="EK44" i="10"/>
  <c r="EQ55" i="10"/>
  <c r="EQ54" i="10"/>
  <c r="ER54" i="10" s="1"/>
  <c r="AA25" i="12"/>
  <c r="D25" i="12" s="1"/>
  <c r="E25" i="12" s="1"/>
  <c r="G25" i="12" s="1"/>
  <c r="EH66" i="10"/>
  <c r="ED66" i="10"/>
  <c r="EK66" i="10" s="1"/>
  <c r="EI66" i="10"/>
  <c r="EG19" i="10"/>
  <c r="EG67" i="10" s="1"/>
  <c r="EE66" i="10"/>
  <c r="EP33" i="10"/>
  <c r="EL77" i="10"/>
  <c r="EQ58" i="10"/>
  <c r="EQ56" i="10"/>
  <c r="F24" i="12"/>
  <c r="ER55" i="10"/>
  <c r="EP35" i="10"/>
  <c r="EP36" i="10"/>
  <c r="ED33" i="10"/>
  <c r="EP32" i="10"/>
  <c r="EQ33" i="10" s="1"/>
  <c r="EK32" i="10"/>
  <c r="EM77" i="10"/>
  <c r="EL32" i="10"/>
  <c r="EH33" i="10"/>
  <c r="EB19" i="10"/>
  <c r="ED34" i="10" s="1"/>
  <c r="ED78" i="10"/>
  <c r="EI33" i="10"/>
  <c r="EM33" i="10" s="1"/>
  <c r="EF78" i="10"/>
  <c r="EM78" i="10" s="1"/>
  <c r="EH78" i="10"/>
  <c r="EG33" i="10"/>
  <c r="EE33" i="10"/>
  <c r="EG78" i="10"/>
  <c r="EJ20" i="10"/>
  <c r="EG79" i="10" s="1"/>
  <c r="EE78" i="10"/>
  <c r="EQ44" i="10"/>
  <c r="EQ47" i="10"/>
  <c r="EQ45" i="10"/>
  <c r="EQ43" i="10"/>
  <c r="ER43" i="10" s="1"/>
  <c r="EQ46" i="10"/>
  <c r="EL44" i="10"/>
  <c r="EG45" i="10"/>
  <c r="EF45" i="10"/>
  <c r="EI45" i="10"/>
  <c r="EE45" i="10"/>
  <c r="EE20" i="10"/>
  <c r="EH45" i="10"/>
  <c r="ED45" i="10"/>
  <c r="EM44" i="10"/>
  <c r="C27" i="12"/>
  <c r="Z26" i="12"/>
  <c r="Y26" i="12"/>
  <c r="EK56" i="10" l="1"/>
  <c r="EH57" i="10"/>
  <c r="EL57" i="10" s="1"/>
  <c r="EF57" i="10"/>
  <c r="EG57" i="10"/>
  <c r="ED57" i="10"/>
  <c r="EF21" i="10"/>
  <c r="EG58" i="10" s="1"/>
  <c r="EI57" i="10"/>
  <c r="EL56" i="10"/>
  <c r="EM66" i="10"/>
  <c r="EQ68" i="10"/>
  <c r="EQ66" i="10"/>
  <c r="ER66" i="10" s="1"/>
  <c r="EQ67" i="10"/>
  <c r="EQ69" i="10"/>
  <c r="ER44" i="10"/>
  <c r="EK45" i="10"/>
  <c r="EO44" i="10" s="1"/>
  <c r="EI67" i="10"/>
  <c r="F25" i="12"/>
  <c r="EQ32" i="10"/>
  <c r="ER32" i="10" s="1"/>
  <c r="EL66" i="10"/>
  <c r="EG20" i="10"/>
  <c r="EG21" i="10" s="1"/>
  <c r="EF67" i="10"/>
  <c r="EE67" i="10"/>
  <c r="ED67" i="10"/>
  <c r="EK67" i="10" s="1"/>
  <c r="EH67" i="10"/>
  <c r="EK33" i="10"/>
  <c r="ER33" i="10" s="1"/>
  <c r="EQ36" i="10"/>
  <c r="EQ35" i="10"/>
  <c r="EQ34" i="10"/>
  <c r="EL33" i="10"/>
  <c r="EL78" i="10"/>
  <c r="EK78" i="10"/>
  <c r="EO78" i="10" s="1"/>
  <c r="EE34" i="10"/>
  <c r="EF34" i="10"/>
  <c r="EH34" i="10"/>
  <c r="EH79" i="10"/>
  <c r="EI34" i="10"/>
  <c r="EG34" i="10"/>
  <c r="EK34" i="10" s="1"/>
  <c r="EB20" i="10"/>
  <c r="EB21" i="10" s="1"/>
  <c r="EJ21" i="10"/>
  <c r="EF80" i="10" s="1"/>
  <c r="EE79" i="10"/>
  <c r="ED79" i="10"/>
  <c r="EK79" i="10" s="1"/>
  <c r="ER79" i="10" s="1"/>
  <c r="EF79" i="10"/>
  <c r="EI79" i="10"/>
  <c r="EL45" i="10"/>
  <c r="EM45" i="10"/>
  <c r="EE21" i="10"/>
  <c r="EG46" i="10"/>
  <c r="ED46" i="10"/>
  <c r="EF46" i="10"/>
  <c r="EI46" i="10"/>
  <c r="EH46" i="10"/>
  <c r="EE46" i="10"/>
  <c r="AA26" i="12"/>
  <c r="D26" i="12" s="1"/>
  <c r="F26" i="12" s="1"/>
  <c r="Z27" i="12"/>
  <c r="C28" i="12"/>
  <c r="Y27" i="12"/>
  <c r="EO56" i="10" l="1"/>
  <c r="ER56" i="10"/>
  <c r="EO58" i="10"/>
  <c r="EO57" i="10"/>
  <c r="EO54" i="10"/>
  <c r="ES54" i="10" s="1"/>
  <c r="EO55" i="10"/>
  <c r="ES55" i="10" s="1"/>
  <c r="ER78" i="10"/>
  <c r="ES78" i="10" s="1"/>
  <c r="EM57" i="10"/>
  <c r="EK57" i="10"/>
  <c r="ER57" i="10" s="1"/>
  <c r="ED58" i="10"/>
  <c r="EK58" i="10" s="1"/>
  <c r="ER58" i="10" s="1"/>
  <c r="EI58" i="10"/>
  <c r="EE58" i="10"/>
  <c r="EH58" i="10"/>
  <c r="EF58" i="10"/>
  <c r="EM67" i="10"/>
  <c r="ES44" i="10"/>
  <c r="EO47" i="10"/>
  <c r="ER45" i="10"/>
  <c r="EO45" i="10"/>
  <c r="EO43" i="10"/>
  <c r="ES43" i="10" s="1"/>
  <c r="EO46" i="10"/>
  <c r="EL67" i="10"/>
  <c r="EF68" i="10"/>
  <c r="EG68" i="10"/>
  <c r="EH68" i="10"/>
  <c r="ED68" i="10"/>
  <c r="EI68" i="10"/>
  <c r="EE68" i="10"/>
  <c r="AA27" i="12"/>
  <c r="D27" i="12" s="1"/>
  <c r="E27" i="12" s="1"/>
  <c r="G27" i="12" s="1"/>
  <c r="EO76" i="10"/>
  <c r="ES76" i="10" s="1"/>
  <c r="EO80" i="10"/>
  <c r="EO77" i="10"/>
  <c r="ES77" i="10" s="1"/>
  <c r="EO79" i="10"/>
  <c r="ES79" i="10" s="1"/>
  <c r="EL79" i="10"/>
  <c r="EM79" i="10"/>
  <c r="EL34" i="10"/>
  <c r="EM34" i="10"/>
  <c r="EE80" i="10"/>
  <c r="EH80" i="10"/>
  <c r="EG80" i="10"/>
  <c r="EH35" i="10"/>
  <c r="EF35" i="10"/>
  <c r="EE35" i="10"/>
  <c r="ED35" i="10"/>
  <c r="EI80" i="10"/>
  <c r="EM80" i="10" s="1"/>
  <c r="ED80" i="10"/>
  <c r="EI35" i="10"/>
  <c r="EG35" i="10"/>
  <c r="EO65" i="10"/>
  <c r="ES65" i="10" s="1"/>
  <c r="EO66" i="10"/>
  <c r="ES66" i="10" s="1"/>
  <c r="ER67" i="10"/>
  <c r="EO67" i="10"/>
  <c r="EO68" i="10"/>
  <c r="EO69" i="10"/>
  <c r="ED69" i="10"/>
  <c r="EH69" i="10"/>
  <c r="EG69" i="10"/>
  <c r="EE69" i="10"/>
  <c r="EF69" i="10"/>
  <c r="EI69" i="10"/>
  <c r="E26" i="12"/>
  <c r="G26" i="12" s="1"/>
  <c r="EM46" i="10"/>
  <c r="EL46" i="10"/>
  <c r="EK46" i="10"/>
  <c r="ER46" i="10" s="1"/>
  <c r="EI47" i="10"/>
  <c r="EF47" i="10"/>
  <c r="ED47" i="10"/>
  <c r="EG47" i="10"/>
  <c r="EH47" i="10"/>
  <c r="EE47" i="10"/>
  <c r="Z28" i="12"/>
  <c r="Y28" i="12"/>
  <c r="C29" i="12"/>
  <c r="ER34" i="10"/>
  <c r="EO33" i="10"/>
  <c r="ES33" i="10" s="1"/>
  <c r="EO35" i="10"/>
  <c r="EO32" i="10"/>
  <c r="ES32" i="10" s="1"/>
  <c r="EO34" i="10"/>
  <c r="EO36" i="10"/>
  <c r="ED36" i="10"/>
  <c r="EE36" i="10"/>
  <c r="EI36" i="10"/>
  <c r="EF36" i="10"/>
  <c r="EG36" i="10"/>
  <c r="EH36" i="10"/>
  <c r="ES56" i="10" l="1"/>
  <c r="ES57" i="10"/>
  <c r="ES58" i="10"/>
  <c r="EV56" i="10" s="1"/>
  <c r="EZ54" i="10" s="1"/>
  <c r="FB54" i="10" s="1"/>
  <c r="EM58" i="10"/>
  <c r="EL58" i="10"/>
  <c r="ES46" i="10"/>
  <c r="EK80" i="10"/>
  <c r="ER80" i="10" s="1"/>
  <c r="ES80" i="10" s="1"/>
  <c r="EV78" i="10" s="1"/>
  <c r="FA76" i="10" s="1"/>
  <c r="FC76" i="10" s="1"/>
  <c r="EK68" i="10"/>
  <c r="ER68" i="10" s="1"/>
  <c r="ES68" i="10" s="1"/>
  <c r="ES45" i="10"/>
  <c r="F27" i="12"/>
  <c r="EL68" i="10"/>
  <c r="EK69" i="10"/>
  <c r="ER69" i="10" s="1"/>
  <c r="ES69" i="10" s="1"/>
  <c r="EM68" i="10"/>
  <c r="ES34" i="10"/>
  <c r="EL35" i="10"/>
  <c r="EL80" i="10"/>
  <c r="EK35" i="10"/>
  <c r="ER35" i="10" s="1"/>
  <c r="ES35" i="10" s="1"/>
  <c r="EM35" i="10"/>
  <c r="ES67" i="10"/>
  <c r="EM69" i="10"/>
  <c r="EL69" i="10"/>
  <c r="EL47" i="10"/>
  <c r="EM47" i="10"/>
  <c r="EK47" i="10"/>
  <c r="ER47" i="10" s="1"/>
  <c r="ES47" i="10" s="1"/>
  <c r="AA28" i="12"/>
  <c r="D28" i="12" s="1"/>
  <c r="C30" i="12"/>
  <c r="Y29" i="12"/>
  <c r="Z29" i="12"/>
  <c r="EM36" i="10"/>
  <c r="EK36" i="10"/>
  <c r="ER36" i="10" s="1"/>
  <c r="ES36" i="10" s="1"/>
  <c r="EL36" i="10"/>
  <c r="FA54" i="10" l="1"/>
  <c r="FC54" i="10" s="1"/>
  <c r="FD54" i="10" s="1"/>
  <c r="FE54" i="10" s="1"/>
  <c r="FF54" i="10" s="1"/>
  <c r="EV45" i="10"/>
  <c r="FA43" i="10" s="1"/>
  <c r="FC43" i="10" s="1"/>
  <c r="EZ76" i="10"/>
  <c r="FB76" i="10" s="1"/>
  <c r="FD76" i="10" s="1"/>
  <c r="FE76" i="10" s="1"/>
  <c r="FF76" i="10" s="1"/>
  <c r="EV34" i="10"/>
  <c r="EZ32" i="10" s="1"/>
  <c r="FB32" i="10" s="1"/>
  <c r="EV67" i="10"/>
  <c r="EZ65" i="10" s="1"/>
  <c r="FB65" i="10" s="1"/>
  <c r="E28" i="12"/>
  <c r="G28" i="12" s="1"/>
  <c r="F28" i="12"/>
  <c r="AA29" i="12"/>
  <c r="D29" i="12" s="1"/>
  <c r="Y30" i="12"/>
  <c r="Z30" i="12"/>
  <c r="C31" i="12"/>
  <c r="EZ43" i="10" l="1"/>
  <c r="FB43" i="10" s="1"/>
  <c r="FD43" i="10" s="1"/>
  <c r="FE43" i="10" s="1"/>
  <c r="FF43" i="10" s="1"/>
  <c r="FA32" i="10"/>
  <c r="FC32" i="10" s="1"/>
  <c r="FD32" i="10" s="1"/>
  <c r="AA30" i="12"/>
  <c r="D30" i="12" s="1"/>
  <c r="E30" i="12" s="1"/>
  <c r="G30" i="12" s="1"/>
  <c r="FA65" i="10"/>
  <c r="FC65" i="10" s="1"/>
  <c r="FD65" i="10" s="1"/>
  <c r="FE65" i="10" s="1"/>
  <c r="FF65" i="10" s="1"/>
  <c r="F29" i="12"/>
  <c r="E29" i="12"/>
  <c r="G29" i="12" s="1"/>
  <c r="Y31" i="12"/>
  <c r="C32" i="12"/>
  <c r="Z31" i="12"/>
  <c r="F30" i="12" l="1"/>
  <c r="AA31" i="12"/>
  <c r="D31" i="12" s="1"/>
  <c r="C33" i="12"/>
  <c r="Y32" i="12"/>
  <c r="Z32" i="12"/>
  <c r="FE32" i="10"/>
  <c r="FD80" i="10"/>
  <c r="C50" i="7" s="1"/>
  <c r="AA32" i="12" l="1"/>
  <c r="D32" i="12" s="1"/>
  <c r="F32" i="12" s="1"/>
  <c r="E31" i="12"/>
  <c r="G31" i="12" s="1"/>
  <c r="F31" i="12"/>
  <c r="Z33" i="12"/>
  <c r="C34" i="12"/>
  <c r="Y33" i="12"/>
  <c r="FE80" i="10"/>
  <c r="FF32" i="10"/>
  <c r="AA33" i="12" l="1"/>
  <c r="D33" i="12" s="1"/>
  <c r="E33" i="12" s="1"/>
  <c r="G33" i="12" s="1"/>
  <c r="E32" i="12"/>
  <c r="G32" i="12" s="1"/>
  <c r="Z34" i="12"/>
  <c r="Y34" i="12"/>
  <c r="C35" i="12"/>
  <c r="C51" i="7"/>
  <c r="FF80" i="10"/>
  <c r="C52" i="7" s="1"/>
  <c r="F33" i="12" l="1"/>
  <c r="AA34" i="12"/>
  <c r="D34" i="12" s="1"/>
  <c r="F34" i="12" s="1"/>
  <c r="Y35" i="12"/>
  <c r="Z35" i="12"/>
  <c r="C36" i="12"/>
  <c r="AA35" i="12" l="1"/>
  <c r="D35" i="12" s="1"/>
  <c r="F35" i="12" s="1"/>
  <c r="E34" i="12"/>
  <c r="G34" i="12" s="1"/>
  <c r="C37" i="12"/>
  <c r="Y36" i="12"/>
  <c r="Z36" i="12"/>
  <c r="E35" i="12" l="1"/>
  <c r="G35" i="12" s="1"/>
  <c r="AA36" i="12"/>
  <c r="D36" i="12" s="1"/>
  <c r="E36" i="12" s="1"/>
  <c r="G36" i="12" s="1"/>
  <c r="Y37" i="12"/>
  <c r="C38" i="12"/>
  <c r="Z37" i="12"/>
  <c r="AA37" i="12" l="1"/>
  <c r="D37" i="12" s="1"/>
  <c r="F37" i="12" s="1"/>
  <c r="F36" i="12"/>
  <c r="Z38" i="12"/>
  <c r="Y38" i="12"/>
  <c r="C39" i="12"/>
  <c r="AA38" i="12" l="1"/>
  <c r="D38" i="12" s="1"/>
  <c r="F38" i="12" s="1"/>
  <c r="E37" i="12"/>
  <c r="G37" i="12" s="1"/>
  <c r="Y39" i="12"/>
  <c r="Z39" i="12"/>
  <c r="C40" i="12"/>
  <c r="AA39" i="12" l="1"/>
  <c r="D39" i="12" s="1"/>
  <c r="F39" i="12" s="1"/>
  <c r="E38" i="12"/>
  <c r="G38" i="12" s="1"/>
  <c r="Y40" i="12"/>
  <c r="Z40" i="12"/>
  <c r="C41" i="12"/>
  <c r="E39" i="12" l="1"/>
  <c r="G39" i="12" s="1"/>
  <c r="AA40" i="12"/>
  <c r="D40" i="12" s="1"/>
  <c r="F40" i="12" s="1"/>
  <c r="G41" i="12"/>
  <c r="C42" i="12"/>
  <c r="Y41" i="12"/>
  <c r="Z41" i="12"/>
  <c r="AA41" i="12" s="1"/>
  <c r="D41" i="12" s="1"/>
  <c r="F41" i="12" s="1"/>
  <c r="E40" i="12" l="1"/>
  <c r="G40" i="12" s="1"/>
  <c r="E41" i="12"/>
  <c r="Y42" i="12"/>
  <c r="AA42" i="12"/>
  <c r="D42" i="12" s="1"/>
  <c r="G42" i="12"/>
  <c r="C43" i="12"/>
  <c r="E42" i="12"/>
  <c r="F42" i="12"/>
  <c r="Z42" i="12"/>
  <c r="Z43" i="12" l="1"/>
  <c r="G43" i="12"/>
  <c r="E43" i="12"/>
  <c r="AA43" i="12"/>
  <c r="D43" i="12" s="1"/>
  <c r="F43" i="12"/>
  <c r="C44" i="12"/>
  <c r="Y43" i="12"/>
  <c r="G44" i="12" l="1"/>
  <c r="E44" i="12"/>
  <c r="Y44" i="12"/>
  <c r="F44" i="12"/>
  <c r="AA44" i="12"/>
  <c r="D44" i="12" s="1"/>
  <c r="Z44" i="12"/>
  <c r="C45" i="12"/>
  <c r="G45" i="12" l="1"/>
  <c r="C46" i="12"/>
  <c r="AA45" i="12"/>
  <c r="D45" i="12" s="1"/>
  <c r="Z45" i="12"/>
  <c r="Y45" i="12"/>
  <c r="F45" i="12"/>
  <c r="E45" i="12"/>
  <c r="Z46" i="12" l="1"/>
  <c r="G46" i="12"/>
  <c r="C47" i="12"/>
  <c r="E46" i="12"/>
  <c r="AA46" i="12"/>
  <c r="D46" i="12" s="1"/>
  <c r="Y46" i="12"/>
  <c r="F46" i="12"/>
  <c r="F47" i="12" l="1"/>
  <c r="C48" i="12"/>
  <c r="G47" i="12"/>
  <c r="E47" i="12"/>
  <c r="Z47" i="12"/>
  <c r="AA47" i="12"/>
  <c r="D47" i="12" s="1"/>
  <c r="Y47" i="12"/>
  <c r="F48" i="12" l="1"/>
  <c r="Y48" i="12"/>
  <c r="G48" i="12"/>
  <c r="C49" i="12"/>
  <c r="Z48" i="12"/>
  <c r="E48" i="12"/>
  <c r="AA48" i="12"/>
  <c r="D48" i="12" s="1"/>
  <c r="Y49" i="12" l="1"/>
  <c r="AA49" i="12"/>
  <c r="D49" i="12" s="1"/>
  <c r="G49" i="12"/>
  <c r="C50" i="12"/>
  <c r="E49" i="12"/>
  <c r="F49" i="12"/>
  <c r="Z49" i="12"/>
  <c r="AA50" i="12" l="1"/>
  <c r="D50" i="12" s="1"/>
  <c r="G50" i="12"/>
  <c r="Z50" i="12"/>
  <c r="F50" i="12"/>
  <c r="Y50" i="12"/>
  <c r="C51" i="12"/>
  <c r="E50" i="12"/>
  <c r="E51" i="12" l="1"/>
  <c r="Y51" i="12"/>
  <c r="F51" i="12"/>
  <c r="AA51" i="12"/>
  <c r="D51" i="12" s="1"/>
  <c r="C52" i="12"/>
  <c r="G51" i="12"/>
  <c r="Z51" i="12"/>
  <c r="F52" i="12" l="1"/>
  <c r="AA52" i="12"/>
  <c r="D52" i="12" s="1"/>
  <c r="Z52" i="12"/>
  <c r="Y52" i="12"/>
  <c r="G52" i="12"/>
  <c r="C53" i="12"/>
  <c r="E52" i="12"/>
  <c r="C54" i="12" l="1"/>
  <c r="F53" i="12"/>
  <c r="E53" i="12"/>
  <c r="AA53" i="12"/>
  <c r="D53" i="12" s="1"/>
  <c r="G53" i="12"/>
  <c r="Z53" i="12"/>
  <c r="Y53" i="12"/>
  <c r="AA54" i="12" l="1"/>
  <c r="D54" i="12" s="1"/>
  <c r="F54" i="12"/>
  <c r="Y54" i="12"/>
  <c r="G54" i="12"/>
  <c r="C55" i="12"/>
  <c r="E54" i="12"/>
  <c r="Z54" i="12"/>
  <c r="Z55" i="12" l="1"/>
  <c r="Y55" i="12"/>
  <c r="AA55" i="12"/>
  <c r="D55" i="12" s="1"/>
  <c r="E55" i="12"/>
  <c r="F55" i="12"/>
  <c r="C56" i="12"/>
  <c r="G55" i="12"/>
  <c r="C57" i="12" l="1"/>
  <c r="AA56" i="12"/>
  <c r="D56" i="12" s="1"/>
  <c r="Z56" i="12"/>
  <c r="F56" i="12"/>
  <c r="G56" i="12"/>
  <c r="E56" i="12"/>
  <c r="Y56" i="12"/>
  <c r="F57" i="12" l="1"/>
  <c r="G57" i="12"/>
  <c r="E57" i="12"/>
  <c r="Z57" i="12"/>
  <c r="C58" i="12"/>
  <c r="Y57" i="12"/>
  <c r="AA57" i="12"/>
  <c r="D57" i="12" s="1"/>
  <c r="AA58" i="12" l="1"/>
  <c r="D58" i="12" s="1"/>
  <c r="C59" i="12"/>
  <c r="F58" i="12"/>
  <c r="G58" i="12"/>
  <c r="Z58" i="12"/>
  <c r="E58" i="12"/>
  <c r="Y58" i="12"/>
  <c r="G59" i="12" l="1"/>
  <c r="Z59" i="12"/>
  <c r="E59" i="12"/>
  <c r="AA59" i="12"/>
  <c r="D59" i="12" s="1"/>
  <c r="F59" i="12"/>
  <c r="C60" i="12"/>
  <c r="Y59" i="12"/>
  <c r="AA60" i="12" l="1"/>
  <c r="D60" i="12" s="1"/>
  <c r="F60" i="12"/>
  <c r="Y60" i="12"/>
  <c r="C61" i="12"/>
  <c r="E60" i="12"/>
  <c r="Z60" i="12"/>
  <c r="G60" i="12"/>
  <c r="AA61" i="12" l="1"/>
  <c r="D61" i="12" s="1"/>
  <c r="Y61" i="12"/>
  <c r="G61" i="12"/>
  <c r="E61" i="12"/>
  <c r="Z61" i="12"/>
  <c r="F61" i="12"/>
  <c r="C62" i="12"/>
  <c r="E62" i="12" l="1"/>
  <c r="Y62" i="12"/>
  <c r="C63" i="12"/>
  <c r="Z62" i="12"/>
  <c r="AA62" i="12"/>
  <c r="D62" i="12" s="1"/>
  <c r="G62" i="12"/>
  <c r="F62" i="12"/>
  <c r="Z63" i="12" l="1"/>
  <c r="F63" i="12"/>
  <c r="G63" i="12"/>
  <c r="Y63" i="12"/>
  <c r="AA63" i="12"/>
  <c r="D63" i="12" s="1"/>
  <c r="E63" i="12"/>
  <c r="C64" i="12"/>
  <c r="Z64" i="12" l="1"/>
  <c r="AA64" i="12"/>
  <c r="D64" i="12" s="1"/>
  <c r="G64" i="12"/>
  <c r="Y64" i="12"/>
  <c r="E64" i="12"/>
  <c r="F64" i="12"/>
  <c r="C65" i="12"/>
  <c r="C66" i="12" l="1"/>
  <c r="Z65" i="12"/>
  <c r="AA65" i="12"/>
  <c r="D65" i="12" s="1"/>
  <c r="Y65" i="12"/>
  <c r="E65" i="12"/>
  <c r="F65" i="12"/>
  <c r="G65" i="12"/>
  <c r="E66" i="12" l="1"/>
  <c r="F66" i="12"/>
  <c r="G66" i="12"/>
  <c r="Y66" i="12"/>
  <c r="Z66" i="12"/>
  <c r="C67" i="12"/>
  <c r="AA66" i="12"/>
  <c r="D66" i="12" s="1"/>
  <c r="G67" i="12" l="1"/>
  <c r="E67" i="12"/>
  <c r="Y67" i="12"/>
  <c r="C68" i="12"/>
  <c r="AA67" i="12"/>
  <c r="D67" i="12" s="1"/>
  <c r="Z67" i="12"/>
  <c r="F67" i="12"/>
  <c r="F68" i="12" l="1"/>
  <c r="Z68" i="12"/>
  <c r="C69" i="12"/>
  <c r="Y68" i="12"/>
  <c r="E68" i="12"/>
  <c r="AA68" i="12"/>
  <c r="D68" i="12" s="1"/>
  <c r="G68" i="12"/>
  <c r="E69" i="12" l="1"/>
  <c r="Y69" i="12"/>
  <c r="F69" i="12"/>
  <c r="C70" i="12"/>
  <c r="Z69" i="12"/>
  <c r="AA69" i="12"/>
  <c r="D69" i="12" s="1"/>
  <c r="G69" i="12"/>
  <c r="C71" i="12" l="1"/>
  <c r="AA70" i="12"/>
  <c r="D70" i="12" s="1"/>
  <c r="G70" i="12"/>
  <c r="E70" i="12"/>
  <c r="F70" i="12"/>
  <c r="Z70" i="12"/>
  <c r="Y70" i="12"/>
  <c r="F71" i="12" l="1"/>
  <c r="E71" i="12"/>
  <c r="Z71" i="12"/>
  <c r="G71" i="12"/>
  <c r="C72" i="12"/>
  <c r="Y71" i="12"/>
  <c r="AA71" i="12"/>
  <c r="D71" i="12" s="1"/>
  <c r="AA72" i="12" l="1"/>
  <c r="D72" i="12" s="1"/>
  <c r="C73" i="12"/>
  <c r="Z72" i="12"/>
  <c r="G72" i="12"/>
  <c r="F72" i="12"/>
  <c r="E72" i="12"/>
  <c r="Y72" i="12"/>
  <c r="G73" i="12" l="1"/>
  <c r="E73" i="12"/>
  <c r="Z73" i="12"/>
  <c r="F73" i="12"/>
  <c r="C74" i="12"/>
  <c r="AA73" i="12"/>
  <c r="D73" i="12" s="1"/>
  <c r="Y73" i="12"/>
  <c r="Z74" i="12" l="1"/>
  <c r="C75" i="12"/>
  <c r="G74" i="12"/>
  <c r="F74" i="12"/>
  <c r="E74" i="12"/>
  <c r="Y74" i="12"/>
  <c r="AA74" i="12"/>
  <c r="D74" i="12" s="1"/>
  <c r="Y75" i="12" l="1"/>
  <c r="G75" i="12"/>
  <c r="E75" i="12"/>
  <c r="AA75" i="12"/>
  <c r="D75" i="12" s="1"/>
  <c r="F75" i="12"/>
  <c r="Z75" i="12"/>
  <c r="C76" i="12"/>
  <c r="Y76" i="12" l="1"/>
  <c r="F76" i="12"/>
  <c r="C77" i="12"/>
  <c r="G76" i="12"/>
  <c r="Z76" i="12"/>
  <c r="AA76" i="12"/>
  <c r="D76" i="12" s="1"/>
  <c r="E76" i="12"/>
  <c r="AA77" i="12" l="1"/>
  <c r="D77" i="12" s="1"/>
  <c r="F77" i="12"/>
  <c r="G77" i="12"/>
  <c r="E77" i="12"/>
  <c r="Y77" i="12"/>
  <c r="Z77" i="12"/>
  <c r="C78" i="12"/>
  <c r="G78" i="12" l="1"/>
  <c r="C79" i="12"/>
  <c r="Y78" i="12"/>
  <c r="E78" i="12"/>
  <c r="F78" i="12"/>
  <c r="AA78" i="12"/>
  <c r="D78" i="12" s="1"/>
  <c r="Z78" i="12"/>
  <c r="E79" i="12" l="1"/>
  <c r="C80" i="12"/>
  <c r="F79" i="12"/>
  <c r="G79" i="12"/>
  <c r="Z79" i="12"/>
  <c r="AA79" i="12"/>
  <c r="D79" i="12" s="1"/>
  <c r="Y79" i="12"/>
  <c r="C81" i="12" l="1"/>
  <c r="F80" i="12"/>
  <c r="E80" i="12"/>
  <c r="Z80" i="12"/>
  <c r="Y80" i="12"/>
  <c r="AA80" i="12"/>
  <c r="D80" i="12" s="1"/>
  <c r="G80" i="12"/>
  <c r="Y81" i="12" l="1"/>
  <c r="C82" i="12"/>
  <c r="AA81" i="12"/>
  <c r="D81" i="12" s="1"/>
  <c r="F81" i="12"/>
  <c r="E81" i="12"/>
  <c r="G81" i="12"/>
  <c r="Z81" i="12"/>
  <c r="C83" i="12" l="1"/>
  <c r="AA82" i="12"/>
  <c r="D82" i="12" s="1"/>
  <c r="Z82" i="12"/>
  <c r="G82" i="12"/>
  <c r="F82" i="12"/>
  <c r="E82" i="12"/>
  <c r="Y82" i="12"/>
  <c r="AA83" i="12" l="1"/>
  <c r="D83" i="12" s="1"/>
  <c r="G83" i="12"/>
  <c r="C84" i="12"/>
  <c r="F83" i="12"/>
  <c r="Z83" i="12"/>
  <c r="Y83" i="12"/>
  <c r="E83" i="12"/>
  <c r="F84" i="12" l="1"/>
  <c r="Y84" i="12"/>
  <c r="AA84" i="12"/>
  <c r="D84" i="12" s="1"/>
  <c r="E84" i="12"/>
  <c r="G84" i="12"/>
  <c r="Z84" i="12"/>
  <c r="C85" i="12"/>
  <c r="F85" i="12" l="1"/>
  <c r="C86" i="12"/>
  <c r="E85" i="12"/>
  <c r="Z85" i="12"/>
  <c r="Y85" i="12"/>
  <c r="AA85" i="12"/>
  <c r="D85" i="12" s="1"/>
  <c r="G85" i="12"/>
  <c r="G86" i="12" l="1"/>
  <c r="Z86" i="12"/>
  <c r="AA86" i="12"/>
  <c r="D86" i="12" s="1"/>
  <c r="F86" i="12"/>
  <c r="Y86" i="12"/>
  <c r="E86" i="12"/>
  <c r="C87" i="12"/>
  <c r="C88" i="12" l="1"/>
  <c r="G87" i="12"/>
  <c r="E87" i="12"/>
  <c r="F87" i="12"/>
  <c r="Z87" i="12"/>
  <c r="AA87" i="12"/>
  <c r="D87" i="12" s="1"/>
  <c r="Y87" i="12"/>
  <c r="G88" i="12" l="1"/>
  <c r="F88" i="12"/>
  <c r="Y88" i="12"/>
  <c r="Z88" i="12"/>
  <c r="AA88" i="12"/>
  <c r="D88" i="12" s="1"/>
  <c r="E88" i="12"/>
  <c r="C89" i="12"/>
  <c r="Y89" i="12" l="1"/>
  <c r="F89" i="12"/>
  <c r="AA89" i="12"/>
  <c r="D89" i="12" s="1"/>
  <c r="G89" i="12"/>
  <c r="E89" i="12"/>
  <c r="C90" i="12"/>
  <c r="Z89" i="12"/>
  <c r="Y90" i="12" l="1"/>
  <c r="Z90" i="12"/>
  <c r="E90" i="12"/>
  <c r="C91" i="12"/>
  <c r="AA90" i="12"/>
  <c r="D90" i="12" s="1"/>
  <c r="F90" i="12"/>
  <c r="G90" i="12"/>
  <c r="C92" i="12" l="1"/>
  <c r="Z91" i="12"/>
  <c r="F91" i="12"/>
  <c r="Y91" i="12"/>
  <c r="G91" i="12"/>
  <c r="E91" i="12"/>
  <c r="AA91" i="12"/>
  <c r="D91" i="12" s="1"/>
  <c r="F92" i="12" l="1"/>
  <c r="Z92" i="12"/>
  <c r="Y92" i="12"/>
  <c r="G92" i="12"/>
  <c r="C93" i="12"/>
  <c r="E92" i="12"/>
  <c r="AA92" i="12"/>
  <c r="D92" i="12" s="1"/>
  <c r="G93" i="12" l="1"/>
  <c r="C94" i="12"/>
  <c r="Z93" i="12"/>
  <c r="E93" i="12"/>
  <c r="F93" i="12"/>
  <c r="AA93" i="12"/>
  <c r="D93" i="12" s="1"/>
  <c r="Y93" i="12"/>
  <c r="Y94" i="12" l="1"/>
  <c r="Z94" i="12"/>
  <c r="C95" i="12"/>
  <c r="F94" i="12"/>
  <c r="AA94" i="12"/>
  <c r="D94" i="12" s="1"/>
  <c r="E94" i="12"/>
  <c r="G94" i="12"/>
  <c r="C96" i="12" l="1"/>
  <c r="Y95" i="12"/>
  <c r="G95" i="12"/>
  <c r="Z95" i="12"/>
  <c r="AA95" i="12"/>
  <c r="D95" i="12" s="1"/>
  <c r="F95" i="12"/>
  <c r="E95" i="12"/>
  <c r="E96" i="12" l="1"/>
  <c r="Y96" i="12"/>
  <c r="AA96" i="12"/>
  <c r="D96" i="12" s="1"/>
  <c r="C97" i="12"/>
  <c r="F96" i="12"/>
  <c r="G96" i="12"/>
  <c r="Z96" i="12"/>
  <c r="C98" i="12" l="1"/>
  <c r="F97" i="12"/>
  <c r="AA97" i="12"/>
  <c r="D97" i="12" s="1"/>
  <c r="Z97" i="12"/>
  <c r="Y97" i="12"/>
  <c r="E97" i="12"/>
  <c r="G97" i="12"/>
  <c r="F98" i="12" l="1"/>
  <c r="G98" i="12"/>
  <c r="Z98" i="12"/>
  <c r="C99" i="12"/>
  <c r="E98" i="12"/>
  <c r="Y98" i="12"/>
  <c r="AA98" i="12"/>
  <c r="D98" i="12" s="1"/>
  <c r="AA99" i="12" l="1"/>
  <c r="D99" i="12" s="1"/>
  <c r="Z99" i="12"/>
  <c r="Y99" i="12"/>
  <c r="C100" i="12"/>
  <c r="G99" i="12"/>
  <c r="F99" i="12"/>
  <c r="E99" i="12"/>
  <c r="G100" i="12" l="1"/>
  <c r="Z100" i="12"/>
  <c r="F100" i="12"/>
  <c r="C101" i="12"/>
  <c r="AA100" i="12"/>
  <c r="D100" i="12" s="1"/>
  <c r="E100" i="12"/>
  <c r="Y100" i="12"/>
  <c r="Y101" i="12" l="1"/>
  <c r="Z101" i="12"/>
  <c r="G101" i="12"/>
  <c r="F101" i="12"/>
  <c r="C102" i="12"/>
  <c r="E101" i="12"/>
  <c r="AA101" i="12"/>
  <c r="D101" i="12" s="1"/>
  <c r="AA102" i="12" l="1"/>
  <c r="D102" i="12" s="1"/>
  <c r="G102" i="12"/>
  <c r="F102" i="12"/>
  <c r="Z102" i="12"/>
  <c r="E102" i="12"/>
  <c r="Y102" i="12"/>
  <c r="C103" i="12"/>
  <c r="E103" i="12" l="1"/>
  <c r="Y103" i="12"/>
  <c r="Z103" i="12"/>
  <c r="C104" i="12"/>
  <c r="AA103" i="12"/>
  <c r="D103" i="12" s="1"/>
  <c r="G103" i="12"/>
  <c r="F103" i="12"/>
  <c r="Z104" i="12" l="1"/>
  <c r="AA104" i="12"/>
  <c r="D104" i="12" s="1"/>
  <c r="C105" i="12"/>
  <c r="F104" i="12"/>
  <c r="Y104" i="12"/>
  <c r="E104" i="12"/>
  <c r="G104" i="12"/>
  <c r="E105" i="12" l="1"/>
  <c r="AA105" i="12"/>
  <c r="D105" i="12" s="1"/>
  <c r="F105" i="12"/>
  <c r="Y105" i="12"/>
  <c r="Z105" i="12"/>
  <c r="G105" i="12"/>
  <c r="C106" i="12"/>
  <c r="Y106" i="12" l="1"/>
  <c r="AA106" i="12"/>
  <c r="D106" i="12" s="1"/>
  <c r="C107" i="12"/>
  <c r="F106" i="12"/>
  <c r="Z106" i="12"/>
  <c r="E106" i="12"/>
  <c r="G106" i="12"/>
  <c r="Z107" i="12" l="1"/>
  <c r="Y107" i="12"/>
  <c r="E107" i="12"/>
  <c r="F107" i="12"/>
  <c r="C108" i="12"/>
  <c r="G107" i="12"/>
  <c r="AA107" i="12"/>
  <c r="D107" i="12" s="1"/>
  <c r="F108" i="12" l="1"/>
  <c r="C109" i="12"/>
  <c r="AA108" i="12"/>
  <c r="D108" i="12" s="1"/>
  <c r="G108" i="12"/>
  <c r="Y108" i="12"/>
  <c r="Z108" i="12"/>
  <c r="E108" i="12"/>
  <c r="F109" i="12" l="1"/>
  <c r="E109" i="12"/>
  <c r="AA109" i="12"/>
  <c r="D109" i="12" s="1"/>
  <c r="Y109" i="12"/>
  <c r="Z109" i="12"/>
  <c r="G109" i="12"/>
  <c r="C110" i="12"/>
  <c r="F110" i="12" l="1"/>
  <c r="Z110" i="12"/>
  <c r="C111" i="12"/>
  <c r="AA110" i="12"/>
  <c r="D110" i="12" s="1"/>
  <c r="E110" i="12"/>
  <c r="G110" i="12"/>
  <c r="Y110" i="12"/>
  <c r="AA111" i="12" l="1"/>
  <c r="D111" i="12" s="1"/>
  <c r="Y111" i="12"/>
  <c r="C112" i="12"/>
  <c r="G111" i="12"/>
  <c r="E111" i="12"/>
  <c r="Z111" i="12"/>
  <c r="F111" i="12"/>
  <c r="Y112" i="12" l="1"/>
  <c r="F112" i="12"/>
  <c r="Z112" i="12"/>
  <c r="E112" i="12"/>
  <c r="G112" i="12"/>
  <c r="AA112" i="12"/>
  <c r="D112" i="12" s="1"/>
  <c r="C113" i="12"/>
  <c r="Y113" i="12" l="1"/>
  <c r="F113" i="12"/>
  <c r="E113" i="12"/>
  <c r="AA113" i="12"/>
  <c r="D113" i="12" s="1"/>
  <c r="C114" i="12"/>
  <c r="Z113" i="12"/>
  <c r="G113" i="12"/>
  <c r="Y114" i="12" l="1"/>
  <c r="G114" i="12"/>
  <c r="F114" i="12"/>
  <c r="Z114" i="12"/>
  <c r="C115" i="12"/>
  <c r="E114" i="12"/>
  <c r="AA114" i="12"/>
  <c r="D114" i="12" s="1"/>
  <c r="F115" i="12" l="1"/>
  <c r="Z115" i="12"/>
  <c r="AA115" i="12"/>
  <c r="D115" i="12" s="1"/>
  <c r="E115" i="12"/>
  <c r="G115" i="12"/>
  <c r="C116" i="12"/>
  <c r="Y115" i="12"/>
  <c r="F116" i="12" l="1"/>
  <c r="G116" i="12"/>
  <c r="Z116" i="12"/>
  <c r="Y116" i="12"/>
  <c r="E116" i="12"/>
  <c r="C117" i="12"/>
  <c r="AA116" i="12"/>
  <c r="D116" i="12" s="1"/>
  <c r="Z117" i="12" l="1"/>
  <c r="AA117" i="12"/>
  <c r="D117" i="12" s="1"/>
  <c r="E117" i="12"/>
  <c r="C118" i="12"/>
  <c r="Y117" i="12"/>
  <c r="F117" i="12"/>
  <c r="G117" i="12"/>
  <c r="C119" i="12" l="1"/>
  <c r="Y118" i="12"/>
  <c r="F118" i="12"/>
  <c r="Z118" i="12"/>
  <c r="E118" i="12"/>
  <c r="AA118" i="12"/>
  <c r="D118" i="12" s="1"/>
  <c r="G118" i="12"/>
  <c r="Z119" i="12" l="1"/>
  <c r="F119" i="12"/>
  <c r="AA119" i="12"/>
  <c r="D119" i="12" s="1"/>
  <c r="E119" i="12"/>
  <c r="C120" i="12"/>
  <c r="Y119" i="12"/>
  <c r="G119" i="12"/>
  <c r="G120" i="12" l="1"/>
  <c r="AA120" i="12"/>
  <c r="D120" i="12" s="1"/>
  <c r="Z120" i="12"/>
  <c r="E120" i="12"/>
  <c r="F120" i="12"/>
  <c r="Y120" i="12"/>
  <c r="C121" i="12"/>
  <c r="F121" i="12" l="1"/>
  <c r="G121" i="12"/>
  <c r="AA121" i="12"/>
  <c r="D121" i="12" s="1"/>
  <c r="Z121" i="12"/>
  <c r="C122" i="12"/>
  <c r="E121" i="12"/>
  <c r="Y121" i="12"/>
  <c r="Y122" i="12" l="1"/>
  <c r="F122" i="12"/>
  <c r="C123" i="12"/>
  <c r="E122" i="12"/>
  <c r="Z122" i="12"/>
  <c r="G122" i="12"/>
  <c r="AA122" i="12"/>
  <c r="D122" i="12" s="1"/>
  <c r="AA123" i="12" l="1"/>
  <c r="D123" i="12" s="1"/>
  <c r="F123" i="12"/>
  <c r="G123" i="12"/>
  <c r="E123" i="12"/>
  <c r="Z123" i="12"/>
  <c r="C124" i="12"/>
  <c r="Y123" i="12"/>
  <c r="AA124" i="12" l="1"/>
  <c r="D124" i="12" s="1"/>
  <c r="E124" i="12"/>
  <c r="Y124" i="12"/>
  <c r="F124" i="12"/>
  <c r="C125" i="12"/>
  <c r="G124" i="12"/>
  <c r="Z124" i="12"/>
  <c r="G125" i="12" l="1"/>
  <c r="C126" i="12"/>
  <c r="F125" i="12"/>
  <c r="AA125" i="12"/>
  <c r="D125" i="12" s="1"/>
  <c r="Z125" i="12"/>
  <c r="Y125" i="12"/>
  <c r="E125" i="12"/>
  <c r="E126" i="12" l="1"/>
  <c r="F126" i="12"/>
  <c r="AA126" i="12"/>
  <c r="D126" i="12" s="1"/>
  <c r="C127" i="12"/>
  <c r="G126" i="12"/>
  <c r="Y126" i="12"/>
  <c r="Z126" i="12"/>
  <c r="G127" i="12" l="1"/>
  <c r="Y127" i="12"/>
  <c r="C128" i="12"/>
  <c r="F127" i="12"/>
  <c r="AA127" i="12"/>
  <c r="D127" i="12" s="1"/>
  <c r="E127" i="12"/>
  <c r="Z127" i="12"/>
  <c r="AA128" i="12" l="1"/>
  <c r="D128" i="12" s="1"/>
  <c r="Y128" i="12"/>
  <c r="C129" i="12"/>
  <c r="F128" i="12"/>
  <c r="E128" i="12"/>
  <c r="Z128" i="12"/>
  <c r="G128" i="12"/>
  <c r="G129" i="12" l="1"/>
  <c r="Y129" i="12"/>
  <c r="AA129" i="12"/>
  <c r="D129" i="12" s="1"/>
  <c r="Z129" i="12"/>
  <c r="C130" i="12"/>
  <c r="F129" i="12"/>
  <c r="E129" i="12"/>
  <c r="C131" i="12" l="1"/>
  <c r="Y130" i="12"/>
  <c r="F130" i="12"/>
  <c r="G130" i="12"/>
  <c r="Z130" i="12"/>
  <c r="AA130" i="12"/>
  <c r="D130" i="12" s="1"/>
  <c r="E130" i="12"/>
  <c r="Y131" i="12" l="1"/>
  <c r="AA131" i="12"/>
  <c r="D131" i="12" s="1"/>
  <c r="E131" i="12"/>
  <c r="F131" i="12"/>
  <c r="G131" i="12"/>
  <c r="C132" i="12"/>
  <c r="Z131" i="12"/>
  <c r="Z132" i="12" l="1"/>
  <c r="E132" i="12"/>
  <c r="C133" i="12"/>
  <c r="Y132" i="12"/>
  <c r="AA132" i="12"/>
  <c r="D132" i="12" s="1"/>
  <c r="F132" i="12"/>
  <c r="G132" i="12"/>
  <c r="Z133" i="12" l="1"/>
  <c r="F133" i="12"/>
  <c r="Y133" i="12"/>
  <c r="G133" i="12"/>
  <c r="AA133" i="12"/>
  <c r="D133" i="12" s="1"/>
  <c r="C134" i="12"/>
  <c r="E133" i="12"/>
  <c r="Z134" i="12" l="1"/>
  <c r="E134" i="12"/>
  <c r="F134" i="12"/>
  <c r="G134" i="12"/>
  <c r="C135" i="12"/>
  <c r="AA134" i="12"/>
  <c r="D134" i="12" s="1"/>
  <c r="Y134" i="12"/>
  <c r="F135" i="12" l="1"/>
  <c r="Y135" i="12"/>
  <c r="AA135" i="12"/>
  <c r="D135" i="12" s="1"/>
  <c r="C136" i="12"/>
  <c r="E135" i="12"/>
  <c r="G135" i="12"/>
  <c r="Z135" i="12"/>
  <c r="Y136" i="12" l="1"/>
  <c r="AA136" i="12"/>
  <c r="D136" i="12" s="1"/>
  <c r="C137" i="12"/>
  <c r="Z136" i="12"/>
  <c r="F136" i="12"/>
  <c r="E136" i="12"/>
  <c r="G136" i="12"/>
  <c r="F137" i="12" l="1"/>
  <c r="AA137" i="12"/>
  <c r="D137" i="12" s="1"/>
  <c r="Z137" i="12"/>
  <c r="G137" i="12"/>
  <c r="E137" i="12"/>
  <c r="C138" i="12"/>
  <c r="Y137" i="12"/>
  <c r="G138" i="12" l="1"/>
  <c r="Y138" i="12"/>
  <c r="Z138" i="12"/>
  <c r="F138" i="12"/>
  <c r="AA138" i="12"/>
  <c r="D138" i="12" s="1"/>
  <c r="E138" i="12"/>
  <c r="C139" i="12"/>
  <c r="C140" i="12" l="1"/>
  <c r="AA139" i="12"/>
  <c r="D139" i="12" s="1"/>
  <c r="Z139" i="12"/>
  <c r="F139" i="12"/>
  <c r="G139" i="12"/>
  <c r="E139" i="12"/>
  <c r="Y139" i="12"/>
  <c r="AA140" i="12" l="1"/>
  <c r="D140" i="12" s="1"/>
  <c r="F140" i="12"/>
  <c r="E140" i="12"/>
  <c r="G140" i="12"/>
  <c r="C141" i="12"/>
  <c r="Y140" i="12"/>
  <c r="Z140" i="12"/>
  <c r="C142" i="12" l="1"/>
  <c r="Y141" i="12"/>
  <c r="E141" i="12"/>
  <c r="G141" i="12"/>
  <c r="AA141" i="12"/>
  <c r="D141" i="12" s="1"/>
  <c r="F141" i="12"/>
  <c r="Z141" i="12"/>
  <c r="AA142" i="12" l="1"/>
  <c r="D142" i="12" s="1"/>
  <c r="F142" i="12"/>
  <c r="G142" i="12"/>
  <c r="C143" i="12"/>
  <c r="E142" i="12"/>
  <c r="Z142" i="12"/>
  <c r="Y142" i="12"/>
  <c r="Z143" i="12" l="1"/>
  <c r="C144" i="12"/>
  <c r="E143" i="12"/>
  <c r="Y143" i="12"/>
  <c r="AA143" i="12"/>
  <c r="D143" i="12" s="1"/>
  <c r="F143" i="12"/>
  <c r="G143" i="12"/>
  <c r="C145" i="12" l="1"/>
  <c r="Y144" i="12"/>
  <c r="G144" i="12"/>
  <c r="Z144" i="12"/>
  <c r="E144" i="12"/>
  <c r="F144" i="12"/>
  <c r="AA144" i="12"/>
  <c r="D144" i="12" s="1"/>
  <c r="E145" i="12" l="1"/>
  <c r="G145" i="12"/>
  <c r="F145" i="12"/>
  <c r="Y145" i="12"/>
  <c r="AA145" i="12"/>
  <c r="D145" i="12" s="1"/>
  <c r="C146" i="12"/>
  <c r="Z145" i="12"/>
  <c r="C147" i="12" l="1"/>
  <c r="Y146" i="12"/>
  <c r="G146" i="12"/>
  <c r="E146" i="12"/>
  <c r="Z146" i="12"/>
  <c r="AA146" i="12"/>
  <c r="D146" i="12" s="1"/>
  <c r="F146" i="12"/>
  <c r="Z147" i="12" l="1"/>
  <c r="F147" i="12"/>
  <c r="E147" i="12"/>
  <c r="C148" i="12"/>
  <c r="G147" i="12"/>
  <c r="AA147" i="12"/>
  <c r="D147" i="12" s="1"/>
  <c r="Y147" i="12"/>
  <c r="E148" i="12" l="1"/>
  <c r="C149" i="12"/>
  <c r="G148" i="12"/>
  <c r="AA148" i="12"/>
  <c r="D148" i="12" s="1"/>
  <c r="F148" i="12"/>
  <c r="Y148" i="12"/>
  <c r="Z148" i="12"/>
  <c r="C150" i="12" l="1"/>
  <c r="E149" i="12"/>
  <c r="AA149" i="12"/>
  <c r="D149" i="12" s="1"/>
  <c r="F149" i="12"/>
  <c r="G149" i="12"/>
  <c r="Z149" i="12"/>
  <c r="Y149" i="12"/>
  <c r="Y150" i="12" l="1"/>
  <c r="G150" i="12"/>
  <c r="C151" i="12"/>
  <c r="AA150" i="12"/>
  <c r="D150" i="12" s="1"/>
  <c r="E150" i="12"/>
  <c r="F150" i="12"/>
  <c r="Z150" i="12"/>
  <c r="G151" i="12" l="1"/>
  <c r="C152" i="12"/>
  <c r="E151" i="12"/>
  <c r="Y151" i="12"/>
  <c r="F151" i="12"/>
  <c r="AA151" i="12"/>
  <c r="D151" i="12" s="1"/>
  <c r="Z151" i="12"/>
  <c r="E152" i="12" l="1"/>
  <c r="F152" i="12"/>
  <c r="G152" i="12"/>
  <c r="C153" i="12"/>
  <c r="Y152" i="12"/>
  <c r="Z152" i="12"/>
  <c r="AA152" i="12"/>
  <c r="D152" i="12" s="1"/>
  <c r="E153" i="12" l="1"/>
  <c r="C154" i="12"/>
  <c r="G153" i="12"/>
  <c r="Y153" i="12"/>
  <c r="AA153" i="12"/>
  <c r="D153" i="12" s="1"/>
  <c r="F153" i="12"/>
  <c r="Z153" i="12"/>
  <c r="C155" i="12" l="1"/>
  <c r="AA154" i="12"/>
  <c r="D154" i="12" s="1"/>
  <c r="E154" i="12"/>
  <c r="Z154" i="12"/>
  <c r="Y154" i="12"/>
  <c r="F154" i="12"/>
  <c r="G154" i="12"/>
  <c r="E155" i="12" l="1"/>
  <c r="Y155" i="12"/>
  <c r="G155" i="12"/>
  <c r="Z155" i="12"/>
  <c r="AA155" i="12"/>
  <c r="D155" i="12" s="1"/>
  <c r="C156" i="12"/>
  <c r="F155" i="12"/>
  <c r="Y156" i="12" l="1"/>
  <c r="E156" i="12"/>
  <c r="C157" i="12"/>
  <c r="Z156" i="12"/>
  <c r="AA156" i="12"/>
  <c r="D156" i="12" s="1"/>
  <c r="G156" i="12"/>
  <c r="F156" i="12"/>
  <c r="F157" i="12" l="1"/>
  <c r="E157" i="12"/>
  <c r="Y157" i="12"/>
  <c r="C158" i="12"/>
  <c r="G157" i="12"/>
  <c r="AA157" i="12"/>
  <c r="D157" i="12" s="1"/>
  <c r="Z157" i="12"/>
  <c r="E158" i="12" l="1"/>
  <c r="F158" i="12"/>
  <c r="Y158" i="12"/>
  <c r="AA158" i="12"/>
  <c r="D158" i="12" s="1"/>
  <c r="C159" i="12"/>
  <c r="Z158" i="12"/>
  <c r="G158" i="12"/>
  <c r="C160" i="12" l="1"/>
  <c r="AA159" i="12"/>
  <c r="D159" i="12" s="1"/>
  <c r="G159" i="12"/>
  <c r="Z159" i="12"/>
  <c r="E159" i="12"/>
  <c r="F159" i="12"/>
  <c r="Y159" i="12"/>
  <c r="Y160" i="12" l="1"/>
  <c r="G160" i="12"/>
  <c r="E160" i="12"/>
  <c r="C161" i="12"/>
  <c r="Z160" i="12"/>
  <c r="F160" i="12"/>
  <c r="AA160" i="12"/>
  <c r="D160" i="12" s="1"/>
  <c r="Z161" i="12" l="1"/>
  <c r="AA161" i="12"/>
  <c r="D161" i="12" s="1"/>
  <c r="F161" i="12"/>
  <c r="C162" i="12"/>
  <c r="Y161" i="12"/>
  <c r="E161" i="12"/>
  <c r="G161" i="12"/>
  <c r="C163" i="12" l="1"/>
  <c r="F162" i="12"/>
  <c r="G162" i="12"/>
  <c r="Y162" i="12"/>
  <c r="AA162" i="12"/>
  <c r="D162" i="12" s="1"/>
  <c r="E162" i="12"/>
  <c r="Z162" i="12"/>
  <c r="G163" i="12" l="1"/>
  <c r="Y163" i="12"/>
  <c r="C164" i="12"/>
  <c r="F163" i="12"/>
  <c r="Z163" i="12"/>
  <c r="E163" i="12"/>
  <c r="AA163" i="12"/>
  <c r="D163" i="12" s="1"/>
  <c r="C165" i="12" l="1"/>
  <c r="AA164" i="12"/>
  <c r="D164" i="12" s="1"/>
  <c r="E164" i="12"/>
  <c r="Y164" i="12"/>
  <c r="G164" i="12"/>
  <c r="F164" i="12"/>
  <c r="Z164" i="12"/>
  <c r="Z165" i="12" l="1"/>
  <c r="C166" i="12"/>
  <c r="G165" i="12"/>
  <c r="E165" i="12"/>
  <c r="AA165" i="12"/>
  <c r="D165" i="12" s="1"/>
  <c r="Y165" i="12"/>
  <c r="F165" i="12"/>
  <c r="Y166" i="12" l="1"/>
  <c r="G166" i="12"/>
  <c r="Z166" i="12"/>
  <c r="C167" i="12"/>
  <c r="E166" i="12"/>
  <c r="AA166" i="12"/>
  <c r="D166" i="12" s="1"/>
  <c r="F166" i="12"/>
  <c r="C168" i="12" l="1"/>
  <c r="Y167" i="12"/>
  <c r="AA167" i="12"/>
  <c r="D167" i="12" s="1"/>
  <c r="Z167" i="12"/>
  <c r="F167" i="12"/>
  <c r="E167" i="12"/>
  <c r="G167" i="12"/>
  <c r="E168" i="12" l="1"/>
  <c r="Y168" i="12"/>
  <c r="G168" i="12"/>
  <c r="Z168" i="12"/>
  <c r="C169" i="12"/>
  <c r="F168" i="12"/>
  <c r="AA168" i="12"/>
  <c r="D168" i="12" s="1"/>
  <c r="AA169" i="12" l="1"/>
  <c r="D169" i="12" s="1"/>
  <c r="F169" i="12"/>
  <c r="Y169" i="12"/>
  <c r="C170" i="12"/>
  <c r="E169" i="12"/>
  <c r="G169" i="12"/>
  <c r="Z169" i="12"/>
  <c r="E170" i="12" l="1"/>
  <c r="C171" i="12"/>
  <c r="G170" i="12"/>
  <c r="Z170" i="12"/>
  <c r="F170" i="12"/>
  <c r="Y170" i="12"/>
  <c r="AA170" i="12"/>
  <c r="D170" i="12" s="1"/>
  <c r="Y171" i="12" l="1"/>
  <c r="AA171" i="12"/>
  <c r="D171" i="12" s="1"/>
  <c r="E171" i="12"/>
  <c r="F171" i="12"/>
  <c r="G171" i="12"/>
  <c r="Z171" i="12"/>
  <c r="C172" i="12"/>
  <c r="Z172" i="12" l="1"/>
  <c r="E172" i="12"/>
  <c r="C173" i="12"/>
  <c r="AA172" i="12"/>
  <c r="D172" i="12" s="1"/>
  <c r="G172" i="12"/>
  <c r="F172" i="12"/>
  <c r="Y172" i="12"/>
  <c r="F173" i="12" l="1"/>
  <c r="Y173" i="12"/>
  <c r="G173" i="12"/>
  <c r="Z173" i="12"/>
  <c r="C174" i="12"/>
  <c r="AA173" i="12"/>
  <c r="D173" i="12" s="1"/>
  <c r="E173" i="12"/>
  <c r="Y174" i="12" l="1"/>
  <c r="G174" i="12"/>
  <c r="E174" i="12"/>
  <c r="AA174" i="12"/>
  <c r="D174" i="12" s="1"/>
  <c r="C175" i="12"/>
  <c r="F174" i="12"/>
  <c r="Z174" i="12"/>
  <c r="C176" i="12" l="1"/>
  <c r="E175" i="12"/>
  <c r="Z175" i="12"/>
  <c r="F175" i="12"/>
  <c r="G175" i="12"/>
  <c r="Y175" i="12"/>
  <c r="AA175" i="12"/>
  <c r="D175" i="12" s="1"/>
  <c r="F176" i="12" l="1"/>
  <c r="G176" i="12"/>
  <c r="Y176" i="12"/>
  <c r="C177" i="12"/>
  <c r="AA176" i="12"/>
  <c r="D176" i="12" s="1"/>
  <c r="E176" i="12"/>
  <c r="Z176" i="12"/>
  <c r="Z177" i="12" l="1"/>
  <c r="F177" i="12"/>
  <c r="AA177" i="12"/>
  <c r="D177" i="12" s="1"/>
  <c r="Y177" i="12"/>
  <c r="G177" i="12"/>
  <c r="C178" i="12"/>
  <c r="E177" i="12"/>
  <c r="Y178" i="12" l="1"/>
  <c r="AA178" i="12"/>
  <c r="D178" i="12" s="1"/>
  <c r="G178" i="12"/>
  <c r="F178" i="12"/>
  <c r="C179" i="12"/>
  <c r="Z178" i="12"/>
  <c r="E178" i="12"/>
  <c r="G179" i="12" l="1"/>
  <c r="E179" i="12"/>
  <c r="Y179" i="12"/>
  <c r="AA179" i="12"/>
  <c r="D179" i="12" s="1"/>
  <c r="F179" i="12"/>
  <c r="C180" i="12"/>
  <c r="Z179" i="12"/>
  <c r="G180" i="12" l="1"/>
  <c r="Z180" i="12"/>
  <c r="E180" i="12"/>
  <c r="Y180" i="12"/>
  <c r="C181" i="12"/>
  <c r="F180" i="12"/>
  <c r="AA180" i="12"/>
  <c r="D180" i="12" s="1"/>
  <c r="E181" i="12" l="1"/>
  <c r="Y181" i="12"/>
  <c r="F181" i="12"/>
  <c r="C182" i="12"/>
  <c r="Z181" i="12"/>
  <c r="AA181" i="12"/>
  <c r="D181" i="12" s="1"/>
  <c r="G181" i="12"/>
  <c r="Y182" i="12" l="1"/>
  <c r="AA182" i="12"/>
  <c r="D182" i="12" s="1"/>
  <c r="Z182" i="12"/>
  <c r="C183" i="12"/>
  <c r="G182" i="12"/>
  <c r="F182" i="12"/>
  <c r="E182" i="12"/>
  <c r="E183" i="12" l="1"/>
  <c r="Y183" i="12"/>
  <c r="F183" i="12"/>
  <c r="Z183" i="12"/>
  <c r="AA183" i="12"/>
  <c r="D183" i="12" s="1"/>
  <c r="G183" i="12"/>
  <c r="C184" i="12"/>
  <c r="Y184" i="12" l="1"/>
  <c r="F184" i="12"/>
  <c r="G184" i="12"/>
  <c r="Z184" i="12"/>
  <c r="AA184" i="12"/>
  <c r="D184" i="12" s="1"/>
  <c r="C185" i="12"/>
  <c r="E184" i="12"/>
  <c r="F185" i="12" l="1"/>
  <c r="AA185" i="12"/>
  <c r="D185" i="12" s="1"/>
  <c r="G185" i="12"/>
  <c r="Z185" i="12"/>
  <c r="E185" i="12"/>
  <c r="Y185" i="12"/>
  <c r="C186" i="12"/>
  <c r="F186" i="12" l="1"/>
  <c r="C187" i="12"/>
  <c r="Z186" i="12"/>
  <c r="Y186" i="12"/>
  <c r="G186" i="12"/>
  <c r="E186" i="12"/>
  <c r="AA186" i="12"/>
  <c r="D186" i="12" s="1"/>
  <c r="F187" i="12" l="1"/>
  <c r="G187" i="12"/>
  <c r="AA187" i="12"/>
  <c r="D187" i="12" s="1"/>
  <c r="Z187" i="12"/>
  <c r="Y187" i="12"/>
  <c r="E187" i="12"/>
  <c r="C188" i="12"/>
  <c r="G188" i="12" l="1"/>
  <c r="AA188" i="12"/>
  <c r="D188" i="12" s="1"/>
  <c r="E188" i="12"/>
  <c r="Z188" i="12"/>
  <c r="Y188" i="12"/>
  <c r="F188" i="12"/>
  <c r="C189" i="12"/>
  <c r="C190" i="12" l="1"/>
  <c r="E189" i="12"/>
  <c r="AA189" i="12"/>
  <c r="D189" i="12" s="1"/>
  <c r="Z189" i="12"/>
  <c r="Y189" i="12"/>
  <c r="G189" i="12"/>
  <c r="F189" i="12"/>
  <c r="Z190" i="12" l="1"/>
  <c r="E190" i="12"/>
  <c r="G190" i="12"/>
  <c r="Y190" i="12"/>
  <c r="AA190" i="12"/>
  <c r="D190" i="12" s="1"/>
  <c r="C191" i="12"/>
  <c r="F190" i="12"/>
  <c r="F191" i="12" l="1"/>
  <c r="G191" i="12"/>
  <c r="C192" i="12"/>
  <c r="AA191" i="12"/>
  <c r="D191" i="12" s="1"/>
  <c r="Y191" i="12"/>
  <c r="E191" i="12"/>
  <c r="Z191" i="12"/>
  <c r="Y192" i="12" l="1"/>
  <c r="E192" i="12"/>
  <c r="Z192" i="12"/>
  <c r="C193" i="12"/>
  <c r="AA192" i="12"/>
  <c r="D192" i="12" s="1"/>
  <c r="G192" i="12"/>
  <c r="F192" i="12"/>
  <c r="Z193" i="12" l="1"/>
  <c r="E193" i="12"/>
  <c r="Y193" i="12"/>
  <c r="G193" i="12"/>
  <c r="AA193" i="12"/>
  <c r="D193" i="12" s="1"/>
  <c r="F193" i="12"/>
  <c r="C194" i="12"/>
  <c r="C195" i="12" l="1"/>
  <c r="E194" i="12"/>
  <c r="Y194" i="12"/>
  <c r="G194" i="12"/>
  <c r="Z194" i="12"/>
  <c r="AA194" i="12"/>
  <c r="D194" i="12" s="1"/>
  <c r="F194" i="12"/>
  <c r="AA195" i="12" l="1"/>
  <c r="D195" i="12" s="1"/>
  <c r="G195" i="12"/>
  <c r="Y195" i="12"/>
  <c r="Z195" i="12"/>
  <c r="E195" i="12"/>
  <c r="F195" i="12"/>
  <c r="C196" i="12"/>
  <c r="C197" i="12" l="1"/>
  <c r="Z196" i="12"/>
  <c r="G196" i="12"/>
  <c r="F196" i="12"/>
  <c r="E196" i="12"/>
  <c r="AA196" i="12"/>
  <c r="D196" i="12" s="1"/>
  <c r="Y196" i="12"/>
  <c r="F197" i="12" l="1"/>
  <c r="G197" i="12"/>
  <c r="E197" i="12"/>
  <c r="AA197" i="12"/>
  <c r="D197" i="12" s="1"/>
  <c r="Y197" i="12"/>
  <c r="C198" i="12"/>
  <c r="Z197" i="12"/>
  <c r="Y198" i="12" l="1"/>
  <c r="Z198" i="12"/>
  <c r="G198" i="12"/>
  <c r="E198" i="12"/>
  <c r="F198" i="12"/>
  <c r="AA198" i="12"/>
  <c r="D198" i="12" s="1"/>
  <c r="C199" i="12"/>
  <c r="F199" i="12" l="1"/>
  <c r="Z199" i="12"/>
  <c r="C200" i="12"/>
  <c r="AA199" i="12"/>
  <c r="D199" i="12" s="1"/>
  <c r="Y199" i="12"/>
  <c r="G199" i="12"/>
  <c r="E199" i="12"/>
  <c r="G200" i="12" l="1"/>
  <c r="AA200" i="12"/>
  <c r="D200" i="12" s="1"/>
  <c r="C201" i="12"/>
  <c r="E200" i="12"/>
  <c r="F200" i="12"/>
  <c r="Z200" i="12"/>
  <c r="Y200" i="12"/>
  <c r="C202" i="12" l="1"/>
  <c r="Z201" i="12"/>
  <c r="G201" i="12"/>
  <c r="AA201" i="12"/>
  <c r="D201" i="12" s="1"/>
  <c r="Y201" i="12"/>
  <c r="E201" i="12"/>
  <c r="F201" i="12"/>
  <c r="F202" i="12" l="1"/>
  <c r="E202" i="12"/>
  <c r="C203" i="12"/>
  <c r="Y202" i="12"/>
  <c r="G202" i="12"/>
  <c r="Z202" i="12"/>
  <c r="AA202" i="12"/>
  <c r="D202" i="12" s="1"/>
  <c r="Z203" i="12" l="1"/>
  <c r="Y203" i="12"/>
  <c r="E203" i="12"/>
  <c r="AA203" i="12"/>
  <c r="D203" i="12" s="1"/>
  <c r="G203" i="12"/>
  <c r="C204" i="12"/>
  <c r="F203" i="12"/>
  <c r="Y204" i="12" l="1"/>
  <c r="F204" i="12"/>
  <c r="Z204" i="12"/>
  <c r="AA204" i="12"/>
  <c r="D204" i="12" s="1"/>
  <c r="G204" i="12"/>
  <c r="C205" i="12"/>
  <c r="E204" i="12"/>
  <c r="Y205" i="12" l="1"/>
  <c r="AA205" i="12"/>
  <c r="D205" i="12" s="1"/>
  <c r="F205" i="12"/>
  <c r="C206" i="12"/>
  <c r="G205" i="12"/>
  <c r="Z205" i="12"/>
  <c r="E205" i="12"/>
  <c r="AA206" i="12" l="1"/>
  <c r="D206" i="12" s="1"/>
  <c r="G206" i="12"/>
  <c r="C207" i="12"/>
  <c r="Z206" i="12"/>
  <c r="F206" i="12"/>
  <c r="Y206" i="12"/>
  <c r="E206" i="12"/>
  <c r="E207" i="12" l="1"/>
  <c r="F207" i="12"/>
  <c r="AA207" i="12"/>
  <c r="D207" i="12" s="1"/>
  <c r="G207" i="12"/>
  <c r="Y207" i="12"/>
  <c r="Z207" i="12"/>
  <c r="C208" i="12"/>
  <c r="Y208" i="12" l="1"/>
  <c r="E208" i="12"/>
  <c r="AA208" i="12"/>
  <c r="D208" i="12" s="1"/>
  <c r="C209" i="12"/>
  <c r="Z208" i="12"/>
  <c r="G208" i="12"/>
  <c r="F208" i="12"/>
  <c r="F209" i="12" l="1"/>
  <c r="E209" i="12"/>
  <c r="Z209" i="12"/>
  <c r="G209" i="12"/>
  <c r="Y209" i="12"/>
  <c r="C210" i="12"/>
  <c r="AA209" i="12"/>
  <c r="D209" i="12" s="1"/>
  <c r="F210" i="12" l="1"/>
  <c r="E210" i="12"/>
  <c r="Y210" i="12"/>
  <c r="Z210" i="12"/>
  <c r="AA210" i="12"/>
  <c r="D210" i="12" s="1"/>
  <c r="G210" i="12"/>
  <c r="C211" i="12"/>
  <c r="E211" i="12" l="1"/>
  <c r="AA211" i="12"/>
  <c r="D211" i="12" s="1"/>
  <c r="F211" i="12"/>
  <c r="Y211" i="12"/>
  <c r="Z211" i="12"/>
  <c r="C212" i="12"/>
  <c r="G211" i="12"/>
  <c r="Z212" i="12" l="1"/>
  <c r="F212" i="12"/>
  <c r="E212" i="12"/>
  <c r="Y212" i="12"/>
  <c r="G212" i="12"/>
  <c r="C213" i="12"/>
  <c r="AA212" i="12"/>
  <c r="D212" i="12" s="1"/>
  <c r="G213" i="12" l="1"/>
  <c r="E213" i="12"/>
  <c r="F213" i="12"/>
  <c r="AA213" i="12"/>
  <c r="D213" i="12" s="1"/>
  <c r="Z213" i="12"/>
  <c r="C214" i="12"/>
  <c r="Y213" i="12"/>
  <c r="G214" i="12" l="1"/>
  <c r="AA214" i="12"/>
  <c r="D214" i="12" s="1"/>
  <c r="Z214" i="12"/>
  <c r="Y214" i="12"/>
  <c r="C215" i="12"/>
  <c r="F214" i="12"/>
  <c r="E214" i="12"/>
  <c r="E215" i="12" l="1"/>
  <c r="G215" i="12"/>
  <c r="C216" i="12"/>
  <c r="Y215" i="12"/>
  <c r="AA215" i="12"/>
  <c r="D215" i="12" s="1"/>
  <c r="F215" i="12"/>
  <c r="Z215" i="12"/>
  <c r="E216" i="12" l="1"/>
  <c r="Z216" i="12"/>
  <c r="F216" i="12"/>
  <c r="AA216" i="12"/>
  <c r="D216" i="12" s="1"/>
  <c r="Y216" i="12"/>
  <c r="C217" i="12"/>
  <c r="G216" i="12"/>
  <c r="G217" i="12" l="1"/>
  <c r="AA217" i="12"/>
  <c r="D217" i="12" s="1"/>
  <c r="F217" i="12"/>
  <c r="C218" i="12"/>
  <c r="E217" i="12"/>
  <c r="Y217" i="12"/>
  <c r="Z217" i="12"/>
  <c r="AA218" i="12" l="1"/>
  <c r="D218" i="12" s="1"/>
  <c r="Y218" i="12"/>
  <c r="F218" i="12"/>
  <c r="G218" i="12"/>
  <c r="Z218" i="12"/>
  <c r="E218" i="12"/>
  <c r="C219" i="12"/>
  <c r="F219" i="12" l="1"/>
  <c r="Z219" i="12"/>
  <c r="G219" i="12"/>
  <c r="E219" i="12"/>
  <c r="Y219" i="12"/>
  <c r="AA219" i="12"/>
  <c r="D219" i="12" s="1"/>
  <c r="C220" i="12"/>
  <c r="Z220" i="12" l="1"/>
  <c r="C221" i="12"/>
  <c r="G220" i="12"/>
  <c r="E220" i="12"/>
  <c r="Y220" i="12"/>
  <c r="F220" i="12"/>
  <c r="AA220" i="12"/>
  <c r="D220" i="12" s="1"/>
  <c r="AA221" i="12" l="1"/>
  <c r="D221" i="12" s="1"/>
  <c r="C222" i="12"/>
  <c r="E221" i="12"/>
  <c r="Y221" i="12"/>
  <c r="F221" i="12"/>
  <c r="Z221" i="12"/>
  <c r="G221" i="12"/>
  <c r="G222" i="12" l="1"/>
  <c r="F222" i="12"/>
  <c r="Z222" i="12"/>
  <c r="AA222" i="12"/>
  <c r="D222" i="12" s="1"/>
  <c r="E222" i="12"/>
  <c r="C223" i="12"/>
  <c r="Y222" i="12"/>
  <c r="G223" i="12" l="1"/>
  <c r="E223" i="12"/>
  <c r="Z223" i="12"/>
  <c r="AA223" i="12"/>
  <c r="D223" i="12" s="1"/>
  <c r="Y223" i="12"/>
  <c r="F223" i="12"/>
  <c r="C224" i="12"/>
  <c r="F224" i="12" l="1"/>
  <c r="Z224" i="12"/>
  <c r="C225" i="12"/>
  <c r="G224" i="12"/>
  <c r="Y224" i="12"/>
  <c r="AA224" i="12"/>
  <c r="D224" i="12" s="1"/>
  <c r="E224" i="12"/>
  <c r="Y225" i="12" l="1"/>
  <c r="Z225" i="12"/>
  <c r="C226" i="12"/>
  <c r="F225" i="12"/>
  <c r="E225" i="12"/>
  <c r="G225" i="12"/>
  <c r="AA225" i="12"/>
  <c r="D225" i="12" s="1"/>
  <c r="C227" i="12" l="1"/>
  <c r="E226" i="12"/>
  <c r="Z226" i="12"/>
  <c r="Y226" i="12"/>
  <c r="G226" i="12"/>
  <c r="AA226" i="12"/>
  <c r="D226" i="12" s="1"/>
  <c r="F226" i="12"/>
  <c r="Z227" i="12" l="1"/>
  <c r="C228" i="12"/>
  <c r="G227" i="12"/>
  <c r="F227" i="12"/>
  <c r="Y227" i="12"/>
  <c r="E227" i="12"/>
  <c r="AA227" i="12"/>
  <c r="D227" i="12" s="1"/>
  <c r="F228" i="12" l="1"/>
  <c r="Y228" i="12"/>
  <c r="G228" i="12"/>
  <c r="C229" i="12"/>
  <c r="AA228" i="12"/>
  <c r="D228" i="12" s="1"/>
  <c r="E228" i="12"/>
  <c r="Z228" i="12"/>
  <c r="Z229" i="12" l="1"/>
  <c r="F229" i="12"/>
  <c r="E229" i="12"/>
  <c r="G229" i="12"/>
  <c r="C230" i="12"/>
  <c r="AA229" i="12"/>
  <c r="D229" i="12" s="1"/>
  <c r="Y229" i="12"/>
  <c r="AA230" i="12" l="1"/>
  <c r="D230" i="12" s="1"/>
  <c r="E230" i="12"/>
  <c r="C231" i="12"/>
  <c r="Z230" i="12"/>
  <c r="Y230" i="12"/>
  <c r="F230" i="12"/>
  <c r="G230" i="12"/>
  <c r="Y231" i="12" l="1"/>
  <c r="G231" i="12"/>
  <c r="E231" i="12"/>
  <c r="C232" i="12"/>
  <c r="Z231" i="12"/>
  <c r="AA231" i="12"/>
  <c r="D231" i="12" s="1"/>
  <c r="F231" i="12"/>
  <c r="E232" i="12" l="1"/>
  <c r="C233" i="12"/>
  <c r="G232" i="12"/>
  <c r="Y232" i="12"/>
  <c r="AA232" i="12"/>
  <c r="D232" i="12" s="1"/>
  <c r="Z232" i="12"/>
  <c r="F232" i="12"/>
  <c r="F233" i="12" l="1"/>
  <c r="E233" i="12"/>
  <c r="G233" i="12"/>
  <c r="Z233" i="12"/>
  <c r="C234" i="12"/>
  <c r="AA233" i="12"/>
  <c r="D233" i="12" s="1"/>
  <c r="Y233" i="12"/>
  <c r="AA234" i="12" l="1"/>
  <c r="D234" i="12" s="1"/>
  <c r="F234" i="12"/>
  <c r="E234" i="12"/>
  <c r="Y234" i="12"/>
  <c r="Z234" i="12"/>
  <c r="G234" i="12"/>
  <c r="C235" i="12"/>
  <c r="AA235" i="12" l="1"/>
  <c r="D235" i="12" s="1"/>
  <c r="F235" i="12"/>
  <c r="E235" i="12"/>
  <c r="C236" i="12"/>
  <c r="Z235" i="12"/>
  <c r="Y235" i="12"/>
  <c r="G235" i="12"/>
  <c r="AA236" i="12" l="1"/>
  <c r="D236" i="12" s="1"/>
  <c r="E236" i="12"/>
  <c r="G236" i="12"/>
  <c r="Z236" i="12"/>
  <c r="F236" i="12"/>
  <c r="C237" i="12"/>
  <c r="Y236" i="12"/>
  <c r="AA237" i="12" l="1"/>
  <c r="D237" i="12" s="1"/>
  <c r="Y237" i="12"/>
  <c r="Z237" i="12"/>
  <c r="E237" i="12"/>
  <c r="F237" i="12"/>
  <c r="G237" i="12"/>
  <c r="C238" i="12"/>
  <c r="Z238" i="12" l="1"/>
  <c r="C239" i="12"/>
  <c r="E238" i="12"/>
  <c r="G238" i="12"/>
  <c r="Y238" i="12"/>
  <c r="F238" i="12"/>
  <c r="AA238" i="12"/>
  <c r="D238" i="12" s="1"/>
  <c r="Z239" i="12" l="1"/>
  <c r="Y239" i="12"/>
  <c r="C240" i="12"/>
  <c r="F239" i="12"/>
  <c r="G239" i="12"/>
  <c r="AA239" i="12"/>
  <c r="D239" i="12" s="1"/>
  <c r="E239" i="12"/>
  <c r="Y240" i="12" l="1"/>
  <c r="AA240" i="12"/>
  <c r="D240" i="12" s="1"/>
  <c r="E240" i="12"/>
  <c r="F240" i="12"/>
  <c r="C241" i="12"/>
  <c r="G240" i="12"/>
  <c r="Z240" i="12"/>
  <c r="C242" i="12" l="1"/>
  <c r="Y241" i="12"/>
  <c r="E241" i="12"/>
  <c r="G241" i="12"/>
  <c r="AA241" i="12"/>
  <c r="D241" i="12" s="1"/>
  <c r="F241" i="12"/>
  <c r="Z241" i="12"/>
  <c r="Y242" i="12" l="1"/>
  <c r="G242" i="12"/>
  <c r="F242" i="12"/>
  <c r="C243" i="12"/>
  <c r="E242" i="12"/>
  <c r="AA242" i="12"/>
  <c r="D242" i="12" s="1"/>
  <c r="Z242" i="12"/>
  <c r="E243" i="12" l="1"/>
  <c r="C244" i="12"/>
  <c r="G243" i="12"/>
  <c r="Y243" i="12"/>
  <c r="F243" i="12"/>
  <c r="Z243" i="12"/>
  <c r="AA243" i="12"/>
  <c r="D243" i="12" s="1"/>
  <c r="F244" i="12" l="1"/>
  <c r="Y244" i="12"/>
  <c r="AA244" i="12"/>
  <c r="D244" i="12" s="1"/>
  <c r="E244" i="12"/>
  <c r="C245" i="12"/>
  <c r="G244" i="12"/>
  <c r="Z244" i="12"/>
  <c r="G245" i="12" l="1"/>
  <c r="Y245" i="12"/>
  <c r="E245" i="12"/>
  <c r="C246" i="12"/>
  <c r="Z245" i="12"/>
  <c r="AA245" i="12"/>
  <c r="D245" i="12" s="1"/>
  <c r="F245" i="12"/>
  <c r="Y246" i="12" l="1"/>
  <c r="F246" i="12"/>
  <c r="Z246" i="12"/>
  <c r="C247" i="12"/>
  <c r="E246" i="12"/>
  <c r="AA246" i="12"/>
  <c r="D246" i="12" s="1"/>
  <c r="G246" i="12"/>
  <c r="G247" i="12" l="1"/>
  <c r="C248" i="12"/>
  <c r="Z247" i="12"/>
  <c r="F247" i="12"/>
  <c r="Y247" i="12"/>
  <c r="AA247" i="12"/>
  <c r="D247" i="12" s="1"/>
  <c r="E247" i="12"/>
  <c r="G248" i="12" l="1"/>
  <c r="E248" i="12"/>
  <c r="Y248" i="12"/>
  <c r="AA248" i="12"/>
  <c r="D248" i="12" s="1"/>
  <c r="Z248" i="12"/>
  <c r="F248" i="12"/>
  <c r="C249" i="12"/>
  <c r="C250" i="12" l="1"/>
  <c r="F249" i="12"/>
  <c r="E249" i="12"/>
  <c r="AA249" i="12"/>
  <c r="D249" i="12" s="1"/>
  <c r="G249" i="12"/>
  <c r="Z249" i="12"/>
  <c r="Y249" i="12"/>
  <c r="Z250" i="12" l="1"/>
  <c r="C251" i="12"/>
  <c r="Y250" i="12"/>
  <c r="E250" i="12"/>
  <c r="AA250" i="12"/>
  <c r="D250" i="12" s="1"/>
  <c r="G250" i="12"/>
  <c r="F250" i="12"/>
  <c r="Y251" i="12" l="1"/>
  <c r="G251" i="12"/>
  <c r="AA251" i="12"/>
  <c r="D251" i="12" s="1"/>
  <c r="E251" i="12"/>
  <c r="C252" i="12"/>
  <c r="F251" i="12"/>
  <c r="Z251" i="12"/>
  <c r="Y252" i="12" l="1"/>
  <c r="E252" i="12"/>
  <c r="AA252" i="12"/>
  <c r="D252" i="12" s="1"/>
  <c r="Z252" i="12"/>
  <c r="G252" i="12"/>
  <c r="C253" i="12"/>
  <c r="F252" i="12"/>
  <c r="G253" i="12" l="1"/>
  <c r="Z253" i="12"/>
  <c r="E253" i="12"/>
  <c r="Y253" i="12"/>
  <c r="F253" i="12"/>
  <c r="C254" i="12"/>
  <c r="AA253" i="12"/>
  <c r="D253" i="12" s="1"/>
  <c r="Y254" i="12" l="1"/>
  <c r="F254" i="12"/>
  <c r="AA254" i="12"/>
  <c r="D254" i="12" s="1"/>
  <c r="C255" i="12"/>
  <c r="G254" i="12"/>
  <c r="E254" i="12"/>
  <c r="Z254" i="12"/>
  <c r="Z255" i="12" l="1"/>
  <c r="AA255" i="12"/>
  <c r="D255" i="12" s="1"/>
  <c r="G255" i="12"/>
  <c r="C256" i="12"/>
  <c r="F255" i="12"/>
  <c r="Y255" i="12"/>
  <c r="E255" i="12"/>
  <c r="F256" i="12" l="1"/>
  <c r="G256" i="12"/>
  <c r="AA256" i="12"/>
  <c r="D256" i="12" s="1"/>
  <c r="Y256" i="12"/>
  <c r="Z256" i="12"/>
  <c r="E256" i="12"/>
  <c r="C257" i="12"/>
  <c r="AA257" i="12" l="1"/>
  <c r="D257" i="12" s="1"/>
  <c r="G257" i="12"/>
  <c r="E257" i="12"/>
  <c r="C258" i="12"/>
  <c r="Y257" i="12"/>
  <c r="F257" i="12"/>
  <c r="Z257" i="12"/>
  <c r="E258" i="12" l="1"/>
  <c r="C259" i="12"/>
  <c r="Y258" i="12"/>
  <c r="AA258" i="12"/>
  <c r="D258" i="12" s="1"/>
  <c r="G258" i="12"/>
  <c r="Z258" i="12"/>
  <c r="F258" i="12"/>
  <c r="C260" i="12" l="1"/>
  <c r="Y259" i="12"/>
  <c r="F259" i="12"/>
  <c r="AA259" i="12"/>
  <c r="D259" i="12" s="1"/>
  <c r="G259" i="12"/>
  <c r="Z259" i="12"/>
  <c r="E259" i="12"/>
  <c r="Y260" i="12" l="1"/>
  <c r="C261" i="12"/>
  <c r="F260" i="12"/>
  <c r="G260" i="12"/>
  <c r="Z260" i="12"/>
  <c r="E260" i="12"/>
  <c r="AA260" i="12"/>
  <c r="D260" i="12" s="1"/>
  <c r="C262" i="12" l="1"/>
  <c r="F261" i="12"/>
  <c r="E261" i="12"/>
  <c r="AA261" i="12"/>
  <c r="D261" i="12" s="1"/>
  <c r="G261" i="12"/>
  <c r="Z261" i="12"/>
  <c r="Y261" i="12"/>
  <c r="C263" i="12" l="1"/>
  <c r="Y262" i="12"/>
  <c r="AA262" i="12"/>
  <c r="D262" i="12" s="1"/>
  <c r="F262" i="12"/>
  <c r="Z262" i="12"/>
  <c r="E262" i="12"/>
  <c r="G262" i="12"/>
  <c r="E263" i="12" l="1"/>
  <c r="Z263" i="12"/>
  <c r="F263" i="12"/>
  <c r="C264" i="12"/>
  <c r="AA263" i="12"/>
  <c r="D263" i="12" s="1"/>
  <c r="Y263" i="12"/>
  <c r="G263" i="12"/>
  <c r="AA264" i="12" l="1"/>
  <c r="D264" i="12" s="1"/>
  <c r="Y264" i="12"/>
  <c r="Z264" i="12"/>
  <c r="G264" i="12"/>
  <c r="E264" i="12"/>
  <c r="C265" i="12"/>
  <c r="F264" i="12"/>
  <c r="F265" i="12" l="1"/>
  <c r="E265" i="12"/>
  <c r="Y265" i="12"/>
  <c r="AA265" i="12"/>
  <c r="D265" i="12" s="1"/>
  <c r="G265" i="12"/>
  <c r="Z265" i="12"/>
  <c r="C266" i="12"/>
  <c r="Z266" i="12" l="1"/>
  <c r="Y266" i="12"/>
  <c r="C267" i="12"/>
  <c r="AA266" i="12"/>
  <c r="D266" i="12" s="1"/>
  <c r="E266" i="12"/>
  <c r="G266" i="12"/>
  <c r="F266" i="12"/>
  <c r="G267" i="12" l="1"/>
  <c r="C268" i="12"/>
  <c r="Y267" i="12"/>
  <c r="AA267" i="12"/>
  <c r="D267" i="12" s="1"/>
  <c r="E267" i="12"/>
  <c r="F267" i="12"/>
  <c r="Z267" i="12"/>
  <c r="F268" i="12" l="1"/>
  <c r="AA268" i="12"/>
  <c r="D268" i="12" s="1"/>
  <c r="E268" i="12"/>
  <c r="C269" i="12"/>
  <c r="G268" i="12"/>
  <c r="Y268" i="12"/>
  <c r="Z268" i="12"/>
  <c r="Z269" i="12" l="1"/>
  <c r="G269" i="12"/>
  <c r="E269" i="12"/>
  <c r="AA269" i="12"/>
  <c r="D269" i="12" s="1"/>
  <c r="C270" i="12"/>
  <c r="F269" i="12"/>
  <c r="Y269" i="12"/>
  <c r="E270" i="12" l="1"/>
  <c r="C271" i="12"/>
  <c r="F270" i="12"/>
  <c r="Y270" i="12"/>
  <c r="AA270" i="12"/>
  <c r="D270" i="12" s="1"/>
  <c r="G270" i="12"/>
  <c r="Z270" i="12"/>
  <c r="F271" i="12" l="1"/>
  <c r="Z271" i="12"/>
  <c r="C272" i="12"/>
  <c r="AA271" i="12"/>
  <c r="D271" i="12" s="1"/>
  <c r="G271" i="12"/>
  <c r="E271" i="12"/>
  <c r="Y271" i="12"/>
  <c r="AA272" i="12" l="1"/>
  <c r="D272" i="12" s="1"/>
  <c r="F272" i="12"/>
  <c r="Y272" i="12"/>
  <c r="G272" i="12"/>
  <c r="E272" i="12"/>
  <c r="Z272" i="12"/>
  <c r="C273" i="12"/>
  <c r="Z273" i="12" l="1"/>
  <c r="Y273" i="12"/>
  <c r="AA273" i="12"/>
  <c r="D273" i="12" s="1"/>
  <c r="F273" i="12"/>
  <c r="G273" i="12"/>
  <c r="E273" i="12"/>
  <c r="C274" i="12"/>
  <c r="Z274" i="12" l="1"/>
  <c r="Y274" i="12"/>
  <c r="E274" i="12"/>
  <c r="G274" i="12"/>
  <c r="C275" i="12"/>
  <c r="F274" i="12"/>
  <c r="AA274" i="12"/>
  <c r="D274" i="12" s="1"/>
  <c r="E275" i="12" l="1"/>
  <c r="F275" i="12"/>
  <c r="Y275" i="12"/>
  <c r="AA275" i="12"/>
  <c r="D275" i="12" s="1"/>
  <c r="G275" i="12"/>
  <c r="C276" i="12"/>
  <c r="Z275" i="12"/>
  <c r="G276" i="12" l="1"/>
  <c r="Z276" i="12"/>
  <c r="E276" i="12"/>
  <c r="C277" i="12"/>
  <c r="F276" i="12"/>
  <c r="AA276" i="12"/>
  <c r="D276" i="12" s="1"/>
  <c r="Y276" i="12"/>
  <c r="AA277" i="12" l="1"/>
  <c r="D277" i="12" s="1"/>
  <c r="Y277" i="12"/>
  <c r="E277" i="12"/>
  <c r="F277" i="12"/>
  <c r="Z277" i="12"/>
  <c r="C278" i="12"/>
  <c r="G277" i="12"/>
  <c r="AA278" i="12" l="1"/>
  <c r="D278" i="12" s="1"/>
  <c r="E278" i="12"/>
  <c r="C279" i="12"/>
  <c r="Y278" i="12"/>
  <c r="G278" i="12"/>
  <c r="Z278" i="12"/>
  <c r="F278" i="12"/>
  <c r="AA279" i="12" l="1"/>
  <c r="D279" i="12" s="1"/>
  <c r="G279" i="12"/>
  <c r="F279" i="12"/>
  <c r="C280" i="12"/>
  <c r="Y279" i="12"/>
  <c r="Z279" i="12"/>
  <c r="E279" i="12"/>
  <c r="C281" i="12" l="1"/>
  <c r="F280" i="12"/>
  <c r="Z280" i="12"/>
  <c r="AA280" i="12"/>
  <c r="D280" i="12" s="1"/>
  <c r="Y280" i="12"/>
  <c r="G280" i="12"/>
  <c r="E280" i="12"/>
  <c r="F281" i="12" l="1"/>
  <c r="G281" i="12"/>
  <c r="Y281" i="12"/>
  <c r="C282" i="12"/>
  <c r="AA281" i="12"/>
  <c r="D281" i="12" s="1"/>
  <c r="Z281" i="12"/>
  <c r="E281" i="12"/>
  <c r="Y282" i="12" l="1"/>
  <c r="Z282" i="12"/>
  <c r="AA282" i="12"/>
  <c r="D282" i="12" s="1"/>
  <c r="C283" i="12"/>
  <c r="F282" i="12"/>
  <c r="E282" i="12"/>
  <c r="G282" i="12"/>
  <c r="AA283" i="12" l="1"/>
  <c r="D283" i="12" s="1"/>
  <c r="C284" i="12"/>
  <c r="F283" i="12"/>
  <c r="Y283" i="12"/>
  <c r="E283" i="12"/>
  <c r="G283" i="12"/>
  <c r="Z283" i="12"/>
  <c r="AA284" i="12" l="1"/>
  <c r="D284" i="12" s="1"/>
  <c r="Y284" i="12"/>
  <c r="G284" i="12"/>
  <c r="F284" i="12"/>
  <c r="C285" i="12"/>
  <c r="E284" i="12"/>
  <c r="Z284" i="12"/>
  <c r="F285" i="12" l="1"/>
  <c r="Y285" i="12"/>
  <c r="AA285" i="12"/>
  <c r="D285" i="12" s="1"/>
  <c r="C286" i="12"/>
  <c r="E285" i="12"/>
  <c r="Z285" i="12"/>
  <c r="G285" i="12"/>
  <c r="Z286" i="12" l="1"/>
  <c r="G286" i="12"/>
  <c r="Y286" i="12"/>
  <c r="AA286" i="12"/>
  <c r="D286" i="12" s="1"/>
  <c r="C287" i="12"/>
  <c r="E286" i="12"/>
  <c r="F286" i="12"/>
  <c r="Y287" i="12" l="1"/>
  <c r="C288" i="12"/>
  <c r="F287" i="12"/>
  <c r="Z287" i="12"/>
  <c r="G287" i="12"/>
  <c r="AA287" i="12"/>
  <c r="D287" i="12" s="1"/>
  <c r="E287" i="12"/>
  <c r="AA288" i="12" l="1"/>
  <c r="D288" i="12" s="1"/>
  <c r="F288" i="12"/>
  <c r="E288" i="12"/>
  <c r="Z288" i="12"/>
  <c r="G288" i="12"/>
  <c r="C289" i="12"/>
  <c r="Y288" i="12"/>
  <c r="Z289" i="12" l="1"/>
  <c r="F289" i="12"/>
  <c r="E289" i="12"/>
  <c r="AA289" i="12"/>
  <c r="D289" i="12" s="1"/>
  <c r="G289" i="12"/>
  <c r="Y289" i="12"/>
  <c r="C290" i="12"/>
  <c r="C291" i="12" l="1"/>
  <c r="Y290" i="12"/>
  <c r="G290" i="12"/>
  <c r="E290" i="12"/>
  <c r="Z290" i="12"/>
  <c r="AA290" i="12"/>
  <c r="D290" i="12" s="1"/>
  <c r="F290" i="12"/>
  <c r="C292" i="12" l="1"/>
  <c r="E291" i="12"/>
  <c r="Z291" i="12"/>
  <c r="Y291" i="12"/>
  <c r="G291" i="12"/>
  <c r="AA291" i="12"/>
  <c r="D291" i="12" s="1"/>
  <c r="F291" i="12"/>
  <c r="G292" i="12" l="1"/>
  <c r="Y292" i="12"/>
  <c r="C293" i="12"/>
  <c r="F292" i="12"/>
  <c r="Z292" i="12"/>
  <c r="E292" i="12"/>
  <c r="AA292" i="12"/>
  <c r="D292" i="12" s="1"/>
  <c r="C294" i="12" l="1"/>
  <c r="Y293" i="12"/>
  <c r="G293" i="12"/>
  <c r="E293" i="12"/>
  <c r="F293" i="12"/>
  <c r="AA293" i="12"/>
  <c r="D293" i="12" s="1"/>
  <c r="Z293" i="12"/>
  <c r="Y294" i="12" l="1"/>
  <c r="AA294" i="12"/>
  <c r="D294" i="12" s="1"/>
  <c r="F294" i="12"/>
  <c r="G294" i="12"/>
  <c r="E294" i="12"/>
  <c r="Z294" i="12"/>
  <c r="C295" i="12"/>
  <c r="Y295" i="12" l="1"/>
  <c r="E295" i="12"/>
  <c r="AA295" i="12"/>
  <c r="D295" i="12" s="1"/>
  <c r="G295" i="12"/>
  <c r="Z295" i="12"/>
  <c r="C296" i="12"/>
  <c r="F295" i="12"/>
  <c r="C297" i="12" l="1"/>
  <c r="Y296" i="12"/>
  <c r="AA296" i="12"/>
  <c r="D296" i="12" s="1"/>
  <c r="F296" i="12"/>
  <c r="Z296" i="12"/>
  <c r="G296" i="12"/>
  <c r="E296" i="12"/>
  <c r="AA297" i="12" l="1"/>
  <c r="D297" i="12" s="1"/>
  <c r="E297" i="12"/>
  <c r="G297" i="12"/>
  <c r="F297" i="12"/>
  <c r="Z297" i="12"/>
  <c r="C298" i="12"/>
  <c r="Y297" i="12"/>
  <c r="F298" i="12" l="1"/>
  <c r="AA298" i="12"/>
  <c r="D298" i="12" s="1"/>
  <c r="G298" i="12"/>
  <c r="Y298" i="12"/>
  <c r="E298" i="12"/>
  <c r="Z298" i="12"/>
  <c r="C299" i="12"/>
  <c r="Y299" i="12" l="1"/>
  <c r="Z299" i="12"/>
  <c r="F299" i="12"/>
  <c r="AA299" i="12"/>
  <c r="D299" i="12" s="1"/>
  <c r="G299" i="12"/>
  <c r="E299" i="12"/>
  <c r="C300" i="12"/>
  <c r="Y300" i="12" l="1"/>
  <c r="E300" i="12"/>
  <c r="G300" i="12"/>
  <c r="C301" i="12"/>
  <c r="AA300" i="12"/>
  <c r="D300" i="12" s="1"/>
  <c r="F300" i="12"/>
  <c r="Z300" i="12"/>
  <c r="F301" i="12" l="1"/>
  <c r="Y301" i="12"/>
  <c r="G301" i="12"/>
  <c r="Z301" i="12"/>
  <c r="AA301" i="12"/>
  <c r="D301" i="12" s="1"/>
  <c r="C302" i="12"/>
  <c r="E301" i="12"/>
  <c r="Y302" i="12" l="1"/>
  <c r="G302" i="12"/>
  <c r="F302" i="12"/>
  <c r="Z302" i="12"/>
  <c r="C303" i="12"/>
  <c r="E302" i="12"/>
  <c r="AA302" i="12"/>
  <c r="D302" i="12" s="1"/>
  <c r="AA303" i="12" l="1"/>
  <c r="D303" i="12" s="1"/>
  <c r="F303" i="12"/>
  <c r="G303" i="12"/>
  <c r="C304" i="12"/>
  <c r="E303" i="12"/>
  <c r="Y303" i="12"/>
  <c r="Z303" i="12"/>
  <c r="Z304" i="12" l="1"/>
  <c r="G304" i="12"/>
  <c r="AA304" i="12"/>
  <c r="D304" i="12" s="1"/>
  <c r="E304" i="12"/>
  <c r="Y304" i="12"/>
  <c r="C305" i="12"/>
  <c r="F304" i="12"/>
  <c r="F305" i="12" l="1"/>
  <c r="G305" i="12"/>
  <c r="AA305" i="12"/>
  <c r="D305" i="12" s="1"/>
  <c r="E305" i="12"/>
  <c r="C306" i="12"/>
  <c r="Y305" i="12"/>
  <c r="Z305" i="12"/>
  <c r="Z306" i="12" l="1"/>
  <c r="C307" i="12"/>
  <c r="E306" i="12"/>
  <c r="Y306" i="12"/>
  <c r="AA306" i="12"/>
  <c r="D306" i="12" s="1"/>
  <c r="G306" i="12"/>
  <c r="F306" i="12"/>
  <c r="C308" i="12" l="1"/>
  <c r="G307" i="12"/>
  <c r="F307" i="12"/>
  <c r="AA307" i="12"/>
  <c r="D307" i="12" s="1"/>
  <c r="Y307" i="12"/>
  <c r="Z307" i="12"/>
  <c r="E307" i="12"/>
  <c r="AA308" i="12" l="1"/>
  <c r="D308" i="12" s="1"/>
  <c r="F308" i="12"/>
  <c r="Y308" i="12"/>
  <c r="Z308" i="12"/>
  <c r="C309" i="12"/>
  <c r="E308" i="12"/>
  <c r="G308" i="12"/>
  <c r="E309" i="12" l="1"/>
  <c r="AA309" i="12"/>
  <c r="D309" i="12" s="1"/>
  <c r="F309" i="12"/>
  <c r="G309" i="12"/>
  <c r="C310" i="12"/>
  <c r="Z309" i="12"/>
  <c r="Y309" i="12"/>
  <c r="G310" i="12" l="1"/>
  <c r="AA310" i="12"/>
  <c r="D310" i="12" s="1"/>
  <c r="Z310" i="12"/>
  <c r="Y310" i="12"/>
  <c r="C311" i="12"/>
  <c r="E310" i="12"/>
  <c r="F310" i="12"/>
  <c r="G311" i="12" l="1"/>
  <c r="Z311" i="12"/>
  <c r="AA311" i="12"/>
  <c r="D311" i="12" s="1"/>
  <c r="C312" i="12"/>
  <c r="E311" i="12"/>
  <c r="Y311" i="12"/>
  <c r="F311" i="12"/>
  <c r="E312" i="12" l="1"/>
  <c r="G312" i="12"/>
  <c r="F312" i="12"/>
  <c r="Y312" i="12"/>
  <c r="C313" i="12"/>
  <c r="Z312" i="12"/>
  <c r="AA312" i="12"/>
  <c r="D312" i="12" s="1"/>
  <c r="G313" i="12" l="1"/>
  <c r="Z313" i="12"/>
  <c r="E313" i="12"/>
  <c r="C314" i="12"/>
  <c r="F313" i="12"/>
  <c r="Y313" i="12"/>
  <c r="AA313" i="12"/>
  <c r="D313" i="12" s="1"/>
  <c r="AA314" i="12" l="1"/>
  <c r="D314" i="12" s="1"/>
  <c r="G314" i="12"/>
  <c r="E314" i="12"/>
  <c r="Y314" i="12"/>
  <c r="F314" i="12"/>
  <c r="C315" i="12"/>
  <c r="Z314" i="12"/>
  <c r="F315" i="12" l="1"/>
  <c r="Z315" i="12"/>
  <c r="G315" i="12"/>
  <c r="C316" i="12"/>
  <c r="AA315" i="12"/>
  <c r="D315" i="12" s="1"/>
  <c r="Y315" i="12"/>
  <c r="E315" i="12"/>
  <c r="C317" i="12" l="1"/>
  <c r="AA316" i="12"/>
  <c r="D316" i="12" s="1"/>
  <c r="F316" i="12"/>
  <c r="Y316" i="12"/>
  <c r="Z316" i="12"/>
  <c r="G316" i="12"/>
  <c r="E316" i="12"/>
  <c r="Z317" i="12" l="1"/>
  <c r="E317" i="12"/>
  <c r="F317" i="12"/>
  <c r="C318" i="12"/>
  <c r="AA317" i="12"/>
  <c r="D317" i="12" s="1"/>
  <c r="G317" i="12"/>
  <c r="Y317" i="12"/>
  <c r="E318" i="12" l="1"/>
  <c r="Y318" i="12"/>
  <c r="G318" i="12"/>
  <c r="AA318" i="12"/>
  <c r="D318" i="12" s="1"/>
  <c r="F318" i="12"/>
  <c r="C319" i="12"/>
  <c r="Z318" i="12"/>
  <c r="Z319" i="12" l="1"/>
  <c r="C320" i="12"/>
  <c r="AA319" i="12"/>
  <c r="D319" i="12" s="1"/>
  <c r="E319" i="12"/>
  <c r="G319" i="12"/>
  <c r="Y319" i="12"/>
  <c r="F319" i="12"/>
  <c r="G320" i="12" l="1"/>
  <c r="C321" i="12"/>
  <c r="E320" i="12"/>
  <c r="Y320" i="12"/>
  <c r="Z320" i="12"/>
  <c r="F320" i="12"/>
  <c r="AA320" i="12"/>
  <c r="D320" i="12" s="1"/>
  <c r="G321" i="12" l="1"/>
  <c r="Y321" i="12"/>
  <c r="AA321" i="12"/>
  <c r="D321" i="12" s="1"/>
  <c r="Z321" i="12"/>
  <c r="E321" i="12"/>
  <c r="C322" i="12"/>
  <c r="F321" i="12"/>
  <c r="E322" i="12" l="1"/>
  <c r="AA322" i="12"/>
  <c r="D322" i="12" s="1"/>
  <c r="G322" i="12"/>
  <c r="C323" i="12"/>
  <c r="Z322" i="12"/>
  <c r="Y322" i="12"/>
  <c r="F322" i="12"/>
  <c r="Y323" i="12" l="1"/>
  <c r="AA323" i="12"/>
  <c r="D323" i="12" s="1"/>
  <c r="F323" i="12"/>
  <c r="G323" i="12"/>
  <c r="E323" i="12"/>
  <c r="C324" i="12"/>
  <c r="Z323" i="12"/>
  <c r="F324" i="12" l="1"/>
  <c r="G324" i="12"/>
  <c r="Y324" i="12"/>
  <c r="AA324" i="12"/>
  <c r="D324" i="12" s="1"/>
  <c r="C325" i="12"/>
  <c r="E324" i="12"/>
  <c r="Z324" i="12"/>
  <c r="C326" i="12" l="1"/>
  <c r="Z325" i="12"/>
  <c r="E325" i="12"/>
  <c r="Y325" i="12"/>
  <c r="AA325" i="12"/>
  <c r="D325" i="12" s="1"/>
  <c r="F325" i="12"/>
  <c r="G325" i="12"/>
  <c r="C327" i="12" l="1"/>
  <c r="Y326" i="12"/>
  <c r="F326" i="12"/>
  <c r="AA326" i="12"/>
  <c r="D326" i="12" s="1"/>
  <c r="G326" i="12"/>
  <c r="Z326" i="12"/>
  <c r="E326" i="12"/>
  <c r="E327" i="12" l="1"/>
  <c r="G327" i="12"/>
  <c r="F327" i="12"/>
  <c r="Y327" i="12"/>
  <c r="AA327" i="12"/>
  <c r="D327" i="12" s="1"/>
  <c r="Z327" i="12"/>
  <c r="C328" i="12"/>
  <c r="G328" i="12" l="1"/>
  <c r="Y328" i="12"/>
  <c r="E328" i="12"/>
  <c r="F328" i="12"/>
  <c r="AA328" i="12"/>
  <c r="D328" i="12" s="1"/>
  <c r="Z328" i="12"/>
  <c r="C329" i="12"/>
  <c r="Y329" i="12" l="1"/>
  <c r="C330" i="12"/>
  <c r="E329" i="12"/>
  <c r="G329" i="12"/>
  <c r="Z329" i="12"/>
  <c r="AA329" i="12"/>
  <c r="D329" i="12" s="1"/>
  <c r="F329" i="12"/>
  <c r="C331" i="12" l="1"/>
  <c r="Y330" i="12"/>
  <c r="Z330" i="12"/>
  <c r="E330" i="12"/>
  <c r="F330" i="12"/>
  <c r="G330" i="12"/>
  <c r="AA330" i="12"/>
  <c r="D330" i="12" s="1"/>
  <c r="Y331" i="12" l="1"/>
  <c r="Z331" i="12"/>
  <c r="E331" i="12"/>
  <c r="C332" i="12"/>
  <c r="F331" i="12"/>
  <c r="AA331" i="12"/>
  <c r="D331" i="12" s="1"/>
  <c r="G331" i="12"/>
  <c r="C333" i="12" l="1"/>
  <c r="AA332" i="12"/>
  <c r="D332" i="12" s="1"/>
  <c r="E332" i="12"/>
  <c r="F332" i="12"/>
  <c r="Z332" i="12"/>
  <c r="Y332" i="12"/>
  <c r="G332" i="12"/>
  <c r="Y333" i="12" l="1"/>
  <c r="Z333" i="12"/>
  <c r="G333" i="12"/>
  <c r="E333" i="12"/>
  <c r="C334" i="12"/>
  <c r="AA333" i="12"/>
  <c r="D333" i="12" s="1"/>
  <c r="F333" i="12"/>
  <c r="C335" i="12" l="1"/>
  <c r="G334" i="12"/>
  <c r="AA334" i="12"/>
  <c r="D334" i="12" s="1"/>
  <c r="F334" i="12"/>
  <c r="Z334" i="12"/>
  <c r="Y334" i="12"/>
  <c r="E334" i="12"/>
  <c r="G335" i="12" l="1"/>
  <c r="F335" i="12"/>
  <c r="Y335" i="12"/>
  <c r="E335" i="12"/>
  <c r="AA335" i="12"/>
  <c r="D335" i="12" s="1"/>
  <c r="C336" i="12"/>
  <c r="Z335" i="12"/>
  <c r="C337" i="12" l="1"/>
  <c r="E336" i="12"/>
  <c r="G336" i="12"/>
  <c r="F336" i="12"/>
  <c r="Z336" i="12"/>
  <c r="AA336" i="12"/>
  <c r="D336" i="12" s="1"/>
  <c r="Y336" i="12"/>
  <c r="Y337" i="12" l="1"/>
  <c r="F337" i="12"/>
  <c r="G337" i="12"/>
  <c r="AA337" i="12"/>
  <c r="D337" i="12" s="1"/>
  <c r="Z337" i="12"/>
  <c r="C338" i="12"/>
  <c r="E337" i="12"/>
  <c r="AA338" i="12" l="1"/>
  <c r="D338" i="12" s="1"/>
  <c r="Y338" i="12"/>
  <c r="F338" i="12"/>
  <c r="C339" i="12"/>
  <c r="E338" i="12"/>
  <c r="Z338" i="12"/>
  <c r="G338" i="12"/>
  <c r="C340" i="12" l="1"/>
  <c r="Y339" i="12"/>
  <c r="E339" i="12"/>
  <c r="Z339" i="12"/>
  <c r="AA339" i="12"/>
  <c r="D339" i="12" s="1"/>
  <c r="G339" i="12"/>
  <c r="F339" i="12"/>
  <c r="Z340" i="12" l="1"/>
  <c r="G340" i="12"/>
  <c r="F340" i="12"/>
  <c r="AA340" i="12"/>
  <c r="D340" i="12" s="1"/>
  <c r="C341" i="12"/>
  <c r="E340" i="12"/>
  <c r="Y340" i="12"/>
  <c r="G341" i="12" l="1"/>
  <c r="Y341" i="12"/>
  <c r="F341" i="12"/>
  <c r="E341" i="12"/>
  <c r="AA341" i="12"/>
  <c r="D341" i="12" s="1"/>
  <c r="Z341" i="12"/>
  <c r="C342" i="12"/>
  <c r="C343" i="12" l="1"/>
  <c r="Z342" i="12"/>
  <c r="G342" i="12"/>
  <c r="E342" i="12"/>
  <c r="Y342" i="12"/>
  <c r="AA342" i="12"/>
  <c r="D342" i="12" s="1"/>
  <c r="F342" i="12"/>
  <c r="G343" i="12" l="1"/>
  <c r="AA343" i="12"/>
  <c r="D343" i="12" s="1"/>
  <c r="Z343" i="12"/>
  <c r="Y343" i="12"/>
  <c r="F343" i="12"/>
  <c r="E343" i="12"/>
  <c r="C344" i="12"/>
  <c r="C345" i="12" l="1"/>
  <c r="AA344" i="12"/>
  <c r="D344" i="12" s="1"/>
  <c r="F344" i="12"/>
  <c r="G344" i="12"/>
  <c r="Y344" i="12"/>
  <c r="Z344" i="12"/>
  <c r="E344" i="12"/>
  <c r="Z345" i="12" l="1"/>
  <c r="F345" i="12"/>
  <c r="Y345" i="12"/>
  <c r="E345" i="12"/>
  <c r="C346" i="12"/>
  <c r="AA345" i="12"/>
  <c r="D345" i="12" s="1"/>
  <c r="G345" i="12"/>
  <c r="E346" i="12" l="1"/>
  <c r="AA346" i="12"/>
  <c r="D346" i="12" s="1"/>
  <c r="F346" i="12"/>
  <c r="G346" i="12"/>
  <c r="Z346" i="12"/>
  <c r="Y346" i="12"/>
  <c r="C347" i="12"/>
  <c r="Z347" i="12" l="1"/>
  <c r="F347" i="12"/>
  <c r="Y347" i="12"/>
  <c r="C348" i="12"/>
  <c r="G347" i="12"/>
  <c r="AA347" i="12"/>
  <c r="D347" i="12" s="1"/>
  <c r="E347" i="12"/>
  <c r="Z348" i="12" l="1"/>
  <c r="C349" i="12"/>
  <c r="G348" i="12"/>
  <c r="E348" i="12"/>
  <c r="AA348" i="12"/>
  <c r="D348" i="12" s="1"/>
  <c r="F348" i="12"/>
  <c r="Y348" i="12"/>
  <c r="E349" i="12" l="1"/>
  <c r="F349" i="12"/>
  <c r="AA349" i="12"/>
  <c r="D349" i="12" s="1"/>
  <c r="Z349" i="12"/>
  <c r="G349" i="12"/>
  <c r="C350" i="12"/>
  <c r="Y349" i="12"/>
  <c r="F350" i="12" l="1"/>
  <c r="Y350" i="12"/>
  <c r="G350" i="12"/>
  <c r="E350" i="12"/>
  <c r="Z350" i="12"/>
  <c r="AA350" i="12"/>
  <c r="D350" i="12" s="1"/>
  <c r="C351" i="12"/>
  <c r="G351" i="12" l="1"/>
  <c r="Y351" i="12"/>
  <c r="E351" i="12"/>
  <c r="Z351" i="12"/>
  <c r="C352" i="12"/>
  <c r="AA351" i="12"/>
  <c r="D351" i="12" s="1"/>
  <c r="F351" i="12"/>
  <c r="G352" i="12" l="1"/>
  <c r="E352" i="12"/>
  <c r="F352" i="12"/>
  <c r="C353" i="12"/>
  <c r="Z352" i="12"/>
  <c r="Y352" i="12"/>
  <c r="AA352" i="12"/>
  <c r="D352" i="12" s="1"/>
  <c r="E353" i="12" l="1"/>
  <c r="Z353" i="12"/>
  <c r="C354" i="12"/>
  <c r="AA353" i="12"/>
  <c r="D353" i="12" s="1"/>
  <c r="Y353" i="12"/>
  <c r="F353" i="12"/>
  <c r="G353" i="12"/>
  <c r="G354" i="12" l="1"/>
  <c r="Z354" i="12"/>
  <c r="F354" i="12"/>
  <c r="E354" i="12"/>
  <c r="C355" i="12"/>
  <c r="Y354" i="12"/>
  <c r="AA354" i="12"/>
  <c r="D354" i="12" s="1"/>
  <c r="C356" i="12" l="1"/>
  <c r="G355" i="12"/>
  <c r="E355" i="12"/>
  <c r="Y355" i="12"/>
  <c r="AA355" i="12"/>
  <c r="D355" i="12" s="1"/>
  <c r="Z355" i="12"/>
  <c r="F355" i="12"/>
  <c r="G356" i="12" l="1"/>
  <c r="E356" i="12"/>
  <c r="AA356" i="12"/>
  <c r="D356" i="12" s="1"/>
  <c r="Y356" i="12"/>
  <c r="F356" i="12"/>
  <c r="C357" i="12"/>
  <c r="Z356" i="12"/>
  <c r="E357" i="12" l="1"/>
  <c r="Y357" i="12"/>
  <c r="C358" i="12"/>
  <c r="AA357" i="12"/>
  <c r="D357" i="12" s="1"/>
  <c r="G357" i="12"/>
  <c r="F357" i="12"/>
  <c r="Z357" i="12"/>
  <c r="C359" i="12" l="1"/>
  <c r="E358" i="12"/>
  <c r="F358" i="12"/>
  <c r="Z358" i="12"/>
  <c r="Y358" i="12"/>
  <c r="AA358" i="12"/>
  <c r="D358" i="12" s="1"/>
  <c r="G358" i="12"/>
  <c r="E359" i="12" l="1"/>
  <c r="Y359" i="12"/>
  <c r="Z359" i="12"/>
  <c r="C360" i="12"/>
  <c r="AA359" i="12"/>
  <c r="D359" i="12" s="1"/>
  <c r="F359" i="12"/>
  <c r="G359" i="12"/>
  <c r="E360" i="12" l="1"/>
  <c r="C361" i="12"/>
  <c r="Y360" i="12"/>
  <c r="G360" i="12"/>
  <c r="Z360" i="12"/>
  <c r="AA360" i="12"/>
  <c r="D360" i="12" s="1"/>
  <c r="F360" i="12"/>
  <c r="E361" i="12" l="1"/>
  <c r="Y361" i="12"/>
  <c r="C362" i="12"/>
  <c r="Z361" i="12"/>
  <c r="F361" i="12"/>
  <c r="G361" i="12"/>
  <c r="AA361" i="12"/>
  <c r="D361" i="12" s="1"/>
  <c r="G362" i="12" l="1"/>
  <c r="E362" i="12"/>
  <c r="Y362" i="12"/>
  <c r="C363" i="12"/>
  <c r="Z362" i="12"/>
  <c r="F362" i="12"/>
  <c r="AA362" i="12"/>
  <c r="D362" i="12" s="1"/>
  <c r="Z363" i="12" l="1"/>
  <c r="E363" i="12"/>
  <c r="F363" i="12"/>
  <c r="C364" i="12"/>
  <c r="AA363" i="12"/>
  <c r="D363" i="12" s="1"/>
  <c r="Y363" i="12"/>
  <c r="G363" i="12"/>
  <c r="E364" i="12" l="1"/>
  <c r="Y364" i="12"/>
  <c r="C365" i="12"/>
  <c r="Z364" i="12"/>
  <c r="AA364" i="12"/>
  <c r="D364" i="12" s="1"/>
  <c r="G364" i="12"/>
  <c r="F364" i="12"/>
  <c r="G365" i="12" l="1"/>
  <c r="E365" i="12"/>
  <c r="AA365" i="12"/>
  <c r="D365" i="12" s="1"/>
  <c r="F365" i="12"/>
  <c r="C366" i="12"/>
  <c r="Y365" i="12"/>
  <c r="Z365" i="12"/>
  <c r="C367" i="12" l="1"/>
  <c r="E366" i="12"/>
  <c r="F366" i="12"/>
  <c r="Y366" i="12"/>
  <c r="Z366" i="12"/>
  <c r="G366" i="12"/>
  <c r="AA366" i="12"/>
  <c r="D366" i="12" s="1"/>
  <c r="F367" i="12" l="1"/>
  <c r="C368" i="12"/>
  <c r="E367" i="12"/>
  <c r="Z367" i="12"/>
  <c r="G367" i="12"/>
  <c r="AA367" i="12"/>
  <c r="D367" i="12" s="1"/>
  <c r="Y367" i="12"/>
  <c r="Z368" i="12" l="1"/>
  <c r="E368" i="12"/>
  <c r="Y368" i="12"/>
  <c r="C369" i="12"/>
  <c r="G368" i="12"/>
  <c r="AA368" i="12"/>
  <c r="D368" i="12" s="1"/>
  <c r="F368" i="12"/>
  <c r="Y369" i="12" l="1"/>
  <c r="AA369" i="12"/>
  <c r="D369" i="12" s="1"/>
  <c r="G369" i="12"/>
  <c r="E369" i="12"/>
  <c r="Z369" i="12"/>
  <c r="F369" i="12"/>
  <c r="C370" i="12"/>
  <c r="Z370" i="12" l="1"/>
  <c r="Y370" i="12"/>
  <c r="C371" i="12"/>
  <c r="AA370" i="12"/>
  <c r="D370" i="12" s="1"/>
  <c r="E370" i="12"/>
  <c r="G370" i="12"/>
  <c r="F370" i="12"/>
  <c r="C372" i="12" l="1"/>
  <c r="G371" i="12"/>
  <c r="F371" i="12"/>
  <c r="AA371" i="12"/>
  <c r="D371" i="12" s="1"/>
  <c r="Z371" i="12"/>
  <c r="E371" i="12"/>
  <c r="Y371" i="12"/>
  <c r="Y372" i="12" l="1"/>
  <c r="G372" i="12"/>
  <c r="AA372" i="12"/>
  <c r="D372" i="12" s="1"/>
  <c r="F372" i="12"/>
  <c r="E372" i="12"/>
  <c r="Z372" i="12"/>
  <c r="C373" i="12"/>
  <c r="F373" i="12" l="1"/>
  <c r="E373" i="12"/>
  <c r="Y373" i="12"/>
  <c r="AA373" i="12"/>
  <c r="D373" i="12" s="1"/>
  <c r="G373" i="12"/>
  <c r="Z373" i="12"/>
  <c r="C374" i="12"/>
  <c r="Z374" i="12" l="1"/>
  <c r="F374" i="12"/>
  <c r="C375" i="12"/>
  <c r="G374" i="12"/>
  <c r="E374" i="12"/>
  <c r="Y374" i="12"/>
  <c r="AA374" i="12"/>
  <c r="D374" i="12" s="1"/>
  <c r="C376" i="12" l="1"/>
  <c r="Z375" i="12"/>
  <c r="AA375" i="12"/>
  <c r="D375" i="12" s="1"/>
  <c r="F375" i="12"/>
  <c r="G375" i="12"/>
  <c r="Y375" i="12"/>
  <c r="E375" i="12"/>
  <c r="G376" i="12" l="1"/>
  <c r="Z376" i="12"/>
  <c r="E376" i="12"/>
  <c r="F376" i="12"/>
  <c r="AA376" i="12"/>
  <c r="D376" i="12" s="1"/>
  <c r="Y376" i="12"/>
  <c r="C377" i="12"/>
  <c r="C378" i="12" l="1"/>
  <c r="G377" i="12"/>
  <c r="Y377" i="12"/>
  <c r="E377" i="12"/>
  <c r="F377" i="12"/>
  <c r="AA377" i="12"/>
  <c r="D377" i="12" s="1"/>
  <c r="Z377" i="12"/>
  <c r="AA378" i="12" l="1"/>
  <c r="D378" i="12" s="1"/>
  <c r="F378" i="12"/>
  <c r="C379" i="12"/>
  <c r="G378" i="12"/>
  <c r="Z378" i="12"/>
  <c r="Y378" i="12"/>
  <c r="E378" i="12"/>
  <c r="Z379" i="12" l="1"/>
  <c r="E379" i="12"/>
  <c r="C380" i="12"/>
  <c r="G379" i="12"/>
  <c r="F379" i="12"/>
  <c r="AA379" i="12"/>
  <c r="D379" i="12" s="1"/>
  <c r="Y379" i="12"/>
  <c r="AA380" i="12" l="1"/>
  <c r="D380" i="12" s="1"/>
  <c r="E380" i="12"/>
  <c r="G380" i="12"/>
  <c r="F380" i="12"/>
  <c r="Z380" i="12"/>
  <c r="C381" i="12"/>
  <c r="Y380" i="12"/>
  <c r="E381" i="12" l="1"/>
  <c r="Z381" i="12"/>
  <c r="F381" i="12"/>
  <c r="G381" i="12"/>
  <c r="AA381" i="12"/>
  <c r="D381" i="12" s="1"/>
  <c r="C382" i="12"/>
  <c r="Y381" i="12"/>
  <c r="G382" i="12" l="1"/>
  <c r="E382" i="12"/>
  <c r="C383" i="12"/>
  <c r="F382" i="12"/>
  <c r="Z382" i="12"/>
  <c r="AA382" i="12"/>
  <c r="D382" i="12" s="1"/>
  <c r="Y382" i="12"/>
  <c r="G383" i="12" l="1"/>
  <c r="F383" i="12"/>
  <c r="E383" i="12"/>
  <c r="C384" i="12"/>
  <c r="Z383" i="12"/>
  <c r="AA383" i="12"/>
  <c r="D383" i="12" s="1"/>
  <c r="Y383" i="12"/>
  <c r="F384" i="12" l="1"/>
  <c r="E384" i="12"/>
  <c r="G384" i="12"/>
  <c r="C385" i="12"/>
  <c r="Z384" i="12"/>
  <c r="AA384" i="12"/>
  <c r="D384" i="12" s="1"/>
  <c r="Y384" i="12"/>
  <c r="G385" i="12" l="1"/>
  <c r="Y385" i="12"/>
  <c r="F385" i="12"/>
  <c r="E385" i="12"/>
  <c r="AA385" i="12"/>
  <c r="D385" i="12" s="1"/>
  <c r="C386" i="12"/>
  <c r="Z385" i="12"/>
  <c r="E386" i="12" l="1"/>
  <c r="AA386" i="12"/>
  <c r="D386" i="12" s="1"/>
  <c r="C387" i="12"/>
  <c r="G386" i="12"/>
  <c r="Y386" i="12"/>
  <c r="F386" i="12"/>
  <c r="Z386" i="12"/>
  <c r="G387" i="12" l="1"/>
  <c r="F387" i="12"/>
  <c r="E387" i="12"/>
  <c r="Y387" i="12"/>
  <c r="Z387" i="12"/>
  <c r="C388" i="12"/>
  <c r="AA387" i="12"/>
  <c r="D387" i="12" s="1"/>
  <c r="Y388" i="12" l="1"/>
  <c r="AA388" i="12"/>
  <c r="D388" i="12" s="1"/>
  <c r="F388" i="12"/>
  <c r="G388" i="12"/>
  <c r="C389" i="12"/>
  <c r="E388" i="12"/>
  <c r="Z388" i="12"/>
  <c r="E389" i="12" l="1"/>
  <c r="C390" i="12"/>
  <c r="Z389" i="12"/>
  <c r="Y389" i="12"/>
  <c r="AA389" i="12"/>
  <c r="D389" i="12" s="1"/>
  <c r="G389" i="12"/>
  <c r="F389" i="12"/>
  <c r="F390" i="12" l="1"/>
  <c r="C391" i="12"/>
  <c r="G390" i="12"/>
  <c r="E390" i="12"/>
  <c r="Z390" i="12"/>
  <c r="AA390" i="12"/>
  <c r="D390" i="12" s="1"/>
  <c r="Y390" i="12"/>
  <c r="Z391" i="12" l="1"/>
  <c r="Y391" i="12"/>
  <c r="E391" i="12"/>
  <c r="AA391" i="12"/>
  <c r="D391" i="12" s="1"/>
  <c r="G391" i="12"/>
  <c r="C392" i="12"/>
  <c r="F391" i="12"/>
  <c r="AA392" i="12" l="1"/>
  <c r="D392" i="12" s="1"/>
  <c r="C393" i="12"/>
  <c r="Z392" i="12"/>
  <c r="G392" i="12"/>
  <c r="F392" i="12"/>
  <c r="Y392" i="12"/>
  <c r="E392" i="12"/>
  <c r="F393" i="12" l="1"/>
  <c r="AA393" i="12"/>
  <c r="D393" i="12" s="1"/>
  <c r="Z393" i="12"/>
  <c r="G393" i="12"/>
  <c r="C394" i="12"/>
  <c r="Y393" i="12"/>
  <c r="E393" i="12"/>
  <c r="E394" i="12" l="1"/>
  <c r="Z394" i="12"/>
  <c r="G394" i="12"/>
  <c r="C395" i="12"/>
  <c r="Y394" i="12"/>
  <c r="AA394" i="12"/>
  <c r="D394" i="12" s="1"/>
  <c r="F394" i="12"/>
  <c r="E395" i="12" l="1"/>
  <c r="Y395" i="12"/>
  <c r="Z395" i="12"/>
  <c r="G395" i="12"/>
  <c r="F395" i="12"/>
  <c r="AA395" i="12"/>
  <c r="D395" i="12" s="1"/>
  <c r="C396" i="12"/>
  <c r="E396" i="12" l="1"/>
  <c r="Y396" i="12"/>
  <c r="C397" i="12"/>
  <c r="Z396" i="12"/>
  <c r="F396" i="12"/>
  <c r="AA396" i="12"/>
  <c r="D396" i="12" s="1"/>
  <c r="G396" i="12"/>
  <c r="C398" i="12" l="1"/>
  <c r="E397" i="12"/>
  <c r="Z397" i="12"/>
  <c r="F397" i="12"/>
  <c r="G397" i="12"/>
  <c r="Y397" i="12"/>
  <c r="AA397" i="12"/>
  <c r="D397" i="12" s="1"/>
  <c r="E398" i="12" l="1"/>
  <c r="G398" i="12"/>
  <c r="AA398" i="12"/>
  <c r="D398" i="12" s="1"/>
  <c r="F398" i="12"/>
  <c r="C399" i="12"/>
  <c r="Y398" i="12"/>
  <c r="Z398" i="12"/>
  <c r="G399" i="12" l="1"/>
  <c r="Y399" i="12"/>
  <c r="C400" i="12"/>
  <c r="AA399" i="12"/>
  <c r="D399" i="12" s="1"/>
  <c r="E399" i="12"/>
  <c r="Z399" i="12"/>
  <c r="F399" i="12"/>
  <c r="E400" i="12" l="1"/>
  <c r="G400" i="12"/>
  <c r="Y400" i="12"/>
  <c r="AA400" i="12"/>
  <c r="D400" i="12" s="1"/>
  <c r="C401" i="12"/>
  <c r="Z400" i="12"/>
  <c r="F400" i="12"/>
  <c r="G401" i="12" l="1"/>
  <c r="Z401" i="12"/>
  <c r="E401" i="12"/>
  <c r="F401" i="12"/>
  <c r="C402" i="12"/>
  <c r="AA401" i="12"/>
  <c r="D401" i="12" s="1"/>
  <c r="Y401" i="12"/>
  <c r="F402" i="12" l="1"/>
  <c r="E402" i="12"/>
  <c r="C403" i="12"/>
  <c r="Z402" i="12"/>
  <c r="AA402" i="12"/>
  <c r="D402" i="12" s="1"/>
  <c r="G402" i="12"/>
  <c r="Y402" i="12"/>
  <c r="G403" i="12" l="1"/>
  <c r="F403" i="12"/>
  <c r="Y403" i="12"/>
  <c r="Z403" i="12"/>
  <c r="C404" i="12"/>
  <c r="AA403" i="12"/>
  <c r="D403" i="12" s="1"/>
  <c r="E403" i="12"/>
  <c r="Y404" i="12" l="1"/>
  <c r="F404" i="12"/>
  <c r="C405" i="12"/>
  <c r="Z404" i="12"/>
  <c r="E404" i="12"/>
  <c r="AA404" i="12"/>
  <c r="D404" i="12" s="1"/>
  <c r="G404" i="12"/>
  <c r="Y405" i="12" l="1"/>
  <c r="F405" i="12"/>
  <c r="AA405" i="12"/>
  <c r="D405" i="12" s="1"/>
  <c r="Z405" i="12"/>
  <c r="C406" i="12"/>
  <c r="E405" i="12"/>
  <c r="G405" i="12"/>
  <c r="C407" i="12" l="1"/>
  <c r="F406" i="12"/>
  <c r="E406" i="12"/>
  <c r="AA406" i="12"/>
  <c r="D406" i="12" s="1"/>
  <c r="Y406" i="12"/>
  <c r="G406" i="12"/>
  <c r="Z406" i="12"/>
  <c r="F407" i="12" l="1"/>
  <c r="Y407" i="12"/>
  <c r="AA407" i="12"/>
  <c r="D407" i="12" s="1"/>
  <c r="Z407" i="12"/>
  <c r="C408" i="12"/>
  <c r="G407" i="12"/>
  <c r="E407" i="12"/>
  <c r="C409" i="12" l="1"/>
  <c r="G408" i="12"/>
  <c r="AA408" i="12"/>
  <c r="D408" i="12" s="1"/>
  <c r="Y408" i="12"/>
  <c r="E408" i="12"/>
  <c r="Z408" i="12"/>
  <c r="F408" i="12"/>
  <c r="G409" i="12" l="1"/>
  <c r="Y409" i="12"/>
  <c r="Z409" i="12"/>
  <c r="C410" i="12"/>
  <c r="F409" i="12"/>
  <c r="E409" i="12"/>
  <c r="AA409" i="12"/>
  <c r="D409" i="12" s="1"/>
  <c r="AA410" i="12" l="1"/>
  <c r="D410" i="12" s="1"/>
  <c r="Y410" i="12"/>
  <c r="E410" i="12"/>
  <c r="F410" i="12"/>
  <c r="G410" i="12"/>
  <c r="C411" i="12"/>
  <c r="Z410" i="12"/>
  <c r="Y411" i="12" l="1"/>
  <c r="E411" i="12"/>
  <c r="F411" i="12"/>
  <c r="AA411" i="12"/>
  <c r="D411" i="12" s="1"/>
  <c r="G411" i="12"/>
  <c r="Z411" i="12"/>
  <c r="C412" i="12"/>
  <c r="Z412" i="12" l="1"/>
  <c r="F412" i="12"/>
  <c r="Y412" i="12"/>
  <c r="AA412" i="12"/>
  <c r="D412" i="12" s="1"/>
  <c r="C413" i="12"/>
  <c r="E412" i="12"/>
  <c r="G412" i="12"/>
  <c r="G413" i="12" l="1"/>
  <c r="F413" i="12"/>
  <c r="Z413" i="12"/>
  <c r="E413" i="12"/>
  <c r="C414" i="12"/>
  <c r="Y413" i="12"/>
  <c r="AA413" i="12"/>
  <c r="D413" i="12" s="1"/>
  <c r="F414" i="12" l="1"/>
  <c r="Z414" i="12"/>
  <c r="AA414" i="12"/>
  <c r="D414" i="12" s="1"/>
  <c r="G414" i="12"/>
  <c r="C415" i="12"/>
  <c r="E414" i="12"/>
  <c r="Y414" i="12"/>
  <c r="AA415" i="12" l="1"/>
  <c r="D415" i="12" s="1"/>
  <c r="F415" i="12"/>
  <c r="Z415" i="12"/>
  <c r="Y415" i="12"/>
  <c r="E415" i="12"/>
  <c r="G415" i="12"/>
  <c r="C416" i="12"/>
  <c r="C417" i="12" l="1"/>
  <c r="E416" i="12"/>
  <c r="Z416" i="12"/>
  <c r="AA416" i="12"/>
  <c r="D416" i="12" s="1"/>
  <c r="F416" i="12"/>
  <c r="Y416" i="12"/>
  <c r="G416" i="12"/>
  <c r="F417" i="12" l="1"/>
  <c r="G417" i="12"/>
  <c r="E417" i="12"/>
  <c r="AA417" i="12"/>
  <c r="D417" i="12" s="1"/>
  <c r="Y417" i="12"/>
  <c r="C418" i="12"/>
  <c r="Z417" i="12"/>
  <c r="F418" i="12" l="1"/>
  <c r="C419" i="12"/>
  <c r="AA418" i="12"/>
  <c r="D418" i="12" s="1"/>
  <c r="Y418" i="12"/>
  <c r="E418" i="12"/>
  <c r="Z418" i="12"/>
  <c r="G418" i="12"/>
  <c r="F419" i="12" l="1"/>
  <c r="G419" i="12"/>
  <c r="Z419" i="12"/>
  <c r="C420" i="12"/>
  <c r="E419" i="12"/>
  <c r="Y419" i="12"/>
  <c r="AA419" i="12"/>
  <c r="D419" i="12" s="1"/>
  <c r="E420" i="12" l="1"/>
  <c r="G420" i="12"/>
  <c r="F420" i="12"/>
  <c r="AA420" i="12"/>
  <c r="D420" i="12" s="1"/>
  <c r="Y420" i="12"/>
  <c r="C421" i="12"/>
  <c r="Z420" i="12"/>
  <c r="Y421" i="12" l="1"/>
  <c r="G421" i="12"/>
  <c r="AA421" i="12"/>
  <c r="D421" i="12" s="1"/>
  <c r="Z421" i="12"/>
  <c r="E421" i="12"/>
  <c r="F421" i="12"/>
  <c r="C422" i="12"/>
  <c r="E422" i="12" l="1"/>
  <c r="G422" i="12"/>
  <c r="C423" i="12"/>
  <c r="AA422" i="12"/>
  <c r="D422" i="12" s="1"/>
  <c r="Y422" i="12"/>
  <c r="Z422" i="12"/>
  <c r="F422" i="12"/>
  <c r="E423" i="12" l="1"/>
  <c r="F423" i="12"/>
  <c r="C424" i="12"/>
  <c r="Z423" i="12"/>
  <c r="Y423" i="12"/>
  <c r="G423" i="12"/>
  <c r="AA423" i="12"/>
  <c r="D423" i="12" s="1"/>
  <c r="Z424" i="12" l="1"/>
  <c r="C425" i="12"/>
  <c r="AA424" i="12"/>
  <c r="D424" i="12" s="1"/>
  <c r="Y424" i="12"/>
  <c r="E424" i="12"/>
  <c r="G424" i="12"/>
  <c r="F424" i="12"/>
  <c r="F425" i="12" l="1"/>
  <c r="C426" i="12"/>
  <c r="Y425" i="12"/>
  <c r="G425" i="12"/>
  <c r="Z425" i="12"/>
  <c r="E425" i="12"/>
  <c r="AA425" i="12"/>
  <c r="D425" i="12" s="1"/>
  <c r="AA426" i="12" l="1"/>
  <c r="D426" i="12" s="1"/>
  <c r="Z426" i="12"/>
  <c r="Y426" i="12"/>
  <c r="C427" i="12"/>
  <c r="G426" i="12"/>
  <c r="F426" i="12"/>
  <c r="E426" i="12"/>
  <c r="F427" i="12" l="1"/>
  <c r="Y427" i="12"/>
  <c r="AA427" i="12"/>
  <c r="D427" i="12" s="1"/>
  <c r="C428" i="12"/>
  <c r="E427" i="12"/>
  <c r="Z427" i="12"/>
  <c r="G427" i="12"/>
  <c r="AA428" i="12" l="1"/>
  <c r="D428" i="12" s="1"/>
  <c r="E428" i="12"/>
  <c r="Y428" i="12"/>
  <c r="Z428" i="12"/>
  <c r="C429" i="12"/>
  <c r="G428" i="12"/>
  <c r="F428" i="12"/>
  <c r="E429" i="12" l="1"/>
  <c r="G429" i="12"/>
  <c r="Y429" i="12"/>
  <c r="F429" i="12"/>
  <c r="Z429" i="12"/>
  <c r="C430" i="12"/>
  <c r="AA429" i="12"/>
  <c r="D429" i="12" s="1"/>
  <c r="AA430" i="12" l="1"/>
  <c r="D430" i="12" s="1"/>
  <c r="E430" i="12"/>
  <c r="C431" i="12"/>
  <c r="G430" i="12"/>
  <c r="F430" i="12"/>
  <c r="Y430" i="12"/>
  <c r="Z430" i="12"/>
  <c r="Y431" i="12" l="1"/>
  <c r="AA431" i="12"/>
  <c r="D431" i="12" s="1"/>
  <c r="G431" i="12"/>
  <c r="F431" i="12"/>
  <c r="Z431" i="12"/>
  <c r="C432" i="12"/>
  <c r="E431" i="12"/>
  <c r="Z432" i="12" l="1"/>
  <c r="F432" i="12"/>
  <c r="E432" i="12"/>
  <c r="Y432" i="12"/>
  <c r="AA432" i="12"/>
  <c r="D432" i="12" s="1"/>
  <c r="C433" i="12"/>
  <c r="G432" i="12"/>
  <c r="Z433" i="12" l="1"/>
  <c r="C434" i="12"/>
  <c r="G433" i="12"/>
  <c r="F433" i="12"/>
  <c r="Y433" i="12"/>
  <c r="E433" i="12"/>
  <c r="AA433" i="12"/>
  <c r="D433" i="12" s="1"/>
  <c r="C435" i="12" l="1"/>
  <c r="F434" i="12"/>
  <c r="Z434" i="12"/>
  <c r="E434" i="12"/>
  <c r="Y434" i="12"/>
  <c r="AA434" i="12"/>
  <c r="D434" i="12" s="1"/>
  <c r="G434" i="12"/>
  <c r="E435" i="12" l="1"/>
  <c r="Y435" i="12"/>
  <c r="Z435" i="12"/>
  <c r="AA435" i="12"/>
  <c r="D435" i="12" s="1"/>
  <c r="C436" i="12"/>
  <c r="G435" i="12"/>
  <c r="F435" i="12"/>
  <c r="Y436" i="12" l="1"/>
  <c r="F436" i="12"/>
  <c r="AA436" i="12"/>
  <c r="D436" i="12" s="1"/>
  <c r="G436" i="12"/>
  <c r="Z436" i="12"/>
  <c r="E436" i="12"/>
  <c r="C437" i="12"/>
  <c r="F437" i="12" l="1"/>
  <c r="C438" i="12"/>
  <c r="G437" i="12"/>
  <c r="Z437" i="12"/>
  <c r="Y437" i="12"/>
  <c r="AA437" i="12"/>
  <c r="D437" i="12" s="1"/>
  <c r="E437" i="12"/>
  <c r="F438" i="12" l="1"/>
  <c r="Y438" i="12"/>
  <c r="G438" i="12"/>
  <c r="E438" i="12"/>
  <c r="C439" i="12"/>
  <c r="AA438" i="12"/>
  <c r="D438" i="12" s="1"/>
  <c r="Z438" i="12"/>
  <c r="Y439" i="12" l="1"/>
  <c r="G439" i="12"/>
  <c r="Z439" i="12"/>
  <c r="AA439" i="12"/>
  <c r="D439" i="12" s="1"/>
  <c r="E439" i="12"/>
  <c r="F439" i="12"/>
  <c r="C440" i="12"/>
  <c r="Z440" i="12" l="1"/>
  <c r="AA440" i="12"/>
  <c r="D440" i="12" s="1"/>
  <c r="C441" i="12"/>
  <c r="G440" i="12"/>
  <c r="Y440" i="12"/>
  <c r="E440" i="12"/>
  <c r="F440" i="12"/>
  <c r="F441" i="12" l="1"/>
  <c r="Y441" i="12"/>
  <c r="C442" i="12"/>
  <c r="AA441" i="12"/>
  <c r="D441" i="12" s="1"/>
  <c r="E441" i="12"/>
  <c r="G441" i="12"/>
  <c r="Z441" i="12"/>
  <c r="AA442" i="12" l="1"/>
  <c r="D442" i="12" s="1"/>
  <c r="G442" i="12"/>
  <c r="C443" i="12"/>
  <c r="E442" i="12"/>
  <c r="Z442" i="12"/>
  <c r="Y442" i="12"/>
  <c r="F442" i="12"/>
  <c r="Z443" i="12" l="1"/>
  <c r="AA443" i="12"/>
  <c r="D443" i="12" s="1"/>
  <c r="C444" i="12"/>
  <c r="F443" i="12"/>
  <c r="Y443" i="12"/>
  <c r="E443" i="12"/>
  <c r="G443" i="12"/>
  <c r="G444" i="12" l="1"/>
  <c r="F444" i="12"/>
  <c r="C445" i="12"/>
  <c r="Z444" i="12"/>
  <c r="Y444" i="12"/>
  <c r="AA444" i="12"/>
  <c r="D444" i="12" s="1"/>
  <c r="E444" i="12"/>
  <c r="Y445" i="12" l="1"/>
  <c r="Z445" i="12"/>
  <c r="F445" i="12"/>
  <c r="C446" i="12"/>
  <c r="AA445" i="12"/>
  <c r="D445" i="12" s="1"/>
  <c r="G445" i="12"/>
  <c r="E445" i="12"/>
  <c r="E446" i="12" l="1"/>
  <c r="AA446" i="12"/>
  <c r="D446" i="12" s="1"/>
  <c r="C447" i="12"/>
  <c r="Y446" i="12"/>
  <c r="G446" i="12"/>
  <c r="F446" i="12"/>
  <c r="Z446" i="12"/>
  <c r="Y447" i="12" l="1"/>
  <c r="Z447" i="12"/>
  <c r="C448" i="12"/>
  <c r="F447" i="12"/>
  <c r="E447" i="12"/>
  <c r="AA447" i="12"/>
  <c r="D447" i="12" s="1"/>
  <c r="G447" i="12"/>
  <c r="G448" i="12" l="1"/>
  <c r="Z448" i="12"/>
  <c r="E448" i="12"/>
  <c r="Y448" i="12"/>
  <c r="C449" i="12"/>
  <c r="F448" i="12"/>
  <c r="AA448" i="12"/>
  <c r="D448" i="12" s="1"/>
  <c r="F449" i="12" l="1"/>
  <c r="E449" i="12"/>
  <c r="C450" i="12"/>
  <c r="G449" i="12"/>
  <c r="Z449" i="12"/>
  <c r="AA449" i="12"/>
  <c r="D449" i="12" s="1"/>
  <c r="Y449" i="12"/>
  <c r="E450" i="12" l="1"/>
  <c r="C451" i="12"/>
  <c r="Z450" i="12"/>
  <c r="Y450" i="12"/>
  <c r="G450" i="12"/>
  <c r="AA450" i="12"/>
  <c r="D450" i="12" s="1"/>
  <c r="F450" i="12"/>
  <c r="AA451" i="12" l="1"/>
  <c r="D451" i="12" s="1"/>
  <c r="C452" i="12"/>
  <c r="Y451" i="12"/>
  <c r="Z451" i="12"/>
  <c r="F451" i="12"/>
  <c r="E451" i="12"/>
  <c r="G451" i="12"/>
  <c r="F452" i="12" l="1"/>
  <c r="Z452" i="12"/>
  <c r="AA452" i="12"/>
  <c r="D452" i="12" s="1"/>
  <c r="E452" i="12"/>
  <c r="G452" i="12"/>
  <c r="C453" i="12"/>
  <c r="Y452" i="12"/>
  <c r="Y453" i="12" l="1"/>
  <c r="C454" i="12"/>
  <c r="F453" i="12"/>
  <c r="G453" i="12"/>
  <c r="AA453" i="12"/>
  <c r="D453" i="12" s="1"/>
  <c r="E453" i="12"/>
  <c r="Z453" i="12"/>
  <c r="AA454" i="12" l="1"/>
  <c r="D454" i="12" s="1"/>
  <c r="G454" i="12"/>
  <c r="F454" i="12"/>
  <c r="Z454" i="12"/>
  <c r="C455" i="12"/>
  <c r="E454" i="12"/>
  <c r="Y454" i="12"/>
  <c r="G455" i="12" l="1"/>
  <c r="C456" i="12"/>
  <c r="E455" i="12"/>
  <c r="Y455" i="12"/>
  <c r="F455" i="12"/>
  <c r="AA455" i="12"/>
  <c r="D455" i="12" s="1"/>
  <c r="Z455" i="12"/>
  <c r="E456" i="12" l="1"/>
  <c r="G456" i="12"/>
  <c r="C457" i="12"/>
  <c r="Z456" i="12"/>
  <c r="Y456" i="12"/>
  <c r="AA456" i="12"/>
  <c r="D456" i="12" s="1"/>
  <c r="F456" i="12"/>
  <c r="Y457" i="12" l="1"/>
  <c r="Z457" i="12"/>
  <c r="C458" i="12"/>
  <c r="F457" i="12"/>
  <c r="G457" i="12"/>
  <c r="E457" i="12"/>
  <c r="AA457" i="12"/>
  <c r="D457" i="12" s="1"/>
  <c r="Z458" i="12" l="1"/>
  <c r="AA458" i="12"/>
  <c r="D458" i="12" s="1"/>
  <c r="F458" i="12"/>
  <c r="E458" i="12"/>
  <c r="C459" i="12"/>
  <c r="Y458" i="12"/>
  <c r="G458" i="12"/>
  <c r="F459" i="12" l="1"/>
  <c r="G459" i="12"/>
  <c r="Z459" i="12"/>
  <c r="AA459" i="12"/>
  <c r="D459" i="12" s="1"/>
  <c r="C460" i="12"/>
  <c r="E459" i="12"/>
  <c r="Y459" i="12"/>
  <c r="AA460" i="12" l="1"/>
  <c r="D460" i="12" s="1"/>
  <c r="E460" i="12"/>
  <c r="G460" i="12"/>
  <c r="C461" i="12"/>
  <c r="Y460" i="12"/>
  <c r="Z460" i="12"/>
  <c r="F460" i="12"/>
  <c r="Z461" i="12" l="1"/>
  <c r="G461" i="12"/>
  <c r="Y461" i="12"/>
  <c r="F461" i="12"/>
  <c r="C462" i="12"/>
  <c r="E461" i="12"/>
  <c r="AA461" i="12"/>
  <c r="D461" i="12" s="1"/>
  <c r="F462" i="12" l="1"/>
  <c r="C463" i="12"/>
  <c r="E462" i="12"/>
  <c r="Y462" i="12"/>
  <c r="Z462" i="12"/>
  <c r="AA462" i="12"/>
  <c r="D462" i="12" s="1"/>
  <c r="G462" i="12"/>
  <c r="G463" i="12" l="1"/>
  <c r="AA463" i="12"/>
  <c r="D463" i="12" s="1"/>
  <c r="Z463" i="12"/>
  <c r="F463" i="12"/>
  <c r="Y463" i="12"/>
  <c r="C464" i="12"/>
  <c r="E463" i="12"/>
  <c r="Y464" i="12" l="1"/>
  <c r="G464" i="12"/>
  <c r="Z464" i="12"/>
  <c r="E464" i="12"/>
  <c r="C465" i="12"/>
  <c r="AA464" i="12"/>
  <c r="D464" i="12" s="1"/>
  <c r="F464" i="12"/>
  <c r="F465" i="12" l="1"/>
  <c r="E465" i="12"/>
  <c r="Z465" i="12"/>
  <c r="AA465" i="12"/>
  <c r="D465" i="12" s="1"/>
  <c r="Y465" i="12"/>
  <c r="C466" i="12"/>
  <c r="G465" i="12"/>
  <c r="G466" i="12" l="1"/>
  <c r="Z466" i="12"/>
  <c r="Y466" i="12"/>
  <c r="F466" i="12"/>
  <c r="AA466" i="12"/>
  <c r="D466" i="12" s="1"/>
  <c r="E466" i="12"/>
  <c r="C467" i="12"/>
  <c r="C468" i="12" l="1"/>
  <c r="G467" i="12"/>
  <c r="E467" i="12"/>
  <c r="AA467" i="12"/>
  <c r="D467" i="12" s="1"/>
  <c r="Z467" i="12"/>
  <c r="F467" i="12"/>
  <c r="Y467" i="12"/>
  <c r="Z468" i="12" l="1"/>
  <c r="AA468" i="12"/>
  <c r="D468" i="12" s="1"/>
  <c r="G468" i="12"/>
  <c r="F468" i="12"/>
  <c r="Y468" i="12"/>
  <c r="E468" i="12"/>
  <c r="C469" i="12"/>
  <c r="AA469" i="12" l="1"/>
  <c r="D469" i="12" s="1"/>
  <c r="G469" i="12"/>
  <c r="Y469" i="12"/>
  <c r="F469" i="12"/>
  <c r="C470" i="12"/>
  <c r="E469" i="12"/>
  <c r="Z469" i="12"/>
  <c r="C471" i="12" l="1"/>
  <c r="Y470" i="12"/>
  <c r="G470" i="12"/>
  <c r="Z470" i="12"/>
  <c r="E470" i="12"/>
  <c r="F470" i="12"/>
  <c r="AA470" i="12"/>
  <c r="D470" i="12" s="1"/>
  <c r="F471" i="12" l="1"/>
  <c r="G471" i="12"/>
  <c r="Z471" i="12"/>
  <c r="AA471" i="12"/>
  <c r="D471" i="12" s="1"/>
  <c r="E471" i="12"/>
  <c r="Y471" i="12"/>
  <c r="C472" i="12"/>
  <c r="C473" i="12" l="1"/>
  <c r="AA472" i="12"/>
  <c r="D472" i="12" s="1"/>
  <c r="Z472" i="12"/>
  <c r="F472" i="12"/>
  <c r="E472" i="12"/>
  <c r="Y472" i="12"/>
  <c r="G472" i="12"/>
  <c r="G473" i="12" l="1"/>
  <c r="C474" i="12"/>
  <c r="Z473" i="12"/>
  <c r="E473" i="12"/>
  <c r="F473" i="12"/>
  <c r="Y473" i="12"/>
  <c r="AA473" i="12"/>
  <c r="D473" i="12" s="1"/>
  <c r="E474" i="12" l="1"/>
  <c r="C475" i="12"/>
  <c r="G474" i="12"/>
  <c r="F474" i="12"/>
  <c r="Y474" i="12"/>
  <c r="AA474" i="12"/>
  <c r="D474" i="12" s="1"/>
  <c r="Z474" i="12"/>
  <c r="Z475" i="12" l="1"/>
  <c r="C476" i="12"/>
  <c r="Y475" i="12"/>
  <c r="E475" i="12"/>
  <c r="F475" i="12"/>
  <c r="AA475" i="12"/>
  <c r="D475" i="12" s="1"/>
  <c r="G475" i="12"/>
  <c r="G476" i="12" l="1"/>
  <c r="C477" i="12"/>
  <c r="F476" i="12"/>
  <c r="E476" i="12"/>
  <c r="AA476" i="12"/>
  <c r="D476" i="12" s="1"/>
  <c r="Y476" i="12"/>
  <c r="Z476" i="12"/>
  <c r="F477" i="12" l="1"/>
  <c r="AA477" i="12"/>
  <c r="D477" i="12" s="1"/>
  <c r="Z477" i="12"/>
  <c r="C478" i="12"/>
  <c r="E477" i="12"/>
  <c r="G477" i="12"/>
  <c r="Y477" i="12"/>
  <c r="E478" i="12" l="1"/>
  <c r="Y478" i="12"/>
  <c r="Z478" i="12"/>
  <c r="AA478" i="12"/>
  <c r="D478" i="12" s="1"/>
  <c r="C479" i="12"/>
  <c r="F478" i="12"/>
  <c r="G478" i="12"/>
  <c r="C480" i="12" l="1"/>
  <c r="Z479" i="12"/>
  <c r="E479" i="12"/>
  <c r="G479" i="12"/>
  <c r="F479" i="12"/>
  <c r="Y479" i="12"/>
  <c r="AA479" i="12"/>
  <c r="D479" i="12" s="1"/>
  <c r="G480" i="12" l="1"/>
  <c r="Z480" i="12"/>
  <c r="C481" i="12"/>
  <c r="Y480" i="12"/>
  <c r="F480" i="12"/>
  <c r="E480" i="12"/>
  <c r="AA480" i="12"/>
  <c r="D480" i="12" s="1"/>
  <c r="F481" i="12" l="1"/>
  <c r="G481" i="12"/>
  <c r="E481" i="12"/>
  <c r="Y481" i="12"/>
  <c r="Z481" i="12"/>
  <c r="C482" i="12"/>
  <c r="AA481" i="12"/>
  <c r="D481" i="12" s="1"/>
  <c r="G482" i="12" l="1"/>
  <c r="F482" i="12"/>
  <c r="E482" i="12"/>
  <c r="AA482" i="12"/>
  <c r="D482" i="12" s="1"/>
  <c r="C483" i="12"/>
  <c r="Y482" i="12"/>
  <c r="Z482" i="12"/>
  <c r="AA483" i="12" l="1"/>
  <c r="D483" i="12" s="1"/>
  <c r="Z483" i="12"/>
  <c r="F483" i="12"/>
  <c r="G483" i="12"/>
  <c r="E483" i="12"/>
  <c r="Y483" i="12"/>
  <c r="C484" i="12"/>
  <c r="Y484" i="12" l="1"/>
  <c r="Z484" i="12"/>
  <c r="AA484" i="12"/>
  <c r="D484" i="12" s="1"/>
  <c r="C485" i="12"/>
  <c r="E484" i="12"/>
  <c r="F484" i="12"/>
  <c r="G484" i="12"/>
  <c r="F485" i="12" l="1"/>
  <c r="Z485" i="12"/>
  <c r="C486" i="12"/>
  <c r="AA485" i="12"/>
  <c r="D485" i="12" s="1"/>
  <c r="E485" i="12"/>
  <c r="Y485" i="12"/>
  <c r="G485" i="12"/>
  <c r="C487" i="12" l="1"/>
  <c r="F486" i="12"/>
  <c r="G486" i="12"/>
  <c r="Y486" i="12"/>
  <c r="Z486" i="12"/>
  <c r="E486" i="12"/>
  <c r="AA486" i="12"/>
  <c r="D486" i="12" s="1"/>
  <c r="F487" i="12" l="1"/>
  <c r="AA487" i="12"/>
  <c r="D487" i="12" s="1"/>
  <c r="E487" i="12"/>
  <c r="Y487" i="12"/>
  <c r="Z487" i="12"/>
  <c r="G487" i="12"/>
  <c r="C488" i="12"/>
  <c r="Y488" i="12" l="1"/>
  <c r="Z488" i="12"/>
  <c r="G488" i="12"/>
  <c r="C489" i="12"/>
  <c r="F488" i="12"/>
  <c r="AA488" i="12"/>
  <c r="D488" i="12" s="1"/>
  <c r="E488" i="12"/>
  <c r="AA489" i="12" l="1"/>
  <c r="D489" i="12" s="1"/>
  <c r="C490" i="12"/>
  <c r="Y489" i="12"/>
  <c r="E489" i="12"/>
  <c r="G489" i="12"/>
  <c r="F489" i="12"/>
  <c r="Z489" i="12"/>
  <c r="C491" i="12" l="1"/>
  <c r="E490" i="12"/>
  <c r="Z490" i="12"/>
  <c r="G490" i="12"/>
  <c r="AA490" i="12"/>
  <c r="D490" i="12" s="1"/>
  <c r="Y490" i="12"/>
  <c r="F490" i="12"/>
  <c r="F491" i="12" l="1"/>
  <c r="AA491" i="12"/>
  <c r="D491" i="12" s="1"/>
  <c r="Y491" i="12"/>
  <c r="E491" i="12"/>
  <c r="C492" i="12"/>
  <c r="Z491" i="12"/>
  <c r="G491" i="12"/>
  <c r="AA492" i="12" l="1"/>
  <c r="D492" i="12" s="1"/>
  <c r="C493" i="12"/>
  <c r="Y492" i="12"/>
  <c r="Z492" i="12"/>
  <c r="E492" i="12"/>
  <c r="G492" i="12"/>
  <c r="F492" i="12"/>
  <c r="Z493" i="12" l="1"/>
  <c r="C494" i="12"/>
  <c r="E493" i="12"/>
  <c r="Y493" i="12"/>
  <c r="F493" i="12"/>
  <c r="G493" i="12"/>
  <c r="AA493" i="12"/>
  <c r="D493" i="12" s="1"/>
  <c r="G494" i="12" l="1"/>
  <c r="Z494" i="12"/>
  <c r="E494" i="12"/>
  <c r="F494" i="12"/>
  <c r="AA494" i="12"/>
  <c r="D494" i="12" s="1"/>
  <c r="Y494" i="12"/>
  <c r="C495" i="12"/>
  <c r="Z495" i="12" l="1"/>
  <c r="F495" i="12"/>
  <c r="E495" i="12"/>
  <c r="G495" i="12"/>
  <c r="Y495" i="12"/>
  <c r="C496" i="12"/>
  <c r="AA495" i="12"/>
  <c r="D495" i="12" s="1"/>
  <c r="Z496" i="12" l="1"/>
  <c r="G496" i="12"/>
  <c r="AA496" i="12"/>
  <c r="D496" i="12" s="1"/>
  <c r="C497" i="12"/>
  <c r="E496" i="12"/>
  <c r="Y496" i="12"/>
  <c r="F496" i="12"/>
  <c r="Z497" i="12" l="1"/>
  <c r="E497" i="12"/>
  <c r="F497" i="12"/>
  <c r="G497" i="12"/>
  <c r="C498" i="12"/>
  <c r="Y497" i="12"/>
  <c r="AA497" i="12"/>
  <c r="D497" i="12" s="1"/>
  <c r="Y498" i="12" l="1"/>
  <c r="F498" i="12"/>
  <c r="E498" i="12"/>
  <c r="Z498" i="12"/>
  <c r="C499" i="12"/>
  <c r="AA498" i="12"/>
  <c r="D498" i="12" s="1"/>
  <c r="G498" i="12"/>
  <c r="Y499" i="12" l="1"/>
  <c r="C500" i="12"/>
  <c r="E499" i="12"/>
  <c r="F499" i="12"/>
  <c r="AA499" i="12"/>
  <c r="D499" i="12" s="1"/>
  <c r="Z499" i="12"/>
  <c r="G499" i="12"/>
  <c r="Y500" i="12" l="1"/>
  <c r="E500" i="12"/>
  <c r="Z500" i="12"/>
  <c r="AA500" i="12"/>
  <c r="D500" i="12" s="1"/>
  <c r="G500" i="12"/>
  <c r="C501" i="12"/>
  <c r="F500" i="12"/>
  <c r="AA501" i="12" l="1"/>
  <c r="D501" i="12" s="1"/>
  <c r="Y501" i="12"/>
  <c r="G501" i="12"/>
  <c r="Z501" i="12"/>
  <c r="C502" i="12"/>
  <c r="E501" i="12"/>
  <c r="F501" i="12"/>
  <c r="AA502" i="12" l="1"/>
  <c r="D502" i="12" s="1"/>
  <c r="Y502" i="12"/>
  <c r="C503" i="12"/>
  <c r="G502" i="12"/>
  <c r="Z502" i="12"/>
  <c r="F502" i="12"/>
  <c r="E502" i="12"/>
  <c r="AA503" i="12" l="1"/>
  <c r="D503" i="12" s="1"/>
  <c r="Z503" i="12"/>
  <c r="Y503" i="12"/>
  <c r="E503" i="12"/>
  <c r="F503" i="12"/>
  <c r="C504" i="12"/>
  <c r="G503" i="12"/>
  <c r="F504" i="12" l="1"/>
  <c r="E504" i="12"/>
  <c r="Y504" i="12"/>
  <c r="AA504" i="12"/>
  <c r="D504" i="12" s="1"/>
  <c r="C505" i="12"/>
  <c r="Z504" i="12"/>
  <c r="G504" i="12"/>
  <c r="C506" i="12" l="1"/>
  <c r="G505" i="12"/>
  <c r="AA505" i="12"/>
  <c r="D505" i="12" s="1"/>
  <c r="F505" i="12"/>
  <c r="Y505" i="12"/>
  <c r="Z505" i="12"/>
  <c r="E505" i="12"/>
  <c r="E506" i="12" l="1"/>
  <c r="G506" i="12"/>
  <c r="F506" i="12"/>
  <c r="AA506" i="12"/>
  <c r="D506" i="12" s="1"/>
  <c r="Z506" i="12"/>
  <c r="C507" i="12"/>
  <c r="Y506" i="12"/>
  <c r="E507" i="12" l="1"/>
  <c r="AA507" i="12"/>
  <c r="D507" i="12" s="1"/>
  <c r="Z507" i="12"/>
  <c r="G507" i="12"/>
  <c r="Y507" i="12"/>
  <c r="C508" i="12"/>
  <c r="F507" i="12"/>
  <c r="C509" i="12" l="1"/>
  <c r="AA508" i="12"/>
  <c r="D508" i="12" s="1"/>
  <c r="Y508" i="12"/>
  <c r="Z508" i="12"/>
  <c r="G508" i="12"/>
  <c r="E508" i="12"/>
  <c r="F508" i="12"/>
  <c r="E509" i="12" l="1"/>
  <c r="AA509" i="12"/>
  <c r="D509" i="12" s="1"/>
  <c r="C510" i="12"/>
  <c r="Z509" i="12"/>
  <c r="G509" i="12"/>
  <c r="F509" i="12"/>
  <c r="Y509" i="12"/>
  <c r="E510" i="12" l="1"/>
  <c r="G510" i="12"/>
  <c r="AA510" i="12"/>
  <c r="D510" i="12" s="1"/>
  <c r="Z510" i="12"/>
  <c r="C511" i="12"/>
  <c r="Y510" i="12"/>
  <c r="F510" i="12"/>
  <c r="Z511" i="12" l="1"/>
  <c r="E511" i="12"/>
  <c r="C512" i="12"/>
  <c r="Y511" i="12"/>
  <c r="G511" i="12"/>
  <c r="F511" i="12"/>
  <c r="AA511" i="12"/>
  <c r="D511" i="12" s="1"/>
  <c r="Z512" i="12" l="1"/>
  <c r="AA512" i="12"/>
  <c r="D512" i="12" s="1"/>
  <c r="C513" i="12"/>
  <c r="F512" i="12"/>
  <c r="G512" i="12"/>
  <c r="Y512" i="12"/>
  <c r="E512" i="12"/>
  <c r="C514" i="12" l="1"/>
  <c r="E513" i="12"/>
  <c r="G513" i="12"/>
  <c r="F513" i="12"/>
  <c r="AA513" i="12"/>
  <c r="D513" i="12" s="1"/>
  <c r="Z513" i="12"/>
  <c r="Y513" i="12"/>
  <c r="E514" i="12" l="1"/>
  <c r="Y514" i="12"/>
  <c r="F514" i="12"/>
  <c r="AA514" i="12"/>
  <c r="D514" i="12" s="1"/>
  <c r="Z514" i="12"/>
  <c r="C515" i="12"/>
  <c r="G514" i="12"/>
  <c r="AA515" i="12" l="1"/>
  <c r="D515" i="12" s="1"/>
  <c r="C516" i="12"/>
  <c r="Z515" i="12"/>
  <c r="F515" i="12"/>
  <c r="G515" i="12"/>
  <c r="E515" i="12"/>
  <c r="Y515" i="12"/>
  <c r="AA516" i="12" l="1"/>
  <c r="D516" i="12" s="1"/>
  <c r="C517" i="12"/>
  <c r="F516" i="12"/>
  <c r="E516" i="12"/>
  <c r="Z516" i="12"/>
  <c r="Y516" i="12"/>
  <c r="G516" i="12"/>
  <c r="E517" i="12" l="1"/>
  <c r="Y517" i="12"/>
  <c r="Z517" i="12"/>
  <c r="F517" i="12"/>
  <c r="AA517" i="12"/>
  <c r="D517" i="12" s="1"/>
  <c r="G517" i="12"/>
  <c r="C518" i="12"/>
  <c r="C519" i="12" l="1"/>
  <c r="AA518" i="12"/>
  <c r="D518" i="12" s="1"/>
  <c r="E518" i="12"/>
  <c r="F518" i="12"/>
  <c r="Y518" i="12"/>
  <c r="Z518" i="12"/>
  <c r="G518" i="12"/>
  <c r="C520" i="12" l="1"/>
  <c r="G519" i="12"/>
  <c r="AA519" i="12"/>
  <c r="D519" i="12" s="1"/>
  <c r="F519" i="12"/>
  <c r="Y519" i="12"/>
  <c r="Z519" i="12"/>
  <c r="E519" i="12"/>
  <c r="AA520" i="12" l="1"/>
  <c r="D520" i="12" s="1"/>
  <c r="Z520" i="12"/>
  <c r="C521" i="12"/>
  <c r="G520" i="12"/>
  <c r="F520" i="12"/>
  <c r="E520" i="12"/>
  <c r="Y520" i="12"/>
  <c r="G521" i="12" l="1"/>
  <c r="Y521" i="12"/>
  <c r="C522" i="12"/>
  <c r="AA521" i="12"/>
  <c r="D521" i="12" s="1"/>
  <c r="Z521" i="12"/>
  <c r="F521" i="12"/>
  <c r="E521" i="12"/>
  <c r="E522" i="12" l="1"/>
  <c r="AA522" i="12"/>
  <c r="D522" i="12" s="1"/>
  <c r="C523" i="12"/>
  <c r="F522" i="12"/>
  <c r="Y522" i="12"/>
  <c r="G522" i="12"/>
  <c r="Z522" i="12"/>
  <c r="Y523" i="12" l="1"/>
  <c r="C524" i="12"/>
  <c r="AA523" i="12"/>
  <c r="D523" i="12" s="1"/>
  <c r="Z523" i="12"/>
  <c r="F523" i="12"/>
  <c r="E523" i="12"/>
  <c r="G523" i="12"/>
  <c r="F524" i="12" l="1"/>
  <c r="E524" i="12"/>
  <c r="Y524" i="12"/>
  <c r="Z524" i="12"/>
  <c r="G524" i="12"/>
  <c r="AA524" i="12"/>
  <c r="D524" i="12" s="1"/>
  <c r="C525" i="12"/>
  <c r="F525" i="12" l="1"/>
  <c r="Y525" i="12"/>
  <c r="Z525" i="12"/>
  <c r="G525" i="12"/>
  <c r="E525" i="12"/>
  <c r="C526" i="12"/>
  <c r="AA525" i="12"/>
  <c r="D525" i="12" s="1"/>
  <c r="F526" i="12" l="1"/>
  <c r="Y526" i="12"/>
  <c r="AA526" i="12"/>
  <c r="D526" i="12" s="1"/>
  <c r="E526" i="12"/>
  <c r="G526" i="12"/>
  <c r="Z526" i="12"/>
  <c r="C527" i="12"/>
  <c r="Z527" i="12" l="1"/>
  <c r="F527" i="12"/>
  <c r="AA527" i="12"/>
  <c r="D527" i="12" s="1"/>
  <c r="C528" i="12"/>
  <c r="Y527" i="12"/>
  <c r="E527" i="12"/>
  <c r="G527" i="12"/>
  <c r="E528" i="12" l="1"/>
  <c r="C529" i="12"/>
  <c r="Z528" i="12"/>
  <c r="G528" i="12"/>
  <c r="F528" i="12"/>
  <c r="Y528" i="12"/>
  <c r="AA528" i="12"/>
  <c r="D528" i="12" s="1"/>
  <c r="F529" i="12" l="1"/>
  <c r="Y529" i="12"/>
  <c r="E529" i="12"/>
  <c r="G529" i="12"/>
  <c r="Z529" i="12"/>
  <c r="AA529" i="12"/>
  <c r="D529" i="12" s="1"/>
  <c r="C530" i="12"/>
  <c r="E530" i="12" l="1"/>
  <c r="AA530" i="12"/>
  <c r="D530" i="12" s="1"/>
  <c r="F530" i="12"/>
  <c r="Z530" i="12"/>
  <c r="G530" i="12"/>
  <c r="Y530" i="12"/>
  <c r="C531" i="12"/>
  <c r="Z531" i="12" l="1"/>
  <c r="AA531" i="12"/>
  <c r="D531" i="12" s="1"/>
  <c r="C532" i="12"/>
  <c r="G531" i="12"/>
  <c r="F531" i="12"/>
  <c r="Y531" i="12"/>
  <c r="E531" i="12"/>
  <c r="F532" i="12" l="1"/>
  <c r="G532" i="12"/>
  <c r="E532" i="12"/>
  <c r="AA532" i="12"/>
  <c r="D532" i="12" s="1"/>
  <c r="Z532" i="12"/>
  <c r="Y532" i="12"/>
  <c r="C533" i="12"/>
  <c r="E533" i="12" l="1"/>
  <c r="C534" i="12"/>
  <c r="Y533" i="12"/>
  <c r="AA533" i="12"/>
  <c r="D533" i="12" s="1"/>
  <c r="G533" i="12"/>
  <c r="Z533" i="12"/>
  <c r="F533" i="12"/>
  <c r="Z534" i="12" l="1"/>
  <c r="C535" i="12"/>
  <c r="F534" i="12"/>
  <c r="AA534" i="12"/>
  <c r="D534" i="12" s="1"/>
  <c r="G534" i="12"/>
  <c r="E534" i="12"/>
  <c r="Y534" i="12"/>
  <c r="Z535" i="12" l="1"/>
  <c r="E535" i="12"/>
  <c r="AA535" i="12"/>
  <c r="D535" i="12" s="1"/>
  <c r="C536" i="12"/>
  <c r="Y535" i="12"/>
  <c r="F535" i="12"/>
  <c r="G535" i="12"/>
  <c r="AA536" i="12" l="1"/>
  <c r="D536" i="12" s="1"/>
  <c r="E536" i="12"/>
  <c r="G536" i="12"/>
  <c r="F536" i="12"/>
  <c r="Z536" i="12"/>
  <c r="C537" i="12"/>
  <c r="Y536" i="12"/>
  <c r="AA537" i="12" l="1"/>
  <c r="D537" i="12" s="1"/>
  <c r="E537" i="12"/>
  <c r="F537" i="12"/>
  <c r="Z537" i="12"/>
  <c r="G537" i="12"/>
  <c r="Y537" i="12"/>
  <c r="C538" i="12"/>
  <c r="C539" i="12" l="1"/>
  <c r="E538" i="12"/>
  <c r="F538" i="12"/>
  <c r="AA538" i="12"/>
  <c r="D538" i="12" s="1"/>
  <c r="Y538" i="12"/>
  <c r="Z538" i="12"/>
  <c r="G538" i="12"/>
  <c r="Z539" i="12" l="1"/>
  <c r="E539" i="12"/>
  <c r="F539" i="12"/>
  <c r="C540" i="12"/>
  <c r="G539" i="12"/>
  <c r="Y539" i="12"/>
  <c r="AA539" i="12"/>
  <c r="D539" i="12" s="1"/>
  <c r="E540" i="12" l="1"/>
  <c r="Y540" i="12"/>
  <c r="AA540" i="12"/>
  <c r="D540" i="12" s="1"/>
  <c r="C541" i="12"/>
  <c r="Z540" i="12"/>
  <c r="F540" i="12"/>
  <c r="G540" i="12"/>
  <c r="C542" i="12" l="1"/>
  <c r="Y541" i="12"/>
  <c r="F541" i="12"/>
  <c r="G541" i="12"/>
  <c r="AA541" i="12"/>
  <c r="D541" i="12" s="1"/>
  <c r="Z541" i="12"/>
  <c r="E541" i="12"/>
  <c r="Z542" i="12" l="1"/>
  <c r="E542" i="12"/>
  <c r="AA542" i="12"/>
  <c r="D542" i="12" s="1"/>
  <c r="G542" i="12"/>
  <c r="C543" i="12"/>
  <c r="Y542" i="12"/>
  <c r="F542" i="12"/>
  <c r="G543" i="12" l="1"/>
  <c r="Z543" i="12"/>
  <c r="E543" i="12"/>
  <c r="AA543" i="12"/>
  <c r="D543" i="12" s="1"/>
  <c r="C544" i="12"/>
  <c r="Y543" i="12"/>
  <c r="F543" i="12"/>
  <c r="G544" i="12" l="1"/>
  <c r="Y544" i="12"/>
  <c r="AA544" i="12"/>
  <c r="D544" i="12" s="1"/>
  <c r="Z544" i="12"/>
  <c r="E544" i="12"/>
  <c r="F544" i="12"/>
  <c r="C545" i="12"/>
  <c r="Y545" i="12" l="1"/>
  <c r="AA545" i="12"/>
  <c r="D545" i="12" s="1"/>
  <c r="E545" i="12"/>
  <c r="C546" i="12"/>
  <c r="G545" i="12"/>
  <c r="F545" i="12"/>
  <c r="Z545" i="12"/>
  <c r="AA546" i="12" l="1"/>
  <c r="D546" i="12" s="1"/>
  <c r="F546" i="12"/>
  <c r="Y546" i="12"/>
  <c r="G546" i="12"/>
  <c r="E546" i="12"/>
  <c r="C547" i="12"/>
  <c r="Z546" i="12"/>
  <c r="G547" i="12" l="1"/>
  <c r="Z547" i="12"/>
  <c r="F547" i="12"/>
  <c r="C548" i="12"/>
  <c r="AA547" i="12"/>
  <c r="D547" i="12" s="1"/>
  <c r="Y547" i="12"/>
  <c r="E547" i="12"/>
  <c r="G548" i="12" l="1"/>
  <c r="Y548" i="12"/>
  <c r="Z548" i="12"/>
  <c r="AA548" i="12"/>
  <c r="D548" i="12" s="1"/>
  <c r="C549" i="12"/>
  <c r="F548" i="12"/>
  <c r="E548" i="12"/>
  <c r="Z549" i="12" l="1"/>
  <c r="AA549" i="12"/>
  <c r="D549" i="12" s="1"/>
  <c r="E549" i="12"/>
  <c r="G549" i="12"/>
  <c r="F549" i="12"/>
  <c r="C550" i="12"/>
  <c r="Y549" i="12"/>
  <c r="F550" i="12" l="1"/>
  <c r="G550" i="12"/>
  <c r="Y550" i="12"/>
  <c r="AA550" i="12"/>
  <c r="D550" i="12" s="1"/>
  <c r="Z550" i="12"/>
  <c r="E550" i="12"/>
  <c r="C551" i="12"/>
  <c r="G551" i="12" l="1"/>
  <c r="Y551" i="12"/>
  <c r="C552" i="12"/>
  <c r="AA551" i="12"/>
  <c r="D551" i="12" s="1"/>
  <c r="F551" i="12"/>
  <c r="Z551" i="12"/>
  <c r="E551" i="12"/>
  <c r="Z552" i="12" l="1"/>
  <c r="AA552" i="12"/>
  <c r="D552" i="12" s="1"/>
  <c r="F552" i="12"/>
  <c r="C553" i="12"/>
  <c r="E552" i="12"/>
  <c r="G552" i="12"/>
  <c r="Y552" i="12"/>
  <c r="C554" i="12" l="1"/>
  <c r="F553" i="12"/>
  <c r="E553" i="12"/>
  <c r="Z553" i="12"/>
  <c r="Y553" i="12"/>
  <c r="AA553" i="12"/>
  <c r="D553" i="12" s="1"/>
  <c r="G553" i="12"/>
  <c r="E554" i="12" l="1"/>
  <c r="F554" i="12"/>
  <c r="G554" i="12"/>
  <c r="Z554" i="12"/>
  <c r="AA554" i="12"/>
  <c r="D554" i="12" s="1"/>
  <c r="C555" i="12"/>
  <c r="Y554" i="12"/>
  <c r="G555" i="12" l="1"/>
  <c r="C556" i="12"/>
  <c r="Z555" i="12"/>
  <c r="F555" i="12"/>
  <c r="E555" i="12"/>
  <c r="AA555" i="12"/>
  <c r="D555" i="12" s="1"/>
  <c r="Y555" i="12"/>
  <c r="G556" i="12" l="1"/>
  <c r="C557" i="12"/>
  <c r="F556" i="12"/>
  <c r="Z556" i="12"/>
  <c r="AA556" i="12"/>
  <c r="D556" i="12" s="1"/>
  <c r="E556" i="12"/>
  <c r="Y556" i="12"/>
  <c r="Z557" i="12" l="1"/>
  <c r="AA557" i="12"/>
  <c r="D557" i="12" s="1"/>
  <c r="F557" i="12"/>
  <c r="E557" i="12"/>
  <c r="C558" i="12"/>
  <c r="Y557" i="12"/>
  <c r="G557" i="12"/>
  <c r="Z558" i="12" l="1"/>
  <c r="E558" i="12"/>
  <c r="AA558" i="12"/>
  <c r="D558" i="12" s="1"/>
  <c r="G558" i="12"/>
  <c r="F558" i="12"/>
  <c r="C559" i="12"/>
  <c r="Y558" i="12"/>
  <c r="Z559" i="12" l="1"/>
  <c r="E559" i="12"/>
  <c r="G559" i="12"/>
  <c r="F559" i="12"/>
  <c r="AA559" i="12"/>
  <c r="D559" i="12" s="1"/>
  <c r="Y559" i="12"/>
  <c r="C560" i="12"/>
  <c r="AA560" i="12" l="1"/>
  <c r="D560" i="12" s="1"/>
  <c r="Z560" i="12"/>
  <c r="E560" i="12"/>
  <c r="Y560" i="12"/>
  <c r="F560" i="12"/>
  <c r="C561" i="12"/>
  <c r="G560" i="12"/>
  <c r="AA561" i="12" l="1"/>
  <c r="D561" i="12" s="1"/>
  <c r="Z561" i="12"/>
  <c r="F561" i="12"/>
  <c r="Y561" i="12"/>
  <c r="C562" i="12"/>
  <c r="E561" i="12"/>
  <c r="G561" i="12"/>
  <c r="G562" i="12" l="1"/>
  <c r="AA562" i="12"/>
  <c r="D562" i="12" s="1"/>
  <c r="Y562" i="12"/>
  <c r="C563" i="12"/>
  <c r="F562" i="12"/>
  <c r="Z562" i="12"/>
  <c r="E562" i="12"/>
  <c r="AA563" i="12" l="1"/>
  <c r="D563" i="12" s="1"/>
  <c r="F563" i="12"/>
  <c r="E563" i="12"/>
  <c r="G563" i="12"/>
  <c r="Y563" i="12"/>
  <c r="C564" i="12"/>
  <c r="Z563" i="12"/>
  <c r="C565" i="12" l="1"/>
  <c r="Z564" i="12"/>
  <c r="AA564" i="12"/>
  <c r="D564" i="12" s="1"/>
  <c r="F564" i="12"/>
  <c r="G564" i="12"/>
  <c r="Y564" i="12"/>
  <c r="E564" i="12"/>
  <c r="C566" i="12" l="1"/>
  <c r="E565" i="12"/>
  <c r="G565" i="12"/>
  <c r="Y565" i="12"/>
  <c r="AA565" i="12"/>
  <c r="D565" i="12" s="1"/>
  <c r="Z565" i="12"/>
  <c r="F565" i="12"/>
  <c r="F566" i="12" l="1"/>
  <c r="C567" i="12"/>
  <c r="E566" i="12"/>
  <c r="AA566" i="12"/>
  <c r="D566" i="12" s="1"/>
  <c r="G566" i="12"/>
  <c r="Y566" i="12"/>
  <c r="Z566" i="12"/>
  <c r="F567" i="12" l="1"/>
  <c r="E567" i="12"/>
  <c r="G567" i="12"/>
  <c r="Y567" i="12"/>
  <c r="C568" i="12"/>
  <c r="Z567" i="12"/>
  <c r="AA567" i="12"/>
  <c r="D567" i="12" s="1"/>
  <c r="Z568" i="12" l="1"/>
  <c r="C569" i="12"/>
  <c r="Y568" i="12"/>
  <c r="F568" i="12"/>
  <c r="AA568" i="12"/>
  <c r="D568" i="12" s="1"/>
  <c r="G568" i="12"/>
  <c r="E568" i="12"/>
  <c r="F569" i="12" l="1"/>
  <c r="E569" i="12"/>
  <c r="G569" i="12"/>
  <c r="Z569" i="12"/>
  <c r="AA569" i="12"/>
  <c r="D569" i="12" s="1"/>
  <c r="Y569" i="12"/>
  <c r="C570" i="12"/>
  <c r="Y570" i="12" l="1"/>
  <c r="E570" i="12"/>
  <c r="C571" i="12"/>
  <c r="AA570" i="12"/>
  <c r="D570" i="12" s="1"/>
  <c r="F570" i="12"/>
  <c r="G570" i="12"/>
  <c r="Z570" i="12"/>
  <c r="Z571" i="12" l="1"/>
  <c r="F571" i="12"/>
  <c r="C572" i="12"/>
  <c r="Y571" i="12"/>
  <c r="G571" i="12"/>
  <c r="E571" i="12"/>
  <c r="AA571" i="12"/>
  <c r="D571" i="12" s="1"/>
  <c r="Z572" i="12" l="1"/>
  <c r="G572" i="12"/>
  <c r="AA572" i="12"/>
  <c r="D572" i="12" s="1"/>
  <c r="F572" i="12"/>
  <c r="Y572" i="12"/>
  <c r="C573" i="12"/>
  <c r="E572" i="12"/>
  <c r="Y573" i="12" l="1"/>
  <c r="C574" i="12"/>
  <c r="G573" i="12"/>
  <c r="F573" i="12"/>
  <c r="Z573" i="12"/>
  <c r="AA573" i="12"/>
  <c r="D573" i="12" s="1"/>
  <c r="E573" i="12"/>
  <c r="E574" i="12" l="1"/>
  <c r="G574" i="12"/>
  <c r="F574" i="12"/>
  <c r="AA574" i="12"/>
  <c r="D574" i="12" s="1"/>
  <c r="Y574" i="12"/>
  <c r="C575" i="12"/>
  <c r="Z574" i="12"/>
  <c r="E575" i="12" l="1"/>
  <c r="F575" i="12"/>
  <c r="AA575" i="12"/>
  <c r="D575" i="12" s="1"/>
  <c r="C576" i="12"/>
  <c r="Y575" i="12"/>
  <c r="Z575" i="12"/>
  <c r="G575" i="12"/>
  <c r="G576" i="12" l="1"/>
  <c r="F576" i="12"/>
  <c r="E576" i="12"/>
  <c r="Y576" i="12"/>
  <c r="AA576" i="12"/>
  <c r="D576" i="12" s="1"/>
  <c r="Z576" i="12"/>
  <c r="C577" i="12"/>
  <c r="G577" i="12" l="1"/>
  <c r="F577" i="12"/>
  <c r="C578" i="12"/>
  <c r="AA577" i="12"/>
  <c r="D577" i="12" s="1"/>
  <c r="E577" i="12"/>
  <c r="Z577" i="12"/>
  <c r="Y577" i="12"/>
  <c r="C579" i="12" l="1"/>
  <c r="AA578" i="12"/>
  <c r="D578" i="12" s="1"/>
  <c r="F578" i="12"/>
  <c r="E578" i="12"/>
  <c r="Z578" i="12"/>
  <c r="G578" i="12"/>
  <c r="Y578" i="12"/>
  <c r="Z579" i="12" l="1"/>
  <c r="G579" i="12"/>
  <c r="F579" i="12"/>
  <c r="C580" i="12"/>
  <c r="AA579" i="12"/>
  <c r="D579" i="12" s="1"/>
  <c r="E579" i="12"/>
  <c r="Y579" i="12"/>
  <c r="Z580" i="12" l="1"/>
  <c r="AA580" i="12"/>
  <c r="D580" i="12" s="1"/>
  <c r="C581" i="12"/>
  <c r="Y580" i="12"/>
  <c r="E580" i="12"/>
  <c r="G580" i="12"/>
  <c r="F580" i="12"/>
  <c r="F581" i="12" l="1"/>
  <c r="Z581" i="12"/>
  <c r="C582" i="12"/>
  <c r="G581" i="12"/>
  <c r="Y581" i="12"/>
  <c r="AA581" i="12"/>
  <c r="D581" i="12" s="1"/>
  <c r="E581" i="12"/>
  <c r="G582" i="12" l="1"/>
  <c r="C583" i="12"/>
  <c r="E582" i="12"/>
  <c r="F582" i="12"/>
  <c r="Z582" i="12"/>
  <c r="Y582" i="12"/>
  <c r="AA582" i="12"/>
  <c r="D582" i="12" s="1"/>
  <c r="E583" i="12" l="1"/>
  <c r="Y583" i="12"/>
  <c r="G583" i="12"/>
  <c r="C584" i="12"/>
  <c r="Z583" i="12"/>
  <c r="F583" i="12"/>
  <c r="AA583" i="12"/>
  <c r="D583" i="12" s="1"/>
  <c r="E584" i="12" l="1"/>
  <c r="F584" i="12"/>
  <c r="C585" i="12"/>
  <c r="AA584" i="12"/>
  <c r="D584" i="12" s="1"/>
  <c r="G584" i="12"/>
  <c r="Z584" i="12"/>
  <c r="Y584" i="12"/>
  <c r="F585" i="12" l="1"/>
  <c r="E585" i="12"/>
  <c r="AA585" i="12"/>
  <c r="D585" i="12" s="1"/>
  <c r="G585" i="12"/>
  <c r="Y585" i="12"/>
  <c r="Z585" i="12"/>
  <c r="C586" i="12"/>
  <c r="Z586" i="12" l="1"/>
  <c r="AA586" i="12"/>
  <c r="D586" i="12" s="1"/>
  <c r="G586" i="12"/>
  <c r="E586" i="12"/>
  <c r="Y586" i="12"/>
  <c r="C587" i="12"/>
  <c r="F586" i="12"/>
  <c r="Y587" i="12" l="1"/>
  <c r="E587" i="12"/>
  <c r="Z587" i="12"/>
  <c r="C588" i="12"/>
  <c r="F587" i="12"/>
  <c r="AA587" i="12"/>
  <c r="D587" i="12" s="1"/>
  <c r="G587" i="12"/>
  <c r="F588" i="12" l="1"/>
  <c r="AA588" i="12"/>
  <c r="D588" i="12" s="1"/>
  <c r="Z588" i="12"/>
  <c r="Y588" i="12"/>
  <c r="E588" i="12"/>
  <c r="C589" i="12"/>
  <c r="G588" i="12"/>
  <c r="Z589" i="12" l="1"/>
  <c r="G589" i="12"/>
  <c r="C590" i="12"/>
  <c r="F589" i="12"/>
  <c r="AA589" i="12"/>
  <c r="D589" i="12" s="1"/>
  <c r="Y589" i="12"/>
  <c r="E589" i="12"/>
  <c r="F590" i="12" l="1"/>
  <c r="G590" i="12"/>
  <c r="AA590" i="12"/>
  <c r="D590" i="12" s="1"/>
  <c r="C591" i="12"/>
  <c r="Y590" i="12"/>
  <c r="E590" i="12"/>
  <c r="Z590" i="12"/>
  <c r="C592" i="12" l="1"/>
  <c r="G591" i="12"/>
  <c r="E591" i="12"/>
  <c r="Z591" i="12"/>
  <c r="Y591" i="12"/>
  <c r="AA591" i="12"/>
  <c r="D591" i="12" s="1"/>
  <c r="F591" i="12"/>
  <c r="AA592" i="12" l="1"/>
  <c r="D592" i="12" s="1"/>
  <c r="Y592" i="12"/>
  <c r="F592" i="12"/>
  <c r="E592" i="12"/>
  <c r="G592" i="12"/>
  <c r="C593" i="12"/>
  <c r="Z592" i="12"/>
  <c r="E593" i="12" l="1"/>
  <c r="G593" i="12"/>
  <c r="AA593" i="12"/>
  <c r="D593" i="12" s="1"/>
  <c r="C594" i="12"/>
  <c r="F593" i="12"/>
  <c r="Y593" i="12"/>
  <c r="Z593" i="12"/>
  <c r="Z594" i="12" l="1"/>
  <c r="F594" i="12"/>
  <c r="AA594" i="12"/>
  <c r="D594" i="12" s="1"/>
  <c r="G594" i="12"/>
  <c r="E594" i="12"/>
  <c r="Y594" i="12"/>
  <c r="C595" i="12"/>
  <c r="G595" i="12" l="1"/>
  <c r="F595" i="12"/>
  <c r="C596" i="12"/>
  <c r="Y595" i="12"/>
  <c r="E595" i="12"/>
  <c r="AA595" i="12"/>
  <c r="D595" i="12" s="1"/>
  <c r="Z595" i="12"/>
  <c r="G596" i="12" l="1"/>
  <c r="Y596" i="12"/>
  <c r="Z596" i="12"/>
  <c r="AA596" i="12"/>
  <c r="D596" i="12" s="1"/>
  <c r="E596" i="12"/>
  <c r="C597" i="12"/>
  <c r="F596" i="12"/>
  <c r="Z597" i="12" l="1"/>
  <c r="E597" i="12"/>
  <c r="C598" i="12"/>
  <c r="AA597" i="12"/>
  <c r="D597" i="12" s="1"/>
  <c r="Y597" i="12"/>
  <c r="G597" i="12"/>
  <c r="F597" i="12"/>
  <c r="E598" i="12" l="1"/>
  <c r="Y598" i="12"/>
  <c r="G598" i="12"/>
  <c r="AA598" i="12"/>
  <c r="D598" i="12" s="1"/>
  <c r="C599" i="12"/>
  <c r="Z598" i="12"/>
  <c r="F598" i="12"/>
  <c r="F599" i="12" l="1"/>
  <c r="AA599" i="12"/>
  <c r="D599" i="12" s="1"/>
  <c r="Y599" i="12"/>
  <c r="G599" i="12"/>
  <c r="Z599" i="12"/>
  <c r="E599" i="12"/>
  <c r="C600" i="12"/>
  <c r="E600" i="12" l="1"/>
  <c r="Z600" i="12"/>
  <c r="C601" i="12"/>
  <c r="Y600" i="12"/>
  <c r="AA600" i="12"/>
  <c r="D600" i="12" s="1"/>
  <c r="G600" i="12"/>
  <c r="F600" i="12"/>
  <c r="AA601" i="12" l="1"/>
  <c r="D601" i="12" s="1"/>
  <c r="Y601" i="12"/>
  <c r="Z601" i="12"/>
  <c r="G601" i="12"/>
  <c r="C602" i="12"/>
  <c r="E601" i="12"/>
  <c r="F601" i="12"/>
  <c r="Z602" i="12" l="1"/>
  <c r="AA602" i="12"/>
  <c r="D602" i="12" s="1"/>
  <c r="E602" i="12"/>
  <c r="Y602" i="12"/>
  <c r="F602" i="12"/>
  <c r="C603" i="12"/>
  <c r="G602" i="12"/>
  <c r="F603" i="12" l="1"/>
  <c r="Y603" i="12"/>
  <c r="E603" i="12"/>
  <c r="G603" i="12"/>
  <c r="Z603" i="12"/>
  <c r="C604" i="12"/>
  <c r="AA603" i="12"/>
  <c r="D603" i="12" s="1"/>
  <c r="C605" i="12" l="1"/>
  <c r="AA604" i="12"/>
  <c r="D604" i="12" s="1"/>
  <c r="Z604" i="12"/>
  <c r="E604" i="12"/>
  <c r="G604" i="12"/>
  <c r="F604" i="12"/>
  <c r="Y604" i="12"/>
  <c r="C606" i="12" l="1"/>
  <c r="G605" i="12"/>
  <c r="Y605" i="12"/>
  <c r="Z605" i="12"/>
  <c r="E605" i="12"/>
  <c r="F605" i="12"/>
  <c r="AA605" i="12"/>
  <c r="D605" i="12" s="1"/>
  <c r="F606" i="12" l="1"/>
  <c r="AA606" i="12"/>
  <c r="D606" i="12" s="1"/>
  <c r="G606" i="12"/>
  <c r="Y606" i="12"/>
  <c r="Z606" i="12"/>
  <c r="E606" i="12"/>
  <c r="C607" i="12"/>
  <c r="F607" i="12" l="1"/>
  <c r="C608" i="12"/>
  <c r="AA607" i="12"/>
  <c r="D607" i="12" s="1"/>
  <c r="E607" i="12"/>
  <c r="Y607" i="12"/>
  <c r="G607" i="12"/>
  <c r="Z607" i="12"/>
  <c r="Z608" i="12" l="1"/>
  <c r="F608" i="12"/>
  <c r="C609" i="12"/>
  <c r="G608" i="12"/>
  <c r="AA608" i="12"/>
  <c r="D608" i="12" s="1"/>
  <c r="E608" i="12"/>
  <c r="Y608" i="12"/>
  <c r="C610" i="12" l="1"/>
  <c r="Y609" i="12"/>
  <c r="F609" i="12"/>
  <c r="G609" i="12"/>
  <c r="E609" i="12"/>
  <c r="AA609" i="12"/>
  <c r="D609" i="12" s="1"/>
  <c r="Z609" i="12"/>
  <c r="F610" i="12" l="1"/>
  <c r="AA610" i="12"/>
  <c r="D610" i="12" s="1"/>
  <c r="E610" i="12"/>
  <c r="G610" i="12"/>
  <c r="Y610" i="12"/>
  <c r="C611" i="12"/>
  <c r="Z610" i="12"/>
  <c r="G611" i="12" l="1"/>
  <c r="C612" i="12"/>
  <c r="Y611" i="12"/>
  <c r="Z611" i="12"/>
  <c r="AA611" i="12"/>
  <c r="D611" i="12" s="1"/>
  <c r="F611" i="12"/>
  <c r="E611" i="12"/>
  <c r="AA612" i="12" l="1"/>
  <c r="D612" i="12" s="1"/>
  <c r="F612" i="12"/>
  <c r="Z612" i="12"/>
  <c r="E612" i="12"/>
  <c r="G612" i="12"/>
  <c r="Y612" i="12"/>
  <c r="C613" i="12"/>
  <c r="AA613" i="12" l="1"/>
  <c r="D613" i="12" s="1"/>
  <c r="Z613" i="12"/>
  <c r="G613" i="12"/>
  <c r="Y613" i="12"/>
  <c r="F613" i="12"/>
  <c r="C614" i="12"/>
  <c r="E613" i="12"/>
  <c r="Z614" i="12" l="1"/>
  <c r="Y614" i="12"/>
  <c r="E614" i="12"/>
  <c r="C615" i="12"/>
  <c r="G614" i="12"/>
  <c r="F614" i="12"/>
  <c r="AA614" i="12"/>
  <c r="D614" i="12" s="1"/>
  <c r="G615" i="12" l="1"/>
  <c r="AA615" i="12"/>
  <c r="D615" i="12" s="1"/>
  <c r="Y615" i="12"/>
  <c r="E615" i="12"/>
  <c r="C616" i="12"/>
  <c r="F615" i="12"/>
  <c r="Z615" i="12"/>
  <c r="E616" i="12" l="1"/>
  <c r="Z616" i="12"/>
  <c r="F616" i="12"/>
  <c r="C617" i="12"/>
  <c r="G616" i="12"/>
  <c r="Y616" i="12"/>
  <c r="AA616" i="12"/>
  <c r="D616" i="12" s="1"/>
  <c r="C618" i="12" l="1"/>
  <c r="AA617" i="12"/>
  <c r="D617" i="12" s="1"/>
  <c r="Z617" i="12"/>
  <c r="F617" i="12"/>
  <c r="E617" i="12"/>
  <c r="G617" i="12"/>
  <c r="Y617" i="12"/>
  <c r="C619" i="12" l="1"/>
  <c r="E618" i="12"/>
  <c r="Y618" i="12"/>
  <c r="AA618" i="12"/>
  <c r="D618" i="12" s="1"/>
  <c r="G618" i="12"/>
  <c r="F618" i="12"/>
  <c r="Z618" i="12"/>
  <c r="AA619" i="12" l="1"/>
  <c r="D619" i="12" s="1"/>
  <c r="F619" i="12"/>
  <c r="Y619" i="12"/>
  <c r="E619" i="12"/>
  <c r="C620" i="12"/>
  <c r="G619" i="12"/>
  <c r="Z619" i="12"/>
  <c r="AA620" i="12" l="1"/>
  <c r="D620" i="12" s="1"/>
  <c r="Y620" i="12"/>
  <c r="E620" i="12"/>
  <c r="F620" i="12"/>
  <c r="Z620" i="12"/>
  <c r="C621" i="12"/>
  <c r="G620" i="12"/>
  <c r="Z621" i="12" l="1"/>
  <c r="G621" i="12"/>
  <c r="F621" i="12"/>
  <c r="E621" i="12"/>
  <c r="Y621" i="12"/>
  <c r="AA621" i="12"/>
  <c r="D621" i="12" s="1"/>
  <c r="C622" i="12"/>
  <c r="Y622" i="12" l="1"/>
  <c r="AA622" i="12"/>
  <c r="D622" i="12" s="1"/>
  <c r="Z622" i="12"/>
  <c r="E622" i="12"/>
  <c r="G622" i="12"/>
  <c r="C623" i="12"/>
  <c r="F622" i="12"/>
  <c r="Z623" i="12" l="1"/>
  <c r="E623" i="12"/>
  <c r="Y623" i="12"/>
  <c r="C624" i="12"/>
  <c r="G623" i="12"/>
  <c r="F623" i="12"/>
  <c r="AA623" i="12"/>
  <c r="D623" i="12" s="1"/>
  <c r="Y624" i="12" l="1"/>
  <c r="E624" i="12"/>
  <c r="Z624" i="12"/>
  <c r="AA624" i="12"/>
  <c r="D624" i="12" s="1"/>
  <c r="F624" i="12"/>
  <c r="G624" i="12"/>
  <c r="C625" i="12"/>
  <c r="C626" i="12" l="1"/>
  <c r="F625" i="12"/>
  <c r="Y625" i="12"/>
  <c r="E625" i="12"/>
  <c r="AA625" i="12"/>
  <c r="D625" i="12" s="1"/>
  <c r="Z625" i="12"/>
  <c r="G625" i="12"/>
  <c r="F626" i="12" l="1"/>
  <c r="C627" i="12"/>
  <c r="G626" i="12"/>
  <c r="E626" i="12"/>
  <c r="Y626" i="12"/>
  <c r="AA626" i="12"/>
  <c r="D626" i="12" s="1"/>
  <c r="Z626" i="12"/>
  <c r="G627" i="12" l="1"/>
  <c r="F627" i="12"/>
  <c r="Z627" i="12"/>
  <c r="Y627" i="12"/>
  <c r="C628" i="12"/>
  <c r="E627" i="12"/>
  <c r="AA627" i="12"/>
  <c r="D627" i="12" s="1"/>
  <c r="E628" i="12" l="1"/>
  <c r="F628" i="12"/>
  <c r="Y628" i="12"/>
  <c r="G628" i="12"/>
  <c r="Z628" i="12"/>
  <c r="C629" i="12"/>
  <c r="AA628" i="12"/>
  <c r="D628" i="12" s="1"/>
  <c r="AA629" i="12" l="1"/>
  <c r="D629" i="12" s="1"/>
  <c r="Y629" i="12"/>
  <c r="E629" i="12"/>
  <c r="Z629" i="12"/>
  <c r="C630" i="12"/>
  <c r="G629" i="12"/>
  <c r="F629" i="12"/>
  <c r="Z630" i="12" l="1"/>
  <c r="AA630" i="12"/>
  <c r="D630" i="12" s="1"/>
  <c r="Y630" i="12"/>
  <c r="E630" i="12"/>
  <c r="C631" i="12"/>
  <c r="G630" i="12"/>
  <c r="F630" i="12"/>
  <c r="Z631" i="12" l="1"/>
  <c r="E631" i="12"/>
  <c r="Y631" i="12"/>
  <c r="F631" i="12"/>
  <c r="AA631" i="12"/>
  <c r="D631" i="12" s="1"/>
  <c r="G631" i="12"/>
  <c r="C632" i="12"/>
  <c r="C633" i="12" l="1"/>
  <c r="AA632" i="12"/>
  <c r="D632" i="12" s="1"/>
  <c r="E632" i="12"/>
  <c r="Y632" i="12"/>
  <c r="G632" i="12"/>
  <c r="Z632" i="12"/>
  <c r="F632" i="12"/>
  <c r="C634" i="12" l="1"/>
  <c r="AA633" i="12"/>
  <c r="D633" i="12" s="1"/>
  <c r="G633" i="12"/>
  <c r="E633" i="12"/>
  <c r="F633" i="12"/>
  <c r="Z633" i="12"/>
  <c r="Y633" i="12"/>
  <c r="F634" i="12" l="1"/>
  <c r="E634" i="12"/>
  <c r="Y634" i="12"/>
  <c r="Z634" i="12"/>
  <c r="C635" i="12"/>
  <c r="AA634" i="12"/>
  <c r="D634" i="12" s="1"/>
  <c r="G634" i="12"/>
  <c r="F635" i="12" l="1"/>
  <c r="C636" i="12"/>
  <c r="E635" i="12"/>
  <c r="Y635" i="12"/>
  <c r="AA635" i="12"/>
  <c r="D635" i="12" s="1"/>
  <c r="Z635" i="12"/>
  <c r="G635" i="12"/>
  <c r="AA636" i="12" l="1"/>
  <c r="D636" i="12" s="1"/>
  <c r="C637" i="12"/>
  <c r="G636" i="12"/>
  <c r="Y636" i="12"/>
  <c r="F636" i="12"/>
  <c r="Z636" i="12"/>
  <c r="E636" i="12"/>
  <c r="AA637" i="12" l="1"/>
  <c r="D637" i="12" s="1"/>
  <c r="F637" i="12"/>
  <c r="E637" i="12"/>
  <c r="G637" i="12"/>
  <c r="C638" i="12"/>
  <c r="Y637" i="12"/>
  <c r="Z637" i="12"/>
  <c r="C639" i="12" l="1"/>
  <c r="Y638" i="12"/>
  <c r="AA638" i="12"/>
  <c r="D638" i="12" s="1"/>
  <c r="E638" i="12"/>
  <c r="Z638" i="12"/>
  <c r="G638" i="12"/>
  <c r="F638" i="12"/>
  <c r="AA639" i="12" l="1"/>
  <c r="D639" i="12" s="1"/>
  <c r="C640" i="12"/>
  <c r="G639" i="12"/>
  <c r="F639" i="12"/>
  <c r="Y639" i="12"/>
  <c r="E639" i="12"/>
  <c r="Z639" i="12"/>
  <c r="F640" i="12" l="1"/>
  <c r="G640" i="12"/>
  <c r="AA640" i="12"/>
  <c r="D640" i="12" s="1"/>
  <c r="Y640" i="12"/>
  <c r="Z640" i="12"/>
  <c r="E640" i="12"/>
  <c r="C641" i="12"/>
  <c r="F641" i="12" l="1"/>
  <c r="C642" i="12"/>
  <c r="Y641" i="12"/>
  <c r="AA641" i="12"/>
  <c r="D641" i="12" s="1"/>
  <c r="Z641" i="12"/>
  <c r="E641" i="12"/>
  <c r="G641" i="12"/>
  <c r="AA642" i="12" l="1"/>
  <c r="D642" i="12" s="1"/>
  <c r="F642" i="12"/>
  <c r="E642" i="12"/>
  <c r="Z642" i="12"/>
  <c r="C643" i="12"/>
  <c r="G642" i="12"/>
  <c r="Y642" i="12"/>
  <c r="AA643" i="12" l="1"/>
  <c r="D643" i="12" s="1"/>
  <c r="G643" i="12"/>
  <c r="Y643" i="12"/>
  <c r="C644" i="12"/>
  <c r="F643" i="12"/>
  <c r="Z643" i="12"/>
  <c r="E643" i="12"/>
  <c r="AA644" i="12" l="1"/>
  <c r="D644" i="12" s="1"/>
  <c r="Y644" i="12"/>
  <c r="C645" i="12"/>
  <c r="G644" i="12"/>
  <c r="F644" i="12"/>
  <c r="E644" i="12"/>
  <c r="Z644" i="12"/>
  <c r="G645" i="12" l="1"/>
  <c r="E645" i="12"/>
  <c r="Z645" i="12"/>
  <c r="C646" i="12"/>
  <c r="AA645" i="12"/>
  <c r="D645" i="12" s="1"/>
  <c r="F645" i="12"/>
  <c r="Y645" i="12"/>
  <c r="C647" i="12" l="1"/>
  <c r="G646" i="12"/>
  <c r="AA646" i="12"/>
  <c r="D646" i="12" s="1"/>
  <c r="E646" i="12"/>
  <c r="Y646" i="12"/>
  <c r="F646" i="12"/>
  <c r="Z646" i="12"/>
  <c r="C648" i="12" l="1"/>
  <c r="G647" i="12"/>
  <c r="Z647" i="12"/>
  <c r="F647" i="12"/>
  <c r="AA647" i="12"/>
  <c r="D647" i="12" s="1"/>
  <c r="Y647" i="12"/>
  <c r="E647" i="12"/>
  <c r="Z648" i="12" l="1"/>
  <c r="Y648" i="12"/>
  <c r="F648" i="12"/>
  <c r="E648" i="12"/>
  <c r="G648" i="12"/>
  <c r="C649" i="12"/>
  <c r="AA648" i="12"/>
  <c r="D648" i="12" s="1"/>
  <c r="E649" i="12" l="1"/>
  <c r="F649" i="12"/>
  <c r="Z649" i="12"/>
  <c r="C650" i="12"/>
  <c r="Y649" i="12"/>
  <c r="G649" i="12"/>
  <c r="AA649" i="12"/>
  <c r="D649" i="12" s="1"/>
  <c r="Z650" i="12" l="1"/>
  <c r="C651" i="12"/>
  <c r="F650" i="12"/>
  <c r="E650" i="12"/>
  <c r="AA650" i="12"/>
  <c r="D650" i="12" s="1"/>
  <c r="G650" i="12"/>
  <c r="Y650" i="12"/>
  <c r="Z651" i="12" l="1"/>
  <c r="AA651" i="12"/>
  <c r="D651" i="12" s="1"/>
  <c r="Y651" i="12"/>
  <c r="G651" i="12"/>
  <c r="E651" i="12"/>
  <c r="F651" i="12"/>
  <c r="C652" i="12"/>
  <c r="C653" i="12" l="1"/>
  <c r="F652" i="12"/>
  <c r="AA652" i="12"/>
  <c r="D652" i="12" s="1"/>
  <c r="E652" i="12"/>
  <c r="Z652" i="12"/>
  <c r="Y652" i="12"/>
  <c r="G652" i="12"/>
  <c r="Z653" i="12" l="1"/>
  <c r="Y653" i="12"/>
  <c r="E653" i="12"/>
  <c r="C654" i="12"/>
  <c r="F653" i="12"/>
  <c r="G653" i="12"/>
  <c r="AA653" i="12"/>
  <c r="D653" i="12" s="1"/>
  <c r="G654" i="12" l="1"/>
  <c r="Z654" i="12"/>
  <c r="C655" i="12"/>
  <c r="F654" i="12"/>
  <c r="Y654" i="12"/>
  <c r="E654" i="12"/>
  <c r="AA654" i="12"/>
  <c r="D654" i="12" s="1"/>
  <c r="E655" i="12" l="1"/>
  <c r="C656" i="12"/>
  <c r="AA655" i="12"/>
  <c r="D655" i="12" s="1"/>
  <c r="F655" i="12"/>
  <c r="Z655" i="12"/>
  <c r="G655" i="12"/>
  <c r="Y655" i="12"/>
  <c r="Y656" i="12" l="1"/>
  <c r="C657" i="12"/>
  <c r="G656" i="12"/>
  <c r="F656" i="12"/>
  <c r="AA656" i="12"/>
  <c r="D656" i="12" s="1"/>
  <c r="E656" i="12"/>
  <c r="Z656" i="12"/>
  <c r="G657" i="12" l="1"/>
  <c r="F657" i="12"/>
  <c r="Z657" i="12"/>
  <c r="E657" i="12"/>
  <c r="Y657" i="12"/>
  <c r="C658" i="12"/>
  <c r="AA657" i="12"/>
  <c r="D657" i="12" s="1"/>
  <c r="E658" i="12" l="1"/>
  <c r="F658" i="12"/>
  <c r="G658" i="12"/>
  <c r="Z658" i="12"/>
  <c r="Y658" i="12"/>
  <c r="C659" i="12"/>
  <c r="AA658" i="12"/>
  <c r="D658" i="12" s="1"/>
  <c r="C660" i="12" l="1"/>
  <c r="Z659" i="12"/>
  <c r="G659" i="12"/>
  <c r="F659" i="12"/>
  <c r="AA659" i="12"/>
  <c r="D659" i="12" s="1"/>
  <c r="Y659" i="12"/>
  <c r="E659" i="12"/>
  <c r="C661" i="12" l="1"/>
  <c r="F660" i="12"/>
  <c r="Y660" i="12"/>
  <c r="Z660" i="12"/>
  <c r="AA660" i="12"/>
  <c r="D660" i="12" s="1"/>
  <c r="G660" i="12"/>
  <c r="E660" i="12"/>
  <c r="F661" i="12" l="1"/>
  <c r="E661" i="12"/>
  <c r="C662" i="12"/>
  <c r="Y661" i="12"/>
  <c r="AA661" i="12"/>
  <c r="D661" i="12" s="1"/>
  <c r="Z661" i="12"/>
  <c r="G661" i="12"/>
  <c r="Y662" i="12" l="1"/>
  <c r="G662" i="12"/>
  <c r="AA662" i="12"/>
  <c r="D662" i="12" s="1"/>
  <c r="Z662" i="12"/>
  <c r="F662" i="12"/>
  <c r="C663" i="12"/>
  <c r="E662" i="12"/>
  <c r="Y663" i="12" l="1"/>
  <c r="F663" i="12"/>
  <c r="Z663" i="12"/>
  <c r="G663" i="12"/>
  <c r="AA663" i="12"/>
  <c r="D663" i="12" s="1"/>
  <c r="C664" i="12"/>
  <c r="E663" i="12"/>
  <c r="G664" i="12" l="1"/>
  <c r="Y664" i="12"/>
  <c r="E664" i="12"/>
  <c r="Z664" i="12"/>
  <c r="F664" i="12"/>
  <c r="AA664" i="12"/>
  <c r="D664" i="12" s="1"/>
  <c r="C665" i="12"/>
  <c r="E665" i="12" l="1"/>
  <c r="C666" i="12"/>
  <c r="F665" i="12"/>
  <c r="Z665" i="12"/>
  <c r="G665" i="12"/>
  <c r="Y665" i="12"/>
  <c r="AA665" i="12"/>
  <c r="D665" i="12" s="1"/>
  <c r="Y666" i="12" l="1"/>
  <c r="F666" i="12"/>
  <c r="E666" i="12"/>
  <c r="C667" i="12"/>
  <c r="Z666" i="12"/>
  <c r="G666" i="12"/>
  <c r="AA666" i="12"/>
  <c r="D666" i="12" s="1"/>
  <c r="AA667" i="12" l="1"/>
  <c r="D667" i="12" s="1"/>
  <c r="Z667" i="12"/>
  <c r="F667" i="12"/>
  <c r="Y667" i="12"/>
  <c r="E667" i="12"/>
  <c r="C668" i="12"/>
  <c r="G667" i="12"/>
  <c r="F668" i="12" l="1"/>
  <c r="E668" i="12"/>
  <c r="Y668" i="12"/>
  <c r="C669" i="12"/>
  <c r="Z668" i="12"/>
  <c r="AA668" i="12"/>
  <c r="D668" i="12" s="1"/>
  <c r="G668" i="12"/>
  <c r="AA669" i="12" l="1"/>
  <c r="D669" i="12" s="1"/>
  <c r="Z669" i="12"/>
  <c r="C670" i="12"/>
  <c r="G669" i="12"/>
  <c r="F669" i="12"/>
  <c r="Y669" i="12"/>
  <c r="E669" i="12"/>
  <c r="AA670" i="12" l="1"/>
  <c r="D670" i="12" s="1"/>
  <c r="F670" i="12"/>
  <c r="C671" i="12"/>
  <c r="E670" i="12"/>
  <c r="G670" i="12"/>
  <c r="Y670" i="12"/>
  <c r="Z670" i="12"/>
  <c r="G671" i="12" l="1"/>
  <c r="F671" i="12"/>
  <c r="AA671" i="12"/>
  <c r="D671" i="12" s="1"/>
  <c r="Z671" i="12"/>
  <c r="Y671" i="12"/>
  <c r="E671" i="12"/>
  <c r="C672" i="12"/>
  <c r="Y672" i="12" l="1"/>
  <c r="G672" i="12"/>
  <c r="C673" i="12"/>
  <c r="AA672" i="12"/>
  <c r="D672" i="12" s="1"/>
  <c r="E672" i="12"/>
  <c r="Z672" i="12"/>
  <c r="F672" i="12"/>
  <c r="Z673" i="12" l="1"/>
  <c r="Y673" i="12"/>
  <c r="C674" i="12"/>
  <c r="AA673" i="12"/>
  <c r="D673" i="12" s="1"/>
  <c r="F673" i="12"/>
  <c r="E673" i="12"/>
  <c r="G673" i="12"/>
  <c r="Z674" i="12" l="1"/>
  <c r="C675" i="12"/>
  <c r="AA674" i="12"/>
  <c r="D674" i="12" s="1"/>
  <c r="E674" i="12"/>
  <c r="F674" i="12"/>
  <c r="G674" i="12"/>
  <c r="Y674" i="12"/>
  <c r="F675" i="12" l="1"/>
  <c r="AA675" i="12"/>
  <c r="D675" i="12" s="1"/>
  <c r="Y675" i="12"/>
  <c r="C676" i="12"/>
  <c r="E675" i="12"/>
  <c r="G675" i="12"/>
  <c r="Z675" i="12"/>
  <c r="E676" i="12" l="1"/>
  <c r="Z676" i="12"/>
  <c r="AA676" i="12"/>
  <c r="D676" i="12" s="1"/>
  <c r="C677" i="12"/>
  <c r="Y676" i="12"/>
  <c r="F676" i="12"/>
  <c r="G676" i="12"/>
  <c r="E677" i="12" l="1"/>
  <c r="Y677" i="12"/>
  <c r="G677" i="12"/>
  <c r="Z677" i="12"/>
  <c r="F677" i="12"/>
  <c r="C678" i="12"/>
  <c r="AA677" i="12"/>
  <c r="D677" i="12" s="1"/>
  <c r="Y678" i="12" l="1"/>
  <c r="G678" i="12"/>
  <c r="C679" i="12"/>
  <c r="E678" i="12"/>
  <c r="Z678" i="12"/>
  <c r="AA678" i="12"/>
  <c r="D678" i="12" s="1"/>
  <c r="F678" i="12"/>
  <c r="G679" i="12" l="1"/>
  <c r="E679" i="12"/>
  <c r="Y679" i="12"/>
  <c r="C680" i="12"/>
  <c r="F679" i="12"/>
  <c r="Z679" i="12"/>
  <c r="AA679" i="12"/>
  <c r="D679" i="12" s="1"/>
  <c r="AA680" i="12" l="1"/>
  <c r="D680" i="12" s="1"/>
  <c r="G680" i="12"/>
  <c r="Z680" i="12"/>
  <c r="C681" i="12"/>
  <c r="Y680" i="12"/>
  <c r="F680" i="12"/>
  <c r="E680" i="12"/>
  <c r="C682" i="12" l="1"/>
  <c r="Z681" i="12"/>
  <c r="Y681" i="12"/>
  <c r="G681" i="12"/>
  <c r="F681" i="12"/>
  <c r="AA681" i="12"/>
  <c r="D681" i="12" s="1"/>
  <c r="E681" i="12"/>
  <c r="E682" i="12" l="1"/>
  <c r="Y682" i="12"/>
  <c r="AA682" i="12"/>
  <c r="D682" i="12" s="1"/>
  <c r="F682" i="12"/>
  <c r="Z682" i="12"/>
  <c r="C683" i="12"/>
  <c r="G682" i="12"/>
  <c r="F683" i="12" l="1"/>
  <c r="Y683" i="12"/>
  <c r="E683" i="12"/>
  <c r="C684" i="12"/>
  <c r="AA683" i="12"/>
  <c r="D683" i="12" s="1"/>
  <c r="G683" i="12"/>
  <c r="Z683" i="12"/>
  <c r="G684" i="12" l="1"/>
  <c r="Z684" i="12"/>
  <c r="AA684" i="12"/>
  <c r="D684" i="12" s="1"/>
  <c r="F684" i="12"/>
  <c r="Y684" i="12"/>
  <c r="C685" i="12"/>
  <c r="E684" i="12"/>
  <c r="Y685" i="12" l="1"/>
  <c r="AA685" i="12"/>
  <c r="D685" i="12" s="1"/>
  <c r="G685" i="12"/>
  <c r="E685" i="12"/>
  <c r="Z685" i="12"/>
  <c r="F685" i="12"/>
  <c r="C686" i="12"/>
  <c r="Z686" i="12" l="1"/>
  <c r="E686" i="12"/>
  <c r="F686" i="12"/>
  <c r="Y686" i="12"/>
  <c r="AA686" i="12"/>
  <c r="D686" i="12" s="1"/>
  <c r="G686" i="12"/>
  <c r="C687" i="12"/>
  <c r="G687" i="12" l="1"/>
  <c r="Z687" i="12"/>
  <c r="Y687" i="12"/>
  <c r="C688" i="12"/>
  <c r="AA687" i="12"/>
  <c r="D687" i="12" s="1"/>
  <c r="E687" i="12"/>
  <c r="F687" i="12"/>
  <c r="Y688" i="12" l="1"/>
  <c r="F688" i="12"/>
  <c r="AA688" i="12"/>
  <c r="D688" i="12" s="1"/>
  <c r="E688" i="12"/>
  <c r="G688" i="12"/>
  <c r="Z688" i="12"/>
  <c r="C689" i="12"/>
  <c r="G689" i="12" l="1"/>
  <c r="Y689" i="12"/>
  <c r="C690" i="12"/>
  <c r="E689" i="12"/>
  <c r="AA689" i="12"/>
  <c r="D689" i="12" s="1"/>
  <c r="Z689" i="12"/>
  <c r="F689" i="12"/>
  <c r="Z690" i="12" l="1"/>
  <c r="C691" i="12"/>
  <c r="F690" i="12"/>
  <c r="G690" i="12"/>
  <c r="E690" i="12"/>
  <c r="AA690" i="12"/>
  <c r="D690" i="12" s="1"/>
  <c r="Y690" i="12"/>
  <c r="Y691" i="12" l="1"/>
  <c r="E691" i="12"/>
  <c r="AA691" i="12"/>
  <c r="D691" i="12" s="1"/>
  <c r="C692" i="12"/>
  <c r="F691" i="12"/>
  <c r="Z691" i="12"/>
  <c r="G691" i="12"/>
  <c r="Y692" i="12" l="1"/>
  <c r="G692" i="12"/>
  <c r="E692" i="12"/>
  <c r="F692" i="12"/>
  <c r="Z692" i="12"/>
  <c r="C693" i="12"/>
  <c r="AA692" i="12"/>
  <c r="D692" i="12" s="1"/>
  <c r="Z693" i="12" l="1"/>
  <c r="E693" i="12"/>
  <c r="C694" i="12"/>
  <c r="AA693" i="12"/>
  <c r="D693" i="12" s="1"/>
  <c r="Y693" i="12"/>
  <c r="G693" i="12"/>
  <c r="F693" i="12"/>
  <c r="E694" i="12" l="1"/>
  <c r="C695" i="12"/>
  <c r="Z694" i="12"/>
  <c r="AA694" i="12"/>
  <c r="D694" i="12" s="1"/>
  <c r="G694" i="12"/>
  <c r="Y694" i="12"/>
  <c r="F694" i="12"/>
  <c r="F695" i="12" l="1"/>
  <c r="C696" i="12"/>
  <c r="Z695" i="12"/>
  <c r="E695" i="12"/>
  <c r="Y695" i="12"/>
  <c r="G695" i="12"/>
  <c r="AA695" i="12"/>
  <c r="D695" i="12" s="1"/>
  <c r="Y696" i="12" l="1"/>
  <c r="C697" i="12"/>
  <c r="F696" i="12"/>
  <c r="G696" i="12"/>
  <c r="Z696" i="12"/>
  <c r="AA696" i="12"/>
  <c r="D696" i="12" s="1"/>
  <c r="E696" i="12"/>
  <c r="E697" i="12" l="1"/>
  <c r="Z697" i="12"/>
  <c r="Y697" i="12"/>
  <c r="C698" i="12"/>
  <c r="AA697" i="12"/>
  <c r="D697" i="12" s="1"/>
  <c r="F697" i="12"/>
  <c r="G697" i="12"/>
  <c r="Y698" i="12" l="1"/>
  <c r="Z698" i="12"/>
  <c r="AA698" i="12"/>
  <c r="D698" i="12" s="1"/>
  <c r="E698" i="12"/>
  <c r="F698" i="12"/>
  <c r="C699" i="12"/>
  <c r="G698" i="12"/>
  <c r="Z699" i="12" l="1"/>
  <c r="C700" i="12"/>
  <c r="E699" i="12"/>
  <c r="F699" i="12"/>
  <c r="Y699" i="12"/>
  <c r="AA699" i="12"/>
  <c r="D699" i="12" s="1"/>
  <c r="G699" i="12"/>
  <c r="C701" i="12" l="1"/>
  <c r="G700" i="12"/>
  <c r="F700" i="12"/>
  <c r="Z700" i="12"/>
  <c r="AA700" i="12"/>
  <c r="D700" i="12" s="1"/>
  <c r="Y700" i="12"/>
  <c r="E700" i="12"/>
  <c r="Y701" i="12" l="1"/>
  <c r="C702" i="12"/>
  <c r="Z701" i="12"/>
  <c r="G701" i="12"/>
  <c r="F701" i="12"/>
  <c r="AA701" i="12"/>
  <c r="D701" i="12" s="1"/>
  <c r="E701" i="12"/>
  <c r="Y702" i="12" l="1"/>
  <c r="AA702" i="12"/>
  <c r="D702" i="12" s="1"/>
  <c r="C703" i="12"/>
  <c r="Z702" i="12"/>
  <c r="F702" i="12"/>
  <c r="G702" i="12"/>
  <c r="E702" i="12"/>
  <c r="F703" i="12" l="1"/>
  <c r="C704" i="12"/>
  <c r="Z703" i="12"/>
  <c r="E703" i="12"/>
  <c r="G703" i="12"/>
  <c r="Y703" i="12"/>
  <c r="AA703" i="12"/>
  <c r="D703" i="12" s="1"/>
  <c r="C705" i="12" l="1"/>
  <c r="E704" i="12"/>
  <c r="G704" i="12"/>
  <c r="Y704" i="12"/>
  <c r="AA704" i="12"/>
  <c r="D704" i="12" s="1"/>
  <c r="F704" i="12"/>
  <c r="Z704" i="12"/>
  <c r="F705" i="12" l="1"/>
  <c r="Y705" i="12"/>
  <c r="C706" i="12"/>
  <c r="AA705" i="12"/>
  <c r="D705" i="12" s="1"/>
  <c r="E705" i="12"/>
  <c r="Z705" i="12"/>
  <c r="G705" i="12"/>
  <c r="E706" i="12" l="1"/>
  <c r="G706" i="12"/>
  <c r="AA706" i="12"/>
  <c r="D706" i="12" s="1"/>
  <c r="Y706" i="12"/>
  <c r="F706" i="12"/>
  <c r="C707" i="12"/>
  <c r="Z706" i="12"/>
  <c r="AA707" i="12" l="1"/>
  <c r="D707" i="12" s="1"/>
  <c r="Z707" i="12"/>
  <c r="F707" i="12"/>
  <c r="Y707" i="12"/>
  <c r="E707" i="12"/>
  <c r="C708" i="12"/>
  <c r="G707" i="12"/>
  <c r="Y708" i="12" l="1"/>
  <c r="AA708" i="12"/>
  <c r="D708" i="12" s="1"/>
  <c r="C709" i="12"/>
  <c r="E708" i="12"/>
  <c r="G708" i="12"/>
  <c r="Z708" i="12"/>
  <c r="F708" i="12"/>
  <c r="F709" i="12" l="1"/>
  <c r="AA709" i="12"/>
  <c r="D709" i="12" s="1"/>
  <c r="E709" i="12"/>
  <c r="G709" i="12"/>
  <c r="C710" i="12"/>
  <c r="Z709" i="12"/>
  <c r="Y709" i="12"/>
  <c r="F710" i="12" l="1"/>
  <c r="Y710" i="12"/>
  <c r="AA710" i="12"/>
  <c r="D710" i="12" s="1"/>
  <c r="C711" i="12"/>
  <c r="Z710" i="12"/>
  <c r="G710" i="12"/>
  <c r="E710" i="12"/>
  <c r="E711" i="12" l="1"/>
  <c r="AA711" i="12"/>
  <c r="D711" i="12" s="1"/>
  <c r="C712" i="12"/>
  <c r="F711" i="12"/>
  <c r="G711" i="12"/>
  <c r="Y711" i="12"/>
  <c r="Z711" i="12"/>
  <c r="C713" i="12" l="1"/>
  <c r="F712" i="12"/>
  <c r="E712" i="12"/>
  <c r="Z712" i="12"/>
  <c r="G712" i="12"/>
  <c r="Y712" i="12"/>
  <c r="AA712" i="12"/>
  <c r="D712" i="12" s="1"/>
  <c r="Y713" i="12" l="1"/>
  <c r="G713" i="12"/>
  <c r="E713" i="12"/>
  <c r="F713" i="12"/>
  <c r="AA713" i="12"/>
  <c r="D713" i="12" s="1"/>
  <c r="C714" i="12"/>
  <c r="Z713" i="12"/>
  <c r="G714" i="12" l="1"/>
  <c r="F714" i="12"/>
  <c r="Y714" i="12"/>
  <c r="Z714" i="12"/>
  <c r="E714" i="12"/>
  <c r="C715" i="12"/>
  <c r="AA714" i="12"/>
  <c r="D714" i="12" s="1"/>
  <c r="G715" i="12" l="1"/>
  <c r="AA715" i="12"/>
  <c r="D715" i="12" s="1"/>
  <c r="E715" i="12"/>
  <c r="Z715" i="12"/>
  <c r="Y715" i="12"/>
  <c r="C716" i="12"/>
  <c r="F715" i="12"/>
  <c r="E716" i="12" l="1"/>
  <c r="Z716" i="12"/>
  <c r="C717" i="12"/>
  <c r="F716" i="12"/>
  <c r="G716" i="12"/>
  <c r="Y716" i="12"/>
  <c r="AA716" i="12"/>
  <c r="D716" i="12" s="1"/>
  <c r="C718" i="12" l="1"/>
  <c r="Y717" i="12"/>
  <c r="G717" i="12"/>
  <c r="F717" i="12"/>
  <c r="AA717" i="12"/>
  <c r="D717" i="12" s="1"/>
  <c r="Z717" i="12"/>
  <c r="E717" i="12"/>
  <c r="Y718" i="12" l="1"/>
  <c r="Z718" i="12"/>
  <c r="E718" i="12"/>
  <c r="F718" i="12"/>
  <c r="G718" i="12"/>
  <c r="C719" i="12"/>
  <c r="AA718" i="12"/>
  <c r="D718" i="12" s="1"/>
  <c r="Y719" i="12" l="1"/>
  <c r="Z719" i="12"/>
  <c r="F719" i="12"/>
  <c r="G719" i="12"/>
  <c r="E719" i="12"/>
  <c r="C720" i="12"/>
  <c r="AA719" i="12"/>
  <c r="D719" i="12" s="1"/>
  <c r="G720" i="12" l="1"/>
  <c r="AA720" i="12"/>
  <c r="D720" i="12" s="1"/>
  <c r="Y720" i="12"/>
  <c r="Z720" i="12"/>
  <c r="C721" i="12"/>
  <c r="F720" i="12"/>
  <c r="E720" i="12"/>
  <c r="G721" i="12" l="1"/>
  <c r="Z721" i="12"/>
  <c r="F721" i="12"/>
  <c r="Y721" i="12"/>
  <c r="C722" i="12"/>
  <c r="AA721" i="12"/>
  <c r="D721" i="12" s="1"/>
  <c r="E721" i="12"/>
  <c r="G722" i="12" l="1"/>
  <c r="AA722" i="12"/>
  <c r="D722" i="12" s="1"/>
  <c r="Z722" i="12"/>
  <c r="Y722" i="12"/>
  <c r="E722" i="12"/>
  <c r="F722" i="12"/>
  <c r="C723" i="12"/>
  <c r="AA723" i="12" l="1"/>
  <c r="D723" i="12" s="1"/>
  <c r="F723" i="12"/>
  <c r="E723" i="12"/>
  <c r="Y723" i="12"/>
  <c r="G723" i="12"/>
  <c r="C724" i="12"/>
  <c r="Z723" i="12"/>
  <c r="G724" i="12" l="1"/>
  <c r="Z724" i="12"/>
  <c r="C725" i="12"/>
  <c r="E724" i="12"/>
  <c r="F724" i="12"/>
  <c r="Y724" i="12"/>
  <c r="AA724" i="12"/>
  <c r="D724" i="12" s="1"/>
  <c r="E725" i="12" l="1"/>
  <c r="G725" i="12"/>
  <c r="AA725" i="12"/>
  <c r="D725" i="12" s="1"/>
  <c r="C726" i="12"/>
  <c r="Z725" i="12"/>
  <c r="F725" i="12"/>
  <c r="Y725" i="12"/>
  <c r="Z726" i="12" l="1"/>
  <c r="Y726" i="12"/>
  <c r="G726" i="12"/>
  <c r="F726" i="12"/>
  <c r="AA726" i="12"/>
  <c r="D726" i="12" s="1"/>
  <c r="E726" i="12"/>
  <c r="C727" i="12"/>
  <c r="AA727" i="12" l="1"/>
  <c r="D727" i="12" s="1"/>
  <c r="E727" i="12"/>
  <c r="C728" i="12"/>
  <c r="Y727" i="12"/>
  <c r="F727" i="12"/>
  <c r="G727" i="12"/>
  <c r="Z727" i="12"/>
  <c r="E728" i="12" l="1"/>
  <c r="Z728" i="12"/>
  <c r="C729" i="12"/>
  <c r="F728" i="12"/>
  <c r="AA728" i="12"/>
  <c r="D728" i="12" s="1"/>
  <c r="G728" i="12"/>
  <c r="Y728" i="12"/>
  <c r="G729" i="12" l="1"/>
  <c r="E729" i="12"/>
  <c r="C730" i="12"/>
  <c r="F729" i="12"/>
  <c r="AA729" i="12"/>
  <c r="D729" i="12" s="1"/>
  <c r="Y729" i="12"/>
  <c r="Z729" i="12"/>
  <c r="Y730" i="12" l="1"/>
  <c r="G730" i="12"/>
  <c r="F730" i="12"/>
  <c r="Z730" i="12"/>
  <c r="C731" i="12"/>
  <c r="E730" i="12"/>
  <c r="AA730" i="12"/>
  <c r="D730" i="12" s="1"/>
  <c r="E731" i="12" l="1"/>
  <c r="Z731" i="12"/>
  <c r="F731" i="12"/>
  <c r="G731" i="12"/>
  <c r="AA731" i="12"/>
  <c r="D731" i="12" s="1"/>
  <c r="Y731" i="12"/>
  <c r="C732" i="12"/>
  <c r="Y732" i="12" l="1"/>
  <c r="Z732" i="12"/>
  <c r="G732" i="12"/>
  <c r="F732" i="12"/>
  <c r="E732" i="12"/>
  <c r="C733" i="12"/>
  <c r="AA732" i="12"/>
  <c r="D732" i="12" s="1"/>
  <c r="E733" i="12" l="1"/>
  <c r="Y733" i="12"/>
  <c r="Z733" i="12"/>
  <c r="F733" i="12"/>
  <c r="G733" i="12"/>
  <c r="C734" i="12"/>
  <c r="AA733" i="12"/>
  <c r="D733" i="12" s="1"/>
  <c r="F734" i="12" l="1"/>
  <c r="E734" i="12"/>
  <c r="C735" i="12"/>
  <c r="Z734" i="12"/>
  <c r="Y734" i="12"/>
  <c r="AA734" i="12"/>
  <c r="D734" i="12" s="1"/>
  <c r="G734" i="12"/>
  <c r="Z735" i="12" l="1"/>
  <c r="G735" i="12"/>
  <c r="Y735" i="12"/>
  <c r="C736" i="12"/>
  <c r="AA735" i="12"/>
  <c r="D735" i="12" s="1"/>
  <c r="E735" i="12"/>
  <c r="F735" i="12"/>
  <c r="AA736" i="12" l="1"/>
  <c r="D736" i="12" s="1"/>
  <c r="G736" i="12"/>
  <c r="Z736" i="12"/>
  <c r="Y736" i="12"/>
  <c r="C737" i="12"/>
  <c r="F736" i="12"/>
  <c r="E736" i="12"/>
  <c r="E737" i="12" l="1"/>
  <c r="G737" i="12"/>
  <c r="Y737" i="12"/>
  <c r="Z737" i="12"/>
  <c r="C738" i="12"/>
  <c r="F737" i="12"/>
  <c r="AA737" i="12"/>
  <c r="D737" i="12" s="1"/>
  <c r="C739" i="12" l="1"/>
  <c r="E738" i="12"/>
  <c r="Y738" i="12"/>
  <c r="G738" i="12"/>
  <c r="F738" i="12"/>
  <c r="AA738" i="12"/>
  <c r="D738" i="12" s="1"/>
  <c r="Z738" i="12"/>
  <c r="F739" i="12" l="1"/>
  <c r="E739" i="12"/>
  <c r="Y739" i="12"/>
  <c r="Z739" i="12"/>
  <c r="G739" i="12"/>
  <c r="C740" i="12"/>
  <c r="AA739" i="12"/>
  <c r="D739" i="12" s="1"/>
  <c r="E740" i="12" l="1"/>
  <c r="AA740" i="12"/>
  <c r="D740" i="12" s="1"/>
  <c r="Y740" i="12"/>
  <c r="G740" i="12"/>
  <c r="Z740" i="12"/>
  <c r="F740" i="12"/>
  <c r="C741" i="12"/>
  <c r="Z741" i="12" l="1"/>
  <c r="AA741" i="12"/>
  <c r="D741" i="12" s="1"/>
  <c r="C742" i="12"/>
  <c r="F741" i="12"/>
  <c r="Y741" i="12"/>
  <c r="G741" i="12"/>
  <c r="E741" i="12"/>
  <c r="F742" i="12" l="1"/>
  <c r="G742" i="12"/>
  <c r="C743" i="12"/>
  <c r="Z742" i="12"/>
  <c r="E742" i="12"/>
  <c r="AA742" i="12"/>
  <c r="D742" i="12" s="1"/>
  <c r="Y742" i="12"/>
  <c r="Z743" i="12" l="1"/>
  <c r="F743" i="12"/>
  <c r="AA743" i="12"/>
  <c r="D743" i="12" s="1"/>
  <c r="E743" i="12"/>
  <c r="C744" i="12"/>
  <c r="Y743" i="12"/>
  <c r="G743" i="12"/>
  <c r="E744" i="12" l="1"/>
  <c r="Y744" i="12"/>
  <c r="AA744" i="12"/>
  <c r="D744" i="12" s="1"/>
  <c r="F744" i="12"/>
  <c r="C745" i="12"/>
  <c r="Z744" i="12"/>
  <c r="G744" i="12"/>
  <c r="Z745" i="12" l="1"/>
  <c r="Y745" i="12"/>
  <c r="F745" i="12"/>
  <c r="G745" i="12"/>
  <c r="E745" i="12"/>
  <c r="AA745" i="12"/>
  <c r="D745" i="12" s="1"/>
  <c r="C746" i="12"/>
  <c r="Y746" i="12" l="1"/>
  <c r="Z746" i="12"/>
  <c r="G746" i="12"/>
  <c r="E746" i="12"/>
  <c r="AA746" i="12"/>
  <c r="D746" i="12" s="1"/>
  <c r="C747" i="12"/>
  <c r="F746" i="12"/>
  <c r="Y747" i="12" l="1"/>
  <c r="E747" i="12"/>
  <c r="Z747" i="12"/>
  <c r="F747" i="12"/>
  <c r="AA747" i="12"/>
  <c r="D747" i="12" s="1"/>
  <c r="G747" i="12"/>
  <c r="C748" i="12"/>
  <c r="G748" i="12" l="1"/>
  <c r="Z748" i="12"/>
  <c r="F748" i="12"/>
  <c r="C749" i="12"/>
  <c r="AA748" i="12"/>
  <c r="D748" i="12" s="1"/>
  <c r="Y748" i="12"/>
  <c r="E748" i="12"/>
  <c r="E749" i="12" l="1"/>
  <c r="G749" i="12"/>
  <c r="Y749" i="12"/>
  <c r="Z749" i="12"/>
  <c r="C750" i="12"/>
  <c r="F749" i="12"/>
  <c r="AA749" i="12"/>
  <c r="D749" i="12" s="1"/>
  <c r="E750" i="12" l="1"/>
  <c r="F750" i="12"/>
  <c r="C751" i="12"/>
  <c r="Z750" i="12"/>
  <c r="Y750" i="12"/>
  <c r="AA750" i="12"/>
  <c r="D750" i="12" s="1"/>
  <c r="G750" i="12"/>
  <c r="Y751" i="12" l="1"/>
  <c r="F751" i="12"/>
  <c r="G751" i="12"/>
  <c r="E751" i="12"/>
  <c r="Z751" i="12"/>
  <c r="AA751" i="12"/>
  <c r="D751" i="12" s="1"/>
  <c r="C752" i="12"/>
  <c r="AA752" i="12" l="1"/>
  <c r="D752" i="12" s="1"/>
  <c r="E752" i="12"/>
  <c r="F752" i="12"/>
  <c r="Y752" i="12"/>
  <c r="C753" i="12"/>
  <c r="Z752" i="12"/>
  <c r="G752" i="12"/>
  <c r="F753" i="12" l="1"/>
  <c r="AA753" i="12"/>
  <c r="D753" i="12" s="1"/>
  <c r="Y753" i="12"/>
  <c r="Z753" i="12"/>
  <c r="C754" i="12"/>
  <c r="G753" i="12"/>
  <c r="E753" i="12"/>
  <c r="AA754" i="12" l="1"/>
  <c r="D754" i="12" s="1"/>
  <c r="Y754" i="12"/>
  <c r="E754" i="12"/>
  <c r="G754" i="12"/>
  <c r="C755" i="12"/>
  <c r="F754" i="12"/>
  <c r="Z754" i="12"/>
  <c r="F755" i="12" l="1"/>
  <c r="AA755" i="12"/>
  <c r="D755" i="12" s="1"/>
  <c r="E755" i="12"/>
  <c r="G755" i="12"/>
  <c r="Z755" i="12"/>
  <c r="Y755" i="12"/>
  <c r="C756" i="12"/>
  <c r="Z756" i="12" l="1"/>
  <c r="F756" i="12"/>
  <c r="E756" i="12"/>
  <c r="G756" i="12"/>
  <c r="C757" i="12"/>
  <c r="AA756" i="12"/>
  <c r="D756" i="12" s="1"/>
  <c r="Y756" i="12"/>
  <c r="G757" i="12" l="1"/>
  <c r="Z757" i="12"/>
  <c r="Y757" i="12"/>
  <c r="E757" i="12"/>
  <c r="C758" i="12"/>
  <c r="AA757" i="12"/>
  <c r="D757" i="12" s="1"/>
  <c r="F757" i="12"/>
  <c r="Z758" i="12" l="1"/>
  <c r="C759" i="12"/>
  <c r="E758" i="12"/>
  <c r="AA758" i="12"/>
  <c r="D758" i="12" s="1"/>
  <c r="F758" i="12"/>
  <c r="G758" i="12"/>
  <c r="Y758" i="12"/>
  <c r="C760" i="12" l="1"/>
  <c r="Z759" i="12"/>
  <c r="AA759" i="12"/>
  <c r="D759" i="12" s="1"/>
  <c r="F759" i="12"/>
  <c r="G759" i="12"/>
  <c r="Y759" i="12"/>
  <c r="E759" i="12"/>
  <c r="F760" i="12" l="1"/>
  <c r="Z760" i="12"/>
  <c r="G760" i="12"/>
  <c r="AA760" i="12"/>
  <c r="D760" i="12" s="1"/>
  <c r="C761" i="12"/>
  <c r="E760" i="12"/>
  <c r="Y760" i="12"/>
  <c r="Y761" i="12" l="1"/>
  <c r="E761" i="12"/>
  <c r="Z761" i="12"/>
  <c r="F761" i="12"/>
  <c r="C762" i="12"/>
  <c r="AA761" i="12"/>
  <c r="D761" i="12" s="1"/>
  <c r="G761" i="12"/>
  <c r="AA762" i="12" l="1"/>
  <c r="D762" i="12" s="1"/>
  <c r="C763" i="12"/>
  <c r="G762" i="12"/>
  <c r="Z762" i="12"/>
  <c r="Y762" i="12"/>
  <c r="E762" i="12"/>
  <c r="F762" i="12"/>
  <c r="F763" i="12" l="1"/>
  <c r="G763" i="12"/>
  <c r="E763" i="12"/>
  <c r="Y763" i="12"/>
  <c r="AA763" i="12"/>
  <c r="D763" i="12" s="1"/>
  <c r="Z763" i="12"/>
  <c r="C764" i="12"/>
  <c r="C765" i="12" l="1"/>
  <c r="E764" i="12"/>
  <c r="Z764" i="12"/>
  <c r="F764" i="12"/>
  <c r="AA764" i="12"/>
  <c r="D764" i="12" s="1"/>
  <c r="Y764" i="12"/>
  <c r="G764" i="12"/>
  <c r="AA765" i="12" l="1"/>
  <c r="D765" i="12" s="1"/>
  <c r="C766" i="12"/>
  <c r="G765" i="12"/>
  <c r="E765" i="12"/>
  <c r="Y765" i="12"/>
  <c r="Z765" i="12"/>
  <c r="F765" i="12"/>
  <c r="G766" i="12" l="1"/>
  <c r="AA766" i="12"/>
  <c r="D766" i="12" s="1"/>
  <c r="C767" i="12"/>
  <c r="F766" i="12"/>
  <c r="Z766" i="12"/>
  <c r="E766" i="12"/>
  <c r="Y766" i="12"/>
  <c r="F767" i="12" l="1"/>
  <c r="G767" i="12"/>
  <c r="Z767" i="12"/>
  <c r="AA767" i="12"/>
  <c r="D767" i="12" s="1"/>
  <c r="C768" i="12"/>
  <c r="E767" i="12"/>
  <c r="Y767" i="12"/>
  <c r="F768" i="12" l="1"/>
  <c r="E768" i="12"/>
  <c r="C769" i="12"/>
  <c r="AA768" i="12"/>
  <c r="D768" i="12" s="1"/>
  <c r="G768" i="12"/>
  <c r="Z768" i="12"/>
  <c r="Y768" i="12"/>
  <c r="Y769" i="12" l="1"/>
  <c r="AA769" i="12"/>
  <c r="D769" i="12" s="1"/>
  <c r="Z769" i="12"/>
  <c r="G769" i="12"/>
  <c r="F769" i="12"/>
  <c r="E769" i="12"/>
  <c r="C770" i="12"/>
  <c r="G770" i="12" l="1"/>
  <c r="F770" i="12"/>
  <c r="AA770" i="12"/>
  <c r="D770" i="12" s="1"/>
  <c r="C771" i="12"/>
  <c r="Y770" i="12"/>
  <c r="E770" i="12"/>
  <c r="Z770" i="12"/>
  <c r="Z771" i="12" l="1"/>
  <c r="C772" i="12"/>
  <c r="E771" i="12"/>
  <c r="G771" i="12"/>
  <c r="AA771" i="12"/>
  <c r="D771" i="12" s="1"/>
  <c r="F771" i="12"/>
  <c r="Y771" i="12"/>
  <c r="G772" i="12" l="1"/>
  <c r="C773" i="12"/>
  <c r="AA772" i="12"/>
  <c r="D772" i="12" s="1"/>
  <c r="Y772" i="12"/>
  <c r="Z772" i="12"/>
  <c r="E772" i="12"/>
  <c r="F772" i="12"/>
  <c r="Y773" i="12" l="1"/>
  <c r="Z773" i="12"/>
  <c r="C774" i="12"/>
  <c r="E773" i="12"/>
  <c r="AA773" i="12"/>
  <c r="D773" i="12" s="1"/>
  <c r="G773" i="12"/>
  <c r="F773" i="12"/>
  <c r="G774" i="12" l="1"/>
  <c r="Z774" i="12"/>
  <c r="F774" i="12"/>
  <c r="E774" i="12"/>
  <c r="C775" i="12"/>
  <c r="Y774" i="12"/>
  <c r="AA774" i="12"/>
  <c r="D774" i="12" s="1"/>
  <c r="Y775" i="12" l="1"/>
  <c r="E775" i="12"/>
  <c r="C776" i="12"/>
  <c r="G775" i="12"/>
  <c r="AA775" i="12"/>
  <c r="D775" i="12" s="1"/>
  <c r="F775" i="12"/>
  <c r="Z775" i="12"/>
  <c r="G776" i="12" l="1"/>
  <c r="F776" i="12"/>
  <c r="E776" i="12"/>
  <c r="AA776" i="12"/>
  <c r="D776" i="12" s="1"/>
  <c r="Z776" i="12"/>
  <c r="C777" i="12"/>
  <c r="Y776" i="12"/>
  <c r="F777" i="12" l="1"/>
  <c r="AA777" i="12"/>
  <c r="D777" i="12" s="1"/>
  <c r="Y777" i="12"/>
  <c r="C778" i="12"/>
  <c r="Z777" i="12"/>
  <c r="G777" i="12"/>
  <c r="E777" i="12"/>
  <c r="Z778" i="12" l="1"/>
  <c r="C779" i="12"/>
  <c r="G778" i="12"/>
  <c r="AA778" i="12"/>
  <c r="D778" i="12" s="1"/>
  <c r="E778" i="12"/>
  <c r="Y778" i="12"/>
  <c r="F778" i="12"/>
  <c r="Z779" i="12" l="1"/>
  <c r="Y779" i="12"/>
  <c r="E779" i="12"/>
  <c r="C780" i="12"/>
  <c r="F779" i="12"/>
  <c r="AA779" i="12"/>
  <c r="D779" i="12" s="1"/>
  <c r="G779" i="12"/>
  <c r="AA780" i="12" l="1"/>
  <c r="D780" i="12" s="1"/>
  <c r="G780" i="12"/>
  <c r="F780" i="12"/>
  <c r="C781" i="12"/>
  <c r="Z780" i="12"/>
  <c r="E780" i="12"/>
  <c r="Y780" i="12"/>
  <c r="C782" i="12" l="1"/>
  <c r="F781" i="12"/>
  <c r="E781" i="12"/>
  <c r="Y781" i="12"/>
  <c r="AA781" i="12"/>
  <c r="D781" i="12" s="1"/>
  <c r="G781" i="12"/>
  <c r="Z781" i="12"/>
  <c r="F782" i="12" l="1"/>
  <c r="C783" i="12"/>
  <c r="Z782" i="12"/>
  <c r="Y782" i="12"/>
  <c r="AA782" i="12"/>
  <c r="D782" i="12" s="1"/>
  <c r="G782" i="12"/>
  <c r="E782" i="12"/>
  <c r="Y783" i="12" l="1"/>
  <c r="C784" i="12"/>
  <c r="Z783" i="12"/>
  <c r="F783" i="12"/>
  <c r="AA783" i="12"/>
  <c r="D783" i="12" s="1"/>
  <c r="E783" i="12"/>
  <c r="G783" i="12"/>
  <c r="E784" i="12" l="1"/>
  <c r="AA784" i="12"/>
  <c r="D784" i="12" s="1"/>
  <c r="Z784" i="12"/>
  <c r="G784" i="12"/>
  <c r="C785" i="12"/>
  <c r="F784" i="12"/>
  <c r="Y784" i="12"/>
  <c r="Y785" i="12" l="1"/>
  <c r="F785" i="12"/>
  <c r="E785" i="12"/>
  <c r="AA785" i="12"/>
  <c r="D785" i="12" s="1"/>
  <c r="C786" i="12"/>
  <c r="Z785" i="12"/>
  <c r="G785" i="12"/>
  <c r="F786" i="12" l="1"/>
  <c r="Y786" i="12"/>
  <c r="Z786" i="12"/>
  <c r="AA786" i="12"/>
  <c r="D786" i="12" s="1"/>
  <c r="G786" i="12"/>
  <c r="C787" i="12"/>
  <c r="E786" i="12"/>
  <c r="Z787" i="12" l="1"/>
  <c r="G787" i="12"/>
  <c r="C788" i="12"/>
  <c r="F787" i="12"/>
  <c r="AA787" i="12"/>
  <c r="D787" i="12" s="1"/>
  <c r="E787" i="12"/>
  <c r="Y787" i="12"/>
  <c r="F788" i="12" l="1"/>
  <c r="Y788" i="12"/>
  <c r="G788" i="12"/>
  <c r="Z788" i="12"/>
  <c r="AA788" i="12"/>
  <c r="D788" i="12" s="1"/>
  <c r="E788" i="12"/>
  <c r="C789" i="12"/>
  <c r="C790" i="12" l="1"/>
  <c r="Y789" i="12"/>
  <c r="AA789" i="12"/>
  <c r="D789" i="12" s="1"/>
  <c r="F789" i="12"/>
  <c r="G789" i="12"/>
  <c r="Z789" i="12"/>
  <c r="E789" i="12"/>
  <c r="Z790" i="12" l="1"/>
  <c r="C791" i="12"/>
  <c r="AA790" i="12"/>
  <c r="D790" i="12" s="1"/>
  <c r="F790" i="12"/>
  <c r="G790" i="12"/>
  <c r="E790" i="12"/>
  <c r="Y790" i="12"/>
  <c r="G791" i="12" l="1"/>
  <c r="F791" i="12"/>
  <c r="Y791" i="12"/>
  <c r="Z791" i="12"/>
  <c r="C792" i="12"/>
  <c r="E791" i="12"/>
  <c r="AA791" i="12"/>
  <c r="D791" i="12" s="1"/>
  <c r="Y792" i="12" l="1"/>
  <c r="G792" i="12"/>
  <c r="AA792" i="12"/>
  <c r="D792" i="12" s="1"/>
  <c r="F792" i="12"/>
  <c r="C793" i="12"/>
  <c r="E792" i="12"/>
  <c r="Z792" i="12"/>
  <c r="C794" i="12" l="1"/>
  <c r="Z793" i="12"/>
  <c r="AA793" i="12"/>
  <c r="D793" i="12" s="1"/>
  <c r="G793" i="12"/>
  <c r="F793" i="12"/>
  <c r="Y793" i="12"/>
  <c r="E793" i="12"/>
  <c r="F794" i="12" l="1"/>
  <c r="G794" i="12"/>
  <c r="AA794" i="12"/>
  <c r="D794" i="12" s="1"/>
  <c r="Y794" i="12"/>
  <c r="C795" i="12"/>
  <c r="Z794" i="12"/>
  <c r="E794" i="12"/>
  <c r="F795" i="12" l="1"/>
  <c r="G795" i="12"/>
  <c r="E795" i="12"/>
  <c r="C796" i="12"/>
  <c r="Y795" i="12"/>
  <c r="Z795" i="12"/>
  <c r="AA795" i="12"/>
  <c r="D795" i="12" s="1"/>
  <c r="Y796" i="12" l="1"/>
  <c r="F796" i="12"/>
  <c r="C797" i="12"/>
  <c r="E796" i="12"/>
  <c r="G796" i="12"/>
  <c r="Z796" i="12"/>
  <c r="AA796" i="12"/>
  <c r="D796" i="12" s="1"/>
  <c r="Y797" i="12" l="1"/>
  <c r="G797" i="12"/>
  <c r="F797" i="12"/>
  <c r="AA797" i="12"/>
  <c r="D797" i="12" s="1"/>
  <c r="E797" i="12"/>
  <c r="C798" i="12"/>
  <c r="Z797" i="12"/>
  <c r="AA798" i="12" l="1"/>
  <c r="D798" i="12" s="1"/>
  <c r="G798" i="12"/>
  <c r="F798" i="12"/>
  <c r="C799" i="12"/>
  <c r="Z798" i="12"/>
  <c r="E798" i="12"/>
  <c r="Y798" i="12"/>
  <c r="C800" i="12" l="1"/>
  <c r="AA799" i="12"/>
  <c r="D799" i="12" s="1"/>
  <c r="G799" i="12"/>
  <c r="F799" i="12"/>
  <c r="Z799" i="12"/>
  <c r="E799" i="12"/>
  <c r="Y799" i="12"/>
  <c r="E800" i="12" l="1"/>
  <c r="G800" i="12"/>
  <c r="C801" i="12"/>
  <c r="AA800" i="12"/>
  <c r="D800" i="12" s="1"/>
  <c r="F800" i="12"/>
  <c r="Y800" i="12"/>
  <c r="Z800" i="12"/>
  <c r="Y801" i="12" l="1"/>
  <c r="C802" i="12"/>
  <c r="E801" i="12"/>
  <c r="G801" i="12"/>
  <c r="AA801" i="12"/>
  <c r="D801" i="12" s="1"/>
  <c r="Z801" i="12"/>
  <c r="F801" i="12"/>
  <c r="G802" i="12" l="1"/>
  <c r="C803" i="12"/>
  <c r="F802" i="12"/>
  <c r="Z802" i="12"/>
  <c r="Y802" i="12"/>
  <c r="E802" i="12"/>
  <c r="AA802" i="12"/>
  <c r="D802" i="12" s="1"/>
  <c r="Y803" i="12" l="1"/>
  <c r="E803" i="12"/>
  <c r="Z803" i="12"/>
  <c r="F803" i="12"/>
  <c r="G803" i="12"/>
  <c r="C804" i="12"/>
  <c r="AA803" i="12"/>
  <c r="D803" i="12" s="1"/>
  <c r="E804" i="12" l="1"/>
  <c r="C805" i="12"/>
  <c r="G804" i="12"/>
  <c r="F804" i="12"/>
  <c r="Y804" i="12"/>
  <c r="AA804" i="12"/>
  <c r="D804" i="12" s="1"/>
  <c r="Z804" i="12"/>
  <c r="G805" i="12" l="1"/>
  <c r="AA805" i="12"/>
  <c r="D805" i="12" s="1"/>
  <c r="C806" i="12"/>
  <c r="Z805" i="12"/>
  <c r="Y805" i="12"/>
  <c r="E805" i="12"/>
  <c r="F805" i="12"/>
  <c r="AA806" i="12" l="1"/>
  <c r="D806" i="12" s="1"/>
  <c r="Y806" i="12"/>
  <c r="F806" i="12"/>
  <c r="E806" i="12"/>
  <c r="G806" i="12"/>
  <c r="Z806" i="12"/>
  <c r="C807" i="12"/>
  <c r="Z807" i="12" l="1"/>
  <c r="F807" i="12"/>
  <c r="Y807" i="12"/>
  <c r="AA807" i="12"/>
  <c r="D807" i="12" s="1"/>
  <c r="E807" i="12"/>
  <c r="C808" i="12"/>
  <c r="G807" i="12"/>
  <c r="G808" i="12" l="1"/>
  <c r="F808" i="12"/>
  <c r="AA808" i="12"/>
  <c r="D808" i="12" s="1"/>
  <c r="Z808" i="12"/>
  <c r="C809" i="12"/>
  <c r="E808" i="12"/>
  <c r="Y808" i="12"/>
  <c r="E809" i="12" l="1"/>
  <c r="Y809" i="12"/>
  <c r="C810" i="12"/>
  <c r="F809" i="12"/>
  <c r="AA809" i="12"/>
  <c r="D809" i="12" s="1"/>
  <c r="Z809" i="12"/>
  <c r="G809" i="12"/>
  <c r="Z810" i="12" l="1"/>
  <c r="Y810" i="12"/>
  <c r="AA810" i="12"/>
  <c r="D810" i="12" s="1"/>
  <c r="F810" i="12"/>
  <c r="E810" i="12"/>
  <c r="G810" i="12"/>
  <c r="C811" i="12"/>
  <c r="E811" i="12" l="1"/>
  <c r="Z811" i="12"/>
  <c r="AA811" i="12"/>
  <c r="D811" i="12" s="1"/>
  <c r="F811" i="12"/>
  <c r="G811" i="12"/>
  <c r="Y811" i="12"/>
  <c r="C812" i="12"/>
  <c r="Y812" i="12" l="1"/>
  <c r="F812" i="12"/>
  <c r="E812" i="12"/>
  <c r="G812" i="12"/>
  <c r="AA812" i="12"/>
  <c r="D812" i="12" s="1"/>
  <c r="Z812" i="12"/>
  <c r="C813" i="12"/>
  <c r="G813" i="12" l="1"/>
  <c r="C814" i="12"/>
  <c r="Y813" i="12"/>
  <c r="Z813" i="12"/>
  <c r="AA813" i="12"/>
  <c r="D813" i="12" s="1"/>
  <c r="E813" i="12"/>
  <c r="F813" i="12"/>
  <c r="AA814" i="12" l="1"/>
  <c r="D814" i="12" s="1"/>
  <c r="E814" i="12"/>
  <c r="Y814" i="12"/>
  <c r="F814" i="12"/>
  <c r="G814" i="12"/>
  <c r="Z814" i="12"/>
  <c r="C815" i="12"/>
  <c r="C816" i="12" l="1"/>
  <c r="G815" i="12"/>
  <c r="Z815" i="12"/>
  <c r="AA815" i="12"/>
  <c r="D815" i="12" s="1"/>
  <c r="Y815" i="12"/>
  <c r="E815" i="12"/>
  <c r="F815" i="12"/>
  <c r="F816" i="12" l="1"/>
  <c r="C817" i="12"/>
  <c r="Y816" i="12"/>
  <c r="G816" i="12"/>
  <c r="Z816" i="12"/>
  <c r="E816" i="12"/>
  <c r="AA816" i="12"/>
  <c r="D816" i="12" s="1"/>
  <c r="G817" i="12" l="1"/>
  <c r="C818" i="12"/>
  <c r="Y817" i="12"/>
  <c r="AA817" i="12"/>
  <c r="D817" i="12" s="1"/>
  <c r="E817" i="12"/>
  <c r="F817" i="12"/>
  <c r="Z817" i="12"/>
  <c r="C819" i="12" l="1"/>
  <c r="F818" i="12"/>
  <c r="G818" i="12"/>
  <c r="Z818" i="12"/>
  <c r="E818" i="12"/>
  <c r="Y818" i="12"/>
  <c r="AA818" i="12"/>
  <c r="D818" i="12" s="1"/>
  <c r="F819" i="12" l="1"/>
  <c r="E819" i="12"/>
  <c r="Y819" i="12"/>
  <c r="AA819" i="12"/>
  <c r="D819" i="12" s="1"/>
  <c r="C820" i="12"/>
  <c r="G819" i="12"/>
  <c r="Z819" i="12"/>
  <c r="E820" i="12" l="1"/>
  <c r="Y820" i="12"/>
  <c r="Z820" i="12"/>
  <c r="G820" i="12"/>
  <c r="C821" i="12"/>
  <c r="AA820" i="12"/>
  <c r="D820" i="12" s="1"/>
  <c r="F820" i="12"/>
  <c r="E821" i="12" l="1"/>
  <c r="C822" i="12"/>
  <c r="Y821" i="12"/>
  <c r="AA821" i="12"/>
  <c r="D821" i="12" s="1"/>
  <c r="G821" i="12"/>
  <c r="Z821" i="12"/>
  <c r="F821" i="12"/>
  <c r="Y822" i="12" l="1"/>
  <c r="C823" i="12"/>
  <c r="AA822" i="12"/>
  <c r="D822" i="12" s="1"/>
  <c r="E822" i="12"/>
  <c r="G822" i="12"/>
  <c r="F822" i="12"/>
  <c r="Z822" i="12"/>
  <c r="E823" i="12" l="1"/>
  <c r="F823" i="12"/>
  <c r="AA823" i="12"/>
  <c r="D823" i="12" s="1"/>
  <c r="Z823" i="12"/>
  <c r="Y823" i="12"/>
  <c r="G823" i="12"/>
  <c r="C824" i="12"/>
  <c r="AA824" i="12" l="1"/>
  <c r="D824" i="12" s="1"/>
  <c r="Y824" i="12"/>
  <c r="E824" i="12"/>
  <c r="C825" i="12"/>
  <c r="F824" i="12"/>
  <c r="Z824" i="12"/>
  <c r="G824" i="12"/>
  <c r="C826" i="12" l="1"/>
  <c r="F825" i="12"/>
  <c r="E825" i="12"/>
  <c r="Z825" i="12"/>
  <c r="G825" i="12"/>
  <c r="Y825" i="12"/>
  <c r="AA825" i="12"/>
  <c r="D825" i="12" s="1"/>
  <c r="G826" i="12" l="1"/>
  <c r="E826" i="12"/>
  <c r="C827" i="12"/>
  <c r="Z826" i="12"/>
  <c r="AA826" i="12"/>
  <c r="D826" i="12" s="1"/>
  <c r="F826" i="12"/>
  <c r="Y826" i="12"/>
  <c r="Y827" i="12" l="1"/>
  <c r="Z827" i="12"/>
  <c r="G827" i="12"/>
  <c r="AA827" i="12"/>
  <c r="D827" i="12" s="1"/>
  <c r="E827" i="12"/>
  <c r="C828" i="12"/>
  <c r="F827" i="12"/>
  <c r="G828" i="12" l="1"/>
  <c r="Z828" i="12"/>
  <c r="C829" i="12"/>
  <c r="E828" i="12"/>
  <c r="Y828" i="12"/>
  <c r="AA828" i="12"/>
  <c r="D828" i="12" s="1"/>
  <c r="F828" i="12"/>
  <c r="F829" i="12" l="1"/>
  <c r="C830" i="12"/>
  <c r="AA829" i="12"/>
  <c r="D829" i="12" s="1"/>
  <c r="E829" i="12"/>
  <c r="Z829" i="12"/>
  <c r="G829" i="12"/>
  <c r="Y829" i="12"/>
  <c r="E830" i="12" l="1"/>
  <c r="AA830" i="12"/>
  <c r="D830" i="12" s="1"/>
  <c r="F830" i="12"/>
  <c r="G830" i="12"/>
  <c r="Z830" i="12"/>
  <c r="C831" i="12"/>
  <c r="Y830" i="12"/>
  <c r="E831" i="12" l="1"/>
  <c r="AA831" i="12"/>
  <c r="D831" i="12" s="1"/>
  <c r="Z831" i="12"/>
  <c r="Y831" i="12"/>
  <c r="G831" i="12"/>
  <c r="F831" i="12"/>
  <c r="C832" i="12"/>
  <c r="C833" i="12" l="1"/>
  <c r="Y832" i="12"/>
  <c r="G832" i="12"/>
  <c r="AA832" i="12"/>
  <c r="D832" i="12" s="1"/>
  <c r="F832" i="12"/>
  <c r="E832" i="12"/>
  <c r="Z832" i="12"/>
  <c r="E833" i="12" l="1"/>
  <c r="C834" i="12"/>
  <c r="Y833" i="12"/>
  <c r="Z833" i="12"/>
  <c r="AA833" i="12"/>
  <c r="D833" i="12" s="1"/>
  <c r="G833" i="12"/>
  <c r="F833" i="12"/>
  <c r="C835" i="12" l="1"/>
  <c r="E834" i="12"/>
  <c r="Y834" i="12"/>
  <c r="Z834" i="12"/>
  <c r="G834" i="12"/>
  <c r="AA834" i="12"/>
  <c r="D834" i="12" s="1"/>
  <c r="F834" i="12"/>
  <c r="Y835" i="12" l="1"/>
  <c r="G835" i="12"/>
  <c r="AA835" i="12"/>
  <c r="D835" i="12" s="1"/>
  <c r="C836" i="12"/>
  <c r="F835" i="12"/>
  <c r="E835" i="12"/>
  <c r="Z835" i="12"/>
  <c r="Y836" i="12" l="1"/>
  <c r="C837" i="12"/>
  <c r="AA836" i="12"/>
  <c r="D836" i="12" s="1"/>
  <c r="G836" i="12"/>
  <c r="F836" i="12"/>
  <c r="E836" i="12"/>
  <c r="Z836" i="12"/>
  <c r="Z837" i="12" l="1"/>
  <c r="Y837" i="12"/>
  <c r="C838" i="12"/>
  <c r="E837" i="12"/>
  <c r="F837" i="12"/>
  <c r="AA837" i="12"/>
  <c r="D837" i="12" s="1"/>
  <c r="G837" i="12"/>
  <c r="E838" i="12" l="1"/>
  <c r="C839" i="12"/>
  <c r="F838" i="12"/>
  <c r="Y838" i="12"/>
  <c r="Z838" i="12"/>
  <c r="AA838" i="12"/>
  <c r="D838" i="12" s="1"/>
  <c r="G838" i="12"/>
  <c r="G839" i="12" l="1"/>
  <c r="F839" i="12"/>
  <c r="E839" i="12"/>
  <c r="Z839" i="12"/>
  <c r="AA839" i="12"/>
  <c r="D839" i="12" s="1"/>
  <c r="C840" i="12"/>
  <c r="Y839" i="12"/>
  <c r="E840" i="12" l="1"/>
  <c r="C841" i="12"/>
  <c r="G840" i="12"/>
  <c r="AA840" i="12"/>
  <c r="D840" i="12" s="1"/>
  <c r="F840" i="12"/>
  <c r="Z840" i="12"/>
  <c r="Y840" i="12"/>
  <c r="Y841" i="12" l="1"/>
  <c r="Z841" i="12"/>
  <c r="F841" i="12"/>
  <c r="C842" i="12"/>
  <c r="G841" i="12"/>
  <c r="E841" i="12"/>
  <c r="AA841" i="12"/>
  <c r="D841" i="12" s="1"/>
  <c r="Z842" i="12" l="1"/>
  <c r="C843" i="12"/>
  <c r="Y842" i="12"/>
  <c r="E842" i="12"/>
  <c r="AA842" i="12"/>
  <c r="D842" i="12" s="1"/>
  <c r="F842" i="12"/>
  <c r="G842" i="12"/>
  <c r="G843" i="12" l="1"/>
  <c r="AA843" i="12"/>
  <c r="D843" i="12" s="1"/>
  <c r="Y843" i="12"/>
  <c r="Z843" i="12"/>
  <c r="C844" i="12"/>
  <c r="F843" i="12"/>
  <c r="E843" i="12"/>
  <c r="G844" i="12" l="1"/>
  <c r="AA844" i="12"/>
  <c r="D844" i="12" s="1"/>
  <c r="Y844" i="12"/>
  <c r="Z844" i="12"/>
  <c r="E844" i="12"/>
  <c r="F844" i="12"/>
  <c r="C845" i="12"/>
  <c r="C846" i="12" l="1"/>
  <c r="E845" i="12"/>
  <c r="G845" i="12"/>
  <c r="F845" i="12"/>
  <c r="AA845" i="12"/>
  <c r="D845" i="12" s="1"/>
  <c r="Y845" i="12"/>
  <c r="Z845" i="12"/>
  <c r="G846" i="12" l="1"/>
  <c r="E846" i="12"/>
  <c r="Z846" i="12"/>
  <c r="Y846" i="12"/>
  <c r="AA846" i="12"/>
  <c r="D846" i="12" s="1"/>
  <c r="C847" i="12"/>
  <c r="F846" i="12"/>
  <c r="C848" i="12" l="1"/>
  <c r="E847" i="12"/>
  <c r="Z847" i="12"/>
  <c r="F847" i="12"/>
  <c r="AA847" i="12"/>
  <c r="D847" i="12" s="1"/>
  <c r="G847" i="12"/>
  <c r="Y847" i="12"/>
  <c r="Y848" i="12" l="1"/>
  <c r="F848" i="12"/>
  <c r="E848" i="12"/>
  <c r="AA848" i="12"/>
  <c r="D848" i="12" s="1"/>
  <c r="G848" i="12"/>
  <c r="C849" i="12"/>
  <c r="Z848" i="12"/>
  <c r="C850" i="12" l="1"/>
  <c r="E849" i="12"/>
  <c r="F849" i="12"/>
  <c r="Z849" i="12"/>
  <c r="AA849" i="12"/>
  <c r="D849" i="12" s="1"/>
  <c r="G849" i="12"/>
  <c r="Y849" i="12"/>
  <c r="G850" i="12" l="1"/>
  <c r="Y850" i="12"/>
  <c r="C851" i="12"/>
  <c r="E850" i="12"/>
  <c r="Z850" i="12"/>
  <c r="AA850" i="12"/>
  <c r="D850" i="12" s="1"/>
  <c r="F850" i="12"/>
  <c r="AA851" i="12" l="1"/>
  <c r="D851" i="12" s="1"/>
  <c r="C852" i="12"/>
  <c r="Z851" i="12"/>
  <c r="G851" i="12"/>
  <c r="Y851" i="12"/>
  <c r="E851" i="12"/>
  <c r="F851" i="12"/>
  <c r="C853" i="12" l="1"/>
  <c r="AA852" i="12"/>
  <c r="D852" i="12" s="1"/>
  <c r="E852" i="12"/>
  <c r="G852" i="12"/>
  <c r="F852" i="12"/>
  <c r="Y852" i="12"/>
  <c r="Z852" i="12"/>
  <c r="F853" i="12" l="1"/>
  <c r="Y853" i="12"/>
  <c r="AA853" i="12"/>
  <c r="D853" i="12" s="1"/>
  <c r="G853" i="12"/>
  <c r="E853" i="12"/>
  <c r="C854" i="12"/>
  <c r="Z853" i="12"/>
  <c r="E854" i="12" l="1"/>
  <c r="AA854" i="12"/>
  <c r="D854" i="12" s="1"/>
  <c r="F854" i="12"/>
  <c r="C855" i="12"/>
  <c r="Z854" i="12"/>
  <c r="Y854" i="12"/>
  <c r="G854" i="12"/>
  <c r="G855" i="12" l="1"/>
  <c r="F855" i="12"/>
  <c r="Z855" i="12"/>
  <c r="AA855" i="12"/>
  <c r="D855" i="12" s="1"/>
  <c r="E855" i="12"/>
  <c r="C856" i="12"/>
  <c r="Y855" i="12"/>
  <c r="E856" i="12" l="1"/>
  <c r="Z856" i="12"/>
  <c r="F856" i="12"/>
  <c r="G856" i="12"/>
  <c r="Y856" i="12"/>
  <c r="AA856" i="12"/>
  <c r="D856" i="12" s="1"/>
  <c r="C857" i="12"/>
  <c r="C858" i="12" l="1"/>
  <c r="E857" i="12"/>
  <c r="AA857" i="12"/>
  <c r="D857" i="12" s="1"/>
  <c r="Z857" i="12"/>
  <c r="F857" i="12"/>
  <c r="Y857" i="12"/>
  <c r="G857" i="12"/>
  <c r="Y858" i="12" l="1"/>
  <c r="F858" i="12"/>
  <c r="AA858" i="12"/>
  <c r="D858" i="12" s="1"/>
  <c r="G858" i="12"/>
  <c r="C859" i="12"/>
  <c r="E858" i="12"/>
  <c r="Z858" i="12"/>
  <c r="G859" i="12" l="1"/>
  <c r="Y859" i="12"/>
  <c r="AA859" i="12"/>
  <c r="D859" i="12" s="1"/>
  <c r="F859" i="12"/>
  <c r="E859" i="12"/>
  <c r="C860" i="12"/>
  <c r="Z859" i="12"/>
  <c r="F860" i="12" l="1"/>
  <c r="E860" i="12"/>
  <c r="AA860" i="12"/>
  <c r="D860" i="12" s="1"/>
  <c r="Z860" i="12"/>
  <c r="C861" i="12"/>
  <c r="Y860" i="12"/>
  <c r="G860" i="12"/>
  <c r="Y861" i="12" l="1"/>
  <c r="E861" i="12"/>
  <c r="AA861" i="12"/>
  <c r="D861" i="12" s="1"/>
  <c r="C862" i="12"/>
  <c r="F861" i="12"/>
  <c r="Z861" i="12"/>
  <c r="G861" i="12"/>
  <c r="E862" i="12" l="1"/>
  <c r="C863" i="12"/>
  <c r="AA862" i="12"/>
  <c r="D862" i="12" s="1"/>
  <c r="F862" i="12"/>
  <c r="Y862" i="12"/>
  <c r="Z862" i="12"/>
  <c r="G862" i="12"/>
  <c r="Y863" i="12" l="1"/>
  <c r="G863" i="12"/>
  <c r="AA863" i="12"/>
  <c r="D863" i="12" s="1"/>
  <c r="E863" i="12"/>
  <c r="C864" i="12"/>
  <c r="F863" i="12"/>
  <c r="Z863" i="12"/>
  <c r="E864" i="12" l="1"/>
  <c r="Y864" i="12"/>
  <c r="Z864" i="12"/>
  <c r="G864" i="12"/>
  <c r="C865" i="12"/>
  <c r="F864" i="12"/>
  <c r="AA864" i="12"/>
  <c r="D864" i="12" s="1"/>
  <c r="F865" i="12" l="1"/>
  <c r="AA865" i="12"/>
  <c r="D865" i="12" s="1"/>
  <c r="E865" i="12"/>
  <c r="Z865" i="12"/>
  <c r="Y865" i="12"/>
  <c r="G865" i="12"/>
  <c r="C866" i="12"/>
  <c r="Z866" i="12" l="1"/>
  <c r="E866" i="12"/>
  <c r="Y866" i="12"/>
  <c r="AA866" i="12"/>
  <c r="D866" i="12" s="1"/>
  <c r="F866" i="12"/>
  <c r="G866" i="12"/>
  <c r="C867" i="12"/>
  <c r="F867" i="12" l="1"/>
  <c r="G867" i="12"/>
  <c r="E867" i="12"/>
  <c r="Y867" i="12"/>
  <c r="Z867" i="12"/>
  <c r="AA867" i="12"/>
  <c r="D867" i="12" s="1"/>
  <c r="C868" i="12"/>
  <c r="C869" i="12" l="1"/>
  <c r="G868" i="12"/>
  <c r="Y868" i="12"/>
  <c r="AA868" i="12"/>
  <c r="D868" i="12" s="1"/>
  <c r="F868" i="12"/>
  <c r="E868" i="12"/>
  <c r="Z868" i="12"/>
  <c r="Z869" i="12" l="1"/>
  <c r="G869" i="12"/>
  <c r="AA869" i="12"/>
  <c r="D869" i="12" s="1"/>
  <c r="Y869" i="12"/>
  <c r="F869" i="12"/>
  <c r="E869" i="12"/>
  <c r="C870" i="12"/>
  <c r="G870" i="12" l="1"/>
  <c r="Y870" i="12"/>
  <c r="AA870" i="12"/>
  <c r="D870" i="12" s="1"/>
  <c r="E870" i="12"/>
  <c r="Z870" i="12"/>
  <c r="F870" i="12"/>
  <c r="C871" i="12"/>
  <c r="Y871" i="12" l="1"/>
  <c r="AA871" i="12"/>
  <c r="D871" i="12" s="1"/>
  <c r="Z871" i="12"/>
  <c r="G871" i="12"/>
  <c r="F871" i="12"/>
  <c r="E871" i="12"/>
  <c r="C872" i="12"/>
  <c r="Y872" i="12" l="1"/>
  <c r="Z872" i="12"/>
  <c r="F872" i="12"/>
  <c r="G872" i="12"/>
  <c r="E872" i="12"/>
  <c r="C873" i="12"/>
  <c r="AA872" i="12"/>
  <c r="D872" i="12" s="1"/>
  <c r="Y873" i="12" l="1"/>
  <c r="Z873" i="12"/>
  <c r="E873" i="12"/>
  <c r="C874" i="12"/>
  <c r="G873" i="12"/>
  <c r="AA873" i="12"/>
  <c r="D873" i="12" s="1"/>
  <c r="F873" i="12"/>
  <c r="F874" i="12" l="1"/>
  <c r="E874" i="12"/>
  <c r="Z874" i="12"/>
  <c r="C875" i="12"/>
  <c r="G874" i="12"/>
  <c r="Y874" i="12"/>
  <c r="AA874" i="12"/>
  <c r="D874" i="12" s="1"/>
  <c r="E875" i="12" l="1"/>
  <c r="C876" i="12"/>
  <c r="F875" i="12"/>
  <c r="Y875" i="12"/>
  <c r="AA875" i="12"/>
  <c r="D875" i="12" s="1"/>
  <c r="Z875" i="12"/>
  <c r="G875" i="12"/>
  <c r="F876" i="12" l="1"/>
  <c r="Y876" i="12"/>
  <c r="AA876" i="12"/>
  <c r="D876" i="12" s="1"/>
  <c r="E876" i="12"/>
  <c r="C877" i="12"/>
  <c r="G876" i="12"/>
  <c r="Z876" i="12"/>
  <c r="Y877" i="12" l="1"/>
  <c r="G877" i="12"/>
  <c r="Z877" i="12"/>
  <c r="E877" i="12"/>
  <c r="F877" i="12"/>
  <c r="AA877" i="12"/>
  <c r="D877" i="12" s="1"/>
  <c r="C878" i="12"/>
  <c r="G878" i="12" l="1"/>
  <c r="Y878" i="12"/>
  <c r="AA878" i="12"/>
  <c r="D878" i="12" s="1"/>
  <c r="Z878" i="12"/>
  <c r="E878" i="12"/>
  <c r="C879" i="12"/>
  <c r="F878" i="12"/>
  <c r="G879" i="12" l="1"/>
  <c r="F879" i="12"/>
  <c r="C880" i="12"/>
  <c r="AA879" i="12"/>
  <c r="D879" i="12" s="1"/>
  <c r="Y879" i="12"/>
  <c r="Z879" i="12"/>
  <c r="E879" i="12"/>
  <c r="G880" i="12" l="1"/>
  <c r="Z880" i="12"/>
  <c r="C881" i="12"/>
  <c r="AA880" i="12"/>
  <c r="D880" i="12" s="1"/>
  <c r="E880" i="12"/>
  <c r="Y880" i="12"/>
  <c r="F880" i="12"/>
  <c r="Z881" i="12" l="1"/>
  <c r="E881" i="12"/>
  <c r="C882" i="12"/>
  <c r="F881" i="12"/>
  <c r="AA881" i="12"/>
  <c r="D881" i="12" s="1"/>
  <c r="G881" i="12"/>
  <c r="Y881" i="12"/>
  <c r="F882" i="12" l="1"/>
  <c r="G882" i="12"/>
  <c r="Z882" i="12"/>
  <c r="E882" i="12"/>
  <c r="C883" i="12"/>
  <c r="Y882" i="12"/>
  <c r="AA882" i="12"/>
  <c r="D882" i="12" s="1"/>
  <c r="Y883" i="12" l="1"/>
  <c r="C884" i="12"/>
  <c r="G883" i="12"/>
  <c r="AA883" i="12"/>
  <c r="D883" i="12" s="1"/>
  <c r="Z883" i="12"/>
  <c r="F883" i="12"/>
  <c r="E883" i="12"/>
  <c r="AA884" i="12" l="1"/>
  <c r="D884" i="12" s="1"/>
  <c r="F884" i="12"/>
  <c r="E884" i="12"/>
  <c r="Y884" i="12"/>
  <c r="C885" i="12"/>
  <c r="Z884" i="12"/>
  <c r="G884" i="12"/>
  <c r="AA885" i="12" l="1"/>
  <c r="D885" i="12" s="1"/>
  <c r="C886" i="12"/>
  <c r="Z885" i="12"/>
  <c r="E885" i="12"/>
  <c r="G885" i="12"/>
  <c r="Y885" i="12"/>
  <c r="F885" i="12"/>
  <c r="Y886" i="12" l="1"/>
  <c r="E886" i="12"/>
  <c r="G886" i="12"/>
  <c r="F886" i="12"/>
  <c r="AA886" i="12"/>
  <c r="D886" i="12" s="1"/>
  <c r="Z886" i="12"/>
  <c r="C887" i="12"/>
  <c r="Z887" i="12" l="1"/>
  <c r="Y887" i="12"/>
  <c r="E887" i="12"/>
  <c r="F887" i="12"/>
  <c r="G887" i="12"/>
  <c r="C888" i="12"/>
  <c r="AA887" i="12"/>
  <c r="D887" i="12" s="1"/>
  <c r="AA888" i="12" l="1"/>
  <c r="D888" i="12" s="1"/>
  <c r="G888" i="12"/>
  <c r="C889" i="12"/>
  <c r="Z888" i="12"/>
  <c r="E888" i="12"/>
  <c r="F888" i="12"/>
  <c r="Y888" i="12"/>
  <c r="F889" i="12" l="1"/>
  <c r="Y889" i="12"/>
  <c r="G889" i="12"/>
  <c r="E889" i="12"/>
  <c r="C890" i="12"/>
  <c r="AA889" i="12"/>
  <c r="D889" i="12" s="1"/>
  <c r="Z889" i="12"/>
  <c r="AA890" i="12" l="1"/>
  <c r="D890" i="12" s="1"/>
  <c r="C891" i="12"/>
  <c r="E890" i="12"/>
  <c r="Y890" i="12"/>
  <c r="F890" i="12"/>
  <c r="G890" i="12"/>
  <c r="Z890" i="12"/>
  <c r="Y891" i="12" l="1"/>
  <c r="F891" i="12"/>
  <c r="AA891" i="12"/>
  <c r="D891" i="12" s="1"/>
  <c r="C892" i="12"/>
  <c r="G891" i="12"/>
  <c r="Z891" i="12"/>
  <c r="E891" i="12"/>
  <c r="F892" i="12" l="1"/>
  <c r="Y892" i="12"/>
  <c r="Z892" i="12"/>
  <c r="AA892" i="12"/>
  <c r="D892" i="12" s="1"/>
  <c r="G892" i="12"/>
  <c r="E892" i="12"/>
  <c r="C893" i="12"/>
  <c r="E893" i="12" l="1"/>
  <c r="G893" i="12"/>
  <c r="AA893" i="12"/>
  <c r="D893" i="12" s="1"/>
  <c r="C894" i="12"/>
  <c r="F893" i="12"/>
  <c r="Y893" i="12"/>
  <c r="Z893" i="12"/>
  <c r="Y894" i="12" l="1"/>
  <c r="AA894" i="12"/>
  <c r="D894" i="12" s="1"/>
  <c r="E894" i="12"/>
  <c r="Z894" i="12"/>
  <c r="C895" i="12"/>
  <c r="F894" i="12"/>
  <c r="G894" i="12"/>
  <c r="G895" i="12" l="1"/>
  <c r="AA895" i="12"/>
  <c r="D895" i="12" s="1"/>
  <c r="E895" i="12"/>
  <c r="Y895" i="12"/>
  <c r="F895" i="12"/>
  <c r="Z895" i="12"/>
  <c r="C896" i="12"/>
  <c r="AA896" i="12" l="1"/>
  <c r="D896" i="12" s="1"/>
  <c r="Y896" i="12"/>
  <c r="Z896" i="12"/>
  <c r="E896" i="12"/>
  <c r="F896" i="12"/>
  <c r="C897" i="12"/>
  <c r="G896" i="12"/>
  <c r="Z897" i="12" l="1"/>
  <c r="AA897" i="12"/>
  <c r="D897" i="12" s="1"/>
  <c r="G897" i="12"/>
  <c r="E897" i="12"/>
  <c r="F897" i="12"/>
  <c r="C898" i="12"/>
  <c r="Y897" i="12"/>
  <c r="F898" i="12" l="1"/>
  <c r="E898" i="12"/>
  <c r="Y898" i="12"/>
  <c r="G898" i="12"/>
  <c r="AA898" i="12"/>
  <c r="D898" i="12" s="1"/>
  <c r="C899" i="12"/>
  <c r="Z898" i="12"/>
  <c r="E899" i="12" l="1"/>
  <c r="Y899" i="12"/>
  <c r="F899" i="12"/>
  <c r="C900" i="12"/>
  <c r="Z899" i="12"/>
  <c r="G899" i="12"/>
  <c r="AA899" i="12"/>
  <c r="D899" i="12" s="1"/>
  <c r="C901" i="12" l="1"/>
  <c r="Z900" i="12"/>
  <c r="Y900" i="12"/>
  <c r="G900" i="12"/>
  <c r="F900" i="12"/>
  <c r="E900" i="12"/>
  <c r="AA900" i="12"/>
  <c r="D900" i="12" s="1"/>
  <c r="F901" i="12" l="1"/>
  <c r="Y901" i="12"/>
  <c r="C902" i="12"/>
  <c r="G901" i="12"/>
  <c r="AA901" i="12"/>
  <c r="D901" i="12" s="1"/>
  <c r="E901" i="12"/>
  <c r="Z901" i="12"/>
  <c r="Z902" i="12" l="1"/>
  <c r="Y902" i="12"/>
  <c r="C903" i="12"/>
  <c r="F902" i="12"/>
  <c r="G902" i="12"/>
  <c r="E902" i="12"/>
  <c r="AA902" i="12"/>
  <c r="D902" i="12" s="1"/>
  <c r="AA903" i="12" l="1"/>
  <c r="D903" i="12" s="1"/>
  <c r="G903" i="12"/>
  <c r="C904" i="12"/>
  <c r="Z903" i="12"/>
  <c r="Y903" i="12"/>
  <c r="E903" i="12"/>
  <c r="F903" i="12"/>
  <c r="Z904" i="12" l="1"/>
  <c r="AA904" i="12"/>
  <c r="D904" i="12" s="1"/>
  <c r="E904" i="12"/>
  <c r="F904" i="12"/>
  <c r="C905" i="12"/>
  <c r="G904" i="12"/>
  <c r="Y904" i="12"/>
  <c r="Y905" i="12" l="1"/>
  <c r="E905" i="12"/>
  <c r="G905" i="12"/>
  <c r="F905" i="12"/>
  <c r="C906" i="12"/>
  <c r="AA905" i="12"/>
  <c r="D905" i="12" s="1"/>
  <c r="Z905" i="12"/>
  <c r="Z906" i="12" l="1"/>
  <c r="Y906" i="12"/>
  <c r="AA906" i="12"/>
  <c r="D906" i="12" s="1"/>
  <c r="C907" i="12"/>
  <c r="F906" i="12"/>
  <c r="G906" i="12"/>
  <c r="E906" i="12"/>
  <c r="F907" i="12" l="1"/>
  <c r="Z907" i="12"/>
  <c r="Y907" i="12"/>
  <c r="AA907" i="12"/>
  <c r="D907" i="12" s="1"/>
  <c r="G907" i="12"/>
  <c r="C908" i="12"/>
  <c r="E907" i="12"/>
  <c r="G908" i="12" l="1"/>
  <c r="F908" i="12"/>
  <c r="E908" i="12"/>
  <c r="AA908" i="12"/>
  <c r="D908" i="12" s="1"/>
  <c r="C909" i="12"/>
  <c r="Z908" i="12"/>
  <c r="Y908" i="12"/>
  <c r="Z909" i="12" l="1"/>
  <c r="F909" i="12"/>
  <c r="G909" i="12"/>
  <c r="E909" i="12"/>
  <c r="Y909" i="12"/>
  <c r="AA909" i="12"/>
  <c r="D909" i="12" s="1"/>
  <c r="C910" i="12"/>
  <c r="F910" i="12" l="1"/>
  <c r="Y910" i="12"/>
  <c r="C911" i="12"/>
  <c r="E910" i="12"/>
  <c r="Z910" i="12"/>
  <c r="G910" i="12"/>
  <c r="AA910" i="12"/>
  <c r="D910" i="12" s="1"/>
  <c r="F911" i="12" l="1"/>
  <c r="Y911" i="12"/>
  <c r="C912" i="12"/>
  <c r="E911" i="12"/>
  <c r="AA911" i="12"/>
  <c r="D911" i="12" s="1"/>
  <c r="Z911" i="12"/>
  <c r="G911" i="12"/>
  <c r="Z912" i="12" l="1"/>
  <c r="F912" i="12"/>
  <c r="Y912" i="12"/>
  <c r="AA912" i="12"/>
  <c r="D912" i="12" s="1"/>
  <c r="G912" i="12"/>
  <c r="C913" i="12"/>
  <c r="E912" i="12"/>
  <c r="Y913" i="12" l="1"/>
  <c r="C914" i="12"/>
  <c r="E913" i="12"/>
  <c r="AA913" i="12"/>
  <c r="D913" i="12" s="1"/>
  <c r="G913" i="12"/>
  <c r="F913" i="12"/>
  <c r="Z913" i="12"/>
  <c r="G914" i="12" l="1"/>
  <c r="E914" i="12"/>
  <c r="AA914" i="12"/>
  <c r="D914" i="12" s="1"/>
  <c r="C915" i="12"/>
  <c r="Y914" i="12"/>
  <c r="Z914" i="12"/>
  <c r="F914" i="12"/>
  <c r="F915" i="12" l="1"/>
  <c r="G915" i="12"/>
  <c r="Y915" i="12"/>
  <c r="E915" i="12"/>
  <c r="Z915" i="12"/>
  <c r="AA915" i="12"/>
  <c r="D915" i="12" s="1"/>
  <c r="C916" i="12"/>
  <c r="Y916" i="12" l="1"/>
  <c r="F916" i="12"/>
  <c r="AA916" i="12"/>
  <c r="D916" i="12" s="1"/>
  <c r="E916" i="12"/>
  <c r="G916" i="12"/>
  <c r="Z916" i="12"/>
  <c r="C917" i="12"/>
  <c r="C918" i="12" l="1"/>
  <c r="Z917" i="12"/>
  <c r="E917" i="12"/>
  <c r="G917" i="12"/>
  <c r="F917" i="12"/>
  <c r="AA917" i="12"/>
  <c r="D917" i="12" s="1"/>
  <c r="Y917" i="12"/>
  <c r="G918" i="12" l="1"/>
  <c r="C919" i="12"/>
  <c r="F918" i="12"/>
  <c r="AA918" i="12"/>
  <c r="D918" i="12" s="1"/>
  <c r="Z918" i="12"/>
  <c r="Y918" i="12"/>
  <c r="E918" i="12"/>
  <c r="AA919" i="12" l="1"/>
  <c r="D919" i="12" s="1"/>
  <c r="F919" i="12"/>
  <c r="G919" i="12"/>
  <c r="Y919" i="12"/>
  <c r="C920" i="12"/>
  <c r="Z919" i="12"/>
  <c r="E919" i="12"/>
  <c r="Y920" i="12" l="1"/>
  <c r="C921" i="12"/>
  <c r="G920" i="12"/>
  <c r="AA920" i="12"/>
  <c r="D920" i="12" s="1"/>
  <c r="E920" i="12"/>
  <c r="F920" i="12"/>
  <c r="Z920" i="12"/>
  <c r="Z921" i="12" l="1"/>
  <c r="G921" i="12"/>
  <c r="C922" i="12"/>
  <c r="E921" i="12"/>
  <c r="AA921" i="12"/>
  <c r="D921" i="12" s="1"/>
  <c r="F921" i="12"/>
  <c r="Y921" i="12"/>
  <c r="C923" i="12" l="1"/>
  <c r="AA922" i="12"/>
  <c r="D922" i="12" s="1"/>
  <c r="Y922" i="12"/>
  <c r="Z922" i="12"/>
  <c r="E922" i="12"/>
  <c r="F922" i="12"/>
  <c r="G922" i="12"/>
  <c r="C924" i="12" l="1"/>
  <c r="F923" i="12"/>
  <c r="G923" i="12"/>
  <c r="E923" i="12"/>
  <c r="AA923" i="12"/>
  <c r="D923" i="12" s="1"/>
  <c r="Y923" i="12"/>
  <c r="Z923" i="12"/>
  <c r="Z924" i="12" l="1"/>
  <c r="C925" i="12"/>
  <c r="Y924" i="12"/>
  <c r="F924" i="12"/>
  <c r="E924" i="12"/>
  <c r="AA924" i="12"/>
  <c r="D924" i="12" s="1"/>
  <c r="G924" i="12"/>
  <c r="F925" i="12" l="1"/>
  <c r="E925" i="12"/>
  <c r="G925" i="12"/>
  <c r="C926" i="12"/>
  <c r="AA925" i="12"/>
  <c r="D925" i="12" s="1"/>
  <c r="Z925" i="12"/>
  <c r="Y925" i="12"/>
  <c r="Y926" i="12" l="1"/>
  <c r="E926" i="12"/>
  <c r="AA926" i="12"/>
  <c r="D926" i="12" s="1"/>
  <c r="C927" i="12"/>
  <c r="G926" i="12"/>
  <c r="F926" i="12"/>
  <c r="Z926" i="12"/>
  <c r="E927" i="12" l="1"/>
  <c r="Y927" i="12"/>
  <c r="Z927" i="12"/>
  <c r="F927" i="12"/>
  <c r="G927" i="12"/>
  <c r="AA927" i="12"/>
  <c r="D927" i="12" s="1"/>
  <c r="C928" i="12"/>
  <c r="Y928" i="12" l="1"/>
  <c r="E928" i="12"/>
  <c r="AA928" i="12"/>
  <c r="D928" i="12" s="1"/>
  <c r="C929" i="12"/>
  <c r="Z928" i="12"/>
  <c r="G928" i="12"/>
  <c r="F928" i="12"/>
  <c r="C930" i="12" l="1"/>
  <c r="Y929" i="12"/>
  <c r="Z929" i="12"/>
  <c r="AA929" i="12"/>
  <c r="D929" i="12" s="1"/>
  <c r="F929" i="12"/>
  <c r="E929" i="12"/>
  <c r="G929" i="12"/>
  <c r="C931" i="12" l="1"/>
  <c r="F930" i="12"/>
  <c r="G930" i="12"/>
  <c r="E930" i="12"/>
  <c r="Y930" i="12"/>
  <c r="AA930" i="12"/>
  <c r="D930" i="12" s="1"/>
  <c r="Z930" i="12"/>
  <c r="Z931" i="12" l="1"/>
  <c r="E931" i="12"/>
  <c r="G931" i="12"/>
  <c r="Y931" i="12"/>
  <c r="F931" i="12"/>
  <c r="AA931" i="12"/>
  <c r="D931" i="12" s="1"/>
  <c r="C932" i="12"/>
  <c r="AA932" i="12" l="1"/>
  <c r="D932" i="12" s="1"/>
  <c r="Y932" i="12"/>
  <c r="Z932" i="12"/>
  <c r="F932" i="12"/>
  <c r="E932" i="12"/>
  <c r="C933" i="12"/>
  <c r="G932" i="12"/>
  <c r="F933" i="12" l="1"/>
  <c r="AA933" i="12"/>
  <c r="D933" i="12" s="1"/>
  <c r="G933" i="12"/>
  <c r="Z933" i="12"/>
  <c r="C934" i="12"/>
  <c r="Y933" i="12"/>
  <c r="E933" i="12"/>
  <c r="Z934" i="12" l="1"/>
  <c r="AA934" i="12"/>
  <c r="D934" i="12" s="1"/>
  <c r="C935" i="12"/>
  <c r="G934" i="12"/>
  <c r="Y934" i="12"/>
  <c r="E934" i="12"/>
  <c r="F934" i="12"/>
  <c r="F935" i="12" l="1"/>
  <c r="G935" i="12"/>
  <c r="C936" i="12"/>
  <c r="E935" i="12"/>
  <c r="Y935" i="12"/>
  <c r="AA935" i="12"/>
  <c r="D935" i="12" s="1"/>
  <c r="Z935" i="12"/>
  <c r="Z936" i="12" l="1"/>
  <c r="G936" i="12"/>
  <c r="C937" i="12"/>
  <c r="E936" i="12"/>
  <c r="Y936" i="12"/>
  <c r="F936" i="12"/>
  <c r="AA936" i="12"/>
  <c r="D936" i="12" s="1"/>
  <c r="Y937" i="12" l="1"/>
  <c r="E937" i="12"/>
  <c r="AA937" i="12"/>
  <c r="D937" i="12" s="1"/>
  <c r="C938" i="12"/>
  <c r="F937" i="12"/>
  <c r="G937" i="12"/>
  <c r="Z937" i="12"/>
  <c r="AA938" i="12" l="1"/>
  <c r="D938" i="12" s="1"/>
  <c r="G938" i="12"/>
  <c r="Y938" i="12"/>
  <c r="F938" i="12"/>
  <c r="Z938" i="12"/>
  <c r="E938" i="12"/>
  <c r="C939" i="12"/>
  <c r="C940" i="12" l="1"/>
  <c r="Z939" i="12"/>
  <c r="E939" i="12"/>
  <c r="F939" i="12"/>
  <c r="AA939" i="12"/>
  <c r="D939" i="12" s="1"/>
  <c r="Y939" i="12"/>
  <c r="G939" i="12"/>
  <c r="F940" i="12" l="1"/>
  <c r="AA940" i="12"/>
  <c r="D940" i="12" s="1"/>
  <c r="C941" i="12"/>
  <c r="Y940" i="12"/>
  <c r="G940" i="12"/>
  <c r="Z940" i="12"/>
  <c r="E940" i="12"/>
  <c r="AA941" i="12" l="1"/>
  <c r="D941" i="12" s="1"/>
  <c r="C942" i="12"/>
  <c r="F941" i="12"/>
  <c r="Y941" i="12"/>
  <c r="Z941" i="12"/>
  <c r="E941" i="12"/>
  <c r="G941" i="12"/>
  <c r="F942" i="12" l="1"/>
  <c r="E942" i="12"/>
  <c r="C943" i="12"/>
  <c r="G942" i="12"/>
  <c r="Z942" i="12"/>
  <c r="AA942" i="12"/>
  <c r="D942" i="12" s="1"/>
  <c r="Y942" i="12"/>
  <c r="F943" i="12" l="1"/>
  <c r="G943" i="12"/>
  <c r="Z943" i="12"/>
  <c r="E943" i="12"/>
  <c r="Y943" i="12"/>
  <c r="C944" i="12"/>
  <c r="AA943" i="12"/>
  <c r="D943" i="12" s="1"/>
  <c r="E944" i="12" l="1"/>
  <c r="Y944" i="12"/>
  <c r="AA944" i="12"/>
  <c r="D944" i="12" s="1"/>
  <c r="C945" i="12"/>
  <c r="G944" i="12"/>
  <c r="F944" i="12"/>
  <c r="Z944" i="12"/>
  <c r="Z945" i="12" l="1"/>
  <c r="Y945" i="12"/>
  <c r="E945" i="12"/>
  <c r="G945" i="12"/>
  <c r="F945" i="12"/>
  <c r="C946" i="12"/>
  <c r="AA945" i="12"/>
  <c r="D945" i="12" s="1"/>
  <c r="E946" i="12" l="1"/>
  <c r="AA946" i="12"/>
  <c r="D946" i="12" s="1"/>
  <c r="Y946" i="12"/>
  <c r="Z946" i="12"/>
  <c r="C947" i="12"/>
  <c r="G946" i="12"/>
  <c r="F946" i="12"/>
  <c r="E947" i="12" l="1"/>
  <c r="Z947" i="12"/>
  <c r="AA947" i="12"/>
  <c r="D947" i="12" s="1"/>
  <c r="Y947" i="12"/>
  <c r="C948" i="12"/>
  <c r="G947" i="12"/>
  <c r="F947" i="12"/>
  <c r="C949" i="12" l="1"/>
  <c r="AA948" i="12"/>
  <c r="D948" i="12" s="1"/>
  <c r="G948" i="12"/>
  <c r="E948" i="12"/>
  <c r="Z948" i="12"/>
  <c r="F948" i="12"/>
  <c r="Y948" i="12"/>
  <c r="Y949" i="12" l="1"/>
  <c r="E949" i="12"/>
  <c r="AA949" i="12"/>
  <c r="D949" i="12" s="1"/>
  <c r="G949" i="12"/>
  <c r="F949" i="12"/>
  <c r="Z949" i="12"/>
  <c r="C950" i="12"/>
  <c r="Y950" i="12" l="1"/>
  <c r="F950" i="12"/>
  <c r="C951" i="12"/>
  <c r="Z950" i="12"/>
  <c r="G950" i="12"/>
  <c r="AA950" i="12"/>
  <c r="D950" i="12" s="1"/>
  <c r="E950" i="12"/>
  <c r="G951" i="12" l="1"/>
  <c r="C952" i="12"/>
  <c r="Z951" i="12"/>
  <c r="AA951" i="12"/>
  <c r="D951" i="12" s="1"/>
  <c r="Y951" i="12"/>
  <c r="E951" i="12"/>
  <c r="F951" i="12"/>
  <c r="E952" i="12" l="1"/>
  <c r="F952" i="12"/>
  <c r="C953" i="12"/>
  <c r="G952" i="12"/>
  <c r="Z952" i="12"/>
  <c r="Y952" i="12"/>
  <c r="AA952" i="12"/>
  <c r="D952" i="12" s="1"/>
  <c r="G953" i="12" l="1"/>
  <c r="AA953" i="12"/>
  <c r="D953" i="12" s="1"/>
  <c r="C954" i="12"/>
  <c r="E953" i="12"/>
  <c r="Y953" i="12"/>
  <c r="F953" i="12"/>
  <c r="Z953" i="12"/>
  <c r="C955" i="12" l="1"/>
  <c r="Y954" i="12"/>
  <c r="F954" i="12"/>
  <c r="AA954" i="12"/>
  <c r="D954" i="12" s="1"/>
  <c r="E954" i="12"/>
  <c r="Z954" i="12"/>
  <c r="G954" i="12"/>
  <c r="Y955" i="12" l="1"/>
  <c r="E955" i="12"/>
  <c r="Z955" i="12"/>
  <c r="C956" i="12"/>
  <c r="F955" i="12"/>
  <c r="G955" i="12"/>
  <c r="AA955" i="12"/>
  <c r="D955" i="12" s="1"/>
  <c r="Y956" i="12" l="1"/>
  <c r="G956" i="12"/>
  <c r="C957" i="12"/>
  <c r="AA956" i="12"/>
  <c r="D956" i="12" s="1"/>
  <c r="Z956" i="12"/>
  <c r="F956" i="12"/>
  <c r="E956" i="12"/>
  <c r="Y957" i="12" l="1"/>
  <c r="Z957" i="12"/>
  <c r="AA957" i="12"/>
  <c r="D957" i="12" s="1"/>
  <c r="C958" i="12"/>
  <c r="G957" i="12"/>
  <c r="E957" i="12"/>
  <c r="F957" i="12"/>
  <c r="C959" i="12" l="1"/>
  <c r="Z958" i="12"/>
  <c r="Y958" i="12"/>
  <c r="AA958" i="12"/>
  <c r="D958" i="12" s="1"/>
  <c r="F958" i="12"/>
  <c r="E958" i="12"/>
  <c r="G958" i="12"/>
  <c r="F959" i="12" l="1"/>
  <c r="Y959" i="12"/>
  <c r="G959" i="12"/>
  <c r="Z959" i="12"/>
  <c r="C960" i="12"/>
  <c r="E959" i="12"/>
  <c r="AA959" i="12"/>
  <c r="D959" i="12" s="1"/>
  <c r="Y960" i="12" l="1"/>
  <c r="G960" i="12"/>
  <c r="F960" i="12"/>
  <c r="Z960" i="12"/>
  <c r="AA960" i="12"/>
  <c r="D960" i="12" s="1"/>
  <c r="C961" i="12"/>
  <c r="E960" i="12"/>
  <c r="AA961" i="12" l="1"/>
  <c r="D961" i="12" s="1"/>
  <c r="C962" i="12"/>
  <c r="F961" i="12"/>
  <c r="Y961" i="12"/>
  <c r="E961" i="12"/>
  <c r="G961" i="12"/>
  <c r="Z961" i="12"/>
  <c r="AA962" i="12" l="1"/>
  <c r="D962" i="12" s="1"/>
  <c r="G962" i="12"/>
  <c r="Z962" i="12"/>
  <c r="C963" i="12"/>
  <c r="F962" i="12"/>
  <c r="Y962" i="12"/>
  <c r="E962" i="12"/>
  <c r="Z963" i="12" l="1"/>
  <c r="F963" i="12"/>
  <c r="G963" i="12"/>
  <c r="C964" i="12"/>
  <c r="Y963" i="12"/>
  <c r="AA963" i="12"/>
  <c r="D963" i="12" s="1"/>
  <c r="E963" i="12"/>
  <c r="E964" i="12" l="1"/>
  <c r="F964" i="12"/>
  <c r="G964" i="12"/>
  <c r="Z964" i="12"/>
  <c r="C965" i="12"/>
  <c r="Y964" i="12"/>
  <c r="AA964" i="12"/>
  <c r="D964" i="12" s="1"/>
  <c r="G965" i="12" l="1"/>
  <c r="F965" i="12"/>
  <c r="C966" i="12"/>
  <c r="Z965" i="12"/>
  <c r="Y965" i="12"/>
  <c r="E965" i="12"/>
  <c r="AA965" i="12"/>
  <c r="D965" i="12" s="1"/>
  <c r="Z966" i="12" l="1"/>
  <c r="AA966" i="12"/>
  <c r="D966" i="12" s="1"/>
  <c r="G966" i="12"/>
  <c r="E966" i="12"/>
  <c r="F966" i="12"/>
  <c r="Y966" i="12"/>
  <c r="C967" i="12"/>
  <c r="G967" i="12" l="1"/>
  <c r="E967" i="12"/>
  <c r="F967" i="12"/>
  <c r="Y967" i="12"/>
  <c r="C968" i="12"/>
  <c r="Z967" i="12"/>
  <c r="AA967" i="12"/>
  <c r="D967" i="12" s="1"/>
  <c r="F968" i="12" l="1"/>
  <c r="Y968" i="12"/>
  <c r="C969" i="12"/>
  <c r="Z968" i="12"/>
  <c r="E968" i="12"/>
  <c r="AA968" i="12"/>
  <c r="D968" i="12" s="1"/>
  <c r="G968" i="12"/>
  <c r="F969" i="12" l="1"/>
  <c r="Y969" i="12"/>
  <c r="Z969" i="12"/>
  <c r="AA969" i="12"/>
  <c r="D969" i="12" s="1"/>
  <c r="E969" i="12"/>
  <c r="C970" i="12"/>
  <c r="G969" i="12"/>
  <c r="E970" i="12" l="1"/>
  <c r="AA970" i="12"/>
  <c r="D970" i="12" s="1"/>
  <c r="C971" i="12"/>
  <c r="Y970" i="12"/>
  <c r="F970" i="12"/>
  <c r="G970" i="12"/>
  <c r="Z970" i="12"/>
  <c r="F971" i="12" l="1"/>
  <c r="G971" i="12"/>
  <c r="E971" i="12"/>
  <c r="AA971" i="12"/>
  <c r="D971" i="12" s="1"/>
  <c r="C972" i="12"/>
  <c r="Y971" i="12"/>
  <c r="Z971" i="12"/>
  <c r="Y972" i="12" l="1"/>
  <c r="E972" i="12"/>
  <c r="F972" i="12"/>
  <c r="C973" i="12"/>
  <c r="Z972" i="12"/>
  <c r="AA972" i="12"/>
  <c r="D972" i="12" s="1"/>
  <c r="G972" i="12"/>
  <c r="C974" i="12" l="1"/>
  <c r="F973" i="12"/>
  <c r="Y973" i="12"/>
  <c r="AA973" i="12"/>
  <c r="D973" i="12" s="1"/>
  <c r="G973" i="12"/>
  <c r="Z973" i="12"/>
  <c r="E973" i="12"/>
  <c r="C975" i="12" l="1"/>
  <c r="G974" i="12"/>
  <c r="AA974" i="12"/>
  <c r="D974" i="12" s="1"/>
  <c r="Y974" i="12"/>
  <c r="Z974" i="12"/>
  <c r="F974" i="12"/>
  <c r="E974" i="12"/>
  <c r="Y975" i="12" l="1"/>
  <c r="G975" i="12"/>
  <c r="F975" i="12"/>
  <c r="AA975" i="12"/>
  <c r="D975" i="12" s="1"/>
  <c r="C976" i="12"/>
  <c r="Z975" i="12"/>
  <c r="E975" i="12"/>
  <c r="AA976" i="12" l="1"/>
  <c r="D976" i="12" s="1"/>
  <c r="Y976" i="12"/>
  <c r="Z976" i="12"/>
  <c r="C977" i="12"/>
  <c r="E976" i="12"/>
  <c r="G976" i="12"/>
  <c r="F976" i="12"/>
  <c r="G977" i="12" l="1"/>
  <c r="Z977" i="12"/>
  <c r="AA977" i="12"/>
  <c r="D977" i="12" s="1"/>
  <c r="E977" i="12"/>
  <c r="C978" i="12"/>
  <c r="Y977" i="12"/>
  <c r="F977" i="12"/>
  <c r="F978" i="12" l="1"/>
  <c r="Y978" i="12"/>
  <c r="G978" i="12"/>
  <c r="Z978" i="12"/>
  <c r="E978" i="12"/>
  <c r="AA978" i="12"/>
  <c r="D978" i="12" s="1"/>
  <c r="C979" i="12"/>
  <c r="Z979" i="12" l="1"/>
  <c r="C980" i="12"/>
  <c r="AA979" i="12"/>
  <c r="D979" i="12" s="1"/>
  <c r="F979" i="12"/>
  <c r="E979" i="12"/>
  <c r="Y979" i="12"/>
  <c r="G979" i="12"/>
  <c r="C981" i="12" l="1"/>
  <c r="Z980" i="12"/>
  <c r="Y980" i="12"/>
  <c r="G980" i="12"/>
  <c r="E980" i="12"/>
  <c r="AA980" i="12"/>
  <c r="D980" i="12" s="1"/>
  <c r="F980" i="12"/>
  <c r="AA981" i="12" l="1"/>
  <c r="D981" i="12" s="1"/>
  <c r="G981" i="12"/>
  <c r="Y981" i="12"/>
  <c r="E981" i="12"/>
  <c r="Z981" i="12"/>
  <c r="C982" i="12"/>
  <c r="F981" i="12"/>
  <c r="Z982" i="12" l="1"/>
  <c r="E982" i="12"/>
  <c r="F982" i="12"/>
  <c r="AA982" i="12"/>
  <c r="D982" i="12" s="1"/>
  <c r="Y982" i="12"/>
  <c r="G982" i="12"/>
  <c r="C983" i="12"/>
  <c r="F983" i="12" l="1"/>
  <c r="E983" i="12"/>
  <c r="G983" i="12"/>
  <c r="Y983" i="12"/>
  <c r="Z983" i="12"/>
  <c r="AA983" i="12"/>
  <c r="D983" i="12" s="1"/>
  <c r="C984" i="12"/>
  <c r="G984" i="12" l="1"/>
  <c r="AA984" i="12"/>
  <c r="D984" i="12" s="1"/>
  <c r="Z984" i="12"/>
  <c r="C985" i="12"/>
  <c r="F984" i="12"/>
  <c r="Y984" i="12"/>
  <c r="E984" i="12"/>
  <c r="F985" i="12" l="1"/>
  <c r="Y985" i="12"/>
  <c r="Z985" i="12"/>
  <c r="C986" i="12"/>
  <c r="E985" i="12"/>
  <c r="G985" i="12"/>
  <c r="AA985" i="12"/>
  <c r="D985" i="12" s="1"/>
  <c r="Y986" i="12" l="1"/>
  <c r="F986" i="12"/>
  <c r="Z986" i="12"/>
  <c r="AA986" i="12"/>
  <c r="D986" i="12" s="1"/>
  <c r="E986" i="12"/>
  <c r="G986" i="12"/>
  <c r="C987" i="12"/>
  <c r="E987" i="12" l="1"/>
  <c r="C988" i="12"/>
  <c r="Y987" i="12"/>
  <c r="F987" i="12"/>
  <c r="AA987" i="12"/>
  <c r="D987" i="12" s="1"/>
  <c r="Z987" i="12"/>
  <c r="G987" i="12"/>
  <c r="AA988" i="12" l="1"/>
  <c r="D988" i="12" s="1"/>
  <c r="Z988" i="12"/>
  <c r="C989" i="12"/>
  <c r="G988" i="12"/>
  <c r="Y988" i="12"/>
  <c r="E988" i="12"/>
  <c r="F988" i="12"/>
  <c r="C990" i="12" l="1"/>
  <c r="E989" i="12"/>
  <c r="AA989" i="12"/>
  <c r="D989" i="12" s="1"/>
  <c r="Z989" i="12"/>
  <c r="F989" i="12"/>
  <c r="G989" i="12"/>
  <c r="Y989" i="12"/>
  <c r="Y990" i="12" l="1"/>
  <c r="C991" i="12"/>
  <c r="G990" i="12"/>
  <c r="AA990" i="12"/>
  <c r="D990" i="12" s="1"/>
  <c r="F990" i="12"/>
  <c r="E990" i="12"/>
  <c r="Z990" i="12"/>
  <c r="F991" i="12" l="1"/>
  <c r="Z991" i="12"/>
  <c r="C992" i="12"/>
  <c r="Y991" i="12"/>
  <c r="G991" i="12"/>
  <c r="AA991" i="12"/>
  <c r="D991" i="12" s="1"/>
  <c r="E991" i="12"/>
  <c r="AA992" i="12" l="1"/>
  <c r="D992" i="12" s="1"/>
  <c r="F992" i="12"/>
  <c r="C993" i="12"/>
  <c r="Y992" i="12"/>
  <c r="Z992" i="12"/>
  <c r="G992" i="12"/>
  <c r="E992" i="12"/>
  <c r="C994" i="12" l="1"/>
  <c r="E993" i="12"/>
  <c r="Z993" i="12"/>
  <c r="Y993" i="12"/>
  <c r="G993" i="12"/>
  <c r="AA993" i="12"/>
  <c r="D993" i="12" s="1"/>
  <c r="F993" i="12"/>
  <c r="E994" i="12" l="1"/>
  <c r="F994" i="12"/>
  <c r="AA994" i="12"/>
  <c r="D994" i="12" s="1"/>
  <c r="C995" i="12"/>
  <c r="G994" i="12"/>
  <c r="Z994" i="12"/>
  <c r="Y994" i="12"/>
  <c r="Y995" i="12" l="1"/>
  <c r="C996" i="12"/>
  <c r="AA995" i="12"/>
  <c r="D995" i="12" s="1"/>
  <c r="G995" i="12"/>
  <c r="E995" i="12"/>
  <c r="F995" i="12"/>
  <c r="Z995" i="12"/>
  <c r="G996" i="12" l="1"/>
  <c r="AA996" i="12"/>
  <c r="D996" i="12" s="1"/>
  <c r="E996" i="12"/>
  <c r="F996" i="12"/>
  <c r="Y996" i="12"/>
  <c r="Z996" i="12"/>
  <c r="C997" i="12"/>
  <c r="C998" i="12" l="1"/>
  <c r="Y997" i="12"/>
  <c r="Z997" i="12"/>
  <c r="AA997" i="12"/>
  <c r="D997" i="12" s="1"/>
  <c r="E997" i="12"/>
  <c r="G997" i="12"/>
  <c r="F997" i="12"/>
  <c r="Z998" i="12" l="1"/>
  <c r="Y998" i="12"/>
  <c r="F998" i="12"/>
  <c r="G998" i="12"/>
  <c r="E998" i="12"/>
  <c r="AA998" i="12"/>
  <c r="D998" i="12" s="1"/>
  <c r="C999" i="12"/>
  <c r="Z999" i="12" l="1"/>
  <c r="F999" i="12"/>
  <c r="Y999" i="12"/>
  <c r="AA999" i="12"/>
  <c r="D999" i="12" s="1"/>
  <c r="G999" i="12"/>
  <c r="E999" i="12"/>
  <c r="C1000" i="12"/>
  <c r="Z1000" i="12" l="1"/>
  <c r="Y1000" i="12"/>
  <c r="F1000" i="12"/>
  <c r="AA1000" i="12"/>
  <c r="D1000" i="12" s="1"/>
  <c r="E1000" i="12"/>
  <c r="G1000" i="12"/>
  <c r="C1001" i="12"/>
  <c r="AA1001" i="12" l="1"/>
  <c r="D1001" i="12" s="1"/>
  <c r="G1001" i="12"/>
  <c r="Z1001" i="12"/>
  <c r="C1002" i="12"/>
  <c r="E1001" i="12"/>
  <c r="F1001" i="12"/>
  <c r="Y1001" i="12"/>
  <c r="Z1002" i="12" l="1"/>
  <c r="AA1002" i="12"/>
  <c r="D1002" i="12" s="1"/>
  <c r="E1002" i="12"/>
  <c r="C1003" i="12"/>
  <c r="F1002" i="12"/>
  <c r="Y1002" i="12"/>
  <c r="G1002" i="12"/>
  <c r="F1003" i="12" l="1"/>
  <c r="AA1003" i="12"/>
  <c r="D1003" i="12" s="1"/>
  <c r="Y1003" i="12"/>
  <c r="Z1003" i="12"/>
  <c r="C1004" i="12"/>
  <c r="G1003" i="12"/>
  <c r="E1003" i="12"/>
  <c r="E1004" i="12" l="1"/>
  <c r="F1004" i="12"/>
  <c r="AA1004" i="12"/>
  <c r="D1004" i="12" s="1"/>
  <c r="Y1004" i="12"/>
  <c r="Z1004" i="12"/>
  <c r="G1004" i="12"/>
  <c r="C1005" i="12"/>
  <c r="G1005" i="12" l="1"/>
  <c r="C1006" i="12"/>
  <c r="F1005" i="12"/>
  <c r="E1005" i="12"/>
  <c r="Y1005" i="12"/>
  <c r="Z1005" i="12"/>
  <c r="AA1005" i="12"/>
  <c r="D1005" i="12" s="1"/>
  <c r="F1006" i="12" l="1"/>
  <c r="E1006" i="12"/>
  <c r="Y1006" i="12"/>
  <c r="C1007" i="12"/>
  <c r="G1006" i="12"/>
  <c r="AA1006" i="12"/>
  <c r="D1006" i="12" s="1"/>
  <c r="Z1006" i="12"/>
  <c r="G1007" i="12" l="1"/>
  <c r="E1007" i="12"/>
  <c r="C1008" i="12"/>
  <c r="Z1007" i="12"/>
  <c r="F1007" i="12"/>
  <c r="Y1007" i="12"/>
  <c r="AA1007" i="12"/>
  <c r="D1007" i="12" s="1"/>
  <c r="G1008" i="12" l="1"/>
  <c r="E1008" i="12"/>
  <c r="Z1008" i="12"/>
  <c r="Y1008" i="12"/>
  <c r="F1008" i="12"/>
  <c r="C1009" i="12"/>
  <c r="AA1008" i="12"/>
  <c r="D1008" i="12" s="1"/>
  <c r="F1009" i="12" l="1"/>
  <c r="Y1009" i="12"/>
  <c r="Z1009" i="12"/>
  <c r="AA1009" i="12"/>
  <c r="D1009" i="12" s="1"/>
  <c r="C1010" i="12"/>
  <c r="G1009" i="12"/>
  <c r="E1009" i="12"/>
  <c r="G1010" i="12" l="1"/>
  <c r="E1010" i="12"/>
  <c r="F1010" i="12"/>
  <c r="C1011" i="12"/>
  <c r="AA1010" i="12"/>
  <c r="D1010" i="12" s="1"/>
  <c r="Y1010" i="12"/>
  <c r="Z1010" i="12"/>
  <c r="C1012" i="12" l="1"/>
  <c r="Y1011" i="12"/>
  <c r="E1011" i="12"/>
  <c r="G1011" i="12"/>
  <c r="Z1011" i="12"/>
  <c r="F1011" i="12"/>
  <c r="AA1011" i="12"/>
  <c r="D1011" i="12" s="1"/>
  <c r="F1012" i="12" l="1"/>
  <c r="G1012" i="12"/>
  <c r="E1012" i="12"/>
  <c r="AA1012" i="12"/>
  <c r="D1012" i="12" s="1"/>
  <c r="C1013" i="12"/>
  <c r="Z1012" i="12"/>
  <c r="Y1012" i="12"/>
  <c r="C1014" i="12" l="1"/>
  <c r="Z1013" i="12"/>
  <c r="E1013" i="12"/>
  <c r="G1013" i="12"/>
  <c r="F1013" i="12"/>
  <c r="AA1013" i="12"/>
  <c r="D1013" i="12" s="1"/>
  <c r="Y1013" i="12"/>
  <c r="AA1014" i="12" l="1"/>
  <c r="D1014" i="12" s="1"/>
  <c r="C1015" i="12"/>
  <c r="Y1014" i="12"/>
  <c r="Z1014" i="12"/>
  <c r="G1014" i="12"/>
  <c r="E1014" i="12"/>
  <c r="F1014" i="12"/>
  <c r="G1015" i="12" l="1"/>
  <c r="AA1015" i="12"/>
  <c r="D1015" i="12" s="1"/>
  <c r="Y1015" i="12"/>
  <c r="F1015" i="12"/>
  <c r="C1016" i="12"/>
  <c r="E1015" i="12"/>
  <c r="Z1015" i="12"/>
  <c r="G1016" i="12" l="1"/>
  <c r="Z1016" i="12"/>
  <c r="AA1016" i="12"/>
  <c r="D1016" i="12" s="1"/>
  <c r="E1016" i="12"/>
  <c r="Y1016" i="12"/>
  <c r="F1016" i="12"/>
  <c r="C1017" i="12"/>
  <c r="Z1017" i="12" l="1"/>
  <c r="E1017" i="12"/>
  <c r="F1017" i="12"/>
  <c r="G1017" i="12"/>
  <c r="AA1017" i="12"/>
  <c r="D1017" i="12" s="1"/>
  <c r="Y1017" i="12"/>
  <c r="C1018" i="12"/>
  <c r="E1018" i="12" l="1"/>
  <c r="Y1018" i="12"/>
  <c r="G1018" i="12"/>
  <c r="Z1018" i="12"/>
  <c r="F1018" i="12"/>
  <c r="C1019" i="12"/>
  <c r="AA1018" i="12"/>
  <c r="D1018" i="12" s="1"/>
  <c r="G1019" i="12" l="1"/>
  <c r="Z1019" i="12"/>
  <c r="C1020" i="12"/>
  <c r="Y1019" i="12"/>
  <c r="E1019" i="12"/>
  <c r="F1019" i="12"/>
  <c r="AA1019" i="12"/>
  <c r="D1019" i="12" s="1"/>
  <c r="C1021" i="12" l="1"/>
  <c r="Y1020" i="12"/>
  <c r="Z1020" i="12"/>
  <c r="AA1020" i="12"/>
  <c r="D1020" i="12" s="1"/>
  <c r="G1020" i="12"/>
  <c r="E1020" i="12"/>
  <c r="F1020" i="12"/>
  <c r="E1021" i="12" l="1"/>
  <c r="E1028" i="12" s="1"/>
  <c r="Y1021" i="12"/>
  <c r="G1021" i="12"/>
  <c r="G1028" i="12" s="1"/>
  <c r="Z1021" i="12"/>
  <c r="F1021" i="12"/>
  <c r="F1028" i="12" s="1"/>
  <c r="AA1021" i="12"/>
  <c r="D1021" i="12" s="1"/>
  <c r="D1028" i="12" s="1"/>
  <c r="AL20" i="12" l="1"/>
  <c r="B46" i="7" s="1"/>
  <c r="AL19" i="12"/>
  <c r="B47" i="7" s="1"/>
  <c r="G1036" i="12"/>
  <c r="A45" i="7" s="1"/>
  <c r="AL18" i="12"/>
  <c r="AO18" i="12"/>
  <c r="B45" i="7" s="1"/>
  <c r="AN20" i="12"/>
  <c r="C46" i="7" s="1"/>
  <c r="AN19" i="12"/>
  <c r="C47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Gaetano Zanfardino</author>
    <author>Giulia Feneziani</author>
  </authors>
  <commentList>
    <comment ref="D13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valore compreso tra 1 e 10</t>
        </r>
      </text>
    </comment>
    <comment ref="D17" authorId="1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Giulia Feneziani:</t>
        </r>
        <r>
          <rPr>
            <sz val="9"/>
            <color indexed="81"/>
            <rFont val="Tahoma"/>
            <family val="2"/>
            <charset val="204"/>
          </rPr>
          <t xml:space="preserve">
al netto della copertura e delle fondazioni; vengono sommate in automatico nel calcolo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Giulia Feneziani</author>
    <author>System Manager</author>
  </authors>
  <commentList>
    <comment ref="D7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04"/>
          </rPr>
          <t>Giulia Feneziani: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sz val="10"/>
            <color indexed="81"/>
            <rFont val="Tahoma"/>
            <family val="2"/>
            <charset val="204"/>
          </rPr>
          <t>Distanze corrette in modo da considerare solo il tratto di edificio entro 3i dal punto di flesso</t>
        </r>
      </text>
    </comment>
    <comment ref="E21" authorId="0" shapeId="0" xr:uid="{00000000-0006-0000-0400-000002000000}">
      <text>
        <r>
          <rPr>
            <b/>
            <sz val="9"/>
            <color indexed="81"/>
            <rFont val="Tahoma"/>
            <family val="2"/>
            <charset val="204"/>
          </rPr>
          <t>Giulia Feneziani: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sz val="11"/>
            <color indexed="81"/>
            <rFont val="Calibri"/>
            <family val="2"/>
            <charset val="204"/>
            <scheme val="minor"/>
          </rPr>
          <t>arctg (Δs/ΔL)</t>
        </r>
      </text>
    </comment>
    <comment ref="G21" authorId="0" shapeId="0" xr:uid="{00000000-0006-0000-0400-000003000000}">
      <text>
        <r>
          <rPr>
            <b/>
            <sz val="9"/>
            <color indexed="81"/>
            <rFont val="Tahoma"/>
            <family val="2"/>
            <charset val="204"/>
          </rPr>
          <t>Giulia Feneziani: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sz val="11"/>
            <color indexed="81"/>
            <rFont val="Calibri"/>
            <family val="2"/>
            <charset val="204"/>
          </rPr>
          <t>θ+ω</t>
        </r>
      </text>
    </comment>
    <comment ref="AQ50" authorId="1" shapeId="0" xr:uid="{00000000-0006-0000-0400-000004000000}">
      <text>
        <r>
          <rPr>
            <b/>
            <sz val="8"/>
            <color indexed="81"/>
            <rFont val="Tahoma"/>
            <family val="2"/>
          </rPr>
          <t>System Manager:</t>
        </r>
        <r>
          <rPr>
            <sz val="8"/>
            <color indexed="81"/>
            <rFont val="Tahoma"/>
            <family val="2"/>
          </rPr>
          <t xml:space="preserve">
N.B.: calcolo effettuato con Iv variabile tra 0 e 10. Se Iv è calcolato variabile tra 0-100 modificare la formula della presente cella.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Giulia Feneziani</author>
  </authors>
  <commentList>
    <comment ref="V15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204"/>
          </rPr>
          <t>Giulia Feneziani:</t>
        </r>
        <r>
          <rPr>
            <sz val="9"/>
            <color indexed="81"/>
            <rFont val="Tahoma"/>
            <family val="2"/>
            <charset val="204"/>
          </rPr>
          <t xml:space="preserve">
Δ/L=(L/12y+3I/2yLH*E/G) ε_bmax</t>
        </r>
      </text>
    </comment>
    <comment ref="W15" authorId="0" shapeId="0" xr:uid="{00000000-0006-0000-0500-000002000000}">
      <text>
        <r>
          <rPr>
            <b/>
            <sz val="9"/>
            <color indexed="81"/>
            <rFont val="Tahoma"/>
            <family val="2"/>
            <charset val="204"/>
          </rPr>
          <t>Giulia Feneziani:</t>
        </r>
        <r>
          <rPr>
            <sz val="9"/>
            <color indexed="81"/>
            <rFont val="Tahoma"/>
            <family val="2"/>
            <charset val="204"/>
          </rPr>
          <t xml:space="preserve">
Δ/L=(1+(HL^2)/18I*G/E) ε_dmax</t>
        </r>
      </text>
    </comment>
    <comment ref="Z15" authorId="0" shapeId="0" xr:uid="{00000000-0006-0000-0500-000003000000}">
      <text>
        <r>
          <rPr>
            <b/>
            <sz val="9"/>
            <color indexed="81"/>
            <rFont val="Tahoma"/>
            <family val="2"/>
            <charset val="204"/>
          </rPr>
          <t>Giulia Feneziani:</t>
        </r>
        <r>
          <rPr>
            <sz val="9"/>
            <color indexed="81"/>
            <rFont val="Tahoma"/>
            <family val="2"/>
            <charset val="204"/>
          </rPr>
          <t xml:space="preserve">
Calcolato a partire dall'equazione: ε_bt=ε_h+ε_bmax</t>
        </r>
      </text>
    </comment>
    <comment ref="AA15" authorId="0" shapeId="0" xr:uid="{00000000-0006-0000-0500-000004000000}">
      <text>
        <r>
          <rPr>
            <b/>
            <sz val="9"/>
            <color indexed="81"/>
            <rFont val="Tahoma"/>
            <family val="2"/>
            <charset val="204"/>
          </rPr>
          <t>Giulia Feneziani:</t>
        </r>
        <r>
          <rPr>
            <sz val="9"/>
            <color indexed="81"/>
            <rFont val="Tahoma"/>
            <family val="2"/>
            <charset val="204"/>
          </rPr>
          <t xml:space="preserve">
Calcolato a partire dall'equazione:
ε_dt=0.35ε_h+√((0.35ε_h )^2+ε_dmax^2 )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Gaetano Zanfardino</author>
    <author>Giulia Feneziani</author>
  </authors>
  <commentList>
    <comment ref="AA1" authorId="0" shapeId="0" xr:uid="{00000000-0006-0000-0800-000001000000}">
      <text>
        <r>
          <rPr>
            <b/>
            <sz val="8"/>
            <color indexed="81"/>
            <rFont val="Arial"/>
            <family val="2"/>
          </rPr>
          <t>0: NO stampa PDF
1: SI stampa PDF</t>
        </r>
      </text>
    </comment>
    <comment ref="J2" authorId="1" shapeId="0" xr:uid="{00000000-0006-0000-0800-000002000000}">
      <text>
        <r>
          <rPr>
            <b/>
            <sz val="12"/>
            <color indexed="81"/>
            <rFont val="Tahoma"/>
            <family val="2"/>
          </rPr>
          <t>Giulia Feneziani:</t>
        </r>
        <r>
          <rPr>
            <sz val="12"/>
            <color indexed="81"/>
            <rFont val="Tahoma"/>
            <family val="2"/>
          </rPr>
          <t xml:space="preserve">
&gt;0 se doppia canna
=0 se singola canna</t>
        </r>
      </text>
    </comment>
    <comment ref="M2" authorId="1" shapeId="0" xr:uid="{00000000-0006-0000-0800-000003000000}">
      <text>
        <r>
          <rPr>
            <b/>
            <sz val="11"/>
            <color indexed="81"/>
            <rFont val="Tahoma"/>
            <family val="2"/>
          </rPr>
          <t>Giulia Feneziani:</t>
        </r>
        <r>
          <rPr>
            <sz val="11"/>
            <color indexed="81"/>
            <rFont val="Tahoma"/>
            <family val="2"/>
          </rPr>
          <t xml:space="preserve">
- Load Bearing
- Masonry
- Framed</t>
        </r>
      </text>
    </comment>
    <comment ref="T2" authorId="1" shapeId="0" xr:uid="{00000000-0006-0000-0800-000004000000}">
      <text>
        <r>
          <rPr>
            <b/>
            <sz val="11"/>
            <color indexed="81"/>
            <rFont val="Tahoma"/>
            <family val="2"/>
          </rPr>
          <t>Giulia Feneziani:</t>
        </r>
        <r>
          <rPr>
            <sz val="11"/>
            <color indexed="81"/>
            <rFont val="Tahoma"/>
            <family val="2"/>
          </rPr>
          <t xml:space="preserve">
- Negligible
- Very Slight
- Slight
- Medium
- High
Corrispondono ai valori 1-3-5-7-9</t>
        </r>
      </text>
    </comment>
  </commentList>
</comments>
</file>

<file path=xl/sharedStrings.xml><?xml version="1.0" encoding="utf-8"?>
<sst xmlns="http://schemas.openxmlformats.org/spreadsheetml/2006/main" count="3172" uniqueCount="1065">
  <si>
    <t>D (m)</t>
  </si>
  <si>
    <t>A (m2)</t>
  </si>
  <si>
    <t>VOLUME LOSS  %</t>
  </si>
  <si>
    <t>z/D</t>
  </si>
  <si>
    <t>k</t>
  </si>
  <si>
    <t>Zo</t>
  </si>
  <si>
    <t>i</t>
  </si>
  <si>
    <t>x</t>
  </si>
  <si>
    <t>w</t>
  </si>
  <si>
    <t>m</t>
  </si>
  <si>
    <t>mm</t>
  </si>
  <si>
    <t>4+5</t>
  </si>
  <si>
    <t>b</t>
  </si>
  <si>
    <r>
      <t xml:space="preserve">e </t>
    </r>
    <r>
      <rPr>
        <b/>
        <sz val="10"/>
        <rFont val="Arial"/>
        <family val="2"/>
      </rPr>
      <t>lim</t>
    </r>
  </si>
  <si>
    <t>Foundation</t>
  </si>
  <si>
    <t>y1</t>
  </si>
  <si>
    <t>pline</t>
  </si>
  <si>
    <t xml:space="preserve"> </t>
  </si>
  <si>
    <t>VL</t>
  </si>
  <si>
    <t>z01</t>
  </si>
  <si>
    <t>z02</t>
  </si>
  <si>
    <t>A</t>
  </si>
  <si>
    <t>Tunnel A</t>
  </si>
  <si>
    <t>Tunnel B</t>
  </si>
  <si>
    <t>Total settlements</t>
  </si>
  <si>
    <t>B</t>
  </si>
  <si>
    <t>Diameter</t>
  </si>
  <si>
    <t>sum in cm</t>
  </si>
  <si>
    <t>L/H</t>
  </si>
  <si>
    <t>Damage categories for Burland &amp; Wrooth</t>
  </si>
  <si>
    <t>category</t>
  </si>
  <si>
    <t>Total horizontal deformation</t>
  </si>
  <si>
    <r>
      <t>e</t>
    </r>
    <r>
      <rPr>
        <sz val="10"/>
        <rFont val="Arial"/>
        <family val="2"/>
      </rPr>
      <t>_min (%)</t>
    </r>
  </si>
  <si>
    <r>
      <t>e</t>
    </r>
    <r>
      <rPr>
        <sz val="10"/>
        <rFont val="Arial"/>
        <family val="2"/>
      </rPr>
      <t>_max (%)</t>
    </r>
  </si>
  <si>
    <t>Internal diameter</t>
  </si>
  <si>
    <t>ID</t>
  </si>
  <si>
    <t>Segment thickness</t>
  </si>
  <si>
    <t>ST</t>
  </si>
  <si>
    <t>Annular void</t>
  </si>
  <si>
    <t>AV</t>
  </si>
  <si>
    <t>L</t>
  </si>
  <si>
    <t>H</t>
  </si>
  <si>
    <t xml:space="preserve">BUILDING (WITH FRAME STRUCTURE) SETTLEMENT AND ROTATION </t>
  </si>
  <si>
    <r>
      <t>D</t>
    </r>
    <r>
      <rPr>
        <sz val="8"/>
        <rFont val="Arial"/>
        <family val="2"/>
      </rPr>
      <t>S' (ABS)</t>
    </r>
  </si>
  <si>
    <r>
      <t xml:space="preserve">b </t>
    </r>
    <r>
      <rPr>
        <sz val="8"/>
        <rFont val="Arial"/>
        <family val="2"/>
      </rPr>
      <t>'</t>
    </r>
    <r>
      <rPr>
        <sz val="8"/>
        <rFont val="Symbol"/>
        <family val="1"/>
        <charset val="2"/>
      </rPr>
      <t xml:space="preserve">  </t>
    </r>
  </si>
  <si>
    <t>Smax</t>
  </si>
  <si>
    <t>Maximum values</t>
  </si>
  <si>
    <t>gaussian curve tunnel A</t>
  </si>
  <si>
    <t>gaussian curve tunnel B</t>
  </si>
  <si>
    <t>D_tunnel</t>
  </si>
  <si>
    <t>output scrpline</t>
  </si>
  <si>
    <t>Dist left tunn_build</t>
  </si>
  <si>
    <t>Dist right tunn_build</t>
  </si>
  <si>
    <r>
      <t>D</t>
    </r>
    <r>
      <rPr>
        <b/>
        <sz val="8"/>
        <rFont val="Arial"/>
        <family val="2"/>
      </rPr>
      <t>S' max</t>
    </r>
  </si>
  <si>
    <r>
      <t xml:space="preserve">b </t>
    </r>
    <r>
      <rPr>
        <b/>
        <sz val="8"/>
        <rFont val="Arial"/>
        <family val="2"/>
      </rPr>
      <t>'</t>
    </r>
    <r>
      <rPr>
        <b/>
        <sz val="8"/>
        <rFont val="Symbol"/>
        <family val="1"/>
        <charset val="2"/>
      </rPr>
      <t xml:space="preserve"> </t>
    </r>
    <r>
      <rPr>
        <b/>
        <sz val="8"/>
        <rFont val="Arial"/>
        <family val="2"/>
      </rPr>
      <t xml:space="preserve"> max</t>
    </r>
  </si>
  <si>
    <t>0&lt;Iv&lt;20</t>
  </si>
  <si>
    <t>20&lt;Iv&lt;40</t>
  </si>
  <si>
    <t>40&lt;Iv&lt;60</t>
  </si>
  <si>
    <t>60&lt;Iv&lt;80</t>
  </si>
  <si>
    <t>80&lt;Iv&lt;100</t>
  </si>
  <si>
    <t>Fr=1.0</t>
  </si>
  <si>
    <t>Fr=1.25</t>
  </si>
  <si>
    <t>Fr=1.5</t>
  </si>
  <si>
    <t>Fr=1.75</t>
  </si>
  <si>
    <t>Fr=2.0</t>
  </si>
  <si>
    <r>
      <t>S</t>
    </r>
    <r>
      <rPr>
        <vertAlign val="subscript"/>
        <sz val="10"/>
        <rFont val="Arial"/>
        <family val="2"/>
      </rPr>
      <t>max</t>
    </r>
    <r>
      <rPr>
        <sz val="10"/>
        <rFont val="Arial"/>
        <family val="2"/>
      </rPr>
      <t xml:space="preserve"> [mm]</t>
    </r>
  </si>
  <si>
    <r>
      <t>b</t>
    </r>
    <r>
      <rPr>
        <sz val="10"/>
        <rFont val="Arial"/>
        <family val="2"/>
      </rPr>
      <t xml:space="preserve"> </t>
    </r>
    <r>
      <rPr>
        <vertAlign val="subscript"/>
        <sz val="10"/>
        <rFont val="Arial"/>
        <family val="2"/>
      </rPr>
      <t>lim</t>
    </r>
    <r>
      <rPr>
        <sz val="10"/>
        <rFont val="Arial"/>
        <family val="2"/>
      </rPr>
      <t xml:space="preserve"> [%]</t>
    </r>
  </si>
  <si>
    <t>&lt;10</t>
  </si>
  <si>
    <t>&lt;1/500</t>
  </si>
  <si>
    <t>&lt;8</t>
  </si>
  <si>
    <t>&lt;1/625</t>
  </si>
  <si>
    <t>&lt;6.7</t>
  </si>
  <si>
    <t>&lt;1/750</t>
  </si>
  <si>
    <t>&lt;5.7</t>
  </si>
  <si>
    <t>1/87.5</t>
  </si>
  <si>
    <t>&lt;5</t>
  </si>
  <si>
    <t>&lt;1/1000</t>
  </si>
  <si>
    <r>
      <t>e</t>
    </r>
    <r>
      <rPr>
        <sz val="10"/>
        <rFont val="Arial"/>
        <family val="2"/>
      </rPr>
      <t xml:space="preserve"> </t>
    </r>
    <r>
      <rPr>
        <vertAlign val="subscript"/>
        <sz val="10"/>
        <rFont val="Arial"/>
        <family val="2"/>
      </rPr>
      <t>lim</t>
    </r>
    <r>
      <rPr>
        <sz val="10"/>
        <rFont val="Arial"/>
        <family val="2"/>
      </rPr>
      <t xml:space="preserve"> [%]</t>
    </r>
  </si>
  <si>
    <t>min</t>
  </si>
  <si>
    <t>max</t>
  </si>
  <si>
    <t>10-50</t>
  </si>
  <si>
    <t>1/200</t>
  </si>
  <si>
    <t>8-40</t>
  </si>
  <si>
    <t>1/250</t>
  </si>
  <si>
    <t>6.7-33.3</t>
  </si>
  <si>
    <t>1/300</t>
  </si>
  <si>
    <t>5.7-28.6</t>
  </si>
  <si>
    <t>1/350</t>
  </si>
  <si>
    <t>5-25</t>
  </si>
  <si>
    <t>1/400</t>
  </si>
  <si>
    <t>50-75</t>
  </si>
  <si>
    <t>1/50</t>
  </si>
  <si>
    <t>40-60</t>
  </si>
  <si>
    <t>1/62.5</t>
  </si>
  <si>
    <t>33.3-50</t>
  </si>
  <si>
    <t>1/75</t>
  </si>
  <si>
    <t>28.6-42.9</t>
  </si>
  <si>
    <t>25-37.5</t>
  </si>
  <si>
    <t>1/100</t>
  </si>
  <si>
    <t>&gt;75</t>
  </si>
  <si>
    <t>&gt;1/50</t>
  </si>
  <si>
    <t>&gt;60</t>
  </si>
  <si>
    <t>&gt;1/62.5</t>
  </si>
  <si>
    <t>&gt;50</t>
  </si>
  <si>
    <t>&gt;1/75</t>
  </si>
  <si>
    <t>&gt;42.9</t>
  </si>
  <si>
    <t>&gt;1/87.5</t>
  </si>
  <si>
    <t>&gt;37.5</t>
  </si>
  <si>
    <t>&gt;1/100</t>
  </si>
  <si>
    <t>&gt;0.300</t>
  </si>
  <si>
    <t>&gt;0.240</t>
  </si>
  <si>
    <t>&gt;0.200</t>
  </si>
  <si>
    <t>&gt;0.171</t>
  </si>
  <si>
    <t>&gt;0.150</t>
  </si>
  <si>
    <t>Vulnerability Index of the building</t>
  </si>
  <si>
    <t>LOW</t>
  </si>
  <si>
    <t>AVERAGE</t>
  </si>
  <si>
    <t xml:space="preserve">HIGH </t>
  </si>
  <si>
    <t>VERY HIGH</t>
  </si>
  <si>
    <t>0&lt;Iv&lt;2</t>
  </si>
  <si>
    <t>2&lt;Iv&lt;4</t>
  </si>
  <si>
    <t>4&lt;Iv&lt;6</t>
  </si>
  <si>
    <t>6&lt;Iv&lt;8</t>
  </si>
  <si>
    <t>8&lt;Iv&lt;10</t>
  </si>
  <si>
    <t>IRRELEVANT</t>
  </si>
  <si>
    <t>V. HIGH</t>
  </si>
  <si>
    <t>Evaluated Vulnerability Index for the Specific Building</t>
  </si>
  <si>
    <r>
      <t>Verification on</t>
    </r>
    <r>
      <rPr>
        <i/>
        <sz val="10"/>
        <rFont val="Arial"/>
        <family val="2"/>
      </rPr>
      <t xml:space="preserve"> </t>
    </r>
    <r>
      <rPr>
        <i/>
        <sz val="10"/>
        <rFont val="Symbol"/>
        <family val="1"/>
        <charset val="2"/>
      </rPr>
      <t>b</t>
    </r>
    <r>
      <rPr>
        <i/>
        <sz val="10"/>
        <rFont val="Arial"/>
        <family val="2"/>
      </rPr>
      <t>'_max</t>
    </r>
  </si>
  <si>
    <r>
      <t>Verification on</t>
    </r>
    <r>
      <rPr>
        <i/>
        <sz val="10"/>
        <rFont val="Arial"/>
        <family val="2"/>
      </rPr>
      <t xml:space="preserve"> S_max</t>
    </r>
  </si>
  <si>
    <t>Sv (m)</t>
  </si>
  <si>
    <t>Sh (m)</t>
  </si>
  <si>
    <t>Sv_max (m)</t>
  </si>
  <si>
    <t>Sv_tot (m)</t>
  </si>
  <si>
    <t>Sh_min (cm)</t>
  </si>
  <si>
    <t>Sh_max (cm)</t>
  </si>
  <si>
    <t>Sv_max (cm)</t>
  </si>
  <si>
    <t>y</t>
  </si>
  <si>
    <t>y*</t>
  </si>
  <si>
    <t>Sv1+Sv2</t>
  </si>
  <si>
    <t>y2</t>
  </si>
  <si>
    <t>tunnel axes' depth from ground level</t>
  </si>
  <si>
    <t>Diameter1</t>
  </si>
  <si>
    <t>Diameter2</t>
  </si>
  <si>
    <r>
      <t>Sv</t>
    </r>
    <r>
      <rPr>
        <vertAlign val="subscript"/>
        <sz val="14"/>
        <rFont val="Times New Roman"/>
        <family val="1"/>
      </rPr>
      <t>max (m)</t>
    </r>
  </si>
  <si>
    <t>Sv</t>
  </si>
  <si>
    <t>overburden ratio</t>
  </si>
  <si>
    <t>for lookup function</t>
  </si>
  <si>
    <t>Total displacements</t>
  </si>
  <si>
    <r>
      <t>e</t>
    </r>
    <r>
      <rPr>
        <sz val="10"/>
        <color indexed="55"/>
        <rFont val="Arial"/>
        <family val="2"/>
      </rPr>
      <t>_h (m)</t>
    </r>
  </si>
  <si>
    <t xml:space="preserve">vertical settlements calculated as if the ground surface is hypothetically at the foundation level (cautelative-no MOH) </t>
  </si>
  <si>
    <t>z_foundation</t>
  </si>
  <si>
    <t>parameters as per Moh,1996</t>
  </si>
  <si>
    <t>Total vertical settlements as per original formula (O'Reilly&amp;New,1982)</t>
  </si>
  <si>
    <t>Total vertical deformation</t>
  </si>
  <si>
    <t>i_z_1</t>
  </si>
  <si>
    <t>i_z_2</t>
  </si>
  <si>
    <t>Smax_z_1</t>
  </si>
  <si>
    <t>Smax_z_2</t>
  </si>
  <si>
    <t>[m]</t>
  </si>
  <si>
    <t>Coordinate</t>
  </si>
  <si>
    <t>ID - Foundation</t>
  </si>
  <si>
    <t>control parameters</t>
  </si>
  <si>
    <t>Negligible</t>
  </si>
  <si>
    <t>Less than 0.05</t>
  </si>
  <si>
    <t>Very Slight</t>
  </si>
  <si>
    <t>0.05 to 0.075</t>
  </si>
  <si>
    <t>Slight</t>
  </si>
  <si>
    <t>0.075 to 0.15</t>
  </si>
  <si>
    <t>Moderate</t>
  </si>
  <si>
    <t>0.15 to 0.3</t>
  </si>
  <si>
    <t>Severe</t>
  </si>
  <si>
    <t>Greater than 0.3</t>
  </si>
  <si>
    <t>Very Severe</t>
  </si>
  <si>
    <t>INPUT</t>
  </si>
  <si>
    <t>OUTPUT</t>
  </si>
  <si>
    <t>Flex points research</t>
  </si>
  <si>
    <t xml:space="preserve"> sist rif B</t>
  </si>
  <si>
    <t>A(y*)</t>
  </si>
  <si>
    <t>B(y*)</t>
  </si>
  <si>
    <t>sum in cm(y*)</t>
  </si>
  <si>
    <t>z01-zf</t>
  </si>
  <si>
    <t>z02-zf</t>
  </si>
  <si>
    <t>Sagging</t>
  </si>
  <si>
    <t>Hogging</t>
  </si>
  <si>
    <t>is</t>
  </si>
  <si>
    <t>id</t>
  </si>
  <si>
    <t>Margini fondazione</t>
  </si>
  <si>
    <t>Margini corretti</t>
  </si>
  <si>
    <t xml:space="preserve"> sx</t>
  </si>
  <si>
    <t xml:space="preserve"> dx</t>
  </si>
  <si>
    <r>
      <t>D/</t>
    </r>
    <r>
      <rPr>
        <sz val="10"/>
        <rFont val="Times New Roman"/>
        <family val="1"/>
      </rPr>
      <t>L</t>
    </r>
  </si>
  <si>
    <t>Bending</t>
  </si>
  <si>
    <t>Shear</t>
  </si>
  <si>
    <r>
      <t>e</t>
    </r>
    <r>
      <rPr>
        <vertAlign val="subscript"/>
        <sz val="10"/>
        <rFont val="Times New Roman"/>
        <family val="1"/>
      </rPr>
      <t>h</t>
    </r>
  </si>
  <si>
    <r>
      <t>D/</t>
    </r>
    <r>
      <rPr>
        <sz val="10"/>
        <rFont val="Times New Roman"/>
        <family val="1"/>
      </rPr>
      <t>L</t>
    </r>
    <r>
      <rPr>
        <vertAlign val="subscript"/>
        <sz val="10"/>
        <rFont val="Times New Roman"/>
        <family val="1"/>
      </rPr>
      <t>MIN</t>
    </r>
  </si>
  <si>
    <r>
      <t>D/</t>
    </r>
    <r>
      <rPr>
        <sz val="10"/>
        <rFont val="Times New Roman"/>
        <family val="1"/>
      </rPr>
      <t>L</t>
    </r>
    <r>
      <rPr>
        <vertAlign val="subscript"/>
        <sz val="10"/>
        <rFont val="Times New Roman"/>
        <family val="1"/>
      </rPr>
      <t>MIN</t>
    </r>
    <r>
      <rPr>
        <sz val="10"/>
        <rFont val="Times New Roman"/>
        <family val="1"/>
      </rPr>
      <t>[%]</t>
    </r>
  </si>
  <si>
    <r>
      <t>e</t>
    </r>
    <r>
      <rPr>
        <vertAlign val="subscript"/>
        <sz val="10"/>
        <rFont val="Times New Roman"/>
        <family val="1"/>
      </rPr>
      <t>h</t>
    </r>
    <r>
      <rPr>
        <sz val="10"/>
        <rFont val="Times New Roman"/>
        <family val="1"/>
      </rPr>
      <t>[%]</t>
    </r>
  </si>
  <si>
    <t>Min[Bending-Shear]</t>
  </si>
  <si>
    <r>
      <t>e</t>
    </r>
    <r>
      <rPr>
        <vertAlign val="subscript"/>
        <sz val="14"/>
        <color indexed="11"/>
        <rFont val="Arial"/>
        <family val="2"/>
      </rPr>
      <t>lim</t>
    </r>
    <r>
      <rPr>
        <sz val="14"/>
        <color indexed="11"/>
        <rFont val="Arial"/>
        <family val="2"/>
      </rPr>
      <t>=0,0005</t>
    </r>
  </si>
  <si>
    <r>
      <t>e</t>
    </r>
    <r>
      <rPr>
        <vertAlign val="subscript"/>
        <sz val="14"/>
        <color indexed="10"/>
        <rFont val="Arial"/>
        <family val="2"/>
      </rPr>
      <t>lim</t>
    </r>
    <r>
      <rPr>
        <sz val="14"/>
        <color indexed="10"/>
        <rFont val="Arial"/>
        <family val="2"/>
      </rPr>
      <t>=0,00075</t>
    </r>
  </si>
  <si>
    <r>
      <t>e</t>
    </r>
    <r>
      <rPr>
        <vertAlign val="subscript"/>
        <sz val="14"/>
        <color indexed="12"/>
        <rFont val="Arial"/>
        <family val="2"/>
      </rPr>
      <t>lim</t>
    </r>
    <r>
      <rPr>
        <sz val="14"/>
        <color indexed="12"/>
        <rFont val="Arial"/>
        <family val="2"/>
      </rPr>
      <t>=0,0015</t>
    </r>
  </si>
  <si>
    <r>
      <t>e</t>
    </r>
    <r>
      <rPr>
        <vertAlign val="subscript"/>
        <sz val="14"/>
        <rFont val="Arial"/>
        <family val="2"/>
      </rPr>
      <t>lim</t>
    </r>
    <r>
      <rPr>
        <sz val="14"/>
        <rFont val="Arial"/>
        <family val="2"/>
      </rPr>
      <t>=0,003</t>
    </r>
  </si>
  <si>
    <r>
      <t>e</t>
    </r>
    <r>
      <rPr>
        <vertAlign val="subscript"/>
        <sz val="10"/>
        <rFont val="Times New Roman"/>
        <family val="1"/>
      </rPr>
      <t>b,max</t>
    </r>
  </si>
  <si>
    <r>
      <t>e</t>
    </r>
    <r>
      <rPr>
        <vertAlign val="subscript"/>
        <sz val="10"/>
        <rFont val="Times New Roman"/>
        <family val="1"/>
      </rPr>
      <t>d,max</t>
    </r>
  </si>
  <si>
    <t>L1 [m]</t>
  </si>
  <si>
    <t>L2 [m]</t>
  </si>
  <si>
    <t>L3 [m]</t>
  </si>
  <si>
    <t>Second moment (I)</t>
  </si>
  <si>
    <t xml:space="preserve">Distance neutral axis-edge of beam in tension (Y) </t>
  </si>
  <si>
    <r>
      <t>I1 [m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]</t>
    </r>
  </si>
  <si>
    <r>
      <t>I2 [m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]</t>
    </r>
  </si>
  <si>
    <r>
      <t>I3 [m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]</t>
    </r>
  </si>
  <si>
    <t>Y2 [m]</t>
  </si>
  <si>
    <t>Y3 [m]</t>
  </si>
  <si>
    <t>Y1 [m]</t>
  </si>
  <si>
    <t>L4 [m]</t>
  </si>
  <si>
    <t>L5 [m]</t>
  </si>
  <si>
    <t>L1/H=</t>
  </si>
  <si>
    <t>L2/H=</t>
  </si>
  <si>
    <t>L3/H=</t>
  </si>
  <si>
    <t>L4/H=</t>
  </si>
  <si>
    <t>L5/H=</t>
  </si>
  <si>
    <r>
      <t>I4 [m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]</t>
    </r>
  </si>
  <si>
    <r>
      <t>I5 [m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]</t>
    </r>
  </si>
  <si>
    <t>Y4 [m]</t>
  </si>
  <si>
    <t>Y5 [m]</t>
  </si>
  <si>
    <t>Ih</t>
  </si>
  <si>
    <t>Is</t>
  </si>
  <si>
    <t>yh</t>
  </si>
  <si>
    <t>ys</t>
  </si>
  <si>
    <t>H[m]</t>
  </si>
  <si>
    <t>2 Flex Points</t>
  </si>
  <si>
    <t>Foundation[hogging]</t>
  </si>
  <si>
    <t>Foundation[sagging]</t>
  </si>
  <si>
    <t>H[x]</t>
  </si>
  <si>
    <t>S[x]</t>
  </si>
  <si>
    <t>Y[L1]</t>
  </si>
  <si>
    <t>Y[L2]</t>
  </si>
  <si>
    <t>Y[L3]</t>
  </si>
  <si>
    <t>Y[L4]</t>
  </si>
  <si>
    <t>Y[L5]</t>
  </si>
  <si>
    <t>L1</t>
  </si>
  <si>
    <t>L2</t>
  </si>
  <si>
    <t>L3</t>
  </si>
  <si>
    <t>L4</t>
  </si>
  <si>
    <t>L5</t>
  </si>
  <si>
    <t>Sum</t>
  </si>
  <si>
    <t>X[L1]</t>
  </si>
  <si>
    <t>X[L2]</t>
  </si>
  <si>
    <t>X[L3]</t>
  </si>
  <si>
    <t>X[L4]</t>
  </si>
  <si>
    <t>X[L5]</t>
  </si>
  <si>
    <t>cedimenti uguali</t>
  </si>
  <si>
    <t>tan alfa</t>
  </si>
  <si>
    <t>Delta</t>
  </si>
  <si>
    <t>Ced. Ind.</t>
  </si>
  <si>
    <t xml:space="preserve">Max Delta </t>
  </si>
  <si>
    <t>Sv (cm)</t>
  </si>
  <si>
    <t>Sh (cm)</t>
  </si>
  <si>
    <r>
      <t>e</t>
    </r>
    <r>
      <rPr>
        <b/>
        <sz val="10"/>
        <color indexed="10"/>
        <rFont val="Arial"/>
        <family val="2"/>
      </rPr>
      <t>_h (%)</t>
    </r>
  </si>
  <si>
    <r>
      <t>e</t>
    </r>
    <r>
      <rPr>
        <b/>
        <sz val="10"/>
        <color indexed="12"/>
        <rFont val="Arial"/>
        <family val="2"/>
      </rPr>
      <t>_h (%)</t>
    </r>
  </si>
  <si>
    <r>
      <t>e</t>
    </r>
    <r>
      <rPr>
        <b/>
        <sz val="10"/>
        <rFont val="Arial"/>
        <family val="2"/>
      </rPr>
      <t>_h (%)</t>
    </r>
  </si>
  <si>
    <t>Layout Foundation</t>
  </si>
  <si>
    <t>Punto L1</t>
  </si>
  <si>
    <t>eps_h  [%]</t>
  </si>
  <si>
    <t>Delta/L1 [%]</t>
  </si>
  <si>
    <t>Punto L2</t>
  </si>
  <si>
    <t>Punto L3</t>
  </si>
  <si>
    <t>Punto L4</t>
  </si>
  <si>
    <t>Punto L5</t>
  </si>
  <si>
    <t>Distance between tunnel axes [m]</t>
  </si>
  <si>
    <t xml:space="preserve">Diam._1 [m] </t>
  </si>
  <si>
    <t>Diam._2 [m]</t>
  </si>
  <si>
    <t>Corrected left dist [m]</t>
  </si>
  <si>
    <t>Corrected right dist [m]</t>
  </si>
  <si>
    <t>Flex point reserch</t>
  </si>
  <si>
    <t xml:space="preserve">Tunnel A </t>
  </si>
  <si>
    <t xml:space="preserve">Tunnel B </t>
  </si>
  <si>
    <t>Sv [cm]</t>
  </si>
  <si>
    <t>Sv_max [cm]</t>
  </si>
  <si>
    <t>Sh [cm]</t>
  </si>
  <si>
    <t>Sum Sv cm [y*]</t>
  </si>
  <si>
    <t>Sum Sh  [cm]</t>
  </si>
  <si>
    <r>
      <t>e</t>
    </r>
    <r>
      <rPr>
        <sz val="10"/>
        <rFont val="Arial"/>
        <family val="2"/>
      </rPr>
      <t>_h [%]</t>
    </r>
  </si>
  <si>
    <t>Flex 2</t>
  </si>
  <si>
    <t>Flex 3</t>
  </si>
  <si>
    <t>Flex 4</t>
  </si>
  <si>
    <t>Flex 1</t>
  </si>
  <si>
    <t>S''v_Tunnel A</t>
  </si>
  <si>
    <t>S''v_Tunnel B</t>
  </si>
  <si>
    <r>
      <t>e</t>
    </r>
    <r>
      <rPr>
        <sz val="10"/>
        <rFont val="Arial"/>
        <family val="2"/>
      </rPr>
      <t>_h  [%]</t>
    </r>
  </si>
  <si>
    <t>Tunnel A (Y*)</t>
  </si>
  <si>
    <t xml:space="preserve"> Tunnel B (Y*)</t>
  </si>
  <si>
    <t>SUM (Y*)</t>
  </si>
  <si>
    <t>Vulnerability index</t>
  </si>
  <si>
    <t xml:space="preserve"> N.B. 1000=False point flex</t>
  </si>
  <si>
    <t>Distance between tunnel axis [m]</t>
  </si>
  <si>
    <t>Intermediate points [m]</t>
  </si>
  <si>
    <t>Step [m]</t>
  </si>
  <si>
    <t>Foundation pad span [m]</t>
  </si>
  <si>
    <t xml:space="preserve">Stiffness ratio E/G </t>
  </si>
  <si>
    <t>Empirical evaluation of settlements &amp; Building Risk Analysis</t>
  </si>
  <si>
    <t>Points of inflection</t>
  </si>
  <si>
    <t>Hogging Lenght (Lh)</t>
  </si>
  <si>
    <t>Sagging Lenght (Ls)</t>
  </si>
  <si>
    <t>Horizontal deformation</t>
  </si>
  <si>
    <t>Cedimento Iniziale</t>
  </si>
  <si>
    <t>Cedimento Finale</t>
  </si>
  <si>
    <t>Somma</t>
  </si>
  <si>
    <t>Cedimenti</t>
  </si>
  <si>
    <t>Span foundation [m]</t>
  </si>
  <si>
    <r>
      <t xml:space="preserve">Rotation of the building </t>
    </r>
    <r>
      <rPr>
        <sz val="10"/>
        <rFont val="Symbol"/>
        <family val="1"/>
        <charset val="2"/>
      </rPr>
      <t>w [</t>
    </r>
    <r>
      <rPr>
        <sz val="10"/>
        <rFont val="Arial"/>
        <family val="2"/>
      </rPr>
      <t>rad</t>
    </r>
    <r>
      <rPr>
        <sz val="10"/>
        <rFont val="Symbol"/>
        <family val="1"/>
        <charset val="2"/>
      </rPr>
      <t>]</t>
    </r>
  </si>
  <si>
    <t xml:space="preserve">q </t>
  </si>
  <si>
    <t>Sv' [cm]</t>
  </si>
  <si>
    <t>High</t>
  </si>
  <si>
    <t>Damage classification estabilished by Rankin (1988)</t>
  </si>
  <si>
    <t>The damage classification proposed by Rankin in 1988 applies framed building with isolated foundations or with pile foundations where the distance among piles is such that the "bearing group-effect" is not triggered.</t>
  </si>
  <si>
    <t>eps_d(max)</t>
  </si>
  <si>
    <t>eps_b(max)</t>
  </si>
  <si>
    <t>eps_br</t>
  </si>
  <si>
    <t>eps_dr</t>
  </si>
  <si>
    <t>Burland Classification</t>
  </si>
  <si>
    <t>Output</t>
  </si>
  <si>
    <t>Max eps [%]</t>
  </si>
  <si>
    <t>Risk Category</t>
  </si>
  <si>
    <t>Max degree of Damage</t>
  </si>
  <si>
    <t>Burland Damage Classification</t>
  </si>
  <si>
    <t>Max tensile strain</t>
  </si>
  <si>
    <t>Rankin Damage Classification (Framed Building)</t>
  </si>
  <si>
    <t>Y [m]</t>
  </si>
  <si>
    <t>left</t>
  </si>
  <si>
    <t>right</t>
  </si>
  <si>
    <t>E/G</t>
  </si>
  <si>
    <t>Vulnerability Index</t>
  </si>
  <si>
    <t>Fr</t>
  </si>
  <si>
    <t>&gt;</t>
  </si>
  <si>
    <t>eps_lim=</t>
  </si>
  <si>
    <t>%</t>
  </si>
  <si>
    <t>North Bound-Right</t>
  </si>
  <si>
    <t>Beta^(-1)</t>
  </si>
  <si>
    <t xml:space="preserve"> Building ID:</t>
  </si>
  <si>
    <t>Depth fundation level from ground surface [m]</t>
  </si>
  <si>
    <t>Height building from ground surface [m]</t>
  </si>
  <si>
    <t>TUNNEL A (North Bound-Right)</t>
  </si>
  <si>
    <t>TUNNEL B (South Bound-Left)</t>
  </si>
  <si>
    <t>Dist left tunnel-building [m]</t>
  </si>
  <si>
    <t>Dist right tunnel-building [m]</t>
  </si>
  <si>
    <t>Structural scheme of building</t>
  </si>
  <si>
    <t>Damage Category</t>
  </si>
  <si>
    <t>K</t>
  </si>
  <si>
    <t>settlements colour</t>
  </si>
  <si>
    <t>Vloss</t>
  </si>
  <si>
    <t>Depth axis from ground surface [m]</t>
  </si>
  <si>
    <t>TUNNEL PROPERTIES</t>
  </si>
  <si>
    <t>BUILDING PROPERTIES</t>
  </si>
  <si>
    <t xml:space="preserve">RESULT ANALYSIS </t>
  </si>
  <si>
    <t>Moh parameters (b, m - 1996)</t>
  </si>
  <si>
    <t xml:space="preserve">S_max [mm] </t>
  </si>
  <si>
    <r>
      <t>Max tensile strain ε</t>
    </r>
    <r>
      <rPr>
        <vertAlign val="subscript"/>
        <sz val="8"/>
        <rFont val="Trebuchet MS"/>
        <family val="2"/>
      </rPr>
      <t>r</t>
    </r>
    <r>
      <rPr>
        <sz val="8"/>
        <rFont val="Trebuchet MS"/>
        <family val="2"/>
      </rPr>
      <t>_max [%]</t>
    </r>
  </si>
  <si>
    <t>Degree of Damage</t>
  </si>
  <si>
    <r>
      <rPr>
        <sz val="8"/>
        <rFont val="Symbol"/>
        <family val="1"/>
        <charset val="2"/>
      </rPr>
      <t>b</t>
    </r>
    <r>
      <rPr>
        <sz val="8"/>
        <rFont val="Trebuchet MS"/>
        <family val="2"/>
      </rPr>
      <t>_max</t>
    </r>
  </si>
  <si>
    <r>
      <t xml:space="preserve">e </t>
    </r>
    <r>
      <rPr>
        <b/>
        <sz val="10"/>
        <color indexed="22"/>
        <rFont val="Arial"/>
        <family val="2"/>
      </rPr>
      <t>lim</t>
    </r>
  </si>
  <si>
    <t>X                     (m)</t>
  </si>
  <si>
    <t>Y                       (m)</t>
  </si>
  <si>
    <t xml:space="preserve">Z           asse (m)                               </t>
  </si>
  <si>
    <t>Note</t>
  </si>
  <si>
    <t>Sl. No</t>
  </si>
  <si>
    <t>Building Reference No.</t>
  </si>
  <si>
    <t>Building Name</t>
  </si>
  <si>
    <t>Location</t>
  </si>
  <si>
    <t>Type of Structure</t>
  </si>
  <si>
    <t>Type of Building</t>
  </si>
  <si>
    <t>Age of Building (Years) Aprox.</t>
  </si>
  <si>
    <t xml:space="preserve">Height of Building (m) Aprox. </t>
  </si>
  <si>
    <t>Depth of Foundation (m) Aprox.</t>
  </si>
  <si>
    <t>Type of Foundation</t>
  </si>
  <si>
    <t>Basement Height (m)</t>
  </si>
  <si>
    <t>Framed</t>
  </si>
  <si>
    <t>Building dimensions (m)</t>
  </si>
  <si>
    <t>Chainage [m]</t>
  </si>
  <si>
    <t xml:space="preserve">CLIENT: </t>
  </si>
  <si>
    <t xml:space="preserve">PROJECT: </t>
  </si>
  <si>
    <t xml:space="preserve">PHASE: </t>
  </si>
  <si>
    <t xml:space="preserve">AREA: </t>
  </si>
  <si>
    <t>Distance between Tunnel axes (m)</t>
  </si>
  <si>
    <t>hogging</t>
  </si>
  <si>
    <t>sagging</t>
  </si>
  <si>
    <t>(Δ/L)/εbmax</t>
  </si>
  <si>
    <t>(Δ/L)/εdmax</t>
  </si>
  <si>
    <t>sagging - masonry</t>
  </si>
  <si>
    <t>sagging - framed</t>
  </si>
  <si>
    <t>De                (m)</t>
  </si>
  <si>
    <t>External diameter [m]</t>
  </si>
  <si>
    <t>Pk</t>
  </si>
  <si>
    <t>Quota p.c.          (m s.l.m.)</t>
  </si>
  <si>
    <t>Copertura       (m)</t>
  </si>
  <si>
    <t>Scarto asse/piano ferro</t>
  </si>
  <si>
    <r>
      <t>z</t>
    </r>
    <r>
      <rPr>
        <b/>
        <vertAlign val="subscript"/>
        <sz val="11"/>
        <rFont val="Trebuchet MS"/>
        <family val="2"/>
      </rPr>
      <t>0</t>
    </r>
    <r>
      <rPr>
        <b/>
        <sz val="11"/>
        <rFont val="Trebuchet MS"/>
        <family val="2"/>
      </rPr>
      <t xml:space="preserve"> - profondità asse (m)</t>
    </r>
  </si>
  <si>
    <t>BUILDING CONDITION SURVEY</t>
  </si>
  <si>
    <t>Chainage         (m)</t>
  </si>
  <si>
    <t>Width L2 (perpendicular to the alignment)</t>
  </si>
  <si>
    <t xml:space="preserve">Distance Building to Tunnel axis  (m) </t>
  </si>
  <si>
    <t>Left edge</t>
  </si>
  <si>
    <t>Right edge</t>
  </si>
  <si>
    <r>
      <rPr>
        <b/>
        <sz val="11"/>
        <rFont val="Symbol"/>
        <family val="1"/>
        <charset val="2"/>
      </rPr>
      <t>b</t>
    </r>
    <r>
      <rPr>
        <b/>
        <sz val="11"/>
        <rFont val="Trebuchet MS"/>
        <family val="2"/>
      </rPr>
      <t>_max</t>
    </r>
  </si>
  <si>
    <r>
      <t>Max tensile strain ε</t>
    </r>
    <r>
      <rPr>
        <b/>
        <vertAlign val="subscript"/>
        <sz val="11"/>
        <rFont val="Trebuchet MS"/>
        <family val="2"/>
      </rPr>
      <t>r</t>
    </r>
    <r>
      <rPr>
        <b/>
        <sz val="11"/>
        <rFont val="Trebuchet MS"/>
        <family val="2"/>
      </rPr>
      <t>_max [%]</t>
    </r>
  </si>
  <si>
    <t>Warning</t>
  </si>
  <si>
    <t>Length L1 (parallel     to the alignment)</t>
  </si>
  <si>
    <t>Vulnerability Index (Iv)</t>
  </si>
  <si>
    <r>
      <t>V</t>
    </r>
    <r>
      <rPr>
        <b/>
        <vertAlign val="subscript"/>
        <sz val="11"/>
        <rFont val="Trebuchet MS"/>
        <family val="2"/>
      </rPr>
      <t>loss</t>
    </r>
    <r>
      <rPr>
        <b/>
        <sz val="11"/>
        <rFont val="Trebuchet MS"/>
        <family val="2"/>
      </rPr>
      <t xml:space="preserve"> (%)</t>
    </r>
  </si>
  <si>
    <t>EG-L-059</t>
  </si>
  <si>
    <t>EG-R-098</t>
  </si>
  <si>
    <t>EG-L-095</t>
  </si>
  <si>
    <t>none</t>
  </si>
  <si>
    <t>PK</t>
  </si>
  <si>
    <t>depth</t>
  </si>
  <si>
    <t>Chainage</t>
  </si>
  <si>
    <t>Build Code</t>
  </si>
  <si>
    <t>Vi</t>
  </si>
  <si>
    <t>Height</t>
  </si>
  <si>
    <t>X1</t>
  </si>
  <si>
    <t>EB-R-064</t>
  </si>
  <si>
    <t>EB-R-078</t>
  </si>
  <si>
    <t>EB-R-080</t>
  </si>
  <si>
    <t>EG-R-100</t>
  </si>
  <si>
    <t>EG-R-102</t>
  </si>
  <si>
    <t>EG-R-104</t>
  </si>
  <si>
    <t>EB-R-110</t>
  </si>
  <si>
    <t>EB-R-112</t>
  </si>
  <si>
    <t>EB-R-114</t>
  </si>
  <si>
    <t>EG-R-140</t>
  </si>
  <si>
    <t>EG-R-142</t>
  </si>
  <si>
    <t>EG-R-146</t>
  </si>
  <si>
    <t>EG-R-148</t>
  </si>
  <si>
    <t>EG-R-158</t>
  </si>
  <si>
    <t>EG-R-162</t>
  </si>
  <si>
    <t>EG-L-168</t>
  </si>
  <si>
    <t>EB-L-057</t>
  </si>
  <si>
    <t>EB-L-061</t>
  </si>
  <si>
    <t>EB-L-063</t>
  </si>
  <si>
    <t>EB-L-065</t>
  </si>
  <si>
    <t>EB-L-067</t>
  </si>
  <si>
    <t>EG-L-089</t>
  </si>
  <si>
    <t>EG-L-093</t>
  </si>
  <si>
    <t>EG-L-097</t>
  </si>
  <si>
    <t>EG-L-117</t>
  </si>
  <si>
    <t>EG-L-119</t>
  </si>
  <si>
    <t>EG-L-121</t>
  </si>
  <si>
    <t>EG-L-129</t>
  </si>
  <si>
    <t>EG-L-131</t>
  </si>
  <si>
    <t>EG-L-135</t>
  </si>
  <si>
    <t>EG-L-137</t>
  </si>
  <si>
    <t>EG-L-139</t>
  </si>
  <si>
    <t>EG-L-141</t>
  </si>
  <si>
    <t>EG-L-143</t>
  </si>
  <si>
    <t>EG-L-149</t>
  </si>
  <si>
    <t>EG-L-151</t>
  </si>
  <si>
    <t>EB-R-056</t>
  </si>
  <si>
    <t>EB-R-058</t>
  </si>
  <si>
    <t>EB-R-060</t>
  </si>
  <si>
    <t>EB-R-062</t>
  </si>
  <si>
    <t>Z0</t>
  </si>
  <si>
    <t>Chainage,Arr</t>
  </si>
  <si>
    <t>Distance From Tunnel Center Line (m)
X1</t>
  </si>
  <si>
    <t>Address</t>
  </si>
  <si>
    <t>EbenGavirol64</t>
  </si>
  <si>
    <t>EbenGavirol78</t>
  </si>
  <si>
    <t>EbenGavirol80</t>
  </si>
  <si>
    <t>EbenGavirol98</t>
  </si>
  <si>
    <t>EbenGavirol100</t>
  </si>
  <si>
    <t>EbenGavirol102</t>
  </si>
  <si>
    <t>EbenGavirol104</t>
  </si>
  <si>
    <t>EbenGavirol110</t>
  </si>
  <si>
    <t>EbenGavirol112</t>
  </si>
  <si>
    <t>EbenGavirol114</t>
  </si>
  <si>
    <t>EbenGavirol140</t>
  </si>
  <si>
    <t>EbenGavirol142</t>
  </si>
  <si>
    <t>EbenGavirol146</t>
  </si>
  <si>
    <t>EbenGavirol148</t>
  </si>
  <si>
    <t>EbenGavirol158</t>
  </si>
  <si>
    <t>EbenGavirol168</t>
  </si>
  <si>
    <t>EbenGavirol57</t>
  </si>
  <si>
    <t>EbenGavirol59</t>
  </si>
  <si>
    <t>EbenGavirol61</t>
  </si>
  <si>
    <t>EbenGavirol63</t>
  </si>
  <si>
    <t>EbenGavirol65</t>
  </si>
  <si>
    <t>EbenGavirol67</t>
  </si>
  <si>
    <t>EbenGavirol89</t>
  </si>
  <si>
    <t>EbenGavirol93</t>
  </si>
  <si>
    <t>EbenGavirol095</t>
  </si>
  <si>
    <t>EbenGavirol097</t>
  </si>
  <si>
    <t>EbenGavirol117</t>
  </si>
  <si>
    <t>EbenGavirol119</t>
  </si>
  <si>
    <t>EbenGavirol121</t>
  </si>
  <si>
    <t>EbenGavirol129</t>
  </si>
  <si>
    <t>EbenGavirol131</t>
  </si>
  <si>
    <t>EbenGavirol135</t>
  </si>
  <si>
    <t>EbenGavirol137</t>
  </si>
  <si>
    <t>EbenGavirol139</t>
  </si>
  <si>
    <t>EbenGavirol141</t>
  </si>
  <si>
    <t>EbenGavirol143</t>
  </si>
  <si>
    <t>EbenGavirol149</t>
  </si>
  <si>
    <t>EbenGavirol151</t>
  </si>
  <si>
    <t>EbenGavirol56</t>
  </si>
  <si>
    <t>EbenGavirol58</t>
  </si>
  <si>
    <t>EbenGavirol60</t>
  </si>
  <si>
    <t>EbenGavirol62</t>
  </si>
  <si>
    <t>Stazione/Tunnel</t>
  </si>
  <si>
    <t>Dist,tunn</t>
  </si>
  <si>
    <t>dist tra PK</t>
  </si>
  <si>
    <t>dist perpendicolare</t>
  </si>
  <si>
    <t>Building Height</t>
  </si>
  <si>
    <t>Building Code</t>
  </si>
  <si>
    <t>Vertical Structure</t>
  </si>
  <si>
    <t>Karlibach20-pizzaphilippe</t>
  </si>
  <si>
    <t>KB-R-020</t>
  </si>
  <si>
    <t>ConcreteColumns</t>
  </si>
  <si>
    <t>EbenGavirol48</t>
  </si>
  <si>
    <t>19,5</t>
  </si>
  <si>
    <t>EG-R-048</t>
  </si>
  <si>
    <t>14,6</t>
  </si>
  <si>
    <t>21,5</t>
  </si>
  <si>
    <t>14,3</t>
  </si>
  <si>
    <t>13,3</t>
  </si>
  <si>
    <t>EbenGavirol41</t>
  </si>
  <si>
    <t>EG-L-041</t>
  </si>
  <si>
    <t>BrickWalls</t>
  </si>
  <si>
    <t>EbenGavirol49</t>
  </si>
  <si>
    <t>EG-L-049</t>
  </si>
  <si>
    <t>15,1</t>
  </si>
  <si>
    <t>EbenGavirol51</t>
  </si>
  <si>
    <t>EG-L-051</t>
  </si>
  <si>
    <t>Concretepillars</t>
  </si>
  <si>
    <t>EbenGavirol55</t>
  </si>
  <si>
    <t>EG-L-055</t>
  </si>
  <si>
    <t>EbenGavirol6</t>
  </si>
  <si>
    <t>EG-R-006</t>
  </si>
  <si>
    <t>15,2</t>
  </si>
  <si>
    <t>18,1</t>
  </si>
  <si>
    <t>23,9</t>
  </si>
  <si>
    <t>EbenGavirol8</t>
  </si>
  <si>
    <t>EG-R-008</t>
  </si>
  <si>
    <t>25,4</t>
  </si>
  <si>
    <t>EbenGavirol10</t>
  </si>
  <si>
    <t>EG-R-010</t>
  </si>
  <si>
    <t>17,9</t>
  </si>
  <si>
    <t>23,7</t>
  </si>
  <si>
    <t>EbenGavirol12</t>
  </si>
  <si>
    <t>EG-R-012</t>
  </si>
  <si>
    <t>19,1</t>
  </si>
  <si>
    <t>EbenGavirol144</t>
  </si>
  <si>
    <t>20,5</t>
  </si>
  <si>
    <t>EG-R-144</t>
  </si>
  <si>
    <t>EbenGavirol163</t>
  </si>
  <si>
    <t>EG-L-163</t>
  </si>
  <si>
    <t>14,8</t>
  </si>
  <si>
    <t>14,4</t>
  </si>
  <si>
    <t>22,1</t>
  </si>
  <si>
    <t>Hasomron1</t>
  </si>
  <si>
    <t>HM-R-001</t>
  </si>
  <si>
    <t>MenachemBegin28</t>
  </si>
  <si>
    <t>MB-R-028</t>
  </si>
  <si>
    <t>EbenGavirol21</t>
  </si>
  <si>
    <t>17,5</t>
  </si>
  <si>
    <t>EB-L-021</t>
  </si>
  <si>
    <t>EbenGavirol23</t>
  </si>
  <si>
    <t>EB-L-023</t>
  </si>
  <si>
    <t>EbenGavirol27</t>
  </si>
  <si>
    <t>EB-L-027</t>
  </si>
  <si>
    <t>EbenGavirol31</t>
  </si>
  <si>
    <t>EB-L-031</t>
  </si>
  <si>
    <t>23,6</t>
  </si>
  <si>
    <t>15,7</t>
  </si>
  <si>
    <t>EbenGavirol1</t>
  </si>
  <si>
    <t>EG-L-001</t>
  </si>
  <si>
    <t>EbenGavirol5</t>
  </si>
  <si>
    <t>EG-L-005</t>
  </si>
  <si>
    <t>EbenGavirol7</t>
  </si>
  <si>
    <t>EG-L-007</t>
  </si>
  <si>
    <t>20,8</t>
  </si>
  <si>
    <t>EbenGavirol15</t>
  </si>
  <si>
    <t>EG-L-015</t>
  </si>
  <si>
    <t>15,8</t>
  </si>
  <si>
    <t>19,6</t>
  </si>
  <si>
    <t>EbenGavirol17</t>
  </si>
  <si>
    <t>EG-L-017</t>
  </si>
  <si>
    <t>17,4</t>
  </si>
  <si>
    <t>EbenGavirol19</t>
  </si>
  <si>
    <t>EG-L-019</t>
  </si>
  <si>
    <t>8,8</t>
  </si>
  <si>
    <t>EbenGavirol25</t>
  </si>
  <si>
    <t>EG-L-025</t>
  </si>
  <si>
    <t>EbenGavirol33</t>
  </si>
  <si>
    <t>EG-L-033</t>
  </si>
  <si>
    <t>EbenGavirol35</t>
  </si>
  <si>
    <t>EG-L-035</t>
  </si>
  <si>
    <t>EbenGavirol73</t>
  </si>
  <si>
    <t>EG-L-073</t>
  </si>
  <si>
    <t>EbenGavirol75</t>
  </si>
  <si>
    <t>EG-L-075</t>
  </si>
  <si>
    <t>EbenGavirol77</t>
  </si>
  <si>
    <t>EG-L-077</t>
  </si>
  <si>
    <t>EbenGavirol79</t>
  </si>
  <si>
    <t>EG-L-079</t>
  </si>
  <si>
    <t>EbenGavirol81</t>
  </si>
  <si>
    <t>EG-L-081</t>
  </si>
  <si>
    <t>EbenGavirol83</t>
  </si>
  <si>
    <t>EG-L-083</t>
  </si>
  <si>
    <t>EbenGavirol85</t>
  </si>
  <si>
    <t>EG-L-085</t>
  </si>
  <si>
    <t>EbenGavirol87</t>
  </si>
  <si>
    <t>EG-L-087</t>
  </si>
  <si>
    <t>EbenGavirol91</t>
  </si>
  <si>
    <t>EG-L-091</t>
  </si>
  <si>
    <t>EbenGavirol127</t>
  </si>
  <si>
    <t>EG-L-127</t>
  </si>
  <si>
    <t>EbenGavirol133</t>
  </si>
  <si>
    <t>EG-L-133</t>
  </si>
  <si>
    <t>EbenGavirol147</t>
  </si>
  <si>
    <t>EG-L-147</t>
  </si>
  <si>
    <t>EbenGavirol20</t>
  </si>
  <si>
    <t>EG-R-020</t>
  </si>
  <si>
    <t>EbenGavirol22</t>
  </si>
  <si>
    <t>EG-R-022</t>
  </si>
  <si>
    <t>EbenGavirol24</t>
  </si>
  <si>
    <t>EG-R-024</t>
  </si>
  <si>
    <t>EbenGavirol38</t>
  </si>
  <si>
    <t>EG-R-038</t>
  </si>
  <si>
    <t>EbenGavirol40</t>
  </si>
  <si>
    <t>EG-R-040</t>
  </si>
  <si>
    <t>EbenGavirol42</t>
  </si>
  <si>
    <t>EG-R-042</t>
  </si>
  <si>
    <t>EbenGavirol44</t>
  </si>
  <si>
    <t>EG-R-044</t>
  </si>
  <si>
    <t>EbenGavirol46</t>
  </si>
  <si>
    <t>EG-R-046</t>
  </si>
  <si>
    <t>EbenGavirol50</t>
  </si>
  <si>
    <t>EG-R-050</t>
  </si>
  <si>
    <t>EbenGavirol52</t>
  </si>
  <si>
    <t>EG-R-052</t>
  </si>
  <si>
    <t>EbenGavirol86</t>
  </si>
  <si>
    <t>EG-R-086</t>
  </si>
  <si>
    <t>EbenGavirol88</t>
  </si>
  <si>
    <t>EG-R-088</t>
  </si>
  <si>
    <t>EbenGavirol90</t>
  </si>
  <si>
    <t>EG-R-090</t>
  </si>
  <si>
    <t>EbenGavirol92</t>
  </si>
  <si>
    <t>EG-R-092</t>
  </si>
  <si>
    <t>EbenGavirol94</t>
  </si>
  <si>
    <t>EG-R-094</t>
  </si>
  <si>
    <t>EbenGavirol96</t>
  </si>
  <si>
    <t>EG-R-096</t>
  </si>
  <si>
    <t>EbenGavirol150</t>
  </si>
  <si>
    <t>EG-R-150</t>
  </si>
  <si>
    <t>EbenGavirol152</t>
  </si>
  <si>
    <t>EG-R-152</t>
  </si>
  <si>
    <t>EbenGavirol154</t>
  </si>
  <si>
    <t>EG-R-154</t>
  </si>
  <si>
    <t>EbenGavirol156</t>
  </si>
  <si>
    <t>EG-R-156</t>
  </si>
  <si>
    <t>Karlibach39</t>
  </si>
  <si>
    <t>KB-L-039</t>
  </si>
  <si>
    <t>Karlibach41</t>
  </si>
  <si>
    <t>KB-L-041</t>
  </si>
  <si>
    <t>Masonry</t>
  </si>
  <si>
    <t>EbenGavirol162</t>
  </si>
  <si>
    <t>Karlibach43</t>
  </si>
  <si>
    <t>Menachem17</t>
  </si>
  <si>
    <t>Menachem19</t>
  </si>
  <si>
    <t>Manca scheda Vi</t>
  </si>
  <si>
    <t>Z0-Ferro</t>
  </si>
  <si>
    <t xml:space="preserve"> tolti 3,604m x cifra tonda z0=10m in quanto il cortile è piu basso della strada. Z Ferro da scheda 15,404 -3,604 = Z Ferro 11,8</t>
  </si>
  <si>
    <t>SINOHYDRO/RAMET</t>
  </si>
  <si>
    <t>FOR TENDER</t>
  </si>
  <si>
    <t>Reinforced concrete</t>
  </si>
  <si>
    <t>Critical</t>
  </si>
  <si>
    <t>Medium</t>
  </si>
  <si>
    <t xml:space="preserve">Z          asse pos(m)                               </t>
  </si>
  <si>
    <t>Good</t>
  </si>
  <si>
    <t>Jabotinski_39</t>
  </si>
  <si>
    <t>Jabotinski_8</t>
  </si>
  <si>
    <t>Weizman_14</t>
  </si>
  <si>
    <t>TEL</t>
  </si>
  <si>
    <t>BY-TBM-B008</t>
  </si>
  <si>
    <t>BY-TBM-B012</t>
  </si>
  <si>
    <t>BY-TBM-B013</t>
  </si>
  <si>
    <t>BY-TBM-B014</t>
  </si>
  <si>
    <t>BY-TBM-B016</t>
  </si>
  <si>
    <t>BY-TBM-B017</t>
  </si>
  <si>
    <t>BY-TBM-B018</t>
  </si>
  <si>
    <t>BY-TBM-B021</t>
  </si>
  <si>
    <t>BY-TBM-B024</t>
  </si>
  <si>
    <t>BY-TBM-B027</t>
  </si>
  <si>
    <t>BY-TBM-B028</t>
  </si>
  <si>
    <t>LD-45-B001</t>
  </si>
  <si>
    <t>LD-45-B002</t>
  </si>
  <si>
    <t>LD-45-B003</t>
  </si>
  <si>
    <t>LD-45-B004</t>
  </si>
  <si>
    <t>LD-45-B005</t>
  </si>
  <si>
    <t>LD-45-B006</t>
  </si>
  <si>
    <t>LD-45-B007</t>
  </si>
  <si>
    <t>LD-46-B001</t>
  </si>
  <si>
    <t>LD-46-B002</t>
  </si>
  <si>
    <t>LD-46-B003</t>
  </si>
  <si>
    <t>LD-46-B004</t>
  </si>
  <si>
    <t>LD-46-B005</t>
  </si>
  <si>
    <t>LD-46-B006</t>
  </si>
  <si>
    <t>LD-46-B007A</t>
  </si>
  <si>
    <t>LD-46-B007B</t>
  </si>
  <si>
    <t>LD-46-B007C</t>
  </si>
  <si>
    <t>LD-46-B007D</t>
  </si>
  <si>
    <t>LD-46-B007E</t>
  </si>
  <si>
    <t>LD-46-B009</t>
  </si>
  <si>
    <t>LD-46-B010</t>
  </si>
  <si>
    <t>LD-TBM-B003</t>
  </si>
  <si>
    <t>LD-TBM-B005</t>
  </si>
  <si>
    <t>LD-TBM-B007</t>
  </si>
  <si>
    <t>LD-TBM-B009</t>
  </si>
  <si>
    <t>LD-TBM-B011</t>
  </si>
  <si>
    <t>LD-TBM-B013</t>
  </si>
  <si>
    <t>RM-43-B001</t>
  </si>
  <si>
    <t>RM-43-B003</t>
  </si>
  <si>
    <t>RM-43-B004</t>
  </si>
  <si>
    <t>RM-43-B005</t>
  </si>
  <si>
    <t>RM-43-B006</t>
  </si>
  <si>
    <t>RM-43-B007</t>
  </si>
  <si>
    <t>RM-43-B008</t>
  </si>
  <si>
    <t>RM-43-B009</t>
  </si>
  <si>
    <t>RM-43-B010</t>
  </si>
  <si>
    <t>RM-43-B011</t>
  </si>
  <si>
    <t>RM-43-B012</t>
  </si>
  <si>
    <t>RM-43-B012B</t>
  </si>
  <si>
    <t>RM-43-B013</t>
  </si>
  <si>
    <t>RM-43-B014</t>
  </si>
  <si>
    <t>RM-43-B015</t>
  </si>
  <si>
    <t>RM-43-B016</t>
  </si>
  <si>
    <t>RM-43-B017</t>
  </si>
  <si>
    <t>RM-43-B018</t>
  </si>
  <si>
    <t>RM-43-B019</t>
  </si>
  <si>
    <t>RM-43-B021</t>
  </si>
  <si>
    <t>RM-43-B022</t>
  </si>
  <si>
    <t>RM-43-B023</t>
  </si>
  <si>
    <t>RM-43-B024</t>
  </si>
  <si>
    <t>RM-44-B001</t>
  </si>
  <si>
    <t>RM-44-B003</t>
  </si>
  <si>
    <t>RM-44-B004</t>
  </si>
  <si>
    <t>RM-44-B006</t>
  </si>
  <si>
    <t>RM-44-B007</t>
  </si>
  <si>
    <t>RM-44-B008</t>
  </si>
  <si>
    <t>RM-44-B009</t>
  </si>
  <si>
    <t>RM-44-B010</t>
  </si>
  <si>
    <t>RM-44-B011</t>
  </si>
  <si>
    <t>RM-44-B012</t>
  </si>
  <si>
    <t>RM-44-B013</t>
  </si>
  <si>
    <t>RM-44-B014</t>
  </si>
  <si>
    <t>RM-44-B015</t>
  </si>
  <si>
    <t>RM-44-B017</t>
  </si>
  <si>
    <t>RM-44-B019</t>
  </si>
  <si>
    <t>RM-44-B020</t>
  </si>
  <si>
    <t>RM-44-B021</t>
  </si>
  <si>
    <t>RM-44-B022</t>
  </si>
  <si>
    <t>RM-44-B023</t>
  </si>
  <si>
    <t>RM-44-B024</t>
  </si>
  <si>
    <t>RM-44-B025</t>
  </si>
  <si>
    <t>RM-TBM-B009</t>
  </si>
  <si>
    <t>RM-TBM-B013</t>
  </si>
  <si>
    <t>RM-TBM-B014</t>
  </si>
  <si>
    <t>RM-TBM-B015</t>
  </si>
  <si>
    <t>RM-TBM-B016</t>
  </si>
  <si>
    <t>RM-TBM-B017</t>
  </si>
  <si>
    <t>RM-TBM-B018</t>
  </si>
  <si>
    <t>RM-TBM-B019</t>
  </si>
  <si>
    <t>RM-TBM-B020</t>
  </si>
  <si>
    <t>RM-TBM-B021</t>
  </si>
  <si>
    <t>RM-TBM-B022</t>
  </si>
  <si>
    <t>RM-TBM-B023</t>
  </si>
  <si>
    <t>RM-TBM-B024</t>
  </si>
  <si>
    <t>RM-TBM-B025</t>
  </si>
  <si>
    <t>RM-TBM-B027</t>
  </si>
  <si>
    <t>RM-TBM-B028</t>
  </si>
  <si>
    <t>RM-TBM-B029</t>
  </si>
  <si>
    <t>RM-TBM-B030</t>
  </si>
  <si>
    <t>RM-TBM-B031</t>
  </si>
  <si>
    <t>RM-TBM-B032</t>
  </si>
  <si>
    <t>RM-TBM-B033</t>
  </si>
  <si>
    <t>RM-TBM-B034</t>
  </si>
  <si>
    <t>RM-TBM-B035</t>
  </si>
  <si>
    <t>RM-TBM-B036</t>
  </si>
  <si>
    <t>RM-TBM-B037</t>
  </si>
  <si>
    <t>RM-TBM-B038</t>
  </si>
  <si>
    <t>RM-TBM-B039</t>
  </si>
  <si>
    <t>RM-TBM-B040</t>
  </si>
  <si>
    <t>RM-TBM-B041</t>
  </si>
  <si>
    <t>RM-TBM-B042</t>
  </si>
  <si>
    <t>RM-TBM-B043</t>
  </si>
  <si>
    <t>RM-TBM-B044</t>
  </si>
  <si>
    <t>RM-TBM-B045</t>
  </si>
  <si>
    <t>RM-TBM-B046</t>
  </si>
  <si>
    <t>RM-TBM-B047</t>
  </si>
  <si>
    <t>RM-TBM-B048</t>
  </si>
  <si>
    <t>RM-TBM-B049</t>
  </si>
  <si>
    <t>RM-TBM-B050</t>
  </si>
  <si>
    <t>RM-TBM-B051</t>
  </si>
  <si>
    <t>RM-TBM-B052</t>
  </si>
  <si>
    <t>RM-TBM-B053</t>
  </si>
  <si>
    <t>RM-TBM-B054</t>
  </si>
  <si>
    <t>RM-TBM-B056</t>
  </si>
  <si>
    <t>RM-TBM-B057</t>
  </si>
  <si>
    <t>RM-TBM-B058</t>
  </si>
  <si>
    <t>RM-TBM-B059</t>
  </si>
  <si>
    <t>RM-TBM-B060</t>
  </si>
  <si>
    <t>RM-TBM-B063</t>
  </si>
  <si>
    <t>RM-TBM-B064A</t>
  </si>
  <si>
    <t>RM-TBM-B064B</t>
  </si>
  <si>
    <t>RM-TBM-B065</t>
  </si>
  <si>
    <t>RM-TBM-B066</t>
  </si>
  <si>
    <t>RM-TBM-B067</t>
  </si>
  <si>
    <t>RM-TBM-B069</t>
  </si>
  <si>
    <t>RM-TBM-B071</t>
  </si>
  <si>
    <t>RM-TBM-B073</t>
  </si>
  <si>
    <t>RM-TBM-B074</t>
  </si>
  <si>
    <t>RM-TBM-B075</t>
  </si>
  <si>
    <t>RM-TBM-B076</t>
  </si>
  <si>
    <t>RM-TBM-B077</t>
  </si>
  <si>
    <t>RM-TBM-B079</t>
  </si>
  <si>
    <t>RM-TBM-B080</t>
  </si>
  <si>
    <t>RM-TBM-B081</t>
  </si>
  <si>
    <t>RM-TBM-B082</t>
  </si>
  <si>
    <t>RM-TBM-B084</t>
  </si>
  <si>
    <t>RY-36-B001</t>
  </si>
  <si>
    <t>RY-36-B002</t>
  </si>
  <si>
    <t>RY-36-B003</t>
  </si>
  <si>
    <t>RY-36-B004</t>
  </si>
  <si>
    <t>RY-36-B005</t>
  </si>
  <si>
    <t>RY-36-B006</t>
  </si>
  <si>
    <t>RY-36-B007</t>
  </si>
  <si>
    <t>RY-TBM-B058</t>
  </si>
  <si>
    <t>RY-TBM-B060</t>
  </si>
  <si>
    <t>RY-TBM-B062</t>
  </si>
  <si>
    <t>RY-TBM-B064</t>
  </si>
  <si>
    <t>RY-TBM-B066</t>
  </si>
  <si>
    <t>RY-TBM-B067</t>
  </si>
  <si>
    <t>RY-TBM-B068</t>
  </si>
  <si>
    <t>RY-TBM-B069</t>
  </si>
  <si>
    <t>RY-TBM-B070</t>
  </si>
  <si>
    <t>RY-TBM-B071</t>
  </si>
  <si>
    <t>RY-TBM-B072</t>
  </si>
  <si>
    <t>RY-TBM-B073</t>
  </si>
  <si>
    <t>RY-TBM-B074</t>
  </si>
  <si>
    <t>RY-TBM-B075</t>
  </si>
  <si>
    <t>RY-TBM-B076</t>
  </si>
  <si>
    <t>RY-TBM-B077</t>
  </si>
  <si>
    <t>RY-TBM-B078</t>
  </si>
  <si>
    <t>RY-TBM-B079</t>
  </si>
  <si>
    <t>RY-TBM-B080</t>
  </si>
  <si>
    <t>RY-TBM-B082</t>
  </si>
  <si>
    <t>RY-TBM-B084</t>
  </si>
  <si>
    <t>TS-39-B002</t>
  </si>
  <si>
    <t>TS-TBM-B002</t>
  </si>
  <si>
    <t>Naomi_Shemer_16</t>
  </si>
  <si>
    <t>Ha'Etrog_4</t>
  </si>
  <si>
    <t>Ha'Etrog_8</t>
  </si>
  <si>
    <t>Ha'Etrog_2</t>
  </si>
  <si>
    <t>Ha'Pardes_11</t>
  </si>
  <si>
    <t>Ha'Tapuz_5</t>
  </si>
  <si>
    <t>Ha'Pardes_7</t>
  </si>
  <si>
    <t>Ha'Tapuz_1</t>
  </si>
  <si>
    <t>Jabotinski_39A</t>
  </si>
  <si>
    <t>Jerusalem_Blvd_/
Kutner_nan</t>
  </si>
  <si>
    <t>Derech_HaRama_/
Tel_Khai_st_nan</t>
  </si>
  <si>
    <t>Efraim_Luzon_3</t>
  </si>
  <si>
    <t>Efraim_Luzon_5</t>
  </si>
  <si>
    <t>Efraim_Luzon_7</t>
  </si>
  <si>
    <t>Efraim_Luzon_9</t>
  </si>
  <si>
    <t>Jerusalem_Blvd/
Kutner_nan</t>
  </si>
  <si>
    <t>Jerusalem_Blvd_14</t>
  </si>
  <si>
    <t>Jerusalem_Blvd_12</t>
  </si>
  <si>
    <t>Jerusalem_Blvd_10</t>
  </si>
  <si>
    <t>Jerusalem_Blvd_8</t>
  </si>
  <si>
    <t>Jerusalem_Blvd_6</t>
  </si>
  <si>
    <t>Jerusalem_Blvd_4</t>
  </si>
  <si>
    <t>Jerusalem_Blvd_2/A</t>
  </si>
  <si>
    <t>Jerusalem_Blvd_2/B</t>
  </si>
  <si>
    <t>Jerusalem_Blvd_2/C</t>
  </si>
  <si>
    <t>Jerusalem_Blvd_2/D</t>
  </si>
  <si>
    <t>Jerusalem_Blvd_2/E</t>
  </si>
  <si>
    <t>HaTsiyyonut_Blvd_1</t>
  </si>
  <si>
    <t>Jerusalem_Blvd_nan</t>
  </si>
  <si>
    <t>Jerusalem_Blvd_16</t>
  </si>
  <si>
    <t>HaNasi_1</t>
  </si>
  <si>
    <t>HaNasi_1/A</t>
  </si>
  <si>
    <t>HaNasi_1/B</t>
  </si>
  <si>
    <t>Nekhushtan_4</t>
  </si>
  <si>
    <t>Bar-Ilan_29-35</t>
  </si>
  <si>
    <t>Bar-Ilan_39_Entrance_A</t>
  </si>
  <si>
    <t>Bar-Ilan_39_Entrance_B</t>
  </si>
  <si>
    <t>Bar-Ilan_39_Entrance_C</t>
  </si>
  <si>
    <t>Bar-Ilan_39_Entrance_D</t>
  </si>
  <si>
    <t>Harav_Mimon_9_Entrance_C</t>
  </si>
  <si>
    <t>Harav_Mimon_9_Entrance_B</t>
  </si>
  <si>
    <t>Bar-Ilan_43_Entrance_A</t>
  </si>
  <si>
    <t>Bar-Ilan_43_Entrance_B</t>
  </si>
  <si>
    <t>Bar-Ilan_43_Entrance_C</t>
  </si>
  <si>
    <t>Bar-Ilan_43_Entrance_D</t>
  </si>
  <si>
    <t>Bar-Ilan_22</t>
  </si>
  <si>
    <t>Avraham_Hillel_1_Entrance_D</t>
  </si>
  <si>
    <t>Avraham_Hillel_1_Entrance_C</t>
  </si>
  <si>
    <t>Bar-Ilan_24_Entrance_D</t>
  </si>
  <si>
    <t>Bar-Ilan_24_Entrance_C</t>
  </si>
  <si>
    <t>Bar-Ilan_24_Entrance_B</t>
  </si>
  <si>
    <t>Bar-Ilan_24_Entrance_A</t>
  </si>
  <si>
    <t>Bar-Ilan_26_Entrance_D</t>
  </si>
  <si>
    <t>Bar-Ilan_26_Entrance_C</t>
  </si>
  <si>
    <t>Bar-Ilan_26_Entrance_B</t>
  </si>
  <si>
    <t>Bar-Ilan_26_Entrance_A</t>
  </si>
  <si>
    <t>Itzhak_Sade_11</t>
  </si>
  <si>
    <t>Itzhak_Sade_nan</t>
  </si>
  <si>
    <t>Etzel_20/22</t>
  </si>
  <si>
    <t>Etzel_10</t>
  </si>
  <si>
    <t>Itzhak_Sade_17</t>
  </si>
  <si>
    <t>Itzhak_Sade_19</t>
  </si>
  <si>
    <t>Hapalmach_nan</t>
  </si>
  <si>
    <t>SOUTH</t>
  </si>
  <si>
    <t>Steel frame</t>
  </si>
  <si>
    <t>Reinforced concrete / steel</t>
  </si>
  <si>
    <t>Bricks</t>
  </si>
  <si>
    <t>Reinforced concrete / Bricks</t>
  </si>
  <si>
    <t>Stone</t>
  </si>
  <si>
    <t>Steel</t>
  </si>
  <si>
    <t>Reinforced concrete / bricks</t>
  </si>
  <si>
    <t>Reinforced concrete and Bricks</t>
  </si>
  <si>
    <t>Fuori Range</t>
  </si>
  <si>
    <t>1/3439</t>
  </si>
  <si>
    <t>1/3651</t>
  </si>
  <si>
    <t>1/17743</t>
  </si>
  <si>
    <t>1/3023</t>
  </si>
  <si>
    <t>1/6467</t>
  </si>
  <si>
    <t>1/8259</t>
  </si>
  <si>
    <t>1/3127</t>
  </si>
  <si>
    <t>1/19632</t>
  </si>
  <si>
    <t>1/3699</t>
  </si>
  <si>
    <t>1/13250</t>
  </si>
  <si>
    <t>1/5617</t>
  </si>
  <si>
    <t>1/5338</t>
  </si>
  <si>
    <t>1/3187</t>
  </si>
  <si>
    <t>1/6523</t>
  </si>
  <si>
    <t>1/3136</t>
  </si>
  <si>
    <t>1/1489</t>
  </si>
  <si>
    <t>1/900</t>
  </si>
  <si>
    <t>1/17409</t>
  </si>
  <si>
    <t>1/19762</t>
  </si>
  <si>
    <t>1/17828</t>
  </si>
  <si>
    <t>1/1687</t>
  </si>
  <si>
    <t>1/1037</t>
  </si>
  <si>
    <t>1/2040</t>
  </si>
  <si>
    <t>1/249106</t>
  </si>
  <si>
    <t>1/1164</t>
  </si>
  <si>
    <t>1/1757</t>
  </si>
  <si>
    <t>1/827</t>
  </si>
  <si>
    <t>1/1347</t>
  </si>
  <si>
    <t>1/1573</t>
  </si>
  <si>
    <t>1/1461</t>
  </si>
  <si>
    <t>1/1398</t>
  </si>
  <si>
    <t>1/1438</t>
  </si>
  <si>
    <t>1/2032</t>
  </si>
  <si>
    <t>1/2465</t>
  </si>
  <si>
    <t>1/2849</t>
  </si>
  <si>
    <t>1/24669</t>
  </si>
  <si>
    <t>1/50968</t>
  </si>
  <si>
    <t>1/64145</t>
  </si>
  <si>
    <t>1/89007</t>
  </si>
  <si>
    <t>1/202607</t>
  </si>
  <si>
    <t>1/23848</t>
  </si>
  <si>
    <t>1/9627</t>
  </si>
  <si>
    <t>1/43919</t>
  </si>
  <si>
    <t>1/8211</t>
  </si>
  <si>
    <t>1/11222</t>
  </si>
  <si>
    <t>1/5390</t>
  </si>
  <si>
    <t>1/5251</t>
  </si>
  <si>
    <t>1/54554</t>
  </si>
  <si>
    <t>1/5573</t>
  </si>
  <si>
    <t>1/6400</t>
  </si>
  <si>
    <t>1/3498</t>
  </si>
  <si>
    <t>1/1271</t>
  </si>
  <si>
    <t>1/4908</t>
  </si>
  <si>
    <t>1/6932</t>
  </si>
  <si>
    <t>1/1263</t>
  </si>
  <si>
    <t>1/3207</t>
  </si>
  <si>
    <t>1/1195</t>
  </si>
  <si>
    <t>1/24930</t>
  </si>
  <si>
    <t>1/1383</t>
  </si>
  <si>
    <t>1/68902</t>
  </si>
  <si>
    <t>1/1251</t>
  </si>
  <si>
    <t>1/19972</t>
  </si>
  <si>
    <t>1/1187</t>
  </si>
  <si>
    <t>1/10276</t>
  </si>
  <si>
    <t>1/1281</t>
  </si>
  <si>
    <t>1/22166</t>
  </si>
  <si>
    <t>1/45340</t>
  </si>
  <si>
    <t>1/35140</t>
  </si>
  <si>
    <t>1/3991</t>
  </si>
  <si>
    <t>1/44550</t>
  </si>
  <si>
    <t>1/1980</t>
  </si>
  <si>
    <t>1/17734</t>
  </si>
  <si>
    <t>1/5432</t>
  </si>
  <si>
    <t>1/6097</t>
  </si>
  <si>
    <t>1/12353</t>
  </si>
  <si>
    <t>1/6464</t>
  </si>
  <si>
    <t>1/4677</t>
  </si>
  <si>
    <t>1/6665</t>
  </si>
  <si>
    <t>1/4309</t>
  </si>
  <si>
    <t>1/5952</t>
  </si>
  <si>
    <t>1/16716</t>
  </si>
  <si>
    <t>1/3617</t>
  </si>
  <si>
    <t>1/5519</t>
  </si>
  <si>
    <t>1/1881446</t>
  </si>
  <si>
    <t>1/5164</t>
  </si>
  <si>
    <t>1/6434</t>
  </si>
  <si>
    <t>1/2558</t>
  </si>
  <si>
    <t>1/3057</t>
  </si>
  <si>
    <t>1/3398</t>
  </si>
  <si>
    <t>1/2954</t>
  </si>
  <si>
    <t>1/3380</t>
  </si>
  <si>
    <t>1/6208</t>
  </si>
  <si>
    <t>1/2366</t>
  </si>
  <si>
    <t>1/3736</t>
  </si>
  <si>
    <t>1/3601</t>
  </si>
  <si>
    <t>1/8150</t>
  </si>
  <si>
    <t>1/4107</t>
  </si>
  <si>
    <t>1/9111</t>
  </si>
  <si>
    <t>1/6841</t>
  </si>
  <si>
    <t>1/9925</t>
  </si>
  <si>
    <t>1/9836</t>
  </si>
  <si>
    <t>1/1777</t>
  </si>
  <si>
    <t>1/10288</t>
  </si>
  <si>
    <t>1/10569</t>
  </si>
  <si>
    <t>1/8258</t>
  </si>
  <si>
    <t>1/21506</t>
  </si>
  <si>
    <t>1/185071</t>
  </si>
  <si>
    <t>1/14295</t>
  </si>
  <si>
    <t>1/93811</t>
  </si>
  <si>
    <t>1/35177</t>
  </si>
  <si>
    <t>1/11285</t>
  </si>
  <si>
    <t>1/2093</t>
  </si>
  <si>
    <t>1/21434</t>
  </si>
  <si>
    <t>1/3648</t>
  </si>
  <si>
    <t>1/2363</t>
  </si>
  <si>
    <t>1/56619</t>
  </si>
  <si>
    <t>1/33379</t>
  </si>
  <si>
    <t>1/4195</t>
  </si>
  <si>
    <t>1/1553</t>
  </si>
  <si>
    <t>1/1158</t>
  </si>
  <si>
    <t>1/21697</t>
  </si>
  <si>
    <t>1/1636</t>
  </si>
  <si>
    <t>1/1029</t>
  </si>
  <si>
    <t>1/1345</t>
  </si>
  <si>
    <t>1/2179</t>
  </si>
  <si>
    <t>1/1563</t>
  </si>
  <si>
    <t>1/2199</t>
  </si>
  <si>
    <t>1/3772</t>
  </si>
  <si>
    <t>1/46326</t>
  </si>
  <si>
    <t>1/4340</t>
  </si>
  <si>
    <t>1/584</t>
  </si>
  <si>
    <t>Category</t>
  </si>
  <si>
    <t>1/2902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</si>
</sst>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000"/>
    <numFmt numFmtId="170" formatCode="0.00000000"/>
    <numFmt numFmtId="171" formatCode="0.0%"/>
    <numFmt numFmtId="172" formatCode="0.0000E+00"/>
    <numFmt numFmtId="173" formatCode="0.000000000"/>
    <numFmt numFmtId="174" formatCode="0.0000000000"/>
    <numFmt numFmtId="175" formatCode="0.0000000000000"/>
    <numFmt numFmtId="176" formatCode="#\ \1/???????"/>
  </numFmts>
  <fonts count="14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Times New Roman"/>
      <family val="1"/>
    </font>
    <font>
      <sz val="11"/>
      <color indexed="6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4"/>
      <name val="Times New Roman"/>
      <family val="1"/>
    </font>
    <font>
      <vertAlign val="subscript"/>
      <sz val="14"/>
      <name val="Times New Roman"/>
      <family val="1"/>
    </font>
    <font>
      <sz val="16"/>
      <name val="Times New Roman"/>
      <family val="1"/>
    </font>
    <font>
      <sz val="10"/>
      <name val="Arial"/>
      <family val="2"/>
    </font>
    <font>
      <b/>
      <sz val="10"/>
      <name val="Arial"/>
      <family val="2"/>
    </font>
    <font>
      <b/>
      <i/>
      <u/>
      <sz val="10"/>
      <name val="Arial"/>
      <family val="2"/>
    </font>
    <font>
      <b/>
      <i/>
      <sz val="10"/>
      <name val="Arial"/>
      <family val="2"/>
    </font>
    <font>
      <sz val="10"/>
      <name val="Symbol"/>
      <family val="1"/>
      <charset val="2"/>
    </font>
    <font>
      <i/>
      <sz val="10"/>
      <name val="Arial"/>
      <family val="2"/>
    </font>
    <font>
      <b/>
      <sz val="10"/>
      <name val="Symbol"/>
      <family val="1"/>
      <charset val="2"/>
    </font>
    <font>
      <sz val="10"/>
      <color indexed="9"/>
      <name val="Arial"/>
      <family val="2"/>
    </font>
    <font>
      <sz val="10"/>
      <color indexed="55"/>
      <name val="Arial"/>
      <family val="2"/>
    </font>
    <font>
      <sz val="10"/>
      <color indexed="55"/>
      <name val="Symbol"/>
      <family val="1"/>
      <charset val="2"/>
    </font>
    <font>
      <i/>
      <sz val="10"/>
      <name val="Symbol"/>
      <family val="1"/>
      <charset val="2"/>
    </font>
    <font>
      <vertAlign val="subscript"/>
      <sz val="10"/>
      <name val="Arial"/>
      <family val="2"/>
    </font>
    <font>
      <sz val="8"/>
      <name val="Symbol"/>
      <family val="1"/>
      <charset val="2"/>
    </font>
    <font>
      <sz val="8"/>
      <name val="Arial"/>
      <family val="2"/>
    </font>
    <font>
      <b/>
      <sz val="10"/>
      <name val="Arial"/>
      <family val="2"/>
    </font>
    <font>
      <b/>
      <sz val="8"/>
      <name val="Symbol"/>
      <family val="1"/>
      <charset val="2"/>
    </font>
    <font>
      <b/>
      <sz val="8"/>
      <name val="Arial"/>
      <family val="2"/>
    </font>
    <font>
      <b/>
      <sz val="8"/>
      <name val="Arial"/>
      <family val="2"/>
    </font>
    <font>
      <b/>
      <sz val="10"/>
      <color indexed="15"/>
      <name val="Arial"/>
      <family val="2"/>
    </font>
    <font>
      <b/>
      <sz val="10"/>
      <color indexed="11"/>
      <name val="Arial"/>
      <family val="2"/>
    </font>
    <font>
      <b/>
      <sz val="10"/>
      <color indexed="51"/>
      <name val="Arial"/>
      <family val="2"/>
    </font>
    <font>
      <b/>
      <sz val="10"/>
      <color indexed="53"/>
      <name val="Arial"/>
      <family val="2"/>
    </font>
    <font>
      <b/>
      <sz val="10"/>
      <color indexed="61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indexed="10"/>
      <name val="Arial"/>
      <family val="2"/>
    </font>
    <font>
      <sz val="10"/>
      <color indexed="55"/>
      <name val="Arial"/>
      <family val="2"/>
    </font>
    <font>
      <sz val="14"/>
      <name val="Arial"/>
      <family val="2"/>
    </font>
    <font>
      <sz val="10"/>
      <color indexed="10"/>
      <name val="Arial"/>
      <family val="2"/>
    </font>
    <font>
      <b/>
      <sz val="10"/>
      <color indexed="12"/>
      <name val="Arial"/>
      <family val="2"/>
    </font>
    <font>
      <sz val="8"/>
      <color indexed="55"/>
      <name val="Arial"/>
      <family val="2"/>
    </font>
    <font>
      <b/>
      <i/>
      <sz val="12"/>
      <name val="Arial"/>
      <family val="2"/>
    </font>
    <font>
      <b/>
      <sz val="10"/>
      <color indexed="46"/>
      <name val="Arial"/>
      <family val="2"/>
    </font>
    <font>
      <b/>
      <sz val="10"/>
      <color indexed="13"/>
      <name val="Arial"/>
      <family val="2"/>
    </font>
    <font>
      <b/>
      <sz val="10"/>
      <color indexed="10"/>
      <name val="Arial"/>
      <family val="2"/>
    </font>
    <font>
      <b/>
      <sz val="10"/>
      <color indexed="17"/>
      <name val="Arial"/>
      <family val="2"/>
    </font>
    <font>
      <b/>
      <sz val="10"/>
      <color indexed="52"/>
      <name val="Arial"/>
      <family val="2"/>
    </font>
    <font>
      <b/>
      <sz val="10"/>
      <color indexed="20"/>
      <name val="Arial"/>
      <family val="2"/>
    </font>
    <font>
      <b/>
      <sz val="10"/>
      <color indexed="45"/>
      <name val="Arial"/>
      <family val="2"/>
    </font>
    <font>
      <b/>
      <sz val="10"/>
      <color indexed="55"/>
      <name val="Arial"/>
      <family val="2"/>
    </font>
    <font>
      <b/>
      <sz val="10"/>
      <color indexed="19"/>
      <name val="Arial"/>
      <family val="2"/>
    </font>
    <font>
      <sz val="10"/>
      <name val="Arial"/>
      <family val="2"/>
    </font>
    <font>
      <vertAlign val="subscript"/>
      <sz val="10"/>
      <name val="Times New Roman"/>
      <family val="1"/>
    </font>
    <font>
      <sz val="14"/>
      <color indexed="11"/>
      <name val="GreekC"/>
    </font>
    <font>
      <vertAlign val="subscript"/>
      <sz val="14"/>
      <color indexed="11"/>
      <name val="Arial"/>
      <family val="2"/>
    </font>
    <font>
      <sz val="14"/>
      <color indexed="11"/>
      <name val="Arial"/>
      <family val="2"/>
    </font>
    <font>
      <sz val="14"/>
      <color indexed="10"/>
      <name val="GreekC"/>
    </font>
    <font>
      <vertAlign val="subscript"/>
      <sz val="14"/>
      <color indexed="10"/>
      <name val="Arial"/>
      <family val="2"/>
    </font>
    <font>
      <sz val="14"/>
      <color indexed="10"/>
      <name val="Arial"/>
      <family val="2"/>
    </font>
    <font>
      <sz val="14"/>
      <color indexed="12"/>
      <name val="GreekC"/>
    </font>
    <font>
      <vertAlign val="subscript"/>
      <sz val="14"/>
      <color indexed="12"/>
      <name val="Arial"/>
      <family val="2"/>
    </font>
    <font>
      <sz val="14"/>
      <color indexed="12"/>
      <name val="Arial"/>
      <family val="2"/>
    </font>
    <font>
      <sz val="14"/>
      <name val="GreekC"/>
    </font>
    <font>
      <vertAlign val="subscript"/>
      <sz val="14"/>
      <name val="Arial"/>
      <family val="2"/>
    </font>
    <font>
      <b/>
      <vertAlign val="superscript"/>
      <sz val="10"/>
      <name val="Arial"/>
      <family val="2"/>
    </font>
    <font>
      <b/>
      <sz val="12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Symbol"/>
      <family val="1"/>
      <charset val="2"/>
    </font>
    <font>
      <b/>
      <sz val="10"/>
      <color indexed="12"/>
      <name val="Symbol"/>
      <family val="1"/>
      <charset val="2"/>
    </font>
    <font>
      <b/>
      <sz val="14"/>
      <name val="Arial"/>
      <family val="2"/>
    </font>
    <font>
      <b/>
      <sz val="11"/>
      <name val="Arial"/>
      <family val="2"/>
    </font>
    <font>
      <b/>
      <sz val="16"/>
      <name val="Arial"/>
      <family val="2"/>
    </font>
    <font>
      <sz val="14"/>
      <color indexed="10"/>
      <name val="Arial"/>
      <family val="2"/>
    </font>
    <font>
      <b/>
      <sz val="10"/>
      <color indexed="14"/>
      <name val="Arial"/>
      <family val="2"/>
    </font>
    <font>
      <i/>
      <sz val="8"/>
      <name val="Arial"/>
      <family val="2"/>
    </font>
    <font>
      <b/>
      <sz val="7"/>
      <color indexed="10"/>
      <name val="Arial"/>
      <family val="2"/>
    </font>
    <font>
      <sz val="6"/>
      <name val="Arial"/>
      <family val="2"/>
    </font>
    <font>
      <b/>
      <sz val="6"/>
      <name val="Arial"/>
      <family val="2"/>
    </font>
    <font>
      <sz val="9"/>
      <name val="Arial"/>
      <family val="2"/>
    </font>
    <font>
      <sz val="8"/>
      <color indexed="9"/>
      <name val="Arial"/>
      <family val="2"/>
    </font>
    <font>
      <sz val="8"/>
      <color indexed="9"/>
      <name val="Arial"/>
      <family val="2"/>
    </font>
    <font>
      <b/>
      <sz val="10"/>
      <name val="Trebuchet MS"/>
      <family val="2"/>
    </font>
    <font>
      <sz val="10"/>
      <name val="Trebuchet MS"/>
      <family val="2"/>
    </font>
    <font>
      <b/>
      <sz val="9"/>
      <name val="Trebuchet MS"/>
      <family val="2"/>
    </font>
    <font>
      <b/>
      <sz val="8"/>
      <name val="Trebuchet MS"/>
      <family val="2"/>
    </font>
    <font>
      <sz val="8"/>
      <name val="Trebuchet MS"/>
      <family val="2"/>
    </font>
    <font>
      <vertAlign val="subscript"/>
      <sz val="8"/>
      <name val="Trebuchet MS"/>
      <family val="2"/>
    </font>
    <font>
      <b/>
      <sz val="11"/>
      <name val="Trebuchet MS"/>
      <family val="2"/>
    </font>
    <font>
      <sz val="8"/>
      <color indexed="9"/>
      <name val="Arial"/>
      <family val="2"/>
    </font>
    <font>
      <b/>
      <sz val="10"/>
      <color indexed="9"/>
      <name val="Trebuchet MS"/>
      <family val="2"/>
    </font>
    <font>
      <sz val="10"/>
      <color indexed="9"/>
      <name val="Trebuchet MS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8"/>
      <color indexed="22"/>
      <name val="Arial"/>
      <family val="2"/>
    </font>
    <font>
      <b/>
      <sz val="10"/>
      <color indexed="22"/>
      <name val="Symbol"/>
      <family val="1"/>
      <charset val="2"/>
    </font>
    <font>
      <sz val="10"/>
      <name val="Arial Unicode MS"/>
      <family val="2"/>
    </font>
    <font>
      <sz val="11"/>
      <color indexed="10"/>
      <name val="Calibri"/>
      <family val="2"/>
    </font>
    <font>
      <sz val="8"/>
      <name val="Arial"/>
      <family val="2"/>
    </font>
    <font>
      <b/>
      <sz val="11"/>
      <name val="Calibri"/>
      <family val="2"/>
    </font>
    <font>
      <sz val="8"/>
      <color indexed="9"/>
      <name val="Arial"/>
      <family val="2"/>
    </font>
    <font>
      <b/>
      <sz val="8"/>
      <color indexed="9"/>
      <name val="Arial"/>
      <family val="2"/>
    </font>
    <font>
      <b/>
      <sz val="9"/>
      <color indexed="9"/>
      <name val="Trebuchet MS"/>
      <family val="2"/>
    </font>
    <font>
      <b/>
      <u/>
      <sz val="12"/>
      <color indexed="9"/>
      <name val="Trebuchet MS"/>
      <family val="2"/>
    </font>
    <font>
      <b/>
      <sz val="12"/>
      <color indexed="9"/>
      <name val="Trebuchet MS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color indexed="81"/>
      <name val="Arial"/>
      <family val="2"/>
    </font>
    <font>
      <sz val="10"/>
      <name val="Arial"/>
      <family val="2"/>
      <charset val="204"/>
    </font>
    <font>
      <sz val="10"/>
      <name val="Calibri"/>
      <family val="2"/>
      <charset val="204"/>
    </font>
    <font>
      <sz val="10"/>
      <color theme="0"/>
      <name val="Arial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color indexed="81"/>
      <name val="Tahoma"/>
      <family val="2"/>
      <charset val="204"/>
    </font>
    <font>
      <sz val="11"/>
      <color indexed="81"/>
      <name val="Calibri"/>
      <family val="2"/>
      <charset val="204"/>
      <scheme val="minor"/>
    </font>
    <font>
      <sz val="11"/>
      <color indexed="81"/>
      <name val="Calibri"/>
      <family val="2"/>
      <charset val="204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b/>
      <sz val="11"/>
      <color rgb="FF0000FF"/>
      <name val="Arial"/>
      <family val="2"/>
    </font>
    <font>
      <sz val="11"/>
      <name val="Arial"/>
      <family val="2"/>
    </font>
    <font>
      <b/>
      <vertAlign val="subscript"/>
      <sz val="11"/>
      <name val="Trebuchet MS"/>
      <family val="2"/>
    </font>
    <font>
      <b/>
      <sz val="11"/>
      <color indexed="81"/>
      <name val="Tahoma"/>
      <family val="2"/>
    </font>
    <font>
      <sz val="11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1"/>
      <name val="Symbol"/>
      <family val="1"/>
      <charset val="2"/>
    </font>
    <font>
      <sz val="10"/>
      <color rgb="FF000000"/>
      <name val="Times New Roman"/>
      <family val="1"/>
    </font>
    <font>
      <b/>
      <sz val="12"/>
      <color rgb="FF0000FF"/>
      <name val="Times New Roman"/>
      <family val="1"/>
    </font>
  </fonts>
  <fills count="5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8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6D86E"/>
        <bgColor indexed="64"/>
      </patternFill>
    </fill>
    <fill>
      <patternFill patternType="solid">
        <fgColor rgb="FFC2FEB8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</fills>
  <borders count="7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58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0" applyNumberFormat="0" applyBorder="0" applyAlignment="0" applyProtection="0"/>
    <xf numFmtId="0" fontId="6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8" fillId="16" borderId="1" applyNumberFormat="0" applyAlignment="0" applyProtection="0"/>
    <xf numFmtId="0" fontId="9" fillId="0" borderId="2" applyNumberFormat="0" applyFill="0" applyAlignment="0" applyProtection="0"/>
    <xf numFmtId="0" fontId="10" fillId="17" borderId="3" applyNumberFormat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21" borderId="0" applyNumberFormat="0" applyBorder="0" applyAlignment="0" applyProtection="0"/>
    <xf numFmtId="0" fontId="11" fillId="0" borderId="0" applyFont="0" applyFill="0" applyBorder="0" applyAlignment="0" applyProtection="0"/>
    <xf numFmtId="0" fontId="12" fillId="7" borderId="1" applyNumberFormat="0" applyAlignment="0" applyProtection="0"/>
    <xf numFmtId="43" fontId="6" fillId="0" borderId="0" applyFont="0" applyFill="0" applyBorder="0" applyAlignment="0" applyProtection="0"/>
    <xf numFmtId="0" fontId="13" fillId="22" borderId="0" applyNumberFormat="0" applyBorder="0" applyAlignment="0" applyProtection="0"/>
    <xf numFmtId="0" fontId="100" fillId="0" borderId="0"/>
    <xf numFmtId="0" fontId="4" fillId="0" borderId="0"/>
    <xf numFmtId="0" fontId="3" fillId="0" borderId="0"/>
    <xf numFmtId="0" fontId="3" fillId="0" borderId="0"/>
    <xf numFmtId="0" fontId="4" fillId="0" borderId="0"/>
    <xf numFmtId="0" fontId="122" fillId="0" borderId="0"/>
    <xf numFmtId="0" fontId="122" fillId="0" borderId="0"/>
    <xf numFmtId="0" fontId="3" fillId="0" borderId="0"/>
    <xf numFmtId="0" fontId="4" fillId="0" borderId="0"/>
    <xf numFmtId="0" fontId="11" fillId="0" borderId="0"/>
    <xf numFmtId="0" fontId="11" fillId="23" borderId="4" applyNumberFormat="0" applyFont="0" applyAlignment="0" applyProtection="0"/>
    <xf numFmtId="0" fontId="14" fillId="16" borderId="5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6" applyNumberFormat="0" applyFill="0" applyAlignment="0" applyProtection="0"/>
    <xf numFmtId="0" fontId="19" fillId="0" borderId="7" applyNumberFormat="0" applyFill="0" applyAlignment="0" applyProtection="0"/>
    <xf numFmtId="0" fontId="20" fillId="0" borderId="8" applyNumberFormat="0" applyFill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2" fillId="3" borderId="0" applyNumberFormat="0" applyBorder="0" applyAlignment="0" applyProtection="0"/>
    <xf numFmtId="0" fontId="23" fillId="4" borderId="0" applyNumberFormat="0" applyBorder="0" applyAlignment="0" applyProtection="0"/>
    <xf numFmtId="43" fontId="12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261">
    <xf numFmtId="0" fontId="0" fillId="0" borderId="0" xfId="0"/>
    <xf numFmtId="0" fontId="24" fillId="0" borderId="0" xfId="41" applyFont="1" applyFill="1"/>
    <xf numFmtId="0" fontId="11" fillId="0" borderId="0" xfId="41" applyFill="1"/>
    <xf numFmtId="0" fontId="24" fillId="24" borderId="10" xfId="41" applyFont="1" applyFill="1" applyBorder="1" applyAlignment="1">
      <alignment horizontal="center"/>
    </xf>
    <xf numFmtId="0" fontId="24" fillId="24" borderId="10" xfId="41" applyFont="1" applyFill="1" applyBorder="1"/>
    <xf numFmtId="0" fontId="26" fillId="0" borderId="0" xfId="41" applyFont="1" applyFill="1"/>
    <xf numFmtId="0" fontId="27" fillId="0" borderId="0" xfId="0" applyFont="1"/>
    <xf numFmtId="0" fontId="27" fillId="0" borderId="0" xfId="0" applyFont="1" applyBorder="1"/>
    <xf numFmtId="0" fontId="28" fillId="0" borderId="11" xfId="0" applyFont="1" applyFill="1" applyBorder="1"/>
    <xf numFmtId="0" fontId="4" fillId="0" borderId="0" xfId="0" applyFont="1"/>
    <xf numFmtId="0" fontId="34" fillId="0" borderId="0" xfId="0" applyFont="1"/>
    <xf numFmtId="0" fontId="28" fillId="0" borderId="12" xfId="0" applyFont="1" applyFill="1" applyBorder="1"/>
    <xf numFmtId="0" fontId="28" fillId="0" borderId="0" xfId="0" applyFont="1" applyFill="1" applyBorder="1"/>
    <xf numFmtId="0" fontId="28" fillId="0" borderId="0" xfId="0" applyFont="1" applyFill="1" applyBorder="1" applyAlignment="1">
      <alignment horizontal="left"/>
    </xf>
    <xf numFmtId="0" fontId="28" fillId="0" borderId="13" xfId="0" applyFont="1" applyFill="1" applyBorder="1"/>
    <xf numFmtId="0" fontId="0" fillId="0" borderId="0" xfId="0" applyFill="1" applyBorder="1" applyAlignment="1">
      <alignment horizontal="left"/>
    </xf>
    <xf numFmtId="0" fontId="0" fillId="0" borderId="13" xfId="0" applyFill="1" applyBorder="1"/>
    <xf numFmtId="171" fontId="28" fillId="0" borderId="0" xfId="0" applyNumberFormat="1" applyFont="1" applyFill="1" applyBorder="1"/>
    <xf numFmtId="167" fontId="34" fillId="0" borderId="0" xfId="0" applyNumberFormat="1" applyFont="1"/>
    <xf numFmtId="0" fontId="28" fillId="0" borderId="14" xfId="0" applyFont="1" applyFill="1" applyBorder="1"/>
    <xf numFmtId="0" fontId="28" fillId="0" borderId="15" xfId="0" applyFont="1" applyFill="1" applyBorder="1"/>
    <xf numFmtId="166" fontId="4" fillId="0" borderId="0" xfId="0" applyNumberFormat="1" applyFont="1"/>
    <xf numFmtId="164" fontId="4" fillId="0" borderId="0" xfId="0" applyNumberFormat="1" applyFont="1"/>
    <xf numFmtId="0" fontId="4" fillId="0" borderId="16" xfId="0" applyFont="1" applyBorder="1"/>
    <xf numFmtId="0" fontId="4" fillId="0" borderId="0" xfId="0" applyFont="1" applyBorder="1"/>
    <xf numFmtId="167" fontId="4" fillId="0" borderId="0" xfId="0" applyNumberFormat="1" applyFont="1" applyBorder="1"/>
    <xf numFmtId="0" fontId="4" fillId="0" borderId="13" xfId="0" applyFont="1" applyBorder="1"/>
    <xf numFmtId="0" fontId="4" fillId="0" borderId="0" xfId="0" applyFont="1" applyFill="1" applyBorder="1"/>
    <xf numFmtId="167" fontId="4" fillId="0" borderId="13" xfId="0" applyNumberFormat="1" applyFont="1" applyBorder="1"/>
    <xf numFmtId="167" fontId="4" fillId="0" borderId="0" xfId="0" applyNumberFormat="1" applyFont="1"/>
    <xf numFmtId="0" fontId="35" fillId="0" borderId="0" xfId="0" applyFont="1"/>
    <xf numFmtId="0" fontId="35" fillId="0" borderId="17" xfId="0" applyFont="1" applyBorder="1"/>
    <xf numFmtId="0" fontId="35" fillId="0" borderId="18" xfId="0" applyFont="1" applyBorder="1"/>
    <xf numFmtId="0" fontId="35" fillId="0" borderId="12" xfId="0" applyFont="1" applyBorder="1" applyAlignment="1">
      <alignment horizontal="center"/>
    </xf>
    <xf numFmtId="167" fontId="35" fillId="0" borderId="0" xfId="0" applyNumberFormat="1" applyFont="1"/>
    <xf numFmtId="0" fontId="35" fillId="0" borderId="12" xfId="0" applyFont="1" applyBorder="1"/>
    <xf numFmtId="167" fontId="35" fillId="0" borderId="0" xfId="0" applyNumberFormat="1" applyFont="1" applyBorder="1"/>
    <xf numFmtId="0" fontId="4" fillId="0" borderId="17" xfId="0" applyFont="1" applyBorder="1"/>
    <xf numFmtId="0" fontId="4" fillId="0" borderId="12" xfId="0" applyFont="1" applyBorder="1"/>
    <xf numFmtId="0" fontId="4" fillId="0" borderId="14" xfId="0" applyFont="1" applyBorder="1"/>
    <xf numFmtId="0" fontId="36" fillId="0" borderId="0" xfId="0" applyFont="1"/>
    <xf numFmtId="0" fontId="24" fillId="25" borderId="10" xfId="41" applyFont="1" applyFill="1" applyBorder="1"/>
    <xf numFmtId="0" fontId="0" fillId="0" borderId="0" xfId="0" applyFill="1" applyBorder="1"/>
    <xf numFmtId="0" fontId="0" fillId="26" borderId="19" xfId="0" applyFill="1" applyBorder="1"/>
    <xf numFmtId="0" fontId="0" fillId="26" borderId="20" xfId="0" applyFill="1" applyBorder="1"/>
    <xf numFmtId="0" fontId="0" fillId="26" borderId="21" xfId="0" applyFill="1" applyBorder="1"/>
    <xf numFmtId="0" fontId="0" fillId="26" borderId="0" xfId="0" applyFill="1" applyBorder="1"/>
    <xf numFmtId="0" fontId="0" fillId="26" borderId="22" xfId="0" applyFill="1" applyBorder="1"/>
    <xf numFmtId="0" fontId="0" fillId="26" borderId="23" xfId="0" applyFill="1" applyBorder="1"/>
    <xf numFmtId="0" fontId="0" fillId="26" borderId="10" xfId="0" applyFill="1" applyBorder="1"/>
    <xf numFmtId="0" fontId="4" fillId="0" borderId="0" xfId="0" applyFont="1" applyAlignment="1">
      <alignment horizontal="right"/>
    </xf>
    <xf numFmtId="0" fontId="28" fillId="24" borderId="10" xfId="0" applyFont="1" applyFill="1" applyBorder="1"/>
    <xf numFmtId="0" fontId="28" fillId="24" borderId="10" xfId="0" applyFont="1" applyFill="1" applyBorder="1" applyAlignment="1">
      <alignment horizontal="left"/>
    </xf>
    <xf numFmtId="0" fontId="0" fillId="0" borderId="10" xfId="0" applyFill="1" applyBorder="1" applyAlignment="1">
      <alignment horizontal="left"/>
    </xf>
    <xf numFmtId="171" fontId="28" fillId="24" borderId="10" xfId="0" applyNumberFormat="1" applyFont="1" applyFill="1" applyBorder="1"/>
    <xf numFmtId="0" fontId="0" fillId="25" borderId="10" xfId="0" applyFill="1" applyBorder="1" applyAlignment="1">
      <alignment horizontal="left"/>
    </xf>
    <xf numFmtId="0" fontId="0" fillId="25" borderId="10" xfId="0" applyFill="1" applyBorder="1"/>
    <xf numFmtId="0" fontId="0" fillId="24" borderId="10" xfId="0" applyFill="1" applyBorder="1" applyAlignment="1">
      <alignment horizontal="left"/>
    </xf>
    <xf numFmtId="0" fontId="0" fillId="0" borderId="12" xfId="0" applyFill="1" applyBorder="1"/>
    <xf numFmtId="166" fontId="0" fillId="0" borderId="13" xfId="0" applyNumberFormat="1" applyFill="1" applyBorder="1"/>
    <xf numFmtId="0" fontId="0" fillId="0" borderId="15" xfId="0" applyFill="1" applyBorder="1" applyAlignment="1">
      <alignment horizontal="left"/>
    </xf>
    <xf numFmtId="2" fontId="0" fillId="0" borderId="24" xfId="0" applyNumberFormat="1" applyFill="1" applyBorder="1"/>
    <xf numFmtId="0" fontId="0" fillId="25" borderId="25" xfId="0" applyFill="1" applyBorder="1" applyAlignment="1">
      <alignment horizontal="left"/>
    </xf>
    <xf numFmtId="167" fontId="4" fillId="25" borderId="26" xfId="0" applyNumberFormat="1" applyFont="1" applyFill="1" applyBorder="1"/>
    <xf numFmtId="0" fontId="0" fillId="26" borderId="0" xfId="0" applyFill="1" applyBorder="1" applyAlignment="1">
      <alignment horizontal="left"/>
    </xf>
    <xf numFmtId="0" fontId="48" fillId="26" borderId="19" xfId="0" applyFont="1" applyFill="1" applyBorder="1" applyAlignment="1">
      <alignment horizontal="center"/>
    </xf>
    <xf numFmtId="0" fontId="27" fillId="26" borderId="0" xfId="0" applyFont="1" applyFill="1"/>
    <xf numFmtId="0" fontId="27" fillId="26" borderId="0" xfId="0" applyFont="1" applyFill="1" applyBorder="1"/>
    <xf numFmtId="0" fontId="27" fillId="26" borderId="23" xfId="0" applyFont="1" applyFill="1" applyBorder="1"/>
    <xf numFmtId="0" fontId="0" fillId="26" borderId="27" xfId="0" applyFill="1" applyBorder="1"/>
    <xf numFmtId="0" fontId="0" fillId="26" borderId="28" xfId="0" applyFill="1" applyBorder="1"/>
    <xf numFmtId="0" fontId="0" fillId="26" borderId="29" xfId="0" applyFill="1" applyBorder="1"/>
    <xf numFmtId="0" fontId="27" fillId="26" borderId="22" xfId="0" applyFont="1" applyFill="1" applyBorder="1"/>
    <xf numFmtId="0" fontId="0" fillId="26" borderId="0" xfId="0" applyFill="1" applyBorder="1" applyAlignment="1">
      <alignment horizontal="center"/>
    </xf>
    <xf numFmtId="0" fontId="31" fillId="26" borderId="23" xfId="0" applyFont="1" applyFill="1" applyBorder="1"/>
    <xf numFmtId="167" fontId="27" fillId="26" borderId="0" xfId="0" applyNumberFormat="1" applyFont="1" applyFill="1" applyBorder="1"/>
    <xf numFmtId="0" fontId="0" fillId="26" borderId="11" xfId="0" applyFill="1" applyBorder="1"/>
    <xf numFmtId="0" fontId="39" fillId="26" borderId="0" xfId="0" applyFont="1" applyFill="1" applyBorder="1" applyAlignment="1">
      <alignment horizontal="center" vertical="center"/>
    </xf>
    <xf numFmtId="2" fontId="0" fillId="26" borderId="0" xfId="0" applyNumberFormat="1" applyFill="1" applyBorder="1"/>
    <xf numFmtId="167" fontId="0" fillId="26" borderId="0" xfId="0" applyNumberFormat="1" applyFill="1" applyBorder="1"/>
    <xf numFmtId="0" fontId="0" fillId="26" borderId="23" xfId="0" applyFill="1" applyBorder="1" applyAlignment="1">
      <alignment horizontal="center"/>
    </xf>
    <xf numFmtId="0" fontId="0" fillId="26" borderId="0" xfId="0" applyFill="1"/>
    <xf numFmtId="0" fontId="28" fillId="26" borderId="0" xfId="0" applyFont="1" applyFill="1"/>
    <xf numFmtId="0" fontId="0" fillId="26" borderId="22" xfId="0" applyFill="1" applyBorder="1" applyAlignment="1">
      <alignment horizontal="right"/>
    </xf>
    <xf numFmtId="0" fontId="0" fillId="26" borderId="27" xfId="0" applyFill="1" applyBorder="1" applyAlignment="1">
      <alignment horizontal="right"/>
    </xf>
    <xf numFmtId="0" fontId="0" fillId="26" borderId="29" xfId="0" applyFill="1" applyBorder="1" applyAlignment="1">
      <alignment horizontal="right"/>
    </xf>
    <xf numFmtId="0" fontId="0" fillId="26" borderId="19" xfId="0" applyFill="1" applyBorder="1" applyAlignment="1">
      <alignment horizontal="center"/>
    </xf>
    <xf numFmtId="0" fontId="31" fillId="26" borderId="21" xfId="0" applyFont="1" applyFill="1" applyBorder="1"/>
    <xf numFmtId="0" fontId="0" fillId="26" borderId="30" xfId="0" applyFill="1" applyBorder="1" applyAlignment="1">
      <alignment horizontal="center"/>
    </xf>
    <xf numFmtId="0" fontId="0" fillId="26" borderId="31" xfId="0" applyFill="1" applyBorder="1" applyAlignment="1">
      <alignment horizontal="center"/>
    </xf>
    <xf numFmtId="0" fontId="0" fillId="26" borderId="15" xfId="0" applyFill="1" applyBorder="1" applyAlignment="1">
      <alignment horizontal="center"/>
    </xf>
    <xf numFmtId="0" fontId="0" fillId="26" borderId="31" xfId="0" quotePrefix="1" applyFill="1" applyBorder="1" applyAlignment="1">
      <alignment horizontal="center"/>
    </xf>
    <xf numFmtId="0" fontId="31" fillId="26" borderId="0" xfId="0" applyFont="1" applyFill="1" applyBorder="1"/>
    <xf numFmtId="165" fontId="0" fillId="26" borderId="23" xfId="0" applyNumberFormat="1" applyFill="1" applyBorder="1" applyAlignment="1">
      <alignment horizontal="center"/>
    </xf>
    <xf numFmtId="165" fontId="0" fillId="26" borderId="22" xfId="0" applyNumberFormat="1" applyFill="1" applyBorder="1" applyAlignment="1">
      <alignment horizontal="center"/>
    </xf>
    <xf numFmtId="165" fontId="0" fillId="26" borderId="0" xfId="0" applyNumberFormat="1" applyFill="1" applyBorder="1" applyAlignment="1">
      <alignment horizontal="center"/>
    </xf>
    <xf numFmtId="49" fontId="0" fillId="26" borderId="30" xfId="0" applyNumberFormat="1" applyFill="1" applyBorder="1" applyAlignment="1">
      <alignment horizontal="center"/>
    </xf>
    <xf numFmtId="165" fontId="0" fillId="26" borderId="27" xfId="0" applyNumberFormat="1" applyFill="1" applyBorder="1" applyAlignment="1">
      <alignment horizontal="center"/>
    </xf>
    <xf numFmtId="165" fontId="0" fillId="26" borderId="29" xfId="0" applyNumberFormat="1" applyFill="1" applyBorder="1" applyAlignment="1">
      <alignment horizontal="center"/>
    </xf>
    <xf numFmtId="0" fontId="31" fillId="26" borderId="22" xfId="0" applyFont="1" applyFill="1" applyBorder="1"/>
    <xf numFmtId="0" fontId="0" fillId="26" borderId="27" xfId="0" applyFill="1" applyBorder="1" applyAlignment="1">
      <alignment horizontal="center"/>
    </xf>
    <xf numFmtId="165" fontId="0" fillId="26" borderId="28" xfId="0" applyNumberFormat="1" applyFill="1" applyBorder="1" applyAlignment="1">
      <alignment horizontal="center"/>
    </xf>
    <xf numFmtId="0" fontId="0" fillId="26" borderId="21" xfId="0" applyFill="1" applyBorder="1" applyAlignment="1">
      <alignment horizontal="center"/>
    </xf>
    <xf numFmtId="0" fontId="0" fillId="26" borderId="32" xfId="0" applyFill="1" applyBorder="1" applyAlignment="1">
      <alignment horizontal="center"/>
    </xf>
    <xf numFmtId="0" fontId="0" fillId="26" borderId="28" xfId="0" applyFill="1" applyBorder="1" applyAlignment="1">
      <alignment horizontal="center"/>
    </xf>
    <xf numFmtId="0" fontId="0" fillId="26" borderId="33" xfId="0" applyFill="1" applyBorder="1" applyAlignment="1">
      <alignment horizontal="center"/>
    </xf>
    <xf numFmtId="0" fontId="0" fillId="26" borderId="34" xfId="0" applyFill="1" applyBorder="1" applyAlignment="1">
      <alignment horizontal="center"/>
    </xf>
    <xf numFmtId="0" fontId="0" fillId="26" borderId="35" xfId="0" applyFill="1" applyBorder="1" applyAlignment="1">
      <alignment horizontal="center"/>
    </xf>
    <xf numFmtId="0" fontId="0" fillId="26" borderId="36" xfId="0" applyFill="1" applyBorder="1" applyAlignment="1">
      <alignment horizontal="center"/>
    </xf>
    <xf numFmtId="0" fontId="0" fillId="26" borderId="20" xfId="0" applyFill="1" applyBorder="1" applyAlignment="1">
      <alignment horizontal="center"/>
    </xf>
    <xf numFmtId="0" fontId="0" fillId="26" borderId="37" xfId="0" applyFill="1" applyBorder="1" applyAlignment="1">
      <alignment horizontal="center"/>
    </xf>
    <xf numFmtId="0" fontId="0" fillId="26" borderId="22" xfId="0" applyFill="1" applyBorder="1" applyAlignment="1">
      <alignment horizontal="center"/>
    </xf>
    <xf numFmtId="165" fontId="0" fillId="26" borderId="32" xfId="0" applyNumberFormat="1" applyFill="1" applyBorder="1" applyAlignment="1">
      <alignment horizontal="center"/>
    </xf>
    <xf numFmtId="0" fontId="0" fillId="26" borderId="36" xfId="0" applyFill="1" applyBorder="1"/>
    <xf numFmtId="2" fontId="0" fillId="26" borderId="19" xfId="0" applyNumberFormat="1" applyFill="1" applyBorder="1" applyAlignment="1">
      <alignment horizontal="center"/>
    </xf>
    <xf numFmtId="2" fontId="0" fillId="26" borderId="36" xfId="0" applyNumberFormat="1" applyFill="1" applyBorder="1" applyAlignment="1">
      <alignment horizontal="center"/>
    </xf>
    <xf numFmtId="2" fontId="0" fillId="26" borderId="20" xfId="0" applyNumberFormat="1" applyFill="1" applyBorder="1" applyAlignment="1">
      <alignment horizontal="center"/>
    </xf>
    <xf numFmtId="2" fontId="0" fillId="26" borderId="21" xfId="0" applyNumberFormat="1" applyFill="1" applyBorder="1" applyAlignment="1">
      <alignment horizontal="center"/>
    </xf>
    <xf numFmtId="0" fontId="31" fillId="26" borderId="37" xfId="0" applyFont="1" applyFill="1" applyBorder="1"/>
    <xf numFmtId="0" fontId="28" fillId="26" borderId="27" xfId="0" applyFont="1" applyFill="1" applyBorder="1"/>
    <xf numFmtId="0" fontId="31" fillId="26" borderId="32" xfId="0" applyFont="1" applyFill="1" applyBorder="1"/>
    <xf numFmtId="0" fontId="0" fillId="26" borderId="37" xfId="0" applyFill="1" applyBorder="1"/>
    <xf numFmtId="0" fontId="29" fillId="26" borderId="0" xfId="0" applyFont="1" applyFill="1" applyBorder="1"/>
    <xf numFmtId="0" fontId="27" fillId="26" borderId="34" xfId="0" applyFont="1" applyFill="1" applyBorder="1" applyAlignment="1">
      <alignment horizontal="center"/>
    </xf>
    <xf numFmtId="0" fontId="47" fillId="26" borderId="20" xfId="0" applyFont="1" applyFill="1" applyBorder="1" applyAlignment="1">
      <alignment horizontal="center"/>
    </xf>
    <xf numFmtId="0" fontId="49" fillId="26" borderId="36" xfId="0" applyFont="1" applyFill="1" applyBorder="1" applyAlignment="1">
      <alignment horizontal="center"/>
    </xf>
    <xf numFmtId="0" fontId="27" fillId="26" borderId="36" xfId="0" applyFont="1" applyFill="1" applyBorder="1" applyAlignment="1">
      <alignment horizontal="center"/>
    </xf>
    <xf numFmtId="0" fontId="4" fillId="26" borderId="0" xfId="0" applyFont="1" applyFill="1" applyBorder="1"/>
    <xf numFmtId="0" fontId="28" fillId="0" borderId="10" xfId="0" applyFont="1" applyFill="1" applyBorder="1"/>
    <xf numFmtId="0" fontId="27" fillId="26" borderId="11" xfId="0" applyFont="1" applyFill="1" applyBorder="1" applyAlignment="1">
      <alignment horizontal="center"/>
    </xf>
    <xf numFmtId="0" fontId="27" fillId="26" borderId="0" xfId="0" applyFont="1" applyFill="1" applyBorder="1" applyAlignment="1">
      <alignment horizontal="center"/>
    </xf>
    <xf numFmtId="166" fontId="0" fillId="25" borderId="38" xfId="0" applyNumberFormat="1" applyFill="1" applyBorder="1"/>
    <xf numFmtId="0" fontId="28" fillId="24" borderId="39" xfId="0" applyFont="1" applyFill="1" applyBorder="1"/>
    <xf numFmtId="166" fontId="0" fillId="25" borderId="40" xfId="0" applyNumberFormat="1" applyFill="1" applyBorder="1"/>
    <xf numFmtId="0" fontId="28" fillId="24" borderId="41" xfId="0" applyFont="1" applyFill="1" applyBorder="1"/>
    <xf numFmtId="0" fontId="28" fillId="24" borderId="42" xfId="0" applyFont="1" applyFill="1" applyBorder="1"/>
    <xf numFmtId="0" fontId="0" fillId="25" borderId="42" xfId="0" applyFill="1" applyBorder="1" applyAlignment="1">
      <alignment horizontal="left"/>
    </xf>
    <xf numFmtId="2" fontId="0" fillId="25" borderId="43" xfId="0" applyNumberFormat="1" applyFill="1" applyBorder="1"/>
    <xf numFmtId="0" fontId="28" fillId="24" borderId="11" xfId="0" applyFont="1" applyFill="1" applyBorder="1"/>
    <xf numFmtId="0" fontId="28" fillId="24" borderId="40" xfId="0" applyFont="1" applyFill="1" applyBorder="1"/>
    <xf numFmtId="0" fontId="0" fillId="24" borderId="40" xfId="0" applyFill="1" applyBorder="1"/>
    <xf numFmtId="0" fontId="0" fillId="25" borderId="11" xfId="0" applyFill="1" applyBorder="1"/>
    <xf numFmtId="0" fontId="24" fillId="25" borderId="10" xfId="41" applyFont="1" applyFill="1" applyBorder="1" applyAlignment="1">
      <alignment horizontal="center"/>
    </xf>
    <xf numFmtId="0" fontId="54" fillId="0" borderId="10" xfId="0" applyFont="1" applyBorder="1"/>
    <xf numFmtId="0" fontId="54" fillId="0" borderId="10" xfId="0" applyFont="1" applyBorder="1" applyAlignment="1">
      <alignment horizontal="right"/>
    </xf>
    <xf numFmtId="0" fontId="54" fillId="24" borderId="10" xfId="0" applyFont="1" applyFill="1" applyBorder="1"/>
    <xf numFmtId="0" fontId="54" fillId="0" borderId="0" xfId="0" applyFont="1" applyBorder="1"/>
    <xf numFmtId="0" fontId="54" fillId="0" borderId="44" xfId="0" applyFont="1" applyBorder="1"/>
    <xf numFmtId="0" fontId="54" fillId="0" borderId="44" xfId="0" applyFont="1" applyBorder="1" applyAlignment="1">
      <alignment horizontal="right"/>
    </xf>
    <xf numFmtId="0" fontId="54" fillId="24" borderId="44" xfId="0" applyFont="1" applyFill="1" applyBorder="1"/>
    <xf numFmtId="0" fontId="24" fillId="25" borderId="44" xfId="41" applyFont="1" applyFill="1" applyBorder="1"/>
    <xf numFmtId="0" fontId="24" fillId="0" borderId="10" xfId="41" applyFont="1" applyFill="1" applyBorder="1" applyAlignment="1">
      <alignment horizontal="center"/>
    </xf>
    <xf numFmtId="0" fontId="24" fillId="0" borderId="10" xfId="41" applyFont="1" applyFill="1" applyBorder="1"/>
    <xf numFmtId="165" fontId="24" fillId="0" borderId="10" xfId="41" applyNumberFormat="1" applyFont="1" applyFill="1" applyBorder="1"/>
    <xf numFmtId="0" fontId="11" fillId="0" borderId="0" xfId="41" applyFill="1" applyBorder="1"/>
    <xf numFmtId="0" fontId="24" fillId="0" borderId="0" xfId="41" applyFont="1" applyFill="1" applyBorder="1"/>
    <xf numFmtId="165" fontId="24" fillId="0" borderId="0" xfId="41" applyNumberFormat="1" applyFont="1" applyFill="1" applyBorder="1"/>
    <xf numFmtId="0" fontId="11" fillId="0" borderId="0" xfId="41" applyFill="1" applyBorder="1" applyAlignment="1">
      <alignment horizontal="center"/>
    </xf>
    <xf numFmtId="165" fontId="11" fillId="0" borderId="0" xfId="41" applyNumberFormat="1" applyFill="1" applyBorder="1" applyAlignment="1">
      <alignment horizontal="center"/>
    </xf>
    <xf numFmtId="0" fontId="11" fillId="0" borderId="10" xfId="41" applyFill="1" applyBorder="1" applyAlignment="1">
      <alignment horizontal="center"/>
    </xf>
    <xf numFmtId="165" fontId="11" fillId="0" borderId="10" xfId="41" applyNumberFormat="1" applyFill="1" applyBorder="1" applyAlignment="1">
      <alignment horizontal="center"/>
    </xf>
    <xf numFmtId="0" fontId="11" fillId="0" borderId="10" xfId="41" applyFont="1" applyFill="1" applyBorder="1" applyAlignment="1">
      <alignment horizontal="center"/>
    </xf>
    <xf numFmtId="0" fontId="0" fillId="0" borderId="38" xfId="0" applyFill="1" applyBorder="1"/>
    <xf numFmtId="0" fontId="4" fillId="0" borderId="44" xfId="0" applyFont="1" applyBorder="1"/>
    <xf numFmtId="0" fontId="0" fillId="25" borderId="45" xfId="0" applyFill="1" applyBorder="1" applyAlignment="1">
      <alignment horizontal="left"/>
    </xf>
    <xf numFmtId="167" fontId="4" fillId="25" borderId="45" xfId="0" applyNumberFormat="1" applyFont="1" applyFill="1" applyBorder="1"/>
    <xf numFmtId="167" fontId="4" fillId="25" borderId="46" xfId="0" applyNumberFormat="1" applyFont="1" applyFill="1" applyBorder="1"/>
    <xf numFmtId="0" fontId="0" fillId="25" borderId="44" xfId="0" applyFill="1" applyBorder="1" applyAlignment="1">
      <alignment horizontal="left"/>
    </xf>
    <xf numFmtId="166" fontId="35" fillId="0" borderId="0" xfId="0" applyNumberFormat="1" applyFont="1"/>
    <xf numFmtId="0" fontId="4" fillId="24" borderId="11" xfId="0" applyFont="1" applyFill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4" fillId="0" borderId="41" xfId="0" applyFont="1" applyBorder="1" applyAlignment="1">
      <alignment horizontal="center"/>
    </xf>
    <xf numFmtId="0" fontId="4" fillId="0" borderId="43" xfId="0" applyFont="1" applyBorder="1" applyAlignment="1">
      <alignment horizontal="center"/>
    </xf>
    <xf numFmtId="0" fontId="4" fillId="24" borderId="40" xfId="0" applyFont="1" applyFill="1" applyBorder="1" applyAlignment="1">
      <alignment horizontal="center"/>
    </xf>
    <xf numFmtId="0" fontId="4" fillId="0" borderId="0" xfId="0" applyFont="1" applyBorder="1" applyAlignment="1">
      <alignment vertical="center" wrapText="1"/>
    </xf>
    <xf numFmtId="166" fontId="4" fillId="0" borderId="10" xfId="0" applyNumberFormat="1" applyFont="1" applyBorder="1"/>
    <xf numFmtId="0" fontId="4" fillId="0" borderId="38" xfId="0" applyFont="1" applyBorder="1"/>
    <xf numFmtId="0" fontId="4" fillId="25" borderId="41" xfId="0" applyFont="1" applyFill="1" applyBorder="1" applyAlignment="1">
      <alignment horizontal="center"/>
    </xf>
    <xf numFmtId="2" fontId="0" fillId="25" borderId="47" xfId="0" applyNumberFormat="1" applyFill="1" applyBorder="1"/>
    <xf numFmtId="0" fontId="4" fillId="24" borderId="48" xfId="0" applyFont="1" applyFill="1" applyBorder="1" applyAlignment="1">
      <alignment horizontal="center"/>
    </xf>
    <xf numFmtId="0" fontId="4" fillId="24" borderId="49" xfId="0" applyFont="1" applyFill="1" applyBorder="1" applyAlignment="1">
      <alignment horizontal="center"/>
    </xf>
    <xf numFmtId="0" fontId="4" fillId="25" borderId="50" xfId="0" applyFont="1" applyFill="1" applyBorder="1" applyAlignment="1">
      <alignment horizontal="center"/>
    </xf>
    <xf numFmtId="2" fontId="24" fillId="0" borderId="10" xfId="41" applyNumberFormat="1" applyFont="1" applyFill="1" applyBorder="1"/>
    <xf numFmtId="2" fontId="24" fillId="0" borderId="38" xfId="41" applyNumberFormat="1" applyFont="1" applyFill="1" applyBorder="1"/>
    <xf numFmtId="0" fontId="0" fillId="26" borderId="29" xfId="0" applyFill="1" applyBorder="1" applyAlignment="1">
      <alignment horizontal="center"/>
    </xf>
    <xf numFmtId="0" fontId="27" fillId="26" borderId="40" xfId="0" applyFont="1" applyFill="1" applyBorder="1" applyAlignment="1">
      <alignment horizontal="center"/>
    </xf>
    <xf numFmtId="0" fontId="57" fillId="26" borderId="0" xfId="0" applyFont="1" applyFill="1" applyBorder="1" applyAlignment="1">
      <alignment horizontal="center"/>
    </xf>
    <xf numFmtId="2" fontId="27" fillId="26" borderId="0" xfId="0" applyNumberFormat="1" applyFont="1" applyFill="1" applyBorder="1"/>
    <xf numFmtId="0" fontId="28" fillId="26" borderId="0" xfId="0" applyFont="1" applyFill="1" applyBorder="1"/>
    <xf numFmtId="0" fontId="43" fillId="26" borderId="0" xfId="0" applyFont="1" applyFill="1" applyBorder="1" applyProtection="1">
      <protection locked="0"/>
    </xf>
    <xf numFmtId="0" fontId="28" fillId="26" borderId="0" xfId="0" quotePrefix="1" applyFont="1" applyFill="1" applyBorder="1" applyAlignment="1" applyProtection="1">
      <alignment horizontal="left"/>
      <protection locked="0"/>
    </xf>
    <xf numFmtId="0" fontId="28" fillId="26" borderId="0" xfId="0" applyFont="1" applyFill="1" applyBorder="1" applyProtection="1">
      <protection locked="0"/>
    </xf>
    <xf numFmtId="0" fontId="34" fillId="0" borderId="0" xfId="0" applyFont="1" applyFill="1"/>
    <xf numFmtId="0" fontId="4" fillId="0" borderId="0" xfId="0" applyFont="1" applyFill="1"/>
    <xf numFmtId="0" fontId="35" fillId="27" borderId="0" xfId="0" applyFont="1" applyFill="1"/>
    <xf numFmtId="167" fontId="35" fillId="27" borderId="0" xfId="0" applyNumberFormat="1" applyFont="1" applyFill="1"/>
    <xf numFmtId="0" fontId="35" fillId="27" borderId="12" xfId="0" applyFont="1" applyFill="1" applyBorder="1"/>
    <xf numFmtId="0" fontId="4" fillId="27" borderId="0" xfId="0" applyFont="1" applyFill="1"/>
    <xf numFmtId="167" fontId="34" fillId="27" borderId="0" xfId="0" applyNumberFormat="1" applyFont="1" applyFill="1"/>
    <xf numFmtId="0" fontId="34" fillId="27" borderId="0" xfId="0" applyFont="1" applyFill="1"/>
    <xf numFmtId="0" fontId="0" fillId="27" borderId="0" xfId="0" applyFill="1"/>
    <xf numFmtId="167" fontId="4" fillId="27" borderId="13" xfId="0" applyNumberFormat="1" applyFont="1" applyFill="1" applyBorder="1"/>
    <xf numFmtId="167" fontId="4" fillId="27" borderId="0" xfId="0" applyNumberFormat="1" applyFont="1" applyFill="1" applyBorder="1"/>
    <xf numFmtId="0" fontId="4" fillId="27" borderId="16" xfId="0" applyFont="1" applyFill="1" applyBorder="1"/>
    <xf numFmtId="0" fontId="4" fillId="27" borderId="13" xfId="0" applyFont="1" applyFill="1" applyBorder="1"/>
    <xf numFmtId="0" fontId="4" fillId="27" borderId="0" xfId="0" applyFont="1" applyFill="1" applyBorder="1"/>
    <xf numFmtId="0" fontId="31" fillId="27" borderId="50" xfId="0" applyFont="1" applyFill="1" applyBorder="1" applyAlignment="1">
      <alignment horizontal="left"/>
    </xf>
    <xf numFmtId="167" fontId="4" fillId="27" borderId="11" xfId="0" applyNumberFormat="1" applyFont="1" applyFill="1" applyBorder="1"/>
    <xf numFmtId="0" fontId="31" fillId="27" borderId="11" xfId="0" applyFont="1" applyFill="1" applyBorder="1" applyAlignment="1">
      <alignment horizontal="left"/>
    </xf>
    <xf numFmtId="167" fontId="4" fillId="27" borderId="41" xfId="0" applyNumberFormat="1" applyFont="1" applyFill="1" applyBorder="1"/>
    <xf numFmtId="0" fontId="31" fillId="27" borderId="51" xfId="0" applyFont="1" applyFill="1" applyBorder="1" applyAlignment="1">
      <alignment horizontal="left"/>
    </xf>
    <xf numFmtId="167" fontId="4" fillId="27" borderId="10" xfId="0" applyNumberFormat="1" applyFont="1" applyFill="1" applyBorder="1"/>
    <xf numFmtId="0" fontId="31" fillId="27" borderId="10" xfId="0" applyFont="1" applyFill="1" applyBorder="1" applyAlignment="1">
      <alignment horizontal="left"/>
    </xf>
    <xf numFmtId="167" fontId="4" fillId="27" borderId="42" xfId="0" applyNumberFormat="1" applyFont="1" applyFill="1" applyBorder="1"/>
    <xf numFmtId="0" fontId="4" fillId="28" borderId="0" xfId="0" applyFont="1" applyFill="1"/>
    <xf numFmtId="0" fontId="31" fillId="28" borderId="52" xfId="0" applyFont="1" applyFill="1" applyBorder="1" applyAlignment="1">
      <alignment horizontal="left"/>
    </xf>
    <xf numFmtId="167" fontId="4" fillId="28" borderId="40" xfId="0" applyNumberFormat="1" applyFont="1" applyFill="1" applyBorder="1"/>
    <xf numFmtId="0" fontId="31" fillId="28" borderId="40" xfId="0" applyFont="1" applyFill="1" applyBorder="1" applyAlignment="1">
      <alignment horizontal="left"/>
    </xf>
    <xf numFmtId="167" fontId="4" fillId="28" borderId="43" xfId="0" applyNumberFormat="1" applyFont="1" applyFill="1" applyBorder="1"/>
    <xf numFmtId="0" fontId="4" fillId="28" borderId="0" xfId="0" applyFont="1" applyFill="1" applyBorder="1"/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11" fontId="4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4" fillId="28" borderId="0" xfId="0" applyNumberFormat="1" applyFont="1" applyFill="1"/>
    <xf numFmtId="0" fontId="4" fillId="28" borderId="12" xfId="0" applyFont="1" applyFill="1" applyBorder="1"/>
    <xf numFmtId="167" fontId="4" fillId="28" borderId="0" xfId="0" applyNumberFormat="1" applyFont="1" applyFill="1" applyBorder="1"/>
    <xf numFmtId="167" fontId="4" fillId="28" borderId="13" xfId="0" applyNumberFormat="1" applyFont="1" applyFill="1" applyBorder="1"/>
    <xf numFmtId="0" fontId="35" fillId="28" borderId="0" xfId="0" applyFont="1" applyFill="1"/>
    <xf numFmtId="167" fontId="35" fillId="28" borderId="0" xfId="0" applyNumberFormat="1" applyFont="1" applyFill="1"/>
    <xf numFmtId="0" fontId="35" fillId="28" borderId="12" xfId="0" applyFont="1" applyFill="1" applyBorder="1"/>
    <xf numFmtId="167" fontId="35" fillId="28" borderId="0" xfId="0" applyNumberFormat="1" applyFont="1" applyFill="1" applyBorder="1"/>
    <xf numFmtId="167" fontId="34" fillId="28" borderId="0" xfId="0" applyNumberFormat="1" applyFont="1" applyFill="1"/>
    <xf numFmtId="0" fontId="34" fillId="28" borderId="0" xfId="0" applyFont="1" applyFill="1"/>
    <xf numFmtId="0" fontId="0" fillId="28" borderId="0" xfId="0" applyFill="1"/>
    <xf numFmtId="0" fontId="28" fillId="0" borderId="0" xfId="0" applyFont="1" applyAlignment="1">
      <alignment horizontal="center"/>
    </xf>
    <xf numFmtId="0" fontId="28" fillId="0" borderId="0" xfId="0" applyFont="1"/>
    <xf numFmtId="2" fontId="0" fillId="0" borderId="0" xfId="0" applyNumberFormat="1" applyAlignment="1">
      <alignment horizontal="center"/>
    </xf>
    <xf numFmtId="2" fontId="0" fillId="0" borderId="0" xfId="0" applyNumberFormat="1"/>
    <xf numFmtId="2" fontId="28" fillId="0" borderId="0" xfId="0" applyNumberFormat="1" applyFont="1" applyAlignment="1">
      <alignment horizontal="center"/>
    </xf>
    <xf numFmtId="2" fontId="0" fillId="0" borderId="0" xfId="0" applyNumberFormat="1" applyBorder="1" applyAlignment="1">
      <alignment horizontal="center"/>
    </xf>
    <xf numFmtId="2" fontId="28" fillId="0" borderId="0" xfId="0" applyNumberFormat="1" applyFont="1"/>
    <xf numFmtId="2" fontId="0" fillId="0" borderId="0" xfId="0" applyNumberFormat="1" applyFill="1" applyAlignment="1">
      <alignment horizontal="center"/>
    </xf>
    <xf numFmtId="174" fontId="28" fillId="0" borderId="0" xfId="0" applyNumberFormat="1" applyFont="1" applyAlignment="1">
      <alignment horizontal="center"/>
    </xf>
    <xf numFmtId="174" fontId="0" fillId="0" borderId="0" xfId="0" applyNumberFormat="1"/>
    <xf numFmtId="174" fontId="33" fillId="0" borderId="0" xfId="0" applyNumberFormat="1" applyFont="1" applyFill="1" applyBorder="1" applyAlignment="1">
      <alignment horizontal="center"/>
    </xf>
    <xf numFmtId="174" fontId="31" fillId="0" borderId="0" xfId="0" applyNumberFormat="1" applyFont="1" applyFill="1" applyBorder="1" applyAlignment="1">
      <alignment horizontal="center"/>
    </xf>
    <xf numFmtId="0" fontId="28" fillId="26" borderId="52" xfId="0" applyFont="1" applyFill="1" applyBorder="1" applyAlignment="1">
      <alignment horizontal="center"/>
    </xf>
    <xf numFmtId="0" fontId="28" fillId="0" borderId="20" xfId="0" applyFont="1" applyBorder="1" applyAlignment="1">
      <alignment horizontal="center"/>
    </xf>
    <xf numFmtId="0" fontId="0" fillId="0" borderId="0" xfId="0" applyBorder="1"/>
    <xf numFmtId="174" fontId="0" fillId="0" borderId="0" xfId="0" applyNumberFormat="1" applyBorder="1"/>
    <xf numFmtId="0" fontId="0" fillId="0" borderId="22" xfId="0" applyBorder="1"/>
    <xf numFmtId="174" fontId="31" fillId="0" borderId="23" xfId="0" applyNumberFormat="1" applyFont="1" applyFill="1" applyBorder="1" applyAlignment="1">
      <alignment horizontal="center"/>
    </xf>
    <xf numFmtId="174" fontId="33" fillId="0" borderId="22" xfId="0" applyNumberFormat="1" applyFont="1" applyFill="1" applyBorder="1" applyAlignment="1">
      <alignment horizontal="center"/>
    </xf>
    <xf numFmtId="174" fontId="0" fillId="0" borderId="23" xfId="0" applyNumberFormat="1" applyBorder="1" applyAlignment="1">
      <alignment horizontal="center"/>
    </xf>
    <xf numFmtId="174" fontId="0" fillId="0" borderId="28" xfId="0" applyNumberFormat="1" applyBorder="1"/>
    <xf numFmtId="0" fontId="0" fillId="0" borderId="28" xfId="0" applyBorder="1"/>
    <xf numFmtId="0" fontId="0" fillId="0" borderId="29" xfId="0" applyBorder="1"/>
    <xf numFmtId="174" fontId="0" fillId="0" borderId="0" xfId="0" applyNumberFormat="1" applyBorder="1" applyAlignment="1">
      <alignment horizontal="center"/>
    </xf>
    <xf numFmtId="0" fontId="43" fillId="0" borderId="0" xfId="0" applyFont="1" applyBorder="1" applyAlignment="1">
      <alignment horizontal="center"/>
    </xf>
    <xf numFmtId="0" fontId="43" fillId="0" borderId="23" xfId="0" applyFont="1" applyBorder="1" applyAlignment="1">
      <alignment horizontal="center"/>
    </xf>
    <xf numFmtId="174" fontId="0" fillId="0" borderId="27" xfId="0" applyNumberForma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174" fontId="0" fillId="0" borderId="20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2" xfId="0" applyBorder="1" applyAlignment="1">
      <alignment horizontal="center"/>
    </xf>
    <xf numFmtId="174" fontId="0" fillId="0" borderId="28" xfId="0" applyNumberForma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2" fontId="0" fillId="28" borderId="0" xfId="0" applyNumberFormat="1" applyFill="1"/>
    <xf numFmtId="2" fontId="0" fillId="28" borderId="0" xfId="0" applyNumberFormat="1" applyFill="1" applyAlignment="1">
      <alignment horizontal="center"/>
    </xf>
    <xf numFmtId="174" fontId="0" fillId="28" borderId="0" xfId="0" applyNumberFormat="1" applyFill="1" applyBorder="1" applyAlignment="1">
      <alignment horizontal="center"/>
    </xf>
    <xf numFmtId="174" fontId="0" fillId="28" borderId="0" xfId="0" applyNumberFormat="1" applyFill="1"/>
    <xf numFmtId="174" fontId="0" fillId="28" borderId="0" xfId="0" applyNumberFormat="1" applyFill="1" applyBorder="1"/>
    <xf numFmtId="174" fontId="0" fillId="0" borderId="27" xfId="0" applyNumberFormat="1" applyBorder="1"/>
    <xf numFmtId="0" fontId="0" fillId="0" borderId="27" xfId="0" applyBorder="1"/>
    <xf numFmtId="0" fontId="0" fillId="29" borderId="0" xfId="0" applyFill="1"/>
    <xf numFmtId="0" fontId="0" fillId="30" borderId="0" xfId="0" applyFill="1"/>
    <xf numFmtId="174" fontId="0" fillId="30" borderId="0" xfId="0" applyNumberFormat="1" applyFill="1"/>
    <xf numFmtId="2" fontId="28" fillId="0" borderId="19" xfId="0" applyNumberFormat="1" applyFon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2" fontId="27" fillId="0" borderId="29" xfId="0" applyNumberFormat="1" applyFont="1" applyBorder="1" applyAlignment="1">
      <alignment horizontal="center"/>
    </xf>
    <xf numFmtId="2" fontId="28" fillId="0" borderId="10" xfId="0" applyNumberFormat="1" applyFont="1" applyBorder="1" applyAlignment="1">
      <alignment horizontal="center"/>
    </xf>
    <xf numFmtId="2" fontId="28" fillId="0" borderId="27" xfId="0" applyNumberFormat="1" applyFont="1" applyBorder="1" applyAlignment="1">
      <alignment horizontal="center"/>
    </xf>
    <xf numFmtId="2" fontId="28" fillId="0" borderId="50" xfId="0" applyNumberFormat="1" applyFont="1" applyBorder="1" applyAlignment="1">
      <alignment horizontal="center"/>
    </xf>
    <xf numFmtId="2" fontId="28" fillId="0" borderId="51" xfId="0" applyNumberFormat="1" applyFont="1" applyBorder="1" applyAlignment="1">
      <alignment horizontal="center"/>
    </xf>
    <xf numFmtId="0" fontId="28" fillId="0" borderId="51" xfId="0" applyFont="1" applyBorder="1"/>
    <xf numFmtId="0" fontId="28" fillId="0" borderId="52" xfId="0" applyFont="1" applyBorder="1"/>
    <xf numFmtId="2" fontId="61" fillId="0" borderId="11" xfId="0" applyNumberFormat="1" applyFont="1" applyBorder="1" applyAlignment="1">
      <alignment horizontal="center"/>
    </xf>
    <xf numFmtId="2" fontId="28" fillId="0" borderId="40" xfId="0" applyNumberFormat="1" applyFont="1" applyBorder="1" applyAlignment="1">
      <alignment horizontal="center"/>
    </xf>
    <xf numFmtId="2" fontId="62" fillId="0" borderId="11" xfId="0" applyNumberFormat="1" applyFont="1" applyBorder="1" applyAlignment="1">
      <alignment horizontal="center"/>
    </xf>
    <xf numFmtId="2" fontId="63" fillId="0" borderId="11" xfId="0" applyNumberFormat="1" applyFont="1" applyBorder="1" applyAlignment="1">
      <alignment horizontal="center"/>
    </xf>
    <xf numFmtId="2" fontId="59" fillId="0" borderId="11" xfId="0" applyNumberFormat="1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64" fillId="0" borderId="11" xfId="0" applyNumberFormat="1" applyFont="1" applyBorder="1" applyAlignment="1">
      <alignment horizontal="center"/>
    </xf>
    <xf numFmtId="2" fontId="56" fillId="0" borderId="11" xfId="0" applyNumberFormat="1" applyFont="1" applyFill="1" applyBorder="1" applyAlignment="1">
      <alignment horizontal="center"/>
    </xf>
    <xf numFmtId="2" fontId="28" fillId="0" borderId="11" xfId="0" applyNumberFormat="1" applyFont="1" applyBorder="1" applyAlignment="1">
      <alignment horizontal="center"/>
    </xf>
    <xf numFmtId="2" fontId="62" fillId="0" borderId="11" xfId="0" applyNumberFormat="1" applyFont="1" applyFill="1" applyBorder="1" applyAlignment="1">
      <alignment horizontal="center"/>
    </xf>
    <xf numFmtId="2" fontId="65" fillId="0" borderId="11" xfId="0" applyNumberFormat="1" applyFont="1" applyFill="1" applyBorder="1" applyAlignment="1">
      <alignment horizontal="center"/>
    </xf>
    <xf numFmtId="2" fontId="66" fillId="0" borderId="11" xfId="0" applyNumberFormat="1" applyFont="1" applyFill="1" applyBorder="1" applyAlignment="1">
      <alignment horizontal="center"/>
    </xf>
    <xf numFmtId="2" fontId="49" fillId="0" borderId="11" xfId="0" applyNumberFormat="1" applyFont="1" applyFill="1" applyBorder="1" applyAlignment="1">
      <alignment horizontal="center"/>
    </xf>
    <xf numFmtId="2" fontId="0" fillId="0" borderId="11" xfId="0" applyNumberFormat="1" applyBorder="1"/>
    <xf numFmtId="2" fontId="48" fillId="0" borderId="11" xfId="0" applyNumberFormat="1" applyFont="1" applyFill="1" applyBorder="1" applyAlignment="1">
      <alignment horizontal="center"/>
    </xf>
    <xf numFmtId="2" fontId="61" fillId="0" borderId="41" xfId="0" applyNumberFormat="1" applyFont="1" applyFill="1" applyBorder="1" applyAlignment="1">
      <alignment horizontal="center"/>
    </xf>
    <xf numFmtId="2" fontId="28" fillId="0" borderId="42" xfId="0" applyNumberFormat="1" applyFont="1" applyBorder="1" applyAlignment="1">
      <alignment horizontal="center"/>
    </xf>
    <xf numFmtId="0" fontId="28" fillId="0" borderId="42" xfId="0" applyFont="1" applyBorder="1"/>
    <xf numFmtId="0" fontId="28" fillId="0" borderId="43" xfId="0" applyFont="1" applyBorder="1"/>
    <xf numFmtId="2" fontId="28" fillId="0" borderId="53" xfId="0" applyNumberFormat="1" applyFont="1" applyBorder="1" applyAlignment="1">
      <alignment horizontal="center"/>
    </xf>
    <xf numFmtId="2" fontId="61" fillId="0" borderId="39" xfId="0" applyNumberFormat="1" applyFont="1" applyBorder="1" applyAlignment="1">
      <alignment horizontal="center"/>
    </xf>
    <xf numFmtId="2" fontId="62" fillId="0" borderId="39" xfId="0" applyNumberFormat="1" applyFont="1" applyBorder="1" applyAlignment="1">
      <alignment horizontal="center"/>
    </xf>
    <xf numFmtId="2" fontId="28" fillId="0" borderId="39" xfId="0" applyNumberFormat="1" applyFont="1" applyBorder="1" applyAlignment="1">
      <alignment horizontal="center"/>
    </xf>
    <xf numFmtId="2" fontId="63" fillId="0" borderId="39" xfId="0" applyNumberFormat="1" applyFont="1" applyBorder="1" applyAlignment="1">
      <alignment horizontal="center"/>
    </xf>
    <xf numFmtId="2" fontId="59" fillId="0" borderId="39" xfId="0" applyNumberFormat="1" applyFont="1" applyBorder="1" applyAlignment="1">
      <alignment horizontal="center"/>
    </xf>
    <xf numFmtId="2" fontId="0" fillId="0" borderId="39" xfId="0" applyNumberFormat="1" applyBorder="1" applyAlignment="1">
      <alignment horizontal="center"/>
    </xf>
    <xf numFmtId="2" fontId="64" fillId="0" borderId="39" xfId="0" applyNumberFormat="1" applyFont="1" applyBorder="1" applyAlignment="1">
      <alignment horizontal="center"/>
    </xf>
    <xf numFmtId="2" fontId="56" fillId="0" borderId="39" xfId="0" applyNumberFormat="1" applyFont="1" applyFill="1" applyBorder="1" applyAlignment="1">
      <alignment horizontal="center"/>
    </xf>
    <xf numFmtId="2" fontId="62" fillId="0" borderId="39" xfId="0" applyNumberFormat="1" applyFont="1" applyFill="1" applyBorder="1" applyAlignment="1">
      <alignment horizontal="center"/>
    </xf>
    <xf numFmtId="2" fontId="0" fillId="0" borderId="39" xfId="0" applyNumberFormat="1" applyBorder="1"/>
    <xf numFmtId="2" fontId="66" fillId="0" borderId="39" xfId="0" applyNumberFormat="1" applyFont="1" applyFill="1" applyBorder="1" applyAlignment="1">
      <alignment horizontal="center"/>
    </xf>
    <xf numFmtId="2" fontId="49" fillId="0" borderId="39" xfId="0" applyNumberFormat="1" applyFont="1" applyFill="1" applyBorder="1" applyAlignment="1">
      <alignment horizontal="center"/>
    </xf>
    <xf numFmtId="2" fontId="28" fillId="0" borderId="39" xfId="0" applyNumberFormat="1" applyFont="1" applyBorder="1"/>
    <xf numFmtId="2" fontId="67" fillId="0" borderId="39" xfId="0" applyNumberFormat="1" applyFont="1" applyFill="1" applyBorder="1" applyAlignment="1">
      <alignment horizontal="center"/>
    </xf>
    <xf numFmtId="2" fontId="48" fillId="0" borderId="39" xfId="0" applyNumberFormat="1" applyFont="1" applyFill="1" applyBorder="1" applyAlignment="1">
      <alignment horizontal="center"/>
    </xf>
    <xf numFmtId="0" fontId="28" fillId="0" borderId="54" xfId="0" applyFont="1" applyBorder="1"/>
    <xf numFmtId="2" fontId="28" fillId="0" borderId="52" xfId="0" applyNumberFormat="1" applyFont="1" applyBorder="1" applyAlignment="1">
      <alignment horizontal="center"/>
    </xf>
    <xf numFmtId="2" fontId="28" fillId="0" borderId="43" xfId="0" applyNumberFormat="1" applyFont="1" applyBorder="1" applyAlignment="1">
      <alignment horizontal="center"/>
    </xf>
    <xf numFmtId="0" fontId="28" fillId="0" borderId="50" xfId="0" applyFont="1" applyBorder="1" applyAlignment="1">
      <alignment horizontal="center"/>
    </xf>
    <xf numFmtId="0" fontId="28" fillId="0" borderId="51" xfId="0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0" fontId="33" fillId="26" borderId="50" xfId="0" applyFont="1" applyFill="1" applyBorder="1" applyAlignment="1">
      <alignment horizontal="center"/>
    </xf>
    <xf numFmtId="0" fontId="27" fillId="26" borderId="41" xfId="0" applyFont="1" applyFill="1" applyBorder="1" applyAlignment="1">
      <alignment horizontal="center"/>
    </xf>
    <xf numFmtId="0" fontId="27" fillId="26" borderId="43" xfId="0" applyFont="1" applyFill="1" applyBorder="1" applyAlignment="1">
      <alignment horizontal="center"/>
    </xf>
    <xf numFmtId="2" fontId="0" fillId="0" borderId="0" xfId="0" applyNumberFormat="1" applyFill="1"/>
    <xf numFmtId="0" fontId="0" fillId="0" borderId="0" xfId="0" applyFill="1"/>
    <xf numFmtId="174" fontId="0" fillId="0" borderId="0" xfId="0" applyNumberFormat="1" applyFill="1"/>
    <xf numFmtId="174" fontId="0" fillId="0" borderId="0" xfId="0" applyNumberFormat="1" applyFill="1" applyBorder="1" applyAlignment="1">
      <alignment horizontal="center"/>
    </xf>
    <xf numFmtId="2" fontId="0" fillId="0" borderId="43" xfId="0" applyNumberFormat="1" applyBorder="1" applyAlignment="1">
      <alignment horizontal="center"/>
    </xf>
    <xf numFmtId="0" fontId="28" fillId="0" borderId="0" xfId="0" applyFont="1" applyFill="1" applyAlignment="1">
      <alignment horizontal="center"/>
    </xf>
    <xf numFmtId="0" fontId="28" fillId="0" borderId="51" xfId="0" applyFont="1" applyFill="1" applyBorder="1" applyAlignment="1">
      <alignment horizontal="center"/>
    </xf>
    <xf numFmtId="2" fontId="0" fillId="0" borderId="42" xfId="0" applyNumberForma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31" borderId="0" xfId="0" applyFill="1"/>
    <xf numFmtId="0" fontId="0" fillId="32" borderId="0" xfId="0" applyFill="1"/>
    <xf numFmtId="174" fontId="0" fillId="32" borderId="0" xfId="0" applyNumberFormat="1" applyFill="1"/>
    <xf numFmtId="174" fontId="4" fillId="0" borderId="23" xfId="0" applyNumberFormat="1" applyFont="1" applyBorder="1" applyAlignment="1">
      <alignment horizontal="center"/>
    </xf>
    <xf numFmtId="174" fontId="4" fillId="0" borderId="0" xfId="0" applyNumberFormat="1" applyFont="1" applyBorder="1" applyAlignment="1">
      <alignment horizontal="center"/>
    </xf>
    <xf numFmtId="174" fontId="4" fillId="0" borderId="0" xfId="0" applyNumberFormat="1" applyFont="1" applyBorder="1"/>
    <xf numFmtId="2" fontId="0" fillId="27" borderId="0" xfId="0" applyNumberFormat="1" applyFill="1"/>
    <xf numFmtId="2" fontId="0" fillId="27" borderId="0" xfId="0" applyNumberFormat="1" applyFill="1" applyAlignment="1">
      <alignment horizontal="center"/>
    </xf>
    <xf numFmtId="174" fontId="0" fillId="27" borderId="0" xfId="0" applyNumberFormat="1" applyFill="1"/>
    <xf numFmtId="174" fontId="4" fillId="27" borderId="23" xfId="0" applyNumberFormat="1" applyFont="1" applyFill="1" applyBorder="1" applyAlignment="1">
      <alignment horizontal="center"/>
    </xf>
    <xf numFmtId="174" fontId="0" fillId="27" borderId="0" xfId="0" applyNumberFormat="1" applyFill="1" applyBorder="1"/>
    <xf numFmtId="0" fontId="0" fillId="27" borderId="0" xfId="0" applyFill="1" applyBorder="1" applyAlignment="1">
      <alignment horizontal="center"/>
    </xf>
    <xf numFmtId="0" fontId="0" fillId="27" borderId="22" xfId="0" applyFill="1" applyBorder="1"/>
    <xf numFmtId="174" fontId="4" fillId="27" borderId="0" xfId="0" applyNumberFormat="1" applyFont="1" applyFill="1" applyBorder="1" applyAlignment="1">
      <alignment horizontal="center"/>
    </xf>
    <xf numFmtId="0" fontId="35" fillId="0" borderId="0" xfId="0" applyFont="1" applyFill="1"/>
    <xf numFmtId="167" fontId="35" fillId="0" borderId="0" xfId="0" applyNumberFormat="1" applyFont="1" applyFill="1" applyBorder="1"/>
    <xf numFmtId="167" fontId="4" fillId="0" borderId="13" xfId="0" applyNumberFormat="1" applyFont="1" applyFill="1" applyBorder="1"/>
    <xf numFmtId="167" fontId="4" fillId="0" borderId="0" xfId="0" applyNumberFormat="1" applyFont="1" applyFill="1" applyBorder="1"/>
    <xf numFmtId="167" fontId="34" fillId="0" borderId="0" xfId="0" applyNumberFormat="1" applyFont="1" applyFill="1"/>
    <xf numFmtId="167" fontId="4" fillId="0" borderId="0" xfId="0" applyNumberFormat="1" applyFont="1" applyFill="1"/>
    <xf numFmtId="11" fontId="34" fillId="0" borderId="0" xfId="0" applyNumberFormat="1" applyFont="1" applyFill="1" applyAlignment="1">
      <alignment horizontal="center"/>
    </xf>
    <xf numFmtId="11" fontId="0" fillId="0" borderId="0" xfId="0" applyNumberFormat="1" applyFill="1" applyAlignment="1">
      <alignment horizontal="center"/>
    </xf>
    <xf numFmtId="2" fontId="28" fillId="0" borderId="0" xfId="0" applyNumberFormat="1" applyFont="1" applyBorder="1" applyAlignment="1">
      <alignment horizontal="center"/>
    </xf>
    <xf numFmtId="2" fontId="0" fillId="0" borderId="0" xfId="0" applyNumberFormat="1" applyBorder="1"/>
    <xf numFmtId="2" fontId="61" fillId="0" borderId="10" xfId="0" applyNumberFormat="1" applyFont="1" applyBorder="1" applyAlignment="1">
      <alignment horizontal="center"/>
    </xf>
    <xf numFmtId="2" fontId="62" fillId="0" borderId="10" xfId="0" applyNumberFormat="1" applyFont="1" applyBorder="1" applyAlignment="1">
      <alignment horizontal="center"/>
    </xf>
    <xf numFmtId="2" fontId="0" fillId="0" borderId="10" xfId="0" applyNumberFormat="1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0" fillId="0" borderId="42" xfId="0" applyBorder="1"/>
    <xf numFmtId="0" fontId="0" fillId="0" borderId="43" xfId="0" applyBorder="1"/>
    <xf numFmtId="2" fontId="28" fillId="32" borderId="10" xfId="0" applyNumberFormat="1" applyFont="1" applyFill="1" applyBorder="1" applyAlignment="1">
      <alignment horizontal="center"/>
    </xf>
    <xf numFmtId="2" fontId="28" fillId="30" borderId="50" xfId="0" applyNumberFormat="1" applyFont="1" applyFill="1" applyBorder="1" applyAlignment="1">
      <alignment horizontal="center"/>
    </xf>
    <xf numFmtId="2" fontId="28" fillId="29" borderId="51" xfId="0" applyNumberFormat="1" applyFont="1" applyFill="1" applyBorder="1" applyAlignment="1">
      <alignment horizontal="center"/>
    </xf>
    <xf numFmtId="2" fontId="28" fillId="28" borderId="51" xfId="0" applyNumberFormat="1" applyFont="1" applyFill="1" applyBorder="1" applyAlignment="1">
      <alignment horizontal="center"/>
    </xf>
    <xf numFmtId="2" fontId="28" fillId="32" borderId="51" xfId="0" applyNumberFormat="1" applyFont="1" applyFill="1" applyBorder="1" applyAlignment="1">
      <alignment horizontal="center"/>
    </xf>
    <xf numFmtId="2" fontId="28" fillId="33" borderId="52" xfId="0" applyNumberFormat="1" applyFont="1" applyFill="1" applyBorder="1" applyAlignment="1">
      <alignment horizontal="center"/>
    </xf>
    <xf numFmtId="2" fontId="28" fillId="30" borderId="11" xfId="0" applyNumberFormat="1" applyFont="1" applyFill="1" applyBorder="1" applyAlignment="1">
      <alignment horizontal="center"/>
    </xf>
    <xf numFmtId="2" fontId="28" fillId="30" borderId="41" xfId="0" applyNumberFormat="1" applyFont="1" applyFill="1" applyBorder="1" applyAlignment="1">
      <alignment horizontal="center"/>
    </xf>
    <xf numFmtId="2" fontId="28" fillId="32" borderId="42" xfId="0" applyNumberFormat="1" applyFont="1" applyFill="1" applyBorder="1" applyAlignment="1">
      <alignment horizontal="center"/>
    </xf>
    <xf numFmtId="2" fontId="0" fillId="0" borderId="43" xfId="0" applyNumberFormat="1" applyBorder="1"/>
    <xf numFmtId="0" fontId="28" fillId="0" borderId="10" xfId="0" applyFont="1" applyBorder="1" applyAlignment="1">
      <alignment horizontal="center"/>
    </xf>
    <xf numFmtId="2" fontId="27" fillId="0" borderId="41" xfId="0" applyNumberFormat="1" applyFont="1" applyBorder="1" applyAlignment="1">
      <alignment horizontal="center"/>
    </xf>
    <xf numFmtId="2" fontId="27" fillId="0" borderId="42" xfId="0" applyNumberFormat="1" applyFont="1" applyBorder="1" applyAlignment="1">
      <alignment horizontal="center"/>
    </xf>
    <xf numFmtId="2" fontId="27" fillId="0" borderId="43" xfId="0" applyNumberFormat="1" applyFont="1" applyBorder="1" applyAlignment="1">
      <alignment horizontal="center"/>
    </xf>
    <xf numFmtId="2" fontId="28" fillId="28" borderId="19" xfId="0" applyNumberFormat="1" applyFont="1" applyFill="1" applyBorder="1" applyAlignment="1">
      <alignment horizontal="center"/>
    </xf>
    <xf numFmtId="2" fontId="28" fillId="32" borderId="20" xfId="0" applyNumberFormat="1" applyFont="1" applyFill="1" applyBorder="1" applyAlignment="1">
      <alignment horizontal="center"/>
    </xf>
    <xf numFmtId="0" fontId="28" fillId="0" borderId="21" xfId="0" applyFont="1" applyFill="1" applyBorder="1" applyAlignment="1">
      <alignment horizontal="center"/>
    </xf>
    <xf numFmtId="0" fontId="28" fillId="0" borderId="52" xfId="0" applyFont="1" applyBorder="1" applyAlignment="1">
      <alignment horizontal="center"/>
    </xf>
    <xf numFmtId="0" fontId="28" fillId="0" borderId="40" xfId="0" applyFont="1" applyBorder="1" applyAlignment="1">
      <alignment horizontal="center"/>
    </xf>
    <xf numFmtId="2" fontId="28" fillId="0" borderId="41" xfId="0" applyNumberFormat="1" applyFont="1" applyBorder="1" applyAlignment="1">
      <alignment horizontal="center"/>
    </xf>
    <xf numFmtId="0" fontId="28" fillId="0" borderId="42" xfId="0" applyFont="1" applyBorder="1" applyAlignment="1">
      <alignment horizontal="center"/>
    </xf>
    <xf numFmtId="0" fontId="28" fillId="0" borderId="43" xfId="0" applyFont="1" applyBorder="1" applyAlignment="1">
      <alignment horizontal="center"/>
    </xf>
    <xf numFmtId="2" fontId="28" fillId="0" borderId="50" xfId="0" applyNumberFormat="1" applyFont="1" applyFill="1" applyBorder="1" applyAlignment="1">
      <alignment horizontal="center"/>
    </xf>
    <xf numFmtId="2" fontId="28" fillId="0" borderId="11" xfId="0" applyNumberFormat="1" applyFont="1" applyFill="1" applyBorder="1" applyAlignment="1">
      <alignment horizontal="center"/>
    </xf>
    <xf numFmtId="2" fontId="28" fillId="0" borderId="41" xfId="0" applyNumberFormat="1" applyFont="1" applyFill="1" applyBorder="1" applyAlignment="1">
      <alignment horizontal="center"/>
    </xf>
    <xf numFmtId="2" fontId="28" fillId="0" borderId="51" xfId="0" applyNumberFormat="1" applyFont="1" applyFill="1" applyBorder="1" applyAlignment="1">
      <alignment horizontal="center"/>
    </xf>
    <xf numFmtId="2" fontId="28" fillId="0" borderId="10" xfId="0" applyNumberFormat="1" applyFont="1" applyFill="1" applyBorder="1" applyAlignment="1">
      <alignment horizontal="center"/>
    </xf>
    <xf numFmtId="2" fontId="28" fillId="0" borderId="44" xfId="0" applyNumberFormat="1" applyFont="1" applyFill="1" applyBorder="1" applyAlignment="1">
      <alignment horizontal="center"/>
    </xf>
    <xf numFmtId="2" fontId="28" fillId="0" borderId="52" xfId="0" applyNumberFormat="1" applyFont="1" applyFill="1" applyBorder="1" applyAlignment="1">
      <alignment horizontal="center"/>
    </xf>
    <xf numFmtId="2" fontId="28" fillId="0" borderId="55" xfId="0" applyNumberFormat="1" applyFont="1" applyFill="1" applyBorder="1" applyAlignment="1">
      <alignment horizontal="center"/>
    </xf>
    <xf numFmtId="2" fontId="28" fillId="0" borderId="56" xfId="0" applyNumberFormat="1" applyFont="1" applyFill="1" applyBorder="1" applyAlignment="1">
      <alignment horizontal="center"/>
    </xf>
    <xf numFmtId="2" fontId="28" fillId="0" borderId="42" xfId="0" applyNumberFormat="1" applyFont="1" applyFill="1" applyBorder="1" applyAlignment="1">
      <alignment horizontal="center"/>
    </xf>
    <xf numFmtId="2" fontId="28" fillId="0" borderId="57" xfId="0" applyNumberFormat="1" applyFont="1" applyFill="1" applyBorder="1" applyAlignment="1">
      <alignment horizontal="center"/>
    </xf>
    <xf numFmtId="2" fontId="28" fillId="0" borderId="53" xfId="0" applyNumberFormat="1" applyFont="1" applyFill="1" applyBorder="1" applyAlignment="1">
      <alignment horizontal="center"/>
    </xf>
    <xf numFmtId="2" fontId="28" fillId="0" borderId="58" xfId="0" applyNumberFormat="1" applyFont="1" applyFill="1" applyBorder="1" applyAlignment="1">
      <alignment horizontal="center"/>
    </xf>
    <xf numFmtId="2" fontId="28" fillId="0" borderId="20" xfId="0" applyNumberFormat="1" applyFont="1" applyBorder="1" applyAlignment="1">
      <alignment horizontal="center"/>
    </xf>
    <xf numFmtId="2" fontId="28" fillId="0" borderId="28" xfId="0" applyNumberFormat="1" applyFont="1" applyBorder="1" applyAlignment="1">
      <alignment horizontal="center"/>
    </xf>
    <xf numFmtId="2" fontId="28" fillId="29" borderId="0" xfId="0" applyNumberFormat="1" applyFont="1" applyFill="1" applyBorder="1" applyAlignment="1">
      <alignment horizontal="center"/>
    </xf>
    <xf numFmtId="2" fontId="28" fillId="28" borderId="22" xfId="0" applyNumberFormat="1" applyFont="1" applyFill="1" applyBorder="1" applyAlignment="1">
      <alignment horizontal="center"/>
    </xf>
    <xf numFmtId="2" fontId="28" fillId="31" borderId="22" xfId="0" applyNumberFormat="1" applyFont="1" applyFill="1" applyBorder="1" applyAlignment="1">
      <alignment horizontal="center"/>
    </xf>
    <xf numFmtId="169" fontId="4" fillId="0" borderId="0" xfId="0" applyNumberFormat="1" applyFont="1"/>
    <xf numFmtId="169" fontId="4" fillId="0" borderId="0" xfId="0" applyNumberFormat="1" applyFont="1" applyBorder="1"/>
    <xf numFmtId="169" fontId="4" fillId="0" borderId="0" xfId="0" applyNumberFormat="1" applyFont="1" applyFill="1" applyBorder="1" applyAlignment="1">
      <alignment horizontal="center"/>
    </xf>
    <xf numFmtId="169" fontId="4" fillId="0" borderId="0" xfId="0" applyNumberFormat="1" applyFont="1" applyFill="1" applyBorder="1"/>
    <xf numFmtId="169" fontId="4" fillId="0" borderId="0" xfId="0" applyNumberFormat="1" applyFont="1" applyFill="1"/>
    <xf numFmtId="2" fontId="28" fillId="24" borderId="11" xfId="0" applyNumberFormat="1" applyFont="1" applyFill="1" applyBorder="1"/>
    <xf numFmtId="2" fontId="28" fillId="24" borderId="41" xfId="0" applyNumberFormat="1" applyFont="1" applyFill="1" applyBorder="1"/>
    <xf numFmtId="2" fontId="4" fillId="25" borderId="50" xfId="0" applyNumberFormat="1" applyFont="1" applyFill="1" applyBorder="1" applyAlignment="1">
      <alignment horizontal="center"/>
    </xf>
    <xf numFmtId="2" fontId="4" fillId="25" borderId="41" xfId="0" applyNumberFormat="1" applyFont="1" applyFill="1" applyBorder="1" applyAlignment="1">
      <alignment horizontal="center"/>
    </xf>
    <xf numFmtId="169" fontId="83" fillId="0" borderId="0" xfId="0" applyNumberFormat="1" applyFont="1" applyBorder="1"/>
    <xf numFmtId="169" fontId="84" fillId="0" borderId="0" xfId="0" applyNumberFormat="1" applyFont="1" applyBorder="1"/>
    <xf numFmtId="169" fontId="0" fillId="0" borderId="0" xfId="0" applyNumberFormat="1"/>
    <xf numFmtId="2" fontId="82" fillId="0" borderId="0" xfId="0" applyNumberFormat="1" applyFont="1" applyAlignment="1">
      <alignment horizontal="center"/>
    </xf>
    <xf numFmtId="0" fontId="83" fillId="0" borderId="23" xfId="0" applyFont="1" applyBorder="1" applyAlignment="1">
      <alignment horizontal="center"/>
    </xf>
    <xf numFmtId="0" fontId="83" fillId="0" borderId="0" xfId="0" applyFont="1" applyBorder="1" applyAlignment="1">
      <alignment horizontal="center"/>
    </xf>
    <xf numFmtId="0" fontId="85" fillId="0" borderId="22" xfId="0" applyFont="1" applyFill="1" applyBorder="1" applyAlignment="1">
      <alignment horizontal="center"/>
    </xf>
    <xf numFmtId="169" fontId="83" fillId="0" borderId="23" xfId="0" applyNumberFormat="1" applyFont="1" applyBorder="1"/>
    <xf numFmtId="169" fontId="83" fillId="0" borderId="22" xfId="0" applyNumberFormat="1" applyFont="1" applyFill="1" applyBorder="1"/>
    <xf numFmtId="0" fontId="84" fillId="0" borderId="23" xfId="0" applyFont="1" applyBorder="1" applyAlignment="1">
      <alignment horizontal="center"/>
    </xf>
    <xf numFmtId="0" fontId="84" fillId="0" borderId="0" xfId="0" applyFont="1" applyBorder="1" applyAlignment="1">
      <alignment horizontal="center"/>
    </xf>
    <xf numFmtId="0" fontId="86" fillId="0" borderId="22" xfId="0" applyFont="1" applyFill="1" applyBorder="1" applyAlignment="1">
      <alignment horizontal="center"/>
    </xf>
    <xf numFmtId="169" fontId="84" fillId="0" borderId="23" xfId="0" applyNumberFormat="1" applyFont="1" applyBorder="1"/>
    <xf numFmtId="169" fontId="84" fillId="0" borderId="22" xfId="0" applyNumberFormat="1" applyFont="1" applyFill="1" applyBorder="1"/>
    <xf numFmtId="0" fontId="41" fillId="0" borderId="19" xfId="0" applyFont="1" applyBorder="1" applyAlignment="1">
      <alignment horizontal="center"/>
    </xf>
    <xf numFmtId="0" fontId="41" fillId="0" borderId="20" xfId="0" applyFont="1" applyBorder="1" applyAlignment="1">
      <alignment horizontal="center"/>
    </xf>
    <xf numFmtId="0" fontId="33" fillId="0" borderId="21" xfId="0" applyFont="1" applyFill="1" applyBorder="1" applyAlignment="1">
      <alignment horizontal="center"/>
    </xf>
    <xf numFmtId="169" fontId="28" fillId="0" borderId="23" xfId="0" applyNumberFormat="1" applyFont="1" applyBorder="1"/>
    <xf numFmtId="0" fontId="0" fillId="0" borderId="21" xfId="0" applyBorder="1"/>
    <xf numFmtId="2" fontId="28" fillId="0" borderId="22" xfId="0" applyNumberFormat="1" applyFont="1" applyBorder="1" applyAlignment="1">
      <alignment horizontal="center"/>
    </xf>
    <xf numFmtId="2" fontId="28" fillId="0" borderId="29" xfId="0" applyNumberFormat="1" applyFont="1" applyBorder="1" applyAlignment="1">
      <alignment horizontal="center"/>
    </xf>
    <xf numFmtId="0" fontId="28" fillId="0" borderId="25" xfId="0" applyFont="1" applyBorder="1" applyAlignment="1">
      <alignment horizontal="center"/>
    </xf>
    <xf numFmtId="0" fontId="28" fillId="0" borderId="59" xfId="0" applyFont="1" applyBorder="1" applyAlignment="1">
      <alignment horizontal="center"/>
    </xf>
    <xf numFmtId="1" fontId="28" fillId="0" borderId="59" xfId="0" applyNumberFormat="1" applyFont="1" applyFill="1" applyBorder="1" applyAlignment="1">
      <alignment horizontal="center"/>
    </xf>
    <xf numFmtId="1" fontId="28" fillId="0" borderId="59" xfId="0" applyNumberFormat="1" applyFont="1" applyBorder="1" applyAlignment="1">
      <alignment horizontal="center"/>
    </xf>
    <xf numFmtId="1" fontId="28" fillId="0" borderId="26" xfId="0" applyNumberFormat="1" applyFont="1" applyBorder="1" applyAlignment="1">
      <alignment horizontal="center"/>
    </xf>
    <xf numFmtId="169" fontId="83" fillId="0" borderId="27" xfId="0" applyNumberFormat="1" applyFont="1" applyBorder="1"/>
    <xf numFmtId="169" fontId="83" fillId="0" borderId="28" xfId="0" applyNumberFormat="1" applyFont="1" applyBorder="1"/>
    <xf numFmtId="169" fontId="83" fillId="0" borderId="29" xfId="0" applyNumberFormat="1" applyFont="1" applyFill="1" applyBorder="1"/>
    <xf numFmtId="169" fontId="84" fillId="0" borderId="27" xfId="0" applyNumberFormat="1" applyFont="1" applyBorder="1"/>
    <xf numFmtId="169" fontId="84" fillId="0" borderId="28" xfId="0" applyNumberFormat="1" applyFont="1" applyBorder="1"/>
    <xf numFmtId="169" fontId="84" fillId="0" borderId="29" xfId="0" applyNumberFormat="1" applyFont="1" applyFill="1" applyBorder="1"/>
    <xf numFmtId="173" fontId="4" fillId="0" borderId="0" xfId="0" applyNumberFormat="1" applyFont="1" applyFill="1"/>
    <xf numFmtId="173" fontId="68" fillId="0" borderId="0" xfId="0" applyNumberFormat="1" applyFont="1" applyFill="1"/>
    <xf numFmtId="173" fontId="34" fillId="0" borderId="0" xfId="0" applyNumberFormat="1" applyFont="1" applyFill="1"/>
    <xf numFmtId="169" fontId="28" fillId="0" borderId="23" xfId="0" applyNumberFormat="1" applyFont="1" applyBorder="1" applyAlignment="1">
      <alignment horizontal="center"/>
    </xf>
    <xf numFmtId="169" fontId="28" fillId="0" borderId="19" xfId="0" applyNumberFormat="1" applyFont="1" applyBorder="1" applyAlignment="1">
      <alignment horizontal="center"/>
    </xf>
    <xf numFmtId="169" fontId="28" fillId="0" borderId="27" xfId="0" applyNumberFormat="1" applyFont="1" applyBorder="1" applyAlignment="1">
      <alignment horizontal="center"/>
    </xf>
    <xf numFmtId="169" fontId="83" fillId="0" borderId="0" xfId="0" applyNumberFormat="1" applyFont="1" applyFill="1" applyBorder="1"/>
    <xf numFmtId="169" fontId="84" fillId="0" borderId="23" xfId="0" applyNumberFormat="1" applyFont="1" applyFill="1" applyBorder="1"/>
    <xf numFmtId="169" fontId="84" fillId="0" borderId="0" xfId="0" applyNumberFormat="1" applyFont="1" applyFill="1" applyBorder="1"/>
    <xf numFmtId="169" fontId="83" fillId="0" borderId="28" xfId="0" applyNumberFormat="1" applyFont="1" applyFill="1" applyBorder="1"/>
    <xf numFmtId="169" fontId="84" fillId="0" borderId="27" xfId="0" applyNumberFormat="1" applyFont="1" applyFill="1" applyBorder="1"/>
    <xf numFmtId="169" fontId="84" fillId="0" borderId="28" xfId="0" applyNumberFormat="1" applyFont="1" applyFill="1" applyBorder="1"/>
    <xf numFmtId="2" fontId="0" fillId="0" borderId="28" xfId="0" applyNumberFormat="1" applyBorder="1"/>
    <xf numFmtId="2" fontId="0" fillId="0" borderId="20" xfId="0" applyNumberFormat="1" applyBorder="1"/>
    <xf numFmtId="2" fontId="28" fillId="0" borderId="36" xfId="0" applyNumberFormat="1" applyFont="1" applyBorder="1" applyAlignment="1">
      <alignment horizontal="center"/>
    </xf>
    <xf numFmtId="2" fontId="28" fillId="0" borderId="37" xfId="0" applyNumberFormat="1" applyFont="1" applyBorder="1" applyAlignment="1">
      <alignment horizontal="center"/>
    </xf>
    <xf numFmtId="0" fontId="28" fillId="0" borderId="37" xfId="0" applyFont="1" applyBorder="1" applyAlignment="1">
      <alignment horizontal="center"/>
    </xf>
    <xf numFmtId="0" fontId="28" fillId="0" borderId="32" xfId="0" applyFont="1" applyBorder="1" applyAlignment="1">
      <alignment horizontal="center"/>
    </xf>
    <xf numFmtId="2" fontId="0" fillId="34" borderId="10" xfId="0" applyNumberFormat="1" applyFill="1" applyBorder="1" applyAlignment="1">
      <alignment horizontal="center"/>
    </xf>
    <xf numFmtId="2" fontId="0" fillId="0" borderId="10" xfId="0" applyNumberFormat="1" applyBorder="1"/>
    <xf numFmtId="2" fontId="0" fillId="34" borderId="51" xfId="0" applyNumberFormat="1" applyFill="1" applyBorder="1" applyAlignment="1">
      <alignment horizontal="center"/>
    </xf>
    <xf numFmtId="2" fontId="0" fillId="34" borderId="52" xfId="0" applyNumberFormat="1" applyFill="1" applyBorder="1" applyAlignment="1">
      <alignment horizontal="center"/>
    </xf>
    <xf numFmtId="0" fontId="28" fillId="0" borderId="11" xfId="0" applyFont="1" applyBorder="1" applyAlignment="1">
      <alignment horizontal="center"/>
    </xf>
    <xf numFmtId="2" fontId="0" fillId="34" borderId="40" xfId="0" applyNumberFormat="1" applyFill="1" applyBorder="1" applyAlignment="1">
      <alignment horizontal="center"/>
    </xf>
    <xf numFmtId="0" fontId="28" fillId="0" borderId="41" xfId="0" applyFont="1" applyBorder="1" applyAlignment="1">
      <alignment horizontal="center"/>
    </xf>
    <xf numFmtId="2" fontId="0" fillId="34" borderId="42" xfId="0" applyNumberFormat="1" applyFill="1" applyBorder="1" applyAlignment="1">
      <alignment horizontal="center"/>
    </xf>
    <xf numFmtId="2" fontId="0" fillId="0" borderId="42" xfId="0" applyNumberFormat="1" applyBorder="1"/>
    <xf numFmtId="2" fontId="0" fillId="34" borderId="43" xfId="0" applyNumberFormat="1" applyFill="1" applyBorder="1" applyAlignment="1">
      <alignment horizontal="center"/>
    </xf>
    <xf numFmtId="2" fontId="0" fillId="0" borderId="55" xfId="0" applyNumberFormat="1" applyBorder="1" applyAlignment="1">
      <alignment horizontal="center"/>
    </xf>
    <xf numFmtId="2" fontId="0" fillId="0" borderId="56" xfId="0" applyNumberFormat="1" applyBorder="1" applyAlignment="1">
      <alignment horizontal="center"/>
    </xf>
    <xf numFmtId="2" fontId="0" fillId="0" borderId="57" xfId="0" applyNumberFormat="1" applyBorder="1" applyAlignment="1">
      <alignment horizontal="center"/>
    </xf>
    <xf numFmtId="0" fontId="28" fillId="34" borderId="34" xfId="0" applyFont="1" applyFill="1" applyBorder="1" applyAlignment="1">
      <alignment horizontal="center"/>
    </xf>
    <xf numFmtId="0" fontId="28" fillId="0" borderId="34" xfId="0" applyFont="1" applyBorder="1" applyAlignment="1">
      <alignment horizontal="center"/>
    </xf>
    <xf numFmtId="0" fontId="0" fillId="26" borderId="0" xfId="0" applyFill="1" applyAlignment="1">
      <alignment horizontal="center"/>
    </xf>
    <xf numFmtId="0" fontId="28" fillId="0" borderId="19" xfId="0" applyFont="1" applyBorder="1" applyAlignment="1">
      <alignment horizontal="center"/>
    </xf>
    <xf numFmtId="0" fontId="28" fillId="0" borderId="21" xfId="0" applyFont="1" applyBorder="1" applyAlignment="1">
      <alignment horizontal="center"/>
    </xf>
    <xf numFmtId="0" fontId="34" fillId="0" borderId="0" xfId="0" applyFont="1" applyFill="1" applyBorder="1"/>
    <xf numFmtId="167" fontId="34" fillId="0" borderId="0" xfId="0" applyNumberFormat="1" applyFont="1" applyFill="1" applyBorder="1"/>
    <xf numFmtId="173" fontId="31" fillId="0" borderId="27" xfId="0" applyNumberFormat="1" applyFont="1" applyFill="1" applyBorder="1" applyAlignment="1">
      <alignment horizontal="center"/>
    </xf>
    <xf numFmtId="0" fontId="34" fillId="0" borderId="28" xfId="0" applyFont="1" applyFill="1" applyBorder="1"/>
    <xf numFmtId="173" fontId="31" fillId="0" borderId="28" xfId="0" applyNumberFormat="1" applyFont="1" applyFill="1" applyBorder="1" applyAlignment="1">
      <alignment horizontal="center"/>
    </xf>
    <xf numFmtId="167" fontId="34" fillId="0" borderId="28" xfId="0" applyNumberFormat="1" applyFont="1" applyFill="1" applyBorder="1" applyAlignment="1">
      <alignment horizontal="center"/>
    </xf>
    <xf numFmtId="2" fontId="27" fillId="0" borderId="0" xfId="0" applyNumberFormat="1" applyFont="1"/>
    <xf numFmtId="2" fontId="27" fillId="0" borderId="0" xfId="0" applyNumberFormat="1" applyFont="1" applyFill="1"/>
    <xf numFmtId="2" fontId="28" fillId="0" borderId="19" xfId="0" applyNumberFormat="1" applyFont="1" applyBorder="1"/>
    <xf numFmtId="2" fontId="28" fillId="0" borderId="23" xfId="0" applyNumberFormat="1" applyFont="1" applyBorder="1"/>
    <xf numFmtId="0" fontId="28" fillId="0" borderId="22" xfId="0" applyFont="1" applyBorder="1" applyAlignment="1">
      <alignment horizontal="center"/>
    </xf>
    <xf numFmtId="167" fontId="28" fillId="0" borderId="22" xfId="0" applyNumberFormat="1" applyFont="1" applyBorder="1" applyAlignment="1">
      <alignment horizontal="center"/>
    </xf>
    <xf numFmtId="2" fontId="28" fillId="0" borderId="27" xfId="0" applyNumberFormat="1" applyFont="1" applyBorder="1"/>
    <xf numFmtId="167" fontId="28" fillId="0" borderId="29" xfId="0" applyNumberFormat="1" applyFont="1" applyBorder="1" applyAlignment="1">
      <alignment horizontal="center"/>
    </xf>
    <xf numFmtId="11" fontId="34" fillId="0" borderId="23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1" fontId="4" fillId="0" borderId="0" xfId="0" applyNumberFormat="1" applyFont="1" applyFill="1" applyBorder="1" applyAlignment="1">
      <alignment horizontal="center"/>
    </xf>
    <xf numFmtId="0" fontId="4" fillId="0" borderId="22" xfId="0" applyFont="1" applyFill="1" applyBorder="1" applyAlignment="1">
      <alignment horizontal="center"/>
    </xf>
    <xf numFmtId="11" fontId="0" fillId="0" borderId="0" xfId="0" applyNumberFormat="1" applyFill="1"/>
    <xf numFmtId="173" fontId="68" fillId="0" borderId="19" xfId="0" applyNumberFormat="1" applyFont="1" applyFill="1" applyBorder="1"/>
    <xf numFmtId="0" fontId="34" fillId="0" borderId="20" xfId="0" applyFont="1" applyFill="1" applyBorder="1"/>
    <xf numFmtId="173" fontId="68" fillId="0" borderId="20" xfId="0" applyNumberFormat="1" applyFont="1" applyFill="1" applyBorder="1"/>
    <xf numFmtId="167" fontId="34" fillId="0" borderId="20" xfId="0" applyNumberFormat="1" applyFont="1" applyFill="1" applyBorder="1"/>
    <xf numFmtId="173" fontId="4" fillId="0" borderId="21" xfId="0" applyNumberFormat="1" applyFont="1" applyFill="1" applyBorder="1"/>
    <xf numFmtId="173" fontId="68" fillId="0" borderId="23" xfId="0" applyNumberFormat="1" applyFont="1" applyFill="1" applyBorder="1"/>
    <xf numFmtId="173" fontId="68" fillId="0" borderId="0" xfId="0" applyNumberFormat="1" applyFont="1" applyFill="1" applyBorder="1"/>
    <xf numFmtId="173" fontId="4" fillId="0" borderId="22" xfId="0" applyNumberFormat="1" applyFont="1" applyFill="1" applyBorder="1"/>
    <xf numFmtId="173" fontId="68" fillId="0" borderId="27" xfId="0" applyNumberFormat="1" applyFont="1" applyFill="1" applyBorder="1"/>
    <xf numFmtId="173" fontId="68" fillId="0" borderId="28" xfId="0" applyNumberFormat="1" applyFont="1" applyFill="1" applyBorder="1"/>
    <xf numFmtId="173" fontId="4" fillId="0" borderId="29" xfId="0" applyNumberFormat="1" applyFont="1" applyFill="1" applyBorder="1"/>
    <xf numFmtId="172" fontId="4" fillId="0" borderId="19" xfId="0" applyNumberFormat="1" applyFont="1" applyFill="1" applyBorder="1" applyAlignment="1">
      <alignment horizontal="center"/>
    </xf>
    <xf numFmtId="0" fontId="4" fillId="0" borderId="20" xfId="0" applyFont="1" applyFill="1" applyBorder="1" applyAlignment="1">
      <alignment horizontal="center"/>
    </xf>
    <xf numFmtId="172" fontId="4" fillId="0" borderId="20" xfId="0" applyNumberFormat="1" applyFont="1" applyFill="1" applyBorder="1" applyAlignment="1">
      <alignment horizontal="center"/>
    </xf>
    <xf numFmtId="172" fontId="0" fillId="0" borderId="20" xfId="0" applyNumberFormat="1" applyFill="1" applyBorder="1" applyAlignment="1">
      <alignment horizontal="center"/>
    </xf>
    <xf numFmtId="0" fontId="4" fillId="0" borderId="21" xfId="0" applyFont="1" applyFill="1" applyBorder="1" applyAlignment="1">
      <alignment horizontal="center"/>
    </xf>
    <xf numFmtId="172" fontId="4" fillId="0" borderId="23" xfId="0" applyNumberFormat="1" applyFont="1" applyFill="1" applyBorder="1" applyAlignment="1">
      <alignment horizontal="center"/>
    </xf>
    <xf numFmtId="172" fontId="4" fillId="0" borderId="0" xfId="0" applyNumberFormat="1" applyFont="1" applyFill="1" applyBorder="1" applyAlignment="1">
      <alignment horizontal="center"/>
    </xf>
    <xf numFmtId="172" fontId="0" fillId="0" borderId="0" xfId="0" applyNumberFormat="1" applyFill="1" applyBorder="1" applyAlignment="1">
      <alignment horizontal="center"/>
    </xf>
    <xf numFmtId="172" fontId="4" fillId="0" borderId="27" xfId="0" applyNumberFormat="1" applyFont="1" applyFill="1" applyBorder="1" applyAlignment="1">
      <alignment horizontal="center"/>
    </xf>
    <xf numFmtId="0" fontId="4" fillId="0" borderId="28" xfId="0" applyFont="1" applyFill="1" applyBorder="1" applyAlignment="1">
      <alignment horizontal="center"/>
    </xf>
    <xf numFmtId="172" fontId="4" fillId="0" borderId="28" xfId="0" applyNumberFormat="1" applyFont="1" applyFill="1" applyBorder="1" applyAlignment="1">
      <alignment horizontal="center"/>
    </xf>
    <xf numFmtId="172" fontId="0" fillId="0" borderId="28" xfId="0" applyNumberFormat="1" applyFill="1" applyBorder="1" applyAlignment="1">
      <alignment horizontal="center"/>
    </xf>
    <xf numFmtId="0" fontId="4" fillId="0" borderId="29" xfId="0" applyFont="1" applyFill="1" applyBorder="1" applyAlignment="1">
      <alignment horizontal="center"/>
    </xf>
    <xf numFmtId="0" fontId="35" fillId="0" borderId="19" xfId="0" applyFont="1" applyFill="1" applyBorder="1"/>
    <xf numFmtId="167" fontId="35" fillId="0" borderId="20" xfId="0" applyNumberFormat="1" applyFont="1" applyFill="1" applyBorder="1"/>
    <xf numFmtId="167" fontId="35" fillId="0" borderId="21" xfId="0" applyNumberFormat="1" applyFont="1" applyFill="1" applyBorder="1"/>
    <xf numFmtId="0" fontId="35" fillId="0" borderId="23" xfId="0" applyFont="1" applyFill="1" applyBorder="1"/>
    <xf numFmtId="167" fontId="35" fillId="0" borderId="22" xfId="0" applyNumberFormat="1" applyFont="1" applyFill="1" applyBorder="1"/>
    <xf numFmtId="167" fontId="4" fillId="0" borderId="22" xfId="0" applyNumberFormat="1" applyFont="1" applyFill="1" applyBorder="1"/>
    <xf numFmtId="0" fontId="35" fillId="0" borderId="27" xfId="0" applyFont="1" applyFill="1" applyBorder="1"/>
    <xf numFmtId="167" fontId="35" fillId="0" borderId="28" xfId="0" applyNumberFormat="1" applyFont="1" applyFill="1" applyBorder="1"/>
    <xf numFmtId="167" fontId="35" fillId="0" borderId="29" xfId="0" applyNumberFormat="1" applyFont="1" applyFill="1" applyBorder="1"/>
    <xf numFmtId="0" fontId="35" fillId="0" borderId="0" xfId="0" applyFont="1" applyFill="1" applyBorder="1"/>
    <xf numFmtId="0" fontId="34" fillId="0" borderId="0" xfId="0" applyFont="1" applyFill="1" applyAlignment="1">
      <alignment horizontal="right"/>
    </xf>
    <xf numFmtId="173" fontId="31" fillId="0" borderId="29" xfId="0" applyNumberFormat="1" applyFont="1" applyFill="1" applyBorder="1" applyAlignment="1">
      <alignment horizontal="center"/>
    </xf>
    <xf numFmtId="11" fontId="82" fillId="0" borderId="34" xfId="0" applyNumberFormat="1" applyFont="1" applyFill="1" applyBorder="1" applyAlignment="1">
      <alignment horizontal="center"/>
    </xf>
    <xf numFmtId="173" fontId="91" fillId="0" borderId="23" xfId="0" applyNumberFormat="1" applyFont="1" applyFill="1" applyBorder="1" applyAlignment="1">
      <alignment horizontal="center"/>
    </xf>
    <xf numFmtId="173" fontId="56" fillId="0" borderId="0" xfId="0" applyNumberFormat="1" applyFont="1" applyFill="1" applyBorder="1" applyAlignment="1">
      <alignment horizontal="center"/>
    </xf>
    <xf numFmtId="173" fontId="28" fillId="0" borderId="22" xfId="0" applyNumberFormat="1" applyFont="1" applyFill="1" applyBorder="1" applyAlignment="1">
      <alignment horizontal="center"/>
    </xf>
    <xf numFmtId="0" fontId="91" fillId="0" borderId="0" xfId="0" applyFont="1" applyAlignment="1">
      <alignment horizontal="center"/>
    </xf>
    <xf numFmtId="0" fontId="91" fillId="0" borderId="17" xfId="0" applyFont="1" applyFill="1" applyBorder="1" applyAlignment="1">
      <alignment horizontal="center"/>
    </xf>
    <xf numFmtId="0" fontId="91" fillId="0" borderId="18" xfId="0" applyFont="1" applyBorder="1" applyAlignment="1">
      <alignment horizontal="center"/>
    </xf>
    <xf numFmtId="0" fontId="91" fillId="0" borderId="12" xfId="0" applyFont="1" applyBorder="1" applyAlignment="1">
      <alignment horizontal="center"/>
    </xf>
    <xf numFmtId="164" fontId="91" fillId="0" borderId="0" xfId="0" applyNumberFormat="1" applyFont="1"/>
    <xf numFmtId="0" fontId="56" fillId="0" borderId="0" xfId="0" applyFont="1" applyAlignment="1">
      <alignment horizontal="center"/>
    </xf>
    <xf numFmtId="164" fontId="91" fillId="0" borderId="0" xfId="0" applyNumberFormat="1" applyFont="1" applyAlignment="1">
      <alignment horizontal="center"/>
    </xf>
    <xf numFmtId="169" fontId="56" fillId="0" borderId="0" xfId="0" applyNumberFormat="1" applyFont="1" applyAlignment="1">
      <alignment horizontal="center"/>
    </xf>
    <xf numFmtId="169" fontId="28" fillId="0" borderId="37" xfId="0" applyNumberFormat="1" applyFont="1" applyBorder="1"/>
    <xf numFmtId="169" fontId="28" fillId="0" borderId="27" xfId="0" applyNumberFormat="1" applyFont="1" applyBorder="1"/>
    <xf numFmtId="169" fontId="28" fillId="0" borderId="32" xfId="0" applyNumberFormat="1" applyFont="1" applyBorder="1"/>
    <xf numFmtId="0" fontId="28" fillId="0" borderId="23" xfId="0" applyFont="1" applyBorder="1"/>
    <xf numFmtId="0" fontId="28" fillId="0" borderId="22" xfId="0" applyFont="1" applyBorder="1"/>
    <xf numFmtId="0" fontId="0" fillId="0" borderId="23" xfId="0" applyBorder="1"/>
    <xf numFmtId="2" fontId="59" fillId="0" borderId="36" xfId="0" applyNumberFormat="1" applyFont="1" applyBorder="1" applyAlignment="1">
      <alignment horizontal="center"/>
    </xf>
    <xf numFmtId="2" fontId="28" fillId="0" borderId="32" xfId="0" applyNumberFormat="1" applyFon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0" fontId="0" fillId="0" borderId="27" xfId="0" applyBorder="1" applyAlignment="1">
      <alignment horizontal="center"/>
    </xf>
    <xf numFmtId="2" fontId="0" fillId="0" borderId="29" xfId="0" applyNumberFormat="1" applyBorder="1" applyAlignment="1">
      <alignment horizontal="center"/>
    </xf>
    <xf numFmtId="2" fontId="28" fillId="31" borderId="19" xfId="0" applyNumberFormat="1" applyFont="1" applyFill="1" applyBorder="1" applyAlignment="1">
      <alignment horizontal="center"/>
    </xf>
    <xf numFmtId="2" fontId="60" fillId="28" borderId="23" xfId="0" applyNumberFormat="1" applyFont="1" applyFill="1" applyBorder="1" applyAlignment="1">
      <alignment horizontal="center"/>
    </xf>
    <xf numFmtId="2" fontId="60" fillId="28" borderId="27" xfId="0" applyNumberFormat="1" applyFont="1" applyFill="1" applyBorder="1" applyAlignment="1">
      <alignment horizontal="center"/>
    </xf>
    <xf numFmtId="0" fontId="0" fillId="0" borderId="19" xfId="0" applyBorder="1"/>
    <xf numFmtId="2" fontId="28" fillId="35" borderId="21" xfId="0" applyNumberFormat="1" applyFont="1" applyFill="1" applyBorder="1" applyAlignment="1">
      <alignment horizontal="center"/>
    </xf>
    <xf numFmtId="0" fontId="28" fillId="0" borderId="23" xfId="0" applyFont="1" applyBorder="1" applyAlignment="1">
      <alignment horizontal="center"/>
    </xf>
    <xf numFmtId="2" fontId="28" fillId="32" borderId="22" xfId="0" applyNumberFormat="1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2" fontId="28" fillId="36" borderId="22" xfId="0" applyNumberFormat="1" applyFont="1" applyFill="1" applyBorder="1" applyAlignment="1">
      <alignment horizontal="center"/>
    </xf>
    <xf numFmtId="2" fontId="28" fillId="36" borderId="29" xfId="0" applyNumberFormat="1" applyFont="1" applyFill="1" applyBorder="1" applyAlignment="1">
      <alignment horizontal="center"/>
    </xf>
    <xf numFmtId="0" fontId="28" fillId="0" borderId="36" xfId="0" applyFont="1" applyBorder="1"/>
    <xf numFmtId="2" fontId="28" fillId="0" borderId="38" xfId="0" applyNumberFormat="1" applyFont="1" applyBorder="1" applyAlignment="1">
      <alignment horizontal="center"/>
    </xf>
    <xf numFmtId="2" fontId="28" fillId="0" borderId="44" xfId="0" applyNumberFormat="1" applyFont="1" applyBorder="1" applyAlignment="1">
      <alignment horizontal="center"/>
    </xf>
    <xf numFmtId="2" fontId="0" fillId="0" borderId="46" xfId="0" applyNumberFormat="1" applyBorder="1" applyAlignment="1">
      <alignment horizontal="center"/>
    </xf>
    <xf numFmtId="0" fontId="0" fillId="26" borderId="0" xfId="0" applyFill="1" applyAlignment="1"/>
    <xf numFmtId="0" fontId="43" fillId="26" borderId="0" xfId="0" quotePrefix="1" applyFont="1" applyFill="1" applyBorder="1" applyAlignment="1" applyProtection="1">
      <alignment horizontal="left"/>
      <protection locked="0"/>
    </xf>
    <xf numFmtId="0" fontId="28" fillId="26" borderId="0" xfId="0" applyFont="1" applyFill="1" applyBorder="1" applyAlignment="1">
      <alignment horizontal="center"/>
    </xf>
    <xf numFmtId="0" fontId="46" fillId="26" borderId="21" xfId="0" applyFont="1" applyFill="1" applyBorder="1" applyAlignment="1">
      <alignment horizontal="center"/>
    </xf>
    <xf numFmtId="0" fontId="37" fillId="26" borderId="0" xfId="0" applyFont="1" applyFill="1" applyBorder="1"/>
    <xf numFmtId="0" fontId="32" fillId="26" borderId="0" xfId="0" applyFont="1" applyFill="1" applyBorder="1"/>
    <xf numFmtId="0" fontId="27" fillId="26" borderId="33" xfId="0" applyFont="1" applyFill="1" applyBorder="1" applyAlignment="1">
      <alignment horizontal="center"/>
    </xf>
    <xf numFmtId="0" fontId="27" fillId="26" borderId="19" xfId="0" applyFont="1" applyFill="1" applyBorder="1" applyAlignment="1"/>
    <xf numFmtId="0" fontId="27" fillId="26" borderId="23" xfId="0" applyFont="1" applyFill="1" applyBorder="1" applyAlignment="1"/>
    <xf numFmtId="0" fontId="27" fillId="26" borderId="0" xfId="0" applyFont="1" applyFill="1" applyBorder="1" applyAlignment="1"/>
    <xf numFmtId="0" fontId="35" fillId="26" borderId="0" xfId="0" applyFont="1" applyFill="1" applyBorder="1" applyAlignment="1">
      <alignment horizontal="center"/>
    </xf>
    <xf numFmtId="0" fontId="4" fillId="26" borderId="0" xfId="0" applyFont="1" applyFill="1" applyBorder="1" applyAlignment="1">
      <alignment horizontal="center"/>
    </xf>
    <xf numFmtId="0" fontId="36" fillId="26" borderId="0" xfId="0" applyFont="1" applyFill="1" applyBorder="1" applyAlignment="1">
      <alignment horizontal="center"/>
    </xf>
    <xf numFmtId="0" fontId="35" fillId="26" borderId="0" xfId="0" applyFont="1" applyFill="1" applyBorder="1"/>
    <xf numFmtId="0" fontId="31" fillId="26" borderId="0" xfId="0" applyFont="1" applyFill="1" applyBorder="1" applyAlignment="1">
      <alignment horizontal="center"/>
    </xf>
    <xf numFmtId="168" fontId="56" fillId="26" borderId="0" xfId="0" applyNumberFormat="1" applyFont="1" applyFill="1" applyBorder="1"/>
    <xf numFmtId="168" fontId="56" fillId="26" borderId="0" xfId="0" applyNumberFormat="1" applyFont="1" applyFill="1" applyBorder="1" applyAlignment="1">
      <alignment horizontal="center"/>
    </xf>
    <xf numFmtId="164" fontId="0" fillId="26" borderId="0" xfId="0" applyNumberFormat="1" applyFill="1" applyBorder="1" applyAlignment="1">
      <alignment horizontal="center"/>
    </xf>
    <xf numFmtId="168" fontId="0" fillId="26" borderId="0" xfId="0" applyNumberFormat="1" applyFill="1" applyBorder="1"/>
    <xf numFmtId="165" fontId="0" fillId="26" borderId="0" xfId="0" applyNumberFormat="1" applyFill="1" applyBorder="1"/>
    <xf numFmtId="168" fontId="35" fillId="26" borderId="0" xfId="0" applyNumberFormat="1" applyFont="1" applyFill="1" applyBorder="1"/>
    <xf numFmtId="0" fontId="34" fillId="26" borderId="0" xfId="0" applyFont="1" applyFill="1"/>
    <xf numFmtId="2" fontId="28" fillId="26" borderId="19" xfId="0" applyNumberFormat="1" applyFont="1" applyFill="1" applyBorder="1"/>
    <xf numFmtId="2" fontId="28" fillId="26" borderId="23" xfId="0" applyNumberFormat="1" applyFont="1" applyFill="1" applyBorder="1"/>
    <xf numFmtId="2" fontId="27" fillId="26" borderId="0" xfId="0" applyNumberFormat="1" applyFont="1" applyFill="1"/>
    <xf numFmtId="0" fontId="34" fillId="26" borderId="0" xfId="0" applyFont="1" applyFill="1" applyBorder="1"/>
    <xf numFmtId="0" fontId="45" fillId="26" borderId="36" xfId="0" applyFont="1" applyFill="1" applyBorder="1" applyAlignment="1">
      <alignment horizontal="center"/>
    </xf>
    <xf numFmtId="2" fontId="41" fillId="26" borderId="0" xfId="0" applyNumberFormat="1" applyFont="1" applyFill="1" applyBorder="1" applyAlignment="1">
      <alignment horizontal="center"/>
    </xf>
    <xf numFmtId="2" fontId="0" fillId="26" borderId="0" xfId="0" applyNumberFormat="1" applyFill="1"/>
    <xf numFmtId="2" fontId="0" fillId="26" borderId="23" xfId="0" applyNumberFormat="1" applyFill="1" applyBorder="1" applyAlignment="1">
      <alignment horizontal="right"/>
    </xf>
    <xf numFmtId="2" fontId="0" fillId="26" borderId="19" xfId="0" applyNumberFormat="1" applyFill="1" applyBorder="1"/>
    <xf numFmtId="2" fontId="0" fillId="26" borderId="23" xfId="0" applyNumberFormat="1" applyFill="1" applyBorder="1"/>
    <xf numFmtId="2" fontId="0" fillId="26" borderId="30" xfId="0" applyNumberFormat="1" applyFill="1" applyBorder="1" applyAlignment="1">
      <alignment horizontal="center"/>
    </xf>
    <xf numFmtId="2" fontId="31" fillId="26" borderId="23" xfId="0" applyNumberFormat="1" applyFont="1" applyFill="1" applyBorder="1"/>
    <xf numFmtId="2" fontId="0" fillId="26" borderId="23" xfId="0" applyNumberFormat="1" applyFill="1" applyBorder="1" applyAlignment="1">
      <alignment horizontal="center"/>
    </xf>
    <xf numFmtId="2" fontId="0" fillId="26" borderId="27" xfId="0" applyNumberFormat="1" applyFill="1" applyBorder="1" applyAlignment="1">
      <alignment horizontal="center"/>
    </xf>
    <xf numFmtId="2" fontId="0" fillId="26" borderId="27" xfId="0" applyNumberFormat="1" applyFill="1" applyBorder="1"/>
    <xf numFmtId="2" fontId="28" fillId="0" borderId="57" xfId="0" applyNumberFormat="1" applyFont="1" applyFill="1" applyBorder="1" applyAlignment="1">
      <alignment horizontal="center" vertical="center"/>
    </xf>
    <xf numFmtId="0" fontId="35" fillId="28" borderId="23" xfId="0" applyFont="1" applyFill="1" applyBorder="1"/>
    <xf numFmtId="167" fontId="35" fillId="28" borderId="22" xfId="0" applyNumberFormat="1" applyFont="1" applyFill="1" applyBorder="1"/>
    <xf numFmtId="0" fontId="35" fillId="28" borderId="0" xfId="0" applyFont="1" applyFill="1" applyBorder="1"/>
    <xf numFmtId="169" fontId="4" fillId="28" borderId="0" xfId="0" applyNumberFormat="1" applyFont="1" applyFill="1" applyBorder="1"/>
    <xf numFmtId="2" fontId="27" fillId="28" borderId="0" xfId="0" applyNumberFormat="1" applyFont="1" applyFill="1"/>
    <xf numFmtId="173" fontId="68" fillId="28" borderId="23" xfId="0" applyNumberFormat="1" applyFont="1" applyFill="1" applyBorder="1"/>
    <xf numFmtId="0" fontId="34" fillId="28" borderId="0" xfId="0" applyFont="1" applyFill="1" applyBorder="1"/>
    <xf numFmtId="173" fontId="68" fillId="28" borderId="0" xfId="0" applyNumberFormat="1" applyFont="1" applyFill="1" applyBorder="1"/>
    <xf numFmtId="173" fontId="4" fillId="28" borderId="22" xfId="0" applyNumberFormat="1" applyFont="1" applyFill="1" applyBorder="1"/>
    <xf numFmtId="172" fontId="4" fillId="28" borderId="23" xfId="0" applyNumberFormat="1" applyFont="1" applyFill="1" applyBorder="1" applyAlignment="1">
      <alignment horizontal="center"/>
    </xf>
    <xf numFmtId="0" fontId="4" fillId="28" borderId="0" xfId="0" applyFont="1" applyFill="1" applyBorder="1" applyAlignment="1">
      <alignment horizontal="center"/>
    </xf>
    <xf numFmtId="172" fontId="4" fillId="28" borderId="0" xfId="0" applyNumberFormat="1" applyFont="1" applyFill="1" applyBorder="1" applyAlignment="1">
      <alignment horizontal="center"/>
    </xf>
    <xf numFmtId="172" fontId="0" fillId="28" borderId="0" xfId="0" applyNumberFormat="1" applyFill="1" applyBorder="1" applyAlignment="1">
      <alignment horizontal="center"/>
    </xf>
    <xf numFmtId="0" fontId="4" fillId="28" borderId="22" xfId="0" applyFont="1" applyFill="1" applyBorder="1" applyAlignment="1">
      <alignment horizontal="center"/>
    </xf>
    <xf numFmtId="169" fontId="27" fillId="26" borderId="0" xfId="0" applyNumberFormat="1" applyFont="1" applyFill="1"/>
    <xf numFmtId="169" fontId="27" fillId="26" borderId="0" xfId="0" applyNumberFormat="1" applyFont="1" applyFill="1" applyBorder="1"/>
    <xf numFmtId="169" fontId="37" fillId="26" borderId="0" xfId="0" applyNumberFormat="1" applyFont="1" applyFill="1" applyBorder="1"/>
    <xf numFmtId="169" fontId="32" fillId="26" borderId="0" xfId="0" applyNumberFormat="1" applyFont="1" applyFill="1" applyBorder="1"/>
    <xf numFmtId="175" fontId="56" fillId="0" borderId="0" xfId="0" applyNumberFormat="1" applyFont="1"/>
    <xf numFmtId="175" fontId="4" fillId="0" borderId="0" xfId="0" applyNumberFormat="1" applyFont="1" applyFill="1" applyBorder="1" applyAlignment="1">
      <alignment horizontal="center"/>
    </xf>
    <xf numFmtId="175" fontId="4" fillId="0" borderId="0" xfId="0" applyNumberFormat="1" applyFont="1" applyFill="1" applyBorder="1"/>
    <xf numFmtId="175" fontId="4" fillId="28" borderId="0" xfId="0" applyNumberFormat="1" applyFont="1" applyFill="1" applyBorder="1"/>
    <xf numFmtId="175" fontId="4" fillId="0" borderId="0" xfId="0" applyNumberFormat="1" applyFont="1" applyFill="1"/>
    <xf numFmtId="175" fontId="4" fillId="0" borderId="0" xfId="0" applyNumberFormat="1" applyFont="1"/>
    <xf numFmtId="169" fontId="0" fillId="26" borderId="0" xfId="0" applyNumberFormat="1" applyFill="1" applyBorder="1"/>
    <xf numFmtId="0" fontId="28" fillId="0" borderId="60" xfId="0" applyFont="1" applyBorder="1" applyAlignment="1">
      <alignment horizontal="center"/>
    </xf>
    <xf numFmtId="0" fontId="28" fillId="0" borderId="33" xfId="0" applyFont="1" applyBorder="1" applyAlignment="1">
      <alignment horizontal="center"/>
    </xf>
    <xf numFmtId="2" fontId="42" fillId="26" borderId="0" xfId="0" applyNumberFormat="1" applyFont="1" applyFill="1" applyBorder="1" applyAlignment="1">
      <alignment horizontal="center" vertical="center"/>
    </xf>
    <xf numFmtId="0" fontId="27" fillId="0" borderId="0" xfId="0" applyFont="1" applyFill="1"/>
    <xf numFmtId="0" fontId="0" fillId="0" borderId="11" xfId="0" applyFill="1" applyBorder="1" applyAlignment="1">
      <alignment horizontal="center"/>
    </xf>
    <xf numFmtId="0" fontId="27" fillId="0" borderId="0" xfId="0" applyFont="1" applyFill="1" applyBorder="1"/>
    <xf numFmtId="168" fontId="0" fillId="0" borderId="0" xfId="0" applyNumberFormat="1" applyFill="1" applyBorder="1"/>
    <xf numFmtId="0" fontId="0" fillId="0" borderId="23" xfId="0" applyFill="1" applyBorder="1"/>
    <xf numFmtId="0" fontId="27" fillId="0" borderId="23" xfId="0" applyFont="1" applyFill="1" applyBorder="1"/>
    <xf numFmtId="2" fontId="41" fillId="0" borderId="10" xfId="0" applyNumberFormat="1" applyFont="1" applyFill="1" applyBorder="1"/>
    <xf numFmtId="0" fontId="0" fillId="0" borderId="27" xfId="0" applyFill="1" applyBorder="1"/>
    <xf numFmtId="2" fontId="0" fillId="0" borderId="28" xfId="0" applyNumberFormat="1" applyFill="1" applyBorder="1"/>
    <xf numFmtId="169" fontId="35" fillId="26" borderId="50" xfId="0" applyNumberFormat="1" applyFont="1" applyFill="1" applyBorder="1"/>
    <xf numFmtId="169" fontId="35" fillId="26" borderId="51" xfId="0" applyNumberFormat="1" applyFont="1" applyFill="1" applyBorder="1"/>
    <xf numFmtId="2" fontId="28" fillId="24" borderId="38" xfId="0" applyNumberFormat="1" applyFont="1" applyFill="1" applyBorder="1"/>
    <xf numFmtId="2" fontId="28" fillId="24" borderId="47" xfId="0" applyNumberFormat="1" applyFont="1" applyFill="1" applyBorder="1"/>
    <xf numFmtId="0" fontId="94" fillId="0" borderId="11" xfId="0" applyFont="1" applyBorder="1" applyAlignment="1">
      <alignment horizontal="center" vertical="center"/>
    </xf>
    <xf numFmtId="0" fontId="95" fillId="0" borderId="10" xfId="0" applyFont="1" applyBorder="1" applyAlignment="1">
      <alignment vertical="center"/>
    </xf>
    <xf numFmtId="0" fontId="94" fillId="0" borderId="41" xfId="0" applyFont="1" applyBorder="1" applyAlignment="1">
      <alignment horizontal="center" vertical="center"/>
    </xf>
    <xf numFmtId="0" fontId="95" fillId="0" borderId="42" xfId="0" applyFont="1" applyBorder="1" applyAlignment="1">
      <alignment vertical="center"/>
    </xf>
    <xf numFmtId="0" fontId="94" fillId="0" borderId="50" xfId="0" applyFont="1" applyBorder="1" applyAlignment="1">
      <alignment horizontal="center" vertical="center"/>
    </xf>
    <xf numFmtId="0" fontId="95" fillId="0" borderId="51" xfId="0" applyFont="1" applyBorder="1" applyAlignment="1">
      <alignment vertical="center"/>
    </xf>
    <xf numFmtId="165" fontId="94" fillId="0" borderId="52" xfId="0" applyNumberFormat="1" applyFont="1" applyBorder="1" applyAlignment="1">
      <alignment horizontal="center" vertical="center" wrapText="1"/>
    </xf>
    <xf numFmtId="165" fontId="94" fillId="0" borderId="40" xfId="0" applyNumberFormat="1" applyFont="1" applyBorder="1" applyAlignment="1">
      <alignment horizontal="center" vertical="center" wrapText="1"/>
    </xf>
    <xf numFmtId="165" fontId="94" fillId="0" borderId="43" xfId="0" applyNumberFormat="1" applyFont="1" applyBorder="1" applyAlignment="1">
      <alignment horizontal="center" vertical="center" wrapText="1"/>
    </xf>
    <xf numFmtId="0" fontId="0" fillId="28" borderId="0" xfId="0" applyFill="1" applyAlignment="1">
      <alignment horizontal="center"/>
    </xf>
    <xf numFmtId="0" fontId="0" fillId="27" borderId="0" xfId="0" applyFill="1" applyAlignment="1">
      <alignment horizontal="center"/>
    </xf>
    <xf numFmtId="0" fontId="0" fillId="33" borderId="33" xfId="0" applyFill="1" applyBorder="1" applyAlignment="1">
      <alignment horizontal="center"/>
    </xf>
    <xf numFmtId="0" fontId="28" fillId="33" borderId="60" xfId="0" applyFont="1" applyFill="1" applyBorder="1" applyAlignment="1">
      <alignment horizontal="center"/>
    </xf>
    <xf numFmtId="0" fontId="28" fillId="33" borderId="19" xfId="0" applyFont="1" applyFill="1" applyBorder="1" applyAlignment="1">
      <alignment horizontal="center"/>
    </xf>
    <xf numFmtId="0" fontId="28" fillId="0" borderId="0" xfId="0" applyFont="1" applyBorder="1" applyAlignment="1">
      <alignment horizontal="center"/>
    </xf>
    <xf numFmtId="2" fontId="27" fillId="26" borderId="22" xfId="0" applyNumberFormat="1" applyFont="1" applyFill="1" applyBorder="1"/>
    <xf numFmtId="0" fontId="27" fillId="26" borderId="21" xfId="0" applyFont="1" applyFill="1" applyBorder="1" applyAlignment="1">
      <alignment horizontal="center"/>
    </xf>
    <xf numFmtId="0" fontId="5" fillId="26" borderId="0" xfId="0" applyFont="1" applyFill="1" applyAlignment="1">
      <alignment horizontal="center"/>
    </xf>
    <xf numFmtId="0" fontId="40" fillId="26" borderId="0" xfId="0" applyFont="1" applyFill="1" applyBorder="1" applyAlignment="1">
      <alignment horizontal="center"/>
    </xf>
    <xf numFmtId="167" fontId="4" fillId="25" borderId="52" xfId="0" applyNumberFormat="1" applyFont="1" applyFill="1" applyBorder="1" applyAlignment="1">
      <alignment horizontal="center"/>
    </xf>
    <xf numFmtId="167" fontId="4" fillId="25" borderId="43" xfId="0" applyNumberFormat="1" applyFont="1" applyFill="1" applyBorder="1" applyAlignment="1">
      <alignment horizontal="center"/>
    </xf>
    <xf numFmtId="166" fontId="28" fillId="33" borderId="27" xfId="0" applyNumberFormat="1" applyFont="1" applyFill="1" applyBorder="1" applyAlignment="1">
      <alignment horizontal="center"/>
    </xf>
    <xf numFmtId="166" fontId="28" fillId="0" borderId="0" xfId="0" applyNumberFormat="1" applyFont="1" applyAlignment="1">
      <alignment horizontal="center"/>
    </xf>
    <xf numFmtId="0" fontId="5" fillId="26" borderId="0" xfId="0" applyFont="1" applyFill="1" applyBorder="1" applyAlignment="1">
      <alignment horizontal="center"/>
    </xf>
    <xf numFmtId="0" fontId="89" fillId="26" borderId="0" xfId="0" applyFont="1" applyFill="1" applyBorder="1" applyAlignment="1">
      <alignment horizontal="center"/>
    </xf>
    <xf numFmtId="0" fontId="0" fillId="26" borderId="0" xfId="0" applyFill="1" applyBorder="1" applyAlignment="1"/>
    <xf numFmtId="0" fontId="27" fillId="26" borderId="0" xfId="0" applyFont="1" applyFill="1" applyBorder="1" applyAlignment="1">
      <alignment horizontal="left"/>
    </xf>
    <xf numFmtId="0" fontId="33" fillId="26" borderId="0" xfId="0" applyFont="1" applyFill="1" applyBorder="1" applyAlignment="1">
      <alignment horizontal="center"/>
    </xf>
    <xf numFmtId="2" fontId="28" fillId="26" borderId="0" xfId="0" applyNumberFormat="1" applyFont="1" applyFill="1" applyBorder="1" applyAlignment="1">
      <alignment horizontal="center"/>
    </xf>
    <xf numFmtId="2" fontId="27" fillId="26" borderId="0" xfId="0" applyNumberFormat="1" applyFont="1" applyFill="1" applyBorder="1" applyAlignment="1">
      <alignment horizontal="center"/>
    </xf>
    <xf numFmtId="2" fontId="40" fillId="26" borderId="0" xfId="0" applyNumberFormat="1" applyFont="1" applyFill="1" applyBorder="1" applyAlignment="1">
      <alignment horizontal="center"/>
    </xf>
    <xf numFmtId="0" fontId="0" fillId="28" borderId="0" xfId="0" applyFill="1" applyBorder="1"/>
    <xf numFmtId="0" fontId="0" fillId="37" borderId="0" xfId="0" applyFill="1"/>
    <xf numFmtId="164" fontId="0" fillId="0" borderId="0" xfId="0" applyNumberFormat="1"/>
    <xf numFmtId="2" fontId="0" fillId="31" borderId="0" xfId="0" applyNumberFormat="1" applyFill="1"/>
    <xf numFmtId="174" fontId="0" fillId="31" borderId="0" xfId="0" applyNumberFormat="1" applyFill="1"/>
    <xf numFmtId="174" fontId="0" fillId="31" borderId="0" xfId="0" applyNumberFormat="1" applyFill="1" applyBorder="1" applyAlignment="1">
      <alignment horizontal="center"/>
    </xf>
    <xf numFmtId="2" fontId="0" fillId="29" borderId="0" xfId="0" applyNumberFormat="1" applyFill="1"/>
    <xf numFmtId="174" fontId="0" fillId="29" borderId="0" xfId="0" applyNumberFormat="1" applyFill="1"/>
    <xf numFmtId="174" fontId="0" fillId="29" borderId="0" xfId="0" applyNumberFormat="1" applyFill="1" applyBorder="1" applyAlignment="1">
      <alignment horizontal="center"/>
    </xf>
    <xf numFmtId="2" fontId="4" fillId="24" borderId="40" xfId="0" applyNumberFormat="1" applyFont="1" applyFill="1" applyBorder="1" applyAlignment="1">
      <alignment horizontal="center"/>
    </xf>
    <xf numFmtId="167" fontId="27" fillId="0" borderId="0" xfId="0" applyNumberFormat="1" applyFont="1" applyFill="1"/>
    <xf numFmtId="166" fontId="27" fillId="0" borderId="0" xfId="0" applyNumberFormat="1" applyFont="1" applyFill="1"/>
    <xf numFmtId="165" fontId="27" fillId="0" borderId="0" xfId="0" applyNumberFormat="1" applyFont="1" applyFill="1"/>
    <xf numFmtId="168" fontId="4" fillId="25" borderId="52" xfId="0" applyNumberFormat="1" applyFont="1" applyFill="1" applyBorder="1" applyAlignment="1">
      <alignment horizontal="center"/>
    </xf>
    <xf numFmtId="168" fontId="4" fillId="25" borderId="43" xfId="0" applyNumberFormat="1" applyFont="1" applyFill="1" applyBorder="1" applyAlignment="1">
      <alignment horizontal="center"/>
    </xf>
    <xf numFmtId="0" fontId="27" fillId="27" borderId="0" xfId="0" applyFont="1" applyFill="1" applyBorder="1"/>
    <xf numFmtId="0" fontId="96" fillId="27" borderId="0" xfId="0" applyFont="1" applyFill="1" applyBorder="1" applyAlignment="1">
      <alignment horizontal="center" vertical="center"/>
    </xf>
    <xf numFmtId="0" fontId="30" fillId="27" borderId="0" xfId="0" applyFont="1" applyFill="1" applyBorder="1" applyAlignment="1" applyProtection="1">
      <alignment horizontal="center" vertical="center"/>
      <protection locked="0"/>
    </xf>
    <xf numFmtId="0" fontId="68" fillId="26" borderId="0" xfId="0" applyFont="1" applyFill="1"/>
    <xf numFmtId="0" fontId="68" fillId="26" borderId="0" xfId="0" applyFont="1" applyFill="1" applyBorder="1"/>
    <xf numFmtId="0" fontId="68" fillId="26" borderId="0" xfId="0" applyFont="1" applyFill="1" applyAlignment="1"/>
    <xf numFmtId="0" fontId="68" fillId="26" borderId="0" xfId="0" applyFont="1" applyFill="1" applyBorder="1" applyAlignment="1">
      <alignment horizontal="left"/>
    </xf>
    <xf numFmtId="0" fontId="68" fillId="26" borderId="0" xfId="0" applyFont="1" applyFill="1" applyBorder="1" applyAlignment="1">
      <alignment horizontal="center"/>
    </xf>
    <xf numFmtId="165" fontId="0" fillId="0" borderId="0" xfId="0" applyNumberFormat="1"/>
    <xf numFmtId="0" fontId="0" fillId="27" borderId="11" xfId="0" applyFill="1" applyBorder="1" applyAlignment="1">
      <alignment horizontal="center"/>
    </xf>
    <xf numFmtId="2" fontId="0" fillId="27" borderId="10" xfId="0" applyNumberFormat="1" applyFill="1" applyBorder="1" applyAlignment="1">
      <alignment horizontal="center"/>
    </xf>
    <xf numFmtId="0" fontId="27" fillId="27" borderId="0" xfId="0" applyFont="1" applyFill="1"/>
    <xf numFmtId="169" fontId="27" fillId="27" borderId="0" xfId="0" applyNumberFormat="1" applyFont="1" applyFill="1" applyBorder="1"/>
    <xf numFmtId="169" fontId="32" fillId="27" borderId="0" xfId="0" applyNumberFormat="1" applyFont="1" applyFill="1" applyBorder="1"/>
    <xf numFmtId="0" fontId="32" fillId="27" borderId="0" xfId="0" applyFont="1" applyFill="1" applyBorder="1"/>
    <xf numFmtId="0" fontId="96" fillId="26" borderId="0" xfId="0" applyFont="1" applyFill="1" applyBorder="1" applyAlignment="1">
      <alignment horizontal="center"/>
    </xf>
    <xf numFmtId="0" fontId="68" fillId="26" borderId="0" xfId="0" applyFont="1" applyFill="1" applyBorder="1" applyProtection="1">
      <protection locked="0"/>
    </xf>
    <xf numFmtId="168" fontId="68" fillId="26" borderId="0" xfId="0" applyNumberFormat="1" applyFont="1" applyFill="1" applyBorder="1" applyAlignment="1" applyProtection="1">
      <alignment vertical="center"/>
      <protection locked="0"/>
    </xf>
    <xf numFmtId="0" fontId="68" fillId="26" borderId="0" xfId="0" applyFont="1" applyFill="1" applyBorder="1" applyAlignment="1">
      <alignment horizontal="center" vertical="center"/>
    </xf>
    <xf numFmtId="0" fontId="97" fillId="27" borderId="19" xfId="0" applyFont="1" applyFill="1" applyBorder="1" applyAlignment="1">
      <alignment horizontal="center"/>
    </xf>
    <xf numFmtId="0" fontId="96" fillId="27" borderId="20" xfId="0" applyFont="1" applyFill="1" applyBorder="1" applyAlignment="1">
      <alignment horizontal="center" vertical="center"/>
    </xf>
    <xf numFmtId="0" fontId="30" fillId="27" borderId="20" xfId="0" applyFont="1" applyFill="1" applyBorder="1" applyAlignment="1" applyProtection="1">
      <alignment horizontal="center" vertical="center"/>
      <protection locked="0"/>
    </xf>
    <xf numFmtId="0" fontId="27" fillId="27" borderId="21" xfId="0" applyFont="1" applyFill="1" applyBorder="1"/>
    <xf numFmtId="0" fontId="40" fillId="27" borderId="23" xfId="0" applyFont="1" applyFill="1" applyBorder="1" applyAlignment="1">
      <alignment horizontal="center"/>
    </xf>
    <xf numFmtId="0" fontId="27" fillId="27" borderId="22" xfId="0" applyFont="1" applyFill="1" applyBorder="1"/>
    <xf numFmtId="0" fontId="27" fillId="27" borderId="23" xfId="0" applyFont="1" applyFill="1" applyBorder="1"/>
    <xf numFmtId="0" fontId="28" fillId="27" borderId="23" xfId="0" applyFont="1" applyFill="1" applyBorder="1" applyProtection="1">
      <protection locked="0"/>
    </xf>
    <xf numFmtId="0" fontId="68" fillId="26" borderId="23" xfId="0" applyFont="1" applyFill="1" applyBorder="1"/>
    <xf numFmtId="0" fontId="68" fillId="26" borderId="22" xfId="0" applyFont="1" applyFill="1" applyBorder="1"/>
    <xf numFmtId="0" fontId="68" fillId="26" borderId="27" xfId="0" applyFont="1" applyFill="1" applyBorder="1"/>
    <xf numFmtId="0" fontId="68" fillId="26" borderId="28" xfId="0" applyFont="1" applyFill="1" applyBorder="1"/>
    <xf numFmtId="0" fontId="68" fillId="26" borderId="29" xfId="0" applyFont="1" applyFill="1" applyBorder="1"/>
    <xf numFmtId="0" fontId="98" fillId="26" borderId="0" xfId="0" applyFont="1" applyFill="1" applyBorder="1" applyAlignment="1">
      <alignment horizontal="center"/>
    </xf>
    <xf numFmtId="2" fontId="98" fillId="26" borderId="0" xfId="0" applyNumberFormat="1" applyFont="1" applyFill="1" applyBorder="1" applyAlignment="1">
      <alignment horizontal="center"/>
    </xf>
    <xf numFmtId="0" fontId="0" fillId="0" borderId="22" xfId="0" applyFill="1" applyBorder="1"/>
    <xf numFmtId="169" fontId="35" fillId="0" borderId="50" xfId="0" applyNumberFormat="1" applyFont="1" applyFill="1" applyBorder="1"/>
    <xf numFmtId="169" fontId="27" fillId="0" borderId="0" xfId="0" applyNumberFormat="1" applyFont="1" applyFill="1"/>
    <xf numFmtId="169" fontId="35" fillId="0" borderId="51" xfId="0" applyNumberFormat="1" applyFont="1" applyFill="1" applyBorder="1"/>
    <xf numFmtId="169" fontId="0" fillId="0" borderId="52" xfId="0" applyNumberFormat="1" applyFill="1" applyBorder="1"/>
    <xf numFmtId="169" fontId="28" fillId="0" borderId="0" xfId="0" applyNumberFormat="1" applyFont="1" applyFill="1" applyBorder="1"/>
    <xf numFmtId="169" fontId="0" fillId="0" borderId="0" xfId="0" applyNumberFormat="1" applyFill="1" applyBorder="1"/>
    <xf numFmtId="169" fontId="0" fillId="0" borderId="0" xfId="0" applyNumberFormat="1" applyFill="1" applyBorder="1" applyAlignment="1">
      <alignment horizontal="center"/>
    </xf>
    <xf numFmtId="176" fontId="27" fillId="26" borderId="0" xfId="0" applyNumberFormat="1" applyFont="1" applyFill="1"/>
    <xf numFmtId="0" fontId="32" fillId="26" borderId="0" xfId="0" applyFont="1" applyFill="1"/>
    <xf numFmtId="0" fontId="0" fillId="0" borderId="19" xfId="0" applyFill="1" applyBorder="1"/>
    <xf numFmtId="2" fontId="41" fillId="0" borderId="20" xfId="0" applyNumberFormat="1" applyFont="1" applyFill="1" applyBorder="1" applyAlignment="1">
      <alignment horizontal="center"/>
    </xf>
    <xf numFmtId="2" fontId="87" fillId="0" borderId="0" xfId="0" applyNumberFormat="1" applyFont="1" applyFill="1"/>
    <xf numFmtId="2" fontId="28" fillId="0" borderId="50" xfId="0" applyNumberFormat="1" applyFont="1" applyFill="1" applyBorder="1" applyAlignment="1">
      <alignment horizontal="center" vertical="center"/>
    </xf>
    <xf numFmtId="2" fontId="28" fillId="0" borderId="21" xfId="0" applyNumberFormat="1" applyFont="1" applyFill="1" applyBorder="1" applyAlignment="1">
      <alignment horizontal="center"/>
    </xf>
    <xf numFmtId="2" fontId="28" fillId="0" borderId="41" xfId="0" applyNumberFormat="1" applyFont="1" applyFill="1" applyBorder="1" applyAlignment="1">
      <alignment horizontal="center" vertical="center"/>
    </xf>
    <xf numFmtId="2" fontId="28" fillId="0" borderId="29" xfId="0" applyNumberFormat="1" applyFont="1" applyFill="1" applyBorder="1" applyAlignment="1">
      <alignment horizontal="center"/>
    </xf>
    <xf numFmtId="2" fontId="0" fillId="0" borderId="20" xfId="0" applyNumberFormat="1" applyFill="1" applyBorder="1"/>
    <xf numFmtId="2" fontId="0" fillId="0" borderId="0" xfId="0" applyNumberFormat="1" applyFill="1" applyBorder="1"/>
    <xf numFmtId="0" fontId="28" fillId="0" borderId="19" xfId="0" applyFont="1" applyFill="1" applyBorder="1"/>
    <xf numFmtId="0" fontId="27" fillId="0" borderId="11" xfId="0" applyFont="1" applyFill="1" applyBorder="1" applyAlignment="1">
      <alignment horizontal="center"/>
    </xf>
    <xf numFmtId="0" fontId="0" fillId="0" borderId="61" xfId="0" applyFill="1" applyBorder="1" applyAlignment="1">
      <alignment horizontal="center"/>
    </xf>
    <xf numFmtId="169" fontId="27" fillId="27" borderId="0" xfId="0" applyNumberFormat="1" applyFont="1" applyFill="1"/>
    <xf numFmtId="170" fontId="87" fillId="0" borderId="0" xfId="0" applyNumberFormat="1" applyFont="1" applyFill="1"/>
    <xf numFmtId="170" fontId="27" fillId="0" borderId="0" xfId="0" applyNumberFormat="1" applyFont="1" applyFill="1"/>
    <xf numFmtId="170" fontId="28" fillId="0" borderId="33" xfId="0" applyNumberFormat="1" applyFont="1" applyFill="1" applyBorder="1" applyAlignment="1">
      <alignment horizontal="center" vertical="center"/>
    </xf>
    <xf numFmtId="170" fontId="28" fillId="0" borderId="35" xfId="0" applyNumberFormat="1" applyFont="1" applyFill="1" applyBorder="1" applyAlignment="1">
      <alignment horizontal="center" vertical="center"/>
    </xf>
    <xf numFmtId="170" fontId="28" fillId="0" borderId="58" xfId="0" applyNumberFormat="1" applyFont="1" applyFill="1" applyBorder="1" applyAlignment="1">
      <alignment horizontal="center" vertical="center"/>
    </xf>
    <xf numFmtId="170" fontId="0" fillId="0" borderId="20" xfId="0" applyNumberFormat="1" applyFill="1" applyBorder="1"/>
    <xf numFmtId="170" fontId="4" fillId="0" borderId="0" xfId="0" applyNumberFormat="1" applyFont="1" applyFill="1" applyBorder="1"/>
    <xf numFmtId="170" fontId="4" fillId="0" borderId="0" xfId="0" applyNumberFormat="1" applyFont="1" applyFill="1" applyBorder="1" applyAlignment="1">
      <alignment horizontal="center"/>
    </xf>
    <xf numFmtId="170" fontId="0" fillId="0" borderId="0" xfId="0" applyNumberFormat="1" applyFill="1" applyBorder="1"/>
    <xf numFmtId="170" fontId="27" fillId="0" borderId="0" xfId="0" applyNumberFormat="1" applyFont="1" applyFill="1" applyBorder="1" applyAlignment="1">
      <alignment horizontal="right"/>
    </xf>
    <xf numFmtId="170" fontId="27" fillId="0" borderId="0" xfId="0" applyNumberFormat="1" applyFont="1" applyFill="1" applyBorder="1"/>
    <xf numFmtId="170" fontId="53" fillId="0" borderId="0" xfId="0" applyNumberFormat="1" applyFont="1" applyFill="1" applyBorder="1"/>
    <xf numFmtId="170" fontId="5" fillId="0" borderId="10" xfId="0" applyNumberFormat="1" applyFont="1" applyFill="1" applyBorder="1" applyAlignment="1">
      <alignment horizontal="center" vertical="center"/>
    </xf>
    <xf numFmtId="170" fontId="39" fillId="0" borderId="10" xfId="0" applyNumberFormat="1" applyFont="1" applyFill="1" applyBorder="1" applyAlignment="1">
      <alignment horizontal="center" vertical="center"/>
    </xf>
    <xf numFmtId="170" fontId="0" fillId="0" borderId="10" xfId="0" applyNumberFormat="1" applyFill="1" applyBorder="1" applyAlignment="1">
      <alignment horizontal="center"/>
    </xf>
    <xf numFmtId="170" fontId="0" fillId="0" borderId="10" xfId="0" applyNumberFormat="1" applyFill="1" applyBorder="1"/>
    <xf numFmtId="170" fontId="0" fillId="27" borderId="10" xfId="0" applyNumberFormat="1" applyFill="1" applyBorder="1" applyAlignment="1">
      <alignment horizontal="center"/>
    </xf>
    <xf numFmtId="170" fontId="0" fillId="27" borderId="10" xfId="0" applyNumberFormat="1" applyFill="1" applyBorder="1"/>
    <xf numFmtId="170" fontId="41" fillId="0" borderId="51" xfId="0" applyNumberFormat="1" applyFont="1" applyFill="1" applyBorder="1" applyAlignment="1">
      <alignment horizontal="center"/>
    </xf>
    <xf numFmtId="170" fontId="42" fillId="0" borderId="51" xfId="0" applyNumberFormat="1" applyFont="1" applyFill="1" applyBorder="1" applyAlignment="1">
      <alignment horizontal="center" vertical="center"/>
    </xf>
    <xf numFmtId="170" fontId="42" fillId="0" borderId="52" xfId="0" applyNumberFormat="1" applyFont="1" applyFill="1" applyBorder="1" applyAlignment="1">
      <alignment horizontal="center" vertical="center"/>
    </xf>
    <xf numFmtId="170" fontId="41" fillId="0" borderId="10" xfId="0" applyNumberFormat="1" applyFont="1" applyFill="1" applyBorder="1" applyAlignment="1">
      <alignment horizontal="center"/>
    </xf>
    <xf numFmtId="170" fontId="41" fillId="0" borderId="40" xfId="0" applyNumberFormat="1" applyFont="1" applyFill="1" applyBorder="1" applyAlignment="1">
      <alignment horizontal="center"/>
    </xf>
    <xf numFmtId="170" fontId="0" fillId="0" borderId="28" xfId="0" applyNumberFormat="1" applyFill="1" applyBorder="1"/>
    <xf numFmtId="170" fontId="0" fillId="0" borderId="29" xfId="0" applyNumberFormat="1" applyFill="1" applyBorder="1"/>
    <xf numFmtId="170" fontId="28" fillId="0" borderId="36" xfId="0" applyNumberFormat="1" applyFont="1" applyFill="1" applyBorder="1" applyAlignment="1">
      <alignment horizontal="center"/>
    </xf>
    <xf numFmtId="170" fontId="28" fillId="0" borderId="32" xfId="0" applyNumberFormat="1" applyFont="1" applyFill="1" applyBorder="1" applyAlignment="1">
      <alignment horizontal="center"/>
    </xf>
    <xf numFmtId="2" fontId="28" fillId="0" borderId="33" xfId="0" applyNumberFormat="1" applyFont="1" applyFill="1" applyBorder="1" applyAlignment="1">
      <alignment horizontal="center"/>
    </xf>
    <xf numFmtId="2" fontId="0" fillId="0" borderId="24" xfId="0" applyNumberFormat="1" applyFill="1" applyBorder="1" applyAlignment="1">
      <alignment horizontal="center"/>
    </xf>
    <xf numFmtId="166" fontId="0" fillId="0" borderId="1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168" fontId="35" fillId="0" borderId="0" xfId="0" applyNumberFormat="1" applyFont="1" applyFill="1" applyBorder="1"/>
    <xf numFmtId="2" fontId="0" fillId="0" borderId="27" xfId="0" applyNumberFormat="1" applyFill="1" applyBorder="1"/>
    <xf numFmtId="0" fontId="0" fillId="0" borderId="23" xfId="0" applyFill="1" applyBorder="1" applyAlignment="1">
      <alignment horizontal="center" vertical="center"/>
    </xf>
    <xf numFmtId="0" fontId="31" fillId="0" borderId="27" xfId="0" applyFont="1" applyFill="1" applyBorder="1"/>
    <xf numFmtId="165" fontId="0" fillId="0" borderId="27" xfId="0" applyNumberFormat="1" applyFill="1" applyBorder="1" applyAlignment="1">
      <alignment horizontal="center"/>
    </xf>
    <xf numFmtId="165" fontId="0" fillId="0" borderId="32" xfId="0" applyNumberFormat="1" applyFill="1" applyBorder="1" applyAlignment="1">
      <alignment horizontal="center"/>
    </xf>
    <xf numFmtId="165" fontId="0" fillId="0" borderId="28" xfId="0" applyNumberFormat="1" applyFill="1" applyBorder="1" applyAlignment="1">
      <alignment horizontal="center"/>
    </xf>
    <xf numFmtId="165" fontId="0" fillId="0" borderId="29" xfId="0" applyNumberFormat="1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27" fillId="0" borderId="10" xfId="0" applyFont="1" applyFill="1" applyBorder="1"/>
    <xf numFmtId="169" fontId="35" fillId="0" borderId="10" xfId="0" applyNumberFormat="1" applyFont="1" applyFill="1" applyBorder="1"/>
    <xf numFmtId="0" fontId="27" fillId="26" borderId="50" xfId="0" applyFont="1" applyFill="1" applyBorder="1"/>
    <xf numFmtId="0" fontId="27" fillId="26" borderId="51" xfId="0" applyFont="1" applyFill="1" applyBorder="1"/>
    <xf numFmtId="169" fontId="27" fillId="26" borderId="51" xfId="0" applyNumberFormat="1" applyFont="1" applyFill="1" applyBorder="1"/>
    <xf numFmtId="0" fontId="27" fillId="26" borderId="52" xfId="0" applyFont="1" applyFill="1" applyBorder="1"/>
    <xf numFmtId="0" fontId="27" fillId="0" borderId="11" xfId="0" applyFont="1" applyFill="1" applyBorder="1"/>
    <xf numFmtId="169" fontId="27" fillId="0" borderId="40" xfId="0" applyNumberFormat="1" applyFont="1" applyFill="1" applyBorder="1"/>
    <xf numFmtId="0" fontId="27" fillId="26" borderId="41" xfId="0" applyFont="1" applyFill="1" applyBorder="1"/>
    <xf numFmtId="0" fontId="27" fillId="26" borderId="42" xfId="0" applyFont="1" applyFill="1" applyBorder="1"/>
    <xf numFmtId="169" fontId="35" fillId="26" borderId="42" xfId="0" applyNumberFormat="1" applyFont="1" applyFill="1" applyBorder="1"/>
    <xf numFmtId="169" fontId="27" fillId="0" borderId="43" xfId="0" applyNumberFormat="1" applyFont="1" applyFill="1" applyBorder="1"/>
    <xf numFmtId="169" fontId="28" fillId="0" borderId="60" xfId="0" applyNumberFormat="1" applyFont="1" applyFill="1" applyBorder="1"/>
    <xf numFmtId="0" fontId="0" fillId="0" borderId="33" xfId="0" applyFill="1" applyBorder="1"/>
    <xf numFmtId="2" fontId="0" fillId="0" borderId="35" xfId="0" applyNumberFormat="1" applyFill="1" applyBorder="1"/>
    <xf numFmtId="170" fontId="0" fillId="0" borderId="35" xfId="0" applyNumberFormat="1" applyFill="1" applyBorder="1"/>
    <xf numFmtId="170" fontId="0" fillId="0" borderId="60" xfId="0" applyNumberFormat="1" applyFill="1" applyBorder="1"/>
    <xf numFmtId="0" fontId="88" fillId="26" borderId="0" xfId="0" applyFont="1" applyFill="1" applyAlignment="1">
      <alignment horizontal="right"/>
    </xf>
    <xf numFmtId="0" fontId="88" fillId="26" borderId="0" xfId="0" applyFont="1" applyFill="1" applyAlignment="1">
      <alignment horizontal="left"/>
    </xf>
    <xf numFmtId="0" fontId="28" fillId="0" borderId="0" xfId="0" applyFont="1" applyFill="1" applyBorder="1" applyAlignment="1">
      <alignment horizontal="center"/>
    </xf>
    <xf numFmtId="0" fontId="40" fillId="0" borderId="62" xfId="0" applyFont="1" applyFill="1" applyBorder="1" applyAlignment="1">
      <alignment horizontal="right" vertical="center"/>
    </xf>
    <xf numFmtId="2" fontId="43" fillId="30" borderId="62" xfId="0" applyNumberFormat="1" applyFont="1" applyFill="1" applyBorder="1" applyAlignment="1">
      <alignment horizontal="center" vertical="center"/>
    </xf>
    <xf numFmtId="0" fontId="40" fillId="26" borderId="62" xfId="0" applyFont="1" applyFill="1" applyBorder="1" applyAlignment="1">
      <alignment horizontal="center" vertical="center"/>
    </xf>
    <xf numFmtId="0" fontId="40" fillId="0" borderId="62" xfId="0" applyFont="1" applyFill="1" applyBorder="1" applyAlignment="1">
      <alignment horizontal="center" vertical="center"/>
    </xf>
    <xf numFmtId="0" fontId="92" fillId="26" borderId="62" xfId="0" applyFont="1" applyFill="1" applyBorder="1" applyAlignment="1">
      <alignment horizontal="center" vertical="center"/>
    </xf>
    <xf numFmtId="0" fontId="5" fillId="0" borderId="62" xfId="0" applyFont="1" applyFill="1" applyBorder="1" applyAlignment="1">
      <alignment horizontal="right" vertical="center"/>
    </xf>
    <xf numFmtId="0" fontId="5" fillId="36" borderId="62" xfId="0" applyFont="1" applyFill="1" applyBorder="1" applyAlignment="1">
      <alignment horizontal="center" vertical="center"/>
    </xf>
    <xf numFmtId="171" fontId="43" fillId="30" borderId="62" xfId="0" applyNumberFormat="1" applyFont="1" applyFill="1" applyBorder="1" applyAlignment="1">
      <alignment horizontal="center" vertical="center"/>
    </xf>
    <xf numFmtId="0" fontId="5" fillId="26" borderId="62" xfId="0" applyFont="1" applyFill="1" applyBorder="1" applyAlignment="1">
      <alignment horizontal="center" vertical="center"/>
    </xf>
    <xf numFmtId="0" fontId="0" fillId="26" borderId="62" xfId="0" applyFill="1" applyBorder="1"/>
    <xf numFmtId="0" fontId="5" fillId="37" borderId="62" xfId="0" applyFont="1" applyFill="1" applyBorder="1" applyAlignment="1">
      <alignment horizontal="center" vertical="center"/>
    </xf>
    <xf numFmtId="0" fontId="5" fillId="0" borderId="63" xfId="0" applyFont="1" applyFill="1" applyBorder="1" applyAlignment="1">
      <alignment vertical="center"/>
    </xf>
    <xf numFmtId="168" fontId="0" fillId="38" borderId="62" xfId="0" applyNumberFormat="1" applyFill="1" applyBorder="1" applyAlignment="1" applyProtection="1">
      <alignment vertical="center"/>
      <protection locked="0"/>
    </xf>
    <xf numFmtId="0" fontId="5" fillId="0" borderId="64" xfId="0" applyFont="1" applyFill="1" applyBorder="1" applyAlignment="1">
      <alignment vertical="center"/>
    </xf>
    <xf numFmtId="0" fontId="40" fillId="0" borderId="65" xfId="0" applyFont="1" applyFill="1" applyBorder="1" applyAlignment="1">
      <alignment vertical="center"/>
    </xf>
    <xf numFmtId="2" fontId="28" fillId="0" borderId="0" xfId="0" applyNumberFormat="1" applyFont="1" applyFill="1" applyBorder="1" applyAlignment="1">
      <alignment horizontal="center"/>
    </xf>
    <xf numFmtId="2" fontId="27" fillId="0" borderId="0" xfId="0" applyNumberFormat="1" applyFon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66" xfId="0" applyFont="1" applyFill="1" applyBorder="1" applyAlignment="1">
      <alignment vertical="center"/>
    </xf>
    <xf numFmtId="0" fontId="0" fillId="26" borderId="67" xfId="0" applyFill="1" applyBorder="1"/>
    <xf numFmtId="0" fontId="5" fillId="26" borderId="68" xfId="0" applyFont="1" applyFill="1" applyBorder="1" applyAlignment="1">
      <alignment horizontal="center" vertical="center"/>
    </xf>
    <xf numFmtId="0" fontId="102" fillId="38" borderId="69" xfId="0" applyFont="1" applyFill="1" applyBorder="1" applyAlignment="1">
      <alignment horizontal="center"/>
    </xf>
    <xf numFmtId="0" fontId="103" fillId="38" borderId="70" xfId="0" applyFont="1" applyFill="1" applyBorder="1" applyAlignment="1">
      <alignment horizontal="center"/>
    </xf>
    <xf numFmtId="2" fontId="102" fillId="38" borderId="67" xfId="0" applyNumberFormat="1" applyFont="1" applyFill="1" applyBorder="1" applyAlignment="1">
      <alignment horizontal="center"/>
    </xf>
    <xf numFmtId="0" fontId="0" fillId="26" borderId="18" xfId="0" applyFill="1" applyBorder="1" applyAlignment="1">
      <alignment horizontal="center"/>
    </xf>
    <xf numFmtId="0" fontId="102" fillId="38" borderId="0" xfId="0" applyFont="1" applyFill="1" applyBorder="1" applyAlignment="1">
      <alignment horizontal="center"/>
    </xf>
    <xf numFmtId="0" fontId="106" fillId="0" borderId="62" xfId="0" applyFont="1" applyFill="1" applyBorder="1" applyAlignment="1">
      <alignment horizontal="right" vertical="center"/>
    </xf>
    <xf numFmtId="0" fontId="40" fillId="0" borderId="71" xfId="0" applyFont="1" applyFill="1" applyBorder="1" applyAlignment="1">
      <alignment vertical="center"/>
    </xf>
    <xf numFmtId="0" fontId="0" fillId="0" borderId="15" xfId="0" applyBorder="1" applyAlignment="1">
      <alignment horizontal="center"/>
    </xf>
    <xf numFmtId="165" fontId="102" fillId="38" borderId="72" xfId="0" applyNumberFormat="1" applyFont="1" applyFill="1" applyBorder="1" applyAlignment="1">
      <alignment horizontal="center"/>
    </xf>
    <xf numFmtId="2" fontId="106" fillId="0" borderId="62" xfId="0" applyNumberFormat="1" applyFont="1" applyFill="1" applyBorder="1" applyAlignment="1">
      <alignment horizontal="center" vertical="center"/>
    </xf>
    <xf numFmtId="2" fontId="43" fillId="0" borderId="62" xfId="0" applyNumberFormat="1" applyFont="1" applyFill="1" applyBorder="1" applyAlignment="1">
      <alignment horizontal="center" vertical="center"/>
    </xf>
    <xf numFmtId="2" fontId="43" fillId="0" borderId="70" xfId="0" applyNumberFormat="1" applyFont="1" applyFill="1" applyBorder="1" applyAlignment="1">
      <alignment horizontal="center" vertical="center"/>
    </xf>
    <xf numFmtId="2" fontId="43" fillId="30" borderId="70" xfId="0" applyNumberFormat="1" applyFont="1" applyFill="1" applyBorder="1" applyAlignment="1">
      <alignment horizontal="center" vertical="center"/>
    </xf>
    <xf numFmtId="1" fontId="43" fillId="30" borderId="62" xfId="0" applyNumberFormat="1" applyFont="1" applyFill="1" applyBorder="1" applyAlignment="1">
      <alignment horizontal="center" vertical="center"/>
    </xf>
    <xf numFmtId="0" fontId="109" fillId="26" borderId="0" xfId="0" applyFont="1" applyFill="1"/>
    <xf numFmtId="0" fontId="109" fillId="0" borderId="0" xfId="0" applyFont="1" applyBorder="1" applyAlignment="1">
      <alignment horizontal="center"/>
    </xf>
    <xf numFmtId="2" fontId="110" fillId="26" borderId="0" xfId="0" applyNumberFormat="1" applyFont="1" applyFill="1" applyBorder="1"/>
    <xf numFmtId="2" fontId="111" fillId="26" borderId="0" xfId="0" applyNumberFormat="1" applyFont="1" applyFill="1" applyBorder="1" applyAlignment="1">
      <alignment horizontal="center"/>
    </xf>
    <xf numFmtId="0" fontId="109" fillId="26" borderId="0" xfId="0" applyFont="1" applyFill="1" applyBorder="1"/>
    <xf numFmtId="2" fontId="110" fillId="26" borderId="19" xfId="0" applyNumberFormat="1" applyFont="1" applyFill="1" applyBorder="1" applyAlignment="1">
      <alignment horizontal="center"/>
    </xf>
    <xf numFmtId="0" fontId="109" fillId="26" borderId="21" xfId="0" applyFont="1" applyFill="1" applyBorder="1" applyAlignment="1">
      <alignment horizontal="center"/>
    </xf>
    <xf numFmtId="1" fontId="110" fillId="26" borderId="23" xfId="0" applyNumberFormat="1" applyFont="1" applyFill="1" applyBorder="1" applyAlignment="1">
      <alignment horizontal="center"/>
    </xf>
    <xf numFmtId="2" fontId="109" fillId="26" borderId="22" xfId="0" applyNumberFormat="1" applyFont="1" applyFill="1" applyBorder="1" applyAlignment="1">
      <alignment horizontal="center"/>
    </xf>
    <xf numFmtId="1" fontId="110" fillId="26" borderId="27" xfId="0" applyNumberFormat="1" applyFont="1" applyFill="1" applyBorder="1" applyAlignment="1">
      <alignment horizontal="center"/>
    </xf>
    <xf numFmtId="2" fontId="109" fillId="26" borderId="29" xfId="0" applyNumberFormat="1" applyFont="1" applyFill="1" applyBorder="1" applyAlignment="1">
      <alignment horizontal="center"/>
    </xf>
    <xf numFmtId="2" fontId="110" fillId="26" borderId="0" xfId="0" applyNumberFormat="1" applyFont="1" applyFill="1" applyBorder="1" applyAlignment="1">
      <alignment horizontal="center"/>
    </xf>
    <xf numFmtId="2" fontId="109" fillId="26" borderId="0" xfId="0" applyNumberFormat="1" applyFont="1" applyFill="1" applyBorder="1" applyAlignment="1">
      <alignment horizontal="center"/>
    </xf>
    <xf numFmtId="0" fontId="112" fillId="26" borderId="50" xfId="0" applyFont="1" applyFill="1" applyBorder="1" applyAlignment="1">
      <alignment horizontal="center"/>
    </xf>
    <xf numFmtId="0" fontId="110" fillId="26" borderId="52" xfId="0" applyFont="1" applyFill="1" applyBorder="1" applyAlignment="1">
      <alignment horizontal="center"/>
    </xf>
    <xf numFmtId="165" fontId="109" fillId="26" borderId="23" xfId="0" applyNumberFormat="1" applyFont="1" applyFill="1" applyBorder="1" applyAlignment="1">
      <alignment horizontal="center"/>
    </xf>
    <xf numFmtId="1" fontId="110" fillId="26" borderId="22" xfId="0" applyNumberFormat="1" applyFont="1" applyFill="1" applyBorder="1" applyAlignment="1">
      <alignment horizontal="center"/>
    </xf>
    <xf numFmtId="0" fontId="109" fillId="26" borderId="0" xfId="0" applyFont="1" applyFill="1" applyBorder="1" applyAlignment="1">
      <alignment horizontal="right"/>
    </xf>
    <xf numFmtId="165" fontId="109" fillId="26" borderId="27" xfId="0" applyNumberFormat="1" applyFont="1" applyFill="1" applyBorder="1" applyAlignment="1">
      <alignment horizontal="center"/>
    </xf>
    <xf numFmtId="2" fontId="110" fillId="26" borderId="29" xfId="0" applyNumberFormat="1" applyFont="1" applyFill="1" applyBorder="1" applyAlignment="1">
      <alignment horizontal="center"/>
    </xf>
    <xf numFmtId="0" fontId="122" fillId="0" borderId="0" xfId="38"/>
    <xf numFmtId="0" fontId="117" fillId="26" borderId="62" xfId="0" applyFont="1" applyFill="1" applyBorder="1" applyAlignment="1">
      <alignment horizontal="center" vertical="center"/>
    </xf>
    <xf numFmtId="2" fontId="118" fillId="0" borderId="62" xfId="0" applyNumberFormat="1" applyFont="1" applyFill="1" applyBorder="1" applyAlignment="1">
      <alignment horizontal="center" vertical="center"/>
    </xf>
    <xf numFmtId="0" fontId="117" fillId="0" borderId="62" xfId="0" applyFont="1" applyFill="1" applyBorder="1" applyAlignment="1">
      <alignment horizontal="right" vertical="center"/>
    </xf>
    <xf numFmtId="0" fontId="117" fillId="0" borderId="62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right" vertical="center" wrapText="1"/>
    </xf>
    <xf numFmtId="0" fontId="5" fillId="26" borderId="0" xfId="0" applyFont="1" applyFill="1" applyBorder="1" applyProtection="1">
      <protection locked="0"/>
    </xf>
    <xf numFmtId="0" fontId="5" fillId="26" borderId="0" xfId="0" applyFont="1" applyFill="1" applyBorder="1" applyAlignment="1" applyProtection="1">
      <alignment horizontal="right"/>
      <protection locked="0"/>
    </xf>
    <xf numFmtId="2" fontId="0" fillId="30" borderId="62" xfId="0" applyNumberFormat="1" applyFill="1" applyBorder="1" applyProtection="1">
      <protection locked="0"/>
    </xf>
    <xf numFmtId="2" fontId="43" fillId="30" borderId="62" xfId="0" applyNumberFormat="1" applyFont="1" applyFill="1" applyBorder="1" applyProtection="1">
      <protection locked="0"/>
    </xf>
    <xf numFmtId="0" fontId="43" fillId="30" borderId="0" xfId="0" applyFont="1" applyFill="1" applyBorder="1" applyAlignment="1">
      <alignment horizontal="center" vertical="center"/>
    </xf>
    <xf numFmtId="2" fontId="43" fillId="30" borderId="62" xfId="0" applyNumberFormat="1" applyFont="1" applyFill="1" applyBorder="1" applyAlignment="1" applyProtection="1">
      <alignment horizontal="left"/>
      <protection locked="0"/>
    </xf>
    <xf numFmtId="0" fontId="122" fillId="0" borderId="0" xfId="38" applyFill="1" applyAlignment="1">
      <alignment horizontal="center" vertical="center"/>
    </xf>
    <xf numFmtId="0" fontId="122" fillId="0" borderId="0" xfId="38" applyAlignment="1"/>
    <xf numFmtId="0" fontId="0" fillId="44" borderId="0" xfId="0" applyFill="1" applyAlignment="1">
      <alignment horizontal="center" vertical="center"/>
    </xf>
    <xf numFmtId="0" fontId="122" fillId="0" borderId="0" xfId="38" applyFill="1"/>
    <xf numFmtId="0" fontId="0" fillId="0" borderId="0" xfId="0" applyFill="1" applyBorder="1" applyAlignment="1">
      <alignment horizontal="center" vertical="center"/>
    </xf>
    <xf numFmtId="0" fontId="122" fillId="0" borderId="0" xfId="38" applyFill="1" applyBorder="1" applyAlignment="1">
      <alignment horizontal="center" vertical="center"/>
    </xf>
    <xf numFmtId="0" fontId="43" fillId="30" borderId="0" xfId="0" applyFont="1" applyFill="1" applyBorder="1" applyAlignment="1">
      <alignment vertical="center"/>
    </xf>
    <xf numFmtId="0" fontId="0" fillId="0" borderId="0" xfId="0" quotePrefix="1"/>
    <xf numFmtId="0" fontId="125" fillId="0" borderId="0" xfId="0" applyFont="1"/>
    <xf numFmtId="0" fontId="126" fillId="32" borderId="0" xfId="0" applyFont="1" applyFill="1"/>
    <xf numFmtId="0" fontId="127" fillId="37" borderId="0" xfId="0" applyFont="1" applyFill="1"/>
    <xf numFmtId="0" fontId="127" fillId="28" borderId="0" xfId="0" applyFont="1" applyFill="1" applyBorder="1"/>
    <xf numFmtId="0" fontId="39" fillId="26" borderId="12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0" fontId="0" fillId="26" borderId="12" xfId="0" applyFill="1" applyBorder="1"/>
    <xf numFmtId="166" fontId="0" fillId="26" borderId="12" xfId="0" applyNumberFormat="1" applyFill="1" applyBorder="1"/>
    <xf numFmtId="170" fontId="0" fillId="26" borderId="12" xfId="0" applyNumberFormat="1" applyFill="1" applyBorder="1"/>
    <xf numFmtId="170" fontId="0" fillId="26" borderId="0" xfId="0" applyNumberFormat="1" applyFill="1" applyBorder="1"/>
    <xf numFmtId="0" fontId="39" fillId="26" borderId="23" xfId="0" applyFont="1" applyFill="1" applyBorder="1" applyAlignment="1">
      <alignment horizontal="center" vertical="center"/>
    </xf>
    <xf numFmtId="169" fontId="0" fillId="0" borderId="0" xfId="0" applyNumberFormat="1" applyBorder="1" applyAlignment="1">
      <alignment horizontal="center"/>
    </xf>
    <xf numFmtId="0" fontId="43" fillId="0" borderId="62" xfId="0" applyFont="1" applyFill="1" applyBorder="1" applyAlignment="1">
      <alignment horizontal="center" vertical="center"/>
    </xf>
    <xf numFmtId="0" fontId="105" fillId="0" borderId="10" xfId="37" applyFont="1" applyFill="1" applyBorder="1" applyAlignment="1">
      <alignment horizontal="center" vertical="center" wrapText="1"/>
    </xf>
    <xf numFmtId="0" fontId="105" fillId="45" borderId="10" xfId="37" applyFont="1" applyFill="1" applyBorder="1" applyAlignment="1">
      <alignment horizontal="center" vertical="center" wrapText="1"/>
    </xf>
    <xf numFmtId="0" fontId="116" fillId="45" borderId="10" xfId="40" applyFont="1" applyFill="1" applyBorder="1" applyAlignment="1">
      <alignment horizontal="center" vertical="center" wrapText="1"/>
    </xf>
    <xf numFmtId="0" fontId="116" fillId="47" borderId="10" xfId="40" applyFont="1" applyFill="1" applyBorder="1" applyAlignment="1">
      <alignment horizontal="center" vertical="center" wrapText="1"/>
    </xf>
    <xf numFmtId="0" fontId="136" fillId="0" borderId="10" xfId="0" applyFont="1" applyFill="1" applyBorder="1" applyAlignment="1">
      <alignment horizontal="center" vertical="center"/>
    </xf>
    <xf numFmtId="0" fontId="136" fillId="0" borderId="10" xfId="38" applyFont="1" applyFill="1" applyBorder="1" applyAlignment="1">
      <alignment horizontal="center" vertical="center" wrapText="1"/>
    </xf>
    <xf numFmtId="0" fontId="88" fillId="0" borderId="10" xfId="38" applyFont="1" applyFill="1" applyBorder="1" applyAlignment="1">
      <alignment horizontal="center" vertical="center"/>
    </xf>
    <xf numFmtId="0" fontId="88" fillId="0" borderId="10" xfId="38" applyFont="1" applyFill="1" applyBorder="1" applyAlignment="1">
      <alignment horizontal="center" vertical="center" wrapText="1"/>
    </xf>
    <xf numFmtId="0" fontId="88" fillId="0" borderId="10" xfId="40" applyFont="1" applyFill="1" applyBorder="1" applyAlignment="1">
      <alignment horizontal="center" vertical="center" wrapText="1"/>
    </xf>
    <xf numFmtId="0" fontId="136" fillId="0" borderId="10" xfId="34" applyFont="1" applyFill="1" applyBorder="1" applyAlignment="1">
      <alignment horizontal="center" vertical="center" wrapText="1"/>
    </xf>
    <xf numFmtId="0" fontId="136" fillId="0" borderId="10" xfId="34" applyFont="1" applyFill="1" applyBorder="1" applyAlignment="1">
      <alignment horizontal="center" vertical="center"/>
    </xf>
    <xf numFmtId="2" fontId="136" fillId="0" borderId="10" xfId="37" applyNumberFormat="1" applyFont="1" applyFill="1" applyBorder="1" applyAlignment="1">
      <alignment horizontal="center" vertical="center" wrapText="1"/>
    </xf>
    <xf numFmtId="2" fontId="88" fillId="0" borderId="10" xfId="34" applyNumberFormat="1" applyFont="1" applyFill="1" applyBorder="1" applyAlignment="1">
      <alignment horizontal="center" vertical="center" wrapText="1"/>
    </xf>
    <xf numFmtId="2" fontId="88" fillId="0" borderId="10" xfId="34" applyNumberFormat="1" applyFont="1" applyFill="1" applyBorder="1" applyAlignment="1">
      <alignment horizontal="center" vertical="center"/>
    </xf>
    <xf numFmtId="2" fontId="136" fillId="0" borderId="10" xfId="34" applyNumberFormat="1" applyFont="1" applyFill="1" applyBorder="1" applyAlignment="1">
      <alignment horizontal="center" vertical="center"/>
    </xf>
    <xf numFmtId="0" fontId="136" fillId="0" borderId="10" xfId="35" applyFont="1" applyFill="1" applyBorder="1" applyAlignment="1">
      <alignment horizontal="center" vertical="center" wrapText="1"/>
    </xf>
    <xf numFmtId="2" fontId="136" fillId="0" borderId="10" xfId="35" applyNumberFormat="1" applyFont="1" applyFill="1" applyBorder="1" applyAlignment="1">
      <alignment horizontal="center" vertical="center" wrapText="1"/>
    </xf>
    <xf numFmtId="0" fontId="136" fillId="0" borderId="10" xfId="35" applyFont="1" applyFill="1" applyBorder="1" applyAlignment="1">
      <alignment horizontal="center" vertical="center"/>
    </xf>
    <xf numFmtId="164" fontId="88" fillId="0" borderId="10" xfId="35" applyNumberFormat="1" applyFont="1" applyFill="1" applyBorder="1" applyAlignment="1">
      <alignment horizontal="center" vertical="center" wrapText="1"/>
    </xf>
    <xf numFmtId="164" fontId="136" fillId="0" borderId="10" xfId="35" applyNumberFormat="1" applyFont="1" applyFill="1" applyBorder="1" applyAlignment="1">
      <alignment horizontal="center" vertical="center" wrapText="1"/>
    </xf>
    <xf numFmtId="2" fontId="88" fillId="0" borderId="10" xfId="35" applyNumberFormat="1" applyFont="1" applyFill="1" applyBorder="1" applyAlignment="1">
      <alignment horizontal="center" vertical="center" wrapText="1"/>
    </xf>
    <xf numFmtId="0" fontId="136" fillId="0" borderId="10" xfId="37" applyFont="1" applyFill="1" applyBorder="1" applyAlignment="1">
      <alignment horizontal="center" vertical="center" wrapText="1"/>
    </xf>
    <xf numFmtId="0" fontId="136" fillId="0" borderId="10" xfId="37" applyFont="1" applyFill="1" applyBorder="1" applyAlignment="1">
      <alignment horizontal="center" vertical="center"/>
    </xf>
    <xf numFmtId="0" fontId="136" fillId="0" borderId="10" xfId="37" applyNumberFormat="1" applyFont="1" applyFill="1" applyBorder="1" applyAlignment="1">
      <alignment horizontal="center" vertical="center" wrapText="1"/>
    </xf>
    <xf numFmtId="0" fontId="136" fillId="0" borderId="10" xfId="34" applyNumberFormat="1" applyFont="1" applyFill="1" applyBorder="1" applyAlignment="1">
      <alignment horizontal="center" vertical="center" wrapText="1"/>
    </xf>
    <xf numFmtId="0" fontId="136" fillId="0" borderId="10" xfId="34" applyNumberFormat="1" applyFont="1" applyFill="1" applyBorder="1" applyAlignment="1">
      <alignment horizontal="center" vertical="center"/>
    </xf>
    <xf numFmtId="2" fontId="136" fillId="0" borderId="10" xfId="34" applyNumberFormat="1" applyFont="1" applyFill="1" applyBorder="1" applyAlignment="1">
      <alignment horizontal="center" vertical="center" wrapText="1"/>
    </xf>
    <xf numFmtId="0" fontId="136" fillId="0" borderId="10" xfId="35" applyNumberFormat="1" applyFont="1" applyFill="1" applyBorder="1" applyAlignment="1">
      <alignment horizontal="center" vertical="center" wrapText="1"/>
    </xf>
    <xf numFmtId="2" fontId="136" fillId="0" borderId="10" xfId="35" applyNumberFormat="1" applyFont="1" applyFill="1" applyBorder="1" applyAlignment="1">
      <alignment horizontal="center" vertical="center"/>
    </xf>
    <xf numFmtId="0" fontId="136" fillId="0" borderId="10" xfId="35" applyNumberFormat="1" applyFont="1" applyFill="1" applyBorder="1" applyAlignment="1">
      <alignment horizontal="center" vertical="center"/>
    </xf>
    <xf numFmtId="2" fontId="88" fillId="0" borderId="10" xfId="0" applyNumberFormat="1" applyFont="1" applyFill="1" applyBorder="1" applyAlignment="1">
      <alignment horizontal="center" vertical="center" wrapText="1"/>
    </xf>
    <xf numFmtId="2" fontId="136" fillId="0" borderId="10" xfId="38" applyNumberFormat="1" applyFont="1" applyFill="1" applyBorder="1" applyAlignment="1">
      <alignment horizontal="center" vertical="center" wrapText="1"/>
    </xf>
    <xf numFmtId="164" fontId="136" fillId="0" borderId="10" xfId="35" applyNumberFormat="1" applyFont="1" applyFill="1" applyBorder="1" applyAlignment="1">
      <alignment horizontal="center" vertical="center"/>
    </xf>
    <xf numFmtId="0" fontId="136" fillId="0" borderId="10" xfId="38" applyFont="1" applyFill="1" applyBorder="1" applyAlignment="1">
      <alignment horizontal="center" vertical="center"/>
    </xf>
    <xf numFmtId="0" fontId="136" fillId="0" borderId="10" xfId="37" applyFont="1" applyFill="1" applyBorder="1" applyAlignment="1">
      <alignment horizontal="center" vertical="center" wrapText="1" shrinkToFit="1"/>
    </xf>
    <xf numFmtId="164" fontId="136" fillId="0" borderId="10" xfId="0" applyNumberFormat="1" applyFont="1" applyFill="1" applyBorder="1" applyAlignment="1">
      <alignment horizontal="center" vertical="center"/>
    </xf>
    <xf numFmtId="2" fontId="136" fillId="0" borderId="10" xfId="33" applyNumberFormat="1" applyFont="1" applyFill="1" applyBorder="1" applyAlignment="1">
      <alignment horizontal="center" vertical="center"/>
    </xf>
    <xf numFmtId="2" fontId="88" fillId="0" borderId="10" xfId="36" applyNumberFormat="1" applyFont="1" applyFill="1" applyBorder="1" applyAlignment="1">
      <alignment horizontal="center" vertical="center"/>
    </xf>
    <xf numFmtId="0" fontId="136" fillId="0" borderId="10" xfId="0" applyFont="1" applyFill="1" applyBorder="1" applyAlignment="1">
      <alignment horizontal="center" vertical="center" wrapText="1"/>
    </xf>
    <xf numFmtId="1" fontId="136" fillId="0" borderId="10" xfId="0" applyNumberFormat="1" applyFont="1" applyFill="1" applyBorder="1" applyAlignment="1">
      <alignment horizontal="center" vertical="center"/>
    </xf>
    <xf numFmtId="2" fontId="136" fillId="0" borderId="10" xfId="0" applyNumberFormat="1" applyFont="1" applyFill="1" applyBorder="1" applyAlignment="1">
      <alignment horizontal="center" vertical="center"/>
    </xf>
    <xf numFmtId="0" fontId="136" fillId="0" borderId="10" xfId="0" applyNumberFormat="1" applyFont="1" applyFill="1" applyBorder="1" applyAlignment="1">
      <alignment horizontal="center" vertical="center" wrapText="1"/>
    </xf>
    <xf numFmtId="0" fontId="2" fillId="0" borderId="0" xfId="38" applyFont="1"/>
    <xf numFmtId="165" fontId="4" fillId="0" borderId="0" xfId="0" applyNumberFormat="1" applyFont="1" applyFill="1" applyAlignment="1">
      <alignment horizontal="center" vertical="center"/>
    </xf>
    <xf numFmtId="0" fontId="2" fillId="0" borderId="0" xfId="37" applyFont="1" applyAlignment="1">
      <alignment horizontal="center" vertical="center"/>
    </xf>
    <xf numFmtId="0" fontId="122" fillId="0" borderId="0" xfId="37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" fontId="113" fillId="0" borderId="0" xfId="37" applyNumberFormat="1" applyFont="1" applyBorder="1" applyAlignment="1">
      <alignment horizontal="center" vertical="center"/>
    </xf>
    <xf numFmtId="0" fontId="4" fillId="0" borderId="0" xfId="37" applyFont="1" applyFill="1" applyAlignment="1">
      <alignment horizontal="center" vertical="center"/>
    </xf>
    <xf numFmtId="0" fontId="122" fillId="0" borderId="0" xfId="37" applyFill="1" applyAlignment="1">
      <alignment horizontal="center" vertical="center"/>
    </xf>
    <xf numFmtId="0" fontId="114" fillId="0" borderId="0" xfId="37" applyFont="1" applyAlignment="1">
      <alignment horizontal="center" vertical="center"/>
    </xf>
    <xf numFmtId="164" fontId="4" fillId="0" borderId="0" xfId="37" applyNumberFormat="1" applyFont="1" applyFill="1" applyBorder="1" applyAlignment="1">
      <alignment horizontal="center" vertical="center"/>
    </xf>
    <xf numFmtId="165" fontId="4" fillId="0" borderId="0" xfId="37" applyNumberFormat="1" applyFont="1" applyFill="1" applyAlignment="1">
      <alignment horizontal="center" vertical="center"/>
    </xf>
    <xf numFmtId="165" fontId="4" fillId="0" borderId="0" xfId="37" applyNumberFormat="1" applyFont="1" applyFill="1" applyBorder="1" applyAlignment="1">
      <alignment horizontal="center" vertical="center"/>
    </xf>
    <xf numFmtId="4" fontId="113" fillId="0" borderId="0" xfId="37" applyNumberFormat="1" applyFont="1" applyBorder="1" applyAlignment="1">
      <alignment horizontal="center" vertical="center"/>
    </xf>
    <xf numFmtId="0" fontId="4" fillId="0" borderId="0" xfId="37" applyFont="1" applyFill="1" applyBorder="1" applyAlignment="1">
      <alignment horizontal="center" vertical="center"/>
    </xf>
    <xf numFmtId="166" fontId="4" fillId="0" borderId="0" xfId="0" applyNumberFormat="1" applyFont="1" applyAlignment="1">
      <alignment horizontal="center"/>
    </xf>
    <xf numFmtId="165" fontId="4" fillId="0" borderId="0" xfId="54" applyNumberFormat="1" applyFont="1" applyFill="1" applyBorder="1" applyAlignment="1">
      <alignment horizontal="center"/>
    </xf>
    <xf numFmtId="2" fontId="4" fillId="0" borderId="0" xfId="0" applyNumberFormat="1" applyFont="1" applyFill="1" applyBorder="1" applyAlignment="1">
      <alignment horizontal="center"/>
    </xf>
    <xf numFmtId="0" fontId="4" fillId="0" borderId="0" xfId="37" applyFont="1" applyBorder="1" applyAlignment="1">
      <alignment horizontal="center"/>
    </xf>
    <xf numFmtId="0" fontId="4" fillId="0" borderId="0" xfId="37" applyFont="1" applyBorder="1" applyAlignment="1"/>
    <xf numFmtId="0" fontId="4" fillId="0" borderId="0" xfId="0" applyFont="1" applyAlignment="1">
      <alignment horizontal="center"/>
    </xf>
    <xf numFmtId="0" fontId="4" fillId="0" borderId="0" xfId="37" applyFont="1" applyBorder="1" applyAlignment="1">
      <alignment vertical="center"/>
    </xf>
    <xf numFmtId="0" fontId="4" fillId="0" borderId="0" xfId="37" applyFont="1" applyAlignment="1"/>
    <xf numFmtId="0" fontId="4" fillId="0" borderId="0" xfId="37" applyFont="1"/>
    <xf numFmtId="0" fontId="136" fillId="0" borderId="10" xfId="37" applyFont="1" applyBorder="1" applyAlignment="1">
      <alignment horizontal="center" vertical="center" wrapText="1"/>
    </xf>
    <xf numFmtId="165" fontId="4" fillId="0" borderId="0" xfId="0" applyNumberFormat="1" applyFont="1" applyFill="1" applyAlignment="1">
      <alignment horizontal="center"/>
    </xf>
    <xf numFmtId="0" fontId="1" fillId="0" borderId="0" xfId="37" applyFont="1" applyAlignment="1">
      <alignment horizontal="center" vertical="center"/>
    </xf>
    <xf numFmtId="0" fontId="122" fillId="0" borderId="0" xfId="38" applyAlignment="1">
      <alignment horizontal="center"/>
    </xf>
    <xf numFmtId="0" fontId="122" fillId="0" borderId="0" xfId="38" applyFill="1" applyAlignment="1">
      <alignment horizontal="center"/>
    </xf>
    <xf numFmtId="0" fontId="0" fillId="0" borderId="0" xfId="0" applyAlignment="1">
      <alignment horizontal="center"/>
    </xf>
    <xf numFmtId="0" fontId="136" fillId="0" borderId="10" xfId="38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43" fillId="0" borderId="0" xfId="0" applyFont="1" applyFill="1" applyBorder="1" applyAlignment="1">
      <alignment horizontal="center" vertical="top"/>
    </xf>
    <xf numFmtId="0" fontId="0" fillId="0" borderId="0" xfId="0" applyFill="1" applyBorder="1" applyAlignment="1">
      <alignment horizontal="center" vertical="top"/>
    </xf>
    <xf numFmtId="165" fontId="4" fillId="0" borderId="0" xfId="0" applyNumberFormat="1" applyFont="1" applyFill="1" applyBorder="1" applyAlignment="1">
      <alignment horizontal="center"/>
    </xf>
    <xf numFmtId="0" fontId="4" fillId="0" borderId="0" xfId="37" applyFont="1" applyFill="1" applyAlignment="1"/>
    <xf numFmtId="164" fontId="4" fillId="0" borderId="0" xfId="37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2" fontId="4" fillId="52" borderId="0" xfId="0" applyNumberFormat="1" applyFont="1" applyFill="1" applyAlignment="1">
      <alignment horizontal="center"/>
    </xf>
    <xf numFmtId="164" fontId="4" fillId="52" borderId="0" xfId="0" applyNumberFormat="1" applyFont="1" applyFill="1" applyBorder="1" applyAlignment="1">
      <alignment horizontal="center"/>
    </xf>
    <xf numFmtId="164" fontId="4" fillId="52" borderId="0" xfId="54" applyNumberFormat="1" applyFont="1" applyFill="1" applyBorder="1" applyAlignment="1">
      <alignment horizontal="center"/>
    </xf>
    <xf numFmtId="165" fontId="4" fillId="52" borderId="0" xfId="0" applyNumberFormat="1" applyFont="1" applyFill="1" applyAlignment="1">
      <alignment horizontal="center"/>
    </xf>
    <xf numFmtId="0" fontId="4" fillId="53" borderId="0" xfId="0" applyFont="1" applyFill="1" applyAlignment="1">
      <alignment horizontal="center"/>
    </xf>
    <xf numFmtId="0" fontId="4" fillId="53" borderId="0" xfId="0" applyFont="1" applyFill="1" applyBorder="1" applyAlignment="1">
      <alignment horizontal="center"/>
    </xf>
    <xf numFmtId="165" fontId="4" fillId="53" borderId="0" xfId="0" quotePrefix="1" applyNumberFormat="1" applyFont="1" applyFill="1" applyAlignment="1">
      <alignment horizontal="center" vertical="center"/>
    </xf>
    <xf numFmtId="165" fontId="4" fillId="53" borderId="0" xfId="0" applyNumberFormat="1" applyFont="1" applyFill="1" applyBorder="1" applyAlignment="1">
      <alignment horizontal="center" vertical="center"/>
    </xf>
    <xf numFmtId="2" fontId="136" fillId="53" borderId="10" xfId="37" applyNumberFormat="1" applyFont="1" applyFill="1" applyBorder="1" applyAlignment="1">
      <alignment horizontal="center" vertical="center" wrapText="1"/>
    </xf>
    <xf numFmtId="0" fontId="136" fillId="53" borderId="10" xfId="34" applyFont="1" applyFill="1" applyBorder="1" applyAlignment="1">
      <alignment horizontal="center" vertical="center" wrapText="1"/>
    </xf>
    <xf numFmtId="0" fontId="136" fillId="52" borderId="10" xfId="37" applyFont="1" applyFill="1" applyBorder="1" applyAlignment="1">
      <alignment horizontal="center" vertical="center" wrapText="1"/>
    </xf>
    <xf numFmtId="165" fontId="4" fillId="52" borderId="0" xfId="54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4" fillId="0" borderId="0" xfId="0" applyFont="1" applyFill="1" applyBorder="1" applyAlignment="1">
      <alignment horizontal="center" vertical="top"/>
    </xf>
    <xf numFmtId="0" fontId="136" fillId="0" borderId="46" xfId="37" applyFont="1" applyFill="1" applyBorder="1" applyAlignment="1">
      <alignment horizontal="center" vertical="center"/>
    </xf>
    <xf numFmtId="164" fontId="136" fillId="0" borderId="46" xfId="0" applyNumberFormat="1" applyFont="1" applyFill="1" applyBorder="1" applyAlignment="1">
      <alignment horizontal="center" vertical="center"/>
    </xf>
    <xf numFmtId="2" fontId="136" fillId="53" borderId="46" xfId="37" applyNumberFormat="1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top"/>
    </xf>
    <xf numFmtId="0" fontId="4" fillId="53" borderId="78" xfId="0" applyFont="1" applyFill="1" applyBorder="1" applyAlignment="1">
      <alignment horizontal="center"/>
    </xf>
    <xf numFmtId="1" fontId="113" fillId="0" borderId="78" xfId="37" applyNumberFormat="1" applyFont="1" applyBorder="1" applyAlignment="1">
      <alignment horizontal="center" vertical="center"/>
    </xf>
    <xf numFmtId="0" fontId="122" fillId="0" borderId="78" xfId="37" applyBorder="1" applyAlignment="1">
      <alignment horizontal="center" vertical="center"/>
    </xf>
    <xf numFmtId="0" fontId="0" fillId="46" borderId="0" xfId="0" applyFill="1" applyAlignment="1">
      <alignment horizontal="center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4" fillId="0" borderId="78" xfId="37" applyFont="1" applyFill="1" applyBorder="1" applyAlignment="1"/>
    <xf numFmtId="0" fontId="122" fillId="0" borderId="0" xfId="37" applyBorder="1" applyAlignment="1">
      <alignment horizontal="center" vertical="center"/>
    </xf>
    <xf numFmtId="0" fontId="122" fillId="0" borderId="78" xfId="38" applyFill="1" applyBorder="1" applyAlignment="1">
      <alignment horizontal="center" vertical="center"/>
    </xf>
    <xf numFmtId="0" fontId="0" fillId="0" borderId="78" xfId="0" applyFill="1" applyBorder="1" applyAlignment="1">
      <alignment horizontal="center" vertical="center"/>
    </xf>
    <xf numFmtId="0" fontId="0" fillId="0" borderId="78" xfId="0" applyBorder="1"/>
    <xf numFmtId="0" fontId="122" fillId="0" borderId="78" xfId="38" applyFill="1" applyBorder="1"/>
    <xf numFmtId="0" fontId="122" fillId="0" borderId="78" xfId="38" applyFill="1" applyBorder="1" applyAlignment="1">
      <alignment horizontal="center"/>
    </xf>
    <xf numFmtId="0" fontId="122" fillId="0" borderId="0" xfId="38" applyBorder="1"/>
    <xf numFmtId="0" fontId="122" fillId="0" borderId="0" xfId="38" applyBorder="1" applyAlignment="1">
      <alignment horizontal="center"/>
    </xf>
    <xf numFmtId="2" fontId="4" fillId="53" borderId="0" xfId="0" applyNumberFormat="1" applyFont="1" applyFill="1" applyAlignment="1">
      <alignment horizontal="center"/>
    </xf>
    <xf numFmtId="2" fontId="4" fillId="53" borderId="0" xfId="0" applyNumberFormat="1" applyFont="1" applyFill="1" applyBorder="1" applyAlignment="1">
      <alignment horizontal="center"/>
    </xf>
    <xf numFmtId="2" fontId="4" fillId="53" borderId="78" xfId="0" applyNumberFormat="1" applyFont="1" applyFill="1" applyBorder="1" applyAlignment="1">
      <alignment horizontal="center"/>
    </xf>
    <xf numFmtId="0" fontId="136" fillId="0" borderId="10" xfId="38" applyFont="1" applyFill="1" applyBorder="1" applyAlignment="1">
      <alignment horizontal="center" vertical="center"/>
    </xf>
    <xf numFmtId="2" fontId="122" fillId="0" borderId="0" xfId="37" applyNumberFormat="1" applyAlignment="1">
      <alignment horizontal="center" vertical="center"/>
    </xf>
    <xf numFmtId="0" fontId="4" fillId="0" borderId="0" xfId="55" applyFont="1" applyFill="1" applyBorder="1" applyAlignment="1" applyProtection="1">
      <alignment horizontal="center"/>
    </xf>
    <xf numFmtId="0" fontId="4" fillId="0" borderId="0" xfId="56" applyFont="1" applyFill="1" applyBorder="1" applyAlignment="1" applyProtection="1"/>
    <xf numFmtId="0" fontId="136" fillId="0" borderId="10" xfId="38" applyFont="1" applyFill="1" applyBorder="1" applyAlignment="1">
      <alignment vertical="center"/>
    </xf>
    <xf numFmtId="0" fontId="88" fillId="0" borderId="10" xfId="38" applyFont="1" applyFill="1" applyBorder="1" applyAlignment="1">
      <alignment vertical="center"/>
    </xf>
    <xf numFmtId="0" fontId="122" fillId="0" borderId="0" xfId="38" quotePrefix="1"/>
    <xf numFmtId="0" fontId="0" fillId="54" borderId="0" xfId="0" applyFill="1"/>
    <xf numFmtId="0" fontId="122" fillId="54" borderId="0" xfId="38" applyFill="1"/>
    <xf numFmtId="0" fontId="136" fillId="0" borderId="46" xfId="37" applyFont="1" applyBorder="1" applyAlignment="1">
      <alignment horizontal="center" vertical="center" wrapText="1"/>
    </xf>
    <xf numFmtId="0" fontId="136" fillId="52" borderId="46" xfId="37" applyFont="1" applyFill="1" applyBorder="1" applyAlignment="1">
      <alignment horizontal="center" vertical="center" wrapText="1"/>
    </xf>
    <xf numFmtId="0" fontId="136" fillId="0" borderId="46" xfId="34" applyFont="1" applyFill="1" applyBorder="1" applyAlignment="1">
      <alignment horizontal="center" vertical="center" wrapText="1"/>
    </xf>
    <xf numFmtId="0" fontId="136" fillId="0" borderId="46" xfId="37" applyFont="1" applyFill="1" applyBorder="1" applyAlignment="1">
      <alignment horizontal="center" vertical="center" wrapText="1" shrinkToFit="1"/>
    </xf>
    <xf numFmtId="0" fontId="136" fillId="0" borderId="46" xfId="0" applyFont="1" applyFill="1" applyBorder="1" applyAlignment="1">
      <alignment horizontal="center" vertical="center"/>
    </xf>
    <xf numFmtId="2" fontId="136" fillId="0" borderId="46" xfId="34" applyNumberFormat="1" applyFont="1" applyFill="1" applyBorder="1" applyAlignment="1">
      <alignment horizontal="center" vertical="center" wrapText="1"/>
    </xf>
    <xf numFmtId="0" fontId="136" fillId="0" borderId="46" xfId="35" applyFont="1" applyFill="1" applyBorder="1" applyAlignment="1">
      <alignment horizontal="center" vertical="center"/>
    </xf>
    <xf numFmtId="0" fontId="136" fillId="53" borderId="46" xfId="34" applyFont="1" applyFill="1" applyBorder="1" applyAlignment="1">
      <alignment horizontal="center" vertical="center" wrapText="1"/>
    </xf>
    <xf numFmtId="0" fontId="4" fillId="0" borderId="10" xfId="56" applyFont="1" applyFill="1" applyBorder="1" applyAlignment="1" applyProtection="1"/>
    <xf numFmtId="0" fontId="4" fillId="0" borderId="10" xfId="57" applyFont="1" applyFill="1" applyBorder="1" applyAlignment="1" applyProtection="1">
      <alignment horizontal="center"/>
    </xf>
    <xf numFmtId="0" fontId="0" fillId="0" borderId="10" xfId="0" quotePrefix="1" applyFill="1" applyBorder="1"/>
    <xf numFmtId="0" fontId="0" fillId="0" borderId="10" xfId="0" applyFill="1" applyBorder="1"/>
    <xf numFmtId="0" fontId="0" fillId="48" borderId="10" xfId="0" applyFill="1" applyBorder="1"/>
    <xf numFmtId="0" fontId="4" fillId="0" borderId="10" xfId="57" applyFont="1" applyFill="1" applyBorder="1" applyAlignment="1" applyProtection="1">
      <alignment horizontal="center" wrapText="1"/>
    </xf>
    <xf numFmtId="0" fontId="0" fillId="50" borderId="10" xfId="0" applyFill="1" applyBorder="1"/>
    <xf numFmtId="0" fontId="0" fillId="51" borderId="10" xfId="0" applyFill="1" applyBorder="1"/>
    <xf numFmtId="0" fontId="0" fillId="0" borderId="10" xfId="0" applyBorder="1"/>
    <xf numFmtId="0" fontId="0" fillId="0" borderId="10" xfId="0" quotePrefix="1" applyFill="1" applyBorder="1" applyAlignment="1">
      <alignment horizontal="left" vertical="center"/>
    </xf>
    <xf numFmtId="1" fontId="0" fillId="0" borderId="10" xfId="0" applyNumberFormat="1" applyFill="1" applyBorder="1" applyAlignment="1">
      <alignment horizontal="center" vertical="center"/>
    </xf>
    <xf numFmtId="167" fontId="0" fillId="0" borderId="10" xfId="0" applyNumberFormat="1" applyFill="1" applyBorder="1" applyAlignment="1">
      <alignment vertical="center"/>
    </xf>
    <xf numFmtId="0" fontId="0" fillId="0" borderId="10" xfId="0" applyFill="1" applyBorder="1" applyAlignment="1">
      <alignment horizontal="center" vertical="center"/>
    </xf>
    <xf numFmtId="0" fontId="0" fillId="49" borderId="10" xfId="0" applyFill="1" applyBorder="1"/>
    <xf numFmtId="2" fontId="136" fillId="0" borderId="10" xfId="36" applyNumberFormat="1" applyFont="1" applyFill="1" applyBorder="1" applyAlignment="1">
      <alignment horizontal="center" vertical="center"/>
    </xf>
    <xf numFmtId="164" fontId="136" fillId="0" borderId="10" xfId="34" applyNumberFormat="1" applyFont="1" applyFill="1" applyBorder="1" applyAlignment="1">
      <alignment horizontal="center" vertical="center" wrapText="1"/>
    </xf>
    <xf numFmtId="0" fontId="103" fillId="38" borderId="72" xfId="0" applyFont="1" applyFill="1" applyBorder="1" applyAlignment="1">
      <alignment horizontal="right"/>
    </xf>
    <xf numFmtId="0" fontId="100" fillId="38" borderId="72" xfId="0" applyFont="1" applyFill="1" applyBorder="1" applyAlignment="1">
      <alignment horizontal="right"/>
    </xf>
    <xf numFmtId="0" fontId="27" fillId="26" borderId="0" xfId="0" applyFont="1" applyFill="1" applyBorder="1" applyAlignment="1">
      <alignment horizontal="center"/>
    </xf>
    <xf numFmtId="0" fontId="103" fillId="38" borderId="69" xfId="0" applyFont="1" applyFill="1" applyBorder="1" applyAlignment="1">
      <alignment horizontal="right"/>
    </xf>
    <xf numFmtId="0" fontId="103" fillId="38" borderId="0" xfId="0" applyFont="1" applyFill="1" applyBorder="1" applyAlignment="1">
      <alignment horizontal="right"/>
    </xf>
    <xf numFmtId="0" fontId="0" fillId="26" borderId="0" xfId="0" applyFill="1" applyBorder="1" applyAlignment="1">
      <alignment horizontal="center"/>
    </xf>
    <xf numFmtId="0" fontId="40" fillId="0" borderId="68" xfId="0" applyFont="1" applyFill="1" applyBorder="1" applyAlignment="1">
      <alignment horizontal="right" vertical="center"/>
    </xf>
    <xf numFmtId="0" fontId="40" fillId="0" borderId="69" xfId="0" applyFont="1" applyFill="1" applyBorder="1" applyAlignment="1">
      <alignment horizontal="right" vertical="center"/>
    </xf>
    <xf numFmtId="0" fontId="40" fillId="0" borderId="63" xfId="0" applyFont="1" applyFill="1" applyBorder="1" applyAlignment="1">
      <alignment horizontal="right" vertical="center"/>
    </xf>
    <xf numFmtId="0" fontId="5" fillId="0" borderId="68" xfId="0" applyFont="1" applyFill="1" applyBorder="1" applyAlignment="1">
      <alignment horizontal="right" vertical="center"/>
    </xf>
    <xf numFmtId="0" fontId="5" fillId="0" borderId="69" xfId="0" applyFont="1" applyFill="1" applyBorder="1" applyAlignment="1">
      <alignment horizontal="right" vertical="center"/>
    </xf>
    <xf numFmtId="0" fontId="5" fillId="0" borderId="63" xfId="0" applyFont="1" applyFill="1" applyBorder="1" applyAlignment="1">
      <alignment horizontal="right" vertical="center"/>
    </xf>
    <xf numFmtId="0" fontId="40" fillId="0" borderId="0" xfId="0" applyFont="1" applyFill="1" applyBorder="1" applyAlignment="1">
      <alignment horizontal="right" vertical="center"/>
    </xf>
    <xf numFmtId="0" fontId="44" fillId="26" borderId="63" xfId="0" applyFont="1" applyFill="1" applyBorder="1" applyAlignment="1">
      <alignment horizontal="center" vertical="center" wrapText="1"/>
    </xf>
    <xf numFmtId="0" fontId="5" fillId="26" borderId="62" xfId="0" applyFont="1" applyFill="1" applyBorder="1" applyAlignment="1">
      <alignment horizontal="center" vertical="center"/>
    </xf>
    <xf numFmtId="0" fontId="5" fillId="26" borderId="63" xfId="0" applyFont="1" applyFill="1" applyBorder="1" applyAlignment="1">
      <alignment horizontal="center" vertical="center"/>
    </xf>
    <xf numFmtId="0" fontId="99" fillId="0" borderId="67" xfId="0" applyFont="1" applyFill="1" applyBorder="1" applyAlignment="1">
      <alignment horizontal="center" vertical="center"/>
    </xf>
    <xf numFmtId="0" fontId="100" fillId="0" borderId="67" xfId="0" applyFont="1" applyFill="1" applyBorder="1" applyAlignment="1">
      <alignment horizontal="center" vertical="center"/>
    </xf>
    <xf numFmtId="0" fontId="100" fillId="0" borderId="67" xfId="0" applyFont="1" applyFill="1" applyBorder="1" applyAlignment="1"/>
    <xf numFmtId="0" fontId="40" fillId="0" borderId="62" xfId="0" applyFont="1" applyFill="1" applyBorder="1" applyAlignment="1">
      <alignment horizontal="right" vertical="center"/>
    </xf>
    <xf numFmtId="0" fontId="101" fillId="0" borderId="0" xfId="0" applyFont="1" applyFill="1" applyBorder="1" applyAlignment="1">
      <alignment horizontal="right" vertical="center"/>
    </xf>
    <xf numFmtId="0" fontId="119" fillId="0" borderId="0" xfId="0" applyFont="1" applyFill="1" applyBorder="1" applyAlignment="1">
      <alignment horizontal="center"/>
    </xf>
    <xf numFmtId="0" fontId="119" fillId="0" borderId="0" xfId="0" applyFont="1" applyFill="1" applyBorder="1" applyAlignment="1"/>
    <xf numFmtId="0" fontId="5" fillId="0" borderId="65" xfId="0" applyFont="1" applyFill="1" applyBorder="1" applyAlignment="1">
      <alignment horizontal="right" vertical="center"/>
    </xf>
    <xf numFmtId="0" fontId="0" fillId="0" borderId="66" xfId="0" applyFill="1" applyBorder="1" applyAlignment="1">
      <alignment horizontal="right" vertical="center"/>
    </xf>
    <xf numFmtId="0" fontId="107" fillId="39" borderId="0" xfId="0" applyFont="1" applyFill="1" applyBorder="1" applyAlignment="1">
      <alignment horizontal="center" vertical="center"/>
    </xf>
    <xf numFmtId="0" fontId="108" fillId="39" borderId="0" xfId="0" applyFont="1" applyFill="1" applyBorder="1" applyAlignment="1">
      <alignment horizontal="center" vertical="center"/>
    </xf>
    <xf numFmtId="0" fontId="108" fillId="39" borderId="0" xfId="0" applyFont="1" applyFill="1" applyBorder="1" applyAlignment="1"/>
    <xf numFmtId="0" fontId="5" fillId="0" borderId="0" xfId="0" applyFont="1" applyFill="1" applyBorder="1" applyAlignment="1">
      <alignment horizontal="center" vertical="center"/>
    </xf>
    <xf numFmtId="0" fontId="40" fillId="0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0" fontId="99" fillId="0" borderId="62" xfId="0" applyFont="1" applyFill="1" applyBorder="1" applyAlignment="1">
      <alignment horizontal="center" vertical="center"/>
    </xf>
    <xf numFmtId="0" fontId="100" fillId="0" borderId="62" xfId="0" applyFont="1" applyFill="1" applyBorder="1" applyAlignment="1">
      <alignment horizontal="center" vertical="center"/>
    </xf>
    <xf numFmtId="0" fontId="100" fillId="0" borderId="62" xfId="0" applyFont="1" applyFill="1" applyBorder="1" applyAlignment="1"/>
    <xf numFmtId="0" fontId="0" fillId="26" borderId="62" xfId="0" applyFill="1" applyBorder="1" applyAlignment="1">
      <alignment horizontal="center" vertical="center"/>
    </xf>
    <xf numFmtId="0" fontId="0" fillId="26" borderId="71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34" fillId="26" borderId="0" xfId="0" applyFont="1" applyFill="1" applyBorder="1" applyAlignment="1">
      <alignment horizontal="center"/>
    </xf>
    <xf numFmtId="0" fontId="27" fillId="26" borderId="0" xfId="0" applyFont="1" applyFill="1" applyBorder="1" applyAlignment="1">
      <alignment horizontal="center" vertical="center" wrapText="1"/>
    </xf>
    <xf numFmtId="0" fontId="117" fillId="26" borderId="62" xfId="0" applyFont="1" applyFill="1" applyBorder="1" applyAlignment="1">
      <alignment horizontal="center" vertical="center"/>
    </xf>
    <xf numFmtId="0" fontId="117" fillId="0" borderId="62" xfId="0" applyFont="1" applyBorder="1" applyAlignment="1">
      <alignment horizontal="center" vertical="center"/>
    </xf>
    <xf numFmtId="0" fontId="107" fillId="39" borderId="62" xfId="0" applyFont="1" applyFill="1" applyBorder="1" applyAlignment="1">
      <alignment horizontal="center" vertical="center"/>
    </xf>
    <xf numFmtId="0" fontId="108" fillId="39" borderId="62" xfId="0" applyFont="1" applyFill="1" applyBorder="1" applyAlignment="1">
      <alignment horizontal="center" vertical="center"/>
    </xf>
    <xf numFmtId="0" fontId="108" fillId="39" borderId="62" xfId="0" applyFont="1" applyFill="1" applyBorder="1" applyAlignment="1"/>
    <xf numFmtId="0" fontId="5" fillId="26" borderId="0" xfId="0" applyFont="1" applyFill="1" applyBorder="1" applyAlignment="1">
      <alignment horizontal="right" vertical="center" wrapText="1"/>
    </xf>
    <xf numFmtId="0" fontId="105" fillId="26" borderId="18" xfId="0" applyFont="1" applyFill="1" applyBorder="1" applyAlignment="1" applyProtection="1">
      <alignment horizontal="center" vertical="center"/>
      <protection locked="0"/>
    </xf>
    <xf numFmtId="0" fontId="105" fillId="26" borderId="15" xfId="0" applyFont="1" applyFill="1" applyBorder="1" applyAlignment="1" applyProtection="1">
      <alignment horizontal="center" vertical="center"/>
      <protection locked="0"/>
    </xf>
    <xf numFmtId="0" fontId="24" fillId="0" borderId="10" xfId="41" applyFont="1" applyFill="1" applyBorder="1" applyAlignment="1">
      <alignment horizontal="center"/>
    </xf>
    <xf numFmtId="0" fontId="0" fillId="40" borderId="73" xfId="0" applyFill="1" applyBorder="1" applyAlignment="1">
      <alignment horizontal="center"/>
    </xf>
    <xf numFmtId="0" fontId="0" fillId="40" borderId="74" xfId="0" applyFill="1" applyBorder="1" applyAlignment="1">
      <alignment horizontal="center"/>
    </xf>
    <xf numFmtId="0" fontId="0" fillId="40" borderId="75" xfId="0" applyFill="1" applyBorder="1" applyAlignment="1">
      <alignment horizontal="center"/>
    </xf>
    <xf numFmtId="0" fontId="0" fillId="41" borderId="73" xfId="0" applyFill="1" applyBorder="1" applyAlignment="1">
      <alignment horizontal="center"/>
    </xf>
    <xf numFmtId="0" fontId="0" fillId="41" borderId="74" xfId="0" applyFill="1" applyBorder="1" applyAlignment="1">
      <alignment horizontal="center"/>
    </xf>
    <xf numFmtId="2" fontId="28" fillId="24" borderId="50" xfId="0" applyNumberFormat="1" applyFont="1" applyFill="1" applyBorder="1" applyAlignment="1">
      <alignment horizontal="center" vertical="center" wrapText="1"/>
    </xf>
    <xf numFmtId="2" fontId="28" fillId="24" borderId="76" xfId="0" applyNumberFormat="1" applyFont="1" applyFill="1" applyBorder="1" applyAlignment="1">
      <alignment horizontal="center" vertical="center" wrapText="1"/>
    </xf>
    <xf numFmtId="2" fontId="28" fillId="24" borderId="11" xfId="0" applyNumberFormat="1" applyFont="1" applyFill="1" applyBorder="1" applyAlignment="1">
      <alignment horizontal="center" vertical="center" wrapText="1"/>
    </xf>
    <xf numFmtId="2" fontId="28" fillId="24" borderId="38" xfId="0" applyNumberFormat="1" applyFont="1" applyFill="1" applyBorder="1" applyAlignment="1">
      <alignment horizontal="center" vertical="center" wrapText="1"/>
    </xf>
    <xf numFmtId="0" fontId="28" fillId="24" borderId="73" xfId="0" applyFont="1" applyFill="1" applyBorder="1" applyAlignment="1">
      <alignment horizontal="center"/>
    </xf>
    <xf numFmtId="0" fontId="28" fillId="24" borderId="75" xfId="0" applyFont="1" applyFill="1" applyBorder="1" applyAlignment="1">
      <alignment horizontal="center"/>
    </xf>
    <xf numFmtId="11" fontId="28" fillId="0" borderId="33" xfId="0" applyNumberFormat="1" applyFont="1" applyFill="1" applyBorder="1" applyAlignment="1">
      <alignment horizontal="center"/>
    </xf>
    <xf numFmtId="0" fontId="28" fillId="0" borderId="60" xfId="0" applyFont="1" applyBorder="1" applyAlignment="1">
      <alignment horizontal="center"/>
    </xf>
    <xf numFmtId="173" fontId="28" fillId="0" borderId="19" xfId="0" applyNumberFormat="1" applyFont="1" applyFill="1" applyBorder="1" applyAlignment="1">
      <alignment horizontal="center"/>
    </xf>
    <xf numFmtId="0" fontId="28" fillId="0" borderId="20" xfId="0" applyFont="1" applyBorder="1" applyAlignment="1">
      <alignment horizontal="center"/>
    </xf>
    <xf numFmtId="0" fontId="28" fillId="0" borderId="21" xfId="0" applyFont="1" applyBorder="1" applyAlignment="1">
      <alignment horizontal="center"/>
    </xf>
    <xf numFmtId="0" fontId="4" fillId="0" borderId="50" xfId="0" applyFont="1" applyBorder="1" applyAlignment="1">
      <alignment horizontal="center"/>
    </xf>
    <xf numFmtId="0" fontId="4" fillId="0" borderId="52" xfId="0" applyFont="1" applyBorder="1" applyAlignment="1">
      <alignment horizontal="center"/>
    </xf>
    <xf numFmtId="11" fontId="28" fillId="0" borderId="19" xfId="0" applyNumberFormat="1" applyFont="1" applyFill="1" applyBorder="1" applyAlignment="1">
      <alignment horizontal="center"/>
    </xf>
    <xf numFmtId="173" fontId="90" fillId="0" borderId="19" xfId="0" applyNumberFormat="1" applyFont="1" applyFill="1" applyBorder="1" applyAlignment="1">
      <alignment horizontal="center" vertical="center"/>
    </xf>
    <xf numFmtId="0" fontId="90" fillId="0" borderId="20" xfId="0" applyFont="1" applyBorder="1" applyAlignment="1">
      <alignment horizontal="center" vertical="center"/>
    </xf>
    <xf numFmtId="0" fontId="90" fillId="0" borderId="21" xfId="0" applyFont="1" applyBorder="1" applyAlignment="1">
      <alignment horizontal="center" vertical="center"/>
    </xf>
    <xf numFmtId="0" fontId="90" fillId="0" borderId="27" xfId="0" applyFont="1" applyBorder="1" applyAlignment="1">
      <alignment horizontal="center" vertical="center"/>
    </xf>
    <xf numFmtId="0" fontId="90" fillId="0" borderId="28" xfId="0" applyFont="1" applyBorder="1" applyAlignment="1">
      <alignment horizontal="center" vertical="center"/>
    </xf>
    <xf numFmtId="0" fontId="90" fillId="0" borderId="29" xfId="0" applyFont="1" applyBorder="1" applyAlignment="1">
      <alignment horizontal="center" vertical="center"/>
    </xf>
    <xf numFmtId="11" fontId="91" fillId="0" borderId="33" xfId="0" applyNumberFormat="1" applyFont="1" applyFill="1" applyBorder="1" applyAlignment="1">
      <alignment horizontal="center"/>
    </xf>
    <xf numFmtId="0" fontId="91" fillId="0" borderId="60" xfId="0" applyFont="1" applyBorder="1" applyAlignment="1">
      <alignment horizontal="center"/>
    </xf>
    <xf numFmtId="11" fontId="56" fillId="0" borderId="33" xfId="0" applyNumberFormat="1" applyFont="1" applyFill="1" applyBorder="1" applyAlignment="1">
      <alignment horizontal="center"/>
    </xf>
    <xf numFmtId="0" fontId="56" fillId="0" borderId="60" xfId="0" applyFont="1" applyFill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60" xfId="0" applyFont="1" applyBorder="1" applyAlignment="1">
      <alignment horizontal="center"/>
    </xf>
    <xf numFmtId="0" fontId="0" fillId="41" borderId="38" xfId="0" applyFill="1" applyBorder="1" applyAlignment="1">
      <alignment horizontal="center"/>
    </xf>
    <xf numFmtId="0" fontId="0" fillId="41" borderId="77" xfId="0" applyFill="1" applyBorder="1" applyAlignment="1">
      <alignment horizontal="center"/>
    </xf>
    <xf numFmtId="0" fontId="0" fillId="41" borderId="39" xfId="0" applyFill="1" applyBorder="1" applyAlignment="1">
      <alignment horizontal="center"/>
    </xf>
    <xf numFmtId="0" fontId="28" fillId="24" borderId="39" xfId="0" applyFont="1" applyFill="1" applyBorder="1" applyAlignment="1">
      <alignment horizontal="center" vertical="center" wrapText="1"/>
    </xf>
    <xf numFmtId="0" fontId="28" fillId="24" borderId="10" xfId="0" applyFont="1" applyFill="1" applyBorder="1" applyAlignment="1">
      <alignment horizontal="center" vertical="center" wrapText="1"/>
    </xf>
    <xf numFmtId="0" fontId="55" fillId="0" borderId="44" xfId="0" applyFont="1" applyBorder="1" applyAlignment="1">
      <alignment horizontal="center" vertical="center" wrapText="1" shrinkToFit="1"/>
    </xf>
    <xf numFmtId="0" fontId="55" fillId="0" borderId="45" xfId="0" applyFont="1" applyBorder="1" applyAlignment="1">
      <alignment horizontal="center" vertical="center" wrapText="1" shrinkToFit="1"/>
    </xf>
    <xf numFmtId="0" fontId="55" fillId="0" borderId="46" xfId="0" applyFont="1" applyBorder="1" applyAlignment="1">
      <alignment horizontal="center" vertical="center" wrapText="1" shrinkToFit="1"/>
    </xf>
    <xf numFmtId="0" fontId="4" fillId="0" borderId="10" xfId="0" applyFont="1" applyBorder="1" applyAlignment="1">
      <alignment horizontal="center" vertical="center" wrapText="1"/>
    </xf>
    <xf numFmtId="0" fontId="52" fillId="26" borderId="23" xfId="0" applyFont="1" applyFill="1" applyBorder="1" applyAlignment="1">
      <alignment horizontal="center"/>
    </xf>
    <xf numFmtId="0" fontId="52" fillId="26" borderId="22" xfId="0" applyFont="1" applyFill="1" applyBorder="1" applyAlignment="1">
      <alignment horizontal="center"/>
    </xf>
    <xf numFmtId="2" fontId="93" fillId="26" borderId="0" xfId="0" applyNumberFormat="1" applyFont="1" applyFill="1" applyAlignment="1">
      <alignment horizontal="center" vertical="center"/>
    </xf>
    <xf numFmtId="0" fontId="52" fillId="0" borderId="0" xfId="0" applyFont="1" applyAlignment="1"/>
    <xf numFmtId="0" fontId="28" fillId="26" borderId="33" xfId="0" applyFont="1" applyFill="1" applyBorder="1" applyAlignment="1">
      <alignment horizontal="center"/>
    </xf>
    <xf numFmtId="0" fontId="28" fillId="26" borderId="35" xfId="0" applyFont="1" applyFill="1" applyBorder="1" applyAlignment="1">
      <alignment horizontal="center"/>
    </xf>
    <xf numFmtId="0" fontId="28" fillId="26" borderId="60" xfId="0" applyFont="1" applyFill="1" applyBorder="1" applyAlignment="1">
      <alignment horizontal="center"/>
    </xf>
    <xf numFmtId="0" fontId="27" fillId="26" borderId="33" xfId="0" applyFont="1" applyFill="1" applyBorder="1" applyAlignment="1">
      <alignment horizontal="center"/>
    </xf>
    <xf numFmtId="0" fontId="27" fillId="26" borderId="60" xfId="0" applyFont="1" applyFill="1" applyBorder="1" applyAlignment="1">
      <alignment horizontal="center"/>
    </xf>
    <xf numFmtId="0" fontId="52" fillId="25" borderId="23" xfId="0" applyFont="1" applyFill="1" applyBorder="1" applyAlignment="1">
      <alignment horizontal="center"/>
    </xf>
    <xf numFmtId="0" fontId="52" fillId="25" borderId="22" xfId="0" applyFont="1" applyFill="1" applyBorder="1" applyAlignment="1">
      <alignment horizontal="center"/>
    </xf>
    <xf numFmtId="0" fontId="49" fillId="26" borderId="19" xfId="0" applyFont="1" applyFill="1" applyBorder="1" applyAlignment="1">
      <alignment horizontal="center"/>
    </xf>
    <xf numFmtId="0" fontId="49" fillId="26" borderId="21" xfId="0" applyFont="1" applyFill="1" applyBorder="1" applyAlignment="1">
      <alignment horizontal="center"/>
    </xf>
    <xf numFmtId="0" fontId="48" fillId="26" borderId="19" xfId="0" applyFont="1" applyFill="1" applyBorder="1" applyAlignment="1">
      <alignment horizontal="center"/>
    </xf>
    <xf numFmtId="0" fontId="48" fillId="26" borderId="21" xfId="0" applyFont="1" applyFill="1" applyBorder="1" applyAlignment="1">
      <alignment horizontal="center"/>
    </xf>
    <xf numFmtId="0" fontId="45" fillId="26" borderId="19" xfId="0" applyFont="1" applyFill="1" applyBorder="1" applyAlignment="1">
      <alignment horizontal="center"/>
    </xf>
    <xf numFmtId="0" fontId="45" fillId="26" borderId="21" xfId="0" applyFont="1" applyFill="1" applyBorder="1" applyAlignment="1">
      <alignment horizontal="center"/>
    </xf>
    <xf numFmtId="0" fontId="46" fillId="26" borderId="19" xfId="0" applyFont="1" applyFill="1" applyBorder="1" applyAlignment="1">
      <alignment horizontal="center"/>
    </xf>
    <xf numFmtId="0" fontId="46" fillId="26" borderId="21" xfId="0" applyFont="1" applyFill="1" applyBorder="1" applyAlignment="1">
      <alignment horizontal="center"/>
    </xf>
    <xf numFmtId="0" fontId="47" fillId="26" borderId="19" xfId="0" applyFont="1" applyFill="1" applyBorder="1" applyAlignment="1">
      <alignment horizontal="center"/>
    </xf>
    <xf numFmtId="0" fontId="47" fillId="26" borderId="21" xfId="0" applyFont="1" applyFill="1" applyBorder="1" applyAlignment="1">
      <alignment horizontal="center"/>
    </xf>
    <xf numFmtId="0" fontId="52" fillId="25" borderId="27" xfId="0" applyFont="1" applyFill="1" applyBorder="1" applyAlignment="1">
      <alignment horizontal="center"/>
    </xf>
    <xf numFmtId="0" fontId="52" fillId="25" borderId="29" xfId="0" applyFont="1" applyFill="1" applyBorder="1" applyAlignment="1">
      <alignment horizontal="center"/>
    </xf>
    <xf numFmtId="0" fontId="52" fillId="26" borderId="0" xfId="0" applyFont="1" applyFill="1" applyBorder="1" applyAlignment="1">
      <alignment horizontal="center"/>
    </xf>
    <xf numFmtId="0" fontId="52" fillId="26" borderId="27" xfId="0" applyFont="1" applyFill="1" applyBorder="1" applyAlignment="1">
      <alignment horizontal="center"/>
    </xf>
    <xf numFmtId="0" fontId="52" fillId="26" borderId="29" xfId="0" applyFont="1" applyFill="1" applyBorder="1" applyAlignment="1">
      <alignment horizontal="center"/>
    </xf>
    <xf numFmtId="167" fontId="61" fillId="0" borderId="33" xfId="0" applyNumberFormat="1" applyFont="1" applyFill="1" applyBorder="1" applyAlignment="1">
      <alignment horizontal="center"/>
    </xf>
    <xf numFmtId="0" fontId="0" fillId="0" borderId="35" xfId="0" applyBorder="1" applyAlignment="1"/>
    <xf numFmtId="0" fontId="0" fillId="0" borderId="60" xfId="0" applyBorder="1" applyAlignment="1"/>
    <xf numFmtId="167" fontId="56" fillId="0" borderId="33" xfId="0" applyNumberFormat="1" applyFont="1" applyFill="1" applyBorder="1" applyAlignment="1">
      <alignment horizontal="center"/>
    </xf>
    <xf numFmtId="2" fontId="82" fillId="31" borderId="20" xfId="0" applyNumberFormat="1" applyFont="1" applyFill="1" applyBorder="1" applyAlignment="1">
      <alignment horizontal="center" vertical="center"/>
    </xf>
    <xf numFmtId="2" fontId="82" fillId="31" borderId="0" xfId="0" applyNumberFormat="1" applyFont="1" applyFill="1" applyBorder="1" applyAlignment="1">
      <alignment horizontal="center" vertical="center"/>
    </xf>
    <xf numFmtId="0" fontId="0" fillId="31" borderId="0" xfId="0" applyFill="1" applyBorder="1" applyAlignment="1"/>
    <xf numFmtId="0" fontId="0" fillId="31" borderId="28" xfId="0" applyFill="1" applyBorder="1" applyAlignment="1"/>
    <xf numFmtId="2" fontId="82" fillId="32" borderId="20" xfId="0" applyNumberFormat="1" applyFont="1" applyFill="1" applyBorder="1" applyAlignment="1">
      <alignment horizontal="center" vertical="center"/>
    </xf>
    <xf numFmtId="2" fontId="82" fillId="32" borderId="0" xfId="0" applyNumberFormat="1" applyFont="1" applyFill="1" applyBorder="1" applyAlignment="1">
      <alignment horizontal="center" vertical="center"/>
    </xf>
    <xf numFmtId="0" fontId="0" fillId="32" borderId="0" xfId="0" applyFill="1" applyBorder="1" applyAlignment="1"/>
    <xf numFmtId="0" fontId="0" fillId="32" borderId="28" xfId="0" applyFill="1" applyBorder="1" applyAlignment="1"/>
    <xf numFmtId="0" fontId="43" fillId="0" borderId="0" xfId="0" applyFont="1" applyBorder="1" applyAlignment="1">
      <alignment horizontal="center"/>
    </xf>
    <xf numFmtId="0" fontId="70" fillId="0" borderId="19" xfId="0" applyFont="1" applyBorder="1" applyAlignment="1">
      <alignment horizontal="center"/>
    </xf>
    <xf numFmtId="0" fontId="0" fillId="0" borderId="20" xfId="0" applyBorder="1" applyAlignment="1"/>
    <xf numFmtId="0" fontId="0" fillId="0" borderId="21" xfId="0" applyBorder="1" applyAlignment="1"/>
    <xf numFmtId="0" fontId="79" fillId="0" borderId="19" xfId="0" applyFont="1" applyBorder="1" applyAlignment="1">
      <alignment horizontal="center"/>
    </xf>
    <xf numFmtId="0" fontId="73" fillId="0" borderId="19" xfId="0" applyFont="1" applyBorder="1" applyAlignment="1">
      <alignment horizontal="center"/>
    </xf>
    <xf numFmtId="0" fontId="76" fillId="0" borderId="19" xfId="0" applyFont="1" applyBorder="1" applyAlignment="1">
      <alignment horizontal="center"/>
    </xf>
    <xf numFmtId="2" fontId="28" fillId="32" borderId="23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28" fillId="0" borderId="33" xfId="0" applyNumberFormat="1" applyFont="1" applyBorder="1" applyAlignment="1">
      <alignment horizontal="center"/>
    </xf>
    <xf numFmtId="2" fontId="28" fillId="0" borderId="35" xfId="0" applyNumberFormat="1" applyFont="1" applyBorder="1" applyAlignment="1">
      <alignment horizontal="center"/>
    </xf>
    <xf numFmtId="2" fontId="28" fillId="0" borderId="60" xfId="0" applyNumberFormat="1" applyFont="1" applyBorder="1" applyAlignment="1">
      <alignment horizontal="center"/>
    </xf>
    <xf numFmtId="2" fontId="28" fillId="0" borderId="19" xfId="0" applyNumberFormat="1" applyFont="1" applyBorder="1" applyAlignment="1">
      <alignment horizontal="center"/>
    </xf>
    <xf numFmtId="2" fontId="28" fillId="0" borderId="20" xfId="0" applyNumberFormat="1" applyFont="1" applyBorder="1" applyAlignment="1">
      <alignment horizontal="center"/>
    </xf>
    <xf numFmtId="2" fontId="28" fillId="0" borderId="21" xfId="0" applyNumberFormat="1" applyFont="1" applyBorder="1" applyAlignment="1">
      <alignment horizontal="center"/>
    </xf>
    <xf numFmtId="2" fontId="28" fillId="30" borderId="23" xfId="0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2" fontId="28" fillId="0" borderId="28" xfId="0" applyNumberFormat="1" applyFont="1" applyBorder="1" applyAlignment="1">
      <alignment horizontal="center"/>
    </xf>
    <xf numFmtId="0" fontId="28" fillId="0" borderId="28" xfId="0" applyFon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0" fontId="28" fillId="0" borderId="33" xfId="0" applyFon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60" xfId="0" applyBorder="1" applyAlignment="1">
      <alignment horizontal="center"/>
    </xf>
    <xf numFmtId="0" fontId="30" fillId="26" borderId="19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28" fillId="0" borderId="19" xfId="0" applyFont="1" applyBorder="1" applyAlignment="1">
      <alignment horizontal="center"/>
    </xf>
    <xf numFmtId="0" fontId="58" fillId="0" borderId="0" xfId="0" applyFont="1" applyAlignment="1">
      <alignment horizontal="center"/>
    </xf>
    <xf numFmtId="0" fontId="28" fillId="0" borderId="35" xfId="0" applyFont="1" applyBorder="1" applyAlignment="1">
      <alignment horizontal="center"/>
    </xf>
    <xf numFmtId="2" fontId="82" fillId="28" borderId="20" xfId="0" applyNumberFormat="1" applyFont="1" applyFill="1" applyBorder="1" applyAlignment="1">
      <alignment horizontal="center" vertical="center"/>
    </xf>
    <xf numFmtId="2" fontId="82" fillId="28" borderId="0" xfId="0" applyNumberFormat="1" applyFont="1" applyFill="1" applyBorder="1" applyAlignment="1">
      <alignment horizontal="center" vertical="center"/>
    </xf>
    <xf numFmtId="0" fontId="0" fillId="28" borderId="0" xfId="0" applyFill="1" applyBorder="1" applyAlignment="1"/>
    <xf numFmtId="0" fontId="0" fillId="28" borderId="28" xfId="0" applyFill="1" applyBorder="1" applyAlignment="1"/>
    <xf numFmtId="2" fontId="82" fillId="42" borderId="20" xfId="0" applyNumberFormat="1" applyFont="1" applyFill="1" applyBorder="1" applyAlignment="1">
      <alignment horizontal="center" vertical="center"/>
    </xf>
    <xf numFmtId="2" fontId="82" fillId="42" borderId="0" xfId="0" applyNumberFormat="1" applyFont="1" applyFill="1" applyBorder="1" applyAlignment="1">
      <alignment horizontal="center" vertical="center"/>
    </xf>
    <xf numFmtId="0" fontId="0" fillId="42" borderId="0" xfId="0" applyFill="1" applyBorder="1" applyAlignment="1"/>
    <xf numFmtId="0" fontId="0" fillId="42" borderId="28" xfId="0" applyFill="1" applyBorder="1" applyAlignment="1"/>
    <xf numFmtId="0" fontId="28" fillId="0" borderId="33" xfId="0" applyFont="1" applyFill="1" applyBorder="1" applyAlignment="1">
      <alignment horizontal="center"/>
    </xf>
    <xf numFmtId="0" fontId="28" fillId="0" borderId="35" xfId="0" applyFont="1" applyFill="1" applyBorder="1" applyAlignment="1">
      <alignment horizontal="center"/>
    </xf>
    <xf numFmtId="0" fontId="28" fillId="0" borderId="60" xfId="0" applyFont="1" applyFill="1" applyBorder="1" applyAlignment="1">
      <alignment horizontal="center"/>
    </xf>
    <xf numFmtId="0" fontId="28" fillId="33" borderId="33" xfId="0" applyFont="1" applyFill="1" applyBorder="1" applyAlignment="1">
      <alignment horizontal="center"/>
    </xf>
    <xf numFmtId="0" fontId="87" fillId="0" borderId="36" xfId="0" applyFont="1" applyBorder="1" applyAlignment="1">
      <alignment horizontal="center" vertical="center" textRotation="90"/>
    </xf>
    <xf numFmtId="0" fontId="87" fillId="0" borderId="37" xfId="0" applyFont="1" applyBorder="1" applyAlignment="1">
      <alignment horizontal="center" vertical="center" textRotation="90"/>
    </xf>
    <xf numFmtId="0" fontId="87" fillId="0" borderId="32" xfId="0" applyFont="1" applyBorder="1" applyAlignment="1">
      <alignment horizontal="center" vertical="center" textRotation="90"/>
    </xf>
    <xf numFmtId="0" fontId="87" fillId="0" borderId="36" xfId="0" applyFont="1" applyBorder="1" applyAlignment="1">
      <alignment vertical="center" textRotation="90"/>
    </xf>
    <xf numFmtId="0" fontId="87" fillId="0" borderId="37" xfId="0" applyFont="1" applyBorder="1" applyAlignment="1">
      <alignment vertical="center" textRotation="90"/>
    </xf>
    <xf numFmtId="0" fontId="87" fillId="0" borderId="32" xfId="0" applyFont="1" applyBorder="1" applyAlignment="1">
      <alignment vertical="center" textRotation="90"/>
    </xf>
    <xf numFmtId="0" fontId="88" fillId="0" borderId="33" xfId="0" applyFont="1" applyBorder="1" applyAlignment="1">
      <alignment horizontal="center"/>
    </xf>
    <xf numFmtId="0" fontId="88" fillId="0" borderId="60" xfId="0" applyFont="1" applyBorder="1" applyAlignment="1">
      <alignment horizontal="center"/>
    </xf>
    <xf numFmtId="2" fontId="82" fillId="30" borderId="20" xfId="0" applyNumberFormat="1" applyFont="1" applyFill="1" applyBorder="1" applyAlignment="1">
      <alignment horizontal="center" vertical="center"/>
    </xf>
    <xf numFmtId="2" fontId="82" fillId="30" borderId="0" xfId="0" applyNumberFormat="1" applyFont="1" applyFill="1" applyBorder="1" applyAlignment="1">
      <alignment horizontal="center" vertical="center"/>
    </xf>
    <xf numFmtId="0" fontId="0" fillId="30" borderId="0" xfId="0" applyFill="1" applyBorder="1" applyAlignment="1"/>
    <xf numFmtId="0" fontId="0" fillId="30" borderId="28" xfId="0" applyFill="1" applyBorder="1" applyAlignment="1"/>
    <xf numFmtId="2" fontId="28" fillId="0" borderId="0" xfId="0" applyNumberFormat="1" applyFont="1" applyAlignment="1">
      <alignment horizontal="center"/>
    </xf>
    <xf numFmtId="0" fontId="125" fillId="0" borderId="0" xfId="0" applyFont="1" applyAlignment="1">
      <alignment horizontal="center"/>
    </xf>
    <xf numFmtId="0" fontId="105" fillId="33" borderId="44" xfId="0" applyFont="1" applyFill="1" applyBorder="1" applyAlignment="1">
      <alignment horizontal="center" vertical="center" wrapText="1"/>
    </xf>
    <xf numFmtId="0" fontId="105" fillId="33" borderId="45" xfId="0" applyFont="1" applyFill="1" applyBorder="1" applyAlignment="1">
      <alignment horizontal="center" vertical="center" wrapText="1"/>
    </xf>
    <xf numFmtId="0" fontId="116" fillId="45" borderId="10" xfId="38" applyFont="1" applyFill="1" applyBorder="1" applyAlignment="1">
      <alignment horizontal="center" vertical="center" wrapText="1"/>
    </xf>
    <xf numFmtId="0" fontId="116" fillId="45" borderId="10" xfId="40" applyFont="1" applyFill="1" applyBorder="1" applyAlignment="1">
      <alignment horizontal="center" vertical="center" wrapText="1"/>
    </xf>
    <xf numFmtId="0" fontId="121" fillId="43" borderId="15" xfId="38" applyFont="1" applyFill="1" applyBorder="1" applyAlignment="1">
      <alignment horizontal="center" vertical="center" wrapText="1"/>
    </xf>
    <xf numFmtId="0" fontId="105" fillId="33" borderId="10" xfId="0" applyFont="1" applyFill="1" applyBorder="1" applyAlignment="1">
      <alignment horizontal="center" vertical="center" wrapText="1"/>
    </xf>
    <xf numFmtId="0" fontId="120" fillId="46" borderId="15" xfId="38" applyFont="1" applyFill="1" applyBorder="1" applyAlignment="1">
      <alignment horizontal="center" vertical="center"/>
    </xf>
    <xf numFmtId="0" fontId="116" fillId="47" borderId="10" xfId="38" applyFont="1" applyFill="1" applyBorder="1" applyAlignment="1">
      <alignment horizontal="center" vertical="center" wrapText="1"/>
    </xf>
    <xf numFmtId="0" fontId="116" fillId="47" borderId="10" xfId="38" applyFont="1" applyFill="1" applyBorder="1" applyAlignment="1">
      <alignment horizontal="center" vertical="center"/>
    </xf>
    <xf numFmtId="0" fontId="116" fillId="0" borderId="10" xfId="38" applyFont="1" applyFill="1" applyBorder="1" applyAlignment="1">
      <alignment horizontal="center" vertical="center"/>
    </xf>
    <xf numFmtId="2" fontId="28" fillId="0" borderId="10" xfId="0" applyNumberFormat="1" applyFont="1" applyFill="1" applyBorder="1"/>
  </cellXfs>
  <cellStyles count="58">
    <cellStyle name="20% - Colore 1" xfId="1" builtinId="30" customBuiltin="1"/>
    <cellStyle name="20% - Colore 2" xfId="2" builtinId="34" customBuiltin="1"/>
    <cellStyle name="20% - Colore 3" xfId="3" builtinId="38" customBuiltin="1"/>
    <cellStyle name="20% - Colore 4" xfId="4" builtinId="42" customBuiltin="1"/>
    <cellStyle name="20% - Colore 5" xfId="5" builtinId="46" customBuiltin="1"/>
    <cellStyle name="20% - Colore 6" xfId="6" builtinId="50" customBuiltin="1"/>
    <cellStyle name="40% - Colore 1" xfId="7" builtinId="31" customBuiltin="1"/>
    <cellStyle name="40% - Colore 2" xfId="8" builtinId="35" customBuiltin="1"/>
    <cellStyle name="40% - Colore 3" xfId="9" builtinId="39" customBuiltin="1"/>
    <cellStyle name="40% - Colore 4" xfId="10" builtinId="43" customBuiltin="1"/>
    <cellStyle name="40% - Colore 5" xfId="11" builtinId="47" customBuiltin="1"/>
    <cellStyle name="40% - Colore 6" xfId="12" builtinId="51" customBuiltin="1"/>
    <cellStyle name="60% - Colore 1" xfId="13" builtinId="32" customBuiltin="1"/>
    <cellStyle name="60% - Colore 2" xfId="14" builtinId="36" customBuiltin="1"/>
    <cellStyle name="60% - Colore 3" xfId="15" builtinId="40" customBuiltin="1"/>
    <cellStyle name="60% - Colore 4" xfId="16" builtinId="44" customBuiltin="1"/>
    <cellStyle name="60% - Colore 5" xfId="17" builtinId="48" customBuiltin="1"/>
    <cellStyle name="60% - Colore 6" xfId="18" builtinId="52" customBuiltin="1"/>
    <cellStyle name="Calcolo" xfId="19" builtinId="22" customBuiltin="1"/>
    <cellStyle name="Cella collegata" xfId="20" builtinId="24" customBuiltin="1"/>
    <cellStyle name="Cella da controllare" xfId="21" builtinId="23" customBuiltin="1"/>
    <cellStyle name="Colore 1" xfId="22" builtinId="29" customBuiltin="1"/>
    <cellStyle name="Colore 2" xfId="23" builtinId="33" customBuiltin="1"/>
    <cellStyle name="Colore 3" xfId="24" builtinId="37" customBuiltin="1"/>
    <cellStyle name="Colore 4" xfId="25" builtinId="41" customBuiltin="1"/>
    <cellStyle name="Colore 5" xfId="26" builtinId="45" customBuiltin="1"/>
    <cellStyle name="Colore 6" xfId="27" builtinId="49" customBuiltin="1"/>
    <cellStyle name="Euro" xfId="28" xr:uid="{00000000-0005-0000-0000-00001B000000}"/>
    <cellStyle name="Input" xfId="29" builtinId="20" customBuiltin="1"/>
    <cellStyle name="Migliaia" xfId="54" builtinId="3"/>
    <cellStyle name="Migliaia 2" xfId="30" xr:uid="{00000000-0005-0000-0000-00001E000000}"/>
    <cellStyle name="Neutrale" xfId="31" builtinId="28" customBuiltin="1"/>
    <cellStyle name="Normal_calcolo di b" xfId="32" xr:uid="{00000000-0005-0000-0000-000020000000}"/>
    <cellStyle name="Normal_dati edifici" xfId="33" xr:uid="{00000000-0005-0000-0000-000021000000}"/>
    <cellStyle name="Normal_dati edifici_1" xfId="34" xr:uid="{00000000-0005-0000-0000-000022000000}"/>
    <cellStyle name="Normal_dati edifici_2" xfId="35" xr:uid="{00000000-0005-0000-0000-000023000000}"/>
    <cellStyle name="Normal_Sheet1_1" xfId="36" xr:uid="{00000000-0005-0000-0000-000024000000}"/>
    <cellStyle name="Normale" xfId="0" builtinId="0"/>
    <cellStyle name="Normale 2" xfId="37" xr:uid="{00000000-0005-0000-0000-000026000000}"/>
    <cellStyle name="Normale 2 2" xfId="38" xr:uid="{00000000-0005-0000-0000-000027000000}"/>
    <cellStyle name="Normale 2_dati edifici" xfId="39" xr:uid="{00000000-0005-0000-0000-000028000000}"/>
    <cellStyle name="Normale 3" xfId="40" xr:uid="{00000000-0005-0000-0000-000029000000}"/>
    <cellStyle name="Normale 4" xfId="55" xr:uid="{4BFC650D-054F-4B0D-9B1B-9522D3E9E83A}"/>
    <cellStyle name="Normale 5" xfId="56" xr:uid="{3357272B-944C-4314-919A-FE6FC24E4C83}"/>
    <cellStyle name="Normale 6" xfId="57" xr:uid="{F3CE1D3F-42D0-48C4-9AC0-EB06DF79BF54}"/>
    <cellStyle name="Normale_20°_TRASV_steps 36-68" xfId="41" xr:uid="{00000000-0005-0000-0000-00002A000000}"/>
    <cellStyle name="Nota" xfId="42" builtinId="10" customBuiltin="1"/>
    <cellStyle name="Output" xfId="43" builtinId="21" customBuiltin="1"/>
    <cellStyle name="Testo avviso" xfId="44" builtinId="11" customBuiltin="1"/>
    <cellStyle name="Testo descrittivo" xfId="45" builtinId="53" customBuiltin="1"/>
    <cellStyle name="Titolo" xfId="46" builtinId="15" customBuiltin="1"/>
    <cellStyle name="Titolo 1" xfId="47" builtinId="16" customBuiltin="1"/>
    <cellStyle name="Titolo 2" xfId="48" builtinId="17" customBuiltin="1"/>
    <cellStyle name="Titolo 3" xfId="49" builtinId="18" customBuiltin="1"/>
    <cellStyle name="Titolo 4" xfId="50" builtinId="19" customBuiltin="1"/>
    <cellStyle name="Totale" xfId="51" builtinId="25" customBuiltin="1"/>
    <cellStyle name="Valore non valido" xfId="52" builtinId="27" customBuiltin="1"/>
    <cellStyle name="Valore valido" xfId="53" builtinId="26" customBuiltin="1"/>
  </cellStyles>
  <dxfs count="0"/>
  <tableStyles count="0" defaultTableStyle="TableStyleMedium9" defaultPivotStyle="PivotStyleLight16"/>
  <colors>
    <mruColors>
      <color rgb="FF00FF00"/>
      <color rgb="FFC2FEB8"/>
      <color rgb="FF75FC5E"/>
      <color rgb="FF66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VERTICAL SETTLEMENTS</a:t>
            </a:r>
          </a:p>
        </c:rich>
      </c:tx>
      <c:layout>
        <c:manualLayout>
          <c:xMode val="edge"/>
          <c:yMode val="edge"/>
          <c:x val="0.3986421583665678"/>
          <c:y val="1.73611111111111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0903201494511836E-2"/>
          <c:y val="0.19444510377707172"/>
          <c:w val="0.92446782069065048"/>
          <c:h val="0.75694701113217211"/>
        </c:manualLayout>
      </c:layout>
      <c:scatterChart>
        <c:scatterStyle val="lineMarker"/>
        <c:varyColors val="0"/>
        <c:ser>
          <c:idx val="0"/>
          <c:order val="0"/>
          <c:tx>
            <c:strRef>
              <c:f>'transversal subsidence profile'!$A$8</c:f>
              <c:strCache>
                <c:ptCount val="1"/>
                <c:pt idx="0">
                  <c:v>Tunnel 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'transversal subsidence profile'!$G$10:$G$410</c:f>
              <c:numCache>
                <c:formatCode>General</c:formatCode>
                <c:ptCount val="401"/>
                <c:pt idx="0">
                  <c:v>-60</c:v>
                </c:pt>
                <c:pt idx="1">
                  <c:v>-59.75</c:v>
                </c:pt>
                <c:pt idx="2">
                  <c:v>-59.5</c:v>
                </c:pt>
                <c:pt idx="3">
                  <c:v>-59.25</c:v>
                </c:pt>
                <c:pt idx="4">
                  <c:v>-59</c:v>
                </c:pt>
                <c:pt idx="5">
                  <c:v>-58.75</c:v>
                </c:pt>
                <c:pt idx="6">
                  <c:v>-58.5</c:v>
                </c:pt>
                <c:pt idx="7">
                  <c:v>-58.25</c:v>
                </c:pt>
                <c:pt idx="8">
                  <c:v>-58</c:v>
                </c:pt>
                <c:pt idx="9">
                  <c:v>-57.75</c:v>
                </c:pt>
                <c:pt idx="10">
                  <c:v>-57.5</c:v>
                </c:pt>
                <c:pt idx="11">
                  <c:v>-57.25</c:v>
                </c:pt>
                <c:pt idx="12">
                  <c:v>-57</c:v>
                </c:pt>
                <c:pt idx="13">
                  <c:v>-56.75</c:v>
                </c:pt>
                <c:pt idx="14">
                  <c:v>-56.5</c:v>
                </c:pt>
                <c:pt idx="15">
                  <c:v>-56.25</c:v>
                </c:pt>
                <c:pt idx="16">
                  <c:v>-56</c:v>
                </c:pt>
                <c:pt idx="17">
                  <c:v>-55.75</c:v>
                </c:pt>
                <c:pt idx="18">
                  <c:v>-55.5</c:v>
                </c:pt>
                <c:pt idx="19">
                  <c:v>-55.25</c:v>
                </c:pt>
                <c:pt idx="20">
                  <c:v>-55</c:v>
                </c:pt>
                <c:pt idx="21">
                  <c:v>-54.75</c:v>
                </c:pt>
                <c:pt idx="22">
                  <c:v>-54.5</c:v>
                </c:pt>
                <c:pt idx="23">
                  <c:v>-54.25</c:v>
                </c:pt>
                <c:pt idx="24">
                  <c:v>-54</c:v>
                </c:pt>
                <c:pt idx="25">
                  <c:v>-53.75</c:v>
                </c:pt>
                <c:pt idx="26">
                  <c:v>-53.5</c:v>
                </c:pt>
                <c:pt idx="27">
                  <c:v>-53.25</c:v>
                </c:pt>
                <c:pt idx="28">
                  <c:v>-53</c:v>
                </c:pt>
                <c:pt idx="29">
                  <c:v>-52.75</c:v>
                </c:pt>
                <c:pt idx="30">
                  <c:v>-52.5</c:v>
                </c:pt>
                <c:pt idx="31">
                  <c:v>-52.25</c:v>
                </c:pt>
                <c:pt idx="32">
                  <c:v>-52</c:v>
                </c:pt>
                <c:pt idx="33">
                  <c:v>-51.75</c:v>
                </c:pt>
                <c:pt idx="34">
                  <c:v>-51.5</c:v>
                </c:pt>
                <c:pt idx="35">
                  <c:v>-51.25</c:v>
                </c:pt>
                <c:pt idx="36">
                  <c:v>-51</c:v>
                </c:pt>
                <c:pt idx="37">
                  <c:v>-50.75</c:v>
                </c:pt>
                <c:pt idx="38">
                  <c:v>-50.5</c:v>
                </c:pt>
                <c:pt idx="39">
                  <c:v>-50.25</c:v>
                </c:pt>
                <c:pt idx="40">
                  <c:v>-50</c:v>
                </c:pt>
                <c:pt idx="41">
                  <c:v>-49.75</c:v>
                </c:pt>
                <c:pt idx="42">
                  <c:v>-49.5</c:v>
                </c:pt>
                <c:pt idx="43">
                  <c:v>-49.25</c:v>
                </c:pt>
                <c:pt idx="44">
                  <c:v>-49</c:v>
                </c:pt>
                <c:pt idx="45">
                  <c:v>-48.75</c:v>
                </c:pt>
                <c:pt idx="46">
                  <c:v>-48.5</c:v>
                </c:pt>
                <c:pt idx="47">
                  <c:v>-48.25</c:v>
                </c:pt>
                <c:pt idx="48">
                  <c:v>-48</c:v>
                </c:pt>
                <c:pt idx="49">
                  <c:v>-47.75</c:v>
                </c:pt>
                <c:pt idx="50">
                  <c:v>-47.5</c:v>
                </c:pt>
                <c:pt idx="51">
                  <c:v>-47.25</c:v>
                </c:pt>
                <c:pt idx="52">
                  <c:v>-47</c:v>
                </c:pt>
                <c:pt idx="53">
                  <c:v>-46.75</c:v>
                </c:pt>
                <c:pt idx="54">
                  <c:v>-46.5</c:v>
                </c:pt>
                <c:pt idx="55">
                  <c:v>-46.25</c:v>
                </c:pt>
                <c:pt idx="56">
                  <c:v>-46</c:v>
                </c:pt>
                <c:pt idx="57">
                  <c:v>-45.75</c:v>
                </c:pt>
                <c:pt idx="58">
                  <c:v>-45.5</c:v>
                </c:pt>
                <c:pt idx="59">
                  <c:v>-45.25</c:v>
                </c:pt>
                <c:pt idx="60">
                  <c:v>-45</c:v>
                </c:pt>
                <c:pt idx="61">
                  <c:v>-44.75</c:v>
                </c:pt>
                <c:pt idx="62">
                  <c:v>-44.5</c:v>
                </c:pt>
                <c:pt idx="63">
                  <c:v>-44.25</c:v>
                </c:pt>
                <c:pt idx="64">
                  <c:v>-44</c:v>
                </c:pt>
                <c:pt idx="65">
                  <c:v>-43.75</c:v>
                </c:pt>
                <c:pt idx="66">
                  <c:v>-43.5</c:v>
                </c:pt>
                <c:pt idx="67">
                  <c:v>-43.25</c:v>
                </c:pt>
                <c:pt idx="68">
                  <c:v>-43</c:v>
                </c:pt>
                <c:pt idx="69">
                  <c:v>-42.75</c:v>
                </c:pt>
                <c:pt idx="70">
                  <c:v>-42.5</c:v>
                </c:pt>
                <c:pt idx="71">
                  <c:v>-42.25</c:v>
                </c:pt>
                <c:pt idx="72">
                  <c:v>-42</c:v>
                </c:pt>
                <c:pt idx="73">
                  <c:v>-41.75</c:v>
                </c:pt>
                <c:pt idx="74">
                  <c:v>-41.5</c:v>
                </c:pt>
                <c:pt idx="75">
                  <c:v>-41.25</c:v>
                </c:pt>
                <c:pt idx="76">
                  <c:v>-41</c:v>
                </c:pt>
                <c:pt idx="77">
                  <c:v>-40.75</c:v>
                </c:pt>
                <c:pt idx="78">
                  <c:v>-40.5</c:v>
                </c:pt>
                <c:pt idx="79">
                  <c:v>-40.25</c:v>
                </c:pt>
                <c:pt idx="80">
                  <c:v>-40</c:v>
                </c:pt>
                <c:pt idx="81">
                  <c:v>-39.75</c:v>
                </c:pt>
                <c:pt idx="82">
                  <c:v>-39.5</c:v>
                </c:pt>
                <c:pt idx="83">
                  <c:v>-39.25</c:v>
                </c:pt>
                <c:pt idx="84">
                  <c:v>-39</c:v>
                </c:pt>
                <c:pt idx="85">
                  <c:v>-38.75</c:v>
                </c:pt>
                <c:pt idx="86">
                  <c:v>-38.5</c:v>
                </c:pt>
                <c:pt idx="87">
                  <c:v>-38.25</c:v>
                </c:pt>
                <c:pt idx="88">
                  <c:v>-38</c:v>
                </c:pt>
                <c:pt idx="89">
                  <c:v>-37.75</c:v>
                </c:pt>
                <c:pt idx="90">
                  <c:v>-37.5</c:v>
                </c:pt>
                <c:pt idx="91">
                  <c:v>-37.25</c:v>
                </c:pt>
                <c:pt idx="92">
                  <c:v>-37</c:v>
                </c:pt>
                <c:pt idx="93">
                  <c:v>-36.75</c:v>
                </c:pt>
                <c:pt idx="94">
                  <c:v>-36.5</c:v>
                </c:pt>
                <c:pt idx="95">
                  <c:v>-36.25</c:v>
                </c:pt>
                <c:pt idx="96">
                  <c:v>-36</c:v>
                </c:pt>
                <c:pt idx="97">
                  <c:v>-35.75</c:v>
                </c:pt>
                <c:pt idx="98">
                  <c:v>-35.5</c:v>
                </c:pt>
                <c:pt idx="99">
                  <c:v>-35.25</c:v>
                </c:pt>
                <c:pt idx="100">
                  <c:v>-35</c:v>
                </c:pt>
                <c:pt idx="101">
                  <c:v>-34.75</c:v>
                </c:pt>
                <c:pt idx="102">
                  <c:v>-34.5</c:v>
                </c:pt>
                <c:pt idx="103">
                  <c:v>-34.25</c:v>
                </c:pt>
                <c:pt idx="104">
                  <c:v>-34</c:v>
                </c:pt>
                <c:pt idx="105">
                  <c:v>-33.75</c:v>
                </c:pt>
                <c:pt idx="106">
                  <c:v>-33.5</c:v>
                </c:pt>
                <c:pt idx="107">
                  <c:v>-33.25</c:v>
                </c:pt>
                <c:pt idx="108">
                  <c:v>-33</c:v>
                </c:pt>
                <c:pt idx="109">
                  <c:v>-32.75</c:v>
                </c:pt>
                <c:pt idx="110">
                  <c:v>-32.5</c:v>
                </c:pt>
                <c:pt idx="111">
                  <c:v>-32.25</c:v>
                </c:pt>
                <c:pt idx="112">
                  <c:v>-32</c:v>
                </c:pt>
                <c:pt idx="113">
                  <c:v>-31.75</c:v>
                </c:pt>
                <c:pt idx="114">
                  <c:v>-31.5</c:v>
                </c:pt>
                <c:pt idx="115">
                  <c:v>-31.25</c:v>
                </c:pt>
                <c:pt idx="116">
                  <c:v>-31</c:v>
                </c:pt>
                <c:pt idx="117">
                  <c:v>-30.75</c:v>
                </c:pt>
                <c:pt idx="118">
                  <c:v>-30.5</c:v>
                </c:pt>
                <c:pt idx="119">
                  <c:v>-30.25</c:v>
                </c:pt>
                <c:pt idx="120">
                  <c:v>-30</c:v>
                </c:pt>
                <c:pt idx="121">
                  <c:v>-29.75</c:v>
                </c:pt>
                <c:pt idx="122">
                  <c:v>-29.5</c:v>
                </c:pt>
                <c:pt idx="123">
                  <c:v>-29.25</c:v>
                </c:pt>
                <c:pt idx="124">
                  <c:v>-29</c:v>
                </c:pt>
                <c:pt idx="125">
                  <c:v>-28.75</c:v>
                </c:pt>
                <c:pt idx="126">
                  <c:v>-28.5</c:v>
                </c:pt>
                <c:pt idx="127">
                  <c:v>-28.25</c:v>
                </c:pt>
                <c:pt idx="128">
                  <c:v>-28</c:v>
                </c:pt>
                <c:pt idx="129">
                  <c:v>-27.75</c:v>
                </c:pt>
                <c:pt idx="130">
                  <c:v>-27.5</c:v>
                </c:pt>
                <c:pt idx="131">
                  <c:v>-27.25</c:v>
                </c:pt>
                <c:pt idx="132">
                  <c:v>-27</c:v>
                </c:pt>
                <c:pt idx="133">
                  <c:v>-26.75</c:v>
                </c:pt>
                <c:pt idx="134">
                  <c:v>-26.5</c:v>
                </c:pt>
                <c:pt idx="135">
                  <c:v>-26.25</c:v>
                </c:pt>
                <c:pt idx="136">
                  <c:v>-26</c:v>
                </c:pt>
                <c:pt idx="137">
                  <c:v>-25.75</c:v>
                </c:pt>
                <c:pt idx="138">
                  <c:v>-25.5</c:v>
                </c:pt>
                <c:pt idx="139">
                  <c:v>-25.25</c:v>
                </c:pt>
                <c:pt idx="140">
                  <c:v>-25</c:v>
                </c:pt>
                <c:pt idx="141">
                  <c:v>-24.75</c:v>
                </c:pt>
                <c:pt idx="142">
                  <c:v>-24.5</c:v>
                </c:pt>
                <c:pt idx="143">
                  <c:v>-24.25</c:v>
                </c:pt>
                <c:pt idx="144">
                  <c:v>-24</c:v>
                </c:pt>
                <c:pt idx="145">
                  <c:v>-23.75</c:v>
                </c:pt>
                <c:pt idx="146">
                  <c:v>-23.5</c:v>
                </c:pt>
                <c:pt idx="147">
                  <c:v>-23.25</c:v>
                </c:pt>
                <c:pt idx="148">
                  <c:v>-23</c:v>
                </c:pt>
                <c:pt idx="149">
                  <c:v>-22.75</c:v>
                </c:pt>
                <c:pt idx="150">
                  <c:v>-22.5</c:v>
                </c:pt>
                <c:pt idx="151">
                  <c:v>-22.25</c:v>
                </c:pt>
                <c:pt idx="152">
                  <c:v>-22</c:v>
                </c:pt>
                <c:pt idx="153">
                  <c:v>-21.75</c:v>
                </c:pt>
                <c:pt idx="154">
                  <c:v>-21.5</c:v>
                </c:pt>
                <c:pt idx="155">
                  <c:v>-21.25</c:v>
                </c:pt>
                <c:pt idx="156">
                  <c:v>-21</c:v>
                </c:pt>
                <c:pt idx="157">
                  <c:v>-20.75</c:v>
                </c:pt>
                <c:pt idx="158">
                  <c:v>-20.5</c:v>
                </c:pt>
                <c:pt idx="159">
                  <c:v>-20.25</c:v>
                </c:pt>
                <c:pt idx="160">
                  <c:v>-20</c:v>
                </c:pt>
                <c:pt idx="161">
                  <c:v>-19.75</c:v>
                </c:pt>
                <c:pt idx="162">
                  <c:v>-19.5</c:v>
                </c:pt>
                <c:pt idx="163">
                  <c:v>-19.25</c:v>
                </c:pt>
                <c:pt idx="164">
                  <c:v>-19</c:v>
                </c:pt>
                <c:pt idx="165">
                  <c:v>-18.75</c:v>
                </c:pt>
                <c:pt idx="166">
                  <c:v>-18.5</c:v>
                </c:pt>
                <c:pt idx="167">
                  <c:v>-18.25</c:v>
                </c:pt>
                <c:pt idx="168">
                  <c:v>-18</c:v>
                </c:pt>
                <c:pt idx="169">
                  <c:v>-17.75</c:v>
                </c:pt>
                <c:pt idx="170">
                  <c:v>-17.5</c:v>
                </c:pt>
                <c:pt idx="171">
                  <c:v>-17.25</c:v>
                </c:pt>
                <c:pt idx="172">
                  <c:v>-17</c:v>
                </c:pt>
                <c:pt idx="173">
                  <c:v>-16.75</c:v>
                </c:pt>
                <c:pt idx="174">
                  <c:v>-16.5</c:v>
                </c:pt>
                <c:pt idx="175">
                  <c:v>-16.25</c:v>
                </c:pt>
                <c:pt idx="176">
                  <c:v>-16</c:v>
                </c:pt>
                <c:pt idx="177">
                  <c:v>-15.75</c:v>
                </c:pt>
                <c:pt idx="178">
                  <c:v>-15.5</c:v>
                </c:pt>
                <c:pt idx="179">
                  <c:v>-15.25</c:v>
                </c:pt>
                <c:pt idx="180">
                  <c:v>-15</c:v>
                </c:pt>
                <c:pt idx="181">
                  <c:v>-14.75</c:v>
                </c:pt>
                <c:pt idx="182">
                  <c:v>-14.5</c:v>
                </c:pt>
                <c:pt idx="183">
                  <c:v>-14.25</c:v>
                </c:pt>
                <c:pt idx="184">
                  <c:v>-14</c:v>
                </c:pt>
                <c:pt idx="185">
                  <c:v>-13.75</c:v>
                </c:pt>
                <c:pt idx="186">
                  <c:v>-13.5</c:v>
                </c:pt>
                <c:pt idx="187">
                  <c:v>-13.25</c:v>
                </c:pt>
                <c:pt idx="188">
                  <c:v>-13</c:v>
                </c:pt>
                <c:pt idx="189">
                  <c:v>-12.75</c:v>
                </c:pt>
                <c:pt idx="190">
                  <c:v>-12.5</c:v>
                </c:pt>
                <c:pt idx="191">
                  <c:v>-12.25</c:v>
                </c:pt>
                <c:pt idx="192">
                  <c:v>-12</c:v>
                </c:pt>
                <c:pt idx="193">
                  <c:v>-11.75</c:v>
                </c:pt>
                <c:pt idx="194">
                  <c:v>-11.5</c:v>
                </c:pt>
                <c:pt idx="195">
                  <c:v>-11.25</c:v>
                </c:pt>
                <c:pt idx="196">
                  <c:v>-11</c:v>
                </c:pt>
                <c:pt idx="197">
                  <c:v>-10.75</c:v>
                </c:pt>
                <c:pt idx="198">
                  <c:v>-10.5</c:v>
                </c:pt>
                <c:pt idx="199">
                  <c:v>-10.25</c:v>
                </c:pt>
                <c:pt idx="200">
                  <c:v>-10</c:v>
                </c:pt>
                <c:pt idx="201">
                  <c:v>-9.75</c:v>
                </c:pt>
                <c:pt idx="202">
                  <c:v>-9.5</c:v>
                </c:pt>
                <c:pt idx="203">
                  <c:v>-9.25</c:v>
                </c:pt>
                <c:pt idx="204">
                  <c:v>-9</c:v>
                </c:pt>
                <c:pt idx="205">
                  <c:v>-8.75</c:v>
                </c:pt>
                <c:pt idx="206">
                  <c:v>-8.5</c:v>
                </c:pt>
                <c:pt idx="207">
                  <c:v>-8.25</c:v>
                </c:pt>
                <c:pt idx="208">
                  <c:v>-8</c:v>
                </c:pt>
                <c:pt idx="209">
                  <c:v>-7.75</c:v>
                </c:pt>
                <c:pt idx="210">
                  <c:v>-7.5</c:v>
                </c:pt>
                <c:pt idx="211">
                  <c:v>-7.25</c:v>
                </c:pt>
                <c:pt idx="212">
                  <c:v>-7</c:v>
                </c:pt>
                <c:pt idx="213">
                  <c:v>-6.75</c:v>
                </c:pt>
                <c:pt idx="214">
                  <c:v>-6.5</c:v>
                </c:pt>
                <c:pt idx="215">
                  <c:v>-6.25</c:v>
                </c:pt>
                <c:pt idx="216">
                  <c:v>-6</c:v>
                </c:pt>
                <c:pt idx="217">
                  <c:v>-5.75</c:v>
                </c:pt>
                <c:pt idx="218">
                  <c:v>-5.5</c:v>
                </c:pt>
                <c:pt idx="219">
                  <c:v>-5.25</c:v>
                </c:pt>
                <c:pt idx="220">
                  <c:v>-5</c:v>
                </c:pt>
                <c:pt idx="221">
                  <c:v>-4.75</c:v>
                </c:pt>
                <c:pt idx="222">
                  <c:v>-4.5</c:v>
                </c:pt>
                <c:pt idx="223">
                  <c:v>-4.25</c:v>
                </c:pt>
                <c:pt idx="224">
                  <c:v>-4</c:v>
                </c:pt>
                <c:pt idx="225">
                  <c:v>-3.75</c:v>
                </c:pt>
                <c:pt idx="226">
                  <c:v>-3.5</c:v>
                </c:pt>
                <c:pt idx="227">
                  <c:v>-3.25</c:v>
                </c:pt>
                <c:pt idx="228">
                  <c:v>-3</c:v>
                </c:pt>
                <c:pt idx="229">
                  <c:v>-2.75</c:v>
                </c:pt>
                <c:pt idx="230">
                  <c:v>-2.5</c:v>
                </c:pt>
                <c:pt idx="231">
                  <c:v>-2.25</c:v>
                </c:pt>
                <c:pt idx="232">
                  <c:v>-2</c:v>
                </c:pt>
                <c:pt idx="233">
                  <c:v>-1.75</c:v>
                </c:pt>
                <c:pt idx="234">
                  <c:v>-1.5</c:v>
                </c:pt>
                <c:pt idx="235">
                  <c:v>-1.25</c:v>
                </c:pt>
                <c:pt idx="236">
                  <c:v>-1</c:v>
                </c:pt>
                <c:pt idx="237">
                  <c:v>-0.75</c:v>
                </c:pt>
                <c:pt idx="238">
                  <c:v>-0.5</c:v>
                </c:pt>
                <c:pt idx="239">
                  <c:v>-0.25</c:v>
                </c:pt>
                <c:pt idx="240">
                  <c:v>0</c:v>
                </c:pt>
                <c:pt idx="241">
                  <c:v>0.25</c:v>
                </c:pt>
                <c:pt idx="242">
                  <c:v>0.5</c:v>
                </c:pt>
                <c:pt idx="243">
                  <c:v>0.75</c:v>
                </c:pt>
                <c:pt idx="244">
                  <c:v>1</c:v>
                </c:pt>
                <c:pt idx="245">
                  <c:v>1.25</c:v>
                </c:pt>
                <c:pt idx="246">
                  <c:v>1.5</c:v>
                </c:pt>
                <c:pt idx="247">
                  <c:v>1.75</c:v>
                </c:pt>
                <c:pt idx="248">
                  <c:v>2</c:v>
                </c:pt>
                <c:pt idx="249">
                  <c:v>2.25</c:v>
                </c:pt>
                <c:pt idx="250">
                  <c:v>2.5</c:v>
                </c:pt>
                <c:pt idx="251">
                  <c:v>2.75</c:v>
                </c:pt>
                <c:pt idx="252">
                  <c:v>3</c:v>
                </c:pt>
                <c:pt idx="253">
                  <c:v>3.25</c:v>
                </c:pt>
                <c:pt idx="254">
                  <c:v>3.5</c:v>
                </c:pt>
                <c:pt idx="255">
                  <c:v>3.75</c:v>
                </c:pt>
                <c:pt idx="256">
                  <c:v>4</c:v>
                </c:pt>
                <c:pt idx="257">
                  <c:v>4.25</c:v>
                </c:pt>
                <c:pt idx="258">
                  <c:v>4.5</c:v>
                </c:pt>
                <c:pt idx="259">
                  <c:v>4.75</c:v>
                </c:pt>
                <c:pt idx="260">
                  <c:v>5</c:v>
                </c:pt>
                <c:pt idx="261">
                  <c:v>5.25</c:v>
                </c:pt>
                <c:pt idx="262">
                  <c:v>5.5</c:v>
                </c:pt>
                <c:pt idx="263">
                  <c:v>5.75</c:v>
                </c:pt>
                <c:pt idx="264">
                  <c:v>6</c:v>
                </c:pt>
                <c:pt idx="265">
                  <c:v>6.25</c:v>
                </c:pt>
                <c:pt idx="266">
                  <c:v>6.5</c:v>
                </c:pt>
                <c:pt idx="267">
                  <c:v>6.75</c:v>
                </c:pt>
                <c:pt idx="268">
                  <c:v>7</c:v>
                </c:pt>
                <c:pt idx="269">
                  <c:v>7.25</c:v>
                </c:pt>
                <c:pt idx="270">
                  <c:v>7.5</c:v>
                </c:pt>
                <c:pt idx="271">
                  <c:v>7.75</c:v>
                </c:pt>
                <c:pt idx="272">
                  <c:v>8</c:v>
                </c:pt>
                <c:pt idx="273">
                  <c:v>8.25</c:v>
                </c:pt>
                <c:pt idx="274">
                  <c:v>8.5</c:v>
                </c:pt>
                <c:pt idx="275">
                  <c:v>8.75</c:v>
                </c:pt>
                <c:pt idx="276">
                  <c:v>9</c:v>
                </c:pt>
                <c:pt idx="277">
                  <c:v>9.25</c:v>
                </c:pt>
                <c:pt idx="278">
                  <c:v>9.5</c:v>
                </c:pt>
                <c:pt idx="279">
                  <c:v>9.75</c:v>
                </c:pt>
                <c:pt idx="280">
                  <c:v>10</c:v>
                </c:pt>
                <c:pt idx="281">
                  <c:v>10.25</c:v>
                </c:pt>
                <c:pt idx="282">
                  <c:v>10.5</c:v>
                </c:pt>
                <c:pt idx="283">
                  <c:v>10.75</c:v>
                </c:pt>
                <c:pt idx="284">
                  <c:v>11</c:v>
                </c:pt>
                <c:pt idx="285">
                  <c:v>11.25</c:v>
                </c:pt>
                <c:pt idx="286">
                  <c:v>11.5</c:v>
                </c:pt>
                <c:pt idx="287">
                  <c:v>11.75</c:v>
                </c:pt>
                <c:pt idx="288">
                  <c:v>12</c:v>
                </c:pt>
                <c:pt idx="289">
                  <c:v>12.25</c:v>
                </c:pt>
                <c:pt idx="290">
                  <c:v>12.5</c:v>
                </c:pt>
                <c:pt idx="291">
                  <c:v>12.75</c:v>
                </c:pt>
                <c:pt idx="292">
                  <c:v>13</c:v>
                </c:pt>
                <c:pt idx="293">
                  <c:v>13.25</c:v>
                </c:pt>
                <c:pt idx="294">
                  <c:v>13.5</c:v>
                </c:pt>
                <c:pt idx="295">
                  <c:v>13.75</c:v>
                </c:pt>
                <c:pt idx="296">
                  <c:v>14</c:v>
                </c:pt>
                <c:pt idx="297">
                  <c:v>14.25</c:v>
                </c:pt>
                <c:pt idx="298">
                  <c:v>14.5</c:v>
                </c:pt>
                <c:pt idx="299">
                  <c:v>14.75</c:v>
                </c:pt>
                <c:pt idx="300">
                  <c:v>15</c:v>
                </c:pt>
                <c:pt idx="301">
                  <c:v>15.25</c:v>
                </c:pt>
                <c:pt idx="302">
                  <c:v>15.5</c:v>
                </c:pt>
                <c:pt idx="303">
                  <c:v>15.75</c:v>
                </c:pt>
                <c:pt idx="304">
                  <c:v>16</c:v>
                </c:pt>
                <c:pt idx="305">
                  <c:v>16.25</c:v>
                </c:pt>
                <c:pt idx="306">
                  <c:v>16.5</c:v>
                </c:pt>
                <c:pt idx="307">
                  <c:v>16.75</c:v>
                </c:pt>
                <c:pt idx="308">
                  <c:v>17</c:v>
                </c:pt>
                <c:pt idx="309">
                  <c:v>17.25</c:v>
                </c:pt>
                <c:pt idx="310">
                  <c:v>17.5</c:v>
                </c:pt>
                <c:pt idx="311">
                  <c:v>17.75</c:v>
                </c:pt>
                <c:pt idx="312">
                  <c:v>18</c:v>
                </c:pt>
                <c:pt idx="313">
                  <c:v>18.25</c:v>
                </c:pt>
                <c:pt idx="314">
                  <c:v>18.5</c:v>
                </c:pt>
                <c:pt idx="315">
                  <c:v>18.75</c:v>
                </c:pt>
                <c:pt idx="316">
                  <c:v>19</c:v>
                </c:pt>
                <c:pt idx="317">
                  <c:v>19.25</c:v>
                </c:pt>
                <c:pt idx="318">
                  <c:v>19.5</c:v>
                </c:pt>
                <c:pt idx="319">
                  <c:v>19.75</c:v>
                </c:pt>
                <c:pt idx="320">
                  <c:v>20</c:v>
                </c:pt>
                <c:pt idx="321">
                  <c:v>20.25</c:v>
                </c:pt>
                <c:pt idx="322">
                  <c:v>20.5</c:v>
                </c:pt>
                <c:pt idx="323">
                  <c:v>20.75</c:v>
                </c:pt>
                <c:pt idx="324">
                  <c:v>21</c:v>
                </c:pt>
                <c:pt idx="325">
                  <c:v>21.25</c:v>
                </c:pt>
                <c:pt idx="326">
                  <c:v>21.5</c:v>
                </c:pt>
                <c:pt idx="327">
                  <c:v>21.75</c:v>
                </c:pt>
                <c:pt idx="328">
                  <c:v>22</c:v>
                </c:pt>
                <c:pt idx="329">
                  <c:v>22.25</c:v>
                </c:pt>
                <c:pt idx="330">
                  <c:v>22.5</c:v>
                </c:pt>
                <c:pt idx="331">
                  <c:v>22.75</c:v>
                </c:pt>
                <c:pt idx="332">
                  <c:v>23</c:v>
                </c:pt>
                <c:pt idx="333">
                  <c:v>23.25</c:v>
                </c:pt>
                <c:pt idx="334">
                  <c:v>23.5</c:v>
                </c:pt>
                <c:pt idx="335">
                  <c:v>23.75</c:v>
                </c:pt>
                <c:pt idx="336">
                  <c:v>24</c:v>
                </c:pt>
                <c:pt idx="337">
                  <c:v>24.25</c:v>
                </c:pt>
                <c:pt idx="338">
                  <c:v>24.5</c:v>
                </c:pt>
                <c:pt idx="339">
                  <c:v>24.75</c:v>
                </c:pt>
                <c:pt idx="340">
                  <c:v>25</c:v>
                </c:pt>
                <c:pt idx="341">
                  <c:v>25.25</c:v>
                </c:pt>
                <c:pt idx="342">
                  <c:v>25.5</c:v>
                </c:pt>
                <c:pt idx="343">
                  <c:v>25.75</c:v>
                </c:pt>
                <c:pt idx="344">
                  <c:v>26</c:v>
                </c:pt>
                <c:pt idx="345">
                  <c:v>26.25</c:v>
                </c:pt>
                <c:pt idx="346">
                  <c:v>26.5</c:v>
                </c:pt>
                <c:pt idx="347">
                  <c:v>26.75</c:v>
                </c:pt>
                <c:pt idx="348">
                  <c:v>27</c:v>
                </c:pt>
                <c:pt idx="349">
                  <c:v>27.25</c:v>
                </c:pt>
                <c:pt idx="350">
                  <c:v>27.5</c:v>
                </c:pt>
                <c:pt idx="351">
                  <c:v>27.75</c:v>
                </c:pt>
                <c:pt idx="352">
                  <c:v>28</c:v>
                </c:pt>
                <c:pt idx="353">
                  <c:v>28.25</c:v>
                </c:pt>
                <c:pt idx="354">
                  <c:v>28.5</c:v>
                </c:pt>
                <c:pt idx="355">
                  <c:v>28.75</c:v>
                </c:pt>
                <c:pt idx="356">
                  <c:v>29</c:v>
                </c:pt>
                <c:pt idx="357">
                  <c:v>29.25</c:v>
                </c:pt>
                <c:pt idx="358">
                  <c:v>29.5</c:v>
                </c:pt>
                <c:pt idx="359">
                  <c:v>29.75</c:v>
                </c:pt>
                <c:pt idx="360">
                  <c:v>30</c:v>
                </c:pt>
                <c:pt idx="361">
                  <c:v>30.25</c:v>
                </c:pt>
                <c:pt idx="362">
                  <c:v>30.5</c:v>
                </c:pt>
                <c:pt idx="363">
                  <c:v>30.75</c:v>
                </c:pt>
                <c:pt idx="364">
                  <c:v>31</c:v>
                </c:pt>
                <c:pt idx="365">
                  <c:v>31.25</c:v>
                </c:pt>
                <c:pt idx="366">
                  <c:v>31.5</c:v>
                </c:pt>
                <c:pt idx="367">
                  <c:v>31.75</c:v>
                </c:pt>
                <c:pt idx="368">
                  <c:v>32</c:v>
                </c:pt>
                <c:pt idx="369">
                  <c:v>32.25</c:v>
                </c:pt>
                <c:pt idx="370">
                  <c:v>32.5</c:v>
                </c:pt>
                <c:pt idx="371">
                  <c:v>32.75</c:v>
                </c:pt>
                <c:pt idx="372">
                  <c:v>33</c:v>
                </c:pt>
                <c:pt idx="373">
                  <c:v>33.25</c:v>
                </c:pt>
                <c:pt idx="374">
                  <c:v>33.5</c:v>
                </c:pt>
                <c:pt idx="375">
                  <c:v>33.75</c:v>
                </c:pt>
                <c:pt idx="376">
                  <c:v>34</c:v>
                </c:pt>
                <c:pt idx="377">
                  <c:v>34.25</c:v>
                </c:pt>
                <c:pt idx="378">
                  <c:v>34.5</c:v>
                </c:pt>
                <c:pt idx="379">
                  <c:v>34.75</c:v>
                </c:pt>
                <c:pt idx="380">
                  <c:v>35</c:v>
                </c:pt>
                <c:pt idx="381">
                  <c:v>35.25</c:v>
                </c:pt>
                <c:pt idx="382">
                  <c:v>35.5</c:v>
                </c:pt>
                <c:pt idx="383">
                  <c:v>35.75</c:v>
                </c:pt>
                <c:pt idx="384">
                  <c:v>36</c:v>
                </c:pt>
                <c:pt idx="385">
                  <c:v>36.25</c:v>
                </c:pt>
                <c:pt idx="386">
                  <c:v>36.5</c:v>
                </c:pt>
                <c:pt idx="387">
                  <c:v>36.75</c:v>
                </c:pt>
                <c:pt idx="388">
                  <c:v>37</c:v>
                </c:pt>
                <c:pt idx="389">
                  <c:v>37.25</c:v>
                </c:pt>
                <c:pt idx="390">
                  <c:v>37.5</c:v>
                </c:pt>
                <c:pt idx="391">
                  <c:v>37.75</c:v>
                </c:pt>
                <c:pt idx="392">
                  <c:v>38</c:v>
                </c:pt>
                <c:pt idx="393">
                  <c:v>38.25</c:v>
                </c:pt>
                <c:pt idx="394">
                  <c:v>38.5</c:v>
                </c:pt>
                <c:pt idx="395">
                  <c:v>38.75</c:v>
                </c:pt>
                <c:pt idx="396">
                  <c:v>39</c:v>
                </c:pt>
                <c:pt idx="397">
                  <c:v>39.25</c:v>
                </c:pt>
                <c:pt idx="398">
                  <c:v>39.5</c:v>
                </c:pt>
                <c:pt idx="399">
                  <c:v>39.75</c:v>
                </c:pt>
                <c:pt idx="400">
                  <c:v>40</c:v>
                </c:pt>
              </c:numCache>
            </c:numRef>
          </c:xVal>
          <c:yVal>
            <c:numRef>
              <c:f>'transversal subsidence profile'!$K$10:$K$410</c:f>
              <c:numCache>
                <c:formatCode>General</c:formatCode>
                <c:ptCount val="401"/>
                <c:pt idx="0">
                  <c:v>1.8224505845800306E-17</c:v>
                </c:pt>
                <c:pt idx="1">
                  <c:v>2.5312526692424494E-17</c:v>
                </c:pt>
                <c:pt idx="2">
                  <c:v>3.5109083747288313E-17</c:v>
                </c:pt>
                <c:pt idx="3">
                  <c:v>4.8630390038862535E-17</c:v>
                </c:pt>
                <c:pt idx="4">
                  <c:v>6.7266722852812917E-17</c:v>
                </c:pt>
                <c:pt idx="5">
                  <c:v>9.2917399587793E-17</c:v>
                </c:pt>
                <c:pt idx="6">
                  <c:v>1.2817345290157562E-16</c:v>
                </c:pt>
                <c:pt idx="7">
                  <c:v>1.765644968125205E-16</c:v>
                </c:pt>
                <c:pt idx="8">
                  <c:v>2.4289184739302578E-16</c:v>
                </c:pt>
                <c:pt idx="9">
                  <c:v>3.3367737093256105E-16</c:v>
                </c:pt>
                <c:pt idx="10">
                  <c:v>4.5776736929723342E-16</c:v>
                </c:pt>
                <c:pt idx="11">
                  <c:v>6.2714385152738318E-16</c:v>
                </c:pt>
                <c:pt idx="12">
                  <c:v>8.58012797856978E-16</c:v>
                </c:pt>
                <c:pt idx="13">
                  <c:v>1.1722618256169526E-15</c:v>
                </c:pt>
                <c:pt idx="14">
                  <c:v>1.5994097507132357E-15</c:v>
                </c:pt>
                <c:pt idx="15">
                  <c:v>2.1792101654923527E-15</c:v>
                </c:pt>
                <c:pt idx="16">
                  <c:v>2.9651232681280518E-15</c:v>
                </c:pt>
                <c:pt idx="17">
                  <c:v>4.0289386062717233E-15</c:v>
                </c:pt>
                <c:pt idx="18">
                  <c:v>5.4669211021964435E-15</c:v>
                </c:pt>
                <c:pt idx="19">
                  <c:v>7.4079701364471089E-15</c:v>
                </c:pt>
                <c:pt idx="20">
                  <c:v>1.0024434893529742E-14</c:v>
                </c:pt>
                <c:pt idx="21">
                  <c:v>1.3546429344271551E-14</c:v>
                </c:pt>
                <c:pt idx="22">
                  <c:v>1.8280750978345932E-14</c:v>
                </c:pt>
                <c:pt idx="23">
                  <c:v>2.4635846488359035E-14</c:v>
                </c:pt>
                <c:pt idx="24">
                  <c:v>3.3154707877399341E-14</c:v>
                </c:pt>
                <c:pt idx="25">
                  <c:v>4.4558153186115959E-14</c:v>
                </c:pt>
                <c:pt idx="26">
                  <c:v>5.980168467208452E-14</c:v>
                </c:pt>
                <c:pt idx="27">
                  <c:v>8.0150071677638748E-14</c:v>
                </c:pt>
                <c:pt idx="28">
                  <c:v>1.0727503662088742E-13</c:v>
                </c:pt>
                <c:pt idx="29">
                  <c:v>1.4338300823240095E-13</c:v>
                </c:pt>
                <c:pt idx="30">
                  <c:v>1.9138194507527107E-13</c:v>
                </c:pt>
                <c:pt idx="31">
                  <c:v>2.5509884979154204E-13</c:v>
                </c:pt>
                <c:pt idx="32">
                  <c:v>3.3956294904634098E-13</c:v>
                </c:pt>
                <c:pt idx="33">
                  <c:v>4.5137380633119169E-13</c:v>
                </c:pt>
                <c:pt idx="34">
                  <c:v>5.9917911770576785E-13</c:v>
                </c:pt>
                <c:pt idx="35">
                  <c:v>7.9429393298589232E-13</c:v>
                </c:pt>
                <c:pt idx="36">
                  <c:v>1.0515019476743999E-12</c:v>
                </c:pt>
                <c:pt idx="37">
                  <c:v>1.3900908272192861E-12</c:v>
                </c:pt>
                <c:pt idx="38">
                  <c:v>1.8351878853633173E-12</c:v>
                </c:pt>
                <c:pt idx="39">
                  <c:v>2.4194806308256401E-12</c:v>
                </c:pt>
                <c:pt idx="40">
                  <c:v>3.185429705558774E-12</c:v>
                </c:pt>
                <c:pt idx="41">
                  <c:v>4.1881107898079576E-12</c:v>
                </c:pt>
                <c:pt idx="42">
                  <c:v>5.4988586696494815E-12</c:v>
                </c:pt>
                <c:pt idx="43">
                  <c:v>7.2099327455318015E-12</c:v>
                </c:pt>
                <c:pt idx="44">
                  <c:v>9.4404811525977155E-12</c:v>
                </c:pt>
                <c:pt idx="45">
                  <c:v>1.2344153268288111E-11</c:v>
                </c:pt>
                <c:pt idx="46">
                  <c:v>1.611880128404696E-11</c:v>
                </c:pt>
                <c:pt idx="47">
                  <c:v>2.1018825132510579E-11</c:v>
                </c:pt>
                <c:pt idx="48">
                  <c:v>2.7370856821612073E-11</c:v>
                </c:pt>
                <c:pt idx="49">
                  <c:v>3.5593656801199794E-11</c:v>
                </c:pt>
                <c:pt idx="50">
                  <c:v>4.6223314546826139E-11</c:v>
                </c:pt>
                <c:pt idx="51">
                  <c:v>5.9945118081238568E-11</c:v>
                </c:pt>
                <c:pt idx="52">
                  <c:v>7.7633794862141246E-11</c:v>
                </c:pt>
                <c:pt idx="53">
                  <c:v>1.0040424420050472E-10</c:v>
                </c:pt>
                <c:pt idx="54">
                  <c:v>1.2967539719748486E-10</c:v>
                </c:pt>
                <c:pt idx="55">
                  <c:v>1.6725047601304845E-10</c:v>
                </c:pt>
                <c:pt idx="56">
                  <c:v>2.154177066404679E-10</c:v>
                </c:pt>
                <c:pt idx="57">
                  <c:v>2.7707650032449598E-10</c:v>
                </c:pt>
                <c:pt idx="58">
                  <c:v>3.558952970000731E-10</c:v>
                </c:pt>
                <c:pt idx="59">
                  <c:v>4.5650870618788981E-10</c:v>
                </c:pt>
                <c:pt idx="60">
                  <c:v>5.8476334256692367E-10</c:v>
                </c:pt>
                <c:pt idx="61">
                  <c:v>7.4802390195739705E-10</c:v>
                </c:pt>
                <c:pt idx="62">
                  <c:v>9.555536388327201E-10</c:v>
                </c:pt>
                <c:pt idx="63">
                  <c:v>1.2189865843876894E-9</c:v>
                </c:pt>
                <c:pt idx="64">
                  <c:v>1.5529126985413634E-9</c:v>
                </c:pt>
                <c:pt idx="65">
                  <c:v>1.9756018154267636E-9</c:v>
                </c:pt>
                <c:pt idx="66">
                  <c:v>2.5098978804501809E-9</c:v>
                </c:pt>
                <c:pt idx="67">
                  <c:v>3.184321777830357E-9</c:v>
                </c:pt>
                <c:pt idx="68">
                  <c:v>4.0344292348816814E-9</c:v>
                </c:pt>
                <c:pt idx="69">
                  <c:v>5.1044801272981395E-9</c:v>
                </c:pt>
                <c:pt idx="70">
                  <c:v>6.4494873086965421E-9</c:v>
                </c:pt>
                <c:pt idx="71">
                  <c:v>8.1377272115771774E-9</c:v>
                </c:pt>
                <c:pt idx="72">
                  <c:v>1.0253811341284478E-8</c:v>
                </c:pt>
                <c:pt idx="73">
                  <c:v>1.2902437906145159E-8</c:v>
                </c:pt>
                <c:pt idx="74">
                  <c:v>1.6212966773844232E-8</c:v>
                </c:pt>
                <c:pt idx="75">
                  <c:v>2.0344989387549566E-8</c:v>
                </c:pt>
                <c:pt idx="76">
                  <c:v>2.5495098992823883E-8</c:v>
                </c:pt>
                <c:pt idx="77">
                  <c:v>3.190510641621286E-8</c:v>
                </c:pt>
                <c:pt idx="78">
                  <c:v>3.9871993733592123E-8</c:v>
                </c:pt>
                <c:pt idx="79">
                  <c:v>4.9759953660370369E-8</c:v>
                </c:pt>
                <c:pt idx="80">
                  <c:v>6.2014927749717004E-8</c:v>
                </c:pt>
                <c:pt idx="81">
                  <c:v>7.7182133057216667E-8</c:v>
                </c:pt>
                <c:pt idx="82">
                  <c:v>9.5927156596457989E-8</c:v>
                </c:pt>
                <c:pt idx="83">
                  <c:v>1.1906130168791524E-7</c:v>
                </c:pt>
                <c:pt idx="84">
                  <c:v>1.4757199247926277E-7</c:v>
                </c:pt>
                <c:pt idx="85">
                  <c:v>1.8265918507117785E-7</c:v>
                </c:pt>
                <c:pt idx="86">
                  <c:v>2.2577889872614197E-7</c:v>
                </c:pt>
                <c:pt idx="87">
                  <c:v>2.7869517183142703E-7</c:v>
                </c:pt>
                <c:pt idx="88">
                  <c:v>3.4354196828064235E-7</c:v>
                </c:pt>
                <c:pt idx="89">
                  <c:v>4.2289681479797782E-7</c:v>
                </c:pt>
                <c:pt idx="90">
                  <c:v>5.1986824297207416E-7</c:v>
                </c:pt>
                <c:pt idx="91">
                  <c:v>6.3819944638841817E-7</c:v>
                </c:pt>
                <c:pt idx="92">
                  <c:v>7.823909487554923E-7</c:v>
                </c:pt>
                <c:pt idx="93">
                  <c:v>9.5784551935078368E-7</c:v>
                </c:pt>
                <c:pt idx="94">
                  <c:v>1.1710390740668724E-6</c:v>
                </c:pt>
                <c:pt idx="95">
                  <c:v>1.4297218709898016E-6</c:v>
                </c:pt>
                <c:pt idx="96">
                  <c:v>1.74315495655409E-6</c:v>
                </c:pt>
                <c:pt idx="97">
                  <c:v>2.1223875502448236E-6</c:v>
                </c:pt>
                <c:pt idx="98">
                  <c:v>2.5805818814954856E-6</c:v>
                </c:pt>
                <c:pt idx="99">
                  <c:v>3.1333929213649484E-6</c:v>
                </c:pt>
                <c:pt idx="100">
                  <c:v>3.7994114938062831E-6</c:v>
                </c:pt>
                <c:pt idx="101">
                  <c:v>4.6006804173843364E-6</c:v>
                </c:pt>
                <c:pt idx="102">
                  <c:v>5.5632946290929175E-6</c:v>
                </c:pt>
                <c:pt idx="103">
                  <c:v>6.718097688722161E-6</c:v>
                </c:pt>
                <c:pt idx="104">
                  <c:v>8.101488666490452E-6</c:v>
                </c:pt>
                <c:pt idx="105">
                  <c:v>9.7563551898995425E-6</c:v>
                </c:pt>
                <c:pt idx="106">
                  <c:v>1.1733150379388987E-5</c:v>
                </c:pt>
                <c:pt idx="107">
                  <c:v>1.4091133547411193E-5</c:v>
                </c:pt>
                <c:pt idx="108">
                  <c:v>1.6899796882487886E-5</c:v>
                </c:pt>
                <c:pt idx="109">
                  <c:v>2.0240502898220164E-5</c:v>
                </c:pt>
                <c:pt idx="110">
                  <c:v>2.4208360205461144E-5</c:v>
                </c:pt>
                <c:pt idx="111">
                  <c:v>2.8914368170663838E-5</c:v>
                </c:pt>
                <c:pt idx="112">
                  <c:v>3.4487864259477438E-5</c:v>
                </c:pt>
                <c:pt idx="113">
                  <c:v>4.1079311334136901E-5</c:v>
                </c:pt>
                <c:pt idx="114">
                  <c:v>4.886346587515819E-5</c:v>
                </c:pt>
                <c:pt idx="115">
                  <c:v>5.804297202772394E-5</c:v>
                </c:pt>
                <c:pt idx="116">
                  <c:v>6.8852430522042994E-5</c:v>
                </c:pt>
                <c:pt idx="117">
                  <c:v>8.1562995871016392E-5</c:v>
                </c:pt>
                <c:pt idx="118">
                  <c:v>9.648755978814604E-5</c:v>
                </c:pt>
                <c:pt idx="119">
                  <c:v>1.1398658346772302E-4</c:v>
                </c:pt>
                <c:pt idx="120">
                  <c:v>1.3447464619457142E-4</c:v>
                </c:pt>
                <c:pt idx="121">
                  <c:v>1.5842778266059401E-4</c:v>
                </c:pt>
                <c:pt idx="122">
                  <c:v>1.8639168630971587E-4</c:v>
                </c:pt>
                <c:pt idx="123">
                  <c:v>2.1899086095153342E-4</c:v>
                </c:pt>
                <c:pt idx="124">
                  <c:v>2.5693880770651459E-4</c:v>
                </c:pt>
                <c:pt idx="125">
                  <c:v>3.0104933899017671E-4</c:v>
                </c:pt>
                <c:pt idx="126">
                  <c:v>3.5224911561666892E-4</c:v>
                </c:pt>
                <c:pt idx="127">
                  <c:v>4.115915070974324E-4</c:v>
                </c:pt>
                <c:pt idx="128">
                  <c:v>4.8027187870904465E-4</c:v>
                </c:pt>
                <c:pt idx="129">
                  <c:v>5.5964441177368566E-4</c:v>
                </c:pt>
                <c:pt idx="130">
                  <c:v>6.5124056569019649E-4</c:v>
                </c:pt>
                <c:pt idx="131">
                  <c:v>7.5678929141453693E-4</c:v>
                </c:pt>
                <c:pt idx="132">
                  <c:v>8.7823910614371454E-4</c:v>
                </c:pt>
                <c:pt idx="133">
                  <c:v>1.0177821377228692E-3</c:v>
                </c:pt>
                <c:pt idx="134">
                  <c:v>1.1778802445756497E-3</c:v>
                </c:pt>
                <c:pt idx="135">
                  <c:v>1.361293312547904E-3</c:v>
                </c:pt>
                <c:pt idx="136">
                  <c:v>1.5711098237402173E-3</c:v>
                </c:pt>
                <c:pt idx="137">
                  <c:v>1.8107797839661257E-3</c:v>
                </c:pt>
                <c:pt idx="138">
                  <c:v>2.0841500846863251E-3</c:v>
                </c:pt>
                <c:pt idx="139">
                  <c:v>2.3955023619108636E-3</c:v>
                </c:pt>
                <c:pt idx="140">
                  <c:v>2.7495933984103289E-3</c:v>
                </c:pt>
                <c:pt idx="141">
                  <c:v>3.1516980964191072E-3</c:v>
                </c:pt>
                <c:pt idx="142">
                  <c:v>3.607655025647109E-3</c:v>
                </c:pt>
                <c:pt idx="143">
                  <c:v>4.1239145256546346E-3</c:v>
                </c:pt>
                <c:pt idx="144">
                  <c:v>4.7075893123253738E-3</c:v>
                </c:pt>
                <c:pt idx="145">
                  <c:v>5.3665075051588847E-3</c:v>
                </c:pt>
                <c:pt idx="146">
                  <c:v>6.1092679552955075E-3</c:v>
                </c:pt>
                <c:pt idx="147">
                  <c:v>6.9452977135231898E-3</c:v>
                </c:pt>
                <c:pt idx="148">
                  <c:v>7.884911432985137E-3</c:v>
                </c:pt>
                <c:pt idx="149">
                  <c:v>8.939372452951632E-3</c:v>
                </c:pt>
                <c:pt idx="150">
                  <c:v>1.0120955257943832E-2</c:v>
                </c:pt>
                <c:pt idx="151">
                  <c:v>1.1443008950874467E-2</c:v>
                </c:pt>
                <c:pt idx="152">
                  <c:v>1.2920021319949369E-2</c:v>
                </c:pt>
                <c:pt idx="153">
                  <c:v>1.4567683017184562E-2</c:v>
                </c:pt>
                <c:pt idx="154">
                  <c:v>1.6402951301954266E-2</c:v>
                </c:pt>
                <c:pt idx="155">
                  <c:v>1.8444112736506108E-2</c:v>
                </c:pt>
                <c:pt idx="156">
                  <c:v>2.0710844152466608E-2</c:v>
                </c:pt>
                <c:pt idx="157">
                  <c:v>2.3224271138718711E-2</c:v>
                </c:pt>
                <c:pt idx="158">
                  <c:v>2.6007023232469621E-2</c:v>
                </c:pt>
                <c:pt idx="159">
                  <c:v>2.9083284927747061E-2</c:v>
                </c:pt>
                <c:pt idx="160">
                  <c:v>3.2478841549970161E-2</c:v>
                </c:pt>
                <c:pt idx="161">
                  <c:v>3.6221118982736694E-2</c:v>
                </c:pt>
                <c:pt idx="162">
                  <c:v>4.0339216174737395E-2</c:v>
                </c:pt>
                <c:pt idx="163">
                  <c:v>4.4863929302020322E-2</c:v>
                </c:pt>
                <c:pt idx="164">
                  <c:v>4.9827766415018231E-2</c:v>
                </c:pt>
                <c:pt idx="165">
                  <c:v>5.5264951362214473E-2</c:v>
                </c:pt>
                <c:pt idx="166">
                  <c:v>6.1211415754493501E-2</c:v>
                </c:pt>
                <c:pt idx="167">
                  <c:v>6.770477771755351E-2</c:v>
                </c:pt>
                <c:pt idx="168">
                  <c:v>7.4784306175714105E-2</c:v>
                </c:pt>
                <c:pt idx="169">
                  <c:v>8.249086942046778E-2</c:v>
                </c:pt>
                <c:pt idx="170">
                  <c:v>9.0866866742590077E-2</c:v>
                </c:pt>
                <c:pt idx="171">
                  <c:v>9.9956141948862154E-2</c:v>
                </c:pt>
                <c:pt idx="172">
                  <c:v>0.10980387764468608</c:v>
                </c:pt>
                <c:pt idx="173">
                  <c:v>0.12045646924317349</c:v>
                </c:pt>
                <c:pt idx="174">
                  <c:v>0.13196137776058506</c:v>
                </c:pt>
                <c:pt idx="175">
                  <c:v>0.14436696057802179</c:v>
                </c:pt>
                <c:pt idx="176">
                  <c:v>0.15772227949052373</c:v>
                </c:pt>
                <c:pt idx="177">
                  <c:v>0.1720768855274655</c:v>
                </c:pt>
                <c:pt idx="178">
                  <c:v>0.18748058021232075</c:v>
                </c:pt>
                <c:pt idx="179">
                  <c:v>0.20398315313514742</c:v>
                </c:pt>
                <c:pt idx="180">
                  <c:v>0.22163409593685704</c:v>
                </c:pt>
                <c:pt idx="181">
                  <c:v>0.24048229304941843</c:v>
                </c:pt>
                <c:pt idx="182">
                  <c:v>0.26057568979923196</c:v>
                </c:pt>
                <c:pt idx="183">
                  <c:v>0.28196093876017714</c:v>
                </c:pt>
                <c:pt idx="184">
                  <c:v>0.30468302553613463</c:v>
                </c:pt>
                <c:pt idx="185">
                  <c:v>0.32878487545752882</c:v>
                </c:pt>
                <c:pt idx="186">
                  <c:v>0.35430694298969695</c:v>
                </c:pt>
                <c:pt idx="187">
                  <c:v>0.38128678596934307</c:v>
                </c:pt>
                <c:pt idx="188">
                  <c:v>0.40975862710533312</c:v>
                </c:pt>
                <c:pt idx="189">
                  <c:v>0.43975290549763879</c:v>
                </c:pt>
                <c:pt idx="190">
                  <c:v>0.47129582123911667</c:v>
                </c:pt>
                <c:pt idx="191">
                  <c:v>0.50440887646448873</c:v>
                </c:pt>
                <c:pt idx="192">
                  <c:v>0.53910841649474406</c:v>
                </c:pt>
                <c:pt idx="193">
                  <c:v>0.57540517498836785</c:v>
                </c:pt>
                <c:pt idx="194">
                  <c:v>0.61330382724851706</c:v>
                </c:pt>
                <c:pt idx="195">
                  <c:v>0.6528025560426185</c:v>
                </c:pt>
                <c:pt idx="196">
                  <c:v>0.69389263446314897</c:v>
                </c:pt>
                <c:pt idx="197">
                  <c:v>0.73655803049098045</c:v>
                </c:pt>
                <c:pt idx="198">
                  <c:v>0.78077503801128811</c:v>
                </c:pt>
                <c:pt idx="199">
                  <c:v>0.82651193907268217</c:v>
                </c:pt>
                <c:pt idx="200">
                  <c:v>0.87372870216931453</c:v>
                </c:pt>
                <c:pt idx="201">
                  <c:v>0.92237672126020587</c:v>
                </c:pt>
                <c:pt idx="202">
                  <c:v>0.97239860011743129</c:v>
                </c:pt>
                <c:pt idx="203">
                  <c:v>1.0237279864132716</c:v>
                </c:pt>
                <c:pt idx="204">
                  <c:v>1.0762894597148773</c:v>
                </c:pt>
                <c:pt idx="205">
                  <c:v>1.1299984772530829</c:v>
                </c:pt>
                <c:pt idx="206">
                  <c:v>1.1847613809702531</c:v>
                </c:pt>
                <c:pt idx="207">
                  <c:v>1.2404754689318138</c:v>
                </c:pt>
                <c:pt idx="208">
                  <c:v>1.2970291337097046</c:v>
                </c:pt>
                <c:pt idx="209">
                  <c:v>1.3543020698165253</c:v>
                </c:pt>
                <c:pt idx="210">
                  <c:v>1.4121655516907592</c:v>
                </c:pt>
                <c:pt idx="211">
                  <c:v>1.4704827831110667</c:v>
                </c:pt>
                <c:pt idx="212">
                  <c:v>1.5291093182570585</c:v>
                </c:pt>
                <c:pt idx="213">
                  <c:v>1.5878935539418164</c:v>
                </c:pt>
                <c:pt idx="214">
                  <c:v>1.6466772918250554</c:v>
                </c:pt>
                <c:pt idx="215">
                  <c:v>1.7052963686831739</c:v>
                </c:pt>
                <c:pt idx="216">
                  <c:v>1.7635813520721411</c:v>
                </c:pt>
                <c:pt idx="217">
                  <c:v>1.8213582979801288</c:v>
                </c:pt>
                <c:pt idx="218">
                  <c:v>1.8784495663384173</c:v>
                </c:pt>
                <c:pt idx="219">
                  <c:v>1.9346746895508466</c:v>
                </c:pt>
                <c:pt idx="220">
                  <c:v>1.9898512885235582</c:v>
                </c:pt>
                <c:pt idx="221">
                  <c:v>2.04379603003746</c:v>
                </c:pt>
                <c:pt idx="222">
                  <c:v>2.0963256187150119</c:v>
                </c:pt>
                <c:pt idx="223">
                  <c:v>2.1472578162994216</c:v>
                </c:pt>
                <c:pt idx="224">
                  <c:v>2.1964124804965439</c:v>
                </c:pt>
                <c:pt idx="225">
                  <c:v>2.2436126152353011</c:v>
                </c:pt>
                <c:pt idx="226">
                  <c:v>2.288685423888221</c:v>
                </c:pt>
                <c:pt idx="227">
                  <c:v>2.3314633567655485</c:v>
                </c:pt>
                <c:pt idx="228">
                  <c:v>2.3717851440593103</c:v>
                </c:pt>
                <c:pt idx="229">
                  <c:v>2.4094968053713197</c:v>
                </c:pt>
                <c:pt idx="230">
                  <c:v>2.4444526270139773</c:v>
                </c:pt>
                <c:pt idx="231">
                  <c:v>2.4765160984259968</c:v>
                </c:pt>
                <c:pt idx="232">
                  <c:v>2.5055607992967666</c:v>
                </c:pt>
                <c:pt idx="233">
                  <c:v>2.5314712293414243</c:v>
                </c:pt>
                <c:pt idx="234">
                  <c:v>2.5541435731110482</c:v>
                </c:pt>
                <c:pt idx="235">
                  <c:v>2.5734863927544152</c:v>
                </c:pt>
                <c:pt idx="236">
                  <c:v>2.5894212422641401</c:v>
                </c:pt>
                <c:pt idx="237">
                  <c:v>2.6018831974338967</c:v>
                </c:pt>
                <c:pt idx="238">
                  <c:v>2.6108212965170567</c:v>
                </c:pt>
                <c:pt idx="239">
                  <c:v>2.6161988874015751</c:v>
                </c:pt>
                <c:pt idx="240">
                  <c:v>2.617993877991494</c:v>
                </c:pt>
                <c:pt idx="241">
                  <c:v>2.6161988874015751</c:v>
                </c:pt>
                <c:pt idx="242">
                  <c:v>2.6108212965170567</c:v>
                </c:pt>
                <c:pt idx="243">
                  <c:v>2.6018831974338967</c:v>
                </c:pt>
                <c:pt idx="244">
                  <c:v>2.5894212422641401</c:v>
                </c:pt>
                <c:pt idx="245">
                  <c:v>2.5734863927544152</c:v>
                </c:pt>
                <c:pt idx="246">
                  <c:v>2.5541435731110482</c:v>
                </c:pt>
                <c:pt idx="247">
                  <c:v>2.5314712293414243</c:v>
                </c:pt>
                <c:pt idx="248">
                  <c:v>2.5055607992967666</c:v>
                </c:pt>
                <c:pt idx="249">
                  <c:v>2.4765160984259968</c:v>
                </c:pt>
                <c:pt idx="250">
                  <c:v>2.4444526270139773</c:v>
                </c:pt>
                <c:pt idx="251">
                  <c:v>2.4094968053713197</c:v>
                </c:pt>
                <c:pt idx="252">
                  <c:v>2.3717851440593103</c:v>
                </c:pt>
                <c:pt idx="253">
                  <c:v>2.3314633567655485</c:v>
                </c:pt>
                <c:pt idx="254">
                  <c:v>2.288685423888221</c:v>
                </c:pt>
                <c:pt idx="255">
                  <c:v>2.2436126152353011</c:v>
                </c:pt>
                <c:pt idx="256">
                  <c:v>2.1964124804965439</c:v>
                </c:pt>
                <c:pt idx="257">
                  <c:v>2.1472578162994216</c:v>
                </c:pt>
                <c:pt idx="258">
                  <c:v>2.0963256187150119</c:v>
                </c:pt>
                <c:pt idx="259">
                  <c:v>2.04379603003746</c:v>
                </c:pt>
                <c:pt idx="260">
                  <c:v>1.9898512885235582</c:v>
                </c:pt>
                <c:pt idx="261">
                  <c:v>1.9346746895508466</c:v>
                </c:pt>
                <c:pt idx="262">
                  <c:v>1.8784495663384173</c:v>
                </c:pt>
                <c:pt idx="263">
                  <c:v>1.8213582979801288</c:v>
                </c:pt>
                <c:pt idx="264">
                  <c:v>1.7635813520721411</c:v>
                </c:pt>
                <c:pt idx="265">
                  <c:v>1.7052963686831739</c:v>
                </c:pt>
                <c:pt idx="266">
                  <c:v>1.6466772918250554</c:v>
                </c:pt>
                <c:pt idx="267">
                  <c:v>1.5878935539418164</c:v>
                </c:pt>
                <c:pt idx="268">
                  <c:v>1.5291093182570585</c:v>
                </c:pt>
                <c:pt idx="269">
                  <c:v>1.4704827831110667</c:v>
                </c:pt>
                <c:pt idx="270">
                  <c:v>1.4121655516907592</c:v>
                </c:pt>
                <c:pt idx="271">
                  <c:v>1.3543020698165253</c:v>
                </c:pt>
                <c:pt idx="272">
                  <c:v>1.2970291337097046</c:v>
                </c:pt>
                <c:pt idx="273">
                  <c:v>1.2404754689318138</c:v>
                </c:pt>
                <c:pt idx="274">
                  <c:v>1.1847613809702531</c:v>
                </c:pt>
                <c:pt idx="275">
                  <c:v>1.1299984772530829</c:v>
                </c:pt>
                <c:pt idx="276">
                  <c:v>1.0762894597148773</c:v>
                </c:pt>
                <c:pt idx="277">
                  <c:v>1.0237279864132716</c:v>
                </c:pt>
                <c:pt idx="278">
                  <c:v>0.97239860011743129</c:v>
                </c:pt>
                <c:pt idx="279">
                  <c:v>0.92237672126020587</c:v>
                </c:pt>
                <c:pt idx="280">
                  <c:v>0.87372870216931453</c:v>
                </c:pt>
                <c:pt idx="281">
                  <c:v>0.82651193907268217</c:v>
                </c:pt>
                <c:pt idx="282">
                  <c:v>0.78077503801128811</c:v>
                </c:pt>
                <c:pt idx="283">
                  <c:v>0.73655803049098045</c:v>
                </c:pt>
                <c:pt idx="284">
                  <c:v>0.69389263446314897</c:v>
                </c:pt>
                <c:pt idx="285">
                  <c:v>0.6528025560426185</c:v>
                </c:pt>
                <c:pt idx="286">
                  <c:v>0.61330382724851706</c:v>
                </c:pt>
                <c:pt idx="287">
                  <c:v>0.57540517498836785</c:v>
                </c:pt>
                <c:pt idx="288">
                  <c:v>0.53910841649474406</c:v>
                </c:pt>
                <c:pt idx="289">
                  <c:v>0.50440887646448873</c:v>
                </c:pt>
                <c:pt idx="290">
                  <c:v>0.47129582123911667</c:v>
                </c:pt>
                <c:pt idx="291">
                  <c:v>0.43975290549763879</c:v>
                </c:pt>
                <c:pt idx="292">
                  <c:v>0.40975862710533312</c:v>
                </c:pt>
                <c:pt idx="293">
                  <c:v>0.38128678596934307</c:v>
                </c:pt>
                <c:pt idx="294">
                  <c:v>0.35430694298969695</c:v>
                </c:pt>
                <c:pt idx="295">
                  <c:v>0.32878487545752882</c:v>
                </c:pt>
                <c:pt idx="296">
                  <c:v>0.30468302553613463</c:v>
                </c:pt>
                <c:pt idx="297">
                  <c:v>0.28196093876017714</c:v>
                </c:pt>
                <c:pt idx="298">
                  <c:v>0.26057568979923196</c:v>
                </c:pt>
                <c:pt idx="299">
                  <c:v>0.24048229304941843</c:v>
                </c:pt>
                <c:pt idx="300">
                  <c:v>0.22163409593685704</c:v>
                </c:pt>
                <c:pt idx="301">
                  <c:v>0.20398315313514742</c:v>
                </c:pt>
                <c:pt idx="302">
                  <c:v>0.18748058021232075</c:v>
                </c:pt>
                <c:pt idx="303">
                  <c:v>0.1720768855274655</c:v>
                </c:pt>
                <c:pt idx="304">
                  <c:v>0.15772227949052373</c:v>
                </c:pt>
                <c:pt idx="305">
                  <c:v>0.14436696057802179</c:v>
                </c:pt>
                <c:pt idx="306">
                  <c:v>0.13196137776058506</c:v>
                </c:pt>
                <c:pt idx="307">
                  <c:v>0.12045646924317349</c:v>
                </c:pt>
                <c:pt idx="308">
                  <c:v>0.10980387764468608</c:v>
                </c:pt>
                <c:pt idx="309">
                  <c:v>9.9956141948862154E-2</c:v>
                </c:pt>
                <c:pt idx="310">
                  <c:v>9.0866866742590077E-2</c:v>
                </c:pt>
                <c:pt idx="311">
                  <c:v>8.249086942046778E-2</c:v>
                </c:pt>
                <c:pt idx="312">
                  <c:v>7.4784306175714105E-2</c:v>
                </c:pt>
                <c:pt idx="313">
                  <c:v>6.770477771755351E-2</c:v>
                </c:pt>
                <c:pt idx="314">
                  <c:v>6.1211415754493501E-2</c:v>
                </c:pt>
                <c:pt idx="315">
                  <c:v>5.5264951362214473E-2</c:v>
                </c:pt>
                <c:pt idx="316">
                  <c:v>4.9827766415018231E-2</c:v>
                </c:pt>
                <c:pt idx="317">
                  <c:v>4.4863929302020322E-2</c:v>
                </c:pt>
                <c:pt idx="318">
                  <c:v>4.0339216174737395E-2</c:v>
                </c:pt>
                <c:pt idx="319">
                  <c:v>3.6221118982736694E-2</c:v>
                </c:pt>
                <c:pt idx="320">
                  <c:v>3.2478841549970161E-2</c:v>
                </c:pt>
                <c:pt idx="321">
                  <c:v>2.9083284927747061E-2</c:v>
                </c:pt>
                <c:pt idx="322">
                  <c:v>2.6007023232469621E-2</c:v>
                </c:pt>
                <c:pt idx="323">
                  <c:v>2.3224271138718711E-2</c:v>
                </c:pt>
                <c:pt idx="324">
                  <c:v>2.0710844152466608E-2</c:v>
                </c:pt>
                <c:pt idx="325">
                  <c:v>1.8444112736506108E-2</c:v>
                </c:pt>
                <c:pt idx="326">
                  <c:v>1.6402951301954266E-2</c:v>
                </c:pt>
                <c:pt idx="327">
                  <c:v>1.4567683017184562E-2</c:v>
                </c:pt>
                <c:pt idx="328">
                  <c:v>1.2920021319949369E-2</c:v>
                </c:pt>
                <c:pt idx="329">
                  <c:v>1.1443008950874467E-2</c:v>
                </c:pt>
                <c:pt idx="330">
                  <c:v>1.0120955257943832E-2</c:v>
                </c:pt>
                <c:pt idx="331">
                  <c:v>8.939372452951632E-3</c:v>
                </c:pt>
                <c:pt idx="332">
                  <c:v>7.884911432985137E-3</c:v>
                </c:pt>
                <c:pt idx="333">
                  <c:v>6.9452977135231898E-3</c:v>
                </c:pt>
                <c:pt idx="334">
                  <c:v>6.1092679552955075E-3</c:v>
                </c:pt>
                <c:pt idx="335">
                  <c:v>5.3665075051588847E-3</c:v>
                </c:pt>
                <c:pt idx="336">
                  <c:v>4.7075893123253738E-3</c:v>
                </c:pt>
                <c:pt idx="337">
                  <c:v>4.1239145256546346E-3</c:v>
                </c:pt>
                <c:pt idx="338">
                  <c:v>3.607655025647109E-3</c:v>
                </c:pt>
                <c:pt idx="339">
                  <c:v>3.1516980964191072E-3</c:v>
                </c:pt>
                <c:pt idx="340">
                  <c:v>2.7495933984103289E-3</c:v>
                </c:pt>
                <c:pt idx="341">
                  <c:v>2.3955023619108636E-3</c:v>
                </c:pt>
                <c:pt idx="342">
                  <c:v>2.0841500846863251E-3</c:v>
                </c:pt>
                <c:pt idx="343">
                  <c:v>1.8107797839661257E-3</c:v>
                </c:pt>
                <c:pt idx="344">
                  <c:v>1.5711098237402173E-3</c:v>
                </c:pt>
                <c:pt idx="345">
                  <c:v>1.361293312547904E-3</c:v>
                </c:pt>
                <c:pt idx="346">
                  <c:v>1.1778802445756497E-3</c:v>
                </c:pt>
                <c:pt idx="347">
                  <c:v>1.0177821377228692E-3</c:v>
                </c:pt>
                <c:pt idx="348">
                  <c:v>8.7823910614371454E-4</c:v>
                </c:pt>
                <c:pt idx="349">
                  <c:v>7.5678929141453693E-4</c:v>
                </c:pt>
                <c:pt idx="350">
                  <c:v>6.5124056569019649E-4</c:v>
                </c:pt>
                <c:pt idx="351">
                  <c:v>5.5964441177368566E-4</c:v>
                </c:pt>
                <c:pt idx="352">
                  <c:v>4.8027187870904465E-4</c:v>
                </c:pt>
                <c:pt idx="353">
                  <c:v>4.115915070974324E-4</c:v>
                </c:pt>
                <c:pt idx="354">
                  <c:v>3.5224911561666892E-4</c:v>
                </c:pt>
                <c:pt idx="355">
                  <c:v>3.0104933899017671E-4</c:v>
                </c:pt>
                <c:pt idx="356">
                  <c:v>2.5693880770651459E-4</c:v>
                </c:pt>
                <c:pt idx="357">
                  <c:v>2.1899086095153342E-4</c:v>
                </c:pt>
                <c:pt idx="358">
                  <c:v>1.8639168630971587E-4</c:v>
                </c:pt>
                <c:pt idx="359">
                  <c:v>1.5842778266059401E-4</c:v>
                </c:pt>
                <c:pt idx="360">
                  <c:v>1.3447464619457142E-4</c:v>
                </c:pt>
                <c:pt idx="361">
                  <c:v>1.1398658346772302E-4</c:v>
                </c:pt>
                <c:pt idx="362">
                  <c:v>9.648755978814604E-5</c:v>
                </c:pt>
                <c:pt idx="363">
                  <c:v>8.1562995871016392E-5</c:v>
                </c:pt>
                <c:pt idx="364">
                  <c:v>6.8852430522042994E-5</c:v>
                </c:pt>
                <c:pt idx="365">
                  <c:v>5.804297202772394E-5</c:v>
                </c:pt>
                <c:pt idx="366">
                  <c:v>4.886346587515819E-5</c:v>
                </c:pt>
                <c:pt idx="367">
                  <c:v>4.1079311334136901E-5</c:v>
                </c:pt>
                <c:pt idx="368">
                  <c:v>3.4487864259477438E-5</c:v>
                </c:pt>
                <c:pt idx="369">
                  <c:v>2.8914368170663838E-5</c:v>
                </c:pt>
                <c:pt idx="370">
                  <c:v>2.4208360205461144E-5</c:v>
                </c:pt>
                <c:pt idx="371">
                  <c:v>2.0240502898220164E-5</c:v>
                </c:pt>
                <c:pt idx="372">
                  <c:v>1.6899796882487886E-5</c:v>
                </c:pt>
                <c:pt idx="373">
                  <c:v>1.4091133547411193E-5</c:v>
                </c:pt>
                <c:pt idx="374">
                  <c:v>1.1733150379388987E-5</c:v>
                </c:pt>
                <c:pt idx="375">
                  <c:v>9.7563551898995425E-6</c:v>
                </c:pt>
                <c:pt idx="376">
                  <c:v>8.101488666490452E-6</c:v>
                </c:pt>
                <c:pt idx="377">
                  <c:v>6.718097688722161E-6</c:v>
                </c:pt>
                <c:pt idx="378">
                  <c:v>5.5632946290929175E-6</c:v>
                </c:pt>
                <c:pt idx="379">
                  <c:v>4.6006804173843364E-6</c:v>
                </c:pt>
                <c:pt idx="380">
                  <c:v>3.7994114938062831E-6</c:v>
                </c:pt>
                <c:pt idx="381">
                  <c:v>3.1333929213649484E-6</c:v>
                </c:pt>
                <c:pt idx="382">
                  <c:v>2.5805818814954856E-6</c:v>
                </c:pt>
                <c:pt idx="383">
                  <c:v>2.1223875502448236E-6</c:v>
                </c:pt>
                <c:pt idx="384">
                  <c:v>1.74315495655409E-6</c:v>
                </c:pt>
                <c:pt idx="385">
                  <c:v>1.4297218709898016E-6</c:v>
                </c:pt>
                <c:pt idx="386">
                  <c:v>1.1710390740668724E-6</c:v>
                </c:pt>
                <c:pt idx="387">
                  <c:v>9.5784551935078368E-7</c:v>
                </c:pt>
                <c:pt idx="388">
                  <c:v>7.823909487554923E-7</c:v>
                </c:pt>
                <c:pt idx="389">
                  <c:v>6.3819944638841817E-7</c:v>
                </c:pt>
                <c:pt idx="390">
                  <c:v>5.1986824297207416E-7</c:v>
                </c:pt>
                <c:pt idx="391">
                  <c:v>4.2289681479797782E-7</c:v>
                </c:pt>
                <c:pt idx="392">
                  <c:v>3.4354196828064235E-7</c:v>
                </c:pt>
                <c:pt idx="393">
                  <c:v>2.7869517183142703E-7</c:v>
                </c:pt>
                <c:pt idx="394">
                  <c:v>2.2577889872614197E-7</c:v>
                </c:pt>
                <c:pt idx="395">
                  <c:v>1.8265918507117785E-7</c:v>
                </c:pt>
                <c:pt idx="396">
                  <c:v>1.4757199247926277E-7</c:v>
                </c:pt>
                <c:pt idx="397">
                  <c:v>1.1906130168791524E-7</c:v>
                </c:pt>
                <c:pt idx="398">
                  <c:v>9.5927156596457989E-8</c:v>
                </c:pt>
                <c:pt idx="399">
                  <c:v>7.7182133057216667E-8</c:v>
                </c:pt>
                <c:pt idx="400">
                  <c:v>6.2014927749717004E-8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D2-46DE-B1C4-485013BA9583}"/>
            </c:ext>
          </c:extLst>
        </c:ser>
        <c:ser>
          <c:idx val="1"/>
          <c:order val="1"/>
          <c:tx>
            <c:strRef>
              <c:f>'transversal subsidence profile'!$D$8</c:f>
              <c:strCache>
                <c:ptCount val="1"/>
                <c:pt idx="0">
                  <c:v>Tunnel B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'transversal subsidence profile'!$G$10:$G$410</c:f>
              <c:numCache>
                <c:formatCode>General</c:formatCode>
                <c:ptCount val="401"/>
                <c:pt idx="0">
                  <c:v>-60</c:v>
                </c:pt>
                <c:pt idx="1">
                  <c:v>-59.75</c:v>
                </c:pt>
                <c:pt idx="2">
                  <c:v>-59.5</c:v>
                </c:pt>
                <c:pt idx="3">
                  <c:v>-59.25</c:v>
                </c:pt>
                <c:pt idx="4">
                  <c:v>-59</c:v>
                </c:pt>
                <c:pt idx="5">
                  <c:v>-58.75</c:v>
                </c:pt>
                <c:pt idx="6">
                  <c:v>-58.5</c:v>
                </c:pt>
                <c:pt idx="7">
                  <c:v>-58.25</c:v>
                </c:pt>
                <c:pt idx="8">
                  <c:v>-58</c:v>
                </c:pt>
                <c:pt idx="9">
                  <c:v>-57.75</c:v>
                </c:pt>
                <c:pt idx="10">
                  <c:v>-57.5</c:v>
                </c:pt>
                <c:pt idx="11">
                  <c:v>-57.25</c:v>
                </c:pt>
                <c:pt idx="12">
                  <c:v>-57</c:v>
                </c:pt>
                <c:pt idx="13">
                  <c:v>-56.75</c:v>
                </c:pt>
                <c:pt idx="14">
                  <c:v>-56.5</c:v>
                </c:pt>
                <c:pt idx="15">
                  <c:v>-56.25</c:v>
                </c:pt>
                <c:pt idx="16">
                  <c:v>-56</c:v>
                </c:pt>
                <c:pt idx="17">
                  <c:v>-55.75</c:v>
                </c:pt>
                <c:pt idx="18">
                  <c:v>-55.5</c:v>
                </c:pt>
                <c:pt idx="19">
                  <c:v>-55.25</c:v>
                </c:pt>
                <c:pt idx="20">
                  <c:v>-55</c:v>
                </c:pt>
                <c:pt idx="21">
                  <c:v>-54.75</c:v>
                </c:pt>
                <c:pt idx="22">
                  <c:v>-54.5</c:v>
                </c:pt>
                <c:pt idx="23">
                  <c:v>-54.25</c:v>
                </c:pt>
                <c:pt idx="24">
                  <c:v>-54</c:v>
                </c:pt>
                <c:pt idx="25">
                  <c:v>-53.75</c:v>
                </c:pt>
                <c:pt idx="26">
                  <c:v>-53.5</c:v>
                </c:pt>
                <c:pt idx="27">
                  <c:v>-53.25</c:v>
                </c:pt>
                <c:pt idx="28">
                  <c:v>-53</c:v>
                </c:pt>
                <c:pt idx="29">
                  <c:v>-52.75</c:v>
                </c:pt>
                <c:pt idx="30">
                  <c:v>-52.5</c:v>
                </c:pt>
                <c:pt idx="31">
                  <c:v>-52.25</c:v>
                </c:pt>
                <c:pt idx="32">
                  <c:v>-52</c:v>
                </c:pt>
                <c:pt idx="33">
                  <c:v>-51.75</c:v>
                </c:pt>
                <c:pt idx="34">
                  <c:v>-51.5</c:v>
                </c:pt>
                <c:pt idx="35">
                  <c:v>-51.25</c:v>
                </c:pt>
                <c:pt idx="36">
                  <c:v>-51</c:v>
                </c:pt>
                <c:pt idx="37">
                  <c:v>-50.75</c:v>
                </c:pt>
                <c:pt idx="38">
                  <c:v>-50.5</c:v>
                </c:pt>
                <c:pt idx="39">
                  <c:v>-50.25</c:v>
                </c:pt>
                <c:pt idx="40">
                  <c:v>-50</c:v>
                </c:pt>
                <c:pt idx="41">
                  <c:v>-49.75</c:v>
                </c:pt>
                <c:pt idx="42">
                  <c:v>-49.5</c:v>
                </c:pt>
                <c:pt idx="43">
                  <c:v>-49.25</c:v>
                </c:pt>
                <c:pt idx="44">
                  <c:v>-49</c:v>
                </c:pt>
                <c:pt idx="45">
                  <c:v>-48.75</c:v>
                </c:pt>
                <c:pt idx="46">
                  <c:v>-48.5</c:v>
                </c:pt>
                <c:pt idx="47">
                  <c:v>-48.25</c:v>
                </c:pt>
                <c:pt idx="48">
                  <c:v>-48</c:v>
                </c:pt>
                <c:pt idx="49">
                  <c:v>-47.75</c:v>
                </c:pt>
                <c:pt idx="50">
                  <c:v>-47.5</c:v>
                </c:pt>
                <c:pt idx="51">
                  <c:v>-47.25</c:v>
                </c:pt>
                <c:pt idx="52">
                  <c:v>-47</c:v>
                </c:pt>
                <c:pt idx="53">
                  <c:v>-46.75</c:v>
                </c:pt>
                <c:pt idx="54">
                  <c:v>-46.5</c:v>
                </c:pt>
                <c:pt idx="55">
                  <c:v>-46.25</c:v>
                </c:pt>
                <c:pt idx="56">
                  <c:v>-46</c:v>
                </c:pt>
                <c:pt idx="57">
                  <c:v>-45.75</c:v>
                </c:pt>
                <c:pt idx="58">
                  <c:v>-45.5</c:v>
                </c:pt>
                <c:pt idx="59">
                  <c:v>-45.25</c:v>
                </c:pt>
                <c:pt idx="60">
                  <c:v>-45</c:v>
                </c:pt>
                <c:pt idx="61">
                  <c:v>-44.75</c:v>
                </c:pt>
                <c:pt idx="62">
                  <c:v>-44.5</c:v>
                </c:pt>
                <c:pt idx="63">
                  <c:v>-44.25</c:v>
                </c:pt>
                <c:pt idx="64">
                  <c:v>-44</c:v>
                </c:pt>
                <c:pt idx="65">
                  <c:v>-43.75</c:v>
                </c:pt>
                <c:pt idx="66">
                  <c:v>-43.5</c:v>
                </c:pt>
                <c:pt idx="67">
                  <c:v>-43.25</c:v>
                </c:pt>
                <c:pt idx="68">
                  <c:v>-43</c:v>
                </c:pt>
                <c:pt idx="69">
                  <c:v>-42.75</c:v>
                </c:pt>
                <c:pt idx="70">
                  <c:v>-42.5</c:v>
                </c:pt>
                <c:pt idx="71">
                  <c:v>-42.25</c:v>
                </c:pt>
                <c:pt idx="72">
                  <c:v>-42</c:v>
                </c:pt>
                <c:pt idx="73">
                  <c:v>-41.75</c:v>
                </c:pt>
                <c:pt idx="74">
                  <c:v>-41.5</c:v>
                </c:pt>
                <c:pt idx="75">
                  <c:v>-41.25</c:v>
                </c:pt>
                <c:pt idx="76">
                  <c:v>-41</c:v>
                </c:pt>
                <c:pt idx="77">
                  <c:v>-40.75</c:v>
                </c:pt>
                <c:pt idx="78">
                  <c:v>-40.5</c:v>
                </c:pt>
                <c:pt idx="79">
                  <c:v>-40.25</c:v>
                </c:pt>
                <c:pt idx="80">
                  <c:v>-40</c:v>
                </c:pt>
                <c:pt idx="81">
                  <c:v>-39.75</c:v>
                </c:pt>
                <c:pt idx="82">
                  <c:v>-39.5</c:v>
                </c:pt>
                <c:pt idx="83">
                  <c:v>-39.25</c:v>
                </c:pt>
                <c:pt idx="84">
                  <c:v>-39</c:v>
                </c:pt>
                <c:pt idx="85">
                  <c:v>-38.75</c:v>
                </c:pt>
                <c:pt idx="86">
                  <c:v>-38.5</c:v>
                </c:pt>
                <c:pt idx="87">
                  <c:v>-38.25</c:v>
                </c:pt>
                <c:pt idx="88">
                  <c:v>-38</c:v>
                </c:pt>
                <c:pt idx="89">
                  <c:v>-37.75</c:v>
                </c:pt>
                <c:pt idx="90">
                  <c:v>-37.5</c:v>
                </c:pt>
                <c:pt idx="91">
                  <c:v>-37.25</c:v>
                </c:pt>
                <c:pt idx="92">
                  <c:v>-37</c:v>
                </c:pt>
                <c:pt idx="93">
                  <c:v>-36.75</c:v>
                </c:pt>
                <c:pt idx="94">
                  <c:v>-36.5</c:v>
                </c:pt>
                <c:pt idx="95">
                  <c:v>-36.25</c:v>
                </c:pt>
                <c:pt idx="96">
                  <c:v>-36</c:v>
                </c:pt>
                <c:pt idx="97">
                  <c:v>-35.75</c:v>
                </c:pt>
                <c:pt idx="98">
                  <c:v>-35.5</c:v>
                </c:pt>
                <c:pt idx="99">
                  <c:v>-35.25</c:v>
                </c:pt>
                <c:pt idx="100">
                  <c:v>-35</c:v>
                </c:pt>
                <c:pt idx="101">
                  <c:v>-34.75</c:v>
                </c:pt>
                <c:pt idx="102">
                  <c:v>-34.5</c:v>
                </c:pt>
                <c:pt idx="103">
                  <c:v>-34.25</c:v>
                </c:pt>
                <c:pt idx="104">
                  <c:v>-34</c:v>
                </c:pt>
                <c:pt idx="105">
                  <c:v>-33.75</c:v>
                </c:pt>
                <c:pt idx="106">
                  <c:v>-33.5</c:v>
                </c:pt>
                <c:pt idx="107">
                  <c:v>-33.25</c:v>
                </c:pt>
                <c:pt idx="108">
                  <c:v>-33</c:v>
                </c:pt>
                <c:pt idx="109">
                  <c:v>-32.75</c:v>
                </c:pt>
                <c:pt idx="110">
                  <c:v>-32.5</c:v>
                </c:pt>
                <c:pt idx="111">
                  <c:v>-32.25</c:v>
                </c:pt>
                <c:pt idx="112">
                  <c:v>-32</c:v>
                </c:pt>
                <c:pt idx="113">
                  <c:v>-31.75</c:v>
                </c:pt>
                <c:pt idx="114">
                  <c:v>-31.5</c:v>
                </c:pt>
                <c:pt idx="115">
                  <c:v>-31.25</c:v>
                </c:pt>
                <c:pt idx="116">
                  <c:v>-31</c:v>
                </c:pt>
                <c:pt idx="117">
                  <c:v>-30.75</c:v>
                </c:pt>
                <c:pt idx="118">
                  <c:v>-30.5</c:v>
                </c:pt>
                <c:pt idx="119">
                  <c:v>-30.25</c:v>
                </c:pt>
                <c:pt idx="120">
                  <c:v>-30</c:v>
                </c:pt>
                <c:pt idx="121">
                  <c:v>-29.75</c:v>
                </c:pt>
                <c:pt idx="122">
                  <c:v>-29.5</c:v>
                </c:pt>
                <c:pt idx="123">
                  <c:v>-29.25</c:v>
                </c:pt>
                <c:pt idx="124">
                  <c:v>-29</c:v>
                </c:pt>
                <c:pt idx="125">
                  <c:v>-28.75</c:v>
                </c:pt>
                <c:pt idx="126">
                  <c:v>-28.5</c:v>
                </c:pt>
                <c:pt idx="127">
                  <c:v>-28.25</c:v>
                </c:pt>
                <c:pt idx="128">
                  <c:v>-28</c:v>
                </c:pt>
                <c:pt idx="129">
                  <c:v>-27.75</c:v>
                </c:pt>
                <c:pt idx="130">
                  <c:v>-27.5</c:v>
                </c:pt>
                <c:pt idx="131">
                  <c:v>-27.25</c:v>
                </c:pt>
                <c:pt idx="132">
                  <c:v>-27</c:v>
                </c:pt>
                <c:pt idx="133">
                  <c:v>-26.75</c:v>
                </c:pt>
                <c:pt idx="134">
                  <c:v>-26.5</c:v>
                </c:pt>
                <c:pt idx="135">
                  <c:v>-26.25</c:v>
                </c:pt>
                <c:pt idx="136">
                  <c:v>-26</c:v>
                </c:pt>
                <c:pt idx="137">
                  <c:v>-25.75</c:v>
                </c:pt>
                <c:pt idx="138">
                  <c:v>-25.5</c:v>
                </c:pt>
                <c:pt idx="139">
                  <c:v>-25.25</c:v>
                </c:pt>
                <c:pt idx="140">
                  <c:v>-25</c:v>
                </c:pt>
                <c:pt idx="141">
                  <c:v>-24.75</c:v>
                </c:pt>
                <c:pt idx="142">
                  <c:v>-24.5</c:v>
                </c:pt>
                <c:pt idx="143">
                  <c:v>-24.25</c:v>
                </c:pt>
                <c:pt idx="144">
                  <c:v>-24</c:v>
                </c:pt>
                <c:pt idx="145">
                  <c:v>-23.75</c:v>
                </c:pt>
                <c:pt idx="146">
                  <c:v>-23.5</c:v>
                </c:pt>
                <c:pt idx="147">
                  <c:v>-23.25</c:v>
                </c:pt>
                <c:pt idx="148">
                  <c:v>-23</c:v>
                </c:pt>
                <c:pt idx="149">
                  <c:v>-22.75</c:v>
                </c:pt>
                <c:pt idx="150">
                  <c:v>-22.5</c:v>
                </c:pt>
                <c:pt idx="151">
                  <c:v>-22.25</c:v>
                </c:pt>
                <c:pt idx="152">
                  <c:v>-22</c:v>
                </c:pt>
                <c:pt idx="153">
                  <c:v>-21.75</c:v>
                </c:pt>
                <c:pt idx="154">
                  <c:v>-21.5</c:v>
                </c:pt>
                <c:pt idx="155">
                  <c:v>-21.25</c:v>
                </c:pt>
                <c:pt idx="156">
                  <c:v>-21</c:v>
                </c:pt>
                <c:pt idx="157">
                  <c:v>-20.75</c:v>
                </c:pt>
                <c:pt idx="158">
                  <c:v>-20.5</c:v>
                </c:pt>
                <c:pt idx="159">
                  <c:v>-20.25</c:v>
                </c:pt>
                <c:pt idx="160">
                  <c:v>-20</c:v>
                </c:pt>
                <c:pt idx="161">
                  <c:v>-19.75</c:v>
                </c:pt>
                <c:pt idx="162">
                  <c:v>-19.5</c:v>
                </c:pt>
                <c:pt idx="163">
                  <c:v>-19.25</c:v>
                </c:pt>
                <c:pt idx="164">
                  <c:v>-19</c:v>
                </c:pt>
                <c:pt idx="165">
                  <c:v>-18.75</c:v>
                </c:pt>
                <c:pt idx="166">
                  <c:v>-18.5</c:v>
                </c:pt>
                <c:pt idx="167">
                  <c:v>-18.25</c:v>
                </c:pt>
                <c:pt idx="168">
                  <c:v>-18</c:v>
                </c:pt>
                <c:pt idx="169">
                  <c:v>-17.75</c:v>
                </c:pt>
                <c:pt idx="170">
                  <c:v>-17.5</c:v>
                </c:pt>
                <c:pt idx="171">
                  <c:v>-17.25</c:v>
                </c:pt>
                <c:pt idx="172">
                  <c:v>-17</c:v>
                </c:pt>
                <c:pt idx="173">
                  <c:v>-16.75</c:v>
                </c:pt>
                <c:pt idx="174">
                  <c:v>-16.5</c:v>
                </c:pt>
                <c:pt idx="175">
                  <c:v>-16.25</c:v>
                </c:pt>
                <c:pt idx="176">
                  <c:v>-16</c:v>
                </c:pt>
                <c:pt idx="177">
                  <c:v>-15.75</c:v>
                </c:pt>
                <c:pt idx="178">
                  <c:v>-15.5</c:v>
                </c:pt>
                <c:pt idx="179">
                  <c:v>-15.25</c:v>
                </c:pt>
                <c:pt idx="180">
                  <c:v>-15</c:v>
                </c:pt>
                <c:pt idx="181">
                  <c:v>-14.75</c:v>
                </c:pt>
                <c:pt idx="182">
                  <c:v>-14.5</c:v>
                </c:pt>
                <c:pt idx="183">
                  <c:v>-14.25</c:v>
                </c:pt>
                <c:pt idx="184">
                  <c:v>-14</c:v>
                </c:pt>
                <c:pt idx="185">
                  <c:v>-13.75</c:v>
                </c:pt>
                <c:pt idx="186">
                  <c:v>-13.5</c:v>
                </c:pt>
                <c:pt idx="187">
                  <c:v>-13.25</c:v>
                </c:pt>
                <c:pt idx="188">
                  <c:v>-13</c:v>
                </c:pt>
                <c:pt idx="189">
                  <c:v>-12.75</c:v>
                </c:pt>
                <c:pt idx="190">
                  <c:v>-12.5</c:v>
                </c:pt>
                <c:pt idx="191">
                  <c:v>-12.25</c:v>
                </c:pt>
                <c:pt idx="192">
                  <c:v>-12</c:v>
                </c:pt>
                <c:pt idx="193">
                  <c:v>-11.75</c:v>
                </c:pt>
                <c:pt idx="194">
                  <c:v>-11.5</c:v>
                </c:pt>
                <c:pt idx="195">
                  <c:v>-11.25</c:v>
                </c:pt>
                <c:pt idx="196">
                  <c:v>-11</c:v>
                </c:pt>
                <c:pt idx="197">
                  <c:v>-10.75</c:v>
                </c:pt>
                <c:pt idx="198">
                  <c:v>-10.5</c:v>
                </c:pt>
                <c:pt idx="199">
                  <c:v>-10.25</c:v>
                </c:pt>
                <c:pt idx="200">
                  <c:v>-10</c:v>
                </c:pt>
                <c:pt idx="201">
                  <c:v>-9.75</c:v>
                </c:pt>
                <c:pt idx="202">
                  <c:v>-9.5</c:v>
                </c:pt>
                <c:pt idx="203">
                  <c:v>-9.25</c:v>
                </c:pt>
                <c:pt idx="204">
                  <c:v>-9</c:v>
                </c:pt>
                <c:pt idx="205">
                  <c:v>-8.75</c:v>
                </c:pt>
                <c:pt idx="206">
                  <c:v>-8.5</c:v>
                </c:pt>
                <c:pt idx="207">
                  <c:v>-8.25</c:v>
                </c:pt>
                <c:pt idx="208">
                  <c:v>-8</c:v>
                </c:pt>
                <c:pt idx="209">
                  <c:v>-7.75</c:v>
                </c:pt>
                <c:pt idx="210">
                  <c:v>-7.5</c:v>
                </c:pt>
                <c:pt idx="211">
                  <c:v>-7.25</c:v>
                </c:pt>
                <c:pt idx="212">
                  <c:v>-7</c:v>
                </c:pt>
                <c:pt idx="213">
                  <c:v>-6.75</c:v>
                </c:pt>
                <c:pt idx="214">
                  <c:v>-6.5</c:v>
                </c:pt>
                <c:pt idx="215">
                  <c:v>-6.25</c:v>
                </c:pt>
                <c:pt idx="216">
                  <c:v>-6</c:v>
                </c:pt>
                <c:pt idx="217">
                  <c:v>-5.75</c:v>
                </c:pt>
                <c:pt idx="218">
                  <c:v>-5.5</c:v>
                </c:pt>
                <c:pt idx="219">
                  <c:v>-5.25</c:v>
                </c:pt>
                <c:pt idx="220">
                  <c:v>-5</c:v>
                </c:pt>
                <c:pt idx="221">
                  <c:v>-4.75</c:v>
                </c:pt>
                <c:pt idx="222">
                  <c:v>-4.5</c:v>
                </c:pt>
                <c:pt idx="223">
                  <c:v>-4.25</c:v>
                </c:pt>
                <c:pt idx="224">
                  <c:v>-4</c:v>
                </c:pt>
                <c:pt idx="225">
                  <c:v>-3.75</c:v>
                </c:pt>
                <c:pt idx="226">
                  <c:v>-3.5</c:v>
                </c:pt>
                <c:pt idx="227">
                  <c:v>-3.25</c:v>
                </c:pt>
                <c:pt idx="228">
                  <c:v>-3</c:v>
                </c:pt>
                <c:pt idx="229">
                  <c:v>-2.75</c:v>
                </c:pt>
                <c:pt idx="230">
                  <c:v>-2.5</c:v>
                </c:pt>
                <c:pt idx="231">
                  <c:v>-2.25</c:v>
                </c:pt>
                <c:pt idx="232">
                  <c:v>-2</c:v>
                </c:pt>
                <c:pt idx="233">
                  <c:v>-1.75</c:v>
                </c:pt>
                <c:pt idx="234">
                  <c:v>-1.5</c:v>
                </c:pt>
                <c:pt idx="235">
                  <c:v>-1.25</c:v>
                </c:pt>
                <c:pt idx="236">
                  <c:v>-1</c:v>
                </c:pt>
                <c:pt idx="237">
                  <c:v>-0.75</c:v>
                </c:pt>
                <c:pt idx="238">
                  <c:v>-0.5</c:v>
                </c:pt>
                <c:pt idx="239">
                  <c:v>-0.25</c:v>
                </c:pt>
                <c:pt idx="240">
                  <c:v>0</c:v>
                </c:pt>
                <c:pt idx="241">
                  <c:v>0.25</c:v>
                </c:pt>
                <c:pt idx="242">
                  <c:v>0.5</c:v>
                </c:pt>
                <c:pt idx="243">
                  <c:v>0.75</c:v>
                </c:pt>
                <c:pt idx="244">
                  <c:v>1</c:v>
                </c:pt>
                <c:pt idx="245">
                  <c:v>1.25</c:v>
                </c:pt>
                <c:pt idx="246">
                  <c:v>1.5</c:v>
                </c:pt>
                <c:pt idx="247">
                  <c:v>1.75</c:v>
                </c:pt>
                <c:pt idx="248">
                  <c:v>2</c:v>
                </c:pt>
                <c:pt idx="249">
                  <c:v>2.25</c:v>
                </c:pt>
                <c:pt idx="250">
                  <c:v>2.5</c:v>
                </c:pt>
                <c:pt idx="251">
                  <c:v>2.75</c:v>
                </c:pt>
                <c:pt idx="252">
                  <c:v>3</c:v>
                </c:pt>
                <c:pt idx="253">
                  <c:v>3.25</c:v>
                </c:pt>
                <c:pt idx="254">
                  <c:v>3.5</c:v>
                </c:pt>
                <c:pt idx="255">
                  <c:v>3.75</c:v>
                </c:pt>
                <c:pt idx="256">
                  <c:v>4</c:v>
                </c:pt>
                <c:pt idx="257">
                  <c:v>4.25</c:v>
                </c:pt>
                <c:pt idx="258">
                  <c:v>4.5</c:v>
                </c:pt>
                <c:pt idx="259">
                  <c:v>4.75</c:v>
                </c:pt>
                <c:pt idx="260">
                  <c:v>5</c:v>
                </c:pt>
                <c:pt idx="261">
                  <c:v>5.25</c:v>
                </c:pt>
                <c:pt idx="262">
                  <c:v>5.5</c:v>
                </c:pt>
                <c:pt idx="263">
                  <c:v>5.75</c:v>
                </c:pt>
                <c:pt idx="264">
                  <c:v>6</c:v>
                </c:pt>
                <c:pt idx="265">
                  <c:v>6.25</c:v>
                </c:pt>
                <c:pt idx="266">
                  <c:v>6.5</c:v>
                </c:pt>
                <c:pt idx="267">
                  <c:v>6.75</c:v>
                </c:pt>
                <c:pt idx="268">
                  <c:v>7</c:v>
                </c:pt>
                <c:pt idx="269">
                  <c:v>7.25</c:v>
                </c:pt>
                <c:pt idx="270">
                  <c:v>7.5</c:v>
                </c:pt>
                <c:pt idx="271">
                  <c:v>7.75</c:v>
                </c:pt>
                <c:pt idx="272">
                  <c:v>8</c:v>
                </c:pt>
                <c:pt idx="273">
                  <c:v>8.25</c:v>
                </c:pt>
                <c:pt idx="274">
                  <c:v>8.5</c:v>
                </c:pt>
                <c:pt idx="275">
                  <c:v>8.75</c:v>
                </c:pt>
                <c:pt idx="276">
                  <c:v>9</c:v>
                </c:pt>
                <c:pt idx="277">
                  <c:v>9.25</c:v>
                </c:pt>
                <c:pt idx="278">
                  <c:v>9.5</c:v>
                </c:pt>
                <c:pt idx="279">
                  <c:v>9.75</c:v>
                </c:pt>
                <c:pt idx="280">
                  <c:v>10</c:v>
                </c:pt>
                <c:pt idx="281">
                  <c:v>10.25</c:v>
                </c:pt>
                <c:pt idx="282">
                  <c:v>10.5</c:v>
                </c:pt>
                <c:pt idx="283">
                  <c:v>10.75</c:v>
                </c:pt>
                <c:pt idx="284">
                  <c:v>11</c:v>
                </c:pt>
                <c:pt idx="285">
                  <c:v>11.25</c:v>
                </c:pt>
                <c:pt idx="286">
                  <c:v>11.5</c:v>
                </c:pt>
                <c:pt idx="287">
                  <c:v>11.75</c:v>
                </c:pt>
                <c:pt idx="288">
                  <c:v>12</c:v>
                </c:pt>
                <c:pt idx="289">
                  <c:v>12.25</c:v>
                </c:pt>
                <c:pt idx="290">
                  <c:v>12.5</c:v>
                </c:pt>
                <c:pt idx="291">
                  <c:v>12.75</c:v>
                </c:pt>
                <c:pt idx="292">
                  <c:v>13</c:v>
                </c:pt>
                <c:pt idx="293">
                  <c:v>13.25</c:v>
                </c:pt>
                <c:pt idx="294">
                  <c:v>13.5</c:v>
                </c:pt>
                <c:pt idx="295">
                  <c:v>13.75</c:v>
                </c:pt>
                <c:pt idx="296">
                  <c:v>14</c:v>
                </c:pt>
                <c:pt idx="297">
                  <c:v>14.25</c:v>
                </c:pt>
                <c:pt idx="298">
                  <c:v>14.5</c:v>
                </c:pt>
                <c:pt idx="299">
                  <c:v>14.75</c:v>
                </c:pt>
                <c:pt idx="300">
                  <c:v>15</c:v>
                </c:pt>
                <c:pt idx="301">
                  <c:v>15.25</c:v>
                </c:pt>
                <c:pt idx="302">
                  <c:v>15.5</c:v>
                </c:pt>
                <c:pt idx="303">
                  <c:v>15.75</c:v>
                </c:pt>
                <c:pt idx="304">
                  <c:v>16</c:v>
                </c:pt>
                <c:pt idx="305">
                  <c:v>16.25</c:v>
                </c:pt>
                <c:pt idx="306">
                  <c:v>16.5</c:v>
                </c:pt>
                <c:pt idx="307">
                  <c:v>16.75</c:v>
                </c:pt>
                <c:pt idx="308">
                  <c:v>17</c:v>
                </c:pt>
                <c:pt idx="309">
                  <c:v>17.25</c:v>
                </c:pt>
                <c:pt idx="310">
                  <c:v>17.5</c:v>
                </c:pt>
                <c:pt idx="311">
                  <c:v>17.75</c:v>
                </c:pt>
                <c:pt idx="312">
                  <c:v>18</c:v>
                </c:pt>
                <c:pt idx="313">
                  <c:v>18.25</c:v>
                </c:pt>
                <c:pt idx="314">
                  <c:v>18.5</c:v>
                </c:pt>
                <c:pt idx="315">
                  <c:v>18.75</c:v>
                </c:pt>
                <c:pt idx="316">
                  <c:v>19</c:v>
                </c:pt>
                <c:pt idx="317">
                  <c:v>19.25</c:v>
                </c:pt>
                <c:pt idx="318">
                  <c:v>19.5</c:v>
                </c:pt>
                <c:pt idx="319">
                  <c:v>19.75</c:v>
                </c:pt>
                <c:pt idx="320">
                  <c:v>20</c:v>
                </c:pt>
                <c:pt idx="321">
                  <c:v>20.25</c:v>
                </c:pt>
                <c:pt idx="322">
                  <c:v>20.5</c:v>
                </c:pt>
                <c:pt idx="323">
                  <c:v>20.75</c:v>
                </c:pt>
                <c:pt idx="324">
                  <c:v>21</c:v>
                </c:pt>
                <c:pt idx="325">
                  <c:v>21.25</c:v>
                </c:pt>
                <c:pt idx="326">
                  <c:v>21.5</c:v>
                </c:pt>
                <c:pt idx="327">
                  <c:v>21.75</c:v>
                </c:pt>
                <c:pt idx="328">
                  <c:v>22</c:v>
                </c:pt>
                <c:pt idx="329">
                  <c:v>22.25</c:v>
                </c:pt>
                <c:pt idx="330">
                  <c:v>22.5</c:v>
                </c:pt>
                <c:pt idx="331">
                  <c:v>22.75</c:v>
                </c:pt>
                <c:pt idx="332">
                  <c:v>23</c:v>
                </c:pt>
                <c:pt idx="333">
                  <c:v>23.25</c:v>
                </c:pt>
                <c:pt idx="334">
                  <c:v>23.5</c:v>
                </c:pt>
                <c:pt idx="335">
                  <c:v>23.75</c:v>
                </c:pt>
                <c:pt idx="336">
                  <c:v>24</c:v>
                </c:pt>
                <c:pt idx="337">
                  <c:v>24.25</c:v>
                </c:pt>
                <c:pt idx="338">
                  <c:v>24.5</c:v>
                </c:pt>
                <c:pt idx="339">
                  <c:v>24.75</c:v>
                </c:pt>
                <c:pt idx="340">
                  <c:v>25</c:v>
                </c:pt>
                <c:pt idx="341">
                  <c:v>25.25</c:v>
                </c:pt>
                <c:pt idx="342">
                  <c:v>25.5</c:v>
                </c:pt>
                <c:pt idx="343">
                  <c:v>25.75</c:v>
                </c:pt>
                <c:pt idx="344">
                  <c:v>26</c:v>
                </c:pt>
                <c:pt idx="345">
                  <c:v>26.25</c:v>
                </c:pt>
                <c:pt idx="346">
                  <c:v>26.5</c:v>
                </c:pt>
                <c:pt idx="347">
                  <c:v>26.75</c:v>
                </c:pt>
                <c:pt idx="348">
                  <c:v>27</c:v>
                </c:pt>
                <c:pt idx="349">
                  <c:v>27.25</c:v>
                </c:pt>
                <c:pt idx="350">
                  <c:v>27.5</c:v>
                </c:pt>
                <c:pt idx="351">
                  <c:v>27.75</c:v>
                </c:pt>
                <c:pt idx="352">
                  <c:v>28</c:v>
                </c:pt>
                <c:pt idx="353">
                  <c:v>28.25</c:v>
                </c:pt>
                <c:pt idx="354">
                  <c:v>28.5</c:v>
                </c:pt>
                <c:pt idx="355">
                  <c:v>28.75</c:v>
                </c:pt>
                <c:pt idx="356">
                  <c:v>29</c:v>
                </c:pt>
                <c:pt idx="357">
                  <c:v>29.25</c:v>
                </c:pt>
                <c:pt idx="358">
                  <c:v>29.5</c:v>
                </c:pt>
                <c:pt idx="359">
                  <c:v>29.75</c:v>
                </c:pt>
                <c:pt idx="360">
                  <c:v>30</c:v>
                </c:pt>
                <c:pt idx="361">
                  <c:v>30.25</c:v>
                </c:pt>
                <c:pt idx="362">
                  <c:v>30.5</c:v>
                </c:pt>
                <c:pt idx="363">
                  <c:v>30.75</c:v>
                </c:pt>
                <c:pt idx="364">
                  <c:v>31</c:v>
                </c:pt>
                <c:pt idx="365">
                  <c:v>31.25</c:v>
                </c:pt>
                <c:pt idx="366">
                  <c:v>31.5</c:v>
                </c:pt>
                <c:pt idx="367">
                  <c:v>31.75</c:v>
                </c:pt>
                <c:pt idx="368">
                  <c:v>32</c:v>
                </c:pt>
                <c:pt idx="369">
                  <c:v>32.25</c:v>
                </c:pt>
                <c:pt idx="370">
                  <c:v>32.5</c:v>
                </c:pt>
                <c:pt idx="371">
                  <c:v>32.75</c:v>
                </c:pt>
                <c:pt idx="372">
                  <c:v>33</c:v>
                </c:pt>
                <c:pt idx="373">
                  <c:v>33.25</c:v>
                </c:pt>
                <c:pt idx="374">
                  <c:v>33.5</c:v>
                </c:pt>
                <c:pt idx="375">
                  <c:v>33.75</c:v>
                </c:pt>
                <c:pt idx="376">
                  <c:v>34</c:v>
                </c:pt>
                <c:pt idx="377">
                  <c:v>34.25</c:v>
                </c:pt>
                <c:pt idx="378">
                  <c:v>34.5</c:v>
                </c:pt>
                <c:pt idx="379">
                  <c:v>34.75</c:v>
                </c:pt>
                <c:pt idx="380">
                  <c:v>35</c:v>
                </c:pt>
                <c:pt idx="381">
                  <c:v>35.25</c:v>
                </c:pt>
                <c:pt idx="382">
                  <c:v>35.5</c:v>
                </c:pt>
                <c:pt idx="383">
                  <c:v>35.75</c:v>
                </c:pt>
                <c:pt idx="384">
                  <c:v>36</c:v>
                </c:pt>
                <c:pt idx="385">
                  <c:v>36.25</c:v>
                </c:pt>
                <c:pt idx="386">
                  <c:v>36.5</c:v>
                </c:pt>
                <c:pt idx="387">
                  <c:v>36.75</c:v>
                </c:pt>
                <c:pt idx="388">
                  <c:v>37</c:v>
                </c:pt>
                <c:pt idx="389">
                  <c:v>37.25</c:v>
                </c:pt>
                <c:pt idx="390">
                  <c:v>37.5</c:v>
                </c:pt>
                <c:pt idx="391">
                  <c:v>37.75</c:v>
                </c:pt>
                <c:pt idx="392">
                  <c:v>38</c:v>
                </c:pt>
                <c:pt idx="393">
                  <c:v>38.25</c:v>
                </c:pt>
                <c:pt idx="394">
                  <c:v>38.5</c:v>
                </c:pt>
                <c:pt idx="395">
                  <c:v>38.75</c:v>
                </c:pt>
                <c:pt idx="396">
                  <c:v>39</c:v>
                </c:pt>
                <c:pt idx="397">
                  <c:v>39.25</c:v>
                </c:pt>
                <c:pt idx="398">
                  <c:v>39.5</c:v>
                </c:pt>
                <c:pt idx="399">
                  <c:v>39.75</c:v>
                </c:pt>
                <c:pt idx="400">
                  <c:v>40</c:v>
                </c:pt>
              </c:numCache>
            </c:numRef>
          </c:xVal>
          <c:yVal>
            <c:numRef>
              <c:f>'transversal subsidence profile'!$L$10:$L$410</c:f>
              <c:numCache>
                <c:formatCode>0.0000000000000</c:formatCode>
                <c:ptCount val="401"/>
                <c:pt idx="0">
                  <c:v>3.185429705558774E-12</c:v>
                </c:pt>
                <c:pt idx="1">
                  <c:v>4.1881107898079576E-12</c:v>
                </c:pt>
                <c:pt idx="2">
                  <c:v>5.4988586696494815E-12</c:v>
                </c:pt>
                <c:pt idx="3">
                  <c:v>7.2099327455318015E-12</c:v>
                </c:pt>
                <c:pt idx="4">
                  <c:v>9.4404811525977155E-12</c:v>
                </c:pt>
                <c:pt idx="5">
                  <c:v>1.2344153268288111E-11</c:v>
                </c:pt>
                <c:pt idx="6">
                  <c:v>1.611880128404696E-11</c:v>
                </c:pt>
                <c:pt idx="7">
                  <c:v>2.1018825132510579E-11</c:v>
                </c:pt>
                <c:pt idx="8">
                  <c:v>2.7370856821612073E-11</c:v>
                </c:pt>
                <c:pt idx="9">
                  <c:v>3.5593656801199794E-11</c:v>
                </c:pt>
                <c:pt idx="10">
                  <c:v>4.6223314546826139E-11</c:v>
                </c:pt>
                <c:pt idx="11">
                  <c:v>5.9945118081238568E-11</c:v>
                </c:pt>
                <c:pt idx="12">
                  <c:v>7.7633794862141246E-11</c:v>
                </c:pt>
                <c:pt idx="13">
                  <c:v>1.0040424420050472E-10</c:v>
                </c:pt>
                <c:pt idx="14">
                  <c:v>1.2967539719748486E-10</c:v>
                </c:pt>
                <c:pt idx="15">
                  <c:v>1.6725047601304845E-10</c:v>
                </c:pt>
                <c:pt idx="16">
                  <c:v>2.154177066404679E-10</c:v>
                </c:pt>
                <c:pt idx="17">
                  <c:v>2.7707650032449598E-10</c:v>
                </c:pt>
                <c:pt idx="18">
                  <c:v>3.558952970000731E-10</c:v>
                </c:pt>
                <c:pt idx="19">
                  <c:v>4.5650870618788981E-10</c:v>
                </c:pt>
                <c:pt idx="20">
                  <c:v>5.8476334256692367E-10</c:v>
                </c:pt>
                <c:pt idx="21">
                  <c:v>7.4802390195739705E-10</c:v>
                </c:pt>
                <c:pt idx="22">
                  <c:v>9.555536388327201E-10</c:v>
                </c:pt>
                <c:pt idx="23">
                  <c:v>1.2189865843876894E-9</c:v>
                </c:pt>
                <c:pt idx="24">
                  <c:v>1.5529126985413634E-9</c:v>
                </c:pt>
                <c:pt idx="25">
                  <c:v>1.9756018154267636E-9</c:v>
                </c:pt>
                <c:pt idx="26">
                  <c:v>2.5098978804501809E-9</c:v>
                </c:pt>
                <c:pt idx="27">
                  <c:v>3.184321777830357E-9</c:v>
                </c:pt>
                <c:pt idx="28">
                  <c:v>4.0344292348816814E-9</c:v>
                </c:pt>
                <c:pt idx="29">
                  <c:v>5.1044801272981395E-9</c:v>
                </c:pt>
                <c:pt idx="30">
                  <c:v>6.4494873086965421E-9</c:v>
                </c:pt>
                <c:pt idx="31">
                  <c:v>8.1377272115771774E-9</c:v>
                </c:pt>
                <c:pt idx="32">
                  <c:v>1.0253811341284478E-8</c:v>
                </c:pt>
                <c:pt idx="33">
                  <c:v>1.2902437906145159E-8</c:v>
                </c:pt>
                <c:pt idx="34">
                  <c:v>1.6212966773844232E-8</c:v>
                </c:pt>
                <c:pt idx="35">
                  <c:v>2.0344989387549566E-8</c:v>
                </c:pt>
                <c:pt idx="36">
                  <c:v>2.5495098992823883E-8</c:v>
                </c:pt>
                <c:pt idx="37">
                  <c:v>3.190510641621286E-8</c:v>
                </c:pt>
                <c:pt idx="38">
                  <c:v>3.9871993733592123E-8</c:v>
                </c:pt>
                <c:pt idx="39">
                  <c:v>4.9759953660370369E-8</c:v>
                </c:pt>
                <c:pt idx="40">
                  <c:v>6.2014927749717004E-8</c:v>
                </c:pt>
                <c:pt idx="41">
                  <c:v>7.7182133057216667E-8</c:v>
                </c:pt>
                <c:pt idx="42">
                  <c:v>9.5927156596457989E-8</c:v>
                </c:pt>
                <c:pt idx="43">
                  <c:v>1.1906130168791524E-7</c:v>
                </c:pt>
                <c:pt idx="44">
                  <c:v>1.4757199247926277E-7</c:v>
                </c:pt>
                <c:pt idx="45">
                  <c:v>1.8265918507117785E-7</c:v>
                </c:pt>
                <c:pt idx="46">
                  <c:v>2.2577889872614197E-7</c:v>
                </c:pt>
                <c:pt idx="47">
                  <c:v>2.7869517183142703E-7</c:v>
                </c:pt>
                <c:pt idx="48">
                  <c:v>3.4354196828064235E-7</c:v>
                </c:pt>
                <c:pt idx="49">
                  <c:v>4.2289681479797782E-7</c:v>
                </c:pt>
                <c:pt idx="50">
                  <c:v>5.1986824297207416E-7</c:v>
                </c:pt>
                <c:pt idx="51">
                  <c:v>6.3819944638841817E-7</c:v>
                </c:pt>
                <c:pt idx="52">
                  <c:v>7.823909487554923E-7</c:v>
                </c:pt>
                <c:pt idx="53">
                  <c:v>9.5784551935078368E-7</c:v>
                </c:pt>
                <c:pt idx="54">
                  <c:v>1.1710390740668724E-6</c:v>
                </c:pt>
                <c:pt idx="55">
                  <c:v>1.4297218709898016E-6</c:v>
                </c:pt>
                <c:pt idx="56">
                  <c:v>1.74315495655409E-6</c:v>
                </c:pt>
                <c:pt idx="57">
                  <c:v>2.1223875502448236E-6</c:v>
                </c:pt>
                <c:pt idx="58">
                  <c:v>2.5805818814954856E-6</c:v>
                </c:pt>
                <c:pt idx="59">
                  <c:v>3.1333929213649484E-6</c:v>
                </c:pt>
                <c:pt idx="60">
                  <c:v>3.7994114938062831E-6</c:v>
                </c:pt>
                <c:pt idx="61">
                  <c:v>4.6006804173843364E-6</c:v>
                </c:pt>
                <c:pt idx="62">
                  <c:v>5.5632946290929175E-6</c:v>
                </c:pt>
                <c:pt idx="63">
                  <c:v>6.718097688722161E-6</c:v>
                </c:pt>
                <c:pt idx="64">
                  <c:v>8.101488666490452E-6</c:v>
                </c:pt>
                <c:pt idx="65">
                  <c:v>9.7563551898995425E-6</c:v>
                </c:pt>
                <c:pt idx="66">
                  <c:v>1.1733150379388987E-5</c:v>
                </c:pt>
                <c:pt idx="67">
                  <c:v>1.4091133547411193E-5</c:v>
                </c:pt>
                <c:pt idx="68">
                  <c:v>1.6899796882487886E-5</c:v>
                </c:pt>
                <c:pt idx="69">
                  <c:v>2.0240502898220164E-5</c:v>
                </c:pt>
                <c:pt idx="70">
                  <c:v>2.4208360205461144E-5</c:v>
                </c:pt>
                <c:pt idx="71">
                  <c:v>2.8914368170663838E-5</c:v>
                </c:pt>
                <c:pt idx="72">
                  <c:v>3.4487864259477438E-5</c:v>
                </c:pt>
                <c:pt idx="73">
                  <c:v>4.1079311334136901E-5</c:v>
                </c:pt>
                <c:pt idx="74">
                  <c:v>4.886346587515819E-5</c:v>
                </c:pt>
                <c:pt idx="75">
                  <c:v>5.804297202772394E-5</c:v>
                </c:pt>
                <c:pt idx="76">
                  <c:v>6.8852430522042994E-5</c:v>
                </c:pt>
                <c:pt idx="77">
                  <c:v>8.1562995871016392E-5</c:v>
                </c:pt>
                <c:pt idx="78">
                  <c:v>9.648755978814604E-5</c:v>
                </c:pt>
                <c:pt idx="79">
                  <c:v>1.1398658346772302E-4</c:v>
                </c:pt>
                <c:pt idx="80">
                  <c:v>1.3447464619457142E-4</c:v>
                </c:pt>
                <c:pt idx="81">
                  <c:v>1.5842778266059401E-4</c:v>
                </c:pt>
                <c:pt idx="82">
                  <c:v>1.8639168630971587E-4</c:v>
                </c:pt>
                <c:pt idx="83">
                  <c:v>2.1899086095153342E-4</c:v>
                </c:pt>
                <c:pt idx="84">
                  <c:v>2.5693880770651459E-4</c:v>
                </c:pt>
                <c:pt idx="85">
                  <c:v>3.0104933899017671E-4</c:v>
                </c:pt>
                <c:pt idx="86">
                  <c:v>3.5224911561666892E-4</c:v>
                </c:pt>
                <c:pt idx="87">
                  <c:v>4.115915070974324E-4</c:v>
                </c:pt>
                <c:pt idx="88">
                  <c:v>4.8027187870904465E-4</c:v>
                </c:pt>
                <c:pt idx="89">
                  <c:v>5.5964441177368566E-4</c:v>
                </c:pt>
                <c:pt idx="90">
                  <c:v>6.5124056569019649E-4</c:v>
                </c:pt>
                <c:pt idx="91">
                  <c:v>7.5678929141453693E-4</c:v>
                </c:pt>
                <c:pt idx="92">
                  <c:v>8.7823910614371454E-4</c:v>
                </c:pt>
                <c:pt idx="93">
                  <c:v>1.0177821377228692E-3</c:v>
                </c:pt>
                <c:pt idx="94">
                  <c:v>1.1778802445756497E-3</c:v>
                </c:pt>
                <c:pt idx="95">
                  <c:v>1.361293312547904E-3</c:v>
                </c:pt>
                <c:pt idx="96">
                  <c:v>1.5711098237402173E-3</c:v>
                </c:pt>
                <c:pt idx="97">
                  <c:v>1.8107797839661257E-3</c:v>
                </c:pt>
                <c:pt idx="98">
                  <c:v>2.0841500846863251E-3</c:v>
                </c:pt>
                <c:pt idx="99">
                  <c:v>2.3955023619108636E-3</c:v>
                </c:pt>
                <c:pt idx="100">
                  <c:v>2.7495933984103289E-3</c:v>
                </c:pt>
                <c:pt idx="101">
                  <c:v>3.1516980964191072E-3</c:v>
                </c:pt>
                <c:pt idx="102">
                  <c:v>3.607655025647109E-3</c:v>
                </c:pt>
                <c:pt idx="103">
                  <c:v>4.1239145256546346E-3</c:v>
                </c:pt>
                <c:pt idx="104">
                  <c:v>4.7075893123253738E-3</c:v>
                </c:pt>
                <c:pt idx="105">
                  <c:v>5.3665075051588847E-3</c:v>
                </c:pt>
                <c:pt idx="106">
                  <c:v>6.1092679552955075E-3</c:v>
                </c:pt>
                <c:pt idx="107">
                  <c:v>6.9452977135231898E-3</c:v>
                </c:pt>
                <c:pt idx="108">
                  <c:v>7.884911432985137E-3</c:v>
                </c:pt>
                <c:pt idx="109">
                  <c:v>8.939372452951632E-3</c:v>
                </c:pt>
                <c:pt idx="110">
                  <c:v>1.0120955257943832E-2</c:v>
                </c:pt>
                <c:pt idx="111">
                  <c:v>1.1443008950874467E-2</c:v>
                </c:pt>
                <c:pt idx="112">
                  <c:v>1.2920021319949369E-2</c:v>
                </c:pt>
                <c:pt idx="113">
                  <c:v>1.4567683017184562E-2</c:v>
                </c:pt>
                <c:pt idx="114">
                  <c:v>1.6402951301954266E-2</c:v>
                </c:pt>
                <c:pt idx="115">
                  <c:v>1.8444112736506108E-2</c:v>
                </c:pt>
                <c:pt idx="116">
                  <c:v>2.0710844152466608E-2</c:v>
                </c:pt>
                <c:pt idx="117">
                  <c:v>2.3224271138718711E-2</c:v>
                </c:pt>
                <c:pt idx="118">
                  <c:v>2.6007023232469621E-2</c:v>
                </c:pt>
                <c:pt idx="119">
                  <c:v>2.9083284927747061E-2</c:v>
                </c:pt>
                <c:pt idx="120">
                  <c:v>3.2478841549970161E-2</c:v>
                </c:pt>
                <c:pt idx="121">
                  <c:v>3.6221118982736694E-2</c:v>
                </c:pt>
                <c:pt idx="122">
                  <c:v>4.0339216174737395E-2</c:v>
                </c:pt>
                <c:pt idx="123">
                  <c:v>4.4863929302020322E-2</c:v>
                </c:pt>
                <c:pt idx="124">
                  <c:v>4.9827766415018231E-2</c:v>
                </c:pt>
                <c:pt idx="125">
                  <c:v>5.5264951362214473E-2</c:v>
                </c:pt>
                <c:pt idx="126">
                  <c:v>6.1211415754493501E-2</c:v>
                </c:pt>
                <c:pt idx="127">
                  <c:v>6.770477771755351E-2</c:v>
                </c:pt>
                <c:pt idx="128">
                  <c:v>7.4784306175714105E-2</c:v>
                </c:pt>
                <c:pt idx="129">
                  <c:v>8.249086942046778E-2</c:v>
                </c:pt>
                <c:pt idx="130">
                  <c:v>9.0866866742590077E-2</c:v>
                </c:pt>
                <c:pt idx="131">
                  <c:v>9.9956141948862154E-2</c:v>
                </c:pt>
                <c:pt idx="132">
                  <c:v>0.10980387764468608</c:v>
                </c:pt>
                <c:pt idx="133">
                  <c:v>0.12045646924317349</c:v>
                </c:pt>
                <c:pt idx="134">
                  <c:v>0.13196137776058506</c:v>
                </c:pt>
                <c:pt idx="135">
                  <c:v>0.14436696057802179</c:v>
                </c:pt>
                <c:pt idx="136">
                  <c:v>0.15772227949052373</c:v>
                </c:pt>
                <c:pt idx="137">
                  <c:v>0.1720768855274655</c:v>
                </c:pt>
                <c:pt idx="138">
                  <c:v>0.18748058021232075</c:v>
                </c:pt>
                <c:pt idx="139">
                  <c:v>0.20398315313514742</c:v>
                </c:pt>
                <c:pt idx="140">
                  <c:v>0.22163409593685704</c:v>
                </c:pt>
                <c:pt idx="141">
                  <c:v>0.24048229304941843</c:v>
                </c:pt>
                <c:pt idx="142">
                  <c:v>0.26057568979923196</c:v>
                </c:pt>
                <c:pt idx="143">
                  <c:v>0.28196093876017714</c:v>
                </c:pt>
                <c:pt idx="144">
                  <c:v>0.30468302553613463</c:v>
                </c:pt>
                <c:pt idx="145">
                  <c:v>0.32878487545752882</c:v>
                </c:pt>
                <c:pt idx="146">
                  <c:v>0.35430694298969695</c:v>
                </c:pt>
                <c:pt idx="147">
                  <c:v>0.38128678596934307</c:v>
                </c:pt>
                <c:pt idx="148">
                  <c:v>0.40975862710533312</c:v>
                </c:pt>
                <c:pt idx="149">
                  <c:v>0.43975290549763879</c:v>
                </c:pt>
                <c:pt idx="150">
                  <c:v>0.47129582123911667</c:v>
                </c:pt>
                <c:pt idx="151">
                  <c:v>0.50440887646448873</c:v>
                </c:pt>
                <c:pt idx="152">
                  <c:v>0.53910841649474406</c:v>
                </c:pt>
                <c:pt idx="153">
                  <c:v>0.57540517498836785</c:v>
                </c:pt>
                <c:pt idx="154">
                  <c:v>0.61330382724851706</c:v>
                </c:pt>
                <c:pt idx="155">
                  <c:v>0.6528025560426185</c:v>
                </c:pt>
                <c:pt idx="156">
                  <c:v>0.69389263446314897</c:v>
                </c:pt>
                <c:pt idx="157">
                  <c:v>0.73655803049098045</c:v>
                </c:pt>
                <c:pt idx="158">
                  <c:v>0.78077503801128811</c:v>
                </c:pt>
                <c:pt idx="159">
                  <c:v>0.82651193907268217</c:v>
                </c:pt>
                <c:pt idx="160">
                  <c:v>0.87372870216931453</c:v>
                </c:pt>
                <c:pt idx="161">
                  <c:v>0.92237672126020587</c:v>
                </c:pt>
                <c:pt idx="162">
                  <c:v>0.97239860011743129</c:v>
                </c:pt>
                <c:pt idx="163">
                  <c:v>1.0237279864132716</c:v>
                </c:pt>
                <c:pt idx="164">
                  <c:v>1.0762894597148773</c:v>
                </c:pt>
                <c:pt idx="165">
                  <c:v>1.1299984772530829</c:v>
                </c:pt>
                <c:pt idx="166">
                  <c:v>1.1847613809702531</c:v>
                </c:pt>
                <c:pt idx="167">
                  <c:v>1.2404754689318138</c:v>
                </c:pt>
                <c:pt idx="168">
                  <c:v>1.2970291337097046</c:v>
                </c:pt>
                <c:pt idx="169">
                  <c:v>1.3543020698165253</c:v>
                </c:pt>
                <c:pt idx="170">
                  <c:v>1.4121655516907592</c:v>
                </c:pt>
                <c:pt idx="171">
                  <c:v>1.4704827831110667</c:v>
                </c:pt>
                <c:pt idx="172">
                  <c:v>1.5291093182570585</c:v>
                </c:pt>
                <c:pt idx="173">
                  <c:v>1.5878935539418164</c:v>
                </c:pt>
                <c:pt idx="174">
                  <c:v>1.6466772918250554</c:v>
                </c:pt>
                <c:pt idx="175">
                  <c:v>1.7052963686831739</c:v>
                </c:pt>
                <c:pt idx="176">
                  <c:v>1.7635813520721411</c:v>
                </c:pt>
                <c:pt idx="177">
                  <c:v>1.8213582979801288</c:v>
                </c:pt>
                <c:pt idx="178">
                  <c:v>1.8784495663384173</c:v>
                </c:pt>
                <c:pt idx="179">
                  <c:v>1.9346746895508466</c:v>
                </c:pt>
                <c:pt idx="180">
                  <c:v>1.9898512885235582</c:v>
                </c:pt>
                <c:pt idx="181">
                  <c:v>2.04379603003746</c:v>
                </c:pt>
                <c:pt idx="182">
                  <c:v>2.0963256187150119</c:v>
                </c:pt>
                <c:pt idx="183">
                  <c:v>2.1472578162994216</c:v>
                </c:pt>
                <c:pt idx="184">
                  <c:v>2.1964124804965439</c:v>
                </c:pt>
                <c:pt idx="185">
                  <c:v>2.2436126152353011</c:v>
                </c:pt>
                <c:pt idx="186">
                  <c:v>2.288685423888221</c:v>
                </c:pt>
                <c:pt idx="187">
                  <c:v>2.3314633567655485</c:v>
                </c:pt>
                <c:pt idx="188">
                  <c:v>2.3717851440593103</c:v>
                </c:pt>
                <c:pt idx="189">
                  <c:v>2.4094968053713197</c:v>
                </c:pt>
                <c:pt idx="190">
                  <c:v>2.4444526270139773</c:v>
                </c:pt>
                <c:pt idx="191">
                  <c:v>2.4765160984259968</c:v>
                </c:pt>
                <c:pt idx="192">
                  <c:v>2.5055607992967666</c:v>
                </c:pt>
                <c:pt idx="193">
                  <c:v>2.5314712293414243</c:v>
                </c:pt>
                <c:pt idx="194">
                  <c:v>2.5541435731110482</c:v>
                </c:pt>
                <c:pt idx="195">
                  <c:v>2.5734863927544152</c:v>
                </c:pt>
                <c:pt idx="196">
                  <c:v>2.5894212422641401</c:v>
                </c:pt>
                <c:pt idx="197">
                  <c:v>2.6018831974338967</c:v>
                </c:pt>
                <c:pt idx="198">
                  <c:v>2.6108212965170567</c:v>
                </c:pt>
                <c:pt idx="199">
                  <c:v>2.6161988874015751</c:v>
                </c:pt>
                <c:pt idx="200">
                  <c:v>2.617993877991494</c:v>
                </c:pt>
                <c:pt idx="201">
                  <c:v>2.6161988874015751</c:v>
                </c:pt>
                <c:pt idx="202">
                  <c:v>2.6108212965170567</c:v>
                </c:pt>
                <c:pt idx="203">
                  <c:v>2.6018831974338967</c:v>
                </c:pt>
                <c:pt idx="204">
                  <c:v>2.5894212422641401</c:v>
                </c:pt>
                <c:pt idx="205">
                  <c:v>2.5734863927544152</c:v>
                </c:pt>
                <c:pt idx="206">
                  <c:v>2.5541435731110482</c:v>
                </c:pt>
                <c:pt idx="207">
                  <c:v>2.5314712293414243</c:v>
                </c:pt>
                <c:pt idx="208">
                  <c:v>2.5055607992967666</c:v>
                </c:pt>
                <c:pt idx="209">
                  <c:v>2.4765160984259968</c:v>
                </c:pt>
                <c:pt idx="210">
                  <c:v>2.4444526270139773</c:v>
                </c:pt>
                <c:pt idx="211">
                  <c:v>2.4094968053713197</c:v>
                </c:pt>
                <c:pt idx="212">
                  <c:v>2.3717851440593103</c:v>
                </c:pt>
                <c:pt idx="213">
                  <c:v>2.3314633567655485</c:v>
                </c:pt>
                <c:pt idx="214">
                  <c:v>2.288685423888221</c:v>
                </c:pt>
                <c:pt idx="215">
                  <c:v>2.2436126152353011</c:v>
                </c:pt>
                <c:pt idx="216">
                  <c:v>2.1964124804965439</c:v>
                </c:pt>
                <c:pt idx="217">
                  <c:v>2.1472578162994216</c:v>
                </c:pt>
                <c:pt idx="218">
                  <c:v>2.0963256187150119</c:v>
                </c:pt>
                <c:pt idx="219">
                  <c:v>2.04379603003746</c:v>
                </c:pt>
                <c:pt idx="220">
                  <c:v>1.9898512885235582</c:v>
                </c:pt>
                <c:pt idx="221">
                  <c:v>1.9346746895508466</c:v>
                </c:pt>
                <c:pt idx="222">
                  <c:v>1.8784495663384173</c:v>
                </c:pt>
                <c:pt idx="223">
                  <c:v>1.8213582979801288</c:v>
                </c:pt>
                <c:pt idx="224">
                  <c:v>1.7635813520721411</c:v>
                </c:pt>
                <c:pt idx="225">
                  <c:v>1.7052963686831739</c:v>
                </c:pt>
                <c:pt idx="226">
                  <c:v>1.6466772918250554</c:v>
                </c:pt>
                <c:pt idx="227">
                  <c:v>1.5878935539418164</c:v>
                </c:pt>
                <c:pt idx="228">
                  <c:v>1.5291093182570585</c:v>
                </c:pt>
                <c:pt idx="229">
                  <c:v>1.4704827831110667</c:v>
                </c:pt>
                <c:pt idx="230">
                  <c:v>1.4121655516907592</c:v>
                </c:pt>
                <c:pt idx="231">
                  <c:v>1.3543020698165253</c:v>
                </c:pt>
                <c:pt idx="232">
                  <c:v>1.2970291337097046</c:v>
                </c:pt>
                <c:pt idx="233">
                  <c:v>1.2404754689318138</c:v>
                </c:pt>
                <c:pt idx="234">
                  <c:v>1.1847613809702531</c:v>
                </c:pt>
                <c:pt idx="235">
                  <c:v>1.1299984772530829</c:v>
                </c:pt>
                <c:pt idx="236">
                  <c:v>1.0762894597148773</c:v>
                </c:pt>
                <c:pt idx="237">
                  <c:v>1.0237279864132716</c:v>
                </c:pt>
                <c:pt idx="238">
                  <c:v>0.97239860011743129</c:v>
                </c:pt>
                <c:pt idx="239">
                  <c:v>0.92237672126020587</c:v>
                </c:pt>
                <c:pt idx="240">
                  <c:v>0.87372870216931453</c:v>
                </c:pt>
                <c:pt idx="241">
                  <c:v>0.82651193907268217</c:v>
                </c:pt>
                <c:pt idx="242">
                  <c:v>0.78077503801128811</c:v>
                </c:pt>
                <c:pt idx="243">
                  <c:v>0.73655803049098045</c:v>
                </c:pt>
                <c:pt idx="244">
                  <c:v>0.69389263446314897</c:v>
                </c:pt>
                <c:pt idx="245">
                  <c:v>0.6528025560426185</c:v>
                </c:pt>
                <c:pt idx="246">
                  <c:v>0.61330382724851706</c:v>
                </c:pt>
                <c:pt idx="247">
                  <c:v>0.57540517498836785</c:v>
                </c:pt>
                <c:pt idx="248">
                  <c:v>0.53910841649474406</c:v>
                </c:pt>
                <c:pt idx="249">
                  <c:v>0.50440887646448873</c:v>
                </c:pt>
                <c:pt idx="250">
                  <c:v>0.47129582123911667</c:v>
                </c:pt>
                <c:pt idx="251">
                  <c:v>0.43975290549763879</c:v>
                </c:pt>
                <c:pt idx="252">
                  <c:v>0.40975862710533312</c:v>
                </c:pt>
                <c:pt idx="253">
                  <c:v>0.38128678596934307</c:v>
                </c:pt>
                <c:pt idx="254">
                  <c:v>0.35430694298969695</c:v>
                </c:pt>
                <c:pt idx="255">
                  <c:v>0.32878487545752882</c:v>
                </c:pt>
                <c:pt idx="256">
                  <c:v>0.30468302553613463</c:v>
                </c:pt>
                <c:pt idx="257">
                  <c:v>0.28196093876017714</c:v>
                </c:pt>
                <c:pt idx="258">
                  <c:v>0.26057568979923196</c:v>
                </c:pt>
                <c:pt idx="259">
                  <c:v>0.24048229304941843</c:v>
                </c:pt>
                <c:pt idx="260">
                  <c:v>0.22163409593685704</c:v>
                </c:pt>
                <c:pt idx="261">
                  <c:v>0.20398315313514742</c:v>
                </c:pt>
                <c:pt idx="262">
                  <c:v>0.18748058021232075</c:v>
                </c:pt>
                <c:pt idx="263">
                  <c:v>0.1720768855274655</c:v>
                </c:pt>
                <c:pt idx="264">
                  <c:v>0.15772227949052373</c:v>
                </c:pt>
                <c:pt idx="265">
                  <c:v>0.14436696057802179</c:v>
                </c:pt>
                <c:pt idx="266">
                  <c:v>0.13196137776058506</c:v>
                </c:pt>
                <c:pt idx="267">
                  <c:v>0.12045646924317349</c:v>
                </c:pt>
                <c:pt idx="268">
                  <c:v>0.10980387764468608</c:v>
                </c:pt>
                <c:pt idx="269">
                  <c:v>9.9956141948862154E-2</c:v>
                </c:pt>
                <c:pt idx="270">
                  <c:v>9.0866866742590077E-2</c:v>
                </c:pt>
                <c:pt idx="271">
                  <c:v>8.249086942046778E-2</c:v>
                </c:pt>
                <c:pt idx="272">
                  <c:v>7.4784306175714105E-2</c:v>
                </c:pt>
                <c:pt idx="273">
                  <c:v>6.770477771755351E-2</c:v>
                </c:pt>
                <c:pt idx="274">
                  <c:v>6.1211415754493501E-2</c:v>
                </c:pt>
                <c:pt idx="275">
                  <c:v>5.5264951362214473E-2</c:v>
                </c:pt>
                <c:pt idx="276">
                  <c:v>4.9827766415018231E-2</c:v>
                </c:pt>
                <c:pt idx="277">
                  <c:v>4.4863929302020322E-2</c:v>
                </c:pt>
                <c:pt idx="278">
                  <c:v>4.0339216174737395E-2</c:v>
                </c:pt>
                <c:pt idx="279">
                  <c:v>3.6221118982736694E-2</c:v>
                </c:pt>
                <c:pt idx="280">
                  <c:v>3.2478841549970161E-2</c:v>
                </c:pt>
                <c:pt idx="281">
                  <c:v>2.9083284927747061E-2</c:v>
                </c:pt>
                <c:pt idx="282">
                  <c:v>2.6007023232469621E-2</c:v>
                </c:pt>
                <c:pt idx="283">
                  <c:v>2.3224271138718711E-2</c:v>
                </c:pt>
                <c:pt idx="284">
                  <c:v>2.0710844152466608E-2</c:v>
                </c:pt>
                <c:pt idx="285">
                  <c:v>1.8444112736506108E-2</c:v>
                </c:pt>
                <c:pt idx="286">
                  <c:v>1.6402951301954266E-2</c:v>
                </c:pt>
                <c:pt idx="287">
                  <c:v>1.4567683017184562E-2</c:v>
                </c:pt>
                <c:pt idx="288">
                  <c:v>1.2920021319949369E-2</c:v>
                </c:pt>
                <c:pt idx="289">
                  <c:v>1.1443008950874467E-2</c:v>
                </c:pt>
                <c:pt idx="290">
                  <c:v>1.0120955257943832E-2</c:v>
                </c:pt>
                <c:pt idx="291">
                  <c:v>8.939372452951632E-3</c:v>
                </c:pt>
                <c:pt idx="292">
                  <c:v>7.884911432985137E-3</c:v>
                </c:pt>
                <c:pt idx="293">
                  <c:v>6.9452977135231898E-3</c:v>
                </c:pt>
                <c:pt idx="294">
                  <c:v>6.1092679552955075E-3</c:v>
                </c:pt>
                <c:pt idx="295">
                  <c:v>5.3665075051588847E-3</c:v>
                </c:pt>
                <c:pt idx="296">
                  <c:v>4.7075893123253738E-3</c:v>
                </c:pt>
                <c:pt idx="297">
                  <c:v>4.1239145256546346E-3</c:v>
                </c:pt>
                <c:pt idx="298">
                  <c:v>3.607655025647109E-3</c:v>
                </c:pt>
                <c:pt idx="299">
                  <c:v>3.1516980964191072E-3</c:v>
                </c:pt>
                <c:pt idx="300">
                  <c:v>2.7495933984103289E-3</c:v>
                </c:pt>
                <c:pt idx="301">
                  <c:v>2.3955023619108636E-3</c:v>
                </c:pt>
                <c:pt idx="302">
                  <c:v>2.0841500846863251E-3</c:v>
                </c:pt>
                <c:pt idx="303">
                  <c:v>1.8107797839661257E-3</c:v>
                </c:pt>
                <c:pt idx="304">
                  <c:v>1.5711098237402173E-3</c:v>
                </c:pt>
                <c:pt idx="305">
                  <c:v>1.361293312547904E-3</c:v>
                </c:pt>
                <c:pt idx="306">
                  <c:v>1.1778802445756497E-3</c:v>
                </c:pt>
                <c:pt idx="307">
                  <c:v>1.0177821377228692E-3</c:v>
                </c:pt>
                <c:pt idx="308">
                  <c:v>8.7823910614371454E-4</c:v>
                </c:pt>
                <c:pt idx="309">
                  <c:v>7.5678929141453693E-4</c:v>
                </c:pt>
                <c:pt idx="310">
                  <c:v>6.5124056569019649E-4</c:v>
                </c:pt>
                <c:pt idx="311">
                  <c:v>5.5964441177368566E-4</c:v>
                </c:pt>
                <c:pt idx="312">
                  <c:v>4.8027187870904465E-4</c:v>
                </c:pt>
                <c:pt idx="313">
                  <c:v>4.115915070974324E-4</c:v>
                </c:pt>
                <c:pt idx="314">
                  <c:v>3.5224911561666892E-4</c:v>
                </c:pt>
                <c:pt idx="315">
                  <c:v>3.0104933899017671E-4</c:v>
                </c:pt>
                <c:pt idx="316">
                  <c:v>2.5693880770651459E-4</c:v>
                </c:pt>
                <c:pt idx="317">
                  <c:v>2.1899086095153342E-4</c:v>
                </c:pt>
                <c:pt idx="318">
                  <c:v>1.8639168630971587E-4</c:v>
                </c:pt>
                <c:pt idx="319">
                  <c:v>1.5842778266059401E-4</c:v>
                </c:pt>
                <c:pt idx="320">
                  <c:v>1.3447464619457142E-4</c:v>
                </c:pt>
                <c:pt idx="321">
                  <c:v>1.1398658346772302E-4</c:v>
                </c:pt>
                <c:pt idx="322">
                  <c:v>9.648755978814604E-5</c:v>
                </c:pt>
                <c:pt idx="323">
                  <c:v>8.1562995871016392E-5</c:v>
                </c:pt>
                <c:pt idx="324">
                  <c:v>6.8852430522042994E-5</c:v>
                </c:pt>
                <c:pt idx="325">
                  <c:v>5.804297202772394E-5</c:v>
                </c:pt>
                <c:pt idx="326">
                  <c:v>4.886346587515819E-5</c:v>
                </c:pt>
                <c:pt idx="327">
                  <c:v>4.1079311334136901E-5</c:v>
                </c:pt>
                <c:pt idx="328">
                  <c:v>3.4487864259477438E-5</c:v>
                </c:pt>
                <c:pt idx="329">
                  <c:v>2.8914368170663838E-5</c:v>
                </c:pt>
                <c:pt idx="330">
                  <c:v>2.4208360205461144E-5</c:v>
                </c:pt>
                <c:pt idx="331">
                  <c:v>2.0240502898220164E-5</c:v>
                </c:pt>
                <c:pt idx="332">
                  <c:v>1.6899796882487886E-5</c:v>
                </c:pt>
                <c:pt idx="333">
                  <c:v>1.4091133547411193E-5</c:v>
                </c:pt>
                <c:pt idx="334">
                  <c:v>1.1733150379388987E-5</c:v>
                </c:pt>
                <c:pt idx="335">
                  <c:v>9.7563551898995425E-6</c:v>
                </c:pt>
                <c:pt idx="336">
                  <c:v>8.101488666490452E-6</c:v>
                </c:pt>
                <c:pt idx="337">
                  <c:v>6.718097688722161E-6</c:v>
                </c:pt>
                <c:pt idx="338">
                  <c:v>5.5632946290929175E-6</c:v>
                </c:pt>
                <c:pt idx="339">
                  <c:v>4.6006804173843364E-6</c:v>
                </c:pt>
                <c:pt idx="340">
                  <c:v>3.7994114938062831E-6</c:v>
                </c:pt>
                <c:pt idx="341">
                  <c:v>3.1333929213649484E-6</c:v>
                </c:pt>
                <c:pt idx="342">
                  <c:v>2.5805818814954856E-6</c:v>
                </c:pt>
                <c:pt idx="343">
                  <c:v>2.1223875502448236E-6</c:v>
                </c:pt>
                <c:pt idx="344">
                  <c:v>1.74315495655409E-6</c:v>
                </c:pt>
                <c:pt idx="345">
                  <c:v>1.4297218709898016E-6</c:v>
                </c:pt>
                <c:pt idx="346">
                  <c:v>1.1710390740668724E-6</c:v>
                </c:pt>
                <c:pt idx="347">
                  <c:v>9.5784551935078368E-7</c:v>
                </c:pt>
                <c:pt idx="348">
                  <c:v>7.823909487554923E-7</c:v>
                </c:pt>
                <c:pt idx="349">
                  <c:v>6.3819944638841817E-7</c:v>
                </c:pt>
                <c:pt idx="350">
                  <c:v>5.1986824297207416E-7</c:v>
                </c:pt>
                <c:pt idx="351">
                  <c:v>4.2289681479797782E-7</c:v>
                </c:pt>
                <c:pt idx="352">
                  <c:v>3.4354196828064235E-7</c:v>
                </c:pt>
                <c:pt idx="353">
                  <c:v>2.7869517183142703E-7</c:v>
                </c:pt>
                <c:pt idx="354">
                  <c:v>2.2577889872614197E-7</c:v>
                </c:pt>
                <c:pt idx="355">
                  <c:v>1.8265918507117785E-7</c:v>
                </c:pt>
                <c:pt idx="356">
                  <c:v>1.4757199247926277E-7</c:v>
                </c:pt>
                <c:pt idx="357">
                  <c:v>1.1906130168791524E-7</c:v>
                </c:pt>
                <c:pt idx="358">
                  <c:v>9.5927156596457989E-8</c:v>
                </c:pt>
                <c:pt idx="359">
                  <c:v>7.7182133057216667E-8</c:v>
                </c:pt>
                <c:pt idx="360">
                  <c:v>6.2014927749717004E-8</c:v>
                </c:pt>
                <c:pt idx="361">
                  <c:v>4.9759953660370369E-8</c:v>
                </c:pt>
                <c:pt idx="362">
                  <c:v>3.9871993733592123E-8</c:v>
                </c:pt>
                <c:pt idx="363">
                  <c:v>3.190510641621286E-8</c:v>
                </c:pt>
                <c:pt idx="364">
                  <c:v>2.5495098992823883E-8</c:v>
                </c:pt>
                <c:pt idx="365">
                  <c:v>2.0344989387549566E-8</c:v>
                </c:pt>
                <c:pt idx="366">
                  <c:v>1.6212966773844232E-8</c:v>
                </c:pt>
                <c:pt idx="367">
                  <c:v>1.2902437906145159E-8</c:v>
                </c:pt>
                <c:pt idx="368">
                  <c:v>1.0253811341284478E-8</c:v>
                </c:pt>
                <c:pt idx="369">
                  <c:v>8.1377272115771774E-9</c:v>
                </c:pt>
                <c:pt idx="370">
                  <c:v>6.4494873086965421E-9</c:v>
                </c:pt>
                <c:pt idx="371">
                  <c:v>5.1044801272981395E-9</c:v>
                </c:pt>
                <c:pt idx="372">
                  <c:v>4.0344292348816814E-9</c:v>
                </c:pt>
                <c:pt idx="373">
                  <c:v>3.184321777830357E-9</c:v>
                </c:pt>
                <c:pt idx="374">
                  <c:v>2.5098978804501809E-9</c:v>
                </c:pt>
                <c:pt idx="375">
                  <c:v>1.9756018154267636E-9</c:v>
                </c:pt>
                <c:pt idx="376">
                  <c:v>1.5529126985413634E-9</c:v>
                </c:pt>
                <c:pt idx="377">
                  <c:v>1.2189865843876894E-9</c:v>
                </c:pt>
                <c:pt idx="378">
                  <c:v>9.555536388327201E-10</c:v>
                </c:pt>
                <c:pt idx="379">
                  <c:v>7.4802390195739705E-10</c:v>
                </c:pt>
                <c:pt idx="380">
                  <c:v>5.8476334256692367E-10</c:v>
                </c:pt>
                <c:pt idx="381">
                  <c:v>4.5650870618788981E-10</c:v>
                </c:pt>
                <c:pt idx="382">
                  <c:v>3.558952970000731E-10</c:v>
                </c:pt>
                <c:pt idx="383">
                  <c:v>2.7707650032449598E-10</c:v>
                </c:pt>
                <c:pt idx="384">
                  <c:v>2.154177066404679E-10</c:v>
                </c:pt>
                <c:pt idx="385">
                  <c:v>1.6725047601304845E-10</c:v>
                </c:pt>
                <c:pt idx="386">
                  <c:v>1.2967539719748486E-10</c:v>
                </c:pt>
                <c:pt idx="387">
                  <c:v>1.0040424420050472E-10</c:v>
                </c:pt>
                <c:pt idx="388">
                  <c:v>7.7633794862141246E-11</c:v>
                </c:pt>
                <c:pt idx="389">
                  <c:v>5.9945118081238568E-11</c:v>
                </c:pt>
                <c:pt idx="390">
                  <c:v>4.6223314546826139E-11</c:v>
                </c:pt>
                <c:pt idx="391">
                  <c:v>3.5593656801199794E-11</c:v>
                </c:pt>
                <c:pt idx="392">
                  <c:v>2.7370856821612073E-11</c:v>
                </c:pt>
                <c:pt idx="393">
                  <c:v>2.1018825132510579E-11</c:v>
                </c:pt>
                <c:pt idx="394">
                  <c:v>1.611880128404696E-11</c:v>
                </c:pt>
                <c:pt idx="395">
                  <c:v>1.2344153268288111E-11</c:v>
                </c:pt>
                <c:pt idx="396">
                  <c:v>9.4404811525977155E-12</c:v>
                </c:pt>
                <c:pt idx="397">
                  <c:v>7.2099327455318015E-12</c:v>
                </c:pt>
                <c:pt idx="398">
                  <c:v>5.4988586696494815E-12</c:v>
                </c:pt>
                <c:pt idx="399">
                  <c:v>4.1881107898079576E-12</c:v>
                </c:pt>
                <c:pt idx="400">
                  <c:v>3.185429705558774E-12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D2-46DE-B1C4-485013BA9583}"/>
            </c:ext>
          </c:extLst>
        </c:ser>
        <c:ser>
          <c:idx val="2"/>
          <c:order val="2"/>
          <c:tx>
            <c:strRef>
              <c:f>'transversal subsidence profile'!$J$8</c:f>
              <c:strCache>
                <c:ptCount val="1"/>
                <c:pt idx="0">
                  <c:v>Total settlements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'transversal subsidence profile'!$G$10:$G$410</c:f>
              <c:numCache>
                <c:formatCode>General</c:formatCode>
                <c:ptCount val="401"/>
                <c:pt idx="0">
                  <c:v>-60</c:v>
                </c:pt>
                <c:pt idx="1">
                  <c:v>-59.75</c:v>
                </c:pt>
                <c:pt idx="2">
                  <c:v>-59.5</c:v>
                </c:pt>
                <c:pt idx="3">
                  <c:v>-59.25</c:v>
                </c:pt>
                <c:pt idx="4">
                  <c:v>-59</c:v>
                </c:pt>
                <c:pt idx="5">
                  <c:v>-58.75</c:v>
                </c:pt>
                <c:pt idx="6">
                  <c:v>-58.5</c:v>
                </c:pt>
                <c:pt idx="7">
                  <c:v>-58.25</c:v>
                </c:pt>
                <c:pt idx="8">
                  <c:v>-58</c:v>
                </c:pt>
                <c:pt idx="9">
                  <c:v>-57.75</c:v>
                </c:pt>
                <c:pt idx="10">
                  <c:v>-57.5</c:v>
                </c:pt>
                <c:pt idx="11">
                  <c:v>-57.25</c:v>
                </c:pt>
                <c:pt idx="12">
                  <c:v>-57</c:v>
                </c:pt>
                <c:pt idx="13">
                  <c:v>-56.75</c:v>
                </c:pt>
                <c:pt idx="14">
                  <c:v>-56.5</c:v>
                </c:pt>
                <c:pt idx="15">
                  <c:v>-56.25</c:v>
                </c:pt>
                <c:pt idx="16">
                  <c:v>-56</c:v>
                </c:pt>
                <c:pt idx="17">
                  <c:v>-55.75</c:v>
                </c:pt>
                <c:pt idx="18">
                  <c:v>-55.5</c:v>
                </c:pt>
                <c:pt idx="19">
                  <c:v>-55.25</c:v>
                </c:pt>
                <c:pt idx="20">
                  <c:v>-55</c:v>
                </c:pt>
                <c:pt idx="21">
                  <c:v>-54.75</c:v>
                </c:pt>
                <c:pt idx="22">
                  <c:v>-54.5</c:v>
                </c:pt>
                <c:pt idx="23">
                  <c:v>-54.25</c:v>
                </c:pt>
                <c:pt idx="24">
                  <c:v>-54</c:v>
                </c:pt>
                <c:pt idx="25">
                  <c:v>-53.75</c:v>
                </c:pt>
                <c:pt idx="26">
                  <c:v>-53.5</c:v>
                </c:pt>
                <c:pt idx="27">
                  <c:v>-53.25</c:v>
                </c:pt>
                <c:pt idx="28">
                  <c:v>-53</c:v>
                </c:pt>
                <c:pt idx="29">
                  <c:v>-52.75</c:v>
                </c:pt>
                <c:pt idx="30">
                  <c:v>-52.5</c:v>
                </c:pt>
                <c:pt idx="31">
                  <c:v>-52.25</c:v>
                </c:pt>
                <c:pt idx="32">
                  <c:v>-52</c:v>
                </c:pt>
                <c:pt idx="33">
                  <c:v>-51.75</c:v>
                </c:pt>
                <c:pt idx="34">
                  <c:v>-51.5</c:v>
                </c:pt>
                <c:pt idx="35">
                  <c:v>-51.25</c:v>
                </c:pt>
                <c:pt idx="36">
                  <c:v>-51</c:v>
                </c:pt>
                <c:pt idx="37">
                  <c:v>-50.75</c:v>
                </c:pt>
                <c:pt idx="38">
                  <c:v>-50.5</c:v>
                </c:pt>
                <c:pt idx="39">
                  <c:v>-50.25</c:v>
                </c:pt>
                <c:pt idx="40">
                  <c:v>-50</c:v>
                </c:pt>
                <c:pt idx="41">
                  <c:v>-49.75</c:v>
                </c:pt>
                <c:pt idx="42">
                  <c:v>-49.5</c:v>
                </c:pt>
                <c:pt idx="43">
                  <c:v>-49.25</c:v>
                </c:pt>
                <c:pt idx="44">
                  <c:v>-49</c:v>
                </c:pt>
                <c:pt idx="45">
                  <c:v>-48.75</c:v>
                </c:pt>
                <c:pt idx="46">
                  <c:v>-48.5</c:v>
                </c:pt>
                <c:pt idx="47">
                  <c:v>-48.25</c:v>
                </c:pt>
                <c:pt idx="48">
                  <c:v>-48</c:v>
                </c:pt>
                <c:pt idx="49">
                  <c:v>-47.75</c:v>
                </c:pt>
                <c:pt idx="50">
                  <c:v>-47.5</c:v>
                </c:pt>
                <c:pt idx="51">
                  <c:v>-47.25</c:v>
                </c:pt>
                <c:pt idx="52">
                  <c:v>-47</c:v>
                </c:pt>
                <c:pt idx="53">
                  <c:v>-46.75</c:v>
                </c:pt>
                <c:pt idx="54">
                  <c:v>-46.5</c:v>
                </c:pt>
                <c:pt idx="55">
                  <c:v>-46.25</c:v>
                </c:pt>
                <c:pt idx="56">
                  <c:v>-46</c:v>
                </c:pt>
                <c:pt idx="57">
                  <c:v>-45.75</c:v>
                </c:pt>
                <c:pt idx="58">
                  <c:v>-45.5</c:v>
                </c:pt>
                <c:pt idx="59">
                  <c:v>-45.25</c:v>
                </c:pt>
                <c:pt idx="60">
                  <c:v>-45</c:v>
                </c:pt>
                <c:pt idx="61">
                  <c:v>-44.75</c:v>
                </c:pt>
                <c:pt idx="62">
                  <c:v>-44.5</c:v>
                </c:pt>
                <c:pt idx="63">
                  <c:v>-44.25</c:v>
                </c:pt>
                <c:pt idx="64">
                  <c:v>-44</c:v>
                </c:pt>
                <c:pt idx="65">
                  <c:v>-43.75</c:v>
                </c:pt>
                <c:pt idx="66">
                  <c:v>-43.5</c:v>
                </c:pt>
                <c:pt idx="67">
                  <c:v>-43.25</c:v>
                </c:pt>
                <c:pt idx="68">
                  <c:v>-43</c:v>
                </c:pt>
                <c:pt idx="69">
                  <c:v>-42.75</c:v>
                </c:pt>
                <c:pt idx="70">
                  <c:v>-42.5</c:v>
                </c:pt>
                <c:pt idx="71">
                  <c:v>-42.25</c:v>
                </c:pt>
                <c:pt idx="72">
                  <c:v>-42</c:v>
                </c:pt>
                <c:pt idx="73">
                  <c:v>-41.75</c:v>
                </c:pt>
                <c:pt idx="74">
                  <c:v>-41.5</c:v>
                </c:pt>
                <c:pt idx="75">
                  <c:v>-41.25</c:v>
                </c:pt>
                <c:pt idx="76">
                  <c:v>-41</c:v>
                </c:pt>
                <c:pt idx="77">
                  <c:v>-40.75</c:v>
                </c:pt>
                <c:pt idx="78">
                  <c:v>-40.5</c:v>
                </c:pt>
                <c:pt idx="79">
                  <c:v>-40.25</c:v>
                </c:pt>
                <c:pt idx="80">
                  <c:v>-40</c:v>
                </c:pt>
                <c:pt idx="81">
                  <c:v>-39.75</c:v>
                </c:pt>
                <c:pt idx="82">
                  <c:v>-39.5</c:v>
                </c:pt>
                <c:pt idx="83">
                  <c:v>-39.25</c:v>
                </c:pt>
                <c:pt idx="84">
                  <c:v>-39</c:v>
                </c:pt>
                <c:pt idx="85">
                  <c:v>-38.75</c:v>
                </c:pt>
                <c:pt idx="86">
                  <c:v>-38.5</c:v>
                </c:pt>
                <c:pt idx="87">
                  <c:v>-38.25</c:v>
                </c:pt>
                <c:pt idx="88">
                  <c:v>-38</c:v>
                </c:pt>
                <c:pt idx="89">
                  <c:v>-37.75</c:v>
                </c:pt>
                <c:pt idx="90">
                  <c:v>-37.5</c:v>
                </c:pt>
                <c:pt idx="91">
                  <c:v>-37.25</c:v>
                </c:pt>
                <c:pt idx="92">
                  <c:v>-37</c:v>
                </c:pt>
                <c:pt idx="93">
                  <c:v>-36.75</c:v>
                </c:pt>
                <c:pt idx="94">
                  <c:v>-36.5</c:v>
                </c:pt>
                <c:pt idx="95">
                  <c:v>-36.25</c:v>
                </c:pt>
                <c:pt idx="96">
                  <c:v>-36</c:v>
                </c:pt>
                <c:pt idx="97">
                  <c:v>-35.75</c:v>
                </c:pt>
                <c:pt idx="98">
                  <c:v>-35.5</c:v>
                </c:pt>
                <c:pt idx="99">
                  <c:v>-35.25</c:v>
                </c:pt>
                <c:pt idx="100">
                  <c:v>-35</c:v>
                </c:pt>
                <c:pt idx="101">
                  <c:v>-34.75</c:v>
                </c:pt>
                <c:pt idx="102">
                  <c:v>-34.5</c:v>
                </c:pt>
                <c:pt idx="103">
                  <c:v>-34.25</c:v>
                </c:pt>
                <c:pt idx="104">
                  <c:v>-34</c:v>
                </c:pt>
                <c:pt idx="105">
                  <c:v>-33.75</c:v>
                </c:pt>
                <c:pt idx="106">
                  <c:v>-33.5</c:v>
                </c:pt>
                <c:pt idx="107">
                  <c:v>-33.25</c:v>
                </c:pt>
                <c:pt idx="108">
                  <c:v>-33</c:v>
                </c:pt>
                <c:pt idx="109">
                  <c:v>-32.75</c:v>
                </c:pt>
                <c:pt idx="110">
                  <c:v>-32.5</c:v>
                </c:pt>
                <c:pt idx="111">
                  <c:v>-32.25</c:v>
                </c:pt>
                <c:pt idx="112">
                  <c:v>-32</c:v>
                </c:pt>
                <c:pt idx="113">
                  <c:v>-31.75</c:v>
                </c:pt>
                <c:pt idx="114">
                  <c:v>-31.5</c:v>
                </c:pt>
                <c:pt idx="115">
                  <c:v>-31.25</c:v>
                </c:pt>
                <c:pt idx="116">
                  <c:v>-31</c:v>
                </c:pt>
                <c:pt idx="117">
                  <c:v>-30.75</c:v>
                </c:pt>
                <c:pt idx="118">
                  <c:v>-30.5</c:v>
                </c:pt>
                <c:pt idx="119">
                  <c:v>-30.25</c:v>
                </c:pt>
                <c:pt idx="120">
                  <c:v>-30</c:v>
                </c:pt>
                <c:pt idx="121">
                  <c:v>-29.75</c:v>
                </c:pt>
                <c:pt idx="122">
                  <c:v>-29.5</c:v>
                </c:pt>
                <c:pt idx="123">
                  <c:v>-29.25</c:v>
                </c:pt>
                <c:pt idx="124">
                  <c:v>-29</c:v>
                </c:pt>
                <c:pt idx="125">
                  <c:v>-28.75</c:v>
                </c:pt>
                <c:pt idx="126">
                  <c:v>-28.5</c:v>
                </c:pt>
                <c:pt idx="127">
                  <c:v>-28.25</c:v>
                </c:pt>
                <c:pt idx="128">
                  <c:v>-28</c:v>
                </c:pt>
                <c:pt idx="129">
                  <c:v>-27.75</c:v>
                </c:pt>
                <c:pt idx="130">
                  <c:v>-27.5</c:v>
                </c:pt>
                <c:pt idx="131">
                  <c:v>-27.25</c:v>
                </c:pt>
                <c:pt idx="132">
                  <c:v>-27</c:v>
                </c:pt>
                <c:pt idx="133">
                  <c:v>-26.75</c:v>
                </c:pt>
                <c:pt idx="134">
                  <c:v>-26.5</c:v>
                </c:pt>
                <c:pt idx="135">
                  <c:v>-26.25</c:v>
                </c:pt>
                <c:pt idx="136">
                  <c:v>-26</c:v>
                </c:pt>
                <c:pt idx="137">
                  <c:v>-25.75</c:v>
                </c:pt>
                <c:pt idx="138">
                  <c:v>-25.5</c:v>
                </c:pt>
                <c:pt idx="139">
                  <c:v>-25.25</c:v>
                </c:pt>
                <c:pt idx="140">
                  <c:v>-25</c:v>
                </c:pt>
                <c:pt idx="141">
                  <c:v>-24.75</c:v>
                </c:pt>
                <c:pt idx="142">
                  <c:v>-24.5</c:v>
                </c:pt>
                <c:pt idx="143">
                  <c:v>-24.25</c:v>
                </c:pt>
                <c:pt idx="144">
                  <c:v>-24</c:v>
                </c:pt>
                <c:pt idx="145">
                  <c:v>-23.75</c:v>
                </c:pt>
                <c:pt idx="146">
                  <c:v>-23.5</c:v>
                </c:pt>
                <c:pt idx="147">
                  <c:v>-23.25</c:v>
                </c:pt>
                <c:pt idx="148">
                  <c:v>-23</c:v>
                </c:pt>
                <c:pt idx="149">
                  <c:v>-22.75</c:v>
                </c:pt>
                <c:pt idx="150">
                  <c:v>-22.5</c:v>
                </c:pt>
                <c:pt idx="151">
                  <c:v>-22.25</c:v>
                </c:pt>
                <c:pt idx="152">
                  <c:v>-22</c:v>
                </c:pt>
                <c:pt idx="153">
                  <c:v>-21.75</c:v>
                </c:pt>
                <c:pt idx="154">
                  <c:v>-21.5</c:v>
                </c:pt>
                <c:pt idx="155">
                  <c:v>-21.25</c:v>
                </c:pt>
                <c:pt idx="156">
                  <c:v>-21</c:v>
                </c:pt>
                <c:pt idx="157">
                  <c:v>-20.75</c:v>
                </c:pt>
                <c:pt idx="158">
                  <c:v>-20.5</c:v>
                </c:pt>
                <c:pt idx="159">
                  <c:v>-20.25</c:v>
                </c:pt>
                <c:pt idx="160">
                  <c:v>-20</c:v>
                </c:pt>
                <c:pt idx="161">
                  <c:v>-19.75</c:v>
                </c:pt>
                <c:pt idx="162">
                  <c:v>-19.5</c:v>
                </c:pt>
                <c:pt idx="163">
                  <c:v>-19.25</c:v>
                </c:pt>
                <c:pt idx="164">
                  <c:v>-19</c:v>
                </c:pt>
                <c:pt idx="165">
                  <c:v>-18.75</c:v>
                </c:pt>
                <c:pt idx="166">
                  <c:v>-18.5</c:v>
                </c:pt>
                <c:pt idx="167">
                  <c:v>-18.25</c:v>
                </c:pt>
                <c:pt idx="168">
                  <c:v>-18</c:v>
                </c:pt>
                <c:pt idx="169">
                  <c:v>-17.75</c:v>
                </c:pt>
                <c:pt idx="170">
                  <c:v>-17.5</c:v>
                </c:pt>
                <c:pt idx="171">
                  <c:v>-17.25</c:v>
                </c:pt>
                <c:pt idx="172">
                  <c:v>-17</c:v>
                </c:pt>
                <c:pt idx="173">
                  <c:v>-16.75</c:v>
                </c:pt>
                <c:pt idx="174">
                  <c:v>-16.5</c:v>
                </c:pt>
                <c:pt idx="175">
                  <c:v>-16.25</c:v>
                </c:pt>
                <c:pt idx="176">
                  <c:v>-16</c:v>
                </c:pt>
                <c:pt idx="177">
                  <c:v>-15.75</c:v>
                </c:pt>
                <c:pt idx="178">
                  <c:v>-15.5</c:v>
                </c:pt>
                <c:pt idx="179">
                  <c:v>-15.25</c:v>
                </c:pt>
                <c:pt idx="180">
                  <c:v>-15</c:v>
                </c:pt>
                <c:pt idx="181">
                  <c:v>-14.75</c:v>
                </c:pt>
                <c:pt idx="182">
                  <c:v>-14.5</c:v>
                </c:pt>
                <c:pt idx="183">
                  <c:v>-14.25</c:v>
                </c:pt>
                <c:pt idx="184">
                  <c:v>-14</c:v>
                </c:pt>
                <c:pt idx="185">
                  <c:v>-13.75</c:v>
                </c:pt>
                <c:pt idx="186">
                  <c:v>-13.5</c:v>
                </c:pt>
                <c:pt idx="187">
                  <c:v>-13.25</c:v>
                </c:pt>
                <c:pt idx="188">
                  <c:v>-13</c:v>
                </c:pt>
                <c:pt idx="189">
                  <c:v>-12.75</c:v>
                </c:pt>
                <c:pt idx="190">
                  <c:v>-12.5</c:v>
                </c:pt>
                <c:pt idx="191">
                  <c:v>-12.25</c:v>
                </c:pt>
                <c:pt idx="192">
                  <c:v>-12</c:v>
                </c:pt>
                <c:pt idx="193">
                  <c:v>-11.75</c:v>
                </c:pt>
                <c:pt idx="194">
                  <c:v>-11.5</c:v>
                </c:pt>
                <c:pt idx="195">
                  <c:v>-11.25</c:v>
                </c:pt>
                <c:pt idx="196">
                  <c:v>-11</c:v>
                </c:pt>
                <c:pt idx="197">
                  <c:v>-10.75</c:v>
                </c:pt>
                <c:pt idx="198">
                  <c:v>-10.5</c:v>
                </c:pt>
                <c:pt idx="199">
                  <c:v>-10.25</c:v>
                </c:pt>
                <c:pt idx="200">
                  <c:v>-10</c:v>
                </c:pt>
                <c:pt idx="201">
                  <c:v>-9.75</c:v>
                </c:pt>
                <c:pt idx="202">
                  <c:v>-9.5</c:v>
                </c:pt>
                <c:pt idx="203">
                  <c:v>-9.25</c:v>
                </c:pt>
                <c:pt idx="204">
                  <c:v>-9</c:v>
                </c:pt>
                <c:pt idx="205">
                  <c:v>-8.75</c:v>
                </c:pt>
                <c:pt idx="206">
                  <c:v>-8.5</c:v>
                </c:pt>
                <c:pt idx="207">
                  <c:v>-8.25</c:v>
                </c:pt>
                <c:pt idx="208">
                  <c:v>-8</c:v>
                </c:pt>
                <c:pt idx="209">
                  <c:v>-7.75</c:v>
                </c:pt>
                <c:pt idx="210">
                  <c:v>-7.5</c:v>
                </c:pt>
                <c:pt idx="211">
                  <c:v>-7.25</c:v>
                </c:pt>
                <c:pt idx="212">
                  <c:v>-7</c:v>
                </c:pt>
                <c:pt idx="213">
                  <c:v>-6.75</c:v>
                </c:pt>
                <c:pt idx="214">
                  <c:v>-6.5</c:v>
                </c:pt>
                <c:pt idx="215">
                  <c:v>-6.25</c:v>
                </c:pt>
                <c:pt idx="216">
                  <c:v>-6</c:v>
                </c:pt>
                <c:pt idx="217">
                  <c:v>-5.75</c:v>
                </c:pt>
                <c:pt idx="218">
                  <c:v>-5.5</c:v>
                </c:pt>
                <c:pt idx="219">
                  <c:v>-5.25</c:v>
                </c:pt>
                <c:pt idx="220">
                  <c:v>-5</c:v>
                </c:pt>
                <c:pt idx="221">
                  <c:v>-4.75</c:v>
                </c:pt>
                <c:pt idx="222">
                  <c:v>-4.5</c:v>
                </c:pt>
                <c:pt idx="223">
                  <c:v>-4.25</c:v>
                </c:pt>
                <c:pt idx="224">
                  <c:v>-4</c:v>
                </c:pt>
                <c:pt idx="225">
                  <c:v>-3.75</c:v>
                </c:pt>
                <c:pt idx="226">
                  <c:v>-3.5</c:v>
                </c:pt>
                <c:pt idx="227">
                  <c:v>-3.25</c:v>
                </c:pt>
                <c:pt idx="228">
                  <c:v>-3</c:v>
                </c:pt>
                <c:pt idx="229">
                  <c:v>-2.75</c:v>
                </c:pt>
                <c:pt idx="230">
                  <c:v>-2.5</c:v>
                </c:pt>
                <c:pt idx="231">
                  <c:v>-2.25</c:v>
                </c:pt>
                <c:pt idx="232">
                  <c:v>-2</c:v>
                </c:pt>
                <c:pt idx="233">
                  <c:v>-1.75</c:v>
                </c:pt>
                <c:pt idx="234">
                  <c:v>-1.5</c:v>
                </c:pt>
                <c:pt idx="235">
                  <c:v>-1.25</c:v>
                </c:pt>
                <c:pt idx="236">
                  <c:v>-1</c:v>
                </c:pt>
                <c:pt idx="237">
                  <c:v>-0.75</c:v>
                </c:pt>
                <c:pt idx="238">
                  <c:v>-0.5</c:v>
                </c:pt>
                <c:pt idx="239">
                  <c:v>-0.25</c:v>
                </c:pt>
                <c:pt idx="240">
                  <c:v>0</c:v>
                </c:pt>
                <c:pt idx="241">
                  <c:v>0.25</c:v>
                </c:pt>
                <c:pt idx="242">
                  <c:v>0.5</c:v>
                </c:pt>
                <c:pt idx="243">
                  <c:v>0.75</c:v>
                </c:pt>
                <c:pt idx="244">
                  <c:v>1</c:v>
                </c:pt>
                <c:pt idx="245">
                  <c:v>1.25</c:v>
                </c:pt>
                <c:pt idx="246">
                  <c:v>1.5</c:v>
                </c:pt>
                <c:pt idx="247">
                  <c:v>1.75</c:v>
                </c:pt>
                <c:pt idx="248">
                  <c:v>2</c:v>
                </c:pt>
                <c:pt idx="249">
                  <c:v>2.25</c:v>
                </c:pt>
                <c:pt idx="250">
                  <c:v>2.5</c:v>
                </c:pt>
                <c:pt idx="251">
                  <c:v>2.75</c:v>
                </c:pt>
                <c:pt idx="252">
                  <c:v>3</c:v>
                </c:pt>
                <c:pt idx="253">
                  <c:v>3.25</c:v>
                </c:pt>
                <c:pt idx="254">
                  <c:v>3.5</c:v>
                </c:pt>
                <c:pt idx="255">
                  <c:v>3.75</c:v>
                </c:pt>
                <c:pt idx="256">
                  <c:v>4</c:v>
                </c:pt>
                <c:pt idx="257">
                  <c:v>4.25</c:v>
                </c:pt>
                <c:pt idx="258">
                  <c:v>4.5</c:v>
                </c:pt>
                <c:pt idx="259">
                  <c:v>4.75</c:v>
                </c:pt>
                <c:pt idx="260">
                  <c:v>5</c:v>
                </c:pt>
                <c:pt idx="261">
                  <c:v>5.25</c:v>
                </c:pt>
                <c:pt idx="262">
                  <c:v>5.5</c:v>
                </c:pt>
                <c:pt idx="263">
                  <c:v>5.75</c:v>
                </c:pt>
                <c:pt idx="264">
                  <c:v>6</c:v>
                </c:pt>
                <c:pt idx="265">
                  <c:v>6.25</c:v>
                </c:pt>
                <c:pt idx="266">
                  <c:v>6.5</c:v>
                </c:pt>
                <c:pt idx="267">
                  <c:v>6.75</c:v>
                </c:pt>
                <c:pt idx="268">
                  <c:v>7</c:v>
                </c:pt>
                <c:pt idx="269">
                  <c:v>7.25</c:v>
                </c:pt>
                <c:pt idx="270">
                  <c:v>7.5</c:v>
                </c:pt>
                <c:pt idx="271">
                  <c:v>7.75</c:v>
                </c:pt>
                <c:pt idx="272">
                  <c:v>8</c:v>
                </c:pt>
                <c:pt idx="273">
                  <c:v>8.25</c:v>
                </c:pt>
                <c:pt idx="274">
                  <c:v>8.5</c:v>
                </c:pt>
                <c:pt idx="275">
                  <c:v>8.75</c:v>
                </c:pt>
                <c:pt idx="276">
                  <c:v>9</c:v>
                </c:pt>
                <c:pt idx="277">
                  <c:v>9.25</c:v>
                </c:pt>
                <c:pt idx="278">
                  <c:v>9.5</c:v>
                </c:pt>
                <c:pt idx="279">
                  <c:v>9.75</c:v>
                </c:pt>
                <c:pt idx="280">
                  <c:v>10</c:v>
                </c:pt>
                <c:pt idx="281">
                  <c:v>10.25</c:v>
                </c:pt>
                <c:pt idx="282">
                  <c:v>10.5</c:v>
                </c:pt>
                <c:pt idx="283">
                  <c:v>10.75</c:v>
                </c:pt>
                <c:pt idx="284">
                  <c:v>11</c:v>
                </c:pt>
                <c:pt idx="285">
                  <c:v>11.25</c:v>
                </c:pt>
                <c:pt idx="286">
                  <c:v>11.5</c:v>
                </c:pt>
                <c:pt idx="287">
                  <c:v>11.75</c:v>
                </c:pt>
                <c:pt idx="288">
                  <c:v>12</c:v>
                </c:pt>
                <c:pt idx="289">
                  <c:v>12.25</c:v>
                </c:pt>
                <c:pt idx="290">
                  <c:v>12.5</c:v>
                </c:pt>
                <c:pt idx="291">
                  <c:v>12.75</c:v>
                </c:pt>
                <c:pt idx="292">
                  <c:v>13</c:v>
                </c:pt>
                <c:pt idx="293">
                  <c:v>13.25</c:v>
                </c:pt>
                <c:pt idx="294">
                  <c:v>13.5</c:v>
                </c:pt>
                <c:pt idx="295">
                  <c:v>13.75</c:v>
                </c:pt>
                <c:pt idx="296">
                  <c:v>14</c:v>
                </c:pt>
                <c:pt idx="297">
                  <c:v>14.25</c:v>
                </c:pt>
                <c:pt idx="298">
                  <c:v>14.5</c:v>
                </c:pt>
                <c:pt idx="299">
                  <c:v>14.75</c:v>
                </c:pt>
                <c:pt idx="300">
                  <c:v>15</c:v>
                </c:pt>
                <c:pt idx="301">
                  <c:v>15.25</c:v>
                </c:pt>
                <c:pt idx="302">
                  <c:v>15.5</c:v>
                </c:pt>
                <c:pt idx="303">
                  <c:v>15.75</c:v>
                </c:pt>
                <c:pt idx="304">
                  <c:v>16</c:v>
                </c:pt>
                <c:pt idx="305">
                  <c:v>16.25</c:v>
                </c:pt>
                <c:pt idx="306">
                  <c:v>16.5</c:v>
                </c:pt>
                <c:pt idx="307">
                  <c:v>16.75</c:v>
                </c:pt>
                <c:pt idx="308">
                  <c:v>17</c:v>
                </c:pt>
                <c:pt idx="309">
                  <c:v>17.25</c:v>
                </c:pt>
                <c:pt idx="310">
                  <c:v>17.5</c:v>
                </c:pt>
                <c:pt idx="311">
                  <c:v>17.75</c:v>
                </c:pt>
                <c:pt idx="312">
                  <c:v>18</c:v>
                </c:pt>
                <c:pt idx="313">
                  <c:v>18.25</c:v>
                </c:pt>
                <c:pt idx="314">
                  <c:v>18.5</c:v>
                </c:pt>
                <c:pt idx="315">
                  <c:v>18.75</c:v>
                </c:pt>
                <c:pt idx="316">
                  <c:v>19</c:v>
                </c:pt>
                <c:pt idx="317">
                  <c:v>19.25</c:v>
                </c:pt>
                <c:pt idx="318">
                  <c:v>19.5</c:v>
                </c:pt>
                <c:pt idx="319">
                  <c:v>19.75</c:v>
                </c:pt>
                <c:pt idx="320">
                  <c:v>20</c:v>
                </c:pt>
                <c:pt idx="321">
                  <c:v>20.25</c:v>
                </c:pt>
                <c:pt idx="322">
                  <c:v>20.5</c:v>
                </c:pt>
                <c:pt idx="323">
                  <c:v>20.75</c:v>
                </c:pt>
                <c:pt idx="324">
                  <c:v>21</c:v>
                </c:pt>
                <c:pt idx="325">
                  <c:v>21.25</c:v>
                </c:pt>
                <c:pt idx="326">
                  <c:v>21.5</c:v>
                </c:pt>
                <c:pt idx="327">
                  <c:v>21.75</c:v>
                </c:pt>
                <c:pt idx="328">
                  <c:v>22</c:v>
                </c:pt>
                <c:pt idx="329">
                  <c:v>22.25</c:v>
                </c:pt>
                <c:pt idx="330">
                  <c:v>22.5</c:v>
                </c:pt>
                <c:pt idx="331">
                  <c:v>22.75</c:v>
                </c:pt>
                <c:pt idx="332">
                  <c:v>23</c:v>
                </c:pt>
                <c:pt idx="333">
                  <c:v>23.25</c:v>
                </c:pt>
                <c:pt idx="334">
                  <c:v>23.5</c:v>
                </c:pt>
                <c:pt idx="335">
                  <c:v>23.75</c:v>
                </c:pt>
                <c:pt idx="336">
                  <c:v>24</c:v>
                </c:pt>
                <c:pt idx="337">
                  <c:v>24.25</c:v>
                </c:pt>
                <c:pt idx="338">
                  <c:v>24.5</c:v>
                </c:pt>
                <c:pt idx="339">
                  <c:v>24.75</c:v>
                </c:pt>
                <c:pt idx="340">
                  <c:v>25</c:v>
                </c:pt>
                <c:pt idx="341">
                  <c:v>25.25</c:v>
                </c:pt>
                <c:pt idx="342">
                  <c:v>25.5</c:v>
                </c:pt>
                <c:pt idx="343">
                  <c:v>25.75</c:v>
                </c:pt>
                <c:pt idx="344">
                  <c:v>26</c:v>
                </c:pt>
                <c:pt idx="345">
                  <c:v>26.25</c:v>
                </c:pt>
                <c:pt idx="346">
                  <c:v>26.5</c:v>
                </c:pt>
                <c:pt idx="347">
                  <c:v>26.75</c:v>
                </c:pt>
                <c:pt idx="348">
                  <c:v>27</c:v>
                </c:pt>
                <c:pt idx="349">
                  <c:v>27.25</c:v>
                </c:pt>
                <c:pt idx="350">
                  <c:v>27.5</c:v>
                </c:pt>
                <c:pt idx="351">
                  <c:v>27.75</c:v>
                </c:pt>
                <c:pt idx="352">
                  <c:v>28</c:v>
                </c:pt>
                <c:pt idx="353">
                  <c:v>28.25</c:v>
                </c:pt>
                <c:pt idx="354">
                  <c:v>28.5</c:v>
                </c:pt>
                <c:pt idx="355">
                  <c:v>28.75</c:v>
                </c:pt>
                <c:pt idx="356">
                  <c:v>29</c:v>
                </c:pt>
                <c:pt idx="357">
                  <c:v>29.25</c:v>
                </c:pt>
                <c:pt idx="358">
                  <c:v>29.5</c:v>
                </c:pt>
                <c:pt idx="359">
                  <c:v>29.75</c:v>
                </c:pt>
                <c:pt idx="360">
                  <c:v>30</c:v>
                </c:pt>
                <c:pt idx="361">
                  <c:v>30.25</c:v>
                </c:pt>
                <c:pt idx="362">
                  <c:v>30.5</c:v>
                </c:pt>
                <c:pt idx="363">
                  <c:v>30.75</c:v>
                </c:pt>
                <c:pt idx="364">
                  <c:v>31</c:v>
                </c:pt>
                <c:pt idx="365">
                  <c:v>31.25</c:v>
                </c:pt>
                <c:pt idx="366">
                  <c:v>31.5</c:v>
                </c:pt>
                <c:pt idx="367">
                  <c:v>31.75</c:v>
                </c:pt>
                <c:pt idx="368">
                  <c:v>32</c:v>
                </c:pt>
                <c:pt idx="369">
                  <c:v>32.25</c:v>
                </c:pt>
                <c:pt idx="370">
                  <c:v>32.5</c:v>
                </c:pt>
                <c:pt idx="371">
                  <c:v>32.75</c:v>
                </c:pt>
                <c:pt idx="372">
                  <c:v>33</c:v>
                </c:pt>
                <c:pt idx="373">
                  <c:v>33.25</c:v>
                </c:pt>
                <c:pt idx="374">
                  <c:v>33.5</c:v>
                </c:pt>
                <c:pt idx="375">
                  <c:v>33.75</c:v>
                </c:pt>
                <c:pt idx="376">
                  <c:v>34</c:v>
                </c:pt>
                <c:pt idx="377">
                  <c:v>34.25</c:v>
                </c:pt>
                <c:pt idx="378">
                  <c:v>34.5</c:v>
                </c:pt>
                <c:pt idx="379">
                  <c:v>34.75</c:v>
                </c:pt>
                <c:pt idx="380">
                  <c:v>35</c:v>
                </c:pt>
                <c:pt idx="381">
                  <c:v>35.25</c:v>
                </c:pt>
                <c:pt idx="382">
                  <c:v>35.5</c:v>
                </c:pt>
                <c:pt idx="383">
                  <c:v>35.75</c:v>
                </c:pt>
                <c:pt idx="384">
                  <c:v>36</c:v>
                </c:pt>
                <c:pt idx="385">
                  <c:v>36.25</c:v>
                </c:pt>
                <c:pt idx="386">
                  <c:v>36.5</c:v>
                </c:pt>
                <c:pt idx="387">
                  <c:v>36.75</c:v>
                </c:pt>
                <c:pt idx="388">
                  <c:v>37</c:v>
                </c:pt>
                <c:pt idx="389">
                  <c:v>37.25</c:v>
                </c:pt>
                <c:pt idx="390">
                  <c:v>37.5</c:v>
                </c:pt>
                <c:pt idx="391">
                  <c:v>37.75</c:v>
                </c:pt>
                <c:pt idx="392">
                  <c:v>38</c:v>
                </c:pt>
                <c:pt idx="393">
                  <c:v>38.25</c:v>
                </c:pt>
                <c:pt idx="394">
                  <c:v>38.5</c:v>
                </c:pt>
                <c:pt idx="395">
                  <c:v>38.75</c:v>
                </c:pt>
                <c:pt idx="396">
                  <c:v>39</c:v>
                </c:pt>
                <c:pt idx="397">
                  <c:v>39.25</c:v>
                </c:pt>
                <c:pt idx="398">
                  <c:v>39.5</c:v>
                </c:pt>
                <c:pt idx="399">
                  <c:v>39.75</c:v>
                </c:pt>
                <c:pt idx="400">
                  <c:v>40</c:v>
                </c:pt>
              </c:numCache>
            </c:numRef>
          </c:xVal>
          <c:yVal>
            <c:numRef>
              <c:f>'transversal subsidence profile'!$M$10:$M$410</c:f>
              <c:numCache>
                <c:formatCode>0.00000</c:formatCode>
                <c:ptCount val="401"/>
                <c:pt idx="0">
                  <c:v>3.1854479300646196E-12</c:v>
                </c:pt>
                <c:pt idx="1">
                  <c:v>4.18813610233465E-12</c:v>
                </c:pt>
                <c:pt idx="2">
                  <c:v>5.4988937787332284E-12</c:v>
                </c:pt>
                <c:pt idx="3">
                  <c:v>7.2099813759218402E-12</c:v>
                </c:pt>
                <c:pt idx="4">
                  <c:v>9.4405484193205691E-12</c:v>
                </c:pt>
                <c:pt idx="5">
                  <c:v>1.2344246185687699E-11</c:v>
                </c:pt>
                <c:pt idx="6">
                  <c:v>1.6118929457499862E-11</c:v>
                </c:pt>
                <c:pt idx="7">
                  <c:v>2.1019001697007391E-11</c:v>
                </c:pt>
                <c:pt idx="8">
                  <c:v>2.7371099713459466E-11</c:v>
                </c:pt>
                <c:pt idx="9">
                  <c:v>3.5593990478570726E-11</c:v>
                </c:pt>
                <c:pt idx="10">
                  <c:v>4.6223772314195433E-11</c:v>
                </c:pt>
                <c:pt idx="11">
                  <c:v>5.9945745225090091E-11</c:v>
                </c:pt>
                <c:pt idx="12">
                  <c:v>7.7634652874939105E-11</c:v>
                </c:pt>
                <c:pt idx="13">
                  <c:v>1.0040541646233034E-10</c:v>
                </c:pt>
                <c:pt idx="14">
                  <c:v>1.2967699660723557E-10</c:v>
                </c:pt>
                <c:pt idx="15">
                  <c:v>1.6725265522321394E-10</c:v>
                </c:pt>
                <c:pt idx="16">
                  <c:v>2.1542067176373604E-10</c:v>
                </c:pt>
                <c:pt idx="17">
                  <c:v>2.7708052926310224E-10</c:v>
                </c:pt>
                <c:pt idx="18">
                  <c:v>3.5590076392117531E-10</c:v>
                </c:pt>
                <c:pt idx="19">
                  <c:v>4.5651611415802625E-10</c:v>
                </c:pt>
                <c:pt idx="20">
                  <c:v>5.8477336700181724E-10</c:v>
                </c:pt>
                <c:pt idx="21">
                  <c:v>7.4803744838674133E-10</c:v>
                </c:pt>
                <c:pt idx="22">
                  <c:v>9.5557191958369852E-10</c:v>
                </c:pt>
                <c:pt idx="23">
                  <c:v>1.2190112202341777E-9</c:v>
                </c:pt>
                <c:pt idx="24">
                  <c:v>1.5529458532492407E-9</c:v>
                </c:pt>
                <c:pt idx="25">
                  <c:v>1.9756463735799497E-9</c:v>
                </c:pt>
                <c:pt idx="26">
                  <c:v>2.509957682134853E-9</c:v>
                </c:pt>
                <c:pt idx="27">
                  <c:v>3.1844019279020346E-9</c:v>
                </c:pt>
                <c:pt idx="28">
                  <c:v>4.0345365099183022E-9</c:v>
                </c:pt>
                <c:pt idx="29">
                  <c:v>5.1046235103063718E-9</c:v>
                </c:pt>
                <c:pt idx="30">
                  <c:v>6.4496786906416177E-9</c:v>
                </c:pt>
                <c:pt idx="31">
                  <c:v>8.1379823104269681E-9</c:v>
                </c:pt>
                <c:pt idx="32">
                  <c:v>1.0254150904233524E-8</c:v>
                </c:pt>
                <c:pt idx="33">
                  <c:v>1.290288927995149E-8</c:v>
                </c:pt>
                <c:pt idx="34">
                  <c:v>1.6213565952961937E-8</c:v>
                </c:pt>
                <c:pt idx="35">
                  <c:v>2.0345783681482551E-8</c:v>
                </c:pt>
                <c:pt idx="36">
                  <c:v>2.5496150494771559E-8</c:v>
                </c:pt>
                <c:pt idx="37">
                  <c:v>3.1906496507040077E-8</c:v>
                </c:pt>
                <c:pt idx="38">
                  <c:v>3.9873828921477484E-8</c:v>
                </c:pt>
                <c:pt idx="39">
                  <c:v>4.9762373141001196E-8</c:v>
                </c:pt>
                <c:pt idx="40">
                  <c:v>6.2018113179422562E-8</c:v>
                </c:pt>
                <c:pt idx="41">
                  <c:v>7.7186321168006471E-8</c:v>
                </c:pt>
                <c:pt idx="42">
                  <c:v>9.5932655455127633E-8</c:v>
                </c:pt>
                <c:pt idx="43">
                  <c:v>1.1906851162066078E-7</c:v>
                </c:pt>
                <c:pt idx="44">
                  <c:v>1.4758143296041538E-7</c:v>
                </c:pt>
                <c:pt idx="45">
                  <c:v>1.8267152922444615E-7</c:v>
                </c:pt>
                <c:pt idx="46">
                  <c:v>2.2579501752742603E-7</c:v>
                </c:pt>
                <c:pt idx="47">
                  <c:v>2.7871619065655953E-7</c:v>
                </c:pt>
                <c:pt idx="48">
                  <c:v>3.4356933913746395E-7</c:v>
                </c:pt>
                <c:pt idx="49">
                  <c:v>4.2293240845477902E-7</c:v>
                </c:pt>
                <c:pt idx="50">
                  <c:v>5.1991446628662097E-7</c:v>
                </c:pt>
                <c:pt idx="51">
                  <c:v>6.382593915064994E-7</c:v>
                </c:pt>
                <c:pt idx="52">
                  <c:v>7.8246858255035445E-7</c:v>
                </c:pt>
                <c:pt idx="53">
                  <c:v>9.5794592359498411E-7</c:v>
                </c:pt>
                <c:pt idx="54">
                  <c:v>1.1711687494640698E-6</c:v>
                </c:pt>
                <c:pt idx="55">
                  <c:v>1.4298891214658146E-6</c:v>
                </c:pt>
                <c:pt idx="56">
                  <c:v>1.7433703742607305E-6</c:v>
                </c:pt>
                <c:pt idx="57">
                  <c:v>2.1226646267451483E-6</c:v>
                </c:pt>
                <c:pt idx="58">
                  <c:v>2.5809377767924857E-6</c:v>
                </c:pt>
                <c:pt idx="59">
                  <c:v>3.1338494300711363E-6</c:v>
                </c:pt>
                <c:pt idx="60">
                  <c:v>3.7999962571488499E-6</c:v>
                </c:pt>
                <c:pt idx="61">
                  <c:v>4.6014284412862936E-6</c:v>
                </c:pt>
                <c:pt idx="62">
                  <c:v>5.5642501827317502E-6</c:v>
                </c:pt>
                <c:pt idx="63">
                  <c:v>6.7193166753065486E-6</c:v>
                </c:pt>
                <c:pt idx="64">
                  <c:v>8.1030415791889937E-6</c:v>
                </c:pt>
                <c:pt idx="65">
                  <c:v>9.7583307917149685E-6</c:v>
                </c:pt>
                <c:pt idx="66">
                  <c:v>1.1735660277269438E-5</c:v>
                </c:pt>
                <c:pt idx="67">
                  <c:v>1.4094317869189023E-5</c:v>
                </c:pt>
                <c:pt idx="68">
                  <c:v>1.6903831311722769E-5</c:v>
                </c:pt>
                <c:pt idx="69">
                  <c:v>2.0245607378347463E-5</c:v>
                </c:pt>
                <c:pt idx="70">
                  <c:v>2.4214809692769842E-5</c:v>
                </c:pt>
                <c:pt idx="71">
                  <c:v>2.8922505897875416E-5</c:v>
                </c:pt>
                <c:pt idx="72">
                  <c:v>3.4498118070818721E-5</c:v>
                </c:pt>
                <c:pt idx="73">
                  <c:v>4.1092213772043049E-5</c:v>
                </c:pt>
                <c:pt idx="74">
                  <c:v>4.8879678841932032E-5</c:v>
                </c:pt>
                <c:pt idx="75">
                  <c:v>5.8063317017111492E-5</c:v>
                </c:pt>
                <c:pt idx="76">
                  <c:v>6.8877925621035817E-5</c:v>
                </c:pt>
                <c:pt idx="77">
                  <c:v>8.1594900977432599E-5</c:v>
                </c:pt>
                <c:pt idx="78">
                  <c:v>9.6527431781879625E-5</c:v>
                </c:pt>
                <c:pt idx="79">
                  <c:v>1.1403634342138339E-4</c:v>
                </c:pt>
                <c:pt idx="80">
                  <c:v>1.3453666112232113E-4</c:v>
                </c:pt>
                <c:pt idx="81">
                  <c:v>1.5850496479365123E-4</c:v>
                </c:pt>
                <c:pt idx="82">
                  <c:v>1.8648761346631233E-4</c:v>
                </c:pt>
                <c:pt idx="83">
                  <c:v>2.1910992225322132E-4</c:v>
                </c:pt>
                <c:pt idx="84">
                  <c:v>2.5708637969899383E-4</c:v>
                </c:pt>
                <c:pt idx="85">
                  <c:v>3.0123199817524786E-4</c:v>
                </c:pt>
                <c:pt idx="86">
                  <c:v>3.5247489451539505E-4</c:v>
                </c:pt>
                <c:pt idx="87">
                  <c:v>4.1187020226926384E-4</c:v>
                </c:pt>
                <c:pt idx="88">
                  <c:v>4.8061542067732527E-4</c:v>
                </c:pt>
                <c:pt idx="89">
                  <c:v>5.6006730858848368E-4</c:v>
                </c:pt>
                <c:pt idx="90">
                  <c:v>6.5176043393316851E-4</c:v>
                </c:pt>
                <c:pt idx="91">
                  <c:v>7.5742749086092534E-4</c:v>
                </c:pt>
                <c:pt idx="92">
                  <c:v>8.7902149709247006E-4</c:v>
                </c:pt>
                <c:pt idx="93">
                  <c:v>1.0187399832422199E-3</c:v>
                </c:pt>
                <c:pt idx="94">
                  <c:v>1.1790512836497165E-3</c:v>
                </c:pt>
                <c:pt idx="95">
                  <c:v>1.3627230344188939E-3</c:v>
                </c:pt>
                <c:pt idx="96">
                  <c:v>1.5728529786967714E-3</c:v>
                </c:pt>
                <c:pt idx="97">
                  <c:v>1.8129021715163705E-3</c:v>
                </c:pt>
                <c:pt idx="98">
                  <c:v>2.0867306665678207E-3</c:v>
                </c:pt>
                <c:pt idx="99">
                  <c:v>2.3986357548322285E-3</c:v>
                </c:pt>
                <c:pt idx="100">
                  <c:v>2.753392809904135E-3</c:v>
                </c:pt>
                <c:pt idx="101">
                  <c:v>3.1562987768364915E-3</c:v>
                </c:pt>
                <c:pt idx="102">
                  <c:v>3.6132183202762019E-3</c:v>
                </c:pt>
                <c:pt idx="103">
                  <c:v>4.1306326233433565E-3</c:v>
                </c:pt>
                <c:pt idx="104">
                  <c:v>4.7156908009918638E-3</c:v>
                </c:pt>
                <c:pt idx="105">
                  <c:v>5.3762638603487845E-3</c:v>
                </c:pt>
                <c:pt idx="106">
                  <c:v>6.1210011056748968E-3</c:v>
                </c:pt>
                <c:pt idx="107">
                  <c:v>6.9593888470706007E-3</c:v>
                </c:pt>
                <c:pt idx="108">
                  <c:v>7.9018112298676248E-3</c:v>
                </c:pt>
                <c:pt idx="109">
                  <c:v>8.9596129558498529E-3</c:v>
                </c:pt>
                <c:pt idx="110">
                  <c:v>1.0145163618149293E-2</c:v>
                </c:pt>
                <c:pt idx="111">
                  <c:v>1.1471923319045131E-2</c:v>
                </c:pt>
                <c:pt idx="112">
                  <c:v>1.2954509184208847E-2</c:v>
                </c:pt>
                <c:pt idx="113">
                  <c:v>1.4608762328518699E-2</c:v>
                </c:pt>
                <c:pt idx="114">
                  <c:v>1.6451814767829424E-2</c:v>
                </c:pt>
                <c:pt idx="115">
                  <c:v>1.8502155708533832E-2</c:v>
                </c:pt>
                <c:pt idx="116">
                  <c:v>2.0779696582988651E-2</c:v>
                </c:pt>
                <c:pt idx="117">
                  <c:v>2.3305834134589729E-2</c:v>
                </c:pt>
                <c:pt idx="118">
                  <c:v>2.6103510792257766E-2</c:v>
                </c:pt>
                <c:pt idx="119">
                  <c:v>2.9197271511214783E-2</c:v>
                </c:pt>
                <c:pt idx="120">
                  <c:v>3.2613316196164734E-2</c:v>
                </c:pt>
                <c:pt idx="121">
                  <c:v>3.6379546765397286E-2</c:v>
                </c:pt>
                <c:pt idx="122">
                  <c:v>4.0525607861047114E-2</c:v>
                </c:pt>
                <c:pt idx="123">
                  <c:v>4.5082920162971857E-2</c:v>
                </c:pt>
                <c:pt idx="124">
                  <c:v>5.0084705222724749E-2</c:v>
                </c:pt>
                <c:pt idx="125">
                  <c:v>5.5566000701204647E-2</c:v>
                </c:pt>
                <c:pt idx="126">
                  <c:v>6.1563664870110169E-2</c:v>
                </c:pt>
                <c:pt idx="127">
                  <c:v>6.8116369224650947E-2</c:v>
                </c:pt>
                <c:pt idx="128">
                  <c:v>7.5264578054423145E-2</c:v>
                </c:pt>
                <c:pt idx="129">
                  <c:v>8.3050513832241463E-2</c:v>
                </c:pt>
                <c:pt idx="130">
                  <c:v>9.1518107308280278E-2</c:v>
                </c:pt>
                <c:pt idx="131">
                  <c:v>0.10071293124027669</c:v>
                </c:pt>
                <c:pt idx="132">
                  <c:v>0.11068211675082978</c:v>
                </c:pt>
                <c:pt idx="133">
                  <c:v>0.12147425138089636</c:v>
                </c:pt>
                <c:pt idx="134">
                  <c:v>0.13313925800516072</c:v>
                </c:pt>
                <c:pt idx="135">
                  <c:v>0.1457282538905697</c:v>
                </c:pt>
                <c:pt idx="136">
                  <c:v>0.15929338931426396</c:v>
                </c:pt>
                <c:pt idx="137">
                  <c:v>0.17388766531143163</c:v>
                </c:pt>
                <c:pt idx="138">
                  <c:v>0.18956473029700707</c:v>
                </c:pt>
                <c:pt idx="139">
                  <c:v>0.20637865549705828</c:v>
                </c:pt>
                <c:pt idx="140">
                  <c:v>0.22438368933526737</c:v>
                </c:pt>
                <c:pt idx="141">
                  <c:v>0.24363399114583753</c:v>
                </c:pt>
                <c:pt idx="142">
                  <c:v>0.26418334482487904</c:v>
                </c:pt>
                <c:pt idx="143">
                  <c:v>0.28608485328583177</c:v>
                </c:pt>
                <c:pt idx="144">
                  <c:v>0.30939061484846003</c:v>
                </c:pt>
                <c:pt idx="145">
                  <c:v>0.3341513829626877</c:v>
                </c:pt>
                <c:pt idx="146">
                  <c:v>0.36041621094499243</c:v>
                </c:pt>
                <c:pt idx="147">
                  <c:v>0.38823208368286627</c:v>
                </c:pt>
                <c:pt idx="148">
                  <c:v>0.41764353853831826</c:v>
                </c:pt>
                <c:pt idx="149">
                  <c:v>0.44869227795059041</c:v>
                </c:pt>
                <c:pt idx="150">
                  <c:v>0.48141677649706049</c:v>
                </c:pt>
                <c:pt idx="151">
                  <c:v>0.5158518854153632</c:v>
                </c:pt>
                <c:pt idx="152">
                  <c:v>0.55202843781469346</c:v>
                </c:pt>
                <c:pt idx="153">
                  <c:v>0.58997285800555244</c:v>
                </c:pt>
                <c:pt idx="154">
                  <c:v>0.6297067785504713</c:v>
                </c:pt>
                <c:pt idx="155">
                  <c:v>0.67124666877912464</c:v>
                </c:pt>
                <c:pt idx="156">
                  <c:v>0.71460347861561557</c:v>
                </c:pt>
                <c:pt idx="157">
                  <c:v>0.75978230162969917</c:v>
                </c:pt>
                <c:pt idx="158">
                  <c:v>0.80678206124375773</c:v>
                </c:pt>
                <c:pt idx="159">
                  <c:v>0.8555952240004292</c:v>
                </c:pt>
                <c:pt idx="160">
                  <c:v>0.90620754371928469</c:v>
                </c:pt>
                <c:pt idx="161">
                  <c:v>0.95859784024294259</c:v>
                </c:pt>
                <c:pt idx="162">
                  <c:v>1.0127378162921687</c:v>
                </c:pt>
                <c:pt idx="163">
                  <c:v>1.0685919157152919</c:v>
                </c:pt>
                <c:pt idx="164">
                  <c:v>1.1261172261298955</c:v>
                </c:pt>
                <c:pt idx="165">
                  <c:v>1.1852634286152974</c:v>
                </c:pt>
                <c:pt idx="166">
                  <c:v>1.2459727967247465</c:v>
                </c:pt>
                <c:pt idx="167">
                  <c:v>1.3081802466493673</c:v>
                </c:pt>
                <c:pt idx="168">
                  <c:v>1.3718134398854187</c:v>
                </c:pt>
                <c:pt idx="169">
                  <c:v>1.4367929392369931</c:v>
                </c:pt>
                <c:pt idx="170">
                  <c:v>1.5030324184333492</c:v>
                </c:pt>
                <c:pt idx="171">
                  <c:v>1.5704389250599289</c:v>
                </c:pt>
                <c:pt idx="172">
                  <c:v>1.6389131959017447</c:v>
                </c:pt>
                <c:pt idx="173">
                  <c:v>1.70835002318499</c:v>
                </c:pt>
                <c:pt idx="174">
                  <c:v>1.7786386695856404</c:v>
                </c:pt>
                <c:pt idx="175">
                  <c:v>1.8496633292611957</c:v>
                </c:pt>
                <c:pt idx="176">
                  <c:v>1.9213036315626648</c:v>
                </c:pt>
                <c:pt idx="177">
                  <c:v>1.9934351835075943</c:v>
                </c:pt>
                <c:pt idx="178">
                  <c:v>2.065930146550738</c:v>
                </c:pt>
                <c:pt idx="179">
                  <c:v>2.1386578426859941</c:v>
                </c:pt>
                <c:pt idx="180">
                  <c:v>2.2114853844604152</c:v>
                </c:pt>
                <c:pt idx="181">
                  <c:v>2.2842783230868786</c:v>
                </c:pt>
                <c:pt idx="182">
                  <c:v>2.3569013085142441</c:v>
                </c:pt>
                <c:pt idx="183">
                  <c:v>2.4292187550595985</c:v>
                </c:pt>
                <c:pt idx="184">
                  <c:v>2.5010955060326787</c:v>
                </c:pt>
                <c:pt idx="185">
                  <c:v>2.57239749069283</c:v>
                </c:pt>
                <c:pt idx="186">
                  <c:v>2.6429923668779178</c:v>
                </c:pt>
                <c:pt idx="187">
                  <c:v>2.7127501427348917</c:v>
                </c:pt>
                <c:pt idx="188">
                  <c:v>2.7815437711646434</c:v>
                </c:pt>
                <c:pt idx="189">
                  <c:v>2.8492497108689587</c:v>
                </c:pt>
                <c:pt idx="190">
                  <c:v>2.915748448253094</c:v>
                </c:pt>
                <c:pt idx="191">
                  <c:v>2.9809249748904856</c:v>
                </c:pt>
                <c:pt idx="192">
                  <c:v>3.0446692157915107</c:v>
                </c:pt>
                <c:pt idx="193">
                  <c:v>3.1068764043297921</c:v>
                </c:pt>
                <c:pt idx="194">
                  <c:v>3.1674474003595652</c:v>
                </c:pt>
                <c:pt idx="195">
                  <c:v>3.2262889487970337</c:v>
                </c:pt>
                <c:pt idx="196">
                  <c:v>3.2833138767272891</c:v>
                </c:pt>
                <c:pt idx="197">
                  <c:v>3.3384412279248772</c:v>
                </c:pt>
                <c:pt idx="198">
                  <c:v>3.3915963345283449</c:v>
                </c:pt>
                <c:pt idx="199">
                  <c:v>3.4427108264742574</c:v>
                </c:pt>
                <c:pt idx="200">
                  <c:v>3.4917225801608085</c:v>
                </c:pt>
                <c:pt idx="201">
                  <c:v>3.5385756086617812</c:v>
                </c:pt>
                <c:pt idx="202">
                  <c:v>3.5832198966344881</c:v>
                </c:pt>
                <c:pt idx="203">
                  <c:v>3.6256111838471683</c:v>
                </c:pt>
                <c:pt idx="204">
                  <c:v>3.6657107019790174</c:v>
                </c:pt>
                <c:pt idx="205">
                  <c:v>3.703484870007498</c:v>
                </c:pt>
                <c:pt idx="206">
                  <c:v>3.7389049540813013</c:v>
                </c:pt>
                <c:pt idx="207">
                  <c:v>3.7719466982732381</c:v>
                </c:pt>
                <c:pt idx="208">
                  <c:v>3.8025899330064714</c:v>
                </c:pt>
                <c:pt idx="209">
                  <c:v>3.830818168242522</c:v>
                </c:pt>
                <c:pt idx="210">
                  <c:v>3.8566181787047364</c:v>
                </c:pt>
                <c:pt idx="211">
                  <c:v>3.8799795884823864</c:v>
                </c:pt>
                <c:pt idx="212">
                  <c:v>3.9008944623163688</c:v>
                </c:pt>
                <c:pt idx="213">
                  <c:v>3.9193569107073651</c:v>
                </c:pt>
                <c:pt idx="214">
                  <c:v>3.9353627157132767</c:v>
                </c:pt>
                <c:pt idx="215">
                  <c:v>3.948908983918475</c:v>
                </c:pt>
                <c:pt idx="216">
                  <c:v>3.959993832568685</c:v>
                </c:pt>
                <c:pt idx="217">
                  <c:v>3.9686161142795502</c:v>
                </c:pt>
                <c:pt idx="218">
                  <c:v>3.9747751850534292</c:v>
                </c:pt>
                <c:pt idx="219">
                  <c:v>3.9784707195883069</c:v>
                </c:pt>
                <c:pt idx="220">
                  <c:v>3.9797025770471164</c:v>
                </c:pt>
                <c:pt idx="221">
                  <c:v>3.9784707195883069</c:v>
                </c:pt>
                <c:pt idx="222">
                  <c:v>3.9747751850534292</c:v>
                </c:pt>
                <c:pt idx="223">
                  <c:v>3.9686161142795502</c:v>
                </c:pt>
                <c:pt idx="224">
                  <c:v>3.959993832568685</c:v>
                </c:pt>
                <c:pt idx="225">
                  <c:v>3.948908983918475</c:v>
                </c:pt>
                <c:pt idx="226">
                  <c:v>3.9353627157132767</c:v>
                </c:pt>
                <c:pt idx="227">
                  <c:v>3.9193569107073651</c:v>
                </c:pt>
                <c:pt idx="228">
                  <c:v>3.9008944623163688</c:v>
                </c:pt>
                <c:pt idx="229">
                  <c:v>3.8799795884823864</c:v>
                </c:pt>
                <c:pt idx="230">
                  <c:v>3.8566181787047364</c:v>
                </c:pt>
                <c:pt idx="231">
                  <c:v>3.830818168242522</c:v>
                </c:pt>
                <c:pt idx="232">
                  <c:v>3.8025899330064714</c:v>
                </c:pt>
                <c:pt idx="233">
                  <c:v>3.7719466982732381</c:v>
                </c:pt>
                <c:pt idx="234">
                  <c:v>3.7389049540813013</c:v>
                </c:pt>
                <c:pt idx="235">
                  <c:v>3.703484870007498</c:v>
                </c:pt>
                <c:pt idx="236">
                  <c:v>3.6657107019790174</c:v>
                </c:pt>
                <c:pt idx="237">
                  <c:v>3.6256111838471683</c:v>
                </c:pt>
                <c:pt idx="238">
                  <c:v>3.5832198966344881</c:v>
                </c:pt>
                <c:pt idx="239">
                  <c:v>3.5385756086617812</c:v>
                </c:pt>
                <c:pt idx="240">
                  <c:v>3.4917225801608085</c:v>
                </c:pt>
                <c:pt idx="241">
                  <c:v>3.4427108264742574</c:v>
                </c:pt>
                <c:pt idx="242">
                  <c:v>3.3915963345283449</c:v>
                </c:pt>
                <c:pt idx="243">
                  <c:v>3.3384412279248772</c:v>
                </c:pt>
                <c:pt idx="244">
                  <c:v>3.2833138767272891</c:v>
                </c:pt>
                <c:pt idx="245">
                  <c:v>3.2262889487970337</c:v>
                </c:pt>
                <c:pt idx="246">
                  <c:v>3.1674474003595652</c:v>
                </c:pt>
                <c:pt idx="247">
                  <c:v>3.1068764043297921</c:v>
                </c:pt>
                <c:pt idx="248">
                  <c:v>3.0446692157915107</c:v>
                </c:pt>
                <c:pt idx="249">
                  <c:v>2.9809249748904856</c:v>
                </c:pt>
                <c:pt idx="250">
                  <c:v>2.915748448253094</c:v>
                </c:pt>
                <c:pt idx="251">
                  <c:v>2.8492497108689587</c:v>
                </c:pt>
                <c:pt idx="252">
                  <c:v>2.7815437711646434</c:v>
                </c:pt>
                <c:pt idx="253">
                  <c:v>2.7127501427348917</c:v>
                </c:pt>
                <c:pt idx="254">
                  <c:v>2.6429923668779178</c:v>
                </c:pt>
                <c:pt idx="255">
                  <c:v>2.57239749069283</c:v>
                </c:pt>
                <c:pt idx="256">
                  <c:v>2.5010955060326787</c:v>
                </c:pt>
                <c:pt idx="257">
                  <c:v>2.4292187550595985</c:v>
                </c:pt>
                <c:pt idx="258">
                  <c:v>2.3569013085142441</c:v>
                </c:pt>
                <c:pt idx="259">
                  <c:v>2.2842783230868786</c:v>
                </c:pt>
                <c:pt idx="260">
                  <c:v>2.2114853844604152</c:v>
                </c:pt>
                <c:pt idx="261">
                  <c:v>2.1386578426859941</c:v>
                </c:pt>
                <c:pt idx="262">
                  <c:v>2.065930146550738</c:v>
                </c:pt>
                <c:pt idx="263">
                  <c:v>1.9934351835075943</c:v>
                </c:pt>
                <c:pt idx="264">
                  <c:v>1.9213036315626648</c:v>
                </c:pt>
                <c:pt idx="265">
                  <c:v>1.8496633292611957</c:v>
                </c:pt>
                <c:pt idx="266">
                  <c:v>1.7786386695856404</c:v>
                </c:pt>
                <c:pt idx="267">
                  <c:v>1.70835002318499</c:v>
                </c:pt>
                <c:pt idx="268">
                  <c:v>1.6389131959017447</c:v>
                </c:pt>
                <c:pt idx="269">
                  <c:v>1.5704389250599289</c:v>
                </c:pt>
                <c:pt idx="270">
                  <c:v>1.5030324184333492</c:v>
                </c:pt>
                <c:pt idx="271">
                  <c:v>1.4367929392369931</c:v>
                </c:pt>
                <c:pt idx="272">
                  <c:v>1.3718134398854187</c:v>
                </c:pt>
                <c:pt idx="273">
                  <c:v>1.3081802466493673</c:v>
                </c:pt>
                <c:pt idx="274">
                  <c:v>1.2459727967247465</c:v>
                </c:pt>
                <c:pt idx="275">
                  <c:v>1.1852634286152974</c:v>
                </c:pt>
                <c:pt idx="276">
                  <c:v>1.1261172261298955</c:v>
                </c:pt>
                <c:pt idx="277">
                  <c:v>1.0685919157152919</c:v>
                </c:pt>
                <c:pt idx="278">
                  <c:v>1.0127378162921687</c:v>
                </c:pt>
                <c:pt idx="279">
                  <c:v>0.95859784024294259</c:v>
                </c:pt>
                <c:pt idx="280">
                  <c:v>0.90620754371928469</c:v>
                </c:pt>
                <c:pt idx="281">
                  <c:v>0.8555952240004292</c:v>
                </c:pt>
                <c:pt idx="282">
                  <c:v>0.80678206124375773</c:v>
                </c:pt>
                <c:pt idx="283">
                  <c:v>0.75978230162969917</c:v>
                </c:pt>
                <c:pt idx="284">
                  <c:v>0.71460347861561557</c:v>
                </c:pt>
                <c:pt idx="285">
                  <c:v>0.67124666877912464</c:v>
                </c:pt>
                <c:pt idx="286">
                  <c:v>0.6297067785504713</c:v>
                </c:pt>
                <c:pt idx="287">
                  <c:v>0.58997285800555244</c:v>
                </c:pt>
                <c:pt idx="288">
                  <c:v>0.55202843781469346</c:v>
                </c:pt>
                <c:pt idx="289">
                  <c:v>0.5158518854153632</c:v>
                </c:pt>
                <c:pt idx="290">
                  <c:v>0.48141677649706049</c:v>
                </c:pt>
                <c:pt idx="291">
                  <c:v>0.44869227795059041</c:v>
                </c:pt>
                <c:pt idx="292">
                  <c:v>0.41764353853831826</c:v>
                </c:pt>
                <c:pt idx="293">
                  <c:v>0.38823208368286627</c:v>
                </c:pt>
                <c:pt idx="294">
                  <c:v>0.36041621094499243</c:v>
                </c:pt>
                <c:pt idx="295">
                  <c:v>0.3341513829626877</c:v>
                </c:pt>
                <c:pt idx="296">
                  <c:v>0.30939061484846003</c:v>
                </c:pt>
                <c:pt idx="297">
                  <c:v>0.28608485328583177</c:v>
                </c:pt>
                <c:pt idx="298">
                  <c:v>0.26418334482487904</c:v>
                </c:pt>
                <c:pt idx="299">
                  <c:v>0.24363399114583753</c:v>
                </c:pt>
                <c:pt idx="300">
                  <c:v>0.22438368933526737</c:v>
                </c:pt>
                <c:pt idx="301">
                  <c:v>0.20637865549705828</c:v>
                </c:pt>
                <c:pt idx="302">
                  <c:v>0.18956473029700707</c:v>
                </c:pt>
                <c:pt idx="303">
                  <c:v>0.17388766531143163</c:v>
                </c:pt>
                <c:pt idx="304">
                  <c:v>0.15929338931426396</c:v>
                </c:pt>
                <c:pt idx="305">
                  <c:v>0.1457282538905697</c:v>
                </c:pt>
                <c:pt idx="306">
                  <c:v>0.13313925800516072</c:v>
                </c:pt>
                <c:pt idx="307">
                  <c:v>0.12147425138089636</c:v>
                </c:pt>
                <c:pt idx="308">
                  <c:v>0.11068211675082978</c:v>
                </c:pt>
                <c:pt idx="309">
                  <c:v>0.10071293124027669</c:v>
                </c:pt>
                <c:pt idx="310">
                  <c:v>9.1518107308280278E-2</c:v>
                </c:pt>
                <c:pt idx="311">
                  <c:v>8.3050513832241463E-2</c:v>
                </c:pt>
                <c:pt idx="312">
                  <c:v>7.5264578054423145E-2</c:v>
                </c:pt>
                <c:pt idx="313">
                  <c:v>6.8116369224650947E-2</c:v>
                </c:pt>
                <c:pt idx="314">
                  <c:v>6.1563664870110169E-2</c:v>
                </c:pt>
                <c:pt idx="315">
                  <c:v>5.5566000701204647E-2</c:v>
                </c:pt>
                <c:pt idx="316">
                  <c:v>5.0084705222724749E-2</c:v>
                </c:pt>
                <c:pt idx="317">
                  <c:v>4.5082920162971857E-2</c:v>
                </c:pt>
                <c:pt idx="318">
                  <c:v>4.0525607861047114E-2</c:v>
                </c:pt>
                <c:pt idx="319">
                  <c:v>3.6379546765397286E-2</c:v>
                </c:pt>
                <c:pt idx="320">
                  <c:v>3.2613316196164734E-2</c:v>
                </c:pt>
                <c:pt idx="321">
                  <c:v>2.9197271511214783E-2</c:v>
                </c:pt>
                <c:pt idx="322">
                  <c:v>2.6103510792257766E-2</c:v>
                </c:pt>
                <c:pt idx="323">
                  <c:v>2.3305834134589729E-2</c:v>
                </c:pt>
                <c:pt idx="324">
                  <c:v>2.0779696582988651E-2</c:v>
                </c:pt>
                <c:pt idx="325">
                  <c:v>1.8502155708533832E-2</c:v>
                </c:pt>
                <c:pt idx="326">
                  <c:v>1.6451814767829424E-2</c:v>
                </c:pt>
                <c:pt idx="327">
                  <c:v>1.4608762328518699E-2</c:v>
                </c:pt>
                <c:pt idx="328">
                  <c:v>1.2954509184208847E-2</c:v>
                </c:pt>
                <c:pt idx="329">
                  <c:v>1.1471923319045131E-2</c:v>
                </c:pt>
                <c:pt idx="330">
                  <c:v>1.0145163618149293E-2</c:v>
                </c:pt>
                <c:pt idx="331">
                  <c:v>8.9596129558498529E-3</c:v>
                </c:pt>
                <c:pt idx="332">
                  <c:v>7.9018112298676248E-3</c:v>
                </c:pt>
                <c:pt idx="333">
                  <c:v>6.9593888470706007E-3</c:v>
                </c:pt>
                <c:pt idx="334">
                  <c:v>6.1210011056748968E-3</c:v>
                </c:pt>
                <c:pt idx="335">
                  <c:v>5.3762638603487845E-3</c:v>
                </c:pt>
                <c:pt idx="336">
                  <c:v>4.7156908009918638E-3</c:v>
                </c:pt>
                <c:pt idx="337">
                  <c:v>4.1306326233433565E-3</c:v>
                </c:pt>
                <c:pt idx="338">
                  <c:v>3.6132183202762019E-3</c:v>
                </c:pt>
                <c:pt idx="339">
                  <c:v>3.1562987768364915E-3</c:v>
                </c:pt>
                <c:pt idx="340">
                  <c:v>2.753392809904135E-3</c:v>
                </c:pt>
                <c:pt idx="341">
                  <c:v>2.3986357548322285E-3</c:v>
                </c:pt>
                <c:pt idx="342">
                  <c:v>2.0867306665678207E-3</c:v>
                </c:pt>
                <c:pt idx="343">
                  <c:v>1.8129021715163705E-3</c:v>
                </c:pt>
                <c:pt idx="344">
                  <c:v>1.5728529786967714E-3</c:v>
                </c:pt>
                <c:pt idx="345">
                  <c:v>1.3627230344188939E-3</c:v>
                </c:pt>
                <c:pt idx="346">
                  <c:v>1.1790512836497165E-3</c:v>
                </c:pt>
                <c:pt idx="347">
                  <c:v>1.0187399832422199E-3</c:v>
                </c:pt>
                <c:pt idx="348">
                  <c:v>8.7902149709247006E-4</c:v>
                </c:pt>
                <c:pt idx="349">
                  <c:v>7.5742749086092534E-4</c:v>
                </c:pt>
                <c:pt idx="350">
                  <c:v>6.5176043393316851E-4</c:v>
                </c:pt>
                <c:pt idx="351">
                  <c:v>5.6006730858848368E-4</c:v>
                </c:pt>
                <c:pt idx="352">
                  <c:v>4.8061542067732527E-4</c:v>
                </c:pt>
                <c:pt idx="353">
                  <c:v>4.1187020226926384E-4</c:v>
                </c:pt>
                <c:pt idx="354">
                  <c:v>3.5247489451539505E-4</c:v>
                </c:pt>
                <c:pt idx="355">
                  <c:v>3.0123199817524786E-4</c:v>
                </c:pt>
                <c:pt idx="356">
                  <c:v>2.5708637969899383E-4</c:v>
                </c:pt>
                <c:pt idx="357">
                  <c:v>2.1910992225322132E-4</c:v>
                </c:pt>
                <c:pt idx="358">
                  <c:v>1.8648761346631233E-4</c:v>
                </c:pt>
                <c:pt idx="359">
                  <c:v>1.5850496479365123E-4</c:v>
                </c:pt>
                <c:pt idx="360">
                  <c:v>1.3453666112232113E-4</c:v>
                </c:pt>
                <c:pt idx="361">
                  <c:v>1.1403634342138339E-4</c:v>
                </c:pt>
                <c:pt idx="362">
                  <c:v>9.6527431781879625E-5</c:v>
                </c:pt>
                <c:pt idx="363">
                  <c:v>8.1594900977432599E-5</c:v>
                </c:pt>
                <c:pt idx="364">
                  <c:v>6.8877925621035817E-5</c:v>
                </c:pt>
                <c:pt idx="365">
                  <c:v>5.8063317017111492E-5</c:v>
                </c:pt>
                <c:pt idx="366">
                  <c:v>4.8879678841932032E-5</c:v>
                </c:pt>
                <c:pt idx="367">
                  <c:v>4.1092213772043049E-5</c:v>
                </c:pt>
                <c:pt idx="368">
                  <c:v>3.4498118070818721E-5</c:v>
                </c:pt>
                <c:pt idx="369">
                  <c:v>2.8922505897875416E-5</c:v>
                </c:pt>
                <c:pt idx="370">
                  <c:v>2.4214809692769842E-5</c:v>
                </c:pt>
                <c:pt idx="371">
                  <c:v>2.0245607378347463E-5</c:v>
                </c:pt>
                <c:pt idx="372">
                  <c:v>1.6903831311722769E-5</c:v>
                </c:pt>
                <c:pt idx="373">
                  <c:v>1.4094317869189023E-5</c:v>
                </c:pt>
                <c:pt idx="374">
                  <c:v>1.1735660277269438E-5</c:v>
                </c:pt>
                <c:pt idx="375">
                  <c:v>9.7583307917149685E-6</c:v>
                </c:pt>
                <c:pt idx="376">
                  <c:v>8.1030415791889937E-6</c:v>
                </c:pt>
                <c:pt idx="377">
                  <c:v>6.7193166753065486E-6</c:v>
                </c:pt>
                <c:pt idx="378">
                  <c:v>5.5642501827317502E-6</c:v>
                </c:pt>
                <c:pt idx="379">
                  <c:v>4.6014284412862936E-6</c:v>
                </c:pt>
                <c:pt idx="380">
                  <c:v>3.7999962571488499E-6</c:v>
                </c:pt>
                <c:pt idx="381">
                  <c:v>3.1338494300711363E-6</c:v>
                </c:pt>
                <c:pt idx="382">
                  <c:v>2.5809377767924857E-6</c:v>
                </c:pt>
                <c:pt idx="383">
                  <c:v>2.1226646267451483E-6</c:v>
                </c:pt>
                <c:pt idx="384">
                  <c:v>1.7433703742607305E-6</c:v>
                </c:pt>
                <c:pt idx="385">
                  <c:v>1.4298891214658146E-6</c:v>
                </c:pt>
                <c:pt idx="386">
                  <c:v>1.1711687494640698E-6</c:v>
                </c:pt>
                <c:pt idx="387">
                  <c:v>9.5794592359498411E-7</c:v>
                </c:pt>
                <c:pt idx="388">
                  <c:v>7.8246858255035445E-7</c:v>
                </c:pt>
                <c:pt idx="389">
                  <c:v>6.382593915064994E-7</c:v>
                </c:pt>
                <c:pt idx="390">
                  <c:v>5.1991446628662097E-7</c:v>
                </c:pt>
                <c:pt idx="391">
                  <c:v>4.2293240845477902E-7</c:v>
                </c:pt>
                <c:pt idx="392">
                  <c:v>3.4356933913746395E-7</c:v>
                </c:pt>
                <c:pt idx="393">
                  <c:v>2.7871619065655953E-7</c:v>
                </c:pt>
                <c:pt idx="394">
                  <c:v>2.2579501752742603E-7</c:v>
                </c:pt>
                <c:pt idx="395">
                  <c:v>1.8267152922444615E-7</c:v>
                </c:pt>
                <c:pt idx="396">
                  <c:v>1.4758143296041538E-7</c:v>
                </c:pt>
                <c:pt idx="397">
                  <c:v>1.1906851162066078E-7</c:v>
                </c:pt>
                <c:pt idx="398">
                  <c:v>9.5932655455127633E-8</c:v>
                </c:pt>
                <c:pt idx="399">
                  <c:v>7.7186321168006471E-8</c:v>
                </c:pt>
                <c:pt idx="400">
                  <c:v>6.2018113179422562E-8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D2-46DE-B1C4-485013BA9583}"/>
            </c:ext>
          </c:extLst>
        </c:ser>
        <c:ser>
          <c:idx val="4"/>
          <c:order val="3"/>
          <c:tx>
            <c:v>L2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'Burland damage classification'!$EE$9:$EE$10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'Burland damage classification'!$EE$12:$EE$13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D2-46DE-B1C4-485013BA9583}"/>
            </c:ext>
          </c:extLst>
        </c:ser>
        <c:ser>
          <c:idx val="5"/>
          <c:order val="4"/>
          <c:tx>
            <c:v>L3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'Burland damage classification'!$EF$9:$EF$10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'Burland damage classification'!$EF$12:$EF$13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6D2-46DE-B1C4-485013BA9583}"/>
            </c:ext>
          </c:extLst>
        </c:ser>
        <c:ser>
          <c:idx val="7"/>
          <c:order val="5"/>
          <c:tx>
            <c:v>L5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'Burland damage classification'!$EJ$9:$EJ$10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'Burland damage classification'!$EJ$12:$EJ$13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D2-46DE-B1C4-485013BA9583}"/>
            </c:ext>
          </c:extLst>
        </c:ser>
        <c:ser>
          <c:idx val="3"/>
          <c:order val="6"/>
          <c:tx>
            <c:v>Foundation (Hogging)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'Burland damage classification'!$EB$9:$EB$10</c:f>
              <c:numCache>
                <c:formatCode>0.00</c:formatCode>
                <c:ptCount val="2"/>
                <c:pt idx="0">
                  <c:v>-22.198671000000001</c:v>
                </c:pt>
                <c:pt idx="1">
                  <c:v>-15</c:v>
                </c:pt>
              </c:numCache>
            </c:numRef>
          </c:xVal>
          <c:yVal>
            <c:numRef>
              <c:f>'Burland damage classification'!$EB$12:$EB$13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9-4413-BBB4-917CAADD28BE}"/>
            </c:ext>
          </c:extLst>
        </c:ser>
        <c:ser>
          <c:idx val="6"/>
          <c:order val="7"/>
          <c:tx>
            <c:v>Foundation (Sagging)</c:v>
          </c:tx>
          <c:spPr>
            <a:ln w="38100">
              <a:solidFill>
                <a:srgbClr val="75FC5E"/>
              </a:solidFill>
            </a:ln>
          </c:spPr>
          <c:marker>
            <c:symbol val="none"/>
          </c:marker>
          <c:xVal>
            <c:numRef>
              <c:f>'Burland damage classification'!$EG$9:$EG$10</c:f>
              <c:numCache>
                <c:formatCode>0.00</c:formatCode>
                <c:ptCount val="2"/>
                <c:pt idx="0">
                  <c:v>-15</c:v>
                </c:pt>
                <c:pt idx="1">
                  <c:v>-12.488417999999999</c:v>
                </c:pt>
              </c:numCache>
            </c:numRef>
          </c:xVal>
          <c:yVal>
            <c:numRef>
              <c:f>'Burland damage classification'!$EG$12:$EG$13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F9-4413-BBB4-917CAADD2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428992"/>
        <c:axId val="291443456"/>
      </c:scatterChart>
      <c:valAx>
        <c:axId val="291428992"/>
        <c:scaling>
          <c:orientation val="minMax"/>
          <c:max val="40"/>
          <c:min val="-40"/>
        </c:scaling>
        <c:delete val="0"/>
        <c:axPos val="t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y (m)</a:t>
                </a:r>
              </a:p>
            </c:rich>
          </c:tx>
          <c:layout>
            <c:manualLayout>
              <c:xMode val="edge"/>
              <c:yMode val="edge"/>
              <c:x val="0.89157369741199199"/>
              <c:y val="7.7229782896856197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1443456"/>
        <c:crosses val="autoZero"/>
        <c:crossBetween val="midCat"/>
      </c:valAx>
      <c:valAx>
        <c:axId val="291443456"/>
        <c:scaling>
          <c:orientation val="maxMin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Sv (cm)</a:t>
                </a:r>
              </a:p>
            </c:rich>
          </c:tx>
          <c:layout>
            <c:manualLayout>
              <c:xMode val="edge"/>
              <c:yMode val="edge"/>
              <c:x val="0.53202048607560415"/>
              <c:y val="0.7777788713910761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1428992"/>
        <c:crosses val="autoZero"/>
        <c:crossBetween val="midCat"/>
      </c:valAx>
      <c:spPr>
        <a:noFill/>
        <a:ln w="6350">
          <a:solidFill>
            <a:srgbClr val="000000"/>
          </a:solidFill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7595694108081279"/>
          <c:y val="0.60587320951078294"/>
          <c:w val="0.19408721359940873"/>
          <c:h val="0.31921537976766995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6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258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HORIZONTAL DEFORMATIONS</a:t>
            </a:r>
          </a:p>
        </c:rich>
      </c:tx>
      <c:layout>
        <c:manualLayout>
          <c:xMode val="edge"/>
          <c:yMode val="edge"/>
          <c:x val="0.36988541480858583"/>
          <c:y val="3.80622837370242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663439370068786E-2"/>
          <c:y val="0.13148811142968653"/>
          <c:w val="0.92233155455405946"/>
          <c:h val="0.816610376247526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'transversal subsidence-gauss'!$A$8</c:f>
              <c:strCache>
                <c:ptCount val="1"/>
                <c:pt idx="0">
                  <c:v>Tunnel 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'transversal subsidence profile'!$G$10:$G$410</c:f>
              <c:numCache>
                <c:formatCode>General</c:formatCode>
                <c:ptCount val="401"/>
                <c:pt idx="0">
                  <c:v>-60</c:v>
                </c:pt>
                <c:pt idx="1">
                  <c:v>-59.75</c:v>
                </c:pt>
                <c:pt idx="2">
                  <c:v>-59.5</c:v>
                </c:pt>
                <c:pt idx="3">
                  <c:v>-59.25</c:v>
                </c:pt>
                <c:pt idx="4">
                  <c:v>-59</c:v>
                </c:pt>
                <c:pt idx="5">
                  <c:v>-58.75</c:v>
                </c:pt>
                <c:pt idx="6">
                  <c:v>-58.5</c:v>
                </c:pt>
                <c:pt idx="7">
                  <c:v>-58.25</c:v>
                </c:pt>
                <c:pt idx="8">
                  <c:v>-58</c:v>
                </c:pt>
                <c:pt idx="9">
                  <c:v>-57.75</c:v>
                </c:pt>
                <c:pt idx="10">
                  <c:v>-57.5</c:v>
                </c:pt>
                <c:pt idx="11">
                  <c:v>-57.25</c:v>
                </c:pt>
                <c:pt idx="12">
                  <c:v>-57</c:v>
                </c:pt>
                <c:pt idx="13">
                  <c:v>-56.75</c:v>
                </c:pt>
                <c:pt idx="14">
                  <c:v>-56.5</c:v>
                </c:pt>
                <c:pt idx="15">
                  <c:v>-56.25</c:v>
                </c:pt>
                <c:pt idx="16">
                  <c:v>-56</c:v>
                </c:pt>
                <c:pt idx="17">
                  <c:v>-55.75</c:v>
                </c:pt>
                <c:pt idx="18">
                  <c:v>-55.5</c:v>
                </c:pt>
                <c:pt idx="19">
                  <c:v>-55.25</c:v>
                </c:pt>
                <c:pt idx="20">
                  <c:v>-55</c:v>
                </c:pt>
                <c:pt idx="21">
                  <c:v>-54.75</c:v>
                </c:pt>
                <c:pt idx="22">
                  <c:v>-54.5</c:v>
                </c:pt>
                <c:pt idx="23">
                  <c:v>-54.25</c:v>
                </c:pt>
                <c:pt idx="24">
                  <c:v>-54</c:v>
                </c:pt>
                <c:pt idx="25">
                  <c:v>-53.75</c:v>
                </c:pt>
                <c:pt idx="26">
                  <c:v>-53.5</c:v>
                </c:pt>
                <c:pt idx="27">
                  <c:v>-53.25</c:v>
                </c:pt>
                <c:pt idx="28">
                  <c:v>-53</c:v>
                </c:pt>
                <c:pt idx="29">
                  <c:v>-52.75</c:v>
                </c:pt>
                <c:pt idx="30">
                  <c:v>-52.5</c:v>
                </c:pt>
                <c:pt idx="31">
                  <c:v>-52.25</c:v>
                </c:pt>
                <c:pt idx="32">
                  <c:v>-52</c:v>
                </c:pt>
                <c:pt idx="33">
                  <c:v>-51.75</c:v>
                </c:pt>
                <c:pt idx="34">
                  <c:v>-51.5</c:v>
                </c:pt>
                <c:pt idx="35">
                  <c:v>-51.25</c:v>
                </c:pt>
                <c:pt idx="36">
                  <c:v>-51</c:v>
                </c:pt>
                <c:pt idx="37">
                  <c:v>-50.75</c:v>
                </c:pt>
                <c:pt idx="38">
                  <c:v>-50.5</c:v>
                </c:pt>
                <c:pt idx="39">
                  <c:v>-50.25</c:v>
                </c:pt>
                <c:pt idx="40">
                  <c:v>-50</c:v>
                </c:pt>
                <c:pt idx="41">
                  <c:v>-49.75</c:v>
                </c:pt>
                <c:pt idx="42">
                  <c:v>-49.5</c:v>
                </c:pt>
                <c:pt idx="43">
                  <c:v>-49.25</c:v>
                </c:pt>
                <c:pt idx="44">
                  <c:v>-49</c:v>
                </c:pt>
                <c:pt idx="45">
                  <c:v>-48.75</c:v>
                </c:pt>
                <c:pt idx="46">
                  <c:v>-48.5</c:v>
                </c:pt>
                <c:pt idx="47">
                  <c:v>-48.25</c:v>
                </c:pt>
                <c:pt idx="48">
                  <c:v>-48</c:v>
                </c:pt>
                <c:pt idx="49">
                  <c:v>-47.75</c:v>
                </c:pt>
                <c:pt idx="50">
                  <c:v>-47.5</c:v>
                </c:pt>
                <c:pt idx="51">
                  <c:v>-47.25</c:v>
                </c:pt>
                <c:pt idx="52">
                  <c:v>-47</c:v>
                </c:pt>
                <c:pt idx="53">
                  <c:v>-46.75</c:v>
                </c:pt>
                <c:pt idx="54">
                  <c:v>-46.5</c:v>
                </c:pt>
                <c:pt idx="55">
                  <c:v>-46.25</c:v>
                </c:pt>
                <c:pt idx="56">
                  <c:v>-46</c:v>
                </c:pt>
                <c:pt idx="57">
                  <c:v>-45.75</c:v>
                </c:pt>
                <c:pt idx="58">
                  <c:v>-45.5</c:v>
                </c:pt>
                <c:pt idx="59">
                  <c:v>-45.25</c:v>
                </c:pt>
                <c:pt idx="60">
                  <c:v>-45</c:v>
                </c:pt>
                <c:pt idx="61">
                  <c:v>-44.75</c:v>
                </c:pt>
                <c:pt idx="62">
                  <c:v>-44.5</c:v>
                </c:pt>
                <c:pt idx="63">
                  <c:v>-44.25</c:v>
                </c:pt>
                <c:pt idx="64">
                  <c:v>-44</c:v>
                </c:pt>
                <c:pt idx="65">
                  <c:v>-43.75</c:v>
                </c:pt>
                <c:pt idx="66">
                  <c:v>-43.5</c:v>
                </c:pt>
                <c:pt idx="67">
                  <c:v>-43.25</c:v>
                </c:pt>
                <c:pt idx="68">
                  <c:v>-43</c:v>
                </c:pt>
                <c:pt idx="69">
                  <c:v>-42.75</c:v>
                </c:pt>
                <c:pt idx="70">
                  <c:v>-42.5</c:v>
                </c:pt>
                <c:pt idx="71">
                  <c:v>-42.25</c:v>
                </c:pt>
                <c:pt idx="72">
                  <c:v>-42</c:v>
                </c:pt>
                <c:pt idx="73">
                  <c:v>-41.75</c:v>
                </c:pt>
                <c:pt idx="74">
                  <c:v>-41.5</c:v>
                </c:pt>
                <c:pt idx="75">
                  <c:v>-41.25</c:v>
                </c:pt>
                <c:pt idx="76">
                  <c:v>-41</c:v>
                </c:pt>
                <c:pt idx="77">
                  <c:v>-40.75</c:v>
                </c:pt>
                <c:pt idx="78">
                  <c:v>-40.5</c:v>
                </c:pt>
                <c:pt idx="79">
                  <c:v>-40.25</c:v>
                </c:pt>
                <c:pt idx="80">
                  <c:v>-40</c:v>
                </c:pt>
                <c:pt idx="81">
                  <c:v>-39.75</c:v>
                </c:pt>
                <c:pt idx="82">
                  <c:v>-39.5</c:v>
                </c:pt>
                <c:pt idx="83">
                  <c:v>-39.25</c:v>
                </c:pt>
                <c:pt idx="84">
                  <c:v>-39</c:v>
                </c:pt>
                <c:pt idx="85">
                  <c:v>-38.75</c:v>
                </c:pt>
                <c:pt idx="86">
                  <c:v>-38.5</c:v>
                </c:pt>
                <c:pt idx="87">
                  <c:v>-38.25</c:v>
                </c:pt>
                <c:pt idx="88">
                  <c:v>-38</c:v>
                </c:pt>
                <c:pt idx="89">
                  <c:v>-37.75</c:v>
                </c:pt>
                <c:pt idx="90">
                  <c:v>-37.5</c:v>
                </c:pt>
                <c:pt idx="91">
                  <c:v>-37.25</c:v>
                </c:pt>
                <c:pt idx="92">
                  <c:v>-37</c:v>
                </c:pt>
                <c:pt idx="93">
                  <c:v>-36.75</c:v>
                </c:pt>
                <c:pt idx="94">
                  <c:v>-36.5</c:v>
                </c:pt>
                <c:pt idx="95">
                  <c:v>-36.25</c:v>
                </c:pt>
                <c:pt idx="96">
                  <c:v>-36</c:v>
                </c:pt>
                <c:pt idx="97">
                  <c:v>-35.75</c:v>
                </c:pt>
                <c:pt idx="98">
                  <c:v>-35.5</c:v>
                </c:pt>
                <c:pt idx="99">
                  <c:v>-35.25</c:v>
                </c:pt>
                <c:pt idx="100">
                  <c:v>-35</c:v>
                </c:pt>
                <c:pt idx="101">
                  <c:v>-34.75</c:v>
                </c:pt>
                <c:pt idx="102">
                  <c:v>-34.5</c:v>
                </c:pt>
                <c:pt idx="103">
                  <c:v>-34.25</c:v>
                </c:pt>
                <c:pt idx="104">
                  <c:v>-34</c:v>
                </c:pt>
                <c:pt idx="105">
                  <c:v>-33.75</c:v>
                </c:pt>
                <c:pt idx="106">
                  <c:v>-33.5</c:v>
                </c:pt>
                <c:pt idx="107">
                  <c:v>-33.25</c:v>
                </c:pt>
                <c:pt idx="108">
                  <c:v>-33</c:v>
                </c:pt>
                <c:pt idx="109">
                  <c:v>-32.75</c:v>
                </c:pt>
                <c:pt idx="110">
                  <c:v>-32.5</c:v>
                </c:pt>
                <c:pt idx="111">
                  <c:v>-32.25</c:v>
                </c:pt>
                <c:pt idx="112">
                  <c:v>-32</c:v>
                </c:pt>
                <c:pt idx="113">
                  <c:v>-31.75</c:v>
                </c:pt>
                <c:pt idx="114">
                  <c:v>-31.5</c:v>
                </c:pt>
                <c:pt idx="115">
                  <c:v>-31.25</c:v>
                </c:pt>
                <c:pt idx="116">
                  <c:v>-31</c:v>
                </c:pt>
                <c:pt idx="117">
                  <c:v>-30.75</c:v>
                </c:pt>
                <c:pt idx="118">
                  <c:v>-30.5</c:v>
                </c:pt>
                <c:pt idx="119">
                  <c:v>-30.25</c:v>
                </c:pt>
                <c:pt idx="120">
                  <c:v>-30</c:v>
                </c:pt>
                <c:pt idx="121">
                  <c:v>-29.75</c:v>
                </c:pt>
                <c:pt idx="122">
                  <c:v>-29.5</c:v>
                </c:pt>
                <c:pt idx="123">
                  <c:v>-29.25</c:v>
                </c:pt>
                <c:pt idx="124">
                  <c:v>-29</c:v>
                </c:pt>
                <c:pt idx="125">
                  <c:v>-28.75</c:v>
                </c:pt>
                <c:pt idx="126">
                  <c:v>-28.5</c:v>
                </c:pt>
                <c:pt idx="127">
                  <c:v>-28.25</c:v>
                </c:pt>
                <c:pt idx="128">
                  <c:v>-28</c:v>
                </c:pt>
                <c:pt idx="129">
                  <c:v>-27.75</c:v>
                </c:pt>
                <c:pt idx="130">
                  <c:v>-27.5</c:v>
                </c:pt>
                <c:pt idx="131">
                  <c:v>-27.25</c:v>
                </c:pt>
                <c:pt idx="132">
                  <c:v>-27</c:v>
                </c:pt>
                <c:pt idx="133">
                  <c:v>-26.75</c:v>
                </c:pt>
                <c:pt idx="134">
                  <c:v>-26.5</c:v>
                </c:pt>
                <c:pt idx="135">
                  <c:v>-26.25</c:v>
                </c:pt>
                <c:pt idx="136">
                  <c:v>-26</c:v>
                </c:pt>
                <c:pt idx="137">
                  <c:v>-25.75</c:v>
                </c:pt>
                <c:pt idx="138">
                  <c:v>-25.5</c:v>
                </c:pt>
                <c:pt idx="139">
                  <c:v>-25.25</c:v>
                </c:pt>
                <c:pt idx="140">
                  <c:v>-25</c:v>
                </c:pt>
                <c:pt idx="141">
                  <c:v>-24.75</c:v>
                </c:pt>
                <c:pt idx="142">
                  <c:v>-24.5</c:v>
                </c:pt>
                <c:pt idx="143">
                  <c:v>-24.25</c:v>
                </c:pt>
                <c:pt idx="144">
                  <c:v>-24</c:v>
                </c:pt>
                <c:pt idx="145">
                  <c:v>-23.75</c:v>
                </c:pt>
                <c:pt idx="146">
                  <c:v>-23.5</c:v>
                </c:pt>
                <c:pt idx="147">
                  <c:v>-23.25</c:v>
                </c:pt>
                <c:pt idx="148">
                  <c:v>-23</c:v>
                </c:pt>
                <c:pt idx="149">
                  <c:v>-22.75</c:v>
                </c:pt>
                <c:pt idx="150">
                  <c:v>-22.5</c:v>
                </c:pt>
                <c:pt idx="151">
                  <c:v>-22.25</c:v>
                </c:pt>
                <c:pt idx="152">
                  <c:v>-22</c:v>
                </c:pt>
                <c:pt idx="153">
                  <c:v>-21.75</c:v>
                </c:pt>
                <c:pt idx="154">
                  <c:v>-21.5</c:v>
                </c:pt>
                <c:pt idx="155">
                  <c:v>-21.25</c:v>
                </c:pt>
                <c:pt idx="156">
                  <c:v>-21</c:v>
                </c:pt>
                <c:pt idx="157">
                  <c:v>-20.75</c:v>
                </c:pt>
                <c:pt idx="158">
                  <c:v>-20.5</c:v>
                </c:pt>
                <c:pt idx="159">
                  <c:v>-20.25</c:v>
                </c:pt>
                <c:pt idx="160">
                  <c:v>-20</c:v>
                </c:pt>
                <c:pt idx="161">
                  <c:v>-19.75</c:v>
                </c:pt>
                <c:pt idx="162">
                  <c:v>-19.5</c:v>
                </c:pt>
                <c:pt idx="163">
                  <c:v>-19.25</c:v>
                </c:pt>
                <c:pt idx="164">
                  <c:v>-19</c:v>
                </c:pt>
                <c:pt idx="165">
                  <c:v>-18.75</c:v>
                </c:pt>
                <c:pt idx="166">
                  <c:v>-18.5</c:v>
                </c:pt>
                <c:pt idx="167">
                  <c:v>-18.25</c:v>
                </c:pt>
                <c:pt idx="168">
                  <c:v>-18</c:v>
                </c:pt>
                <c:pt idx="169">
                  <c:v>-17.75</c:v>
                </c:pt>
                <c:pt idx="170">
                  <c:v>-17.5</c:v>
                </c:pt>
                <c:pt idx="171">
                  <c:v>-17.25</c:v>
                </c:pt>
                <c:pt idx="172">
                  <c:v>-17</c:v>
                </c:pt>
                <c:pt idx="173">
                  <c:v>-16.75</c:v>
                </c:pt>
                <c:pt idx="174">
                  <c:v>-16.5</c:v>
                </c:pt>
                <c:pt idx="175">
                  <c:v>-16.25</c:v>
                </c:pt>
                <c:pt idx="176">
                  <c:v>-16</c:v>
                </c:pt>
                <c:pt idx="177">
                  <c:v>-15.75</c:v>
                </c:pt>
                <c:pt idx="178">
                  <c:v>-15.5</c:v>
                </c:pt>
                <c:pt idx="179">
                  <c:v>-15.25</c:v>
                </c:pt>
                <c:pt idx="180">
                  <c:v>-15</c:v>
                </c:pt>
                <c:pt idx="181">
                  <c:v>-14.75</c:v>
                </c:pt>
                <c:pt idx="182">
                  <c:v>-14.5</c:v>
                </c:pt>
                <c:pt idx="183">
                  <c:v>-14.25</c:v>
                </c:pt>
                <c:pt idx="184">
                  <c:v>-14</c:v>
                </c:pt>
                <c:pt idx="185">
                  <c:v>-13.75</c:v>
                </c:pt>
                <c:pt idx="186">
                  <c:v>-13.5</c:v>
                </c:pt>
                <c:pt idx="187">
                  <c:v>-13.25</c:v>
                </c:pt>
                <c:pt idx="188">
                  <c:v>-13</c:v>
                </c:pt>
                <c:pt idx="189">
                  <c:v>-12.75</c:v>
                </c:pt>
                <c:pt idx="190">
                  <c:v>-12.5</c:v>
                </c:pt>
                <c:pt idx="191">
                  <c:v>-12.25</c:v>
                </c:pt>
                <c:pt idx="192">
                  <c:v>-12</c:v>
                </c:pt>
                <c:pt idx="193">
                  <c:v>-11.75</c:v>
                </c:pt>
                <c:pt idx="194">
                  <c:v>-11.5</c:v>
                </c:pt>
                <c:pt idx="195">
                  <c:v>-11.25</c:v>
                </c:pt>
                <c:pt idx="196">
                  <c:v>-11</c:v>
                </c:pt>
                <c:pt idx="197">
                  <c:v>-10.75</c:v>
                </c:pt>
                <c:pt idx="198">
                  <c:v>-10.5</c:v>
                </c:pt>
                <c:pt idx="199">
                  <c:v>-10.25</c:v>
                </c:pt>
                <c:pt idx="200">
                  <c:v>-10</c:v>
                </c:pt>
                <c:pt idx="201">
                  <c:v>-9.75</c:v>
                </c:pt>
                <c:pt idx="202">
                  <c:v>-9.5</c:v>
                </c:pt>
                <c:pt idx="203">
                  <c:v>-9.25</c:v>
                </c:pt>
                <c:pt idx="204">
                  <c:v>-9</c:v>
                </c:pt>
                <c:pt idx="205">
                  <c:v>-8.75</c:v>
                </c:pt>
                <c:pt idx="206">
                  <c:v>-8.5</c:v>
                </c:pt>
                <c:pt idx="207">
                  <c:v>-8.25</c:v>
                </c:pt>
                <c:pt idx="208">
                  <c:v>-8</c:v>
                </c:pt>
                <c:pt idx="209">
                  <c:v>-7.75</c:v>
                </c:pt>
                <c:pt idx="210">
                  <c:v>-7.5</c:v>
                </c:pt>
                <c:pt idx="211">
                  <c:v>-7.25</c:v>
                </c:pt>
                <c:pt idx="212">
                  <c:v>-7</c:v>
                </c:pt>
                <c:pt idx="213">
                  <c:v>-6.75</c:v>
                </c:pt>
                <c:pt idx="214">
                  <c:v>-6.5</c:v>
                </c:pt>
                <c:pt idx="215">
                  <c:v>-6.25</c:v>
                </c:pt>
                <c:pt idx="216">
                  <c:v>-6</c:v>
                </c:pt>
                <c:pt idx="217">
                  <c:v>-5.75</c:v>
                </c:pt>
                <c:pt idx="218">
                  <c:v>-5.5</c:v>
                </c:pt>
                <c:pt idx="219">
                  <c:v>-5.25</c:v>
                </c:pt>
                <c:pt idx="220">
                  <c:v>-5</c:v>
                </c:pt>
                <c:pt idx="221">
                  <c:v>-4.75</c:v>
                </c:pt>
                <c:pt idx="222">
                  <c:v>-4.5</c:v>
                </c:pt>
                <c:pt idx="223">
                  <c:v>-4.25</c:v>
                </c:pt>
                <c:pt idx="224">
                  <c:v>-4</c:v>
                </c:pt>
                <c:pt idx="225">
                  <c:v>-3.75</c:v>
                </c:pt>
                <c:pt idx="226">
                  <c:v>-3.5</c:v>
                </c:pt>
                <c:pt idx="227">
                  <c:v>-3.25</c:v>
                </c:pt>
                <c:pt idx="228">
                  <c:v>-3</c:v>
                </c:pt>
                <c:pt idx="229">
                  <c:v>-2.75</c:v>
                </c:pt>
                <c:pt idx="230">
                  <c:v>-2.5</c:v>
                </c:pt>
                <c:pt idx="231">
                  <c:v>-2.25</c:v>
                </c:pt>
                <c:pt idx="232">
                  <c:v>-2</c:v>
                </c:pt>
                <c:pt idx="233">
                  <c:v>-1.75</c:v>
                </c:pt>
                <c:pt idx="234">
                  <c:v>-1.5</c:v>
                </c:pt>
                <c:pt idx="235">
                  <c:v>-1.25</c:v>
                </c:pt>
                <c:pt idx="236">
                  <c:v>-1</c:v>
                </c:pt>
                <c:pt idx="237">
                  <c:v>-0.75</c:v>
                </c:pt>
                <c:pt idx="238">
                  <c:v>-0.5</c:v>
                </c:pt>
                <c:pt idx="239">
                  <c:v>-0.25</c:v>
                </c:pt>
                <c:pt idx="240">
                  <c:v>0</c:v>
                </c:pt>
                <c:pt idx="241">
                  <c:v>0.25</c:v>
                </c:pt>
                <c:pt idx="242">
                  <c:v>0.5</c:v>
                </c:pt>
                <c:pt idx="243">
                  <c:v>0.75</c:v>
                </c:pt>
                <c:pt idx="244">
                  <c:v>1</c:v>
                </c:pt>
                <c:pt idx="245">
                  <c:v>1.25</c:v>
                </c:pt>
                <c:pt idx="246">
                  <c:v>1.5</c:v>
                </c:pt>
                <c:pt idx="247">
                  <c:v>1.75</c:v>
                </c:pt>
                <c:pt idx="248">
                  <c:v>2</c:v>
                </c:pt>
                <c:pt idx="249">
                  <c:v>2.25</c:v>
                </c:pt>
                <c:pt idx="250">
                  <c:v>2.5</c:v>
                </c:pt>
                <c:pt idx="251">
                  <c:v>2.75</c:v>
                </c:pt>
                <c:pt idx="252">
                  <c:v>3</c:v>
                </c:pt>
                <c:pt idx="253">
                  <c:v>3.25</c:v>
                </c:pt>
                <c:pt idx="254">
                  <c:v>3.5</c:v>
                </c:pt>
                <c:pt idx="255">
                  <c:v>3.75</c:v>
                </c:pt>
                <c:pt idx="256">
                  <c:v>4</c:v>
                </c:pt>
                <c:pt idx="257">
                  <c:v>4.25</c:v>
                </c:pt>
                <c:pt idx="258">
                  <c:v>4.5</c:v>
                </c:pt>
                <c:pt idx="259">
                  <c:v>4.75</c:v>
                </c:pt>
                <c:pt idx="260">
                  <c:v>5</c:v>
                </c:pt>
                <c:pt idx="261">
                  <c:v>5.25</c:v>
                </c:pt>
                <c:pt idx="262">
                  <c:v>5.5</c:v>
                </c:pt>
                <c:pt idx="263">
                  <c:v>5.75</c:v>
                </c:pt>
                <c:pt idx="264">
                  <c:v>6</c:v>
                </c:pt>
                <c:pt idx="265">
                  <c:v>6.25</c:v>
                </c:pt>
                <c:pt idx="266">
                  <c:v>6.5</c:v>
                </c:pt>
                <c:pt idx="267">
                  <c:v>6.75</c:v>
                </c:pt>
                <c:pt idx="268">
                  <c:v>7</c:v>
                </c:pt>
                <c:pt idx="269">
                  <c:v>7.25</c:v>
                </c:pt>
                <c:pt idx="270">
                  <c:v>7.5</c:v>
                </c:pt>
                <c:pt idx="271">
                  <c:v>7.75</c:v>
                </c:pt>
                <c:pt idx="272">
                  <c:v>8</c:v>
                </c:pt>
                <c:pt idx="273">
                  <c:v>8.25</c:v>
                </c:pt>
                <c:pt idx="274">
                  <c:v>8.5</c:v>
                </c:pt>
                <c:pt idx="275">
                  <c:v>8.75</c:v>
                </c:pt>
                <c:pt idx="276">
                  <c:v>9</c:v>
                </c:pt>
                <c:pt idx="277">
                  <c:v>9.25</c:v>
                </c:pt>
                <c:pt idx="278">
                  <c:v>9.5</c:v>
                </c:pt>
                <c:pt idx="279">
                  <c:v>9.75</c:v>
                </c:pt>
                <c:pt idx="280">
                  <c:v>10</c:v>
                </c:pt>
                <c:pt idx="281">
                  <c:v>10.25</c:v>
                </c:pt>
                <c:pt idx="282">
                  <c:v>10.5</c:v>
                </c:pt>
                <c:pt idx="283">
                  <c:v>10.75</c:v>
                </c:pt>
                <c:pt idx="284">
                  <c:v>11</c:v>
                </c:pt>
                <c:pt idx="285">
                  <c:v>11.25</c:v>
                </c:pt>
                <c:pt idx="286">
                  <c:v>11.5</c:v>
                </c:pt>
                <c:pt idx="287">
                  <c:v>11.75</c:v>
                </c:pt>
                <c:pt idx="288">
                  <c:v>12</c:v>
                </c:pt>
                <c:pt idx="289">
                  <c:v>12.25</c:v>
                </c:pt>
                <c:pt idx="290">
                  <c:v>12.5</c:v>
                </c:pt>
                <c:pt idx="291">
                  <c:v>12.75</c:v>
                </c:pt>
                <c:pt idx="292">
                  <c:v>13</c:v>
                </c:pt>
                <c:pt idx="293">
                  <c:v>13.25</c:v>
                </c:pt>
                <c:pt idx="294">
                  <c:v>13.5</c:v>
                </c:pt>
                <c:pt idx="295">
                  <c:v>13.75</c:v>
                </c:pt>
                <c:pt idx="296">
                  <c:v>14</c:v>
                </c:pt>
                <c:pt idx="297">
                  <c:v>14.25</c:v>
                </c:pt>
                <c:pt idx="298">
                  <c:v>14.5</c:v>
                </c:pt>
                <c:pt idx="299">
                  <c:v>14.75</c:v>
                </c:pt>
                <c:pt idx="300">
                  <c:v>15</c:v>
                </c:pt>
                <c:pt idx="301">
                  <c:v>15.25</c:v>
                </c:pt>
                <c:pt idx="302">
                  <c:v>15.5</c:v>
                </c:pt>
                <c:pt idx="303">
                  <c:v>15.75</c:v>
                </c:pt>
                <c:pt idx="304">
                  <c:v>16</c:v>
                </c:pt>
                <c:pt idx="305">
                  <c:v>16.25</c:v>
                </c:pt>
                <c:pt idx="306">
                  <c:v>16.5</c:v>
                </c:pt>
                <c:pt idx="307">
                  <c:v>16.75</c:v>
                </c:pt>
                <c:pt idx="308">
                  <c:v>17</c:v>
                </c:pt>
                <c:pt idx="309">
                  <c:v>17.25</c:v>
                </c:pt>
                <c:pt idx="310">
                  <c:v>17.5</c:v>
                </c:pt>
                <c:pt idx="311">
                  <c:v>17.75</c:v>
                </c:pt>
                <c:pt idx="312">
                  <c:v>18</c:v>
                </c:pt>
                <c:pt idx="313">
                  <c:v>18.25</c:v>
                </c:pt>
                <c:pt idx="314">
                  <c:v>18.5</c:v>
                </c:pt>
                <c:pt idx="315">
                  <c:v>18.75</c:v>
                </c:pt>
                <c:pt idx="316">
                  <c:v>19</c:v>
                </c:pt>
                <c:pt idx="317">
                  <c:v>19.25</c:v>
                </c:pt>
                <c:pt idx="318">
                  <c:v>19.5</c:v>
                </c:pt>
                <c:pt idx="319">
                  <c:v>19.75</c:v>
                </c:pt>
                <c:pt idx="320">
                  <c:v>20</c:v>
                </c:pt>
                <c:pt idx="321">
                  <c:v>20.25</c:v>
                </c:pt>
                <c:pt idx="322">
                  <c:v>20.5</c:v>
                </c:pt>
                <c:pt idx="323">
                  <c:v>20.75</c:v>
                </c:pt>
                <c:pt idx="324">
                  <c:v>21</c:v>
                </c:pt>
                <c:pt idx="325">
                  <c:v>21.25</c:v>
                </c:pt>
                <c:pt idx="326">
                  <c:v>21.5</c:v>
                </c:pt>
                <c:pt idx="327">
                  <c:v>21.75</c:v>
                </c:pt>
                <c:pt idx="328">
                  <c:v>22</c:v>
                </c:pt>
                <c:pt idx="329">
                  <c:v>22.25</c:v>
                </c:pt>
                <c:pt idx="330">
                  <c:v>22.5</c:v>
                </c:pt>
                <c:pt idx="331">
                  <c:v>22.75</c:v>
                </c:pt>
                <c:pt idx="332">
                  <c:v>23</c:v>
                </c:pt>
                <c:pt idx="333">
                  <c:v>23.25</c:v>
                </c:pt>
                <c:pt idx="334">
                  <c:v>23.5</c:v>
                </c:pt>
                <c:pt idx="335">
                  <c:v>23.75</c:v>
                </c:pt>
                <c:pt idx="336">
                  <c:v>24</c:v>
                </c:pt>
                <c:pt idx="337">
                  <c:v>24.25</c:v>
                </c:pt>
                <c:pt idx="338">
                  <c:v>24.5</c:v>
                </c:pt>
                <c:pt idx="339">
                  <c:v>24.75</c:v>
                </c:pt>
                <c:pt idx="340">
                  <c:v>25</c:v>
                </c:pt>
                <c:pt idx="341">
                  <c:v>25.25</c:v>
                </c:pt>
                <c:pt idx="342">
                  <c:v>25.5</c:v>
                </c:pt>
                <c:pt idx="343">
                  <c:v>25.75</c:v>
                </c:pt>
                <c:pt idx="344">
                  <c:v>26</c:v>
                </c:pt>
                <c:pt idx="345">
                  <c:v>26.25</c:v>
                </c:pt>
                <c:pt idx="346">
                  <c:v>26.5</c:v>
                </c:pt>
                <c:pt idx="347">
                  <c:v>26.75</c:v>
                </c:pt>
                <c:pt idx="348">
                  <c:v>27</c:v>
                </c:pt>
                <c:pt idx="349">
                  <c:v>27.25</c:v>
                </c:pt>
                <c:pt idx="350">
                  <c:v>27.5</c:v>
                </c:pt>
                <c:pt idx="351">
                  <c:v>27.75</c:v>
                </c:pt>
                <c:pt idx="352">
                  <c:v>28</c:v>
                </c:pt>
                <c:pt idx="353">
                  <c:v>28.25</c:v>
                </c:pt>
                <c:pt idx="354">
                  <c:v>28.5</c:v>
                </c:pt>
                <c:pt idx="355">
                  <c:v>28.75</c:v>
                </c:pt>
                <c:pt idx="356">
                  <c:v>29</c:v>
                </c:pt>
                <c:pt idx="357">
                  <c:v>29.25</c:v>
                </c:pt>
                <c:pt idx="358">
                  <c:v>29.5</c:v>
                </c:pt>
                <c:pt idx="359">
                  <c:v>29.75</c:v>
                </c:pt>
                <c:pt idx="360">
                  <c:v>30</c:v>
                </c:pt>
                <c:pt idx="361">
                  <c:v>30.25</c:v>
                </c:pt>
                <c:pt idx="362">
                  <c:v>30.5</c:v>
                </c:pt>
                <c:pt idx="363">
                  <c:v>30.75</c:v>
                </c:pt>
                <c:pt idx="364">
                  <c:v>31</c:v>
                </c:pt>
                <c:pt idx="365">
                  <c:v>31.25</c:v>
                </c:pt>
                <c:pt idx="366">
                  <c:v>31.5</c:v>
                </c:pt>
                <c:pt idx="367">
                  <c:v>31.75</c:v>
                </c:pt>
                <c:pt idx="368">
                  <c:v>32</c:v>
                </c:pt>
                <c:pt idx="369">
                  <c:v>32.25</c:v>
                </c:pt>
                <c:pt idx="370">
                  <c:v>32.5</c:v>
                </c:pt>
                <c:pt idx="371">
                  <c:v>32.75</c:v>
                </c:pt>
                <c:pt idx="372">
                  <c:v>33</c:v>
                </c:pt>
                <c:pt idx="373">
                  <c:v>33.25</c:v>
                </c:pt>
                <c:pt idx="374">
                  <c:v>33.5</c:v>
                </c:pt>
                <c:pt idx="375">
                  <c:v>33.75</c:v>
                </c:pt>
                <c:pt idx="376">
                  <c:v>34</c:v>
                </c:pt>
                <c:pt idx="377">
                  <c:v>34.25</c:v>
                </c:pt>
                <c:pt idx="378">
                  <c:v>34.5</c:v>
                </c:pt>
                <c:pt idx="379">
                  <c:v>34.75</c:v>
                </c:pt>
                <c:pt idx="380">
                  <c:v>35</c:v>
                </c:pt>
                <c:pt idx="381">
                  <c:v>35.25</c:v>
                </c:pt>
                <c:pt idx="382">
                  <c:v>35.5</c:v>
                </c:pt>
                <c:pt idx="383">
                  <c:v>35.75</c:v>
                </c:pt>
                <c:pt idx="384">
                  <c:v>36</c:v>
                </c:pt>
                <c:pt idx="385">
                  <c:v>36.25</c:v>
                </c:pt>
                <c:pt idx="386">
                  <c:v>36.5</c:v>
                </c:pt>
                <c:pt idx="387">
                  <c:v>36.75</c:v>
                </c:pt>
                <c:pt idx="388">
                  <c:v>37</c:v>
                </c:pt>
                <c:pt idx="389">
                  <c:v>37.25</c:v>
                </c:pt>
                <c:pt idx="390">
                  <c:v>37.5</c:v>
                </c:pt>
                <c:pt idx="391">
                  <c:v>37.75</c:v>
                </c:pt>
                <c:pt idx="392">
                  <c:v>38</c:v>
                </c:pt>
                <c:pt idx="393">
                  <c:v>38.25</c:v>
                </c:pt>
                <c:pt idx="394">
                  <c:v>38.5</c:v>
                </c:pt>
                <c:pt idx="395">
                  <c:v>38.75</c:v>
                </c:pt>
                <c:pt idx="396">
                  <c:v>39</c:v>
                </c:pt>
                <c:pt idx="397">
                  <c:v>39.25</c:v>
                </c:pt>
                <c:pt idx="398">
                  <c:v>39.5</c:v>
                </c:pt>
                <c:pt idx="399">
                  <c:v>39.75</c:v>
                </c:pt>
                <c:pt idx="400">
                  <c:v>40</c:v>
                </c:pt>
              </c:numCache>
            </c:numRef>
          </c:xVal>
          <c:yVal>
            <c:numRef>
              <c:f>'transversal subsidence profile'!$AA$10:$AA$410</c:f>
              <c:numCache>
                <c:formatCode>0.000000000</c:formatCode>
                <c:ptCount val="401"/>
                <c:pt idx="0">
                  <c:v>-9.4782429991450291E-17</c:v>
                </c:pt>
                <c:pt idx="1">
                  <c:v>-1.3053717469037055E-16</c:v>
                </c:pt>
                <c:pt idx="2">
                  <c:v>-1.7952669572287391E-16</c:v>
                </c:pt>
                <c:pt idx="3">
                  <c:v>-2.4655407624641417E-16</c:v>
                </c:pt>
                <c:pt idx="4">
                  <c:v>-3.3812985414271306E-16</c:v>
                </c:pt>
                <c:pt idx="5">
                  <c:v>-4.6306599066633452E-16</c:v>
                </c:pt>
                <c:pt idx="6">
                  <c:v>-6.3327180063222913E-16</c:v>
                </c:pt>
                <c:pt idx="7">
                  <c:v>-8.6481887967796984E-16</c:v>
                </c:pt>
                <c:pt idx="8">
                  <c:v>-1.1793637528424968E-15</c:v>
                </c:pt>
                <c:pt idx="9">
                  <c:v>-1.6060454857725241E-15</c:v>
                </c:pt>
                <c:pt idx="10">
                  <c:v>-2.1840129331144E-15</c:v>
                </c:pt>
                <c:pt idx="11">
                  <c:v>-2.965785354383542E-15</c:v>
                </c:pt>
                <c:pt idx="12">
                  <c:v>-4.0217143076506086E-15</c:v>
                </c:pt>
                <c:pt idx="13">
                  <c:v>-5.4458985588789394E-15</c:v>
                </c:pt>
                <c:pt idx="14">
                  <c:v>-7.364013051592071E-15</c:v>
                </c:pt>
                <c:pt idx="15">
                  <c:v>-9.9436552736539939E-15</c:v>
                </c:pt>
                <c:pt idx="16">
                  <c:v>-1.3407997278383883E-14</c:v>
                </c:pt>
                <c:pt idx="17">
                  <c:v>-1.805377153244759E-14</c:v>
                </c:pt>
                <c:pt idx="18">
                  <c:v>-2.4274929503168567E-14</c:v>
                </c:pt>
                <c:pt idx="19">
                  <c:v>-3.2593713690420054E-14</c:v>
                </c:pt>
                <c:pt idx="20">
                  <c:v>-4.3701402451710684E-14</c:v>
                </c:pt>
                <c:pt idx="21">
                  <c:v>-5.8511655307602546E-14</c:v>
                </c:pt>
                <c:pt idx="22">
                  <c:v>-7.8230246184883214E-14</c:v>
                </c:pt>
                <c:pt idx="23">
                  <c:v>-1.0444607619573159E-13</c:v>
                </c:pt>
                <c:pt idx="24">
                  <c:v>-1.3924977308507722E-13</c:v>
                </c:pt>
                <c:pt idx="25">
                  <c:v>-1.8538799610018578E-13</c:v>
                </c:pt>
                <c:pt idx="26">
                  <c:v>-2.4646387957172683E-13</c:v>
                </c:pt>
                <c:pt idx="27">
                  <c:v>-3.2719700042887916E-13</c:v>
                </c:pt>
                <c:pt idx="28">
                  <c:v>-4.3376001318633173E-13</c:v>
                </c:pt>
                <c:pt idx="29">
                  <c:v>-5.742138725663743E-13</c:v>
                </c:pt>
                <c:pt idx="30">
                  <c:v>-7.5906962412982003E-13</c:v>
                </c:pt>
                <c:pt idx="31">
                  <c:v>-1.0020124184953191E-12</c:v>
                </c:pt>
                <c:pt idx="32">
                  <c:v>-1.320833108156023E-12</c:v>
                </c:pt>
                <c:pt idx="33">
                  <c:v>-1.7386250317942198E-12</c:v>
                </c:pt>
                <c:pt idx="34">
                  <c:v>-2.2853190180296713E-12</c:v>
                </c:pt>
                <c:pt idx="35">
                  <c:v>-2.9996490403827526E-12</c:v>
                </c:pt>
                <c:pt idx="36">
                  <c:v>-3.9316653072302868E-12</c:v>
                </c:pt>
                <c:pt idx="37">
                  <c:v>-5.145942083752784E-12</c:v>
                </c:pt>
                <c:pt idx="38">
                  <c:v>-6.725665706989935E-12</c:v>
                </c:pt>
                <c:pt idx="39">
                  <c:v>-8.7778359017937611E-12</c:v>
                </c:pt>
                <c:pt idx="40">
                  <c:v>-1.143987288221295E-11</c:v>
                </c:pt>
                <c:pt idx="41">
                  <c:v>-1.4887996581748047E-11</c:v>
                </c:pt>
                <c:pt idx="42">
                  <c:v>-1.9347836059877806E-11</c:v>
                </c:pt>
                <c:pt idx="43">
                  <c:v>-2.5107840781879379E-11</c:v>
                </c:pt>
                <c:pt idx="44">
                  <c:v>-3.2536206053767727E-11</c:v>
                </c:pt>
                <c:pt idx="45">
                  <c:v>-4.2102198472251801E-11</c:v>
                </c:pt>
                <c:pt idx="46">
                  <c:v>-5.4402981160523196E-11</c:v>
                </c:pt>
                <c:pt idx="47">
                  <c:v>-7.0197301677118094E-11</c:v>
                </c:pt>
                <c:pt idx="48">
                  <c:v>-9.0447728509277747E-11</c:v>
                </c:pt>
                <c:pt idx="49">
                  <c:v>-1.1637351787439369E-10</c:v>
                </c:pt>
                <c:pt idx="50">
                  <c:v>-1.495166766196422E-10</c:v>
                </c:pt>
                <c:pt idx="51">
                  <c:v>-1.9182437785996339E-10</c:v>
                </c:pt>
                <c:pt idx="52">
                  <c:v>-2.4575160577531036E-10</c:v>
                </c:pt>
                <c:pt idx="53">
                  <c:v>-3.1438878110885053E-10</c:v>
                </c:pt>
                <c:pt idx="54">
                  <c:v>-4.0162018078529666E-10</c:v>
                </c:pt>
                <c:pt idx="55">
                  <c:v>-5.1232025098610612E-10</c:v>
                </c:pt>
                <c:pt idx="56">
                  <c:v>-6.5259646711282853E-10</c:v>
                </c:pt>
                <c:pt idx="57">
                  <c:v>-8.3008926846186461E-10</c:v>
                </c:pt>
                <c:pt idx="58">
                  <c:v>-1.0543418515150771E-9</c:v>
                </c:pt>
                <c:pt idx="59">
                  <c:v>-1.337255315647964E-9</c:v>
                </c:pt>
                <c:pt idx="60">
                  <c:v>-1.6936479032864237E-9</c:v>
                </c:pt>
                <c:pt idx="61">
                  <c:v>-2.141940961873801E-9</c:v>
                </c:pt>
                <c:pt idx="62">
                  <c:v>-2.7049988925529816E-9</c:v>
                </c:pt>
                <c:pt idx="63">
                  <c:v>-3.4111558740067029E-9</c:v>
                </c:pt>
                <c:pt idx="64">
                  <c:v>-4.2954687144746791E-9</c:v>
                </c:pt>
                <c:pt idx="65">
                  <c:v>-5.4012429697300894E-9</c:v>
                </c:pt>
                <c:pt idx="66">
                  <c:v>-6.7818886761464562E-9</c:v>
                </c:pt>
                <c:pt idx="67">
                  <c:v>-8.503172922967208E-9</c:v>
                </c:pt>
                <c:pt idx="68">
                  <c:v>-1.0645949297897659E-8</c:v>
                </c:pt>
                <c:pt idx="69">
                  <c:v>-1.3309459294881077E-8</c:v>
                </c:pt>
                <c:pt idx="70">
                  <c:v>-1.6615318424626453E-8</c:v>
                </c:pt>
                <c:pt idx="71">
                  <c:v>-2.0712320416334336E-8</c:v>
                </c:pt>
                <c:pt idx="72">
                  <c:v>-2.5782216993929284E-8</c:v>
                </c:pt>
                <c:pt idx="73">
                  <c:v>-3.2046658759113176E-8</c:v>
                </c:pt>
                <c:pt idx="74">
                  <c:v>-3.9775515285040622E-8</c:v>
                </c:pt>
                <c:pt idx="75">
                  <c:v>-4.9296830252630389E-8</c:v>
                </c:pt>
                <c:pt idx="76">
                  <c:v>-6.1008711051232058E-8</c:v>
                </c:pt>
                <c:pt idx="77">
                  <c:v>-7.5393502496107925E-8</c:v>
                </c:pt>
                <c:pt idx="78">
                  <c:v>-9.303465204504829E-8</c:v>
                </c:pt>
                <c:pt idx="79">
                  <c:v>-1.1463674006511662E-7</c:v>
                </c:pt>
                <c:pt idx="80">
                  <c:v>-1.4104922433134079E-7</c:v>
                </c:pt>
                <c:pt idx="81">
                  <c:v>-1.7329453413998934E-7</c:v>
                </c:pt>
                <c:pt idx="82">
                  <c:v>-2.1260124738135883E-7</c:v>
                </c:pt>
                <c:pt idx="83">
                  <c:v>-2.6044319491311688E-7</c:v>
                </c:pt>
                <c:pt idx="84">
                  <c:v>-3.1858546195317385E-7</c:v>
                </c:pt>
                <c:pt idx="85">
                  <c:v>-3.8913839738620569E-7</c:v>
                </c:pt>
                <c:pt idx="86">
                  <c:v>-4.7462090032170341E-7</c:v>
                </c:pt>
                <c:pt idx="87">
                  <c:v>-5.780344304651821E-7</c:v>
                </c:pt>
                <c:pt idx="88">
                  <c:v>-7.0294938639957686E-7</c:v>
                </c:pt>
                <c:pt idx="89">
                  <c:v>-8.5360571524654466E-7</c:v>
                </c:pt>
                <c:pt idx="90">
                  <c:v>-1.0350298598760881E-6</c:v>
                </c:pt>
                <c:pt idx="91">
                  <c:v>-1.2531704172704266E-6</c:v>
                </c:pt>
                <c:pt idx="92">
                  <c:v>-1.5150551751163741E-6</c:v>
                </c:pt>
                <c:pt idx="93">
                  <c:v>-1.8289725143158999E-6</c:v>
                </c:pt>
                <c:pt idx="94">
                  <c:v>-2.2046805137462002E-6</c:v>
                </c:pt>
                <c:pt idx="95">
                  <c:v>-2.6536474708375868E-6</c:v>
                </c:pt>
                <c:pt idx="96">
                  <c:v>-3.1893279575471119E-6</c:v>
                </c:pt>
                <c:pt idx="97">
                  <c:v>-3.8274789657821604E-6</c:v>
                </c:pt>
                <c:pt idx="98">
                  <c:v>-4.5865211583781222E-6</c:v>
                </c:pt>
                <c:pt idx="99">
                  <c:v>-5.4879507297651114E-6</c:v>
                </c:pt>
                <c:pt idx="100">
                  <c:v>-6.5568078920547199E-6</c:v>
                </c:pt>
                <c:pt idx="101">
                  <c:v>-7.8222085340658061E-6</c:v>
                </c:pt>
                <c:pt idx="102">
                  <c:v>-9.3179461483161215E-6</c:v>
                </c:pt>
                <c:pt idx="103">
                  <c:v>-1.1083171678513743E-5</c:v>
                </c:pt>
                <c:pt idx="104">
                  <c:v>-1.3163159500460527E-5</c:v>
                </c:pt>
                <c:pt idx="105">
                  <c:v>-1.5610168303839267E-5</c:v>
                </c:pt>
                <c:pt idx="106">
                  <c:v>-1.8484406180679844E-5</c:v>
                </c:pt>
                <c:pt idx="107">
                  <c:v>-2.1855109736085395E-5</c:v>
                </c:pt>
                <c:pt idx="108">
                  <c:v>-2.580174750371607E-5</c:v>
                </c:pt>
                <c:pt idx="109">
                  <c:v>-3.0415358356063437E-5</c:v>
                </c:pt>
                <c:pt idx="110">
                  <c:v>-3.5800035928899141E-5</c:v>
                </c:pt>
                <c:pt idx="111">
                  <c:v>-4.2074570309245817E-5</c:v>
                </c:pt>
                <c:pt idx="112">
                  <c:v>-4.9374258343129331E-5</c:v>
                </c:pt>
                <c:pt idx="113">
                  <c:v>-5.7852893877065229E-5</c:v>
                </c:pt>
                <c:pt idx="114">
                  <c:v>-6.7684949027070957E-5</c:v>
                </c:pt>
                <c:pt idx="115">
                  <c:v>-7.9067957139915482E-5</c:v>
                </c:pt>
                <c:pt idx="116">
                  <c:v>-9.2225107439996684E-5</c:v>
                </c:pt>
                <c:pt idx="117">
                  <c:v>-1.074080604062767E-4</c:v>
                </c:pt>
                <c:pt idx="118">
                  <c:v>-1.2489999165991831E-4</c:v>
                </c:pt>
                <c:pt idx="119">
                  <c:v>-1.450188705261054E-4</c:v>
                </c:pt>
                <c:pt idx="120">
                  <c:v>-1.6812097742350125E-4</c:v>
                </c:pt>
                <c:pt idx="121">
                  <c:v>-1.9460466179214441E-4</c:v>
                </c:pt>
                <c:pt idx="122">
                  <c:v>-2.2491433935589399E-4</c:v>
                </c:pt>
                <c:pt idx="123">
                  <c:v>-2.5954472409070624E-4</c:v>
                </c:pt>
                <c:pt idx="124">
                  <c:v>-2.9904528629911393E-4</c:v>
                </c:pt>
                <c:pt idx="125">
                  <c:v>-3.4402492364163216E-4</c:v>
                </c:pt>
                <c:pt idx="126">
                  <c:v>-3.9515682681935785E-4</c:v>
                </c:pt>
                <c:pt idx="127">
                  <c:v>-4.5318351581646882E-4</c:v>
                </c:pt>
                <c:pt idx="128">
                  <c:v>-5.1892201618174323E-4</c:v>
                </c:pt>
                <c:pt idx="129">
                  <c:v>-5.9326913774856559E-4</c:v>
                </c:pt>
                <c:pt idx="130">
                  <c:v>-6.7720681046760163E-4</c:v>
                </c:pt>
                <c:pt idx="131">
                  <c:v>-7.7180742367214598E-4</c:v>
                </c:pt>
                <c:pt idx="132">
                  <c:v>-8.7823910614371454E-4</c:v>
                </c:pt>
                <c:pt idx="133">
                  <c:v>-9.9777087484125807E-4</c:v>
                </c:pt>
                <c:pt idx="134">
                  <c:v>-1.1317775701651903E-3</c:v>
                </c:pt>
                <c:pt idx="135">
                  <c:v>-1.28174448523029E-3</c:v>
                </c:pt>
                <c:pt idx="136">
                  <c:v>-1.4492715859229601E-3</c:v>
                </c:pt>
                <c:pt idx="137">
                  <c:v>-1.6360772076438341E-3</c:v>
                </c:pt>
                <c:pt idx="138">
                  <c:v>-1.8440011037348146E-3</c:v>
                </c:pt>
                <c:pt idx="139">
                  <c:v>-2.0750067098326201E-3</c:v>
                </c:pt>
                <c:pt idx="140">
                  <c:v>-2.3311824779755062E-3</c:v>
                </c:pt>
                <c:pt idx="141">
                  <c:v>-2.6147421244365923E-3</c:v>
                </c:pt>
                <c:pt idx="142">
                  <c:v>-2.928023626211074E-3</c:v>
                </c:pt>
                <c:pt idx="143">
                  <c:v>-3.2734867931122295E-3</c:v>
                </c:pt>
                <c:pt idx="144">
                  <c:v>-3.6537092358212577E-3</c:v>
                </c:pt>
                <c:pt idx="145">
                  <c:v>-4.0713805452947515E-3</c:v>
                </c:pt>
                <c:pt idx="146">
                  <c:v>-4.5292944959836002E-3</c:v>
                </c:pt>
                <c:pt idx="147">
                  <c:v>-5.0303390846916929E-3</c:v>
                </c:pt>
                <c:pt idx="148">
                  <c:v>-5.5774842189428471E-3</c:v>
                </c:pt>
                <c:pt idx="149">
                  <c:v>-6.1737668737714439E-3</c:v>
                </c:pt>
                <c:pt idx="150">
                  <c:v>-6.82227354424362E-3</c:v>
                </c:pt>
                <c:pt idx="151">
                  <c:v>-7.5261198330762837E-3</c:v>
                </c:pt>
                <c:pt idx="152">
                  <c:v>-8.2884270287558147E-3</c:v>
                </c:pt>
                <c:pt idx="153">
                  <c:v>-9.1122955498438418E-3</c:v>
                </c:pt>
                <c:pt idx="154">
                  <c:v>-1.0000775155933157E-2</c:v>
                </c:pt>
                <c:pt idx="155">
                  <c:v>-1.0956831855175462E-2</c:v>
                </c:pt>
                <c:pt idx="156">
                  <c:v>-1.1983311472579443E-2</c:v>
                </c:pt>
                <c:pt idx="157">
                  <c:v>-1.3082899882442363E-2</c:v>
                </c:pt>
                <c:pt idx="158">
                  <c:v>-1.4258079952323309E-2</c:v>
                </c:pt>
                <c:pt idx="159">
                  <c:v>-1.5511085294798431E-2</c:v>
                </c:pt>
                <c:pt idx="160">
                  <c:v>-1.6843850976669482E-2</c:v>
                </c:pt>
                <c:pt idx="161">
                  <c:v>-1.8257961393035635E-2</c:v>
                </c:pt>
                <c:pt idx="162">
                  <c:v>-1.9754595575282918E-2</c:v>
                </c:pt>
                <c:pt idx="163">
                  <c:v>-2.1334470267078711E-2</c:v>
                </c:pt>
                <c:pt idx="164">
                  <c:v>-2.2997781170242069E-2</c:v>
                </c:pt>
                <c:pt idx="165">
                  <c:v>-2.4744142832135531E-2</c:v>
                </c:pt>
                <c:pt idx="166">
                  <c:v>-2.6572527717108427E-2</c:v>
                </c:pt>
                <c:pt idx="167">
                  <c:v>-2.8481205075514049E-2</c:v>
                </c:pt>
                <c:pt idx="168">
                  <c:v>-3.0467680293809453E-2</c:v>
                </c:pt>
                <c:pt idx="169">
                  <c:v>-3.2528635477005678E-2</c:v>
                </c:pt>
                <c:pt idx="170">
                  <c:v>-3.4659872078952277E-2</c:v>
                </c:pt>
                <c:pt idx="171">
                  <c:v>-3.6856256455218304E-2</c:v>
                </c:pt>
                <c:pt idx="172">
                  <c:v>-3.9111669266214198E-2</c:v>
                </c:pt>
                <c:pt idx="173">
                  <c:v>-4.1418959703185397E-2</c:v>
                </c:pt>
                <c:pt idx="174">
                  <c:v>-4.3769905545280471E-2</c:v>
                </c:pt>
                <c:pt idx="175">
                  <c:v>-4.6155180080545415E-2</c:v>
                </c:pt>
                <c:pt idx="176">
                  <c:v>-4.8564326935948178E-2</c:v>
                </c:pt>
                <c:pt idx="177">
                  <c:v>-5.0985743859989781E-2</c:v>
                </c:pt>
                <c:pt idx="178">
                  <c:v>-5.3406676484808326E-2</c:v>
                </c:pt>
                <c:pt idx="179">
                  <c:v>-5.5813223061761424E-2</c:v>
                </c:pt>
                <c:pt idx="180">
                  <c:v>-5.8190351114285908E-2</c:v>
                </c:pt>
                <c:pt idx="181">
                  <c:v>-6.0521926883584785E-2</c:v>
                </c:pt>
                <c:pt idx="182">
                  <c:v>-6.279075835582773E-2</c:v>
                </c:pt>
                <c:pt idx="183">
                  <c:v>-6.4978652553785682E-2</c:v>
                </c:pt>
                <c:pt idx="184">
                  <c:v>-6.7066487651163784E-2</c:v>
                </c:pt>
                <c:pt idx="185">
                  <c:v>-6.9034300324690101E-2</c:v>
                </c:pt>
                <c:pt idx="186">
                  <c:v>-7.086138859793939E-2</c:v>
                </c:pt>
                <c:pt idx="187">
                  <c:v>-7.252643025297062E-2</c:v>
                </c:pt>
                <c:pt idx="188">
                  <c:v>-7.4007616692549877E-2</c:v>
                </c:pt>
                <c:pt idx="189">
                  <c:v>-7.5282801928813883E-2</c:v>
                </c:pt>
                <c:pt idx="190">
                  <c:v>-7.6329666155873388E-2</c:v>
                </c:pt>
                <c:pt idx="191">
                  <c:v>-7.7125893136591239E-2</c:v>
                </c:pt>
                <c:pt idx="192">
                  <c:v>-7.7649360400477527E-2</c:v>
                </c:pt>
                <c:pt idx="193">
                  <c:v>-7.787834101351479E-2</c:v>
                </c:pt>
                <c:pt idx="194">
                  <c:v>-7.779171544523944E-2</c:v>
                </c:pt>
                <c:pt idx="195">
                  <c:v>-7.7369191827273281E-2</c:v>
                </c:pt>
                <c:pt idx="196">
                  <c:v>-7.6591532674624679E-2</c:v>
                </c:pt>
                <c:pt idx="197">
                  <c:v>-7.5440785930489071E-2</c:v>
                </c:pt>
                <c:pt idx="198">
                  <c:v>-7.3900518001068408E-2</c:v>
                </c:pt>
                <c:pt idx="199">
                  <c:v>-7.1956046273177268E-2</c:v>
                </c:pt>
                <c:pt idx="200">
                  <c:v>-6.9594668458113657E-2</c:v>
                </c:pt>
                <c:pt idx="201">
                  <c:v>-6.6805885984278265E-2</c:v>
                </c:pt>
                <c:pt idx="202">
                  <c:v>-6.3581618571921641E-2</c:v>
                </c:pt>
                <c:pt idx="203">
                  <c:v>-5.9916407069455307E-2</c:v>
                </c:pt>
                <c:pt idx="204">
                  <c:v>-5.5807601614845485E-2</c:v>
                </c:pt>
                <c:pt idx="205">
                  <c:v>-5.125553221010784E-2</c:v>
                </c:pt>
                <c:pt idx="206">
                  <c:v>-4.6263658863676088E-2</c:v>
                </c:pt>
                <c:pt idx="207">
                  <c:v>-4.0838698565656417E-2</c:v>
                </c:pt>
                <c:pt idx="208">
                  <c:v>-3.4990726515259515E-2</c:v>
                </c:pt>
                <c:pt idx="209">
                  <c:v>-2.873324921787232E-2</c:v>
                </c:pt>
                <c:pt idx="210">
                  <c:v>-2.2083247310390467E-2</c:v>
                </c:pt>
                <c:pt idx="211">
                  <c:v>-1.5061186255915822E-2</c:v>
                </c:pt>
                <c:pt idx="212">
                  <c:v>-7.6909933702915666E-3</c:v>
                </c:pt>
                <c:pt idx="213">
                  <c:v>0</c:v>
                </c:pt>
                <c:pt idx="214">
                  <c:v>7.9811519402586163E-3</c:v>
                </c:pt>
                <c:pt idx="215">
                  <c:v>1.6218639446095119E-2</c:v>
                </c:pt>
                <c:pt idx="216">
                  <c:v>2.4675623856153423E-2</c:v>
                </c:pt>
                <c:pt idx="217">
                  <c:v>3.3312451723459147E-2</c:v>
                </c:pt>
                <c:pt idx="218">
                  <c:v>4.2086890146585475E-2</c:v>
                </c:pt>
                <c:pt idx="219">
                  <c:v>5.0954395115742464E-2</c:v>
                </c:pt>
                <c:pt idx="220">
                  <c:v>5.9868410967009664E-2</c:v>
                </c:pt>
                <c:pt idx="221">
                  <c:v>6.8780698587451797E-2</c:v>
                </c:pt>
                <c:pt idx="222">
                  <c:v>7.7641689582037487E-2</c:v>
                </c:pt>
                <c:pt idx="223">
                  <c:v>8.6400863207292705E-2</c:v>
                </c:pt>
                <c:pt idx="224">
                  <c:v>9.5007142503417005E-2</c:v>
                </c:pt>
                <c:pt idx="225">
                  <c:v>0.1034093057227793</c:v>
                </c:pt>
                <c:pt idx="226">
                  <c:v>0.11155640886441902</c:v>
                </c:pt>
                <c:pt idx="227">
                  <c:v>0.11939821488694168</c:v>
                </c:pt>
                <c:pt idx="228">
                  <c:v>0.12688562499082728</c:v>
                </c:pt>
                <c:pt idx="229">
                  <c:v>0.13397110723966735</c:v>
                </c:pt>
                <c:pt idx="230">
                  <c:v>0.14060911773130239</c:v>
                </c:pt>
                <c:pt idx="231">
                  <c:v>0.14675650953635536</c:v>
                </c:pt>
                <c:pt idx="232">
                  <c:v>0.15237292469431638</c:v>
                </c:pt>
                <c:pt idx="233">
                  <c:v>0.15742116469612882</c:v>
                </c:pt>
                <c:pt idx="234">
                  <c:v>0.16186753508604998</c:v>
                </c:pt>
                <c:pt idx="235">
                  <c:v>0.16568216008222297</c:v>
                </c:pt>
                <c:pt idx="236">
                  <c:v>0.16883926344163988</c:v>
                </c:pt>
                <c:pt idx="237">
                  <c:v>0.17131741217671745</c:v>
                </c:pt>
                <c:pt idx="238">
                  <c:v>0.17309972016231057</c:v>
                </c:pt>
                <c:pt idx="239">
                  <c:v>0.17417400914753969</c:v>
                </c:pt>
                <c:pt idx="240">
                  <c:v>0.17453292519943295</c:v>
                </c:pt>
                <c:pt idx="241">
                  <c:v>0.17417400914753969</c:v>
                </c:pt>
                <c:pt idx="242">
                  <c:v>0.17309972016231057</c:v>
                </c:pt>
                <c:pt idx="243">
                  <c:v>0.17131741217671745</c:v>
                </c:pt>
                <c:pt idx="244">
                  <c:v>0.16883926344163988</c:v>
                </c:pt>
                <c:pt idx="245">
                  <c:v>0.16568216008222297</c:v>
                </c:pt>
                <c:pt idx="246">
                  <c:v>0.16186753508604998</c:v>
                </c:pt>
                <c:pt idx="247">
                  <c:v>0.15742116469612882</c:v>
                </c:pt>
                <c:pt idx="248">
                  <c:v>0.15237292469431638</c:v>
                </c:pt>
                <c:pt idx="249">
                  <c:v>0.14675650953635536</c:v>
                </c:pt>
                <c:pt idx="250">
                  <c:v>0.14060911773130239</c:v>
                </c:pt>
                <c:pt idx="251">
                  <c:v>0.13397110723966735</c:v>
                </c:pt>
                <c:pt idx="252">
                  <c:v>0.12688562499082728</c:v>
                </c:pt>
                <c:pt idx="253">
                  <c:v>0.11939821488694168</c:v>
                </c:pt>
                <c:pt idx="254">
                  <c:v>0.11155640886441902</c:v>
                </c:pt>
                <c:pt idx="255">
                  <c:v>0.1034093057227793</c:v>
                </c:pt>
                <c:pt idx="256">
                  <c:v>9.5007142503417005E-2</c:v>
                </c:pt>
                <c:pt idx="257">
                  <c:v>8.6400863207292705E-2</c:v>
                </c:pt>
                <c:pt idx="258">
                  <c:v>7.7641689582037487E-2</c:v>
                </c:pt>
                <c:pt idx="259">
                  <c:v>6.8780698587451797E-2</c:v>
                </c:pt>
                <c:pt idx="260">
                  <c:v>5.9868410967009664E-2</c:v>
                </c:pt>
                <c:pt idx="261">
                  <c:v>5.0954395115742464E-2</c:v>
                </c:pt>
                <c:pt idx="262">
                  <c:v>4.2086890146585475E-2</c:v>
                </c:pt>
                <c:pt idx="263">
                  <c:v>3.3312451723459147E-2</c:v>
                </c:pt>
                <c:pt idx="264">
                  <c:v>2.4675623856153423E-2</c:v>
                </c:pt>
                <c:pt idx="265">
                  <c:v>1.6218639446095119E-2</c:v>
                </c:pt>
                <c:pt idx="266">
                  <c:v>7.9811519402586163E-3</c:v>
                </c:pt>
                <c:pt idx="267">
                  <c:v>0</c:v>
                </c:pt>
                <c:pt idx="268">
                  <c:v>-7.6909933702915666E-3</c:v>
                </c:pt>
                <c:pt idx="269">
                  <c:v>-1.5061186255915822E-2</c:v>
                </c:pt>
                <c:pt idx="270">
                  <c:v>-2.2083247310390467E-2</c:v>
                </c:pt>
                <c:pt idx="271">
                  <c:v>-2.873324921787232E-2</c:v>
                </c:pt>
                <c:pt idx="272">
                  <c:v>-3.4990726515259515E-2</c:v>
                </c:pt>
                <c:pt idx="273">
                  <c:v>-4.0838698565656417E-2</c:v>
                </c:pt>
                <c:pt idx="274">
                  <c:v>-4.6263658863676088E-2</c:v>
                </c:pt>
                <c:pt idx="275">
                  <c:v>-5.125553221010784E-2</c:v>
                </c:pt>
                <c:pt idx="276">
                  <c:v>-5.5807601614845485E-2</c:v>
                </c:pt>
                <c:pt idx="277">
                  <c:v>-5.9916407069455307E-2</c:v>
                </c:pt>
                <c:pt idx="278">
                  <c:v>-6.3581618571921641E-2</c:v>
                </c:pt>
                <c:pt idx="279">
                  <c:v>-6.6805885984278265E-2</c:v>
                </c:pt>
                <c:pt idx="280">
                  <c:v>-6.9594668458113657E-2</c:v>
                </c:pt>
                <c:pt idx="281">
                  <c:v>-7.1956046273177268E-2</c:v>
                </c:pt>
                <c:pt idx="282">
                  <c:v>-7.3900518001068408E-2</c:v>
                </c:pt>
                <c:pt idx="283">
                  <c:v>-7.5440785930489071E-2</c:v>
                </c:pt>
                <c:pt idx="284">
                  <c:v>-7.6591532674624679E-2</c:v>
                </c:pt>
                <c:pt idx="285">
                  <c:v>-7.7369191827273281E-2</c:v>
                </c:pt>
                <c:pt idx="286">
                  <c:v>-7.779171544523944E-2</c:v>
                </c:pt>
                <c:pt idx="287">
                  <c:v>-7.787834101351479E-2</c:v>
                </c:pt>
                <c:pt idx="288">
                  <c:v>-7.7649360400477527E-2</c:v>
                </c:pt>
                <c:pt idx="289">
                  <c:v>-7.7125893136591239E-2</c:v>
                </c:pt>
                <c:pt idx="290">
                  <c:v>-7.6329666155873388E-2</c:v>
                </c:pt>
                <c:pt idx="291">
                  <c:v>-7.5282801928813883E-2</c:v>
                </c:pt>
                <c:pt idx="292">
                  <c:v>-7.4007616692549877E-2</c:v>
                </c:pt>
                <c:pt idx="293">
                  <c:v>-7.252643025297062E-2</c:v>
                </c:pt>
                <c:pt idx="294">
                  <c:v>-7.086138859793939E-2</c:v>
                </c:pt>
                <c:pt idx="295">
                  <c:v>-6.9034300324690101E-2</c:v>
                </c:pt>
                <c:pt idx="296">
                  <c:v>-6.7066487651163784E-2</c:v>
                </c:pt>
                <c:pt idx="297">
                  <c:v>-6.4978652553785682E-2</c:v>
                </c:pt>
                <c:pt idx="298">
                  <c:v>-6.279075835582773E-2</c:v>
                </c:pt>
                <c:pt idx="299">
                  <c:v>-6.0521926883584785E-2</c:v>
                </c:pt>
                <c:pt idx="300">
                  <c:v>-5.8190351114285908E-2</c:v>
                </c:pt>
                <c:pt idx="301">
                  <c:v>-5.5813223061761424E-2</c:v>
                </c:pt>
                <c:pt idx="302">
                  <c:v>-5.3406676484808326E-2</c:v>
                </c:pt>
                <c:pt idx="303">
                  <c:v>-5.0985743859989781E-2</c:v>
                </c:pt>
                <c:pt idx="304">
                  <c:v>-4.8564326935948178E-2</c:v>
                </c:pt>
                <c:pt idx="305">
                  <c:v>-4.6155180080545415E-2</c:v>
                </c:pt>
                <c:pt idx="306">
                  <c:v>-4.3769905545280471E-2</c:v>
                </c:pt>
                <c:pt idx="307">
                  <c:v>-4.1418959703185397E-2</c:v>
                </c:pt>
                <c:pt idx="308">
                  <c:v>-3.9111669266214198E-2</c:v>
                </c:pt>
                <c:pt idx="309">
                  <c:v>-3.6856256455218304E-2</c:v>
                </c:pt>
                <c:pt idx="310">
                  <c:v>-3.4659872078952277E-2</c:v>
                </c:pt>
                <c:pt idx="311">
                  <c:v>-3.2528635477005678E-2</c:v>
                </c:pt>
                <c:pt idx="312">
                  <c:v>-3.0467680293809453E-2</c:v>
                </c:pt>
                <c:pt idx="313">
                  <c:v>-2.8481205075514049E-2</c:v>
                </c:pt>
                <c:pt idx="314">
                  <c:v>-2.6572527717108427E-2</c:v>
                </c:pt>
                <c:pt idx="315">
                  <c:v>-2.4744142832135531E-2</c:v>
                </c:pt>
                <c:pt idx="316">
                  <c:v>-2.2997781170242069E-2</c:v>
                </c:pt>
                <c:pt idx="317">
                  <c:v>-2.1334470267078711E-2</c:v>
                </c:pt>
                <c:pt idx="318">
                  <c:v>-1.9754595575282918E-2</c:v>
                </c:pt>
                <c:pt idx="319">
                  <c:v>-1.8257961393035635E-2</c:v>
                </c:pt>
                <c:pt idx="320">
                  <c:v>-1.6843850976669482E-2</c:v>
                </c:pt>
                <c:pt idx="321">
                  <c:v>-1.5511085294798431E-2</c:v>
                </c:pt>
                <c:pt idx="322">
                  <c:v>-1.4258079952323309E-2</c:v>
                </c:pt>
                <c:pt idx="323">
                  <c:v>-1.3082899882442363E-2</c:v>
                </c:pt>
                <c:pt idx="324">
                  <c:v>-1.1983311472579443E-2</c:v>
                </c:pt>
                <c:pt idx="325">
                  <c:v>-1.0956831855175462E-2</c:v>
                </c:pt>
                <c:pt idx="326">
                  <c:v>-1.0000775155933157E-2</c:v>
                </c:pt>
                <c:pt idx="327">
                  <c:v>-9.1122955498438418E-3</c:v>
                </c:pt>
                <c:pt idx="328">
                  <c:v>-8.2884270287558147E-3</c:v>
                </c:pt>
                <c:pt idx="329">
                  <c:v>-7.5261198330762837E-3</c:v>
                </c:pt>
                <c:pt idx="330">
                  <c:v>-6.82227354424362E-3</c:v>
                </c:pt>
                <c:pt idx="331">
                  <c:v>-6.1737668737714439E-3</c:v>
                </c:pt>
                <c:pt idx="332">
                  <c:v>-5.5774842189428471E-3</c:v>
                </c:pt>
                <c:pt idx="333">
                  <c:v>-5.0303390846916929E-3</c:v>
                </c:pt>
                <c:pt idx="334">
                  <c:v>-4.5292944959836002E-3</c:v>
                </c:pt>
                <c:pt idx="335">
                  <c:v>-4.0713805452947515E-3</c:v>
                </c:pt>
                <c:pt idx="336">
                  <c:v>-3.6537092358212577E-3</c:v>
                </c:pt>
                <c:pt idx="337">
                  <c:v>-3.2734867931122295E-3</c:v>
                </c:pt>
                <c:pt idx="338">
                  <c:v>-2.928023626211074E-3</c:v>
                </c:pt>
                <c:pt idx="339">
                  <c:v>-2.6147421244365923E-3</c:v>
                </c:pt>
                <c:pt idx="340">
                  <c:v>-2.3311824779755062E-3</c:v>
                </c:pt>
                <c:pt idx="341">
                  <c:v>-2.0750067098326201E-3</c:v>
                </c:pt>
                <c:pt idx="342">
                  <c:v>-1.8440011037348146E-3</c:v>
                </c:pt>
                <c:pt idx="343">
                  <c:v>-1.6360772076438341E-3</c:v>
                </c:pt>
                <c:pt idx="344">
                  <c:v>-1.4492715859229601E-3</c:v>
                </c:pt>
                <c:pt idx="345">
                  <c:v>-1.28174448523029E-3</c:v>
                </c:pt>
                <c:pt idx="346">
                  <c:v>-1.1317775701651903E-3</c:v>
                </c:pt>
                <c:pt idx="347">
                  <c:v>-9.9777087484125807E-4</c:v>
                </c:pt>
                <c:pt idx="348">
                  <c:v>-8.7823910614371454E-4</c:v>
                </c:pt>
                <c:pt idx="349">
                  <c:v>-7.7180742367214598E-4</c:v>
                </c:pt>
                <c:pt idx="350">
                  <c:v>-6.7720681046760163E-4</c:v>
                </c:pt>
                <c:pt idx="351">
                  <c:v>-5.9326913774856559E-4</c:v>
                </c:pt>
                <c:pt idx="352">
                  <c:v>-5.1892201618174323E-4</c:v>
                </c:pt>
                <c:pt idx="353">
                  <c:v>-4.5318351581646882E-4</c:v>
                </c:pt>
                <c:pt idx="354">
                  <c:v>-3.9515682681935785E-4</c:v>
                </c:pt>
                <c:pt idx="355">
                  <c:v>-3.4402492364163216E-4</c:v>
                </c:pt>
                <c:pt idx="356">
                  <c:v>-2.9904528629911393E-4</c:v>
                </c:pt>
                <c:pt idx="357">
                  <c:v>-2.5954472409070624E-4</c:v>
                </c:pt>
                <c:pt idx="358">
                  <c:v>-2.2491433935589399E-4</c:v>
                </c:pt>
                <c:pt idx="359">
                  <c:v>-1.9460466179214441E-4</c:v>
                </c:pt>
                <c:pt idx="360">
                  <c:v>-1.6812097742350125E-4</c:v>
                </c:pt>
                <c:pt idx="361">
                  <c:v>-1.450188705261054E-4</c:v>
                </c:pt>
                <c:pt idx="362">
                  <c:v>-1.2489999165991831E-4</c:v>
                </c:pt>
                <c:pt idx="363">
                  <c:v>-1.074080604062767E-4</c:v>
                </c:pt>
                <c:pt idx="364">
                  <c:v>-9.2225107439996684E-5</c:v>
                </c:pt>
                <c:pt idx="365">
                  <c:v>-7.9067957139915482E-5</c:v>
                </c:pt>
                <c:pt idx="366">
                  <c:v>-6.7684949027070957E-5</c:v>
                </c:pt>
                <c:pt idx="367">
                  <c:v>-5.7852893877065229E-5</c:v>
                </c:pt>
                <c:pt idx="368">
                  <c:v>-4.9374258343129331E-5</c:v>
                </c:pt>
                <c:pt idx="369">
                  <c:v>-4.2074570309245817E-5</c:v>
                </c:pt>
                <c:pt idx="370">
                  <c:v>-3.5800035928899141E-5</c:v>
                </c:pt>
                <c:pt idx="371">
                  <c:v>-3.0415358356063437E-5</c:v>
                </c:pt>
                <c:pt idx="372">
                  <c:v>-2.580174750371607E-5</c:v>
                </c:pt>
                <c:pt idx="373">
                  <c:v>-2.1855109736085395E-5</c:v>
                </c:pt>
                <c:pt idx="374">
                  <c:v>-1.8484406180679844E-5</c:v>
                </c:pt>
                <c:pt idx="375">
                  <c:v>-1.5610168303839267E-5</c:v>
                </c:pt>
                <c:pt idx="376">
                  <c:v>-1.3163159500460527E-5</c:v>
                </c:pt>
                <c:pt idx="377">
                  <c:v>-1.1083171678513743E-5</c:v>
                </c:pt>
                <c:pt idx="378">
                  <c:v>-9.3179461483161215E-6</c:v>
                </c:pt>
                <c:pt idx="379">
                  <c:v>-7.8222085340658061E-6</c:v>
                </c:pt>
                <c:pt idx="380">
                  <c:v>-6.5568078920547199E-6</c:v>
                </c:pt>
                <c:pt idx="381">
                  <c:v>-5.4879507297651114E-6</c:v>
                </c:pt>
                <c:pt idx="382">
                  <c:v>-4.5865211583781222E-6</c:v>
                </c:pt>
                <c:pt idx="383">
                  <c:v>-3.8274789657821604E-6</c:v>
                </c:pt>
                <c:pt idx="384">
                  <c:v>-3.1893279575471119E-6</c:v>
                </c:pt>
                <c:pt idx="385">
                  <c:v>-2.6536474708375868E-6</c:v>
                </c:pt>
                <c:pt idx="386">
                  <c:v>-2.2046805137462002E-6</c:v>
                </c:pt>
                <c:pt idx="387">
                  <c:v>-1.8289725143158999E-6</c:v>
                </c:pt>
                <c:pt idx="388">
                  <c:v>-1.5150551751163741E-6</c:v>
                </c:pt>
                <c:pt idx="389">
                  <c:v>-1.2531704172704266E-6</c:v>
                </c:pt>
                <c:pt idx="390">
                  <c:v>-1.0350298598760881E-6</c:v>
                </c:pt>
                <c:pt idx="391">
                  <c:v>-8.5360571524654466E-7</c:v>
                </c:pt>
                <c:pt idx="392">
                  <c:v>-7.0294938639957686E-7</c:v>
                </c:pt>
                <c:pt idx="393">
                  <c:v>-5.780344304651821E-7</c:v>
                </c:pt>
                <c:pt idx="394">
                  <c:v>-4.7462090032170341E-7</c:v>
                </c:pt>
                <c:pt idx="395">
                  <c:v>-3.8913839738620569E-7</c:v>
                </c:pt>
                <c:pt idx="396">
                  <c:v>-3.1858546195317385E-7</c:v>
                </c:pt>
                <c:pt idx="397">
                  <c:v>-2.6044319491311688E-7</c:v>
                </c:pt>
                <c:pt idx="398">
                  <c:v>-2.1260124738135883E-7</c:v>
                </c:pt>
                <c:pt idx="399">
                  <c:v>-1.7329453413998934E-7</c:v>
                </c:pt>
                <c:pt idx="400">
                  <c:v>-1.4104922433134079E-7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91-4FF5-833D-871727D1D043}"/>
            </c:ext>
          </c:extLst>
        </c:ser>
        <c:ser>
          <c:idx val="1"/>
          <c:order val="1"/>
          <c:tx>
            <c:strRef>
              <c:f>'transversal subsidence-gauss'!$D$8</c:f>
              <c:strCache>
                <c:ptCount val="1"/>
                <c:pt idx="0">
                  <c:v>Tunnel B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'transversal subsidence profile'!$G$10:$G$410</c:f>
              <c:numCache>
                <c:formatCode>General</c:formatCode>
                <c:ptCount val="401"/>
                <c:pt idx="0">
                  <c:v>-60</c:v>
                </c:pt>
                <c:pt idx="1">
                  <c:v>-59.75</c:v>
                </c:pt>
                <c:pt idx="2">
                  <c:v>-59.5</c:v>
                </c:pt>
                <c:pt idx="3">
                  <c:v>-59.25</c:v>
                </c:pt>
                <c:pt idx="4">
                  <c:v>-59</c:v>
                </c:pt>
                <c:pt idx="5">
                  <c:v>-58.75</c:v>
                </c:pt>
                <c:pt idx="6">
                  <c:v>-58.5</c:v>
                </c:pt>
                <c:pt idx="7">
                  <c:v>-58.25</c:v>
                </c:pt>
                <c:pt idx="8">
                  <c:v>-58</c:v>
                </c:pt>
                <c:pt idx="9">
                  <c:v>-57.75</c:v>
                </c:pt>
                <c:pt idx="10">
                  <c:v>-57.5</c:v>
                </c:pt>
                <c:pt idx="11">
                  <c:v>-57.25</c:v>
                </c:pt>
                <c:pt idx="12">
                  <c:v>-57</c:v>
                </c:pt>
                <c:pt idx="13">
                  <c:v>-56.75</c:v>
                </c:pt>
                <c:pt idx="14">
                  <c:v>-56.5</c:v>
                </c:pt>
                <c:pt idx="15">
                  <c:v>-56.25</c:v>
                </c:pt>
                <c:pt idx="16">
                  <c:v>-56</c:v>
                </c:pt>
                <c:pt idx="17">
                  <c:v>-55.75</c:v>
                </c:pt>
                <c:pt idx="18">
                  <c:v>-55.5</c:v>
                </c:pt>
                <c:pt idx="19">
                  <c:v>-55.25</c:v>
                </c:pt>
                <c:pt idx="20">
                  <c:v>-55</c:v>
                </c:pt>
                <c:pt idx="21">
                  <c:v>-54.75</c:v>
                </c:pt>
                <c:pt idx="22">
                  <c:v>-54.5</c:v>
                </c:pt>
                <c:pt idx="23">
                  <c:v>-54.25</c:v>
                </c:pt>
                <c:pt idx="24">
                  <c:v>-54</c:v>
                </c:pt>
                <c:pt idx="25">
                  <c:v>-53.75</c:v>
                </c:pt>
                <c:pt idx="26">
                  <c:v>-53.5</c:v>
                </c:pt>
                <c:pt idx="27">
                  <c:v>-53.25</c:v>
                </c:pt>
                <c:pt idx="28">
                  <c:v>-53</c:v>
                </c:pt>
                <c:pt idx="29">
                  <c:v>-52.75</c:v>
                </c:pt>
                <c:pt idx="30">
                  <c:v>-52.5</c:v>
                </c:pt>
                <c:pt idx="31">
                  <c:v>-52.25</c:v>
                </c:pt>
                <c:pt idx="32">
                  <c:v>-52</c:v>
                </c:pt>
                <c:pt idx="33">
                  <c:v>-51.75</c:v>
                </c:pt>
                <c:pt idx="34">
                  <c:v>-51.5</c:v>
                </c:pt>
                <c:pt idx="35">
                  <c:v>-51.25</c:v>
                </c:pt>
                <c:pt idx="36">
                  <c:v>-51</c:v>
                </c:pt>
                <c:pt idx="37">
                  <c:v>-50.75</c:v>
                </c:pt>
                <c:pt idx="38">
                  <c:v>-50.5</c:v>
                </c:pt>
                <c:pt idx="39">
                  <c:v>-50.25</c:v>
                </c:pt>
                <c:pt idx="40">
                  <c:v>-50</c:v>
                </c:pt>
                <c:pt idx="41">
                  <c:v>-49.75</c:v>
                </c:pt>
                <c:pt idx="42">
                  <c:v>-49.5</c:v>
                </c:pt>
                <c:pt idx="43">
                  <c:v>-49.25</c:v>
                </c:pt>
                <c:pt idx="44">
                  <c:v>-49</c:v>
                </c:pt>
                <c:pt idx="45">
                  <c:v>-48.75</c:v>
                </c:pt>
                <c:pt idx="46">
                  <c:v>-48.5</c:v>
                </c:pt>
                <c:pt idx="47">
                  <c:v>-48.25</c:v>
                </c:pt>
                <c:pt idx="48">
                  <c:v>-48</c:v>
                </c:pt>
                <c:pt idx="49">
                  <c:v>-47.75</c:v>
                </c:pt>
                <c:pt idx="50">
                  <c:v>-47.5</c:v>
                </c:pt>
                <c:pt idx="51">
                  <c:v>-47.25</c:v>
                </c:pt>
                <c:pt idx="52">
                  <c:v>-47</c:v>
                </c:pt>
                <c:pt idx="53">
                  <c:v>-46.75</c:v>
                </c:pt>
                <c:pt idx="54">
                  <c:v>-46.5</c:v>
                </c:pt>
                <c:pt idx="55">
                  <c:v>-46.25</c:v>
                </c:pt>
                <c:pt idx="56">
                  <c:v>-46</c:v>
                </c:pt>
                <c:pt idx="57">
                  <c:v>-45.75</c:v>
                </c:pt>
                <c:pt idx="58">
                  <c:v>-45.5</c:v>
                </c:pt>
                <c:pt idx="59">
                  <c:v>-45.25</c:v>
                </c:pt>
                <c:pt idx="60">
                  <c:v>-45</c:v>
                </c:pt>
                <c:pt idx="61">
                  <c:v>-44.75</c:v>
                </c:pt>
                <c:pt idx="62">
                  <c:v>-44.5</c:v>
                </c:pt>
                <c:pt idx="63">
                  <c:v>-44.25</c:v>
                </c:pt>
                <c:pt idx="64">
                  <c:v>-44</c:v>
                </c:pt>
                <c:pt idx="65">
                  <c:v>-43.75</c:v>
                </c:pt>
                <c:pt idx="66">
                  <c:v>-43.5</c:v>
                </c:pt>
                <c:pt idx="67">
                  <c:v>-43.25</c:v>
                </c:pt>
                <c:pt idx="68">
                  <c:v>-43</c:v>
                </c:pt>
                <c:pt idx="69">
                  <c:v>-42.75</c:v>
                </c:pt>
                <c:pt idx="70">
                  <c:v>-42.5</c:v>
                </c:pt>
                <c:pt idx="71">
                  <c:v>-42.25</c:v>
                </c:pt>
                <c:pt idx="72">
                  <c:v>-42</c:v>
                </c:pt>
                <c:pt idx="73">
                  <c:v>-41.75</c:v>
                </c:pt>
                <c:pt idx="74">
                  <c:v>-41.5</c:v>
                </c:pt>
                <c:pt idx="75">
                  <c:v>-41.25</c:v>
                </c:pt>
                <c:pt idx="76">
                  <c:v>-41</c:v>
                </c:pt>
                <c:pt idx="77">
                  <c:v>-40.75</c:v>
                </c:pt>
                <c:pt idx="78">
                  <c:v>-40.5</c:v>
                </c:pt>
                <c:pt idx="79">
                  <c:v>-40.25</c:v>
                </c:pt>
                <c:pt idx="80">
                  <c:v>-40</c:v>
                </c:pt>
                <c:pt idx="81">
                  <c:v>-39.75</c:v>
                </c:pt>
                <c:pt idx="82">
                  <c:v>-39.5</c:v>
                </c:pt>
                <c:pt idx="83">
                  <c:v>-39.25</c:v>
                </c:pt>
                <c:pt idx="84">
                  <c:v>-39</c:v>
                </c:pt>
                <c:pt idx="85">
                  <c:v>-38.75</c:v>
                </c:pt>
                <c:pt idx="86">
                  <c:v>-38.5</c:v>
                </c:pt>
                <c:pt idx="87">
                  <c:v>-38.25</c:v>
                </c:pt>
                <c:pt idx="88">
                  <c:v>-38</c:v>
                </c:pt>
                <c:pt idx="89">
                  <c:v>-37.75</c:v>
                </c:pt>
                <c:pt idx="90">
                  <c:v>-37.5</c:v>
                </c:pt>
                <c:pt idx="91">
                  <c:v>-37.25</c:v>
                </c:pt>
                <c:pt idx="92">
                  <c:v>-37</c:v>
                </c:pt>
                <c:pt idx="93">
                  <c:v>-36.75</c:v>
                </c:pt>
                <c:pt idx="94">
                  <c:v>-36.5</c:v>
                </c:pt>
                <c:pt idx="95">
                  <c:v>-36.25</c:v>
                </c:pt>
                <c:pt idx="96">
                  <c:v>-36</c:v>
                </c:pt>
                <c:pt idx="97">
                  <c:v>-35.75</c:v>
                </c:pt>
                <c:pt idx="98">
                  <c:v>-35.5</c:v>
                </c:pt>
                <c:pt idx="99">
                  <c:v>-35.25</c:v>
                </c:pt>
                <c:pt idx="100">
                  <c:v>-35</c:v>
                </c:pt>
                <c:pt idx="101">
                  <c:v>-34.75</c:v>
                </c:pt>
                <c:pt idx="102">
                  <c:v>-34.5</c:v>
                </c:pt>
                <c:pt idx="103">
                  <c:v>-34.25</c:v>
                </c:pt>
                <c:pt idx="104">
                  <c:v>-34</c:v>
                </c:pt>
                <c:pt idx="105">
                  <c:v>-33.75</c:v>
                </c:pt>
                <c:pt idx="106">
                  <c:v>-33.5</c:v>
                </c:pt>
                <c:pt idx="107">
                  <c:v>-33.25</c:v>
                </c:pt>
                <c:pt idx="108">
                  <c:v>-33</c:v>
                </c:pt>
                <c:pt idx="109">
                  <c:v>-32.75</c:v>
                </c:pt>
                <c:pt idx="110">
                  <c:v>-32.5</c:v>
                </c:pt>
                <c:pt idx="111">
                  <c:v>-32.25</c:v>
                </c:pt>
                <c:pt idx="112">
                  <c:v>-32</c:v>
                </c:pt>
                <c:pt idx="113">
                  <c:v>-31.75</c:v>
                </c:pt>
                <c:pt idx="114">
                  <c:v>-31.5</c:v>
                </c:pt>
                <c:pt idx="115">
                  <c:v>-31.25</c:v>
                </c:pt>
                <c:pt idx="116">
                  <c:v>-31</c:v>
                </c:pt>
                <c:pt idx="117">
                  <c:v>-30.75</c:v>
                </c:pt>
                <c:pt idx="118">
                  <c:v>-30.5</c:v>
                </c:pt>
                <c:pt idx="119">
                  <c:v>-30.25</c:v>
                </c:pt>
                <c:pt idx="120">
                  <c:v>-30</c:v>
                </c:pt>
                <c:pt idx="121">
                  <c:v>-29.75</c:v>
                </c:pt>
                <c:pt idx="122">
                  <c:v>-29.5</c:v>
                </c:pt>
                <c:pt idx="123">
                  <c:v>-29.25</c:v>
                </c:pt>
                <c:pt idx="124">
                  <c:v>-29</c:v>
                </c:pt>
                <c:pt idx="125">
                  <c:v>-28.75</c:v>
                </c:pt>
                <c:pt idx="126">
                  <c:v>-28.5</c:v>
                </c:pt>
                <c:pt idx="127">
                  <c:v>-28.25</c:v>
                </c:pt>
                <c:pt idx="128">
                  <c:v>-28</c:v>
                </c:pt>
                <c:pt idx="129">
                  <c:v>-27.75</c:v>
                </c:pt>
                <c:pt idx="130">
                  <c:v>-27.5</c:v>
                </c:pt>
                <c:pt idx="131">
                  <c:v>-27.25</c:v>
                </c:pt>
                <c:pt idx="132">
                  <c:v>-27</c:v>
                </c:pt>
                <c:pt idx="133">
                  <c:v>-26.75</c:v>
                </c:pt>
                <c:pt idx="134">
                  <c:v>-26.5</c:v>
                </c:pt>
                <c:pt idx="135">
                  <c:v>-26.25</c:v>
                </c:pt>
                <c:pt idx="136">
                  <c:v>-26</c:v>
                </c:pt>
                <c:pt idx="137">
                  <c:v>-25.75</c:v>
                </c:pt>
                <c:pt idx="138">
                  <c:v>-25.5</c:v>
                </c:pt>
                <c:pt idx="139">
                  <c:v>-25.25</c:v>
                </c:pt>
                <c:pt idx="140">
                  <c:v>-25</c:v>
                </c:pt>
                <c:pt idx="141">
                  <c:v>-24.75</c:v>
                </c:pt>
                <c:pt idx="142">
                  <c:v>-24.5</c:v>
                </c:pt>
                <c:pt idx="143">
                  <c:v>-24.25</c:v>
                </c:pt>
                <c:pt idx="144">
                  <c:v>-24</c:v>
                </c:pt>
                <c:pt idx="145">
                  <c:v>-23.75</c:v>
                </c:pt>
                <c:pt idx="146">
                  <c:v>-23.5</c:v>
                </c:pt>
                <c:pt idx="147">
                  <c:v>-23.25</c:v>
                </c:pt>
                <c:pt idx="148">
                  <c:v>-23</c:v>
                </c:pt>
                <c:pt idx="149">
                  <c:v>-22.75</c:v>
                </c:pt>
                <c:pt idx="150">
                  <c:v>-22.5</c:v>
                </c:pt>
                <c:pt idx="151">
                  <c:v>-22.25</c:v>
                </c:pt>
                <c:pt idx="152">
                  <c:v>-22</c:v>
                </c:pt>
                <c:pt idx="153">
                  <c:v>-21.75</c:v>
                </c:pt>
                <c:pt idx="154">
                  <c:v>-21.5</c:v>
                </c:pt>
                <c:pt idx="155">
                  <c:v>-21.25</c:v>
                </c:pt>
                <c:pt idx="156">
                  <c:v>-21</c:v>
                </c:pt>
                <c:pt idx="157">
                  <c:v>-20.75</c:v>
                </c:pt>
                <c:pt idx="158">
                  <c:v>-20.5</c:v>
                </c:pt>
                <c:pt idx="159">
                  <c:v>-20.25</c:v>
                </c:pt>
                <c:pt idx="160">
                  <c:v>-20</c:v>
                </c:pt>
                <c:pt idx="161">
                  <c:v>-19.75</c:v>
                </c:pt>
                <c:pt idx="162">
                  <c:v>-19.5</c:v>
                </c:pt>
                <c:pt idx="163">
                  <c:v>-19.25</c:v>
                </c:pt>
                <c:pt idx="164">
                  <c:v>-19</c:v>
                </c:pt>
                <c:pt idx="165">
                  <c:v>-18.75</c:v>
                </c:pt>
                <c:pt idx="166">
                  <c:v>-18.5</c:v>
                </c:pt>
                <c:pt idx="167">
                  <c:v>-18.25</c:v>
                </c:pt>
                <c:pt idx="168">
                  <c:v>-18</c:v>
                </c:pt>
                <c:pt idx="169">
                  <c:v>-17.75</c:v>
                </c:pt>
                <c:pt idx="170">
                  <c:v>-17.5</c:v>
                </c:pt>
                <c:pt idx="171">
                  <c:v>-17.25</c:v>
                </c:pt>
                <c:pt idx="172">
                  <c:v>-17</c:v>
                </c:pt>
                <c:pt idx="173">
                  <c:v>-16.75</c:v>
                </c:pt>
                <c:pt idx="174">
                  <c:v>-16.5</c:v>
                </c:pt>
                <c:pt idx="175">
                  <c:v>-16.25</c:v>
                </c:pt>
                <c:pt idx="176">
                  <c:v>-16</c:v>
                </c:pt>
                <c:pt idx="177">
                  <c:v>-15.75</c:v>
                </c:pt>
                <c:pt idx="178">
                  <c:v>-15.5</c:v>
                </c:pt>
                <c:pt idx="179">
                  <c:v>-15.25</c:v>
                </c:pt>
                <c:pt idx="180">
                  <c:v>-15</c:v>
                </c:pt>
                <c:pt idx="181">
                  <c:v>-14.75</c:v>
                </c:pt>
                <c:pt idx="182">
                  <c:v>-14.5</c:v>
                </c:pt>
                <c:pt idx="183">
                  <c:v>-14.25</c:v>
                </c:pt>
                <c:pt idx="184">
                  <c:v>-14</c:v>
                </c:pt>
                <c:pt idx="185">
                  <c:v>-13.75</c:v>
                </c:pt>
                <c:pt idx="186">
                  <c:v>-13.5</c:v>
                </c:pt>
                <c:pt idx="187">
                  <c:v>-13.25</c:v>
                </c:pt>
                <c:pt idx="188">
                  <c:v>-13</c:v>
                </c:pt>
                <c:pt idx="189">
                  <c:v>-12.75</c:v>
                </c:pt>
                <c:pt idx="190">
                  <c:v>-12.5</c:v>
                </c:pt>
                <c:pt idx="191">
                  <c:v>-12.25</c:v>
                </c:pt>
                <c:pt idx="192">
                  <c:v>-12</c:v>
                </c:pt>
                <c:pt idx="193">
                  <c:v>-11.75</c:v>
                </c:pt>
                <c:pt idx="194">
                  <c:v>-11.5</c:v>
                </c:pt>
                <c:pt idx="195">
                  <c:v>-11.25</c:v>
                </c:pt>
                <c:pt idx="196">
                  <c:v>-11</c:v>
                </c:pt>
                <c:pt idx="197">
                  <c:v>-10.75</c:v>
                </c:pt>
                <c:pt idx="198">
                  <c:v>-10.5</c:v>
                </c:pt>
                <c:pt idx="199">
                  <c:v>-10.25</c:v>
                </c:pt>
                <c:pt idx="200">
                  <c:v>-10</c:v>
                </c:pt>
                <c:pt idx="201">
                  <c:v>-9.75</c:v>
                </c:pt>
                <c:pt idx="202">
                  <c:v>-9.5</c:v>
                </c:pt>
                <c:pt idx="203">
                  <c:v>-9.25</c:v>
                </c:pt>
                <c:pt idx="204">
                  <c:v>-9</c:v>
                </c:pt>
                <c:pt idx="205">
                  <c:v>-8.75</c:v>
                </c:pt>
                <c:pt idx="206">
                  <c:v>-8.5</c:v>
                </c:pt>
                <c:pt idx="207">
                  <c:v>-8.25</c:v>
                </c:pt>
                <c:pt idx="208">
                  <c:v>-8</c:v>
                </c:pt>
                <c:pt idx="209">
                  <c:v>-7.75</c:v>
                </c:pt>
                <c:pt idx="210">
                  <c:v>-7.5</c:v>
                </c:pt>
                <c:pt idx="211">
                  <c:v>-7.25</c:v>
                </c:pt>
                <c:pt idx="212">
                  <c:v>-7</c:v>
                </c:pt>
                <c:pt idx="213">
                  <c:v>-6.75</c:v>
                </c:pt>
                <c:pt idx="214">
                  <c:v>-6.5</c:v>
                </c:pt>
                <c:pt idx="215">
                  <c:v>-6.25</c:v>
                </c:pt>
                <c:pt idx="216">
                  <c:v>-6</c:v>
                </c:pt>
                <c:pt idx="217">
                  <c:v>-5.75</c:v>
                </c:pt>
                <c:pt idx="218">
                  <c:v>-5.5</c:v>
                </c:pt>
                <c:pt idx="219">
                  <c:v>-5.25</c:v>
                </c:pt>
                <c:pt idx="220">
                  <c:v>-5</c:v>
                </c:pt>
                <c:pt idx="221">
                  <c:v>-4.75</c:v>
                </c:pt>
                <c:pt idx="222">
                  <c:v>-4.5</c:v>
                </c:pt>
                <c:pt idx="223">
                  <c:v>-4.25</c:v>
                </c:pt>
                <c:pt idx="224">
                  <c:v>-4</c:v>
                </c:pt>
                <c:pt idx="225">
                  <c:v>-3.75</c:v>
                </c:pt>
                <c:pt idx="226">
                  <c:v>-3.5</c:v>
                </c:pt>
                <c:pt idx="227">
                  <c:v>-3.25</c:v>
                </c:pt>
                <c:pt idx="228">
                  <c:v>-3</c:v>
                </c:pt>
                <c:pt idx="229">
                  <c:v>-2.75</c:v>
                </c:pt>
                <c:pt idx="230">
                  <c:v>-2.5</c:v>
                </c:pt>
                <c:pt idx="231">
                  <c:v>-2.25</c:v>
                </c:pt>
                <c:pt idx="232">
                  <c:v>-2</c:v>
                </c:pt>
                <c:pt idx="233">
                  <c:v>-1.75</c:v>
                </c:pt>
                <c:pt idx="234">
                  <c:v>-1.5</c:v>
                </c:pt>
                <c:pt idx="235">
                  <c:v>-1.25</c:v>
                </c:pt>
                <c:pt idx="236">
                  <c:v>-1</c:v>
                </c:pt>
                <c:pt idx="237">
                  <c:v>-0.75</c:v>
                </c:pt>
                <c:pt idx="238">
                  <c:v>-0.5</c:v>
                </c:pt>
                <c:pt idx="239">
                  <c:v>-0.25</c:v>
                </c:pt>
                <c:pt idx="240">
                  <c:v>0</c:v>
                </c:pt>
                <c:pt idx="241">
                  <c:v>0.25</c:v>
                </c:pt>
                <c:pt idx="242">
                  <c:v>0.5</c:v>
                </c:pt>
                <c:pt idx="243">
                  <c:v>0.75</c:v>
                </c:pt>
                <c:pt idx="244">
                  <c:v>1</c:v>
                </c:pt>
                <c:pt idx="245">
                  <c:v>1.25</c:v>
                </c:pt>
                <c:pt idx="246">
                  <c:v>1.5</c:v>
                </c:pt>
                <c:pt idx="247">
                  <c:v>1.75</c:v>
                </c:pt>
                <c:pt idx="248">
                  <c:v>2</c:v>
                </c:pt>
                <c:pt idx="249">
                  <c:v>2.25</c:v>
                </c:pt>
                <c:pt idx="250">
                  <c:v>2.5</c:v>
                </c:pt>
                <c:pt idx="251">
                  <c:v>2.75</c:v>
                </c:pt>
                <c:pt idx="252">
                  <c:v>3</c:v>
                </c:pt>
                <c:pt idx="253">
                  <c:v>3.25</c:v>
                </c:pt>
                <c:pt idx="254">
                  <c:v>3.5</c:v>
                </c:pt>
                <c:pt idx="255">
                  <c:v>3.75</c:v>
                </c:pt>
                <c:pt idx="256">
                  <c:v>4</c:v>
                </c:pt>
                <c:pt idx="257">
                  <c:v>4.25</c:v>
                </c:pt>
                <c:pt idx="258">
                  <c:v>4.5</c:v>
                </c:pt>
                <c:pt idx="259">
                  <c:v>4.75</c:v>
                </c:pt>
                <c:pt idx="260">
                  <c:v>5</c:v>
                </c:pt>
                <c:pt idx="261">
                  <c:v>5.25</c:v>
                </c:pt>
                <c:pt idx="262">
                  <c:v>5.5</c:v>
                </c:pt>
                <c:pt idx="263">
                  <c:v>5.75</c:v>
                </c:pt>
                <c:pt idx="264">
                  <c:v>6</c:v>
                </c:pt>
                <c:pt idx="265">
                  <c:v>6.25</c:v>
                </c:pt>
                <c:pt idx="266">
                  <c:v>6.5</c:v>
                </c:pt>
                <c:pt idx="267">
                  <c:v>6.75</c:v>
                </c:pt>
                <c:pt idx="268">
                  <c:v>7</c:v>
                </c:pt>
                <c:pt idx="269">
                  <c:v>7.25</c:v>
                </c:pt>
                <c:pt idx="270">
                  <c:v>7.5</c:v>
                </c:pt>
                <c:pt idx="271">
                  <c:v>7.75</c:v>
                </c:pt>
                <c:pt idx="272">
                  <c:v>8</c:v>
                </c:pt>
                <c:pt idx="273">
                  <c:v>8.25</c:v>
                </c:pt>
                <c:pt idx="274">
                  <c:v>8.5</c:v>
                </c:pt>
                <c:pt idx="275">
                  <c:v>8.75</c:v>
                </c:pt>
                <c:pt idx="276">
                  <c:v>9</c:v>
                </c:pt>
                <c:pt idx="277">
                  <c:v>9.25</c:v>
                </c:pt>
                <c:pt idx="278">
                  <c:v>9.5</c:v>
                </c:pt>
                <c:pt idx="279">
                  <c:v>9.75</c:v>
                </c:pt>
                <c:pt idx="280">
                  <c:v>10</c:v>
                </c:pt>
                <c:pt idx="281">
                  <c:v>10.25</c:v>
                </c:pt>
                <c:pt idx="282">
                  <c:v>10.5</c:v>
                </c:pt>
                <c:pt idx="283">
                  <c:v>10.75</c:v>
                </c:pt>
                <c:pt idx="284">
                  <c:v>11</c:v>
                </c:pt>
                <c:pt idx="285">
                  <c:v>11.25</c:v>
                </c:pt>
                <c:pt idx="286">
                  <c:v>11.5</c:v>
                </c:pt>
                <c:pt idx="287">
                  <c:v>11.75</c:v>
                </c:pt>
                <c:pt idx="288">
                  <c:v>12</c:v>
                </c:pt>
                <c:pt idx="289">
                  <c:v>12.25</c:v>
                </c:pt>
                <c:pt idx="290">
                  <c:v>12.5</c:v>
                </c:pt>
                <c:pt idx="291">
                  <c:v>12.75</c:v>
                </c:pt>
                <c:pt idx="292">
                  <c:v>13</c:v>
                </c:pt>
                <c:pt idx="293">
                  <c:v>13.25</c:v>
                </c:pt>
                <c:pt idx="294">
                  <c:v>13.5</c:v>
                </c:pt>
                <c:pt idx="295">
                  <c:v>13.75</c:v>
                </c:pt>
                <c:pt idx="296">
                  <c:v>14</c:v>
                </c:pt>
                <c:pt idx="297">
                  <c:v>14.25</c:v>
                </c:pt>
                <c:pt idx="298">
                  <c:v>14.5</c:v>
                </c:pt>
                <c:pt idx="299">
                  <c:v>14.75</c:v>
                </c:pt>
                <c:pt idx="300">
                  <c:v>15</c:v>
                </c:pt>
                <c:pt idx="301">
                  <c:v>15.25</c:v>
                </c:pt>
                <c:pt idx="302">
                  <c:v>15.5</c:v>
                </c:pt>
                <c:pt idx="303">
                  <c:v>15.75</c:v>
                </c:pt>
                <c:pt idx="304">
                  <c:v>16</c:v>
                </c:pt>
                <c:pt idx="305">
                  <c:v>16.25</c:v>
                </c:pt>
                <c:pt idx="306">
                  <c:v>16.5</c:v>
                </c:pt>
                <c:pt idx="307">
                  <c:v>16.75</c:v>
                </c:pt>
                <c:pt idx="308">
                  <c:v>17</c:v>
                </c:pt>
                <c:pt idx="309">
                  <c:v>17.25</c:v>
                </c:pt>
                <c:pt idx="310">
                  <c:v>17.5</c:v>
                </c:pt>
                <c:pt idx="311">
                  <c:v>17.75</c:v>
                </c:pt>
                <c:pt idx="312">
                  <c:v>18</c:v>
                </c:pt>
                <c:pt idx="313">
                  <c:v>18.25</c:v>
                </c:pt>
                <c:pt idx="314">
                  <c:v>18.5</c:v>
                </c:pt>
                <c:pt idx="315">
                  <c:v>18.75</c:v>
                </c:pt>
                <c:pt idx="316">
                  <c:v>19</c:v>
                </c:pt>
                <c:pt idx="317">
                  <c:v>19.25</c:v>
                </c:pt>
                <c:pt idx="318">
                  <c:v>19.5</c:v>
                </c:pt>
                <c:pt idx="319">
                  <c:v>19.75</c:v>
                </c:pt>
                <c:pt idx="320">
                  <c:v>20</c:v>
                </c:pt>
                <c:pt idx="321">
                  <c:v>20.25</c:v>
                </c:pt>
                <c:pt idx="322">
                  <c:v>20.5</c:v>
                </c:pt>
                <c:pt idx="323">
                  <c:v>20.75</c:v>
                </c:pt>
                <c:pt idx="324">
                  <c:v>21</c:v>
                </c:pt>
                <c:pt idx="325">
                  <c:v>21.25</c:v>
                </c:pt>
                <c:pt idx="326">
                  <c:v>21.5</c:v>
                </c:pt>
                <c:pt idx="327">
                  <c:v>21.75</c:v>
                </c:pt>
                <c:pt idx="328">
                  <c:v>22</c:v>
                </c:pt>
                <c:pt idx="329">
                  <c:v>22.25</c:v>
                </c:pt>
                <c:pt idx="330">
                  <c:v>22.5</c:v>
                </c:pt>
                <c:pt idx="331">
                  <c:v>22.75</c:v>
                </c:pt>
                <c:pt idx="332">
                  <c:v>23</c:v>
                </c:pt>
                <c:pt idx="333">
                  <c:v>23.25</c:v>
                </c:pt>
                <c:pt idx="334">
                  <c:v>23.5</c:v>
                </c:pt>
                <c:pt idx="335">
                  <c:v>23.75</c:v>
                </c:pt>
                <c:pt idx="336">
                  <c:v>24</c:v>
                </c:pt>
                <c:pt idx="337">
                  <c:v>24.25</c:v>
                </c:pt>
                <c:pt idx="338">
                  <c:v>24.5</c:v>
                </c:pt>
                <c:pt idx="339">
                  <c:v>24.75</c:v>
                </c:pt>
                <c:pt idx="340">
                  <c:v>25</c:v>
                </c:pt>
                <c:pt idx="341">
                  <c:v>25.25</c:v>
                </c:pt>
                <c:pt idx="342">
                  <c:v>25.5</c:v>
                </c:pt>
                <c:pt idx="343">
                  <c:v>25.75</c:v>
                </c:pt>
                <c:pt idx="344">
                  <c:v>26</c:v>
                </c:pt>
                <c:pt idx="345">
                  <c:v>26.25</c:v>
                </c:pt>
                <c:pt idx="346">
                  <c:v>26.5</c:v>
                </c:pt>
                <c:pt idx="347">
                  <c:v>26.75</c:v>
                </c:pt>
                <c:pt idx="348">
                  <c:v>27</c:v>
                </c:pt>
                <c:pt idx="349">
                  <c:v>27.25</c:v>
                </c:pt>
                <c:pt idx="350">
                  <c:v>27.5</c:v>
                </c:pt>
                <c:pt idx="351">
                  <c:v>27.75</c:v>
                </c:pt>
                <c:pt idx="352">
                  <c:v>28</c:v>
                </c:pt>
                <c:pt idx="353">
                  <c:v>28.25</c:v>
                </c:pt>
                <c:pt idx="354">
                  <c:v>28.5</c:v>
                </c:pt>
                <c:pt idx="355">
                  <c:v>28.75</c:v>
                </c:pt>
                <c:pt idx="356">
                  <c:v>29</c:v>
                </c:pt>
                <c:pt idx="357">
                  <c:v>29.25</c:v>
                </c:pt>
                <c:pt idx="358">
                  <c:v>29.5</c:v>
                </c:pt>
                <c:pt idx="359">
                  <c:v>29.75</c:v>
                </c:pt>
                <c:pt idx="360">
                  <c:v>30</c:v>
                </c:pt>
                <c:pt idx="361">
                  <c:v>30.25</c:v>
                </c:pt>
                <c:pt idx="362">
                  <c:v>30.5</c:v>
                </c:pt>
                <c:pt idx="363">
                  <c:v>30.75</c:v>
                </c:pt>
                <c:pt idx="364">
                  <c:v>31</c:v>
                </c:pt>
                <c:pt idx="365">
                  <c:v>31.25</c:v>
                </c:pt>
                <c:pt idx="366">
                  <c:v>31.5</c:v>
                </c:pt>
                <c:pt idx="367">
                  <c:v>31.75</c:v>
                </c:pt>
                <c:pt idx="368">
                  <c:v>32</c:v>
                </c:pt>
                <c:pt idx="369">
                  <c:v>32.25</c:v>
                </c:pt>
                <c:pt idx="370">
                  <c:v>32.5</c:v>
                </c:pt>
                <c:pt idx="371">
                  <c:v>32.75</c:v>
                </c:pt>
                <c:pt idx="372">
                  <c:v>33</c:v>
                </c:pt>
                <c:pt idx="373">
                  <c:v>33.25</c:v>
                </c:pt>
                <c:pt idx="374">
                  <c:v>33.5</c:v>
                </c:pt>
                <c:pt idx="375">
                  <c:v>33.75</c:v>
                </c:pt>
                <c:pt idx="376">
                  <c:v>34</c:v>
                </c:pt>
                <c:pt idx="377">
                  <c:v>34.25</c:v>
                </c:pt>
                <c:pt idx="378">
                  <c:v>34.5</c:v>
                </c:pt>
                <c:pt idx="379">
                  <c:v>34.75</c:v>
                </c:pt>
                <c:pt idx="380">
                  <c:v>35</c:v>
                </c:pt>
                <c:pt idx="381">
                  <c:v>35.25</c:v>
                </c:pt>
                <c:pt idx="382">
                  <c:v>35.5</c:v>
                </c:pt>
                <c:pt idx="383">
                  <c:v>35.75</c:v>
                </c:pt>
                <c:pt idx="384">
                  <c:v>36</c:v>
                </c:pt>
                <c:pt idx="385">
                  <c:v>36.25</c:v>
                </c:pt>
                <c:pt idx="386">
                  <c:v>36.5</c:v>
                </c:pt>
                <c:pt idx="387">
                  <c:v>36.75</c:v>
                </c:pt>
                <c:pt idx="388">
                  <c:v>37</c:v>
                </c:pt>
                <c:pt idx="389">
                  <c:v>37.25</c:v>
                </c:pt>
                <c:pt idx="390">
                  <c:v>37.5</c:v>
                </c:pt>
                <c:pt idx="391">
                  <c:v>37.75</c:v>
                </c:pt>
                <c:pt idx="392">
                  <c:v>38</c:v>
                </c:pt>
                <c:pt idx="393">
                  <c:v>38.25</c:v>
                </c:pt>
                <c:pt idx="394">
                  <c:v>38.5</c:v>
                </c:pt>
                <c:pt idx="395">
                  <c:v>38.75</c:v>
                </c:pt>
                <c:pt idx="396">
                  <c:v>39</c:v>
                </c:pt>
                <c:pt idx="397">
                  <c:v>39.25</c:v>
                </c:pt>
                <c:pt idx="398">
                  <c:v>39.5</c:v>
                </c:pt>
                <c:pt idx="399">
                  <c:v>39.75</c:v>
                </c:pt>
                <c:pt idx="400">
                  <c:v>40</c:v>
                </c:pt>
              </c:numCache>
            </c:numRef>
          </c:xVal>
          <c:yVal>
            <c:numRef>
              <c:f>'transversal subsidence profile'!$AC$10:$AC$410</c:f>
              <c:numCache>
                <c:formatCode>0.000000000</c:formatCode>
                <c:ptCount val="401"/>
                <c:pt idx="0">
                  <c:v>-1.143987288221295E-11</c:v>
                </c:pt>
                <c:pt idx="1">
                  <c:v>-1.4887996581748047E-11</c:v>
                </c:pt>
                <c:pt idx="2">
                  <c:v>-1.9347836059877806E-11</c:v>
                </c:pt>
                <c:pt idx="3">
                  <c:v>-2.5107840781879379E-11</c:v>
                </c:pt>
                <c:pt idx="4">
                  <c:v>-3.2536206053767727E-11</c:v>
                </c:pt>
                <c:pt idx="5">
                  <c:v>-4.2102198472251801E-11</c:v>
                </c:pt>
                <c:pt idx="6">
                  <c:v>-5.4402981160523196E-11</c:v>
                </c:pt>
                <c:pt idx="7">
                  <c:v>-7.0197301677118094E-11</c:v>
                </c:pt>
                <c:pt idx="8">
                  <c:v>-9.0447728509277747E-11</c:v>
                </c:pt>
                <c:pt idx="9">
                  <c:v>-1.1637351787439369E-10</c:v>
                </c:pt>
                <c:pt idx="10">
                  <c:v>-1.495166766196422E-10</c:v>
                </c:pt>
                <c:pt idx="11">
                  <c:v>-1.9182437785996339E-10</c:v>
                </c:pt>
                <c:pt idx="12">
                  <c:v>-2.4575160577531036E-10</c:v>
                </c:pt>
                <c:pt idx="13">
                  <c:v>-3.1438878110885053E-10</c:v>
                </c:pt>
                <c:pt idx="14">
                  <c:v>-4.0162018078529666E-10</c:v>
                </c:pt>
                <c:pt idx="15">
                  <c:v>-5.1232025098610612E-10</c:v>
                </c:pt>
                <c:pt idx="16">
                  <c:v>-6.5259646711282853E-10</c:v>
                </c:pt>
                <c:pt idx="17">
                  <c:v>-8.3008926846186461E-10</c:v>
                </c:pt>
                <c:pt idx="18">
                  <c:v>-1.0543418515150771E-9</c:v>
                </c:pt>
                <c:pt idx="19">
                  <c:v>-1.337255315647964E-9</c:v>
                </c:pt>
                <c:pt idx="20">
                  <c:v>-1.6936479032864237E-9</c:v>
                </c:pt>
                <c:pt idx="21">
                  <c:v>-2.141940961873801E-9</c:v>
                </c:pt>
                <c:pt idx="22">
                  <c:v>-2.7049988925529816E-9</c:v>
                </c:pt>
                <c:pt idx="23">
                  <c:v>-3.4111558740067029E-9</c:v>
                </c:pt>
                <c:pt idx="24">
                  <c:v>-4.2954687144746791E-9</c:v>
                </c:pt>
                <c:pt idx="25">
                  <c:v>-5.4012429697300894E-9</c:v>
                </c:pt>
                <c:pt idx="26">
                  <c:v>-6.7818886761464562E-9</c:v>
                </c:pt>
                <c:pt idx="27">
                  <c:v>-8.503172922967208E-9</c:v>
                </c:pt>
                <c:pt idx="28">
                  <c:v>-1.0645949297897659E-8</c:v>
                </c:pt>
                <c:pt idx="29">
                  <c:v>-1.3309459294881077E-8</c:v>
                </c:pt>
                <c:pt idx="30">
                  <c:v>-1.6615318424626453E-8</c:v>
                </c:pt>
                <c:pt idx="31">
                  <c:v>-2.0712320416334336E-8</c:v>
                </c:pt>
                <c:pt idx="32">
                  <c:v>-2.5782216993929284E-8</c:v>
                </c:pt>
                <c:pt idx="33">
                  <c:v>-3.2046658759113176E-8</c:v>
                </c:pt>
                <c:pt idx="34">
                  <c:v>-3.9775515285040622E-8</c:v>
                </c:pt>
                <c:pt idx="35">
                  <c:v>-4.9296830252630389E-8</c:v>
                </c:pt>
                <c:pt idx="36">
                  <c:v>-6.1008711051232058E-8</c:v>
                </c:pt>
                <c:pt idx="37">
                  <c:v>-7.5393502496107925E-8</c:v>
                </c:pt>
                <c:pt idx="38">
                  <c:v>-9.303465204504829E-8</c:v>
                </c:pt>
                <c:pt idx="39">
                  <c:v>-1.1463674006511662E-7</c:v>
                </c:pt>
                <c:pt idx="40">
                  <c:v>-1.4104922433134079E-7</c:v>
                </c:pt>
                <c:pt idx="41">
                  <c:v>-1.7329453413998934E-7</c:v>
                </c:pt>
                <c:pt idx="42">
                  <c:v>-2.1260124738135883E-7</c:v>
                </c:pt>
                <c:pt idx="43">
                  <c:v>-2.6044319491311688E-7</c:v>
                </c:pt>
                <c:pt idx="44">
                  <c:v>-3.1858546195317385E-7</c:v>
                </c:pt>
                <c:pt idx="45">
                  <c:v>-3.8913839738620569E-7</c:v>
                </c:pt>
                <c:pt idx="46">
                  <c:v>-4.7462090032170341E-7</c:v>
                </c:pt>
                <c:pt idx="47">
                  <c:v>-5.780344304651821E-7</c:v>
                </c:pt>
                <c:pt idx="48">
                  <c:v>-7.0294938639957686E-7</c:v>
                </c:pt>
                <c:pt idx="49">
                  <c:v>-8.5360571524654466E-7</c:v>
                </c:pt>
                <c:pt idx="50">
                  <c:v>-1.0350298598760881E-6</c:v>
                </c:pt>
                <c:pt idx="51">
                  <c:v>-1.2531704172704266E-6</c:v>
                </c:pt>
                <c:pt idx="52">
                  <c:v>-1.5150551751163741E-6</c:v>
                </c:pt>
                <c:pt idx="53">
                  <c:v>-1.8289725143158999E-6</c:v>
                </c:pt>
                <c:pt idx="54">
                  <c:v>-2.2046805137462002E-6</c:v>
                </c:pt>
                <c:pt idx="55">
                  <c:v>-2.6536474708375868E-6</c:v>
                </c:pt>
                <c:pt idx="56">
                  <c:v>-3.1893279575471119E-6</c:v>
                </c:pt>
                <c:pt idx="57">
                  <c:v>-3.8274789657821604E-6</c:v>
                </c:pt>
                <c:pt idx="58">
                  <c:v>-4.5865211583781222E-6</c:v>
                </c:pt>
                <c:pt idx="59">
                  <c:v>-5.4879507297651114E-6</c:v>
                </c:pt>
                <c:pt idx="60">
                  <c:v>-6.5568078920547199E-6</c:v>
                </c:pt>
                <c:pt idx="61">
                  <c:v>-7.8222085340658061E-6</c:v>
                </c:pt>
                <c:pt idx="62">
                  <c:v>-9.3179461483161215E-6</c:v>
                </c:pt>
                <c:pt idx="63">
                  <c:v>-1.1083171678513743E-5</c:v>
                </c:pt>
                <c:pt idx="64">
                  <c:v>-1.3163159500460527E-5</c:v>
                </c:pt>
                <c:pt idx="65">
                  <c:v>-1.5610168303839267E-5</c:v>
                </c:pt>
                <c:pt idx="66">
                  <c:v>-1.8484406180679844E-5</c:v>
                </c:pt>
                <c:pt idx="67">
                  <c:v>-2.1855109736085395E-5</c:v>
                </c:pt>
                <c:pt idx="68">
                  <c:v>-2.580174750371607E-5</c:v>
                </c:pt>
                <c:pt idx="69">
                  <c:v>-3.0415358356063437E-5</c:v>
                </c:pt>
                <c:pt idx="70">
                  <c:v>-3.5800035928899141E-5</c:v>
                </c:pt>
                <c:pt idx="71">
                  <c:v>-4.2074570309245817E-5</c:v>
                </c:pt>
                <c:pt idx="72">
                  <c:v>-4.9374258343129331E-5</c:v>
                </c:pt>
                <c:pt idx="73">
                  <c:v>-5.7852893877065229E-5</c:v>
                </c:pt>
                <c:pt idx="74">
                  <c:v>-6.7684949027070957E-5</c:v>
                </c:pt>
                <c:pt idx="75">
                  <c:v>-7.9067957139915482E-5</c:v>
                </c:pt>
                <c:pt idx="76">
                  <c:v>-9.2225107439996684E-5</c:v>
                </c:pt>
                <c:pt idx="77">
                  <c:v>-1.074080604062767E-4</c:v>
                </c:pt>
                <c:pt idx="78">
                  <c:v>-1.2489999165991831E-4</c:v>
                </c:pt>
                <c:pt idx="79">
                  <c:v>-1.450188705261054E-4</c:v>
                </c:pt>
                <c:pt idx="80">
                  <c:v>-1.6812097742350125E-4</c:v>
                </c:pt>
                <c:pt idx="81">
                  <c:v>-1.9460466179214441E-4</c:v>
                </c:pt>
                <c:pt idx="82">
                  <c:v>-2.2491433935589399E-4</c:v>
                </c:pt>
                <c:pt idx="83">
                  <c:v>-2.5954472409070624E-4</c:v>
                </c:pt>
                <c:pt idx="84">
                  <c:v>-2.9904528629911393E-4</c:v>
                </c:pt>
                <c:pt idx="85">
                  <c:v>-3.4402492364163216E-4</c:v>
                </c:pt>
                <c:pt idx="86">
                  <c:v>-3.9515682681935785E-4</c:v>
                </c:pt>
                <c:pt idx="87">
                  <c:v>-4.5318351581646882E-4</c:v>
                </c:pt>
                <c:pt idx="88">
                  <c:v>-5.1892201618174323E-4</c:v>
                </c:pt>
                <c:pt idx="89">
                  <c:v>-5.9326913774856559E-4</c:v>
                </c:pt>
                <c:pt idx="90">
                  <c:v>-6.7720681046760163E-4</c:v>
                </c:pt>
                <c:pt idx="91">
                  <c:v>-7.7180742367214598E-4</c:v>
                </c:pt>
                <c:pt idx="92">
                  <c:v>-8.7823910614371454E-4</c:v>
                </c:pt>
                <c:pt idx="93">
                  <c:v>-9.9777087484125807E-4</c:v>
                </c:pt>
                <c:pt idx="94">
                  <c:v>-1.1317775701651903E-3</c:v>
                </c:pt>
                <c:pt idx="95">
                  <c:v>-1.28174448523029E-3</c:v>
                </c:pt>
                <c:pt idx="96">
                  <c:v>-1.4492715859229601E-3</c:v>
                </c:pt>
                <c:pt idx="97">
                  <c:v>-1.6360772076438341E-3</c:v>
                </c:pt>
                <c:pt idx="98">
                  <c:v>-1.8440011037348146E-3</c:v>
                </c:pt>
                <c:pt idx="99">
                  <c:v>-2.0750067098326201E-3</c:v>
                </c:pt>
                <c:pt idx="100">
                  <c:v>-2.3311824779755062E-3</c:v>
                </c:pt>
                <c:pt idx="101">
                  <c:v>-2.6147421244365923E-3</c:v>
                </c:pt>
                <c:pt idx="102">
                  <c:v>-2.928023626211074E-3</c:v>
                </c:pt>
                <c:pt idx="103">
                  <c:v>-3.2734867931122295E-3</c:v>
                </c:pt>
                <c:pt idx="104">
                  <c:v>-3.6537092358212577E-3</c:v>
                </c:pt>
                <c:pt idx="105">
                  <c:v>-4.0713805452947515E-3</c:v>
                </c:pt>
                <c:pt idx="106">
                  <c:v>-4.5292944959836002E-3</c:v>
                </c:pt>
                <c:pt idx="107">
                  <c:v>-5.0303390846916929E-3</c:v>
                </c:pt>
                <c:pt idx="108">
                  <c:v>-5.5774842189428471E-3</c:v>
                </c:pt>
                <c:pt idx="109">
                  <c:v>-6.1737668737714439E-3</c:v>
                </c:pt>
                <c:pt idx="110">
                  <c:v>-6.82227354424362E-3</c:v>
                </c:pt>
                <c:pt idx="111">
                  <c:v>-7.5261198330762837E-3</c:v>
                </c:pt>
                <c:pt idx="112">
                  <c:v>-8.2884270287558147E-3</c:v>
                </c:pt>
                <c:pt idx="113">
                  <c:v>-9.1122955498438418E-3</c:v>
                </c:pt>
                <c:pt idx="114">
                  <c:v>-1.0000775155933157E-2</c:v>
                </c:pt>
                <c:pt idx="115">
                  <c:v>-1.0956831855175462E-2</c:v>
                </c:pt>
                <c:pt idx="116">
                  <c:v>-1.1983311472579443E-2</c:v>
                </c:pt>
                <c:pt idx="117">
                  <c:v>-1.3082899882442363E-2</c:v>
                </c:pt>
                <c:pt idx="118">
                  <c:v>-1.4258079952323309E-2</c:v>
                </c:pt>
                <c:pt idx="119">
                  <c:v>-1.5511085294798431E-2</c:v>
                </c:pt>
                <c:pt idx="120">
                  <c:v>-1.6843850976669482E-2</c:v>
                </c:pt>
                <c:pt idx="121">
                  <c:v>-1.8257961393035635E-2</c:v>
                </c:pt>
                <c:pt idx="122">
                  <c:v>-1.9754595575282918E-2</c:v>
                </c:pt>
                <c:pt idx="123">
                  <c:v>-2.1334470267078711E-2</c:v>
                </c:pt>
                <c:pt idx="124">
                  <c:v>-2.2997781170242069E-2</c:v>
                </c:pt>
                <c:pt idx="125">
                  <c:v>-2.4744142832135531E-2</c:v>
                </c:pt>
                <c:pt idx="126">
                  <c:v>-2.6572527717108427E-2</c:v>
                </c:pt>
                <c:pt idx="127">
                  <c:v>-2.8481205075514049E-2</c:v>
                </c:pt>
                <c:pt idx="128">
                  <c:v>-3.0467680293809453E-2</c:v>
                </c:pt>
                <c:pt idx="129">
                  <c:v>-3.2528635477005678E-2</c:v>
                </c:pt>
                <c:pt idx="130">
                  <c:v>-3.4659872078952277E-2</c:v>
                </c:pt>
                <c:pt idx="131">
                  <c:v>-3.6856256455218304E-2</c:v>
                </c:pt>
                <c:pt idx="132">
                  <c:v>-3.9111669266214198E-2</c:v>
                </c:pt>
                <c:pt idx="133">
                  <c:v>-4.1418959703185397E-2</c:v>
                </c:pt>
                <c:pt idx="134">
                  <c:v>-4.3769905545280471E-2</c:v>
                </c:pt>
                <c:pt idx="135">
                  <c:v>-4.6155180080545415E-2</c:v>
                </c:pt>
                <c:pt idx="136">
                  <c:v>-4.8564326935948178E-2</c:v>
                </c:pt>
                <c:pt idx="137">
                  <c:v>-5.0985743859989781E-2</c:v>
                </c:pt>
                <c:pt idx="138">
                  <c:v>-5.3406676484808326E-2</c:v>
                </c:pt>
                <c:pt idx="139">
                  <c:v>-5.5813223061761424E-2</c:v>
                </c:pt>
                <c:pt idx="140">
                  <c:v>-5.8190351114285908E-2</c:v>
                </c:pt>
                <c:pt idx="141">
                  <c:v>-6.0521926883584785E-2</c:v>
                </c:pt>
                <c:pt idx="142">
                  <c:v>-6.279075835582773E-2</c:v>
                </c:pt>
                <c:pt idx="143">
                  <c:v>-6.4978652553785682E-2</c:v>
                </c:pt>
                <c:pt idx="144">
                  <c:v>-6.7066487651163784E-2</c:v>
                </c:pt>
                <c:pt idx="145">
                  <c:v>-6.9034300324690101E-2</c:v>
                </c:pt>
                <c:pt idx="146">
                  <c:v>-7.086138859793939E-2</c:v>
                </c:pt>
                <c:pt idx="147">
                  <c:v>-7.252643025297062E-2</c:v>
                </c:pt>
                <c:pt idx="148">
                  <c:v>-7.4007616692549877E-2</c:v>
                </c:pt>
                <c:pt idx="149">
                  <c:v>-7.5282801928813883E-2</c:v>
                </c:pt>
                <c:pt idx="150">
                  <c:v>-7.6329666155873388E-2</c:v>
                </c:pt>
                <c:pt idx="151">
                  <c:v>-7.7125893136591239E-2</c:v>
                </c:pt>
                <c:pt idx="152">
                  <c:v>-7.7649360400477527E-2</c:v>
                </c:pt>
                <c:pt idx="153">
                  <c:v>-7.787834101351479E-2</c:v>
                </c:pt>
                <c:pt idx="154">
                  <c:v>-7.779171544523944E-2</c:v>
                </c:pt>
                <c:pt idx="155">
                  <c:v>-7.7369191827273281E-2</c:v>
                </c:pt>
                <c:pt idx="156">
                  <c:v>-7.6591532674624679E-2</c:v>
                </c:pt>
                <c:pt idx="157">
                  <c:v>-7.5440785930489071E-2</c:v>
                </c:pt>
                <c:pt idx="158">
                  <c:v>-7.3900518001068408E-2</c:v>
                </c:pt>
                <c:pt idx="159">
                  <c:v>-7.1956046273177268E-2</c:v>
                </c:pt>
                <c:pt idx="160">
                  <c:v>-6.9594668458113657E-2</c:v>
                </c:pt>
                <c:pt idx="161">
                  <c:v>-6.6805885984278265E-2</c:v>
                </c:pt>
                <c:pt idx="162">
                  <c:v>-6.3581618571921641E-2</c:v>
                </c:pt>
                <c:pt idx="163">
                  <c:v>-5.9916407069455307E-2</c:v>
                </c:pt>
                <c:pt idx="164">
                  <c:v>-5.5807601614845485E-2</c:v>
                </c:pt>
                <c:pt idx="165">
                  <c:v>-5.125553221010784E-2</c:v>
                </c:pt>
                <c:pt idx="166">
                  <c:v>-4.6263658863676088E-2</c:v>
                </c:pt>
                <c:pt idx="167">
                  <c:v>-4.0838698565656417E-2</c:v>
                </c:pt>
                <c:pt idx="168">
                  <c:v>-3.4990726515259515E-2</c:v>
                </c:pt>
                <c:pt idx="169">
                  <c:v>-2.873324921787232E-2</c:v>
                </c:pt>
                <c:pt idx="170">
                  <c:v>-2.2083247310390467E-2</c:v>
                </c:pt>
                <c:pt idx="171">
                  <c:v>-1.5061186255915822E-2</c:v>
                </c:pt>
                <c:pt idx="172">
                  <c:v>-7.6909933702915666E-3</c:v>
                </c:pt>
                <c:pt idx="173">
                  <c:v>0</c:v>
                </c:pt>
                <c:pt idx="174">
                  <c:v>7.9811519402586163E-3</c:v>
                </c:pt>
                <c:pt idx="175">
                  <c:v>1.6218639446095119E-2</c:v>
                </c:pt>
                <c:pt idx="176">
                  <c:v>2.4675623856153423E-2</c:v>
                </c:pt>
                <c:pt idx="177">
                  <c:v>3.3312451723459147E-2</c:v>
                </c:pt>
                <c:pt idx="178">
                  <c:v>4.2086890146585475E-2</c:v>
                </c:pt>
                <c:pt idx="179">
                  <c:v>5.0954395115742464E-2</c:v>
                </c:pt>
                <c:pt idx="180">
                  <c:v>5.9868410967009664E-2</c:v>
                </c:pt>
                <c:pt idx="181">
                  <c:v>6.8780698587451797E-2</c:v>
                </c:pt>
                <c:pt idx="182">
                  <c:v>7.7641689582037487E-2</c:v>
                </c:pt>
                <c:pt idx="183">
                  <c:v>8.6400863207292705E-2</c:v>
                </c:pt>
                <c:pt idx="184">
                  <c:v>9.5007142503417005E-2</c:v>
                </c:pt>
                <c:pt idx="185">
                  <c:v>0.1034093057227793</c:v>
                </c:pt>
                <c:pt idx="186">
                  <c:v>0.11155640886441902</c:v>
                </c:pt>
                <c:pt idx="187">
                  <c:v>0.11939821488694168</c:v>
                </c:pt>
                <c:pt idx="188">
                  <c:v>0.12688562499082728</c:v>
                </c:pt>
                <c:pt idx="189">
                  <c:v>0.13397110723966735</c:v>
                </c:pt>
                <c:pt idx="190">
                  <c:v>0.14060911773130239</c:v>
                </c:pt>
                <c:pt idx="191">
                  <c:v>0.14675650953635536</c:v>
                </c:pt>
                <c:pt idx="192">
                  <c:v>0.15237292469431638</c:v>
                </c:pt>
                <c:pt idx="193">
                  <c:v>0.15742116469612882</c:v>
                </c:pt>
                <c:pt idx="194">
                  <c:v>0.16186753508604998</c:v>
                </c:pt>
                <c:pt idx="195">
                  <c:v>0.16568216008222297</c:v>
                </c:pt>
                <c:pt idx="196">
                  <c:v>0.16883926344163988</c:v>
                </c:pt>
                <c:pt idx="197">
                  <c:v>0.17131741217671745</c:v>
                </c:pt>
                <c:pt idx="198">
                  <c:v>0.17309972016231057</c:v>
                </c:pt>
                <c:pt idx="199">
                  <c:v>0.17417400914753969</c:v>
                </c:pt>
                <c:pt idx="200">
                  <c:v>0.17453292519943295</c:v>
                </c:pt>
                <c:pt idx="201">
                  <c:v>0.17417400914753969</c:v>
                </c:pt>
                <c:pt idx="202">
                  <c:v>0.17309972016231057</c:v>
                </c:pt>
                <c:pt idx="203">
                  <c:v>0.17131741217671745</c:v>
                </c:pt>
                <c:pt idx="204">
                  <c:v>0.16883926344163988</c:v>
                </c:pt>
                <c:pt idx="205">
                  <c:v>0.16568216008222297</c:v>
                </c:pt>
                <c:pt idx="206">
                  <c:v>0.16186753508604998</c:v>
                </c:pt>
                <c:pt idx="207">
                  <c:v>0.15742116469612882</c:v>
                </c:pt>
                <c:pt idx="208">
                  <c:v>0.15237292469431638</c:v>
                </c:pt>
                <c:pt idx="209">
                  <c:v>0.14675650953635536</c:v>
                </c:pt>
                <c:pt idx="210">
                  <c:v>0.14060911773130239</c:v>
                </c:pt>
                <c:pt idx="211">
                  <c:v>0.13397110723966735</c:v>
                </c:pt>
                <c:pt idx="212">
                  <c:v>0.12688562499082728</c:v>
                </c:pt>
                <c:pt idx="213">
                  <c:v>0.11939821488694168</c:v>
                </c:pt>
                <c:pt idx="214">
                  <c:v>0.11155640886441902</c:v>
                </c:pt>
                <c:pt idx="215">
                  <c:v>0.1034093057227793</c:v>
                </c:pt>
                <c:pt idx="216">
                  <c:v>9.5007142503417005E-2</c:v>
                </c:pt>
                <c:pt idx="217">
                  <c:v>8.6400863207292705E-2</c:v>
                </c:pt>
                <c:pt idx="218">
                  <c:v>7.7641689582037487E-2</c:v>
                </c:pt>
                <c:pt idx="219">
                  <c:v>6.8780698587451797E-2</c:v>
                </c:pt>
                <c:pt idx="220">
                  <c:v>5.9868410967009664E-2</c:v>
                </c:pt>
                <c:pt idx="221">
                  <c:v>5.0954395115742464E-2</c:v>
                </c:pt>
                <c:pt idx="222">
                  <c:v>4.2086890146585475E-2</c:v>
                </c:pt>
                <c:pt idx="223">
                  <c:v>3.3312451723459147E-2</c:v>
                </c:pt>
                <c:pt idx="224">
                  <c:v>2.4675623856153423E-2</c:v>
                </c:pt>
                <c:pt idx="225">
                  <c:v>1.6218639446095119E-2</c:v>
                </c:pt>
                <c:pt idx="226">
                  <c:v>7.9811519402586163E-3</c:v>
                </c:pt>
                <c:pt idx="227">
                  <c:v>0</c:v>
                </c:pt>
                <c:pt idx="228">
                  <c:v>-7.6909933702915666E-3</c:v>
                </c:pt>
                <c:pt idx="229">
                  <c:v>-1.5061186255915822E-2</c:v>
                </c:pt>
                <c:pt idx="230">
                  <c:v>-2.2083247310390467E-2</c:v>
                </c:pt>
                <c:pt idx="231">
                  <c:v>-2.873324921787232E-2</c:v>
                </c:pt>
                <c:pt idx="232">
                  <c:v>-3.4990726515259515E-2</c:v>
                </c:pt>
                <c:pt idx="233">
                  <c:v>-4.0838698565656417E-2</c:v>
                </c:pt>
                <c:pt idx="234">
                  <c:v>-4.6263658863676088E-2</c:v>
                </c:pt>
                <c:pt idx="235">
                  <c:v>-5.125553221010784E-2</c:v>
                </c:pt>
                <c:pt idx="236">
                  <c:v>-5.5807601614845485E-2</c:v>
                </c:pt>
                <c:pt idx="237">
                  <c:v>-5.9916407069455307E-2</c:v>
                </c:pt>
                <c:pt idx="238">
                  <c:v>-6.3581618571921641E-2</c:v>
                </c:pt>
                <c:pt idx="239">
                  <c:v>-6.6805885984278265E-2</c:v>
                </c:pt>
                <c:pt idx="240">
                  <c:v>-6.9594668458113657E-2</c:v>
                </c:pt>
                <c:pt idx="241">
                  <c:v>-7.1956046273177268E-2</c:v>
                </c:pt>
                <c:pt idx="242">
                  <c:v>-7.3900518001068408E-2</c:v>
                </c:pt>
                <c:pt idx="243">
                  <c:v>-7.5440785930489071E-2</c:v>
                </c:pt>
                <c:pt idx="244">
                  <c:v>-7.6591532674624679E-2</c:v>
                </c:pt>
                <c:pt idx="245">
                  <c:v>-7.7369191827273281E-2</c:v>
                </c:pt>
                <c:pt idx="246">
                  <c:v>-7.779171544523944E-2</c:v>
                </c:pt>
                <c:pt idx="247">
                  <c:v>-7.787834101351479E-2</c:v>
                </c:pt>
                <c:pt idx="248">
                  <c:v>-7.7649360400477527E-2</c:v>
                </c:pt>
                <c:pt idx="249">
                  <c:v>-7.7125893136591239E-2</c:v>
                </c:pt>
                <c:pt idx="250">
                  <c:v>-7.6329666155873388E-2</c:v>
                </c:pt>
                <c:pt idx="251">
                  <c:v>-7.5282801928813883E-2</c:v>
                </c:pt>
                <c:pt idx="252">
                  <c:v>-7.4007616692549877E-2</c:v>
                </c:pt>
                <c:pt idx="253">
                  <c:v>-7.252643025297062E-2</c:v>
                </c:pt>
                <c:pt idx="254">
                  <c:v>-7.086138859793939E-2</c:v>
                </c:pt>
                <c:pt idx="255">
                  <c:v>-6.9034300324690101E-2</c:v>
                </c:pt>
                <c:pt idx="256">
                  <c:v>-6.7066487651163784E-2</c:v>
                </c:pt>
                <c:pt idx="257">
                  <c:v>-6.4978652553785682E-2</c:v>
                </c:pt>
                <c:pt idx="258">
                  <c:v>-6.279075835582773E-2</c:v>
                </c:pt>
                <c:pt idx="259">
                  <c:v>-6.0521926883584785E-2</c:v>
                </c:pt>
                <c:pt idx="260">
                  <c:v>-5.8190351114285908E-2</c:v>
                </c:pt>
                <c:pt idx="261">
                  <c:v>-5.5813223061761424E-2</c:v>
                </c:pt>
                <c:pt idx="262">
                  <c:v>-5.3406676484808326E-2</c:v>
                </c:pt>
                <c:pt idx="263">
                  <c:v>-5.0985743859989781E-2</c:v>
                </c:pt>
                <c:pt idx="264">
                  <c:v>-4.8564326935948178E-2</c:v>
                </c:pt>
                <c:pt idx="265">
                  <c:v>-4.6155180080545415E-2</c:v>
                </c:pt>
                <c:pt idx="266">
                  <c:v>-4.3769905545280471E-2</c:v>
                </c:pt>
                <c:pt idx="267">
                  <c:v>-4.1418959703185397E-2</c:v>
                </c:pt>
                <c:pt idx="268">
                  <c:v>-3.9111669266214198E-2</c:v>
                </c:pt>
                <c:pt idx="269">
                  <c:v>-3.6856256455218304E-2</c:v>
                </c:pt>
                <c:pt idx="270">
                  <c:v>-3.4659872078952277E-2</c:v>
                </c:pt>
                <c:pt idx="271">
                  <c:v>-3.2528635477005678E-2</c:v>
                </c:pt>
                <c:pt idx="272">
                  <c:v>-3.0467680293809453E-2</c:v>
                </c:pt>
                <c:pt idx="273">
                  <c:v>-2.8481205075514049E-2</c:v>
                </c:pt>
                <c:pt idx="274">
                  <c:v>-2.6572527717108427E-2</c:v>
                </c:pt>
                <c:pt idx="275">
                  <c:v>-2.4744142832135531E-2</c:v>
                </c:pt>
                <c:pt idx="276">
                  <c:v>-2.2997781170242069E-2</c:v>
                </c:pt>
                <c:pt idx="277">
                  <c:v>-2.1334470267078711E-2</c:v>
                </c:pt>
                <c:pt idx="278">
                  <c:v>-1.9754595575282918E-2</c:v>
                </c:pt>
                <c:pt idx="279">
                  <c:v>-1.8257961393035635E-2</c:v>
                </c:pt>
                <c:pt idx="280">
                  <c:v>-1.6843850976669482E-2</c:v>
                </c:pt>
                <c:pt idx="281">
                  <c:v>-1.5511085294798431E-2</c:v>
                </c:pt>
                <c:pt idx="282">
                  <c:v>-1.4258079952323309E-2</c:v>
                </c:pt>
                <c:pt idx="283">
                  <c:v>-1.3082899882442363E-2</c:v>
                </c:pt>
                <c:pt idx="284">
                  <c:v>-1.1983311472579443E-2</c:v>
                </c:pt>
                <c:pt idx="285">
                  <c:v>-1.0956831855175462E-2</c:v>
                </c:pt>
                <c:pt idx="286">
                  <c:v>-1.0000775155933157E-2</c:v>
                </c:pt>
                <c:pt idx="287">
                  <c:v>-9.1122955498438418E-3</c:v>
                </c:pt>
                <c:pt idx="288">
                  <c:v>-8.2884270287558147E-3</c:v>
                </c:pt>
                <c:pt idx="289">
                  <c:v>-7.5261198330762837E-3</c:v>
                </c:pt>
                <c:pt idx="290">
                  <c:v>-6.82227354424362E-3</c:v>
                </c:pt>
                <c:pt idx="291">
                  <c:v>-6.1737668737714439E-3</c:v>
                </c:pt>
                <c:pt idx="292">
                  <c:v>-5.5774842189428471E-3</c:v>
                </c:pt>
                <c:pt idx="293">
                  <c:v>-5.0303390846916929E-3</c:v>
                </c:pt>
                <c:pt idx="294">
                  <c:v>-4.5292944959836002E-3</c:v>
                </c:pt>
                <c:pt idx="295">
                  <c:v>-4.0713805452947515E-3</c:v>
                </c:pt>
                <c:pt idx="296">
                  <c:v>-3.6537092358212577E-3</c:v>
                </c:pt>
                <c:pt idx="297">
                  <c:v>-3.2734867931122295E-3</c:v>
                </c:pt>
                <c:pt idx="298">
                  <c:v>-2.928023626211074E-3</c:v>
                </c:pt>
                <c:pt idx="299">
                  <c:v>-2.6147421244365923E-3</c:v>
                </c:pt>
                <c:pt idx="300">
                  <c:v>-2.3311824779755062E-3</c:v>
                </c:pt>
                <c:pt idx="301">
                  <c:v>-2.0750067098326201E-3</c:v>
                </c:pt>
                <c:pt idx="302">
                  <c:v>-1.8440011037348146E-3</c:v>
                </c:pt>
                <c:pt idx="303">
                  <c:v>-1.6360772076438341E-3</c:v>
                </c:pt>
                <c:pt idx="304">
                  <c:v>-1.4492715859229601E-3</c:v>
                </c:pt>
                <c:pt idx="305">
                  <c:v>-1.28174448523029E-3</c:v>
                </c:pt>
                <c:pt idx="306">
                  <c:v>-1.1317775701651903E-3</c:v>
                </c:pt>
                <c:pt idx="307">
                  <c:v>-9.9777087484125807E-4</c:v>
                </c:pt>
                <c:pt idx="308">
                  <c:v>-8.7823910614371454E-4</c:v>
                </c:pt>
                <c:pt idx="309">
                  <c:v>-7.7180742367214598E-4</c:v>
                </c:pt>
                <c:pt idx="310">
                  <c:v>-6.7720681046760163E-4</c:v>
                </c:pt>
                <c:pt idx="311">
                  <c:v>-5.9326913774856559E-4</c:v>
                </c:pt>
                <c:pt idx="312">
                  <c:v>-5.1892201618174323E-4</c:v>
                </c:pt>
                <c:pt idx="313">
                  <c:v>-4.5318351581646882E-4</c:v>
                </c:pt>
                <c:pt idx="314">
                  <c:v>-3.9515682681935785E-4</c:v>
                </c:pt>
                <c:pt idx="315">
                  <c:v>-3.4402492364163216E-4</c:v>
                </c:pt>
                <c:pt idx="316">
                  <c:v>-2.9904528629911393E-4</c:v>
                </c:pt>
                <c:pt idx="317">
                  <c:v>-2.5954472409070624E-4</c:v>
                </c:pt>
                <c:pt idx="318">
                  <c:v>-2.2491433935589399E-4</c:v>
                </c:pt>
                <c:pt idx="319">
                  <c:v>-1.9460466179214441E-4</c:v>
                </c:pt>
                <c:pt idx="320">
                  <c:v>-1.6812097742350125E-4</c:v>
                </c:pt>
                <c:pt idx="321">
                  <c:v>-1.450188705261054E-4</c:v>
                </c:pt>
                <c:pt idx="322">
                  <c:v>-1.2489999165991831E-4</c:v>
                </c:pt>
                <c:pt idx="323">
                  <c:v>-1.074080604062767E-4</c:v>
                </c:pt>
                <c:pt idx="324">
                  <c:v>-9.2225107439996684E-5</c:v>
                </c:pt>
                <c:pt idx="325">
                  <c:v>-7.9067957139915482E-5</c:v>
                </c:pt>
                <c:pt idx="326">
                  <c:v>-6.7684949027070957E-5</c:v>
                </c:pt>
                <c:pt idx="327">
                  <c:v>-5.7852893877065229E-5</c:v>
                </c:pt>
                <c:pt idx="328">
                  <c:v>-4.9374258343129331E-5</c:v>
                </c:pt>
                <c:pt idx="329">
                  <c:v>-4.2074570309245817E-5</c:v>
                </c:pt>
                <c:pt idx="330">
                  <c:v>-3.5800035928899141E-5</c:v>
                </c:pt>
                <c:pt idx="331">
                  <c:v>-3.0415358356063437E-5</c:v>
                </c:pt>
                <c:pt idx="332">
                  <c:v>-2.580174750371607E-5</c:v>
                </c:pt>
                <c:pt idx="333">
                  <c:v>-2.1855109736085395E-5</c:v>
                </c:pt>
                <c:pt idx="334">
                  <c:v>-1.8484406180679844E-5</c:v>
                </c:pt>
                <c:pt idx="335">
                  <c:v>-1.5610168303839267E-5</c:v>
                </c:pt>
                <c:pt idx="336">
                  <c:v>-1.3163159500460527E-5</c:v>
                </c:pt>
                <c:pt idx="337">
                  <c:v>-1.1083171678513743E-5</c:v>
                </c:pt>
                <c:pt idx="338">
                  <c:v>-9.3179461483161215E-6</c:v>
                </c:pt>
                <c:pt idx="339">
                  <c:v>-7.8222085340658061E-6</c:v>
                </c:pt>
                <c:pt idx="340">
                  <c:v>-6.5568078920547199E-6</c:v>
                </c:pt>
                <c:pt idx="341">
                  <c:v>-5.4879507297651114E-6</c:v>
                </c:pt>
                <c:pt idx="342">
                  <c:v>-4.5865211583781222E-6</c:v>
                </c:pt>
                <c:pt idx="343">
                  <c:v>-3.8274789657821604E-6</c:v>
                </c:pt>
                <c:pt idx="344">
                  <c:v>-3.1893279575471119E-6</c:v>
                </c:pt>
                <c:pt idx="345">
                  <c:v>-2.6536474708375868E-6</c:v>
                </c:pt>
                <c:pt idx="346">
                  <c:v>-2.2046805137462002E-6</c:v>
                </c:pt>
                <c:pt idx="347">
                  <c:v>-1.8289725143158999E-6</c:v>
                </c:pt>
                <c:pt idx="348">
                  <c:v>-1.5150551751163741E-6</c:v>
                </c:pt>
                <c:pt idx="349">
                  <c:v>-1.2531704172704266E-6</c:v>
                </c:pt>
                <c:pt idx="350">
                  <c:v>-1.0350298598760881E-6</c:v>
                </c:pt>
                <c:pt idx="351">
                  <c:v>-8.5360571524654466E-7</c:v>
                </c:pt>
                <c:pt idx="352">
                  <c:v>-7.0294938639957686E-7</c:v>
                </c:pt>
                <c:pt idx="353">
                  <c:v>-5.780344304651821E-7</c:v>
                </c:pt>
                <c:pt idx="354">
                  <c:v>-4.7462090032170341E-7</c:v>
                </c:pt>
                <c:pt idx="355">
                  <c:v>-3.8913839738620569E-7</c:v>
                </c:pt>
                <c:pt idx="356">
                  <c:v>-3.1858546195317385E-7</c:v>
                </c:pt>
                <c:pt idx="357">
                  <c:v>-2.6044319491311688E-7</c:v>
                </c:pt>
                <c:pt idx="358">
                  <c:v>-2.1260124738135883E-7</c:v>
                </c:pt>
                <c:pt idx="359">
                  <c:v>-1.7329453413998934E-7</c:v>
                </c:pt>
                <c:pt idx="360">
                  <c:v>-1.4104922433134079E-7</c:v>
                </c:pt>
                <c:pt idx="361">
                  <c:v>-1.1463674006511662E-7</c:v>
                </c:pt>
                <c:pt idx="362">
                  <c:v>-9.303465204504829E-8</c:v>
                </c:pt>
                <c:pt idx="363">
                  <c:v>-7.5393502496107925E-8</c:v>
                </c:pt>
                <c:pt idx="364">
                  <c:v>-6.1008711051232058E-8</c:v>
                </c:pt>
                <c:pt idx="365">
                  <c:v>-4.9296830252630389E-8</c:v>
                </c:pt>
                <c:pt idx="366">
                  <c:v>-3.9775515285040622E-8</c:v>
                </c:pt>
                <c:pt idx="367">
                  <c:v>-3.2046658759113176E-8</c:v>
                </c:pt>
                <c:pt idx="368">
                  <c:v>-2.5782216993929284E-8</c:v>
                </c:pt>
                <c:pt idx="369">
                  <c:v>-2.0712320416334336E-8</c:v>
                </c:pt>
                <c:pt idx="370">
                  <c:v>-1.6615318424626453E-8</c:v>
                </c:pt>
                <c:pt idx="371">
                  <c:v>-1.3309459294881077E-8</c:v>
                </c:pt>
                <c:pt idx="372">
                  <c:v>-1.0645949297897659E-8</c:v>
                </c:pt>
                <c:pt idx="373">
                  <c:v>-8.503172922967208E-9</c:v>
                </c:pt>
                <c:pt idx="374">
                  <c:v>-6.7818886761464562E-9</c:v>
                </c:pt>
                <c:pt idx="375">
                  <c:v>-5.4012429697300894E-9</c:v>
                </c:pt>
                <c:pt idx="376">
                  <c:v>-4.2954687144746791E-9</c:v>
                </c:pt>
                <c:pt idx="377">
                  <c:v>-3.4111558740067029E-9</c:v>
                </c:pt>
                <c:pt idx="378">
                  <c:v>-2.7049988925529816E-9</c:v>
                </c:pt>
                <c:pt idx="379">
                  <c:v>-2.141940961873801E-9</c:v>
                </c:pt>
                <c:pt idx="380">
                  <c:v>-1.6936479032864237E-9</c:v>
                </c:pt>
                <c:pt idx="381">
                  <c:v>-1.337255315647964E-9</c:v>
                </c:pt>
                <c:pt idx="382">
                  <c:v>-1.0543418515150771E-9</c:v>
                </c:pt>
                <c:pt idx="383">
                  <c:v>-8.3008926846186461E-10</c:v>
                </c:pt>
                <c:pt idx="384">
                  <c:v>-6.5259646711282853E-10</c:v>
                </c:pt>
                <c:pt idx="385">
                  <c:v>-5.1232025098610612E-10</c:v>
                </c:pt>
                <c:pt idx="386">
                  <c:v>-4.0162018078529666E-10</c:v>
                </c:pt>
                <c:pt idx="387">
                  <c:v>-3.1438878110885053E-10</c:v>
                </c:pt>
                <c:pt idx="388">
                  <c:v>-2.4575160577531036E-10</c:v>
                </c:pt>
                <c:pt idx="389">
                  <c:v>-1.9182437785996339E-10</c:v>
                </c:pt>
                <c:pt idx="390">
                  <c:v>-1.495166766196422E-10</c:v>
                </c:pt>
                <c:pt idx="391">
                  <c:v>-1.1637351787439369E-10</c:v>
                </c:pt>
                <c:pt idx="392">
                  <c:v>-9.0447728509277747E-11</c:v>
                </c:pt>
                <c:pt idx="393">
                  <c:v>-7.0197301677118094E-11</c:v>
                </c:pt>
                <c:pt idx="394">
                  <c:v>-5.4402981160523196E-11</c:v>
                </c:pt>
                <c:pt idx="395">
                  <c:v>-4.2102198472251801E-11</c:v>
                </c:pt>
                <c:pt idx="396">
                  <c:v>-3.2536206053767727E-11</c:v>
                </c:pt>
                <c:pt idx="397">
                  <c:v>-2.5107840781879379E-11</c:v>
                </c:pt>
                <c:pt idx="398">
                  <c:v>-1.9347836059877806E-11</c:v>
                </c:pt>
                <c:pt idx="399">
                  <c:v>-1.4887996581748047E-11</c:v>
                </c:pt>
                <c:pt idx="400">
                  <c:v>-1.143987288221295E-11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91-4FF5-833D-871727D1D043}"/>
            </c:ext>
          </c:extLst>
        </c:ser>
        <c:ser>
          <c:idx val="2"/>
          <c:order val="2"/>
          <c:tx>
            <c:strRef>
              <c:f>'transversal subsidence-gauss'!$O$4</c:f>
              <c:strCache>
                <c:ptCount val="1"/>
                <c:pt idx="0">
                  <c:v>Total horizontal deformation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'transversal subsidence profile'!$G$10:$G$410</c:f>
              <c:numCache>
                <c:formatCode>General</c:formatCode>
                <c:ptCount val="401"/>
                <c:pt idx="0">
                  <c:v>-60</c:v>
                </c:pt>
                <c:pt idx="1">
                  <c:v>-59.75</c:v>
                </c:pt>
                <c:pt idx="2">
                  <c:v>-59.5</c:v>
                </c:pt>
                <c:pt idx="3">
                  <c:v>-59.25</c:v>
                </c:pt>
                <c:pt idx="4">
                  <c:v>-59</c:v>
                </c:pt>
                <c:pt idx="5">
                  <c:v>-58.75</c:v>
                </c:pt>
                <c:pt idx="6">
                  <c:v>-58.5</c:v>
                </c:pt>
                <c:pt idx="7">
                  <c:v>-58.25</c:v>
                </c:pt>
                <c:pt idx="8">
                  <c:v>-58</c:v>
                </c:pt>
                <c:pt idx="9">
                  <c:v>-57.75</c:v>
                </c:pt>
                <c:pt idx="10">
                  <c:v>-57.5</c:v>
                </c:pt>
                <c:pt idx="11">
                  <c:v>-57.25</c:v>
                </c:pt>
                <c:pt idx="12">
                  <c:v>-57</c:v>
                </c:pt>
                <c:pt idx="13">
                  <c:v>-56.75</c:v>
                </c:pt>
                <c:pt idx="14">
                  <c:v>-56.5</c:v>
                </c:pt>
                <c:pt idx="15">
                  <c:v>-56.25</c:v>
                </c:pt>
                <c:pt idx="16">
                  <c:v>-56</c:v>
                </c:pt>
                <c:pt idx="17">
                  <c:v>-55.75</c:v>
                </c:pt>
                <c:pt idx="18">
                  <c:v>-55.5</c:v>
                </c:pt>
                <c:pt idx="19">
                  <c:v>-55.25</c:v>
                </c:pt>
                <c:pt idx="20">
                  <c:v>-55</c:v>
                </c:pt>
                <c:pt idx="21">
                  <c:v>-54.75</c:v>
                </c:pt>
                <c:pt idx="22">
                  <c:v>-54.5</c:v>
                </c:pt>
                <c:pt idx="23">
                  <c:v>-54.25</c:v>
                </c:pt>
                <c:pt idx="24">
                  <c:v>-54</c:v>
                </c:pt>
                <c:pt idx="25">
                  <c:v>-53.75</c:v>
                </c:pt>
                <c:pt idx="26">
                  <c:v>-53.5</c:v>
                </c:pt>
                <c:pt idx="27">
                  <c:v>-53.25</c:v>
                </c:pt>
                <c:pt idx="28">
                  <c:v>-53</c:v>
                </c:pt>
                <c:pt idx="29">
                  <c:v>-52.75</c:v>
                </c:pt>
                <c:pt idx="30">
                  <c:v>-52.5</c:v>
                </c:pt>
                <c:pt idx="31">
                  <c:v>-52.25</c:v>
                </c:pt>
                <c:pt idx="32">
                  <c:v>-52</c:v>
                </c:pt>
                <c:pt idx="33">
                  <c:v>-51.75</c:v>
                </c:pt>
                <c:pt idx="34">
                  <c:v>-51.5</c:v>
                </c:pt>
                <c:pt idx="35">
                  <c:v>-51.25</c:v>
                </c:pt>
                <c:pt idx="36">
                  <c:v>-51</c:v>
                </c:pt>
                <c:pt idx="37">
                  <c:v>-50.75</c:v>
                </c:pt>
                <c:pt idx="38">
                  <c:v>-50.5</c:v>
                </c:pt>
                <c:pt idx="39">
                  <c:v>-50.25</c:v>
                </c:pt>
                <c:pt idx="40">
                  <c:v>-50</c:v>
                </c:pt>
                <c:pt idx="41">
                  <c:v>-49.75</c:v>
                </c:pt>
                <c:pt idx="42">
                  <c:v>-49.5</c:v>
                </c:pt>
                <c:pt idx="43">
                  <c:v>-49.25</c:v>
                </c:pt>
                <c:pt idx="44">
                  <c:v>-49</c:v>
                </c:pt>
                <c:pt idx="45">
                  <c:v>-48.75</c:v>
                </c:pt>
                <c:pt idx="46">
                  <c:v>-48.5</c:v>
                </c:pt>
                <c:pt idx="47">
                  <c:v>-48.25</c:v>
                </c:pt>
                <c:pt idx="48">
                  <c:v>-48</c:v>
                </c:pt>
                <c:pt idx="49">
                  <c:v>-47.75</c:v>
                </c:pt>
                <c:pt idx="50">
                  <c:v>-47.5</c:v>
                </c:pt>
                <c:pt idx="51">
                  <c:v>-47.25</c:v>
                </c:pt>
                <c:pt idx="52">
                  <c:v>-47</c:v>
                </c:pt>
                <c:pt idx="53">
                  <c:v>-46.75</c:v>
                </c:pt>
                <c:pt idx="54">
                  <c:v>-46.5</c:v>
                </c:pt>
                <c:pt idx="55">
                  <c:v>-46.25</c:v>
                </c:pt>
                <c:pt idx="56">
                  <c:v>-46</c:v>
                </c:pt>
                <c:pt idx="57">
                  <c:v>-45.75</c:v>
                </c:pt>
                <c:pt idx="58">
                  <c:v>-45.5</c:v>
                </c:pt>
                <c:pt idx="59">
                  <c:v>-45.25</c:v>
                </c:pt>
                <c:pt idx="60">
                  <c:v>-45</c:v>
                </c:pt>
                <c:pt idx="61">
                  <c:v>-44.75</c:v>
                </c:pt>
                <c:pt idx="62">
                  <c:v>-44.5</c:v>
                </c:pt>
                <c:pt idx="63">
                  <c:v>-44.25</c:v>
                </c:pt>
                <c:pt idx="64">
                  <c:v>-44</c:v>
                </c:pt>
                <c:pt idx="65">
                  <c:v>-43.75</c:v>
                </c:pt>
                <c:pt idx="66">
                  <c:v>-43.5</c:v>
                </c:pt>
                <c:pt idx="67">
                  <c:v>-43.25</c:v>
                </c:pt>
                <c:pt idx="68">
                  <c:v>-43</c:v>
                </c:pt>
                <c:pt idx="69">
                  <c:v>-42.75</c:v>
                </c:pt>
                <c:pt idx="70">
                  <c:v>-42.5</c:v>
                </c:pt>
                <c:pt idx="71">
                  <c:v>-42.25</c:v>
                </c:pt>
                <c:pt idx="72">
                  <c:v>-42</c:v>
                </c:pt>
                <c:pt idx="73">
                  <c:v>-41.75</c:v>
                </c:pt>
                <c:pt idx="74">
                  <c:v>-41.5</c:v>
                </c:pt>
                <c:pt idx="75">
                  <c:v>-41.25</c:v>
                </c:pt>
                <c:pt idx="76">
                  <c:v>-41</c:v>
                </c:pt>
                <c:pt idx="77">
                  <c:v>-40.75</c:v>
                </c:pt>
                <c:pt idx="78">
                  <c:v>-40.5</c:v>
                </c:pt>
                <c:pt idx="79">
                  <c:v>-40.25</c:v>
                </c:pt>
                <c:pt idx="80">
                  <c:v>-40</c:v>
                </c:pt>
                <c:pt idx="81">
                  <c:v>-39.75</c:v>
                </c:pt>
                <c:pt idx="82">
                  <c:v>-39.5</c:v>
                </c:pt>
                <c:pt idx="83">
                  <c:v>-39.25</c:v>
                </c:pt>
                <c:pt idx="84">
                  <c:v>-39</c:v>
                </c:pt>
                <c:pt idx="85">
                  <c:v>-38.75</c:v>
                </c:pt>
                <c:pt idx="86">
                  <c:v>-38.5</c:v>
                </c:pt>
                <c:pt idx="87">
                  <c:v>-38.25</c:v>
                </c:pt>
                <c:pt idx="88">
                  <c:v>-38</c:v>
                </c:pt>
                <c:pt idx="89">
                  <c:v>-37.75</c:v>
                </c:pt>
                <c:pt idx="90">
                  <c:v>-37.5</c:v>
                </c:pt>
                <c:pt idx="91">
                  <c:v>-37.25</c:v>
                </c:pt>
                <c:pt idx="92">
                  <c:v>-37</c:v>
                </c:pt>
                <c:pt idx="93">
                  <c:v>-36.75</c:v>
                </c:pt>
                <c:pt idx="94">
                  <c:v>-36.5</c:v>
                </c:pt>
                <c:pt idx="95">
                  <c:v>-36.25</c:v>
                </c:pt>
                <c:pt idx="96">
                  <c:v>-36</c:v>
                </c:pt>
                <c:pt idx="97">
                  <c:v>-35.75</c:v>
                </c:pt>
                <c:pt idx="98">
                  <c:v>-35.5</c:v>
                </c:pt>
                <c:pt idx="99">
                  <c:v>-35.25</c:v>
                </c:pt>
                <c:pt idx="100">
                  <c:v>-35</c:v>
                </c:pt>
                <c:pt idx="101">
                  <c:v>-34.75</c:v>
                </c:pt>
                <c:pt idx="102">
                  <c:v>-34.5</c:v>
                </c:pt>
                <c:pt idx="103">
                  <c:v>-34.25</c:v>
                </c:pt>
                <c:pt idx="104">
                  <c:v>-34</c:v>
                </c:pt>
                <c:pt idx="105">
                  <c:v>-33.75</c:v>
                </c:pt>
                <c:pt idx="106">
                  <c:v>-33.5</c:v>
                </c:pt>
                <c:pt idx="107">
                  <c:v>-33.25</c:v>
                </c:pt>
                <c:pt idx="108">
                  <c:v>-33</c:v>
                </c:pt>
                <c:pt idx="109">
                  <c:v>-32.75</c:v>
                </c:pt>
                <c:pt idx="110">
                  <c:v>-32.5</c:v>
                </c:pt>
                <c:pt idx="111">
                  <c:v>-32.25</c:v>
                </c:pt>
                <c:pt idx="112">
                  <c:v>-32</c:v>
                </c:pt>
                <c:pt idx="113">
                  <c:v>-31.75</c:v>
                </c:pt>
                <c:pt idx="114">
                  <c:v>-31.5</c:v>
                </c:pt>
                <c:pt idx="115">
                  <c:v>-31.25</c:v>
                </c:pt>
                <c:pt idx="116">
                  <c:v>-31</c:v>
                </c:pt>
                <c:pt idx="117">
                  <c:v>-30.75</c:v>
                </c:pt>
                <c:pt idx="118">
                  <c:v>-30.5</c:v>
                </c:pt>
                <c:pt idx="119">
                  <c:v>-30.25</c:v>
                </c:pt>
                <c:pt idx="120">
                  <c:v>-30</c:v>
                </c:pt>
                <c:pt idx="121">
                  <c:v>-29.75</c:v>
                </c:pt>
                <c:pt idx="122">
                  <c:v>-29.5</c:v>
                </c:pt>
                <c:pt idx="123">
                  <c:v>-29.25</c:v>
                </c:pt>
                <c:pt idx="124">
                  <c:v>-29</c:v>
                </c:pt>
                <c:pt idx="125">
                  <c:v>-28.75</c:v>
                </c:pt>
                <c:pt idx="126">
                  <c:v>-28.5</c:v>
                </c:pt>
                <c:pt idx="127">
                  <c:v>-28.25</c:v>
                </c:pt>
                <c:pt idx="128">
                  <c:v>-28</c:v>
                </c:pt>
                <c:pt idx="129">
                  <c:v>-27.75</c:v>
                </c:pt>
                <c:pt idx="130">
                  <c:v>-27.5</c:v>
                </c:pt>
                <c:pt idx="131">
                  <c:v>-27.25</c:v>
                </c:pt>
                <c:pt idx="132">
                  <c:v>-27</c:v>
                </c:pt>
                <c:pt idx="133">
                  <c:v>-26.75</c:v>
                </c:pt>
                <c:pt idx="134">
                  <c:v>-26.5</c:v>
                </c:pt>
                <c:pt idx="135">
                  <c:v>-26.25</c:v>
                </c:pt>
                <c:pt idx="136">
                  <c:v>-26</c:v>
                </c:pt>
                <c:pt idx="137">
                  <c:v>-25.75</c:v>
                </c:pt>
                <c:pt idx="138">
                  <c:v>-25.5</c:v>
                </c:pt>
                <c:pt idx="139">
                  <c:v>-25.25</c:v>
                </c:pt>
                <c:pt idx="140">
                  <c:v>-25</c:v>
                </c:pt>
                <c:pt idx="141">
                  <c:v>-24.75</c:v>
                </c:pt>
                <c:pt idx="142">
                  <c:v>-24.5</c:v>
                </c:pt>
                <c:pt idx="143">
                  <c:v>-24.25</c:v>
                </c:pt>
                <c:pt idx="144">
                  <c:v>-24</c:v>
                </c:pt>
                <c:pt idx="145">
                  <c:v>-23.75</c:v>
                </c:pt>
                <c:pt idx="146">
                  <c:v>-23.5</c:v>
                </c:pt>
                <c:pt idx="147">
                  <c:v>-23.25</c:v>
                </c:pt>
                <c:pt idx="148">
                  <c:v>-23</c:v>
                </c:pt>
                <c:pt idx="149">
                  <c:v>-22.75</c:v>
                </c:pt>
                <c:pt idx="150">
                  <c:v>-22.5</c:v>
                </c:pt>
                <c:pt idx="151">
                  <c:v>-22.25</c:v>
                </c:pt>
                <c:pt idx="152">
                  <c:v>-22</c:v>
                </c:pt>
                <c:pt idx="153">
                  <c:v>-21.75</c:v>
                </c:pt>
                <c:pt idx="154">
                  <c:v>-21.5</c:v>
                </c:pt>
                <c:pt idx="155">
                  <c:v>-21.25</c:v>
                </c:pt>
                <c:pt idx="156">
                  <c:v>-21</c:v>
                </c:pt>
                <c:pt idx="157">
                  <c:v>-20.75</c:v>
                </c:pt>
                <c:pt idx="158">
                  <c:v>-20.5</c:v>
                </c:pt>
                <c:pt idx="159">
                  <c:v>-20.25</c:v>
                </c:pt>
                <c:pt idx="160">
                  <c:v>-20</c:v>
                </c:pt>
                <c:pt idx="161">
                  <c:v>-19.75</c:v>
                </c:pt>
                <c:pt idx="162">
                  <c:v>-19.5</c:v>
                </c:pt>
                <c:pt idx="163">
                  <c:v>-19.25</c:v>
                </c:pt>
                <c:pt idx="164">
                  <c:v>-19</c:v>
                </c:pt>
                <c:pt idx="165">
                  <c:v>-18.75</c:v>
                </c:pt>
                <c:pt idx="166">
                  <c:v>-18.5</c:v>
                </c:pt>
                <c:pt idx="167">
                  <c:v>-18.25</c:v>
                </c:pt>
                <c:pt idx="168">
                  <c:v>-18</c:v>
                </c:pt>
                <c:pt idx="169">
                  <c:v>-17.75</c:v>
                </c:pt>
                <c:pt idx="170">
                  <c:v>-17.5</c:v>
                </c:pt>
                <c:pt idx="171">
                  <c:v>-17.25</c:v>
                </c:pt>
                <c:pt idx="172">
                  <c:v>-17</c:v>
                </c:pt>
                <c:pt idx="173">
                  <c:v>-16.75</c:v>
                </c:pt>
                <c:pt idx="174">
                  <c:v>-16.5</c:v>
                </c:pt>
                <c:pt idx="175">
                  <c:v>-16.25</c:v>
                </c:pt>
                <c:pt idx="176">
                  <c:v>-16</c:v>
                </c:pt>
                <c:pt idx="177">
                  <c:v>-15.75</c:v>
                </c:pt>
                <c:pt idx="178">
                  <c:v>-15.5</c:v>
                </c:pt>
                <c:pt idx="179">
                  <c:v>-15.25</c:v>
                </c:pt>
                <c:pt idx="180">
                  <c:v>-15</c:v>
                </c:pt>
                <c:pt idx="181">
                  <c:v>-14.75</c:v>
                </c:pt>
                <c:pt idx="182">
                  <c:v>-14.5</c:v>
                </c:pt>
                <c:pt idx="183">
                  <c:v>-14.25</c:v>
                </c:pt>
                <c:pt idx="184">
                  <c:v>-14</c:v>
                </c:pt>
                <c:pt idx="185">
                  <c:v>-13.75</c:v>
                </c:pt>
                <c:pt idx="186">
                  <c:v>-13.5</c:v>
                </c:pt>
                <c:pt idx="187">
                  <c:v>-13.25</c:v>
                </c:pt>
                <c:pt idx="188">
                  <c:v>-13</c:v>
                </c:pt>
                <c:pt idx="189">
                  <c:v>-12.75</c:v>
                </c:pt>
                <c:pt idx="190">
                  <c:v>-12.5</c:v>
                </c:pt>
                <c:pt idx="191">
                  <c:v>-12.25</c:v>
                </c:pt>
                <c:pt idx="192">
                  <c:v>-12</c:v>
                </c:pt>
                <c:pt idx="193">
                  <c:v>-11.75</c:v>
                </c:pt>
                <c:pt idx="194">
                  <c:v>-11.5</c:v>
                </c:pt>
                <c:pt idx="195">
                  <c:v>-11.25</c:v>
                </c:pt>
                <c:pt idx="196">
                  <c:v>-11</c:v>
                </c:pt>
                <c:pt idx="197">
                  <c:v>-10.75</c:v>
                </c:pt>
                <c:pt idx="198">
                  <c:v>-10.5</c:v>
                </c:pt>
                <c:pt idx="199">
                  <c:v>-10.25</c:v>
                </c:pt>
                <c:pt idx="200">
                  <c:v>-10</c:v>
                </c:pt>
                <c:pt idx="201">
                  <c:v>-9.75</c:v>
                </c:pt>
                <c:pt idx="202">
                  <c:v>-9.5</c:v>
                </c:pt>
                <c:pt idx="203">
                  <c:v>-9.25</c:v>
                </c:pt>
                <c:pt idx="204">
                  <c:v>-9</c:v>
                </c:pt>
                <c:pt idx="205">
                  <c:v>-8.75</c:v>
                </c:pt>
                <c:pt idx="206">
                  <c:v>-8.5</c:v>
                </c:pt>
                <c:pt idx="207">
                  <c:v>-8.25</c:v>
                </c:pt>
                <c:pt idx="208">
                  <c:v>-8</c:v>
                </c:pt>
                <c:pt idx="209">
                  <c:v>-7.75</c:v>
                </c:pt>
                <c:pt idx="210">
                  <c:v>-7.5</c:v>
                </c:pt>
                <c:pt idx="211">
                  <c:v>-7.25</c:v>
                </c:pt>
                <c:pt idx="212">
                  <c:v>-7</c:v>
                </c:pt>
                <c:pt idx="213">
                  <c:v>-6.75</c:v>
                </c:pt>
                <c:pt idx="214">
                  <c:v>-6.5</c:v>
                </c:pt>
                <c:pt idx="215">
                  <c:v>-6.25</c:v>
                </c:pt>
                <c:pt idx="216">
                  <c:v>-6</c:v>
                </c:pt>
                <c:pt idx="217">
                  <c:v>-5.75</c:v>
                </c:pt>
                <c:pt idx="218">
                  <c:v>-5.5</c:v>
                </c:pt>
                <c:pt idx="219">
                  <c:v>-5.25</c:v>
                </c:pt>
                <c:pt idx="220">
                  <c:v>-5</c:v>
                </c:pt>
                <c:pt idx="221">
                  <c:v>-4.75</c:v>
                </c:pt>
                <c:pt idx="222">
                  <c:v>-4.5</c:v>
                </c:pt>
                <c:pt idx="223">
                  <c:v>-4.25</c:v>
                </c:pt>
                <c:pt idx="224">
                  <c:v>-4</c:v>
                </c:pt>
                <c:pt idx="225">
                  <c:v>-3.75</c:v>
                </c:pt>
                <c:pt idx="226">
                  <c:v>-3.5</c:v>
                </c:pt>
                <c:pt idx="227">
                  <c:v>-3.25</c:v>
                </c:pt>
                <c:pt idx="228">
                  <c:v>-3</c:v>
                </c:pt>
                <c:pt idx="229">
                  <c:v>-2.75</c:v>
                </c:pt>
                <c:pt idx="230">
                  <c:v>-2.5</c:v>
                </c:pt>
                <c:pt idx="231">
                  <c:v>-2.25</c:v>
                </c:pt>
                <c:pt idx="232">
                  <c:v>-2</c:v>
                </c:pt>
                <c:pt idx="233">
                  <c:v>-1.75</c:v>
                </c:pt>
                <c:pt idx="234">
                  <c:v>-1.5</c:v>
                </c:pt>
                <c:pt idx="235">
                  <c:v>-1.25</c:v>
                </c:pt>
                <c:pt idx="236">
                  <c:v>-1</c:v>
                </c:pt>
                <c:pt idx="237">
                  <c:v>-0.75</c:v>
                </c:pt>
                <c:pt idx="238">
                  <c:v>-0.5</c:v>
                </c:pt>
                <c:pt idx="239">
                  <c:v>-0.25</c:v>
                </c:pt>
                <c:pt idx="240">
                  <c:v>0</c:v>
                </c:pt>
                <c:pt idx="241">
                  <c:v>0.25</c:v>
                </c:pt>
                <c:pt idx="242">
                  <c:v>0.5</c:v>
                </c:pt>
                <c:pt idx="243">
                  <c:v>0.75</c:v>
                </c:pt>
                <c:pt idx="244">
                  <c:v>1</c:v>
                </c:pt>
                <c:pt idx="245">
                  <c:v>1.25</c:v>
                </c:pt>
                <c:pt idx="246">
                  <c:v>1.5</c:v>
                </c:pt>
                <c:pt idx="247">
                  <c:v>1.75</c:v>
                </c:pt>
                <c:pt idx="248">
                  <c:v>2</c:v>
                </c:pt>
                <c:pt idx="249">
                  <c:v>2.25</c:v>
                </c:pt>
                <c:pt idx="250">
                  <c:v>2.5</c:v>
                </c:pt>
                <c:pt idx="251">
                  <c:v>2.75</c:v>
                </c:pt>
                <c:pt idx="252">
                  <c:v>3</c:v>
                </c:pt>
                <c:pt idx="253">
                  <c:v>3.25</c:v>
                </c:pt>
                <c:pt idx="254">
                  <c:v>3.5</c:v>
                </c:pt>
                <c:pt idx="255">
                  <c:v>3.75</c:v>
                </c:pt>
                <c:pt idx="256">
                  <c:v>4</c:v>
                </c:pt>
                <c:pt idx="257">
                  <c:v>4.25</c:v>
                </c:pt>
                <c:pt idx="258">
                  <c:v>4.5</c:v>
                </c:pt>
                <c:pt idx="259">
                  <c:v>4.75</c:v>
                </c:pt>
                <c:pt idx="260">
                  <c:v>5</c:v>
                </c:pt>
                <c:pt idx="261">
                  <c:v>5.25</c:v>
                </c:pt>
                <c:pt idx="262">
                  <c:v>5.5</c:v>
                </c:pt>
                <c:pt idx="263">
                  <c:v>5.75</c:v>
                </c:pt>
                <c:pt idx="264">
                  <c:v>6</c:v>
                </c:pt>
                <c:pt idx="265">
                  <c:v>6.25</c:v>
                </c:pt>
                <c:pt idx="266">
                  <c:v>6.5</c:v>
                </c:pt>
                <c:pt idx="267">
                  <c:v>6.75</c:v>
                </c:pt>
                <c:pt idx="268">
                  <c:v>7</c:v>
                </c:pt>
                <c:pt idx="269">
                  <c:v>7.25</c:v>
                </c:pt>
                <c:pt idx="270">
                  <c:v>7.5</c:v>
                </c:pt>
                <c:pt idx="271">
                  <c:v>7.75</c:v>
                </c:pt>
                <c:pt idx="272">
                  <c:v>8</c:v>
                </c:pt>
                <c:pt idx="273">
                  <c:v>8.25</c:v>
                </c:pt>
                <c:pt idx="274">
                  <c:v>8.5</c:v>
                </c:pt>
                <c:pt idx="275">
                  <c:v>8.75</c:v>
                </c:pt>
                <c:pt idx="276">
                  <c:v>9</c:v>
                </c:pt>
                <c:pt idx="277">
                  <c:v>9.25</c:v>
                </c:pt>
                <c:pt idx="278">
                  <c:v>9.5</c:v>
                </c:pt>
                <c:pt idx="279">
                  <c:v>9.75</c:v>
                </c:pt>
                <c:pt idx="280">
                  <c:v>10</c:v>
                </c:pt>
                <c:pt idx="281">
                  <c:v>10.25</c:v>
                </c:pt>
                <c:pt idx="282">
                  <c:v>10.5</c:v>
                </c:pt>
                <c:pt idx="283">
                  <c:v>10.75</c:v>
                </c:pt>
                <c:pt idx="284">
                  <c:v>11</c:v>
                </c:pt>
                <c:pt idx="285">
                  <c:v>11.25</c:v>
                </c:pt>
                <c:pt idx="286">
                  <c:v>11.5</c:v>
                </c:pt>
                <c:pt idx="287">
                  <c:v>11.75</c:v>
                </c:pt>
                <c:pt idx="288">
                  <c:v>12</c:v>
                </c:pt>
                <c:pt idx="289">
                  <c:v>12.25</c:v>
                </c:pt>
                <c:pt idx="290">
                  <c:v>12.5</c:v>
                </c:pt>
                <c:pt idx="291">
                  <c:v>12.75</c:v>
                </c:pt>
                <c:pt idx="292">
                  <c:v>13</c:v>
                </c:pt>
                <c:pt idx="293">
                  <c:v>13.25</c:v>
                </c:pt>
                <c:pt idx="294">
                  <c:v>13.5</c:v>
                </c:pt>
                <c:pt idx="295">
                  <c:v>13.75</c:v>
                </c:pt>
                <c:pt idx="296">
                  <c:v>14</c:v>
                </c:pt>
                <c:pt idx="297">
                  <c:v>14.25</c:v>
                </c:pt>
                <c:pt idx="298">
                  <c:v>14.5</c:v>
                </c:pt>
                <c:pt idx="299">
                  <c:v>14.75</c:v>
                </c:pt>
                <c:pt idx="300">
                  <c:v>15</c:v>
                </c:pt>
                <c:pt idx="301">
                  <c:v>15.25</c:v>
                </c:pt>
                <c:pt idx="302">
                  <c:v>15.5</c:v>
                </c:pt>
                <c:pt idx="303">
                  <c:v>15.75</c:v>
                </c:pt>
                <c:pt idx="304">
                  <c:v>16</c:v>
                </c:pt>
                <c:pt idx="305">
                  <c:v>16.25</c:v>
                </c:pt>
                <c:pt idx="306">
                  <c:v>16.5</c:v>
                </c:pt>
                <c:pt idx="307">
                  <c:v>16.75</c:v>
                </c:pt>
                <c:pt idx="308">
                  <c:v>17</c:v>
                </c:pt>
                <c:pt idx="309">
                  <c:v>17.25</c:v>
                </c:pt>
                <c:pt idx="310">
                  <c:v>17.5</c:v>
                </c:pt>
                <c:pt idx="311">
                  <c:v>17.75</c:v>
                </c:pt>
                <c:pt idx="312">
                  <c:v>18</c:v>
                </c:pt>
                <c:pt idx="313">
                  <c:v>18.25</c:v>
                </c:pt>
                <c:pt idx="314">
                  <c:v>18.5</c:v>
                </c:pt>
                <c:pt idx="315">
                  <c:v>18.75</c:v>
                </c:pt>
                <c:pt idx="316">
                  <c:v>19</c:v>
                </c:pt>
                <c:pt idx="317">
                  <c:v>19.25</c:v>
                </c:pt>
                <c:pt idx="318">
                  <c:v>19.5</c:v>
                </c:pt>
                <c:pt idx="319">
                  <c:v>19.75</c:v>
                </c:pt>
                <c:pt idx="320">
                  <c:v>20</c:v>
                </c:pt>
                <c:pt idx="321">
                  <c:v>20.25</c:v>
                </c:pt>
                <c:pt idx="322">
                  <c:v>20.5</c:v>
                </c:pt>
                <c:pt idx="323">
                  <c:v>20.75</c:v>
                </c:pt>
                <c:pt idx="324">
                  <c:v>21</c:v>
                </c:pt>
                <c:pt idx="325">
                  <c:v>21.25</c:v>
                </c:pt>
                <c:pt idx="326">
                  <c:v>21.5</c:v>
                </c:pt>
                <c:pt idx="327">
                  <c:v>21.75</c:v>
                </c:pt>
                <c:pt idx="328">
                  <c:v>22</c:v>
                </c:pt>
                <c:pt idx="329">
                  <c:v>22.25</c:v>
                </c:pt>
                <c:pt idx="330">
                  <c:v>22.5</c:v>
                </c:pt>
                <c:pt idx="331">
                  <c:v>22.75</c:v>
                </c:pt>
                <c:pt idx="332">
                  <c:v>23</c:v>
                </c:pt>
                <c:pt idx="333">
                  <c:v>23.25</c:v>
                </c:pt>
                <c:pt idx="334">
                  <c:v>23.5</c:v>
                </c:pt>
                <c:pt idx="335">
                  <c:v>23.75</c:v>
                </c:pt>
                <c:pt idx="336">
                  <c:v>24</c:v>
                </c:pt>
                <c:pt idx="337">
                  <c:v>24.25</c:v>
                </c:pt>
                <c:pt idx="338">
                  <c:v>24.5</c:v>
                </c:pt>
                <c:pt idx="339">
                  <c:v>24.75</c:v>
                </c:pt>
                <c:pt idx="340">
                  <c:v>25</c:v>
                </c:pt>
                <c:pt idx="341">
                  <c:v>25.25</c:v>
                </c:pt>
                <c:pt idx="342">
                  <c:v>25.5</c:v>
                </c:pt>
                <c:pt idx="343">
                  <c:v>25.75</c:v>
                </c:pt>
                <c:pt idx="344">
                  <c:v>26</c:v>
                </c:pt>
                <c:pt idx="345">
                  <c:v>26.25</c:v>
                </c:pt>
                <c:pt idx="346">
                  <c:v>26.5</c:v>
                </c:pt>
                <c:pt idx="347">
                  <c:v>26.75</c:v>
                </c:pt>
                <c:pt idx="348">
                  <c:v>27</c:v>
                </c:pt>
                <c:pt idx="349">
                  <c:v>27.25</c:v>
                </c:pt>
                <c:pt idx="350">
                  <c:v>27.5</c:v>
                </c:pt>
                <c:pt idx="351">
                  <c:v>27.75</c:v>
                </c:pt>
                <c:pt idx="352">
                  <c:v>28</c:v>
                </c:pt>
                <c:pt idx="353">
                  <c:v>28.25</c:v>
                </c:pt>
                <c:pt idx="354">
                  <c:v>28.5</c:v>
                </c:pt>
                <c:pt idx="355">
                  <c:v>28.75</c:v>
                </c:pt>
                <c:pt idx="356">
                  <c:v>29</c:v>
                </c:pt>
                <c:pt idx="357">
                  <c:v>29.25</c:v>
                </c:pt>
                <c:pt idx="358">
                  <c:v>29.5</c:v>
                </c:pt>
                <c:pt idx="359">
                  <c:v>29.75</c:v>
                </c:pt>
                <c:pt idx="360">
                  <c:v>30</c:v>
                </c:pt>
                <c:pt idx="361">
                  <c:v>30.25</c:v>
                </c:pt>
                <c:pt idx="362">
                  <c:v>30.5</c:v>
                </c:pt>
                <c:pt idx="363">
                  <c:v>30.75</c:v>
                </c:pt>
                <c:pt idx="364">
                  <c:v>31</c:v>
                </c:pt>
                <c:pt idx="365">
                  <c:v>31.25</c:v>
                </c:pt>
                <c:pt idx="366">
                  <c:v>31.5</c:v>
                </c:pt>
                <c:pt idx="367">
                  <c:v>31.75</c:v>
                </c:pt>
                <c:pt idx="368">
                  <c:v>32</c:v>
                </c:pt>
                <c:pt idx="369">
                  <c:v>32.25</c:v>
                </c:pt>
                <c:pt idx="370">
                  <c:v>32.5</c:v>
                </c:pt>
                <c:pt idx="371">
                  <c:v>32.75</c:v>
                </c:pt>
                <c:pt idx="372">
                  <c:v>33</c:v>
                </c:pt>
                <c:pt idx="373">
                  <c:v>33.25</c:v>
                </c:pt>
                <c:pt idx="374">
                  <c:v>33.5</c:v>
                </c:pt>
                <c:pt idx="375">
                  <c:v>33.75</c:v>
                </c:pt>
                <c:pt idx="376">
                  <c:v>34</c:v>
                </c:pt>
                <c:pt idx="377">
                  <c:v>34.25</c:v>
                </c:pt>
                <c:pt idx="378">
                  <c:v>34.5</c:v>
                </c:pt>
                <c:pt idx="379">
                  <c:v>34.75</c:v>
                </c:pt>
                <c:pt idx="380">
                  <c:v>35</c:v>
                </c:pt>
                <c:pt idx="381">
                  <c:v>35.25</c:v>
                </c:pt>
                <c:pt idx="382">
                  <c:v>35.5</c:v>
                </c:pt>
                <c:pt idx="383">
                  <c:v>35.75</c:v>
                </c:pt>
                <c:pt idx="384">
                  <c:v>36</c:v>
                </c:pt>
                <c:pt idx="385">
                  <c:v>36.25</c:v>
                </c:pt>
                <c:pt idx="386">
                  <c:v>36.5</c:v>
                </c:pt>
                <c:pt idx="387">
                  <c:v>36.75</c:v>
                </c:pt>
                <c:pt idx="388">
                  <c:v>37</c:v>
                </c:pt>
                <c:pt idx="389">
                  <c:v>37.25</c:v>
                </c:pt>
                <c:pt idx="390">
                  <c:v>37.5</c:v>
                </c:pt>
                <c:pt idx="391">
                  <c:v>37.75</c:v>
                </c:pt>
                <c:pt idx="392">
                  <c:v>38</c:v>
                </c:pt>
                <c:pt idx="393">
                  <c:v>38.25</c:v>
                </c:pt>
                <c:pt idx="394">
                  <c:v>38.5</c:v>
                </c:pt>
                <c:pt idx="395">
                  <c:v>38.75</c:v>
                </c:pt>
                <c:pt idx="396">
                  <c:v>39</c:v>
                </c:pt>
                <c:pt idx="397">
                  <c:v>39.25</c:v>
                </c:pt>
                <c:pt idx="398">
                  <c:v>39.5</c:v>
                </c:pt>
                <c:pt idx="399">
                  <c:v>39.75</c:v>
                </c:pt>
                <c:pt idx="400">
                  <c:v>40</c:v>
                </c:pt>
              </c:numCache>
            </c:numRef>
          </c:xVal>
          <c:yVal>
            <c:numRef>
              <c:f>'transversal subsidence profile'!$AE$10:$AE$410</c:f>
              <c:numCache>
                <c:formatCode>0.000000000</c:formatCode>
                <c:ptCount val="401"/>
                <c:pt idx="0">
                  <c:v>-1.1439967664642942E-11</c:v>
                </c:pt>
                <c:pt idx="1">
                  <c:v>-1.4888127118922737E-11</c:v>
                </c:pt>
                <c:pt idx="2">
                  <c:v>-1.9348015586573529E-11</c:v>
                </c:pt>
                <c:pt idx="3">
                  <c:v>-2.5108087335955627E-11</c:v>
                </c:pt>
                <c:pt idx="4">
                  <c:v>-3.2536544183621869E-11</c:v>
                </c:pt>
                <c:pt idx="5">
                  <c:v>-4.210266153824247E-11</c:v>
                </c:pt>
                <c:pt idx="6">
                  <c:v>-5.4403614432323827E-11</c:v>
                </c:pt>
                <c:pt idx="7">
                  <c:v>-7.0198166495997776E-11</c:v>
                </c:pt>
                <c:pt idx="8">
                  <c:v>-9.0448907873030592E-11</c:v>
                </c:pt>
                <c:pt idx="9">
                  <c:v>-1.1637512391987946E-10</c:v>
                </c:pt>
                <c:pt idx="10">
                  <c:v>-1.4951886063257532E-10</c:v>
                </c:pt>
                <c:pt idx="11">
                  <c:v>-1.9182734364531776E-10</c:v>
                </c:pt>
                <c:pt idx="12">
                  <c:v>-2.45755627489618E-10</c:v>
                </c:pt>
                <c:pt idx="13">
                  <c:v>-3.143942270074094E-10</c:v>
                </c:pt>
                <c:pt idx="14">
                  <c:v>-4.0162754479834827E-10</c:v>
                </c:pt>
                <c:pt idx="15">
                  <c:v>-5.1233019464137974E-10</c:v>
                </c:pt>
                <c:pt idx="16">
                  <c:v>-6.5260987511010688E-10</c:v>
                </c:pt>
                <c:pt idx="17">
                  <c:v>-8.3010732223339706E-10</c:v>
                </c:pt>
                <c:pt idx="18">
                  <c:v>-1.0543661264445803E-9</c:v>
                </c:pt>
                <c:pt idx="19">
                  <c:v>-1.3372879093616544E-9</c:v>
                </c:pt>
                <c:pt idx="20">
                  <c:v>-1.6936916046888754E-9</c:v>
                </c:pt>
                <c:pt idx="21">
                  <c:v>-2.1419994735291088E-9</c:v>
                </c:pt>
                <c:pt idx="22">
                  <c:v>-2.7050771227991663E-9</c:v>
                </c:pt>
                <c:pt idx="23">
                  <c:v>-3.4112603200828986E-9</c:v>
                </c:pt>
                <c:pt idx="24">
                  <c:v>-4.2956079642477642E-9</c:v>
                </c:pt>
                <c:pt idx="25">
                  <c:v>-5.4014283577261894E-9</c:v>
                </c:pt>
                <c:pt idx="26">
                  <c:v>-6.7821351400260282E-9</c:v>
                </c:pt>
                <c:pt idx="27">
                  <c:v>-8.5035001199676361E-9</c:v>
                </c:pt>
                <c:pt idx="28">
                  <c:v>-1.0646383057910846E-8</c:v>
                </c:pt>
                <c:pt idx="29">
                  <c:v>-1.3310033508753643E-8</c:v>
                </c:pt>
                <c:pt idx="30">
                  <c:v>-1.6616077494250583E-8</c:v>
                </c:pt>
                <c:pt idx="31">
                  <c:v>-2.071332242875283E-8</c:v>
                </c:pt>
                <c:pt idx="32">
                  <c:v>-2.578353782703744E-8</c:v>
                </c:pt>
                <c:pt idx="33">
                  <c:v>-3.2048397384144974E-8</c:v>
                </c:pt>
                <c:pt idx="34">
                  <c:v>-3.9777800604058651E-8</c:v>
                </c:pt>
                <c:pt idx="35">
                  <c:v>-4.9299829901670774E-8</c:v>
                </c:pt>
                <c:pt idx="36">
                  <c:v>-6.1012642716539293E-8</c:v>
                </c:pt>
                <c:pt idx="37">
                  <c:v>-7.5398648438191683E-8</c:v>
                </c:pt>
                <c:pt idx="38">
                  <c:v>-9.3041377710755282E-8</c:v>
                </c:pt>
                <c:pt idx="39">
                  <c:v>-1.1464551790101841E-7</c:v>
                </c:pt>
                <c:pt idx="40">
                  <c:v>-1.41060664204223E-7</c:v>
                </c:pt>
                <c:pt idx="41">
                  <c:v>-1.733094221365711E-7</c:v>
                </c:pt>
                <c:pt idx="42">
                  <c:v>-2.1262059521741871E-7</c:v>
                </c:pt>
                <c:pt idx="43">
                  <c:v>-2.6046830275389875E-7</c:v>
                </c:pt>
                <c:pt idx="44">
                  <c:v>-3.186179981592276E-7</c:v>
                </c:pt>
                <c:pt idx="45">
                  <c:v>-3.8918049958467794E-7</c:v>
                </c:pt>
                <c:pt idx="46">
                  <c:v>-4.7467530330286396E-7</c:v>
                </c:pt>
                <c:pt idx="47">
                  <c:v>-5.7810462776685924E-7</c:v>
                </c:pt>
                <c:pt idx="48">
                  <c:v>-7.0303983412808616E-7</c:v>
                </c:pt>
                <c:pt idx="49">
                  <c:v>-8.5372208876441902E-7</c:v>
                </c:pt>
                <c:pt idx="50">
                  <c:v>-1.0351793765527078E-6</c:v>
                </c:pt>
                <c:pt idx="51">
                  <c:v>-1.2533622416482865E-6</c:v>
                </c:pt>
                <c:pt idx="52">
                  <c:v>-1.5153009267221495E-6</c:v>
                </c:pt>
                <c:pt idx="53">
                  <c:v>-1.8292869030970088E-6</c:v>
                </c:pt>
                <c:pt idx="54">
                  <c:v>-2.2050821339269854E-6</c:v>
                </c:pt>
                <c:pt idx="55">
                  <c:v>-2.6541597910885728E-6</c:v>
                </c:pt>
                <c:pt idx="56">
                  <c:v>-3.1899805540142246E-6</c:v>
                </c:pt>
                <c:pt idx="57">
                  <c:v>-3.8283090550506227E-6</c:v>
                </c:pt>
                <c:pt idx="58">
                  <c:v>-4.587575500229637E-6</c:v>
                </c:pt>
                <c:pt idx="59">
                  <c:v>-5.4892879850807596E-6</c:v>
                </c:pt>
                <c:pt idx="60">
                  <c:v>-6.5585015399580067E-6</c:v>
                </c:pt>
                <c:pt idx="61">
                  <c:v>-7.8243504750276802E-6</c:v>
                </c:pt>
                <c:pt idx="62">
                  <c:v>-9.3206511472086745E-6</c:v>
                </c:pt>
                <c:pt idx="63">
                  <c:v>-1.1086582834387751E-5</c:v>
                </c:pt>
                <c:pt idx="64">
                  <c:v>-1.3167454969175001E-5</c:v>
                </c:pt>
                <c:pt idx="65">
                  <c:v>-1.5615569546808999E-5</c:v>
                </c:pt>
                <c:pt idx="66">
                  <c:v>-1.849118806935599E-5</c:v>
                </c:pt>
                <c:pt idx="67">
                  <c:v>-2.1863612909008364E-5</c:v>
                </c:pt>
                <c:pt idx="68">
                  <c:v>-2.5812393453013967E-5</c:v>
                </c:pt>
                <c:pt idx="69">
                  <c:v>-3.0428667815358318E-5</c:v>
                </c:pt>
                <c:pt idx="70">
                  <c:v>-3.5816651247323766E-5</c:v>
                </c:pt>
                <c:pt idx="71">
                  <c:v>-4.2095282629662149E-5</c:v>
                </c:pt>
                <c:pt idx="72">
                  <c:v>-4.9400040560123261E-5</c:v>
                </c:pt>
                <c:pt idx="73">
                  <c:v>-5.7884940535824343E-5</c:v>
                </c:pt>
                <c:pt idx="74">
                  <c:v>-6.7724724542355994E-5</c:v>
                </c:pt>
                <c:pt idx="75">
                  <c:v>-7.9117253970168119E-5</c:v>
                </c:pt>
                <c:pt idx="76">
                  <c:v>-9.2286116151047917E-5</c:v>
                </c:pt>
                <c:pt idx="77">
                  <c:v>-1.0748345390877281E-4</c:v>
                </c:pt>
                <c:pt idx="78">
                  <c:v>-1.2499302631196335E-4</c:v>
                </c:pt>
                <c:pt idx="79">
                  <c:v>-1.4513350726617051E-4</c:v>
                </c:pt>
                <c:pt idx="80">
                  <c:v>-1.6826202664783259E-4</c:v>
                </c:pt>
                <c:pt idx="81">
                  <c:v>-1.9477795632628439E-4</c:v>
                </c:pt>
                <c:pt idx="82">
                  <c:v>-2.2512694060327536E-4</c:v>
                </c:pt>
                <c:pt idx="83">
                  <c:v>-2.5980516728561938E-4</c:v>
                </c:pt>
                <c:pt idx="84">
                  <c:v>-2.9936387176106712E-4</c:v>
                </c:pt>
                <c:pt idx="85">
                  <c:v>-3.4441406203901837E-4</c:v>
                </c:pt>
                <c:pt idx="86">
                  <c:v>-3.9563144771967955E-4</c:v>
                </c:pt>
                <c:pt idx="87">
                  <c:v>-4.5376155024693402E-4</c:v>
                </c:pt>
                <c:pt idx="88">
                  <c:v>-5.196249655681428E-4</c:v>
                </c:pt>
                <c:pt idx="89">
                  <c:v>-5.9412274346381209E-4</c:v>
                </c:pt>
                <c:pt idx="90">
                  <c:v>-6.7824184032747774E-4</c:v>
                </c:pt>
                <c:pt idx="91">
                  <c:v>-7.7306059408941644E-4</c:v>
                </c:pt>
                <c:pt idx="92">
                  <c:v>-8.7975416131883086E-4</c:v>
                </c:pt>
                <c:pt idx="93">
                  <c:v>-9.9959984735557405E-4</c:v>
                </c:pt>
                <c:pt idx="94">
                  <c:v>-1.1339822506789366E-3</c:v>
                </c:pt>
                <c:pt idx="95">
                  <c:v>-1.2843981327011276E-3</c:v>
                </c:pt>
                <c:pt idx="96">
                  <c:v>-1.4524609138805073E-3</c:v>
                </c:pt>
                <c:pt idx="97">
                  <c:v>-1.6399046866096164E-3</c:v>
                </c:pt>
                <c:pt idx="98">
                  <c:v>-1.8485876248931928E-3</c:v>
                </c:pt>
                <c:pt idx="99">
                  <c:v>-2.0804946605623852E-3</c:v>
                </c:pt>
                <c:pt idx="100">
                  <c:v>-2.3377392858675611E-3</c:v>
                </c:pt>
                <c:pt idx="101">
                  <c:v>-2.622564332970658E-3</c:v>
                </c:pt>
                <c:pt idx="102">
                  <c:v>-2.9373415723593899E-3</c:v>
                </c:pt>
                <c:pt idx="103">
                  <c:v>-3.2845699647907432E-3</c:v>
                </c:pt>
                <c:pt idx="104">
                  <c:v>-3.6668723953217183E-3</c:v>
                </c:pt>
                <c:pt idx="105">
                  <c:v>-4.0869907135985904E-3</c:v>
                </c:pt>
                <c:pt idx="106">
                  <c:v>-4.5477789021642805E-3</c:v>
                </c:pt>
                <c:pt idx="107">
                  <c:v>-5.052194194427778E-3</c:v>
                </c:pt>
                <c:pt idx="108">
                  <c:v>-5.6032859664465629E-3</c:v>
                </c:pt>
                <c:pt idx="109">
                  <c:v>-6.2041822321275072E-3</c:v>
                </c:pt>
                <c:pt idx="110">
                  <c:v>-6.8580735801725195E-3</c:v>
                </c:pt>
                <c:pt idx="111">
                  <c:v>-7.5681944033855293E-3</c:v>
                </c:pt>
                <c:pt idx="112">
                  <c:v>-8.3378012870989442E-3</c:v>
                </c:pt>
                <c:pt idx="113">
                  <c:v>-9.1701484437209067E-3</c:v>
                </c:pt>
                <c:pt idx="114">
                  <c:v>-1.0068460104960228E-2</c:v>
                </c:pt>
                <c:pt idx="115">
                  <c:v>-1.1035899812315378E-2</c:v>
                </c:pt>
                <c:pt idx="116">
                  <c:v>-1.207553658001944E-2</c:v>
                </c:pt>
                <c:pt idx="117">
                  <c:v>-1.319030794284864E-2</c:v>
                </c:pt>
                <c:pt idx="118">
                  <c:v>-1.4382979943983227E-2</c:v>
                </c:pt>
                <c:pt idx="119">
                  <c:v>-1.5656104165324536E-2</c:v>
                </c:pt>
                <c:pt idx="120">
                  <c:v>-1.7011971954092982E-2</c:v>
                </c:pt>
                <c:pt idx="121">
                  <c:v>-1.8452566054827778E-2</c:v>
                </c:pt>
                <c:pt idx="122">
                  <c:v>-1.9979509914638812E-2</c:v>
                </c:pt>
                <c:pt idx="123">
                  <c:v>-2.1594014991169419E-2</c:v>
                </c:pt>
                <c:pt idx="124">
                  <c:v>-2.3296826456541183E-2</c:v>
                </c:pt>
                <c:pt idx="125">
                  <c:v>-2.5088167755777165E-2</c:v>
                </c:pt>
                <c:pt idx="126">
                  <c:v>-2.6967684543927783E-2</c:v>
                </c:pt>
                <c:pt idx="127">
                  <c:v>-2.8934388591330518E-2</c:v>
                </c:pt>
                <c:pt idx="128">
                  <c:v>-3.0986602309991194E-2</c:v>
                </c:pt>
                <c:pt idx="129">
                  <c:v>-3.3121904614754241E-2</c:v>
                </c:pt>
                <c:pt idx="130">
                  <c:v>-3.5337078889419879E-2</c:v>
                </c:pt>
                <c:pt idx="131">
                  <c:v>-3.762806387889045E-2</c:v>
                </c:pt>
                <c:pt idx="132">
                  <c:v>-3.9989908372357913E-2</c:v>
                </c:pt>
                <c:pt idx="133">
                  <c:v>-4.2416730578026654E-2</c:v>
                </c:pt>
                <c:pt idx="134">
                  <c:v>-4.4901683115445665E-2</c:v>
                </c:pt>
                <c:pt idx="135">
                  <c:v>-4.7436924565775702E-2</c:v>
                </c:pt>
                <c:pt idx="136">
                  <c:v>-5.0013598521871136E-2</c:v>
                </c:pt>
                <c:pt idx="137">
                  <c:v>-5.2621821067633613E-2</c:v>
                </c:pt>
                <c:pt idx="138">
                  <c:v>-5.5250677588543143E-2</c:v>
                </c:pt>
                <c:pt idx="139">
                  <c:v>-5.7888229771594045E-2</c:v>
                </c:pt>
                <c:pt idx="140">
                  <c:v>-6.0521533592261416E-2</c:v>
                </c:pt>
                <c:pt idx="141">
                  <c:v>-6.3136669008021382E-2</c:v>
                </c:pt>
                <c:pt idx="142">
                  <c:v>-6.5718781982038801E-2</c:v>
                </c:pt>
                <c:pt idx="143">
                  <c:v>-6.8252139346897917E-2</c:v>
                </c:pt>
                <c:pt idx="144">
                  <c:v>-7.072019688698504E-2</c:v>
                </c:pt>
                <c:pt idx="145">
                  <c:v>-7.3105680869984854E-2</c:v>
                </c:pt>
                <c:pt idx="146">
                  <c:v>-7.5390683093922994E-2</c:v>
                </c:pt>
                <c:pt idx="147">
                  <c:v>-7.7556769337662312E-2</c:v>
                </c:pt>
                <c:pt idx="148">
                  <c:v>-7.958510091149272E-2</c:v>
                </c:pt>
                <c:pt idx="149">
                  <c:v>-8.1456568802585325E-2</c:v>
                </c:pt>
                <c:pt idx="150">
                  <c:v>-8.3151939700117014E-2</c:v>
                </c:pt>
                <c:pt idx="151">
                  <c:v>-8.4652012969667526E-2</c:v>
                </c:pt>
                <c:pt idx="152">
                  <c:v>-8.5937787429233345E-2</c:v>
                </c:pt>
                <c:pt idx="153">
                  <c:v>-8.6990636563358634E-2</c:v>
                </c:pt>
                <c:pt idx="154">
                  <c:v>-8.7792490601172599E-2</c:v>
                </c:pt>
                <c:pt idx="155">
                  <c:v>-8.832602368244874E-2</c:v>
                </c:pt>
                <c:pt idx="156">
                  <c:v>-8.8574844147204124E-2</c:v>
                </c:pt>
                <c:pt idx="157">
                  <c:v>-8.8523685812931435E-2</c:v>
                </c:pt>
                <c:pt idx="158">
                  <c:v>-8.8158597953391718E-2</c:v>
                </c:pt>
                <c:pt idx="159">
                  <c:v>-8.7467131567975698E-2</c:v>
                </c:pt>
                <c:pt idx="160">
                  <c:v>-8.6438519434783145E-2</c:v>
                </c:pt>
                <c:pt idx="161">
                  <c:v>-8.50638473773139E-2</c:v>
                </c:pt>
                <c:pt idx="162">
                  <c:v>-8.333621414720456E-2</c:v>
                </c:pt>
                <c:pt idx="163">
                  <c:v>-8.1250877336534022E-2</c:v>
                </c:pt>
                <c:pt idx="164">
                  <c:v>-7.8805382785087558E-2</c:v>
                </c:pt>
                <c:pt idx="165">
                  <c:v>-7.5999675042243364E-2</c:v>
                </c:pt>
                <c:pt idx="166">
                  <c:v>-7.2836186580784515E-2</c:v>
                </c:pt>
                <c:pt idx="167">
                  <c:v>-6.9319903641170466E-2</c:v>
                </c:pt>
                <c:pt idx="168">
                  <c:v>-6.5458406809068975E-2</c:v>
                </c:pt>
                <c:pt idx="169">
                  <c:v>-6.1261884694877998E-2</c:v>
                </c:pt>
                <c:pt idx="170">
                  <c:v>-5.6743119389342747E-2</c:v>
                </c:pt>
                <c:pt idx="171">
                  <c:v>-5.1917442711134125E-2</c:v>
                </c:pt>
                <c:pt idx="172">
                  <c:v>-4.6802662636505767E-2</c:v>
                </c:pt>
                <c:pt idx="173">
                  <c:v>-4.1418959703185397E-2</c:v>
                </c:pt>
                <c:pt idx="174">
                  <c:v>-3.5788753605021859E-2</c:v>
                </c:pt>
                <c:pt idx="175">
                  <c:v>-2.9936540634450295E-2</c:v>
                </c:pt>
                <c:pt idx="176">
                  <c:v>-2.3888703079794755E-2</c:v>
                </c:pt>
                <c:pt idx="177">
                  <c:v>-1.7673292136530634E-2</c:v>
                </c:pt>
                <c:pt idx="178">
                  <c:v>-1.1319786338222851E-2</c:v>
                </c:pt>
                <c:pt idx="179">
                  <c:v>-4.8588279460189607E-3</c:v>
                </c:pt>
                <c:pt idx="180">
                  <c:v>1.6780598527237553E-3</c:v>
                </c:pt>
                <c:pt idx="181">
                  <c:v>8.2587717038670114E-3</c:v>
                </c:pt>
                <c:pt idx="182">
                  <c:v>1.4850931226209757E-2</c:v>
                </c:pt>
                <c:pt idx="183">
                  <c:v>2.1422210653507023E-2</c:v>
                </c:pt>
                <c:pt idx="184">
                  <c:v>2.7940654852253222E-2</c:v>
                </c:pt>
                <c:pt idx="185">
                  <c:v>3.4375005398089201E-2</c:v>
                </c:pt>
                <c:pt idx="186">
                  <c:v>4.0695020266479628E-2</c:v>
                </c:pt>
                <c:pt idx="187">
                  <c:v>4.6871784633971056E-2</c:v>
                </c:pt>
                <c:pt idx="188">
                  <c:v>5.2878008298277407E-2</c:v>
                </c:pt>
                <c:pt idx="189">
                  <c:v>5.8688305310853464E-2</c:v>
                </c:pt>
                <c:pt idx="190">
                  <c:v>6.4279451575428997E-2</c:v>
                </c:pt>
                <c:pt idx="191">
                  <c:v>6.9630616399764117E-2</c:v>
                </c:pt>
                <c:pt idx="192">
                  <c:v>7.4723564293838848E-2</c:v>
                </c:pt>
                <c:pt idx="193">
                  <c:v>7.9542823682614033E-2</c:v>
                </c:pt>
                <c:pt idx="194">
                  <c:v>8.407581964081054E-2</c:v>
                </c:pt>
                <c:pt idx="195">
                  <c:v>8.8312968254949692E-2</c:v>
                </c:pt>
                <c:pt idx="196">
                  <c:v>9.2247730767015201E-2</c:v>
                </c:pt>
                <c:pt idx="197">
                  <c:v>9.5876626246228377E-2</c:v>
                </c:pt>
                <c:pt idx="198">
                  <c:v>9.9199202161242159E-2</c:v>
                </c:pt>
                <c:pt idx="199">
                  <c:v>0.10221796287436243</c:v>
                </c:pt>
                <c:pt idx="200">
                  <c:v>0.10493825674131929</c:v>
                </c:pt>
                <c:pt idx="201">
                  <c:v>0.10736812316326143</c:v>
                </c:pt>
                <c:pt idx="202">
                  <c:v>0.10951810159038892</c:v>
                </c:pt>
                <c:pt idx="203">
                  <c:v>0.11140100510726214</c:v>
                </c:pt>
                <c:pt idx="204">
                  <c:v>0.11303166182679439</c:v>
                </c:pt>
                <c:pt idx="205">
                  <c:v>0.11442662787211513</c:v>
                </c:pt>
                <c:pt idx="206">
                  <c:v>0.11560387622237389</c:v>
                </c:pt>
                <c:pt idx="207">
                  <c:v>0.11658246613047241</c:v>
                </c:pt>
                <c:pt idx="208">
                  <c:v>0.11738219817905686</c:v>
                </c:pt>
                <c:pt idx="209">
                  <c:v>0.11802326031848304</c:v>
                </c:pt>
                <c:pt idx="210">
                  <c:v>0.11852587042091192</c:v>
                </c:pt>
                <c:pt idx="211">
                  <c:v>0.11890992098375153</c:v>
                </c:pt>
                <c:pt idx="212">
                  <c:v>0.11919463162053572</c:v>
                </c:pt>
                <c:pt idx="213">
                  <c:v>0.11939821488694168</c:v>
                </c:pt>
                <c:pt idx="214">
                  <c:v>0.11953756080467763</c:v>
                </c:pt>
                <c:pt idx="215">
                  <c:v>0.11962794516887443</c:v>
                </c:pt>
                <c:pt idx="216">
                  <c:v>0.11968276635957042</c:v>
                </c:pt>
                <c:pt idx="217">
                  <c:v>0.11971331493075185</c:v>
                </c:pt>
                <c:pt idx="218">
                  <c:v>0.11972857972862297</c:v>
                </c:pt>
                <c:pt idx="219">
                  <c:v>0.11973509370319427</c:v>
                </c:pt>
                <c:pt idx="220">
                  <c:v>0.11973682193401933</c:v>
                </c:pt>
                <c:pt idx="221">
                  <c:v>0.11973509370319427</c:v>
                </c:pt>
                <c:pt idx="222">
                  <c:v>0.11972857972862297</c:v>
                </c:pt>
                <c:pt idx="223">
                  <c:v>0.11971331493075185</c:v>
                </c:pt>
                <c:pt idx="224">
                  <c:v>0.11968276635957042</c:v>
                </c:pt>
                <c:pt idx="225">
                  <c:v>0.11962794516887443</c:v>
                </c:pt>
                <c:pt idx="226">
                  <c:v>0.11953756080467763</c:v>
                </c:pt>
                <c:pt idx="227">
                  <c:v>0.11939821488694168</c:v>
                </c:pt>
                <c:pt idx="228">
                  <c:v>0.11919463162053572</c:v>
                </c:pt>
                <c:pt idx="229">
                  <c:v>0.11890992098375153</c:v>
                </c:pt>
                <c:pt idx="230">
                  <c:v>0.11852587042091192</c:v>
                </c:pt>
                <c:pt idx="231">
                  <c:v>0.11802326031848304</c:v>
                </c:pt>
                <c:pt idx="232">
                  <c:v>0.11738219817905686</c:v>
                </c:pt>
                <c:pt idx="233">
                  <c:v>0.11658246613047241</c:v>
                </c:pt>
                <c:pt idx="234">
                  <c:v>0.11560387622237389</c:v>
                </c:pt>
                <c:pt idx="235">
                  <c:v>0.11442662787211513</c:v>
                </c:pt>
                <c:pt idx="236">
                  <c:v>0.11303166182679439</c:v>
                </c:pt>
                <c:pt idx="237">
                  <c:v>0.11140100510726214</c:v>
                </c:pt>
                <c:pt idx="238">
                  <c:v>0.10951810159038892</c:v>
                </c:pt>
                <c:pt idx="239">
                  <c:v>0.10736812316326143</c:v>
                </c:pt>
                <c:pt idx="240">
                  <c:v>0.10493825674131929</c:v>
                </c:pt>
                <c:pt idx="241">
                  <c:v>0.10221796287436243</c:v>
                </c:pt>
                <c:pt idx="242">
                  <c:v>9.9199202161242159E-2</c:v>
                </c:pt>
                <c:pt idx="243">
                  <c:v>9.5876626246228377E-2</c:v>
                </c:pt>
                <c:pt idx="244">
                  <c:v>9.2247730767015201E-2</c:v>
                </c:pt>
                <c:pt idx="245">
                  <c:v>8.8312968254949692E-2</c:v>
                </c:pt>
                <c:pt idx="246">
                  <c:v>8.407581964081054E-2</c:v>
                </c:pt>
                <c:pt idx="247">
                  <c:v>7.9542823682614033E-2</c:v>
                </c:pt>
                <c:pt idx="248">
                  <c:v>7.4723564293838848E-2</c:v>
                </c:pt>
                <c:pt idx="249">
                  <c:v>6.9630616399764117E-2</c:v>
                </c:pt>
                <c:pt idx="250">
                  <c:v>6.4279451575428997E-2</c:v>
                </c:pt>
                <c:pt idx="251">
                  <c:v>5.8688305310853464E-2</c:v>
                </c:pt>
                <c:pt idx="252">
                  <c:v>5.2878008298277407E-2</c:v>
                </c:pt>
                <c:pt idx="253">
                  <c:v>4.6871784633971056E-2</c:v>
                </c:pt>
                <c:pt idx="254">
                  <c:v>4.0695020266479628E-2</c:v>
                </c:pt>
                <c:pt idx="255">
                  <c:v>3.4375005398089201E-2</c:v>
                </c:pt>
                <c:pt idx="256">
                  <c:v>2.7940654852253222E-2</c:v>
                </c:pt>
                <c:pt idx="257">
                  <c:v>2.1422210653507023E-2</c:v>
                </c:pt>
                <c:pt idx="258">
                  <c:v>1.4850931226209757E-2</c:v>
                </c:pt>
                <c:pt idx="259">
                  <c:v>8.2587717038670114E-3</c:v>
                </c:pt>
                <c:pt idx="260">
                  <c:v>1.6780598527237553E-3</c:v>
                </c:pt>
                <c:pt idx="261">
                  <c:v>-4.8588279460189607E-3</c:v>
                </c:pt>
                <c:pt idx="262">
                  <c:v>-1.1319786338222851E-2</c:v>
                </c:pt>
                <c:pt idx="263">
                  <c:v>-1.7673292136530634E-2</c:v>
                </c:pt>
                <c:pt idx="264">
                  <c:v>-2.3888703079794755E-2</c:v>
                </c:pt>
                <c:pt idx="265">
                  <c:v>-2.9936540634450295E-2</c:v>
                </c:pt>
                <c:pt idx="266">
                  <c:v>-3.5788753605021859E-2</c:v>
                </c:pt>
                <c:pt idx="267">
                  <c:v>-4.1418959703185397E-2</c:v>
                </c:pt>
                <c:pt idx="268">
                  <c:v>-4.6802662636505767E-2</c:v>
                </c:pt>
                <c:pt idx="269">
                  <c:v>-5.1917442711134125E-2</c:v>
                </c:pt>
                <c:pt idx="270">
                  <c:v>-5.6743119389342747E-2</c:v>
                </c:pt>
                <c:pt idx="271">
                  <c:v>-6.1261884694877998E-2</c:v>
                </c:pt>
                <c:pt idx="272">
                  <c:v>-6.5458406809068975E-2</c:v>
                </c:pt>
                <c:pt idx="273">
                  <c:v>-6.9319903641170466E-2</c:v>
                </c:pt>
                <c:pt idx="274">
                  <c:v>-7.2836186580784515E-2</c:v>
                </c:pt>
                <c:pt idx="275">
                  <c:v>-7.5999675042243364E-2</c:v>
                </c:pt>
                <c:pt idx="276">
                  <c:v>-7.8805382785087558E-2</c:v>
                </c:pt>
                <c:pt idx="277">
                  <c:v>-8.1250877336534022E-2</c:v>
                </c:pt>
                <c:pt idx="278">
                  <c:v>-8.333621414720456E-2</c:v>
                </c:pt>
                <c:pt idx="279">
                  <c:v>-8.50638473773139E-2</c:v>
                </c:pt>
                <c:pt idx="280">
                  <c:v>-8.6438519434783145E-2</c:v>
                </c:pt>
                <c:pt idx="281">
                  <c:v>-8.7467131567975698E-2</c:v>
                </c:pt>
                <c:pt idx="282">
                  <c:v>-8.8158597953391718E-2</c:v>
                </c:pt>
                <c:pt idx="283">
                  <c:v>-8.8523685812931435E-2</c:v>
                </c:pt>
                <c:pt idx="284">
                  <c:v>-8.8574844147204124E-2</c:v>
                </c:pt>
                <c:pt idx="285">
                  <c:v>-8.832602368244874E-2</c:v>
                </c:pt>
                <c:pt idx="286">
                  <c:v>-8.7792490601172599E-2</c:v>
                </c:pt>
                <c:pt idx="287">
                  <c:v>-8.6990636563358634E-2</c:v>
                </c:pt>
                <c:pt idx="288">
                  <c:v>-8.5937787429233345E-2</c:v>
                </c:pt>
                <c:pt idx="289">
                  <c:v>-8.4652012969667526E-2</c:v>
                </c:pt>
                <c:pt idx="290">
                  <c:v>-8.3151939700117014E-2</c:v>
                </c:pt>
                <c:pt idx="291">
                  <c:v>-8.1456568802585325E-2</c:v>
                </c:pt>
                <c:pt idx="292">
                  <c:v>-7.958510091149272E-2</c:v>
                </c:pt>
                <c:pt idx="293">
                  <c:v>-7.7556769337662312E-2</c:v>
                </c:pt>
                <c:pt idx="294">
                  <c:v>-7.5390683093922994E-2</c:v>
                </c:pt>
                <c:pt idx="295">
                  <c:v>-7.3105680869984854E-2</c:v>
                </c:pt>
                <c:pt idx="296">
                  <c:v>-7.072019688698504E-2</c:v>
                </c:pt>
                <c:pt idx="297">
                  <c:v>-6.8252139346897917E-2</c:v>
                </c:pt>
                <c:pt idx="298">
                  <c:v>-6.5718781982038801E-2</c:v>
                </c:pt>
                <c:pt idx="299">
                  <c:v>-6.3136669008021382E-2</c:v>
                </c:pt>
                <c:pt idx="300">
                  <c:v>-6.0521533592261416E-2</c:v>
                </c:pt>
                <c:pt idx="301">
                  <c:v>-5.7888229771594045E-2</c:v>
                </c:pt>
                <c:pt idx="302">
                  <c:v>-5.5250677588543143E-2</c:v>
                </c:pt>
                <c:pt idx="303">
                  <c:v>-5.2621821067633613E-2</c:v>
                </c:pt>
                <c:pt idx="304">
                  <c:v>-5.0013598521871136E-2</c:v>
                </c:pt>
                <c:pt idx="305">
                  <c:v>-4.7436924565775702E-2</c:v>
                </c:pt>
                <c:pt idx="306">
                  <c:v>-4.4901683115445665E-2</c:v>
                </c:pt>
                <c:pt idx="307">
                  <c:v>-4.2416730578026654E-2</c:v>
                </c:pt>
                <c:pt idx="308">
                  <c:v>-3.9989908372357913E-2</c:v>
                </c:pt>
                <c:pt idx="309">
                  <c:v>-3.762806387889045E-2</c:v>
                </c:pt>
                <c:pt idx="310">
                  <c:v>-3.5337078889419879E-2</c:v>
                </c:pt>
                <c:pt idx="311">
                  <c:v>-3.3121904614754241E-2</c:v>
                </c:pt>
                <c:pt idx="312">
                  <c:v>-3.0986602309991194E-2</c:v>
                </c:pt>
                <c:pt idx="313">
                  <c:v>-2.8934388591330518E-2</c:v>
                </c:pt>
                <c:pt idx="314">
                  <c:v>-2.6967684543927783E-2</c:v>
                </c:pt>
                <c:pt idx="315">
                  <c:v>-2.5088167755777165E-2</c:v>
                </c:pt>
                <c:pt idx="316">
                  <c:v>-2.3296826456541183E-2</c:v>
                </c:pt>
                <c:pt idx="317">
                  <c:v>-2.1594014991169419E-2</c:v>
                </c:pt>
                <c:pt idx="318">
                  <c:v>-1.9979509914638812E-2</c:v>
                </c:pt>
                <c:pt idx="319">
                  <c:v>-1.8452566054827778E-2</c:v>
                </c:pt>
                <c:pt idx="320">
                  <c:v>-1.7011971954092982E-2</c:v>
                </c:pt>
                <c:pt idx="321">
                  <c:v>-1.5656104165324536E-2</c:v>
                </c:pt>
                <c:pt idx="322">
                  <c:v>-1.4382979943983227E-2</c:v>
                </c:pt>
                <c:pt idx="323">
                  <c:v>-1.319030794284864E-2</c:v>
                </c:pt>
                <c:pt idx="324">
                  <c:v>-1.207553658001944E-2</c:v>
                </c:pt>
                <c:pt idx="325">
                  <c:v>-1.1035899812315378E-2</c:v>
                </c:pt>
                <c:pt idx="326">
                  <c:v>-1.0068460104960228E-2</c:v>
                </c:pt>
                <c:pt idx="327">
                  <c:v>-9.1701484437209067E-3</c:v>
                </c:pt>
                <c:pt idx="328">
                  <c:v>-8.3378012870989442E-3</c:v>
                </c:pt>
                <c:pt idx="329">
                  <c:v>-7.5681944033855293E-3</c:v>
                </c:pt>
                <c:pt idx="330">
                  <c:v>-6.8580735801725195E-3</c:v>
                </c:pt>
                <c:pt idx="331">
                  <c:v>-6.2041822321275072E-3</c:v>
                </c:pt>
                <c:pt idx="332">
                  <c:v>-5.6032859664465629E-3</c:v>
                </c:pt>
                <c:pt idx="333">
                  <c:v>-5.052194194427778E-3</c:v>
                </c:pt>
                <c:pt idx="334">
                  <c:v>-4.5477789021642805E-3</c:v>
                </c:pt>
                <c:pt idx="335">
                  <c:v>-4.0869907135985904E-3</c:v>
                </c:pt>
                <c:pt idx="336">
                  <c:v>-3.6668723953217183E-3</c:v>
                </c:pt>
                <c:pt idx="337">
                  <c:v>-3.2845699647907432E-3</c:v>
                </c:pt>
                <c:pt idx="338">
                  <c:v>-2.9373415723593899E-3</c:v>
                </c:pt>
                <c:pt idx="339">
                  <c:v>-2.622564332970658E-3</c:v>
                </c:pt>
                <c:pt idx="340">
                  <c:v>-2.3377392858675611E-3</c:v>
                </c:pt>
                <c:pt idx="341">
                  <c:v>-2.0804946605623852E-3</c:v>
                </c:pt>
                <c:pt idx="342">
                  <c:v>-1.8485876248931928E-3</c:v>
                </c:pt>
                <c:pt idx="343">
                  <c:v>-1.6399046866096164E-3</c:v>
                </c:pt>
                <c:pt idx="344">
                  <c:v>-1.4524609138805073E-3</c:v>
                </c:pt>
                <c:pt idx="345">
                  <c:v>-1.2843981327011276E-3</c:v>
                </c:pt>
                <c:pt idx="346">
                  <c:v>-1.1339822506789366E-3</c:v>
                </c:pt>
                <c:pt idx="347">
                  <c:v>-9.9959984735557405E-4</c:v>
                </c:pt>
                <c:pt idx="348">
                  <c:v>-8.7975416131883086E-4</c:v>
                </c:pt>
                <c:pt idx="349">
                  <c:v>-7.7306059408941644E-4</c:v>
                </c:pt>
                <c:pt idx="350">
                  <c:v>-6.7824184032747774E-4</c:v>
                </c:pt>
                <c:pt idx="351">
                  <c:v>-5.9412274346381209E-4</c:v>
                </c:pt>
                <c:pt idx="352">
                  <c:v>-5.196249655681428E-4</c:v>
                </c:pt>
                <c:pt idx="353">
                  <c:v>-4.5376155024693402E-4</c:v>
                </c:pt>
                <c:pt idx="354">
                  <c:v>-3.9563144771967955E-4</c:v>
                </c:pt>
                <c:pt idx="355">
                  <c:v>-3.4441406203901837E-4</c:v>
                </c:pt>
                <c:pt idx="356">
                  <c:v>-2.9936387176106712E-4</c:v>
                </c:pt>
                <c:pt idx="357">
                  <c:v>-2.5980516728561938E-4</c:v>
                </c:pt>
                <c:pt idx="358">
                  <c:v>-2.2512694060327536E-4</c:v>
                </c:pt>
                <c:pt idx="359">
                  <c:v>-1.9477795632628439E-4</c:v>
                </c:pt>
                <c:pt idx="360">
                  <c:v>-1.6826202664783259E-4</c:v>
                </c:pt>
                <c:pt idx="361">
                  <c:v>-1.4513350726617051E-4</c:v>
                </c:pt>
                <c:pt idx="362">
                  <c:v>-1.2499302631196335E-4</c:v>
                </c:pt>
                <c:pt idx="363">
                  <c:v>-1.0748345390877281E-4</c:v>
                </c:pt>
                <c:pt idx="364">
                  <c:v>-9.2286116151047917E-5</c:v>
                </c:pt>
                <c:pt idx="365">
                  <c:v>-7.9117253970168119E-5</c:v>
                </c:pt>
                <c:pt idx="366">
                  <c:v>-6.7724724542355994E-5</c:v>
                </c:pt>
                <c:pt idx="367">
                  <c:v>-5.7884940535824343E-5</c:v>
                </c:pt>
                <c:pt idx="368">
                  <c:v>-4.9400040560123261E-5</c:v>
                </c:pt>
                <c:pt idx="369">
                  <c:v>-4.2095282629662149E-5</c:v>
                </c:pt>
                <c:pt idx="370">
                  <c:v>-3.5816651247323766E-5</c:v>
                </c:pt>
                <c:pt idx="371">
                  <c:v>-3.0428667815358318E-5</c:v>
                </c:pt>
                <c:pt idx="372">
                  <c:v>-2.5812393453013967E-5</c:v>
                </c:pt>
                <c:pt idx="373">
                  <c:v>-2.1863612909008364E-5</c:v>
                </c:pt>
                <c:pt idx="374">
                  <c:v>-1.849118806935599E-5</c:v>
                </c:pt>
                <c:pt idx="375">
                  <c:v>-1.5615569546808999E-5</c:v>
                </c:pt>
                <c:pt idx="376">
                  <c:v>-1.3167454969175001E-5</c:v>
                </c:pt>
                <c:pt idx="377">
                  <c:v>-1.1086582834387751E-5</c:v>
                </c:pt>
                <c:pt idx="378">
                  <c:v>-9.3206511472086745E-6</c:v>
                </c:pt>
                <c:pt idx="379">
                  <c:v>-7.8243504750276802E-6</c:v>
                </c:pt>
                <c:pt idx="380">
                  <c:v>-6.5585015399580067E-6</c:v>
                </c:pt>
                <c:pt idx="381">
                  <c:v>-5.4892879850807596E-6</c:v>
                </c:pt>
                <c:pt idx="382">
                  <c:v>-4.587575500229637E-6</c:v>
                </c:pt>
                <c:pt idx="383">
                  <c:v>-3.8283090550506227E-6</c:v>
                </c:pt>
                <c:pt idx="384">
                  <c:v>-3.1899805540142246E-6</c:v>
                </c:pt>
                <c:pt idx="385">
                  <c:v>-2.6541597910885728E-6</c:v>
                </c:pt>
                <c:pt idx="386">
                  <c:v>-2.2050821339269854E-6</c:v>
                </c:pt>
                <c:pt idx="387">
                  <c:v>-1.8292869030970088E-6</c:v>
                </c:pt>
                <c:pt idx="388">
                  <c:v>-1.5153009267221495E-6</c:v>
                </c:pt>
                <c:pt idx="389">
                  <c:v>-1.2533622416482865E-6</c:v>
                </c:pt>
                <c:pt idx="390">
                  <c:v>-1.0351793765527078E-6</c:v>
                </c:pt>
                <c:pt idx="391">
                  <c:v>-8.5372208876441902E-7</c:v>
                </c:pt>
                <c:pt idx="392">
                  <c:v>-7.0303983412808616E-7</c:v>
                </c:pt>
                <c:pt idx="393">
                  <c:v>-5.7810462776685924E-7</c:v>
                </c:pt>
                <c:pt idx="394">
                  <c:v>-4.7467530330286396E-7</c:v>
                </c:pt>
                <c:pt idx="395">
                  <c:v>-3.8918049958467794E-7</c:v>
                </c:pt>
                <c:pt idx="396">
                  <c:v>-3.186179981592276E-7</c:v>
                </c:pt>
                <c:pt idx="397">
                  <c:v>-2.6046830275389875E-7</c:v>
                </c:pt>
                <c:pt idx="398">
                  <c:v>-2.1262059521741871E-7</c:v>
                </c:pt>
                <c:pt idx="399">
                  <c:v>-1.733094221365711E-7</c:v>
                </c:pt>
                <c:pt idx="400">
                  <c:v>-1.41060664204223E-7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91-4FF5-833D-871727D1D043}"/>
            </c:ext>
          </c:extLst>
        </c:ser>
        <c:ser>
          <c:idx val="3"/>
          <c:order val="3"/>
          <c:tx>
            <c:strRef>
              <c:f>'Burland damage classification'!$C$102</c:f>
              <c:strCache>
                <c:ptCount val="1"/>
                <c:pt idx="0">
                  <c:v>Foundation[hogging]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'Burland damage classification'!$EB$9:$EB$10</c:f>
              <c:numCache>
                <c:formatCode>0.00</c:formatCode>
                <c:ptCount val="2"/>
                <c:pt idx="0">
                  <c:v>-22.198671000000001</c:v>
                </c:pt>
                <c:pt idx="1">
                  <c:v>-15</c:v>
                </c:pt>
              </c:numCache>
            </c:numRef>
          </c:xVal>
          <c:yVal>
            <c:numRef>
              <c:f>'Burland damage classification'!$EB$12:$EB$13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91-4FF5-833D-871727D1D043}"/>
            </c:ext>
          </c:extLst>
        </c:ser>
        <c:ser>
          <c:idx val="4"/>
          <c:order val="4"/>
          <c:tx>
            <c:v>L2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'Burland damage classification'!$EE$9:$EE$10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'Burland damage classification'!$EE$12:$EE$13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91-4FF5-833D-871727D1D043}"/>
            </c:ext>
          </c:extLst>
        </c:ser>
        <c:ser>
          <c:idx val="5"/>
          <c:order val="5"/>
          <c:tx>
            <c:v>L3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'Burland damage classification'!$EF$9:$EF$10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'Burland damage classification'!$EF$12:$EF$13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91-4FF5-833D-871727D1D043}"/>
            </c:ext>
          </c:extLst>
        </c:ser>
        <c:ser>
          <c:idx val="6"/>
          <c:order val="6"/>
          <c:tx>
            <c:strRef>
              <c:f>'Burland damage classification'!$D$102</c:f>
              <c:strCache>
                <c:ptCount val="1"/>
                <c:pt idx="0">
                  <c:v>Foundation[sagging]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'Burland damage classification'!$EG$9:$EG$10</c:f>
              <c:numCache>
                <c:formatCode>0.00</c:formatCode>
                <c:ptCount val="2"/>
                <c:pt idx="0">
                  <c:v>-15</c:v>
                </c:pt>
                <c:pt idx="1">
                  <c:v>-12.488417999999999</c:v>
                </c:pt>
              </c:numCache>
            </c:numRef>
          </c:xVal>
          <c:yVal>
            <c:numRef>
              <c:f>'Burland damage classification'!$EG$12:$EG$13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91-4FF5-833D-871727D1D043}"/>
            </c:ext>
          </c:extLst>
        </c:ser>
        <c:ser>
          <c:idx val="7"/>
          <c:order val="7"/>
          <c:tx>
            <c:v>L5</c:v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'Burland damage classification'!$EJ$9:$EJ$10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'Burland damage classification'!$EJ$12:$EJ$13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91-4FF5-833D-871727D1D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457472"/>
        <c:axId val="292476032"/>
      </c:scatterChart>
      <c:valAx>
        <c:axId val="292457472"/>
        <c:scaling>
          <c:orientation val="minMax"/>
          <c:max val="40"/>
          <c:min val="-40"/>
        </c:scaling>
        <c:delete val="0"/>
        <c:axPos val="t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y (m)</a:t>
                </a:r>
              </a:p>
            </c:rich>
          </c:tx>
          <c:layout>
            <c:manualLayout>
              <c:xMode val="edge"/>
              <c:yMode val="edge"/>
              <c:x val="0.15210372975222758"/>
              <c:y val="0.550174100209792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952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2476032"/>
        <c:crosses val="autoZero"/>
        <c:crossBetween val="midCat"/>
      </c:valAx>
      <c:valAx>
        <c:axId val="292476032"/>
        <c:scaling>
          <c:orientation val="maxMin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e_h (%)</a:t>
                </a:r>
              </a:p>
            </c:rich>
          </c:tx>
          <c:layout>
            <c:manualLayout>
              <c:xMode val="edge"/>
              <c:yMode val="edge"/>
              <c:x val="0.55319148213269465"/>
              <c:y val="0.7024232351578889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in"/>
        <c:minorTickMark val="in"/>
        <c:tickLblPos val="low"/>
        <c:spPr>
          <a:ln w="952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2457472"/>
        <c:crosses val="autoZero"/>
        <c:crossBetween val="midCat"/>
        <c:minorUnit val="0.1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ayout>
        <c:manualLayout>
          <c:xMode val="edge"/>
          <c:yMode val="edge"/>
          <c:x val="0.70388468431737294"/>
          <c:y val="0.56055472304716236"/>
          <c:w val="0.2669906310254907"/>
          <c:h val="0.3806235639230216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6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262"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HORIZONTAL DISPLACEMENTS</a:t>
            </a:r>
          </a:p>
        </c:rich>
      </c:tx>
      <c:layout>
        <c:manualLayout>
          <c:xMode val="edge"/>
          <c:yMode val="edge"/>
          <c:x val="0.39344299952781431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5737749533931173E-2"/>
          <c:y val="7.2664482632195188E-2"/>
          <c:w val="0.92131221288439169"/>
          <c:h val="0.87197379158634225"/>
        </c:manualLayout>
      </c:layout>
      <c:scatterChart>
        <c:scatterStyle val="lineMarker"/>
        <c:varyColors val="0"/>
        <c:ser>
          <c:idx val="0"/>
          <c:order val="0"/>
          <c:tx>
            <c:strRef>
              <c:f>'transversal subsidence profile'!$G$8</c:f>
              <c:strCache>
                <c:ptCount val="1"/>
                <c:pt idx="0">
                  <c:v>Tunnel 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'transversal subsidence profile'!$G$10:$G$410</c:f>
              <c:numCache>
                <c:formatCode>General</c:formatCode>
                <c:ptCount val="401"/>
                <c:pt idx="0">
                  <c:v>-60</c:v>
                </c:pt>
                <c:pt idx="1">
                  <c:v>-59.75</c:v>
                </c:pt>
                <c:pt idx="2">
                  <c:v>-59.5</c:v>
                </c:pt>
                <c:pt idx="3">
                  <c:v>-59.25</c:v>
                </c:pt>
                <c:pt idx="4">
                  <c:v>-59</c:v>
                </c:pt>
                <c:pt idx="5">
                  <c:v>-58.75</c:v>
                </c:pt>
                <c:pt idx="6">
                  <c:v>-58.5</c:v>
                </c:pt>
                <c:pt idx="7">
                  <c:v>-58.25</c:v>
                </c:pt>
                <c:pt idx="8">
                  <c:v>-58</c:v>
                </c:pt>
                <c:pt idx="9">
                  <c:v>-57.75</c:v>
                </c:pt>
                <c:pt idx="10">
                  <c:v>-57.5</c:v>
                </c:pt>
                <c:pt idx="11">
                  <c:v>-57.25</c:v>
                </c:pt>
                <c:pt idx="12">
                  <c:v>-57</c:v>
                </c:pt>
                <c:pt idx="13">
                  <c:v>-56.75</c:v>
                </c:pt>
                <c:pt idx="14">
                  <c:v>-56.5</c:v>
                </c:pt>
                <c:pt idx="15">
                  <c:v>-56.25</c:v>
                </c:pt>
                <c:pt idx="16">
                  <c:v>-56</c:v>
                </c:pt>
                <c:pt idx="17">
                  <c:v>-55.75</c:v>
                </c:pt>
                <c:pt idx="18">
                  <c:v>-55.5</c:v>
                </c:pt>
                <c:pt idx="19">
                  <c:v>-55.25</c:v>
                </c:pt>
                <c:pt idx="20">
                  <c:v>-55</c:v>
                </c:pt>
                <c:pt idx="21">
                  <c:v>-54.75</c:v>
                </c:pt>
                <c:pt idx="22">
                  <c:v>-54.5</c:v>
                </c:pt>
                <c:pt idx="23">
                  <c:v>-54.25</c:v>
                </c:pt>
                <c:pt idx="24">
                  <c:v>-54</c:v>
                </c:pt>
                <c:pt idx="25">
                  <c:v>-53.75</c:v>
                </c:pt>
                <c:pt idx="26">
                  <c:v>-53.5</c:v>
                </c:pt>
                <c:pt idx="27">
                  <c:v>-53.25</c:v>
                </c:pt>
                <c:pt idx="28">
                  <c:v>-53</c:v>
                </c:pt>
                <c:pt idx="29">
                  <c:v>-52.75</c:v>
                </c:pt>
                <c:pt idx="30">
                  <c:v>-52.5</c:v>
                </c:pt>
                <c:pt idx="31">
                  <c:v>-52.25</c:v>
                </c:pt>
                <c:pt idx="32">
                  <c:v>-52</c:v>
                </c:pt>
                <c:pt idx="33">
                  <c:v>-51.75</c:v>
                </c:pt>
                <c:pt idx="34">
                  <c:v>-51.5</c:v>
                </c:pt>
                <c:pt idx="35">
                  <c:v>-51.25</c:v>
                </c:pt>
                <c:pt idx="36">
                  <c:v>-51</c:v>
                </c:pt>
                <c:pt idx="37">
                  <c:v>-50.75</c:v>
                </c:pt>
                <c:pt idx="38">
                  <c:v>-50.5</c:v>
                </c:pt>
                <c:pt idx="39">
                  <c:v>-50.25</c:v>
                </c:pt>
                <c:pt idx="40">
                  <c:v>-50</c:v>
                </c:pt>
                <c:pt idx="41">
                  <c:v>-49.75</c:v>
                </c:pt>
                <c:pt idx="42">
                  <c:v>-49.5</c:v>
                </c:pt>
                <c:pt idx="43">
                  <c:v>-49.25</c:v>
                </c:pt>
                <c:pt idx="44">
                  <c:v>-49</c:v>
                </c:pt>
                <c:pt idx="45">
                  <c:v>-48.75</c:v>
                </c:pt>
                <c:pt idx="46">
                  <c:v>-48.5</c:v>
                </c:pt>
                <c:pt idx="47">
                  <c:v>-48.25</c:v>
                </c:pt>
                <c:pt idx="48">
                  <c:v>-48</c:v>
                </c:pt>
                <c:pt idx="49">
                  <c:v>-47.75</c:v>
                </c:pt>
                <c:pt idx="50">
                  <c:v>-47.5</c:v>
                </c:pt>
                <c:pt idx="51">
                  <c:v>-47.25</c:v>
                </c:pt>
                <c:pt idx="52">
                  <c:v>-47</c:v>
                </c:pt>
                <c:pt idx="53">
                  <c:v>-46.75</c:v>
                </c:pt>
                <c:pt idx="54">
                  <c:v>-46.5</c:v>
                </c:pt>
                <c:pt idx="55">
                  <c:v>-46.25</c:v>
                </c:pt>
                <c:pt idx="56">
                  <c:v>-46</c:v>
                </c:pt>
                <c:pt idx="57">
                  <c:v>-45.75</c:v>
                </c:pt>
                <c:pt idx="58">
                  <c:v>-45.5</c:v>
                </c:pt>
                <c:pt idx="59">
                  <c:v>-45.25</c:v>
                </c:pt>
                <c:pt idx="60">
                  <c:v>-45</c:v>
                </c:pt>
                <c:pt idx="61">
                  <c:v>-44.75</c:v>
                </c:pt>
                <c:pt idx="62">
                  <c:v>-44.5</c:v>
                </c:pt>
                <c:pt idx="63">
                  <c:v>-44.25</c:v>
                </c:pt>
                <c:pt idx="64">
                  <c:v>-44</c:v>
                </c:pt>
                <c:pt idx="65">
                  <c:v>-43.75</c:v>
                </c:pt>
                <c:pt idx="66">
                  <c:v>-43.5</c:v>
                </c:pt>
                <c:pt idx="67">
                  <c:v>-43.25</c:v>
                </c:pt>
                <c:pt idx="68">
                  <c:v>-43</c:v>
                </c:pt>
                <c:pt idx="69">
                  <c:v>-42.75</c:v>
                </c:pt>
                <c:pt idx="70">
                  <c:v>-42.5</c:v>
                </c:pt>
                <c:pt idx="71">
                  <c:v>-42.25</c:v>
                </c:pt>
                <c:pt idx="72">
                  <c:v>-42</c:v>
                </c:pt>
                <c:pt idx="73">
                  <c:v>-41.75</c:v>
                </c:pt>
                <c:pt idx="74">
                  <c:v>-41.5</c:v>
                </c:pt>
                <c:pt idx="75">
                  <c:v>-41.25</c:v>
                </c:pt>
                <c:pt idx="76">
                  <c:v>-41</c:v>
                </c:pt>
                <c:pt idx="77">
                  <c:v>-40.75</c:v>
                </c:pt>
                <c:pt idx="78">
                  <c:v>-40.5</c:v>
                </c:pt>
                <c:pt idx="79">
                  <c:v>-40.25</c:v>
                </c:pt>
                <c:pt idx="80">
                  <c:v>-40</c:v>
                </c:pt>
                <c:pt idx="81">
                  <c:v>-39.75</c:v>
                </c:pt>
                <c:pt idx="82">
                  <c:v>-39.5</c:v>
                </c:pt>
                <c:pt idx="83">
                  <c:v>-39.25</c:v>
                </c:pt>
                <c:pt idx="84">
                  <c:v>-39</c:v>
                </c:pt>
                <c:pt idx="85">
                  <c:v>-38.75</c:v>
                </c:pt>
                <c:pt idx="86">
                  <c:v>-38.5</c:v>
                </c:pt>
                <c:pt idx="87">
                  <c:v>-38.25</c:v>
                </c:pt>
                <c:pt idx="88">
                  <c:v>-38</c:v>
                </c:pt>
                <c:pt idx="89">
                  <c:v>-37.75</c:v>
                </c:pt>
                <c:pt idx="90">
                  <c:v>-37.5</c:v>
                </c:pt>
                <c:pt idx="91">
                  <c:v>-37.25</c:v>
                </c:pt>
                <c:pt idx="92">
                  <c:v>-37</c:v>
                </c:pt>
                <c:pt idx="93">
                  <c:v>-36.75</c:v>
                </c:pt>
                <c:pt idx="94">
                  <c:v>-36.5</c:v>
                </c:pt>
                <c:pt idx="95">
                  <c:v>-36.25</c:v>
                </c:pt>
                <c:pt idx="96">
                  <c:v>-36</c:v>
                </c:pt>
                <c:pt idx="97">
                  <c:v>-35.75</c:v>
                </c:pt>
                <c:pt idx="98">
                  <c:v>-35.5</c:v>
                </c:pt>
                <c:pt idx="99">
                  <c:v>-35.25</c:v>
                </c:pt>
                <c:pt idx="100">
                  <c:v>-35</c:v>
                </c:pt>
                <c:pt idx="101">
                  <c:v>-34.75</c:v>
                </c:pt>
                <c:pt idx="102">
                  <c:v>-34.5</c:v>
                </c:pt>
                <c:pt idx="103">
                  <c:v>-34.25</c:v>
                </c:pt>
                <c:pt idx="104">
                  <c:v>-34</c:v>
                </c:pt>
                <c:pt idx="105">
                  <c:v>-33.75</c:v>
                </c:pt>
                <c:pt idx="106">
                  <c:v>-33.5</c:v>
                </c:pt>
                <c:pt idx="107">
                  <c:v>-33.25</c:v>
                </c:pt>
                <c:pt idx="108">
                  <c:v>-33</c:v>
                </c:pt>
                <c:pt idx="109">
                  <c:v>-32.75</c:v>
                </c:pt>
                <c:pt idx="110">
                  <c:v>-32.5</c:v>
                </c:pt>
                <c:pt idx="111">
                  <c:v>-32.25</c:v>
                </c:pt>
                <c:pt idx="112">
                  <c:v>-32</c:v>
                </c:pt>
                <c:pt idx="113">
                  <c:v>-31.75</c:v>
                </c:pt>
                <c:pt idx="114">
                  <c:v>-31.5</c:v>
                </c:pt>
                <c:pt idx="115">
                  <c:v>-31.25</c:v>
                </c:pt>
                <c:pt idx="116">
                  <c:v>-31</c:v>
                </c:pt>
                <c:pt idx="117">
                  <c:v>-30.75</c:v>
                </c:pt>
                <c:pt idx="118">
                  <c:v>-30.5</c:v>
                </c:pt>
                <c:pt idx="119">
                  <c:v>-30.25</c:v>
                </c:pt>
                <c:pt idx="120">
                  <c:v>-30</c:v>
                </c:pt>
                <c:pt idx="121">
                  <c:v>-29.75</c:v>
                </c:pt>
                <c:pt idx="122">
                  <c:v>-29.5</c:v>
                </c:pt>
                <c:pt idx="123">
                  <c:v>-29.25</c:v>
                </c:pt>
                <c:pt idx="124">
                  <c:v>-29</c:v>
                </c:pt>
                <c:pt idx="125">
                  <c:v>-28.75</c:v>
                </c:pt>
                <c:pt idx="126">
                  <c:v>-28.5</c:v>
                </c:pt>
                <c:pt idx="127">
                  <c:v>-28.25</c:v>
                </c:pt>
                <c:pt idx="128">
                  <c:v>-28</c:v>
                </c:pt>
                <c:pt idx="129">
                  <c:v>-27.75</c:v>
                </c:pt>
                <c:pt idx="130">
                  <c:v>-27.5</c:v>
                </c:pt>
                <c:pt idx="131">
                  <c:v>-27.25</c:v>
                </c:pt>
                <c:pt idx="132">
                  <c:v>-27</c:v>
                </c:pt>
                <c:pt idx="133">
                  <c:v>-26.75</c:v>
                </c:pt>
                <c:pt idx="134">
                  <c:v>-26.5</c:v>
                </c:pt>
                <c:pt idx="135">
                  <c:v>-26.25</c:v>
                </c:pt>
                <c:pt idx="136">
                  <c:v>-26</c:v>
                </c:pt>
                <c:pt idx="137">
                  <c:v>-25.75</c:v>
                </c:pt>
                <c:pt idx="138">
                  <c:v>-25.5</c:v>
                </c:pt>
                <c:pt idx="139">
                  <c:v>-25.25</c:v>
                </c:pt>
                <c:pt idx="140">
                  <c:v>-25</c:v>
                </c:pt>
                <c:pt idx="141">
                  <c:v>-24.75</c:v>
                </c:pt>
                <c:pt idx="142">
                  <c:v>-24.5</c:v>
                </c:pt>
                <c:pt idx="143">
                  <c:v>-24.25</c:v>
                </c:pt>
                <c:pt idx="144">
                  <c:v>-24</c:v>
                </c:pt>
                <c:pt idx="145">
                  <c:v>-23.75</c:v>
                </c:pt>
                <c:pt idx="146">
                  <c:v>-23.5</c:v>
                </c:pt>
                <c:pt idx="147">
                  <c:v>-23.25</c:v>
                </c:pt>
                <c:pt idx="148">
                  <c:v>-23</c:v>
                </c:pt>
                <c:pt idx="149">
                  <c:v>-22.75</c:v>
                </c:pt>
                <c:pt idx="150">
                  <c:v>-22.5</c:v>
                </c:pt>
                <c:pt idx="151">
                  <c:v>-22.25</c:v>
                </c:pt>
                <c:pt idx="152">
                  <c:v>-22</c:v>
                </c:pt>
                <c:pt idx="153">
                  <c:v>-21.75</c:v>
                </c:pt>
                <c:pt idx="154">
                  <c:v>-21.5</c:v>
                </c:pt>
                <c:pt idx="155">
                  <c:v>-21.25</c:v>
                </c:pt>
                <c:pt idx="156">
                  <c:v>-21</c:v>
                </c:pt>
                <c:pt idx="157">
                  <c:v>-20.75</c:v>
                </c:pt>
                <c:pt idx="158">
                  <c:v>-20.5</c:v>
                </c:pt>
                <c:pt idx="159">
                  <c:v>-20.25</c:v>
                </c:pt>
                <c:pt idx="160">
                  <c:v>-20</c:v>
                </c:pt>
                <c:pt idx="161">
                  <c:v>-19.75</c:v>
                </c:pt>
                <c:pt idx="162">
                  <c:v>-19.5</c:v>
                </c:pt>
                <c:pt idx="163">
                  <c:v>-19.25</c:v>
                </c:pt>
                <c:pt idx="164">
                  <c:v>-19</c:v>
                </c:pt>
                <c:pt idx="165">
                  <c:v>-18.75</c:v>
                </c:pt>
                <c:pt idx="166">
                  <c:v>-18.5</c:v>
                </c:pt>
                <c:pt idx="167">
                  <c:v>-18.25</c:v>
                </c:pt>
                <c:pt idx="168">
                  <c:v>-18</c:v>
                </c:pt>
                <c:pt idx="169">
                  <c:v>-17.75</c:v>
                </c:pt>
                <c:pt idx="170">
                  <c:v>-17.5</c:v>
                </c:pt>
                <c:pt idx="171">
                  <c:v>-17.25</c:v>
                </c:pt>
                <c:pt idx="172">
                  <c:v>-17</c:v>
                </c:pt>
                <c:pt idx="173">
                  <c:v>-16.75</c:v>
                </c:pt>
                <c:pt idx="174">
                  <c:v>-16.5</c:v>
                </c:pt>
                <c:pt idx="175">
                  <c:v>-16.25</c:v>
                </c:pt>
                <c:pt idx="176">
                  <c:v>-16</c:v>
                </c:pt>
                <c:pt idx="177">
                  <c:v>-15.75</c:v>
                </c:pt>
                <c:pt idx="178">
                  <c:v>-15.5</c:v>
                </c:pt>
                <c:pt idx="179">
                  <c:v>-15.25</c:v>
                </c:pt>
                <c:pt idx="180">
                  <c:v>-15</c:v>
                </c:pt>
                <c:pt idx="181">
                  <c:v>-14.75</c:v>
                </c:pt>
                <c:pt idx="182">
                  <c:v>-14.5</c:v>
                </c:pt>
                <c:pt idx="183">
                  <c:v>-14.25</c:v>
                </c:pt>
                <c:pt idx="184">
                  <c:v>-14</c:v>
                </c:pt>
                <c:pt idx="185">
                  <c:v>-13.75</c:v>
                </c:pt>
                <c:pt idx="186">
                  <c:v>-13.5</c:v>
                </c:pt>
                <c:pt idx="187">
                  <c:v>-13.25</c:v>
                </c:pt>
                <c:pt idx="188">
                  <c:v>-13</c:v>
                </c:pt>
                <c:pt idx="189">
                  <c:v>-12.75</c:v>
                </c:pt>
                <c:pt idx="190">
                  <c:v>-12.5</c:v>
                </c:pt>
                <c:pt idx="191">
                  <c:v>-12.25</c:v>
                </c:pt>
                <c:pt idx="192">
                  <c:v>-12</c:v>
                </c:pt>
                <c:pt idx="193">
                  <c:v>-11.75</c:v>
                </c:pt>
                <c:pt idx="194">
                  <c:v>-11.5</c:v>
                </c:pt>
                <c:pt idx="195">
                  <c:v>-11.25</c:v>
                </c:pt>
                <c:pt idx="196">
                  <c:v>-11</c:v>
                </c:pt>
                <c:pt idx="197">
                  <c:v>-10.75</c:v>
                </c:pt>
                <c:pt idx="198">
                  <c:v>-10.5</c:v>
                </c:pt>
                <c:pt idx="199">
                  <c:v>-10.25</c:v>
                </c:pt>
                <c:pt idx="200">
                  <c:v>-10</c:v>
                </c:pt>
                <c:pt idx="201">
                  <c:v>-9.75</c:v>
                </c:pt>
                <c:pt idx="202">
                  <c:v>-9.5</c:v>
                </c:pt>
                <c:pt idx="203">
                  <c:v>-9.25</c:v>
                </c:pt>
                <c:pt idx="204">
                  <c:v>-9</c:v>
                </c:pt>
                <c:pt idx="205">
                  <c:v>-8.75</c:v>
                </c:pt>
                <c:pt idx="206">
                  <c:v>-8.5</c:v>
                </c:pt>
                <c:pt idx="207">
                  <c:v>-8.25</c:v>
                </c:pt>
                <c:pt idx="208">
                  <c:v>-8</c:v>
                </c:pt>
                <c:pt idx="209">
                  <c:v>-7.75</c:v>
                </c:pt>
                <c:pt idx="210">
                  <c:v>-7.5</c:v>
                </c:pt>
                <c:pt idx="211">
                  <c:v>-7.25</c:v>
                </c:pt>
                <c:pt idx="212">
                  <c:v>-7</c:v>
                </c:pt>
                <c:pt idx="213">
                  <c:v>-6.75</c:v>
                </c:pt>
                <c:pt idx="214">
                  <c:v>-6.5</c:v>
                </c:pt>
                <c:pt idx="215">
                  <c:v>-6.25</c:v>
                </c:pt>
                <c:pt idx="216">
                  <c:v>-6</c:v>
                </c:pt>
                <c:pt idx="217">
                  <c:v>-5.75</c:v>
                </c:pt>
                <c:pt idx="218">
                  <c:v>-5.5</c:v>
                </c:pt>
                <c:pt idx="219">
                  <c:v>-5.25</c:v>
                </c:pt>
                <c:pt idx="220">
                  <c:v>-5</c:v>
                </c:pt>
                <c:pt idx="221">
                  <c:v>-4.75</c:v>
                </c:pt>
                <c:pt idx="222">
                  <c:v>-4.5</c:v>
                </c:pt>
                <c:pt idx="223">
                  <c:v>-4.25</c:v>
                </c:pt>
                <c:pt idx="224">
                  <c:v>-4</c:v>
                </c:pt>
                <c:pt idx="225">
                  <c:v>-3.75</c:v>
                </c:pt>
                <c:pt idx="226">
                  <c:v>-3.5</c:v>
                </c:pt>
                <c:pt idx="227">
                  <c:v>-3.25</c:v>
                </c:pt>
                <c:pt idx="228">
                  <c:v>-3</c:v>
                </c:pt>
                <c:pt idx="229">
                  <c:v>-2.75</c:v>
                </c:pt>
                <c:pt idx="230">
                  <c:v>-2.5</c:v>
                </c:pt>
                <c:pt idx="231">
                  <c:v>-2.25</c:v>
                </c:pt>
                <c:pt idx="232">
                  <c:v>-2</c:v>
                </c:pt>
                <c:pt idx="233">
                  <c:v>-1.75</c:v>
                </c:pt>
                <c:pt idx="234">
                  <c:v>-1.5</c:v>
                </c:pt>
                <c:pt idx="235">
                  <c:v>-1.25</c:v>
                </c:pt>
                <c:pt idx="236">
                  <c:v>-1</c:v>
                </c:pt>
                <c:pt idx="237">
                  <c:v>-0.75</c:v>
                </c:pt>
                <c:pt idx="238">
                  <c:v>-0.5</c:v>
                </c:pt>
                <c:pt idx="239">
                  <c:v>-0.25</c:v>
                </c:pt>
                <c:pt idx="240">
                  <c:v>0</c:v>
                </c:pt>
                <c:pt idx="241">
                  <c:v>0.25</c:v>
                </c:pt>
                <c:pt idx="242">
                  <c:v>0.5</c:v>
                </c:pt>
                <c:pt idx="243">
                  <c:v>0.75</c:v>
                </c:pt>
                <c:pt idx="244">
                  <c:v>1</c:v>
                </c:pt>
                <c:pt idx="245">
                  <c:v>1.25</c:v>
                </c:pt>
                <c:pt idx="246">
                  <c:v>1.5</c:v>
                </c:pt>
                <c:pt idx="247">
                  <c:v>1.75</c:v>
                </c:pt>
                <c:pt idx="248">
                  <c:v>2</c:v>
                </c:pt>
                <c:pt idx="249">
                  <c:v>2.25</c:v>
                </c:pt>
                <c:pt idx="250">
                  <c:v>2.5</c:v>
                </c:pt>
                <c:pt idx="251">
                  <c:v>2.75</c:v>
                </c:pt>
                <c:pt idx="252">
                  <c:v>3</c:v>
                </c:pt>
                <c:pt idx="253">
                  <c:v>3.25</c:v>
                </c:pt>
                <c:pt idx="254">
                  <c:v>3.5</c:v>
                </c:pt>
                <c:pt idx="255">
                  <c:v>3.75</c:v>
                </c:pt>
                <c:pt idx="256">
                  <c:v>4</c:v>
                </c:pt>
                <c:pt idx="257">
                  <c:v>4.25</c:v>
                </c:pt>
                <c:pt idx="258">
                  <c:v>4.5</c:v>
                </c:pt>
                <c:pt idx="259">
                  <c:v>4.75</c:v>
                </c:pt>
                <c:pt idx="260">
                  <c:v>5</c:v>
                </c:pt>
                <c:pt idx="261">
                  <c:v>5.25</c:v>
                </c:pt>
                <c:pt idx="262">
                  <c:v>5.5</c:v>
                </c:pt>
                <c:pt idx="263">
                  <c:v>5.75</c:v>
                </c:pt>
                <c:pt idx="264">
                  <c:v>6</c:v>
                </c:pt>
                <c:pt idx="265">
                  <c:v>6.25</c:v>
                </c:pt>
                <c:pt idx="266">
                  <c:v>6.5</c:v>
                </c:pt>
                <c:pt idx="267">
                  <c:v>6.75</c:v>
                </c:pt>
                <c:pt idx="268">
                  <c:v>7</c:v>
                </c:pt>
                <c:pt idx="269">
                  <c:v>7.25</c:v>
                </c:pt>
                <c:pt idx="270">
                  <c:v>7.5</c:v>
                </c:pt>
                <c:pt idx="271">
                  <c:v>7.75</c:v>
                </c:pt>
                <c:pt idx="272">
                  <c:v>8</c:v>
                </c:pt>
                <c:pt idx="273">
                  <c:v>8.25</c:v>
                </c:pt>
                <c:pt idx="274">
                  <c:v>8.5</c:v>
                </c:pt>
                <c:pt idx="275">
                  <c:v>8.75</c:v>
                </c:pt>
                <c:pt idx="276">
                  <c:v>9</c:v>
                </c:pt>
                <c:pt idx="277">
                  <c:v>9.25</c:v>
                </c:pt>
                <c:pt idx="278">
                  <c:v>9.5</c:v>
                </c:pt>
                <c:pt idx="279">
                  <c:v>9.75</c:v>
                </c:pt>
                <c:pt idx="280">
                  <c:v>10</c:v>
                </c:pt>
                <c:pt idx="281">
                  <c:v>10.25</c:v>
                </c:pt>
                <c:pt idx="282">
                  <c:v>10.5</c:v>
                </c:pt>
                <c:pt idx="283">
                  <c:v>10.75</c:v>
                </c:pt>
                <c:pt idx="284">
                  <c:v>11</c:v>
                </c:pt>
                <c:pt idx="285">
                  <c:v>11.25</c:v>
                </c:pt>
                <c:pt idx="286">
                  <c:v>11.5</c:v>
                </c:pt>
                <c:pt idx="287">
                  <c:v>11.75</c:v>
                </c:pt>
                <c:pt idx="288">
                  <c:v>12</c:v>
                </c:pt>
                <c:pt idx="289">
                  <c:v>12.25</c:v>
                </c:pt>
                <c:pt idx="290">
                  <c:v>12.5</c:v>
                </c:pt>
                <c:pt idx="291">
                  <c:v>12.75</c:v>
                </c:pt>
                <c:pt idx="292">
                  <c:v>13</c:v>
                </c:pt>
                <c:pt idx="293">
                  <c:v>13.25</c:v>
                </c:pt>
                <c:pt idx="294">
                  <c:v>13.5</c:v>
                </c:pt>
                <c:pt idx="295">
                  <c:v>13.75</c:v>
                </c:pt>
                <c:pt idx="296">
                  <c:v>14</c:v>
                </c:pt>
                <c:pt idx="297">
                  <c:v>14.25</c:v>
                </c:pt>
                <c:pt idx="298">
                  <c:v>14.5</c:v>
                </c:pt>
                <c:pt idx="299">
                  <c:v>14.75</c:v>
                </c:pt>
                <c:pt idx="300">
                  <c:v>15</c:v>
                </c:pt>
                <c:pt idx="301">
                  <c:v>15.25</c:v>
                </c:pt>
                <c:pt idx="302">
                  <c:v>15.5</c:v>
                </c:pt>
                <c:pt idx="303">
                  <c:v>15.75</c:v>
                </c:pt>
                <c:pt idx="304">
                  <c:v>16</c:v>
                </c:pt>
                <c:pt idx="305">
                  <c:v>16.25</c:v>
                </c:pt>
                <c:pt idx="306">
                  <c:v>16.5</c:v>
                </c:pt>
                <c:pt idx="307">
                  <c:v>16.75</c:v>
                </c:pt>
                <c:pt idx="308">
                  <c:v>17</c:v>
                </c:pt>
                <c:pt idx="309">
                  <c:v>17.25</c:v>
                </c:pt>
                <c:pt idx="310">
                  <c:v>17.5</c:v>
                </c:pt>
                <c:pt idx="311">
                  <c:v>17.75</c:v>
                </c:pt>
                <c:pt idx="312">
                  <c:v>18</c:v>
                </c:pt>
                <c:pt idx="313">
                  <c:v>18.25</c:v>
                </c:pt>
                <c:pt idx="314">
                  <c:v>18.5</c:v>
                </c:pt>
                <c:pt idx="315">
                  <c:v>18.75</c:v>
                </c:pt>
                <c:pt idx="316">
                  <c:v>19</c:v>
                </c:pt>
                <c:pt idx="317">
                  <c:v>19.25</c:v>
                </c:pt>
                <c:pt idx="318">
                  <c:v>19.5</c:v>
                </c:pt>
                <c:pt idx="319">
                  <c:v>19.75</c:v>
                </c:pt>
                <c:pt idx="320">
                  <c:v>20</c:v>
                </c:pt>
                <c:pt idx="321">
                  <c:v>20.25</c:v>
                </c:pt>
                <c:pt idx="322">
                  <c:v>20.5</c:v>
                </c:pt>
                <c:pt idx="323">
                  <c:v>20.75</c:v>
                </c:pt>
                <c:pt idx="324">
                  <c:v>21</c:v>
                </c:pt>
                <c:pt idx="325">
                  <c:v>21.25</c:v>
                </c:pt>
                <c:pt idx="326">
                  <c:v>21.5</c:v>
                </c:pt>
                <c:pt idx="327">
                  <c:v>21.75</c:v>
                </c:pt>
                <c:pt idx="328">
                  <c:v>22</c:v>
                </c:pt>
                <c:pt idx="329">
                  <c:v>22.25</c:v>
                </c:pt>
                <c:pt idx="330">
                  <c:v>22.5</c:v>
                </c:pt>
                <c:pt idx="331">
                  <c:v>22.75</c:v>
                </c:pt>
                <c:pt idx="332">
                  <c:v>23</c:v>
                </c:pt>
                <c:pt idx="333">
                  <c:v>23.25</c:v>
                </c:pt>
                <c:pt idx="334">
                  <c:v>23.5</c:v>
                </c:pt>
                <c:pt idx="335">
                  <c:v>23.75</c:v>
                </c:pt>
                <c:pt idx="336">
                  <c:v>24</c:v>
                </c:pt>
                <c:pt idx="337">
                  <c:v>24.25</c:v>
                </c:pt>
                <c:pt idx="338">
                  <c:v>24.5</c:v>
                </c:pt>
                <c:pt idx="339">
                  <c:v>24.75</c:v>
                </c:pt>
                <c:pt idx="340">
                  <c:v>25</c:v>
                </c:pt>
                <c:pt idx="341">
                  <c:v>25.25</c:v>
                </c:pt>
                <c:pt idx="342">
                  <c:v>25.5</c:v>
                </c:pt>
                <c:pt idx="343">
                  <c:v>25.75</c:v>
                </c:pt>
                <c:pt idx="344">
                  <c:v>26</c:v>
                </c:pt>
                <c:pt idx="345">
                  <c:v>26.25</c:v>
                </c:pt>
                <c:pt idx="346">
                  <c:v>26.5</c:v>
                </c:pt>
                <c:pt idx="347">
                  <c:v>26.75</c:v>
                </c:pt>
                <c:pt idx="348">
                  <c:v>27</c:v>
                </c:pt>
                <c:pt idx="349">
                  <c:v>27.25</c:v>
                </c:pt>
                <c:pt idx="350">
                  <c:v>27.5</c:v>
                </c:pt>
                <c:pt idx="351">
                  <c:v>27.75</c:v>
                </c:pt>
                <c:pt idx="352">
                  <c:v>28</c:v>
                </c:pt>
                <c:pt idx="353">
                  <c:v>28.25</c:v>
                </c:pt>
                <c:pt idx="354">
                  <c:v>28.5</c:v>
                </c:pt>
                <c:pt idx="355">
                  <c:v>28.75</c:v>
                </c:pt>
                <c:pt idx="356">
                  <c:v>29</c:v>
                </c:pt>
                <c:pt idx="357">
                  <c:v>29.25</c:v>
                </c:pt>
                <c:pt idx="358">
                  <c:v>29.5</c:v>
                </c:pt>
                <c:pt idx="359">
                  <c:v>29.75</c:v>
                </c:pt>
                <c:pt idx="360">
                  <c:v>30</c:v>
                </c:pt>
                <c:pt idx="361">
                  <c:v>30.25</c:v>
                </c:pt>
                <c:pt idx="362">
                  <c:v>30.5</c:v>
                </c:pt>
                <c:pt idx="363">
                  <c:v>30.75</c:v>
                </c:pt>
                <c:pt idx="364">
                  <c:v>31</c:v>
                </c:pt>
                <c:pt idx="365">
                  <c:v>31.25</c:v>
                </c:pt>
                <c:pt idx="366">
                  <c:v>31.5</c:v>
                </c:pt>
                <c:pt idx="367">
                  <c:v>31.75</c:v>
                </c:pt>
                <c:pt idx="368">
                  <c:v>32</c:v>
                </c:pt>
                <c:pt idx="369">
                  <c:v>32.25</c:v>
                </c:pt>
                <c:pt idx="370">
                  <c:v>32.5</c:v>
                </c:pt>
                <c:pt idx="371">
                  <c:v>32.75</c:v>
                </c:pt>
                <c:pt idx="372">
                  <c:v>33</c:v>
                </c:pt>
                <c:pt idx="373">
                  <c:v>33.25</c:v>
                </c:pt>
                <c:pt idx="374">
                  <c:v>33.5</c:v>
                </c:pt>
                <c:pt idx="375">
                  <c:v>33.75</c:v>
                </c:pt>
                <c:pt idx="376">
                  <c:v>34</c:v>
                </c:pt>
                <c:pt idx="377">
                  <c:v>34.25</c:v>
                </c:pt>
                <c:pt idx="378">
                  <c:v>34.5</c:v>
                </c:pt>
                <c:pt idx="379">
                  <c:v>34.75</c:v>
                </c:pt>
                <c:pt idx="380">
                  <c:v>35</c:v>
                </c:pt>
                <c:pt idx="381">
                  <c:v>35.25</c:v>
                </c:pt>
                <c:pt idx="382">
                  <c:v>35.5</c:v>
                </c:pt>
                <c:pt idx="383">
                  <c:v>35.75</c:v>
                </c:pt>
                <c:pt idx="384">
                  <c:v>36</c:v>
                </c:pt>
                <c:pt idx="385">
                  <c:v>36.25</c:v>
                </c:pt>
                <c:pt idx="386">
                  <c:v>36.5</c:v>
                </c:pt>
                <c:pt idx="387">
                  <c:v>36.75</c:v>
                </c:pt>
                <c:pt idx="388">
                  <c:v>37</c:v>
                </c:pt>
                <c:pt idx="389">
                  <c:v>37.25</c:v>
                </c:pt>
                <c:pt idx="390">
                  <c:v>37.5</c:v>
                </c:pt>
                <c:pt idx="391">
                  <c:v>37.75</c:v>
                </c:pt>
                <c:pt idx="392">
                  <c:v>38</c:v>
                </c:pt>
                <c:pt idx="393">
                  <c:v>38.25</c:v>
                </c:pt>
                <c:pt idx="394">
                  <c:v>38.5</c:v>
                </c:pt>
                <c:pt idx="395">
                  <c:v>38.75</c:v>
                </c:pt>
                <c:pt idx="396">
                  <c:v>39</c:v>
                </c:pt>
                <c:pt idx="397">
                  <c:v>39.25</c:v>
                </c:pt>
                <c:pt idx="398">
                  <c:v>39.5</c:v>
                </c:pt>
                <c:pt idx="399">
                  <c:v>39.75</c:v>
                </c:pt>
                <c:pt idx="400">
                  <c:v>40</c:v>
                </c:pt>
              </c:numCache>
            </c:numRef>
          </c:xVal>
          <c:yVal>
            <c:numRef>
              <c:f>'transversal subsidence profile'!$N$10:$N$410</c:f>
              <c:numCache>
                <c:formatCode>General</c:formatCode>
                <c:ptCount val="401"/>
                <c:pt idx="0">
                  <c:v>-7.2898023383201222E-17</c:v>
                </c:pt>
                <c:pt idx="1">
                  <c:v>-1.0082823132482423E-16</c:v>
                </c:pt>
                <c:pt idx="2">
                  <c:v>-1.3926603219757695E-16</c:v>
                </c:pt>
                <c:pt idx="3">
                  <c:v>-1.9209004065350702E-16</c:v>
                </c:pt>
                <c:pt idx="4">
                  <c:v>-2.6458244322106413E-16</c:v>
                </c:pt>
                <c:pt idx="5">
                  <c:v>-3.6392648171885595E-16</c:v>
                </c:pt>
                <c:pt idx="6">
                  <c:v>-4.99876466316145E-16</c:v>
                </c:pt>
                <c:pt idx="7">
                  <c:v>-6.8565879595528808E-16</c:v>
                </c:pt>
                <c:pt idx="8">
                  <c:v>-9.3918180991969956E-16</c:v>
                </c:pt>
                <c:pt idx="9">
                  <c:v>-1.2846578780903601E-15</c:v>
                </c:pt>
                <c:pt idx="10">
                  <c:v>-1.7547749156393949E-15</c:v>
                </c:pt>
                <c:pt idx="11">
                  <c:v>-2.3935990333295123E-15</c:v>
                </c:pt>
                <c:pt idx="12">
                  <c:v>-3.2604486318565161E-15</c:v>
                </c:pt>
                <c:pt idx="13">
                  <c:v>-4.4350572402508053E-15</c:v>
                </c:pt>
                <c:pt idx="14">
                  <c:v>-6.0244433943531884E-15</c:v>
                </c:pt>
                <c:pt idx="15">
                  <c:v>-8.1720381205963225E-15</c:v>
                </c:pt>
                <c:pt idx="16">
                  <c:v>-1.1069793534344725E-14</c:v>
                </c:pt>
                <c:pt idx="17">
                  <c:v>-1.4974221819976573E-14</c:v>
                </c:pt>
                <c:pt idx="18">
                  <c:v>-2.0227608078126841E-14</c:v>
                </c:pt>
                <c:pt idx="19">
                  <c:v>-2.728602333591352E-14</c:v>
                </c:pt>
                <c:pt idx="20">
                  <c:v>-3.6756261276275722E-14</c:v>
                </c:pt>
                <c:pt idx="21">
                  <c:v>-4.9444467106591169E-14</c:v>
                </c:pt>
                <c:pt idx="22">
                  <c:v>-6.6420061887990218E-14</c:v>
                </c:pt>
                <c:pt idx="23">
                  <c:v>-8.9099644799565187E-14</c:v>
                </c:pt>
                <c:pt idx="24">
                  <c:v>-1.1935694835863763E-13</c:v>
                </c:pt>
                <c:pt idx="25">
                  <c:v>-1.5966671558358219E-13</c:v>
                </c:pt>
                <c:pt idx="26">
                  <c:v>-2.1329267533043477E-13</c:v>
                </c:pt>
                <c:pt idx="27">
                  <c:v>-2.8453275445561753E-13</c:v>
                </c:pt>
                <c:pt idx="28">
                  <c:v>-3.7903846272713554E-13</c:v>
                </c:pt>
                <c:pt idx="29">
                  <c:v>-5.0423024561727673E-13</c:v>
                </c:pt>
                <c:pt idx="30">
                  <c:v>-6.6983680776344878E-13</c:v>
                </c:pt>
                <c:pt idx="31">
                  <c:v>-8.8859432677387148E-13</c:v>
                </c:pt>
                <c:pt idx="32">
                  <c:v>-1.1771515566939819E-12</c:v>
                </c:pt>
                <c:pt idx="33">
                  <c:v>-1.557239631842611E-12</c:v>
                </c:pt>
                <c:pt idx="34">
                  <c:v>-2.0571816374564693E-12</c:v>
                </c:pt>
                <c:pt idx="35">
                  <c:v>-2.7138376043684651E-12</c:v>
                </c:pt>
                <c:pt idx="36">
                  <c:v>-3.5751066220929599E-12</c:v>
                </c:pt>
                <c:pt idx="37">
                  <c:v>-4.7031406320919187E-12</c:v>
                </c:pt>
                <c:pt idx="38">
                  <c:v>-6.1784658807231678E-12</c:v>
                </c:pt>
                <c:pt idx="39">
                  <c:v>-8.1052601132658935E-12</c:v>
                </c:pt>
                <c:pt idx="40">
                  <c:v>-1.0618099018529246E-11</c:v>
                </c:pt>
                <c:pt idx="41">
                  <c:v>-1.3890567452863057E-11</c:v>
                </c:pt>
                <c:pt idx="42">
                  <c:v>-1.8146233609843288E-11</c:v>
                </c:pt>
                <c:pt idx="43">
                  <c:v>-2.3672612514496082E-11</c:v>
                </c:pt>
                <c:pt idx="44">
                  <c:v>-3.083890509848587E-11</c:v>
                </c:pt>
                <c:pt idx="45">
                  <c:v>-4.0118498121936366E-11</c:v>
                </c:pt>
                <c:pt idx="46">
                  <c:v>-5.211745748508517E-11</c:v>
                </c:pt>
                <c:pt idx="47">
                  <c:v>-6.7610554176242368E-11</c:v>
                </c:pt>
                <c:pt idx="48">
                  <c:v>-8.7586741829158625E-11</c:v>
                </c:pt>
                <c:pt idx="49">
                  <c:v>-1.1330647415048601E-10</c:v>
                </c:pt>
                <c:pt idx="50">
                  <c:v>-1.4637382939828277E-10</c:v>
                </c:pt>
                <c:pt idx="51">
                  <c:v>-1.8882712195590147E-10</c:v>
                </c:pt>
                <c:pt idx="52">
                  <c:v>-2.432525572347092E-10</c:v>
                </c:pt>
                <c:pt idx="53">
                  <c:v>-3.1292656109157308E-10</c:v>
                </c:pt>
                <c:pt idx="54">
                  <c:v>-4.0199373131220308E-10</c:v>
                </c:pt>
                <c:pt idx="55">
                  <c:v>-5.1568896770689949E-10</c:v>
                </c:pt>
                <c:pt idx="56">
                  <c:v>-6.6061430036410142E-10</c:v>
                </c:pt>
                <c:pt idx="57">
                  <c:v>-8.4508332598971268E-10</c:v>
                </c:pt>
                <c:pt idx="58">
                  <c:v>-1.0795490675668884E-9</c:v>
                </c:pt>
                <c:pt idx="59">
                  <c:v>-1.3771345970001342E-9</c:v>
                </c:pt>
                <c:pt idx="60">
                  <c:v>-1.7542900277007713E-9</c:v>
                </c:pt>
                <c:pt idx="61">
                  <c:v>-2.2316046408395681E-9</c:v>
                </c:pt>
                <c:pt idx="62">
                  <c:v>-2.83480912853707E-9</c:v>
                </c:pt>
                <c:pt idx="63">
                  <c:v>-3.5960104239436837E-9</c:v>
                </c:pt>
                <c:pt idx="64">
                  <c:v>-4.5552105823879982E-9</c:v>
                </c:pt>
                <c:pt idx="65">
                  <c:v>-5.7621719616613945E-9</c:v>
                </c:pt>
                <c:pt idx="66">
                  <c:v>-7.2787038533055247E-9</c:v>
                </c:pt>
                <c:pt idx="67">
                  <c:v>-9.1814611260775283E-9</c:v>
                </c:pt>
                <c:pt idx="68">
                  <c:v>-1.1565363806660819E-8</c:v>
                </c:pt>
                <c:pt idx="69">
                  <c:v>-1.4547768362799697E-8</c:v>
                </c:pt>
                <c:pt idx="70">
                  <c:v>-1.8273547374640201E-8</c:v>
                </c:pt>
                <c:pt idx="71">
                  <c:v>-2.2921264979275717E-8</c:v>
                </c:pt>
                <c:pt idx="72">
                  <c:v>-2.8710671755596544E-8</c:v>
                </c:pt>
                <c:pt idx="73">
                  <c:v>-3.5911785505437363E-8</c:v>
                </c:pt>
                <c:pt idx="74">
                  <c:v>-4.4855874740969038E-8</c:v>
                </c:pt>
                <c:pt idx="75">
                  <c:v>-5.5948720815761308E-8</c:v>
                </c:pt>
                <c:pt idx="76">
                  <c:v>-6.9686603913718604E-8</c:v>
                </c:pt>
                <c:pt idx="77">
                  <c:v>-8.6675539097378266E-8</c:v>
                </c:pt>
                <c:pt idx="78">
                  <c:v>-1.0765438308069874E-7</c:v>
                </c:pt>
                <c:pt idx="79">
                  <c:v>-1.3352254232199381E-7</c:v>
                </c:pt>
                <c:pt idx="80">
                  <c:v>-1.6537314066591201E-7</c:v>
                </c:pt>
                <c:pt idx="81">
                  <c:v>-2.0453265260162411E-7</c:v>
                </c:pt>
                <c:pt idx="82">
                  <c:v>-2.5260817903733927E-7</c:v>
                </c:pt>
                <c:pt idx="83">
                  <c:v>-3.1154373941671163E-7</c:v>
                </c:pt>
                <c:pt idx="84">
                  <c:v>-3.8368718044608324E-7</c:v>
                </c:pt>
                <c:pt idx="85">
                  <c:v>-4.7186956143387611E-7</c:v>
                </c:pt>
                <c:pt idx="86">
                  <c:v>-5.7949917339709782E-7</c:v>
                </c:pt>
                <c:pt idx="87">
                  <c:v>-7.1067268817013891E-7</c:v>
                </c:pt>
                <c:pt idx="88">
                  <c:v>-8.7030631964429403E-7</c:v>
                </c:pt>
                <c:pt idx="89">
                  <c:v>-1.0642903172415774E-6</c:v>
                </c:pt>
                <c:pt idx="90">
                  <c:v>-1.2996706074301852E-6</c:v>
                </c:pt>
                <c:pt idx="91">
                  <c:v>-1.5848619585312384E-6</c:v>
                </c:pt>
                <c:pt idx="92">
                  <c:v>-1.9298976735968807E-6</c:v>
                </c:pt>
                <c:pt idx="93">
                  <c:v>-2.3467215224094204E-6</c:v>
                </c:pt>
                <c:pt idx="94">
                  <c:v>-2.8495284135627221E-6</c:v>
                </c:pt>
                <c:pt idx="95">
                  <c:v>-3.4551611882253537E-6</c:v>
                </c:pt>
                <c:pt idx="96">
                  <c:v>-4.1835718957298166E-6</c:v>
                </c:pt>
                <c:pt idx="97">
                  <c:v>-5.0583569947501631E-6</c:v>
                </c:pt>
                <c:pt idx="98">
                  <c:v>-6.1073771195393159E-6</c:v>
                </c:pt>
                <c:pt idx="99">
                  <c:v>-7.3634733652076295E-6</c:v>
                </c:pt>
                <c:pt idx="100">
                  <c:v>-8.8652934855479935E-6</c:v>
                </c:pt>
                <c:pt idx="101">
                  <c:v>-1.065824296694038E-5</c:v>
                </c:pt>
                <c:pt idx="102">
                  <c:v>-1.2795577646913713E-5</c:v>
                </c:pt>
                <c:pt idx="103">
                  <c:v>-1.5339656389248934E-5</c:v>
                </c:pt>
                <c:pt idx="104">
                  <c:v>-1.8363374310711692E-5</c:v>
                </c:pt>
                <c:pt idx="105">
                  <c:v>-2.1951799177273973E-5</c:v>
                </c:pt>
                <c:pt idx="106">
                  <c:v>-2.6204035847302074E-5</c:v>
                </c:pt>
                <c:pt idx="107">
                  <c:v>-3.1235346030094804E-5</c:v>
                </c:pt>
                <c:pt idx="108">
                  <c:v>-3.7179553141473351E-5</c:v>
                </c:pt>
                <c:pt idx="109">
                  <c:v>-4.4191764661114027E-5</c:v>
                </c:pt>
                <c:pt idx="110">
                  <c:v>-5.2451447111832479E-5</c:v>
                </c:pt>
                <c:pt idx="111">
                  <c:v>-6.2165891566927259E-5</c:v>
                </c:pt>
                <c:pt idx="112">
                  <c:v>-7.3574110420218525E-5</c:v>
                </c:pt>
                <c:pt idx="113">
                  <c:v>-8.6951208990589769E-5</c:v>
                </c:pt>
                <c:pt idx="114">
                  <c:v>-1.0261327833783219E-4</c:v>
                </c:pt>
                <c:pt idx="115">
                  <c:v>-1.2092285839109156E-4</c:v>
                </c:pt>
                <c:pt idx="116">
                  <c:v>-1.4229502307888884E-4</c:v>
                </c:pt>
                <c:pt idx="117">
                  <c:v>-1.6720414153558358E-4</c:v>
                </c:pt>
                <c:pt idx="118">
                  <c:v>-1.9619137156923026E-4</c:v>
                </c:pt>
                <c:pt idx="119">
                  <c:v>-2.2987294332657478E-4</c:v>
                </c:pt>
                <c:pt idx="120">
                  <c:v>-2.6894929238914283E-4</c:v>
                </c:pt>
                <c:pt idx="121">
                  <c:v>-3.1421510227684478E-4</c:v>
                </c:pt>
                <c:pt idx="122">
                  <c:v>-3.6657031640910788E-4</c:v>
                </c:pt>
                <c:pt idx="123">
                  <c:v>-4.2703217885549019E-4</c:v>
                </c:pt>
                <c:pt idx="124">
                  <c:v>-4.9674836156592811E-4</c:v>
                </c:pt>
                <c:pt idx="125">
                  <c:v>-5.770112330645053E-4</c:v>
                </c:pt>
                <c:pt idx="126">
                  <c:v>-6.6927331967167104E-4</c:v>
                </c:pt>
                <c:pt idx="127">
                  <c:v>-7.7516400503349766E-4</c:v>
                </c:pt>
                <c:pt idx="128">
                  <c:v>-8.9650750692354985E-4</c:v>
                </c:pt>
                <c:pt idx="129">
                  <c:v>-1.0353421617813187E-3</c:v>
                </c:pt>
                <c:pt idx="130">
                  <c:v>-1.1939410370986937E-3</c:v>
                </c:pt>
                <c:pt idx="131">
                  <c:v>-1.3748338794030753E-3</c:v>
                </c:pt>
                <c:pt idx="132">
                  <c:v>-1.5808303910586864E-3</c:v>
                </c:pt>
                <c:pt idx="133">
                  <c:v>-1.8150448122724499E-3</c:v>
                </c:pt>
                <c:pt idx="134">
                  <c:v>-2.0809217654169814E-3</c:v>
                </c:pt>
                <c:pt idx="135">
                  <c:v>-2.3822632969588324E-3</c:v>
                </c:pt>
                <c:pt idx="136">
                  <c:v>-2.7232570278163766E-3</c:v>
                </c:pt>
                <c:pt idx="137">
                  <c:v>-3.1085052958085158E-3</c:v>
                </c:pt>
                <c:pt idx="138">
                  <c:v>-3.5430551439667533E-3</c:v>
                </c:pt>
                <c:pt idx="139">
                  <c:v>-4.0324289758832867E-3</c:v>
                </c:pt>
                <c:pt idx="140">
                  <c:v>-4.5826556640172142E-3</c:v>
                </c:pt>
                <c:pt idx="141">
                  <c:v>-5.2003018590915271E-3</c:v>
                </c:pt>
                <c:pt idx="142">
                  <c:v>-5.8925032085569446E-3</c:v>
                </c:pt>
                <c:pt idx="143">
                  <c:v>-6.6669951498083265E-3</c:v>
                </c:pt>
                <c:pt idx="144">
                  <c:v>-7.5321428997205987E-3</c:v>
                </c:pt>
                <c:pt idx="145">
                  <c:v>-8.4969702165015679E-3</c:v>
                </c:pt>
                <c:pt idx="146">
                  <c:v>-9.5711864632962926E-3</c:v>
                </c:pt>
                <c:pt idx="147">
                  <c:v>-1.0765211455960945E-2</c:v>
                </c:pt>
                <c:pt idx="148">
                  <c:v>-1.2090197530577209E-2</c:v>
                </c:pt>
                <c:pt idx="149">
                  <c:v>-1.3558048220309975E-2</c:v>
                </c:pt>
                <c:pt idx="150">
                  <c:v>-1.5181432886915751E-2</c:v>
                </c:pt>
                <c:pt idx="151">
                  <c:v>-1.6973796610463793E-2</c:v>
                </c:pt>
                <c:pt idx="152">
                  <c:v>-1.8949364602592406E-2</c:v>
                </c:pt>
                <c:pt idx="153">
                  <c:v>-2.1123140374917613E-2</c:v>
                </c:pt>
                <c:pt idx="154">
                  <c:v>-2.3510896866134445E-2</c:v>
                </c:pt>
                <c:pt idx="155">
                  <c:v>-2.612915971005032E-2</c:v>
                </c:pt>
                <c:pt idx="156">
                  <c:v>-2.8995181813453251E-2</c:v>
                </c:pt>
                <c:pt idx="157">
                  <c:v>-3.2126908408560882E-2</c:v>
                </c:pt>
                <c:pt idx="158">
                  <c:v>-3.5542931751041805E-2</c:v>
                </c:pt>
                <c:pt idx="159">
                  <c:v>-3.926243465245853E-2</c:v>
                </c:pt>
                <c:pt idx="160">
                  <c:v>-4.3305122066626886E-2</c:v>
                </c:pt>
                <c:pt idx="161">
                  <c:v>-4.7691139993936642E-2</c:v>
                </c:pt>
                <c:pt idx="162">
                  <c:v>-5.2440981027158613E-2</c:v>
                </c:pt>
                <c:pt idx="163">
                  <c:v>-5.7575375937592752E-2</c:v>
                </c:pt>
                <c:pt idx="164">
                  <c:v>-6.3115170792356429E-2</c:v>
                </c:pt>
                <c:pt idx="165">
                  <c:v>-6.9081189202768081E-2</c:v>
                </c:pt>
                <c:pt idx="166">
                  <c:v>-7.5494079430541983E-2</c:v>
                </c:pt>
                <c:pt idx="167">
                  <c:v>-8.2374146223023442E-2</c:v>
                </c:pt>
                <c:pt idx="168">
                  <c:v>-8.9741167410856942E-2</c:v>
                </c:pt>
                <c:pt idx="169">
                  <c:v>-9.7614195480886887E-2</c:v>
                </c:pt>
                <c:pt idx="170">
                  <c:v>-0.10601134453302175</c:v>
                </c:pt>
                <c:pt idx="171">
                  <c:v>-0.11494956324119149</c:v>
                </c:pt>
                <c:pt idx="172">
                  <c:v>-0.12444439466397755</c:v>
                </c:pt>
                <c:pt idx="173">
                  <c:v>-0.13450972398821043</c:v>
                </c:pt>
                <c:pt idx="174">
                  <c:v>-0.14515751553664358</c:v>
                </c:pt>
                <c:pt idx="175">
                  <c:v>-0.15639754062619027</c:v>
                </c:pt>
                <c:pt idx="176">
                  <c:v>-0.16823709812322529</c:v>
                </c:pt>
                <c:pt idx="177">
                  <c:v>-0.18068072980383879</c:v>
                </c:pt>
                <c:pt idx="178">
                  <c:v>-0.19372993288606474</c:v>
                </c:pt>
                <c:pt idx="179">
                  <c:v>-0.20738287235406655</c:v>
                </c:pt>
                <c:pt idx="180">
                  <c:v>-0.22163409593685704</c:v>
                </c:pt>
                <c:pt idx="181">
                  <c:v>-0.23647425483192813</c:v>
                </c:pt>
                <c:pt idx="182">
                  <c:v>-0.25188983347259086</c:v>
                </c:pt>
                <c:pt idx="183">
                  <c:v>-0.26786289182216827</c:v>
                </c:pt>
                <c:pt idx="184">
                  <c:v>-0.28437082383372558</c:v>
                </c:pt>
                <c:pt idx="185">
                  <c:v>-0.3013861358360681</c:v>
                </c:pt>
                <c:pt idx="186">
                  <c:v>-0.31887624869072723</c:v>
                </c:pt>
                <c:pt idx="187">
                  <c:v>-0.33680332760625303</c:v>
                </c:pt>
                <c:pt idx="188">
                  <c:v>-0.35512414349128868</c:v>
                </c:pt>
                <c:pt idx="189">
                  <c:v>-0.37378996967299299</c:v>
                </c:pt>
                <c:pt idx="190">
                  <c:v>-0.39274651769926383</c:v>
                </c:pt>
                <c:pt idx="191">
                  <c:v>-0.41193391577933247</c:v>
                </c:pt>
                <c:pt idx="192">
                  <c:v>-0.43128673319579525</c:v>
                </c:pt>
                <c:pt idx="193">
                  <c:v>-0.4507340537408881</c:v>
                </c:pt>
                <c:pt idx="194">
                  <c:v>-0.47019960089052976</c:v>
                </c:pt>
                <c:pt idx="195">
                  <c:v>-0.48960191703196382</c:v>
                </c:pt>
                <c:pt idx="196">
                  <c:v>-0.50885459860630911</c:v>
                </c:pt>
                <c:pt idx="197">
                  <c:v>-0.52786658851853596</c:v>
                </c:pt>
                <c:pt idx="198">
                  <c:v>-0.5465425266079017</c:v>
                </c:pt>
                <c:pt idx="199">
                  <c:v>-0.56478315836633275</c:v>
                </c:pt>
                <c:pt idx="200">
                  <c:v>-0.58248580144620965</c:v>
                </c:pt>
                <c:pt idx="201">
                  <c:v>-0.59954486881913382</c:v>
                </c:pt>
                <c:pt idx="202">
                  <c:v>-0.61585244674103978</c:v>
                </c:pt>
                <c:pt idx="203">
                  <c:v>-0.63129892495485074</c:v>
                </c:pt>
                <c:pt idx="204">
                  <c:v>-0.64577367582892653</c:v>
                </c:pt>
                <c:pt idx="205">
                  <c:v>-0.65916577839763169</c:v>
                </c:pt>
                <c:pt idx="206">
                  <c:v>-0.67136478254981002</c:v>
                </c:pt>
                <c:pt idx="207">
                  <c:v>-0.68226150791249762</c:v>
                </c:pt>
                <c:pt idx="208">
                  <c:v>-0.69174887131184248</c:v>
                </c:pt>
                <c:pt idx="209">
                  <c:v>-0.69972273607187141</c:v>
                </c:pt>
                <c:pt idx="210">
                  <c:v>-0.7060827758453796</c:v>
                </c:pt>
                <c:pt idx="211">
                  <c:v>-0.71073334517034892</c:v>
                </c:pt>
                <c:pt idx="212">
                  <c:v>-0.71358434851996055</c:v>
                </c:pt>
                <c:pt idx="213">
                  <c:v>-0.71455209927381746</c:v>
                </c:pt>
                <c:pt idx="214">
                  <c:v>-0.71356015979085718</c:v>
                </c:pt>
                <c:pt idx="215">
                  <c:v>-0.71054015361798906</c:v>
                </c:pt>
                <c:pt idx="216">
                  <c:v>-0.70543254082885642</c:v>
                </c:pt>
                <c:pt idx="217">
                  <c:v>-0.69818734755904932</c:v>
                </c:pt>
                <c:pt idx="218">
                  <c:v>-0.68876484099075286</c:v>
                </c:pt>
                <c:pt idx="219">
                  <c:v>-0.67713614134279643</c:v>
                </c:pt>
                <c:pt idx="220">
                  <c:v>-0.66328376284118618</c:v>
                </c:pt>
                <c:pt idx="221">
                  <c:v>-0.6472020761785291</c:v>
                </c:pt>
                <c:pt idx="222">
                  <c:v>-0.62889768561450365</c:v>
                </c:pt>
                <c:pt idx="223">
                  <c:v>-0.60838971461816949</c:v>
                </c:pt>
                <c:pt idx="224">
                  <c:v>-0.58570999479907837</c:v>
                </c:pt>
                <c:pt idx="225">
                  <c:v>-0.56090315380882527</c:v>
                </c:pt>
                <c:pt idx="226">
                  <c:v>-0.53402659890725146</c:v>
                </c:pt>
                <c:pt idx="227">
                  <c:v>-0.5051503939658688</c:v>
                </c:pt>
                <c:pt idx="228">
                  <c:v>-0.47435702881186198</c:v>
                </c:pt>
                <c:pt idx="229">
                  <c:v>-0.44174108098474185</c:v>
                </c:pt>
                <c:pt idx="230">
                  <c:v>-0.40740877116899626</c:v>
                </c:pt>
                <c:pt idx="231">
                  <c:v>-0.37147741476389962</c:v>
                </c:pt>
                <c:pt idx="232">
                  <c:v>-0.33407477323956886</c:v>
                </c:pt>
                <c:pt idx="233">
                  <c:v>-0.2953383100898328</c:v>
                </c:pt>
                <c:pt idx="234">
                  <c:v>-0.25541435731110484</c:v>
                </c:pt>
                <c:pt idx="235">
                  <c:v>-0.21445719939620131</c:v>
                </c:pt>
                <c:pt idx="236">
                  <c:v>-0.17262808281760933</c:v>
                </c:pt>
                <c:pt idx="237">
                  <c:v>-0.13009415987169481</c:v>
                </c:pt>
                <c:pt idx="238">
                  <c:v>-8.7027376550568553E-2</c:v>
                </c:pt>
                <c:pt idx="239">
                  <c:v>-4.3603314790026243E-2</c:v>
                </c:pt>
                <c:pt idx="240">
                  <c:v>0</c:v>
                </c:pt>
                <c:pt idx="241">
                  <c:v>4.3603314790026243E-2</c:v>
                </c:pt>
                <c:pt idx="242">
                  <c:v>8.7027376550568553E-2</c:v>
                </c:pt>
                <c:pt idx="243">
                  <c:v>0.13009415987169481</c:v>
                </c:pt>
                <c:pt idx="244">
                  <c:v>0.17262808281760933</c:v>
                </c:pt>
                <c:pt idx="245">
                  <c:v>0.21445719939620131</c:v>
                </c:pt>
                <c:pt idx="246">
                  <c:v>0.25541435731110484</c:v>
                </c:pt>
                <c:pt idx="247">
                  <c:v>0.2953383100898328</c:v>
                </c:pt>
                <c:pt idx="248">
                  <c:v>0.33407477323956886</c:v>
                </c:pt>
                <c:pt idx="249">
                  <c:v>0.37147741476389962</c:v>
                </c:pt>
                <c:pt idx="250">
                  <c:v>0.40740877116899626</c:v>
                </c:pt>
                <c:pt idx="251">
                  <c:v>0.44174108098474185</c:v>
                </c:pt>
                <c:pt idx="252">
                  <c:v>0.47435702881186198</c:v>
                </c:pt>
                <c:pt idx="253">
                  <c:v>0.5051503939658688</c:v>
                </c:pt>
                <c:pt idx="254">
                  <c:v>0.53402659890725146</c:v>
                </c:pt>
                <c:pt idx="255">
                  <c:v>0.56090315380882527</c:v>
                </c:pt>
                <c:pt idx="256">
                  <c:v>0.58570999479907837</c:v>
                </c:pt>
                <c:pt idx="257">
                  <c:v>0.60838971461816949</c:v>
                </c:pt>
                <c:pt idx="258">
                  <c:v>0.62889768561450365</c:v>
                </c:pt>
                <c:pt idx="259">
                  <c:v>0.6472020761785291</c:v>
                </c:pt>
                <c:pt idx="260">
                  <c:v>0.66328376284118618</c:v>
                </c:pt>
                <c:pt idx="261">
                  <c:v>0.67713614134279643</c:v>
                </c:pt>
                <c:pt idx="262">
                  <c:v>0.68876484099075286</c:v>
                </c:pt>
                <c:pt idx="263">
                  <c:v>0.69818734755904932</c:v>
                </c:pt>
                <c:pt idx="264">
                  <c:v>0.70543254082885642</c:v>
                </c:pt>
                <c:pt idx="265">
                  <c:v>0.71054015361798906</c:v>
                </c:pt>
                <c:pt idx="266">
                  <c:v>0.71356015979085718</c:v>
                </c:pt>
                <c:pt idx="267">
                  <c:v>0.71455209927381746</c:v>
                </c:pt>
                <c:pt idx="268">
                  <c:v>0.71358434851996055</c:v>
                </c:pt>
                <c:pt idx="269">
                  <c:v>0.71073334517034892</c:v>
                </c:pt>
                <c:pt idx="270">
                  <c:v>0.7060827758453796</c:v>
                </c:pt>
                <c:pt idx="271">
                  <c:v>0.69972273607187141</c:v>
                </c:pt>
                <c:pt idx="272">
                  <c:v>0.69174887131184248</c:v>
                </c:pt>
                <c:pt idx="273">
                  <c:v>0.68226150791249762</c:v>
                </c:pt>
                <c:pt idx="274">
                  <c:v>0.67136478254981002</c:v>
                </c:pt>
                <c:pt idx="275">
                  <c:v>0.65916577839763169</c:v>
                </c:pt>
                <c:pt idx="276">
                  <c:v>0.64577367582892653</c:v>
                </c:pt>
                <c:pt idx="277">
                  <c:v>0.63129892495485074</c:v>
                </c:pt>
                <c:pt idx="278">
                  <c:v>0.61585244674103978</c:v>
                </c:pt>
                <c:pt idx="279">
                  <c:v>0.59954486881913382</c:v>
                </c:pt>
                <c:pt idx="280">
                  <c:v>0.58248580144620965</c:v>
                </c:pt>
                <c:pt idx="281">
                  <c:v>0.56478315836633275</c:v>
                </c:pt>
                <c:pt idx="282">
                  <c:v>0.5465425266079017</c:v>
                </c:pt>
                <c:pt idx="283">
                  <c:v>0.52786658851853596</c:v>
                </c:pt>
                <c:pt idx="284">
                  <c:v>0.50885459860630911</c:v>
                </c:pt>
                <c:pt idx="285">
                  <c:v>0.48960191703196382</c:v>
                </c:pt>
                <c:pt idx="286">
                  <c:v>0.47019960089052976</c:v>
                </c:pt>
                <c:pt idx="287">
                  <c:v>0.4507340537408881</c:v>
                </c:pt>
                <c:pt idx="288">
                  <c:v>0.43128673319579525</c:v>
                </c:pt>
                <c:pt idx="289">
                  <c:v>0.41193391577933247</c:v>
                </c:pt>
                <c:pt idx="290">
                  <c:v>0.39274651769926383</c:v>
                </c:pt>
                <c:pt idx="291">
                  <c:v>0.37378996967299299</c:v>
                </c:pt>
                <c:pt idx="292">
                  <c:v>0.35512414349128868</c:v>
                </c:pt>
                <c:pt idx="293">
                  <c:v>0.33680332760625303</c:v>
                </c:pt>
                <c:pt idx="294">
                  <c:v>0.31887624869072723</c:v>
                </c:pt>
                <c:pt idx="295">
                  <c:v>0.3013861358360681</c:v>
                </c:pt>
                <c:pt idx="296">
                  <c:v>0.28437082383372558</c:v>
                </c:pt>
                <c:pt idx="297">
                  <c:v>0.26786289182216827</c:v>
                </c:pt>
                <c:pt idx="298">
                  <c:v>0.25188983347259086</c:v>
                </c:pt>
                <c:pt idx="299">
                  <c:v>0.23647425483192813</c:v>
                </c:pt>
                <c:pt idx="300">
                  <c:v>0.22163409593685704</c:v>
                </c:pt>
                <c:pt idx="301">
                  <c:v>0.20738287235406655</c:v>
                </c:pt>
                <c:pt idx="302">
                  <c:v>0.19372993288606474</c:v>
                </c:pt>
                <c:pt idx="303">
                  <c:v>0.18068072980383879</c:v>
                </c:pt>
                <c:pt idx="304">
                  <c:v>0.16823709812322529</c:v>
                </c:pt>
                <c:pt idx="305">
                  <c:v>0.15639754062619027</c:v>
                </c:pt>
                <c:pt idx="306">
                  <c:v>0.14515751553664358</c:v>
                </c:pt>
                <c:pt idx="307">
                  <c:v>0.13450972398821043</c:v>
                </c:pt>
                <c:pt idx="308">
                  <c:v>0.12444439466397755</c:v>
                </c:pt>
                <c:pt idx="309">
                  <c:v>0.11494956324119149</c:v>
                </c:pt>
                <c:pt idx="310">
                  <c:v>0.10601134453302175</c:v>
                </c:pt>
                <c:pt idx="311">
                  <c:v>9.7614195480886887E-2</c:v>
                </c:pt>
                <c:pt idx="312">
                  <c:v>8.9741167410856942E-2</c:v>
                </c:pt>
                <c:pt idx="313">
                  <c:v>8.2374146223023442E-2</c:v>
                </c:pt>
                <c:pt idx="314">
                  <c:v>7.5494079430541983E-2</c:v>
                </c:pt>
                <c:pt idx="315">
                  <c:v>6.9081189202768081E-2</c:v>
                </c:pt>
                <c:pt idx="316">
                  <c:v>6.3115170792356429E-2</c:v>
                </c:pt>
                <c:pt idx="317">
                  <c:v>5.7575375937592752E-2</c:v>
                </c:pt>
                <c:pt idx="318">
                  <c:v>5.2440981027158613E-2</c:v>
                </c:pt>
                <c:pt idx="319">
                  <c:v>4.7691139993936642E-2</c:v>
                </c:pt>
                <c:pt idx="320">
                  <c:v>4.3305122066626886E-2</c:v>
                </c:pt>
                <c:pt idx="321">
                  <c:v>3.926243465245853E-2</c:v>
                </c:pt>
                <c:pt idx="322">
                  <c:v>3.5542931751041805E-2</c:v>
                </c:pt>
                <c:pt idx="323">
                  <c:v>3.2126908408560882E-2</c:v>
                </c:pt>
                <c:pt idx="324">
                  <c:v>2.8995181813453251E-2</c:v>
                </c:pt>
                <c:pt idx="325">
                  <c:v>2.612915971005032E-2</c:v>
                </c:pt>
                <c:pt idx="326">
                  <c:v>2.3510896866134445E-2</c:v>
                </c:pt>
                <c:pt idx="327">
                  <c:v>2.1123140374917613E-2</c:v>
                </c:pt>
                <c:pt idx="328">
                  <c:v>1.8949364602592406E-2</c:v>
                </c:pt>
                <c:pt idx="329">
                  <c:v>1.6973796610463793E-2</c:v>
                </c:pt>
                <c:pt idx="330">
                  <c:v>1.5181432886915751E-2</c:v>
                </c:pt>
                <c:pt idx="331">
                  <c:v>1.3558048220309975E-2</c:v>
                </c:pt>
                <c:pt idx="332">
                  <c:v>1.2090197530577209E-2</c:v>
                </c:pt>
                <c:pt idx="333">
                  <c:v>1.0765211455960945E-2</c:v>
                </c:pt>
                <c:pt idx="334">
                  <c:v>9.5711864632962926E-3</c:v>
                </c:pt>
                <c:pt idx="335">
                  <c:v>8.4969702165015679E-3</c:v>
                </c:pt>
                <c:pt idx="336">
                  <c:v>7.5321428997205987E-3</c:v>
                </c:pt>
                <c:pt idx="337">
                  <c:v>6.6669951498083265E-3</c:v>
                </c:pt>
                <c:pt idx="338">
                  <c:v>5.8925032085569446E-3</c:v>
                </c:pt>
                <c:pt idx="339">
                  <c:v>5.2003018590915271E-3</c:v>
                </c:pt>
                <c:pt idx="340">
                  <c:v>4.5826556640172142E-3</c:v>
                </c:pt>
                <c:pt idx="341">
                  <c:v>4.0324289758832867E-3</c:v>
                </c:pt>
                <c:pt idx="342">
                  <c:v>3.5430551439667533E-3</c:v>
                </c:pt>
                <c:pt idx="343">
                  <c:v>3.1085052958085158E-3</c:v>
                </c:pt>
                <c:pt idx="344">
                  <c:v>2.7232570278163766E-3</c:v>
                </c:pt>
                <c:pt idx="345">
                  <c:v>2.3822632969588324E-3</c:v>
                </c:pt>
                <c:pt idx="346">
                  <c:v>2.0809217654169814E-3</c:v>
                </c:pt>
                <c:pt idx="347">
                  <c:v>1.8150448122724499E-3</c:v>
                </c:pt>
                <c:pt idx="348">
                  <c:v>1.5808303910586864E-3</c:v>
                </c:pt>
                <c:pt idx="349">
                  <c:v>1.3748338794030753E-3</c:v>
                </c:pt>
                <c:pt idx="350">
                  <c:v>1.1939410370986937E-3</c:v>
                </c:pt>
                <c:pt idx="351">
                  <c:v>1.0353421617813187E-3</c:v>
                </c:pt>
                <c:pt idx="352">
                  <c:v>8.9650750692354985E-4</c:v>
                </c:pt>
                <c:pt idx="353">
                  <c:v>7.7516400503349766E-4</c:v>
                </c:pt>
                <c:pt idx="354">
                  <c:v>6.6927331967167104E-4</c:v>
                </c:pt>
                <c:pt idx="355">
                  <c:v>5.770112330645053E-4</c:v>
                </c:pt>
                <c:pt idx="356">
                  <c:v>4.9674836156592811E-4</c:v>
                </c:pt>
                <c:pt idx="357">
                  <c:v>4.2703217885549019E-4</c:v>
                </c:pt>
                <c:pt idx="358">
                  <c:v>3.6657031640910788E-4</c:v>
                </c:pt>
                <c:pt idx="359">
                  <c:v>3.1421510227684478E-4</c:v>
                </c:pt>
                <c:pt idx="360">
                  <c:v>2.6894929238914283E-4</c:v>
                </c:pt>
                <c:pt idx="361">
                  <c:v>2.2987294332657478E-4</c:v>
                </c:pt>
                <c:pt idx="362">
                  <c:v>1.9619137156923026E-4</c:v>
                </c:pt>
                <c:pt idx="363">
                  <c:v>1.6720414153558358E-4</c:v>
                </c:pt>
                <c:pt idx="364">
                  <c:v>1.4229502307888884E-4</c:v>
                </c:pt>
                <c:pt idx="365">
                  <c:v>1.2092285839109156E-4</c:v>
                </c:pt>
                <c:pt idx="366">
                  <c:v>1.0261327833783219E-4</c:v>
                </c:pt>
                <c:pt idx="367">
                  <c:v>8.6951208990589769E-5</c:v>
                </c:pt>
                <c:pt idx="368">
                  <c:v>7.3574110420218525E-5</c:v>
                </c:pt>
                <c:pt idx="369">
                  <c:v>6.2165891566927259E-5</c:v>
                </c:pt>
                <c:pt idx="370">
                  <c:v>5.2451447111832479E-5</c:v>
                </c:pt>
                <c:pt idx="371">
                  <c:v>4.4191764661114027E-5</c:v>
                </c:pt>
                <c:pt idx="372">
                  <c:v>3.7179553141473351E-5</c:v>
                </c:pt>
                <c:pt idx="373">
                  <c:v>3.1235346030094804E-5</c:v>
                </c:pt>
                <c:pt idx="374">
                  <c:v>2.6204035847302074E-5</c:v>
                </c:pt>
                <c:pt idx="375">
                  <c:v>2.1951799177273973E-5</c:v>
                </c:pt>
                <c:pt idx="376">
                  <c:v>1.8363374310711692E-5</c:v>
                </c:pt>
                <c:pt idx="377">
                  <c:v>1.5339656389248934E-5</c:v>
                </c:pt>
                <c:pt idx="378">
                  <c:v>1.2795577646913713E-5</c:v>
                </c:pt>
                <c:pt idx="379">
                  <c:v>1.065824296694038E-5</c:v>
                </c:pt>
                <c:pt idx="380">
                  <c:v>8.8652934855479935E-6</c:v>
                </c:pt>
                <c:pt idx="381">
                  <c:v>7.3634733652076295E-6</c:v>
                </c:pt>
                <c:pt idx="382">
                  <c:v>6.1073771195393159E-6</c:v>
                </c:pt>
                <c:pt idx="383">
                  <c:v>5.0583569947501631E-6</c:v>
                </c:pt>
                <c:pt idx="384">
                  <c:v>4.1835718957298166E-6</c:v>
                </c:pt>
                <c:pt idx="385">
                  <c:v>3.4551611882253537E-6</c:v>
                </c:pt>
                <c:pt idx="386">
                  <c:v>2.8495284135627221E-6</c:v>
                </c:pt>
                <c:pt idx="387">
                  <c:v>2.3467215224094204E-6</c:v>
                </c:pt>
                <c:pt idx="388">
                  <c:v>1.9298976735968807E-6</c:v>
                </c:pt>
                <c:pt idx="389">
                  <c:v>1.5848619585312384E-6</c:v>
                </c:pt>
                <c:pt idx="390">
                  <c:v>1.2996706074301852E-6</c:v>
                </c:pt>
                <c:pt idx="391">
                  <c:v>1.0642903172415774E-6</c:v>
                </c:pt>
                <c:pt idx="392">
                  <c:v>8.7030631964429403E-7</c:v>
                </c:pt>
                <c:pt idx="393">
                  <c:v>7.1067268817013891E-7</c:v>
                </c:pt>
                <c:pt idx="394">
                  <c:v>5.7949917339709782E-7</c:v>
                </c:pt>
                <c:pt idx="395">
                  <c:v>4.7186956143387611E-7</c:v>
                </c:pt>
                <c:pt idx="396">
                  <c:v>3.8368718044608324E-7</c:v>
                </c:pt>
                <c:pt idx="397">
                  <c:v>3.1154373941671163E-7</c:v>
                </c:pt>
                <c:pt idx="398">
                  <c:v>2.5260817903733927E-7</c:v>
                </c:pt>
                <c:pt idx="399">
                  <c:v>2.0453265260162411E-7</c:v>
                </c:pt>
                <c:pt idx="400">
                  <c:v>1.6537314066591201E-7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5C-472E-BB58-BD413582DD90}"/>
            </c:ext>
          </c:extLst>
        </c:ser>
        <c:ser>
          <c:idx val="1"/>
          <c:order val="1"/>
          <c:tx>
            <c:strRef>
              <c:f>'transversal subsidence profile'!$D$8</c:f>
              <c:strCache>
                <c:ptCount val="1"/>
                <c:pt idx="0">
                  <c:v>Tunnel B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'transversal subsidence profile'!$G$10:$G$410</c:f>
              <c:numCache>
                <c:formatCode>General</c:formatCode>
                <c:ptCount val="401"/>
                <c:pt idx="0">
                  <c:v>-60</c:v>
                </c:pt>
                <c:pt idx="1">
                  <c:v>-59.75</c:v>
                </c:pt>
                <c:pt idx="2">
                  <c:v>-59.5</c:v>
                </c:pt>
                <c:pt idx="3">
                  <c:v>-59.25</c:v>
                </c:pt>
                <c:pt idx="4">
                  <c:v>-59</c:v>
                </c:pt>
                <c:pt idx="5">
                  <c:v>-58.75</c:v>
                </c:pt>
                <c:pt idx="6">
                  <c:v>-58.5</c:v>
                </c:pt>
                <c:pt idx="7">
                  <c:v>-58.25</c:v>
                </c:pt>
                <c:pt idx="8">
                  <c:v>-58</c:v>
                </c:pt>
                <c:pt idx="9">
                  <c:v>-57.75</c:v>
                </c:pt>
                <c:pt idx="10">
                  <c:v>-57.5</c:v>
                </c:pt>
                <c:pt idx="11">
                  <c:v>-57.25</c:v>
                </c:pt>
                <c:pt idx="12">
                  <c:v>-57</c:v>
                </c:pt>
                <c:pt idx="13">
                  <c:v>-56.75</c:v>
                </c:pt>
                <c:pt idx="14">
                  <c:v>-56.5</c:v>
                </c:pt>
                <c:pt idx="15">
                  <c:v>-56.25</c:v>
                </c:pt>
                <c:pt idx="16">
                  <c:v>-56</c:v>
                </c:pt>
                <c:pt idx="17">
                  <c:v>-55.75</c:v>
                </c:pt>
                <c:pt idx="18">
                  <c:v>-55.5</c:v>
                </c:pt>
                <c:pt idx="19">
                  <c:v>-55.25</c:v>
                </c:pt>
                <c:pt idx="20">
                  <c:v>-55</c:v>
                </c:pt>
                <c:pt idx="21">
                  <c:v>-54.75</c:v>
                </c:pt>
                <c:pt idx="22">
                  <c:v>-54.5</c:v>
                </c:pt>
                <c:pt idx="23">
                  <c:v>-54.25</c:v>
                </c:pt>
                <c:pt idx="24">
                  <c:v>-54</c:v>
                </c:pt>
                <c:pt idx="25">
                  <c:v>-53.75</c:v>
                </c:pt>
                <c:pt idx="26">
                  <c:v>-53.5</c:v>
                </c:pt>
                <c:pt idx="27">
                  <c:v>-53.25</c:v>
                </c:pt>
                <c:pt idx="28">
                  <c:v>-53</c:v>
                </c:pt>
                <c:pt idx="29">
                  <c:v>-52.75</c:v>
                </c:pt>
                <c:pt idx="30">
                  <c:v>-52.5</c:v>
                </c:pt>
                <c:pt idx="31">
                  <c:v>-52.25</c:v>
                </c:pt>
                <c:pt idx="32">
                  <c:v>-52</c:v>
                </c:pt>
                <c:pt idx="33">
                  <c:v>-51.75</c:v>
                </c:pt>
                <c:pt idx="34">
                  <c:v>-51.5</c:v>
                </c:pt>
                <c:pt idx="35">
                  <c:v>-51.25</c:v>
                </c:pt>
                <c:pt idx="36">
                  <c:v>-51</c:v>
                </c:pt>
                <c:pt idx="37">
                  <c:v>-50.75</c:v>
                </c:pt>
                <c:pt idx="38">
                  <c:v>-50.5</c:v>
                </c:pt>
                <c:pt idx="39">
                  <c:v>-50.25</c:v>
                </c:pt>
                <c:pt idx="40">
                  <c:v>-50</c:v>
                </c:pt>
                <c:pt idx="41">
                  <c:v>-49.75</c:v>
                </c:pt>
                <c:pt idx="42">
                  <c:v>-49.5</c:v>
                </c:pt>
                <c:pt idx="43">
                  <c:v>-49.25</c:v>
                </c:pt>
                <c:pt idx="44">
                  <c:v>-49</c:v>
                </c:pt>
                <c:pt idx="45">
                  <c:v>-48.75</c:v>
                </c:pt>
                <c:pt idx="46">
                  <c:v>-48.5</c:v>
                </c:pt>
                <c:pt idx="47">
                  <c:v>-48.25</c:v>
                </c:pt>
                <c:pt idx="48">
                  <c:v>-48</c:v>
                </c:pt>
                <c:pt idx="49">
                  <c:v>-47.75</c:v>
                </c:pt>
                <c:pt idx="50">
                  <c:v>-47.5</c:v>
                </c:pt>
                <c:pt idx="51">
                  <c:v>-47.25</c:v>
                </c:pt>
                <c:pt idx="52">
                  <c:v>-47</c:v>
                </c:pt>
                <c:pt idx="53">
                  <c:v>-46.75</c:v>
                </c:pt>
                <c:pt idx="54">
                  <c:v>-46.5</c:v>
                </c:pt>
                <c:pt idx="55">
                  <c:v>-46.25</c:v>
                </c:pt>
                <c:pt idx="56">
                  <c:v>-46</c:v>
                </c:pt>
                <c:pt idx="57">
                  <c:v>-45.75</c:v>
                </c:pt>
                <c:pt idx="58">
                  <c:v>-45.5</c:v>
                </c:pt>
                <c:pt idx="59">
                  <c:v>-45.25</c:v>
                </c:pt>
                <c:pt idx="60">
                  <c:v>-45</c:v>
                </c:pt>
                <c:pt idx="61">
                  <c:v>-44.75</c:v>
                </c:pt>
                <c:pt idx="62">
                  <c:v>-44.5</c:v>
                </c:pt>
                <c:pt idx="63">
                  <c:v>-44.25</c:v>
                </c:pt>
                <c:pt idx="64">
                  <c:v>-44</c:v>
                </c:pt>
                <c:pt idx="65">
                  <c:v>-43.75</c:v>
                </c:pt>
                <c:pt idx="66">
                  <c:v>-43.5</c:v>
                </c:pt>
                <c:pt idx="67">
                  <c:v>-43.25</c:v>
                </c:pt>
                <c:pt idx="68">
                  <c:v>-43</c:v>
                </c:pt>
                <c:pt idx="69">
                  <c:v>-42.75</c:v>
                </c:pt>
                <c:pt idx="70">
                  <c:v>-42.5</c:v>
                </c:pt>
                <c:pt idx="71">
                  <c:v>-42.25</c:v>
                </c:pt>
                <c:pt idx="72">
                  <c:v>-42</c:v>
                </c:pt>
                <c:pt idx="73">
                  <c:v>-41.75</c:v>
                </c:pt>
                <c:pt idx="74">
                  <c:v>-41.5</c:v>
                </c:pt>
                <c:pt idx="75">
                  <c:v>-41.25</c:v>
                </c:pt>
                <c:pt idx="76">
                  <c:v>-41</c:v>
                </c:pt>
                <c:pt idx="77">
                  <c:v>-40.75</c:v>
                </c:pt>
                <c:pt idx="78">
                  <c:v>-40.5</c:v>
                </c:pt>
                <c:pt idx="79">
                  <c:v>-40.25</c:v>
                </c:pt>
                <c:pt idx="80">
                  <c:v>-40</c:v>
                </c:pt>
                <c:pt idx="81">
                  <c:v>-39.75</c:v>
                </c:pt>
                <c:pt idx="82">
                  <c:v>-39.5</c:v>
                </c:pt>
                <c:pt idx="83">
                  <c:v>-39.25</c:v>
                </c:pt>
                <c:pt idx="84">
                  <c:v>-39</c:v>
                </c:pt>
                <c:pt idx="85">
                  <c:v>-38.75</c:v>
                </c:pt>
                <c:pt idx="86">
                  <c:v>-38.5</c:v>
                </c:pt>
                <c:pt idx="87">
                  <c:v>-38.25</c:v>
                </c:pt>
                <c:pt idx="88">
                  <c:v>-38</c:v>
                </c:pt>
                <c:pt idx="89">
                  <c:v>-37.75</c:v>
                </c:pt>
                <c:pt idx="90">
                  <c:v>-37.5</c:v>
                </c:pt>
                <c:pt idx="91">
                  <c:v>-37.25</c:v>
                </c:pt>
                <c:pt idx="92">
                  <c:v>-37</c:v>
                </c:pt>
                <c:pt idx="93">
                  <c:v>-36.75</c:v>
                </c:pt>
                <c:pt idx="94">
                  <c:v>-36.5</c:v>
                </c:pt>
                <c:pt idx="95">
                  <c:v>-36.25</c:v>
                </c:pt>
                <c:pt idx="96">
                  <c:v>-36</c:v>
                </c:pt>
                <c:pt idx="97">
                  <c:v>-35.75</c:v>
                </c:pt>
                <c:pt idx="98">
                  <c:v>-35.5</c:v>
                </c:pt>
                <c:pt idx="99">
                  <c:v>-35.25</c:v>
                </c:pt>
                <c:pt idx="100">
                  <c:v>-35</c:v>
                </c:pt>
                <c:pt idx="101">
                  <c:v>-34.75</c:v>
                </c:pt>
                <c:pt idx="102">
                  <c:v>-34.5</c:v>
                </c:pt>
                <c:pt idx="103">
                  <c:v>-34.25</c:v>
                </c:pt>
                <c:pt idx="104">
                  <c:v>-34</c:v>
                </c:pt>
                <c:pt idx="105">
                  <c:v>-33.75</c:v>
                </c:pt>
                <c:pt idx="106">
                  <c:v>-33.5</c:v>
                </c:pt>
                <c:pt idx="107">
                  <c:v>-33.25</c:v>
                </c:pt>
                <c:pt idx="108">
                  <c:v>-33</c:v>
                </c:pt>
                <c:pt idx="109">
                  <c:v>-32.75</c:v>
                </c:pt>
                <c:pt idx="110">
                  <c:v>-32.5</c:v>
                </c:pt>
                <c:pt idx="111">
                  <c:v>-32.25</c:v>
                </c:pt>
                <c:pt idx="112">
                  <c:v>-32</c:v>
                </c:pt>
                <c:pt idx="113">
                  <c:v>-31.75</c:v>
                </c:pt>
                <c:pt idx="114">
                  <c:v>-31.5</c:v>
                </c:pt>
                <c:pt idx="115">
                  <c:v>-31.25</c:v>
                </c:pt>
                <c:pt idx="116">
                  <c:v>-31</c:v>
                </c:pt>
                <c:pt idx="117">
                  <c:v>-30.75</c:v>
                </c:pt>
                <c:pt idx="118">
                  <c:v>-30.5</c:v>
                </c:pt>
                <c:pt idx="119">
                  <c:v>-30.25</c:v>
                </c:pt>
                <c:pt idx="120">
                  <c:v>-30</c:v>
                </c:pt>
                <c:pt idx="121">
                  <c:v>-29.75</c:v>
                </c:pt>
                <c:pt idx="122">
                  <c:v>-29.5</c:v>
                </c:pt>
                <c:pt idx="123">
                  <c:v>-29.25</c:v>
                </c:pt>
                <c:pt idx="124">
                  <c:v>-29</c:v>
                </c:pt>
                <c:pt idx="125">
                  <c:v>-28.75</c:v>
                </c:pt>
                <c:pt idx="126">
                  <c:v>-28.5</c:v>
                </c:pt>
                <c:pt idx="127">
                  <c:v>-28.25</c:v>
                </c:pt>
                <c:pt idx="128">
                  <c:v>-28</c:v>
                </c:pt>
                <c:pt idx="129">
                  <c:v>-27.75</c:v>
                </c:pt>
                <c:pt idx="130">
                  <c:v>-27.5</c:v>
                </c:pt>
                <c:pt idx="131">
                  <c:v>-27.25</c:v>
                </c:pt>
                <c:pt idx="132">
                  <c:v>-27</c:v>
                </c:pt>
                <c:pt idx="133">
                  <c:v>-26.75</c:v>
                </c:pt>
                <c:pt idx="134">
                  <c:v>-26.5</c:v>
                </c:pt>
                <c:pt idx="135">
                  <c:v>-26.25</c:v>
                </c:pt>
                <c:pt idx="136">
                  <c:v>-26</c:v>
                </c:pt>
                <c:pt idx="137">
                  <c:v>-25.75</c:v>
                </c:pt>
                <c:pt idx="138">
                  <c:v>-25.5</c:v>
                </c:pt>
                <c:pt idx="139">
                  <c:v>-25.25</c:v>
                </c:pt>
                <c:pt idx="140">
                  <c:v>-25</c:v>
                </c:pt>
                <c:pt idx="141">
                  <c:v>-24.75</c:v>
                </c:pt>
                <c:pt idx="142">
                  <c:v>-24.5</c:v>
                </c:pt>
                <c:pt idx="143">
                  <c:v>-24.25</c:v>
                </c:pt>
                <c:pt idx="144">
                  <c:v>-24</c:v>
                </c:pt>
                <c:pt idx="145">
                  <c:v>-23.75</c:v>
                </c:pt>
                <c:pt idx="146">
                  <c:v>-23.5</c:v>
                </c:pt>
                <c:pt idx="147">
                  <c:v>-23.25</c:v>
                </c:pt>
                <c:pt idx="148">
                  <c:v>-23</c:v>
                </c:pt>
                <c:pt idx="149">
                  <c:v>-22.75</c:v>
                </c:pt>
                <c:pt idx="150">
                  <c:v>-22.5</c:v>
                </c:pt>
                <c:pt idx="151">
                  <c:v>-22.25</c:v>
                </c:pt>
                <c:pt idx="152">
                  <c:v>-22</c:v>
                </c:pt>
                <c:pt idx="153">
                  <c:v>-21.75</c:v>
                </c:pt>
                <c:pt idx="154">
                  <c:v>-21.5</c:v>
                </c:pt>
                <c:pt idx="155">
                  <c:v>-21.25</c:v>
                </c:pt>
                <c:pt idx="156">
                  <c:v>-21</c:v>
                </c:pt>
                <c:pt idx="157">
                  <c:v>-20.75</c:v>
                </c:pt>
                <c:pt idx="158">
                  <c:v>-20.5</c:v>
                </c:pt>
                <c:pt idx="159">
                  <c:v>-20.25</c:v>
                </c:pt>
                <c:pt idx="160">
                  <c:v>-20</c:v>
                </c:pt>
                <c:pt idx="161">
                  <c:v>-19.75</c:v>
                </c:pt>
                <c:pt idx="162">
                  <c:v>-19.5</c:v>
                </c:pt>
                <c:pt idx="163">
                  <c:v>-19.25</c:v>
                </c:pt>
                <c:pt idx="164">
                  <c:v>-19</c:v>
                </c:pt>
                <c:pt idx="165">
                  <c:v>-18.75</c:v>
                </c:pt>
                <c:pt idx="166">
                  <c:v>-18.5</c:v>
                </c:pt>
                <c:pt idx="167">
                  <c:v>-18.25</c:v>
                </c:pt>
                <c:pt idx="168">
                  <c:v>-18</c:v>
                </c:pt>
                <c:pt idx="169">
                  <c:v>-17.75</c:v>
                </c:pt>
                <c:pt idx="170">
                  <c:v>-17.5</c:v>
                </c:pt>
                <c:pt idx="171">
                  <c:v>-17.25</c:v>
                </c:pt>
                <c:pt idx="172">
                  <c:v>-17</c:v>
                </c:pt>
                <c:pt idx="173">
                  <c:v>-16.75</c:v>
                </c:pt>
                <c:pt idx="174">
                  <c:v>-16.5</c:v>
                </c:pt>
                <c:pt idx="175">
                  <c:v>-16.25</c:v>
                </c:pt>
                <c:pt idx="176">
                  <c:v>-16</c:v>
                </c:pt>
                <c:pt idx="177">
                  <c:v>-15.75</c:v>
                </c:pt>
                <c:pt idx="178">
                  <c:v>-15.5</c:v>
                </c:pt>
                <c:pt idx="179">
                  <c:v>-15.25</c:v>
                </c:pt>
                <c:pt idx="180">
                  <c:v>-15</c:v>
                </c:pt>
                <c:pt idx="181">
                  <c:v>-14.75</c:v>
                </c:pt>
                <c:pt idx="182">
                  <c:v>-14.5</c:v>
                </c:pt>
                <c:pt idx="183">
                  <c:v>-14.25</c:v>
                </c:pt>
                <c:pt idx="184">
                  <c:v>-14</c:v>
                </c:pt>
                <c:pt idx="185">
                  <c:v>-13.75</c:v>
                </c:pt>
                <c:pt idx="186">
                  <c:v>-13.5</c:v>
                </c:pt>
                <c:pt idx="187">
                  <c:v>-13.25</c:v>
                </c:pt>
                <c:pt idx="188">
                  <c:v>-13</c:v>
                </c:pt>
                <c:pt idx="189">
                  <c:v>-12.75</c:v>
                </c:pt>
                <c:pt idx="190">
                  <c:v>-12.5</c:v>
                </c:pt>
                <c:pt idx="191">
                  <c:v>-12.25</c:v>
                </c:pt>
                <c:pt idx="192">
                  <c:v>-12</c:v>
                </c:pt>
                <c:pt idx="193">
                  <c:v>-11.75</c:v>
                </c:pt>
                <c:pt idx="194">
                  <c:v>-11.5</c:v>
                </c:pt>
                <c:pt idx="195">
                  <c:v>-11.25</c:v>
                </c:pt>
                <c:pt idx="196">
                  <c:v>-11</c:v>
                </c:pt>
                <c:pt idx="197">
                  <c:v>-10.75</c:v>
                </c:pt>
                <c:pt idx="198">
                  <c:v>-10.5</c:v>
                </c:pt>
                <c:pt idx="199">
                  <c:v>-10.25</c:v>
                </c:pt>
                <c:pt idx="200">
                  <c:v>-10</c:v>
                </c:pt>
                <c:pt idx="201">
                  <c:v>-9.75</c:v>
                </c:pt>
                <c:pt idx="202">
                  <c:v>-9.5</c:v>
                </c:pt>
                <c:pt idx="203">
                  <c:v>-9.25</c:v>
                </c:pt>
                <c:pt idx="204">
                  <c:v>-9</c:v>
                </c:pt>
                <c:pt idx="205">
                  <c:v>-8.75</c:v>
                </c:pt>
                <c:pt idx="206">
                  <c:v>-8.5</c:v>
                </c:pt>
                <c:pt idx="207">
                  <c:v>-8.25</c:v>
                </c:pt>
                <c:pt idx="208">
                  <c:v>-8</c:v>
                </c:pt>
                <c:pt idx="209">
                  <c:v>-7.75</c:v>
                </c:pt>
                <c:pt idx="210">
                  <c:v>-7.5</c:v>
                </c:pt>
                <c:pt idx="211">
                  <c:v>-7.25</c:v>
                </c:pt>
                <c:pt idx="212">
                  <c:v>-7</c:v>
                </c:pt>
                <c:pt idx="213">
                  <c:v>-6.75</c:v>
                </c:pt>
                <c:pt idx="214">
                  <c:v>-6.5</c:v>
                </c:pt>
                <c:pt idx="215">
                  <c:v>-6.25</c:v>
                </c:pt>
                <c:pt idx="216">
                  <c:v>-6</c:v>
                </c:pt>
                <c:pt idx="217">
                  <c:v>-5.75</c:v>
                </c:pt>
                <c:pt idx="218">
                  <c:v>-5.5</c:v>
                </c:pt>
                <c:pt idx="219">
                  <c:v>-5.25</c:v>
                </c:pt>
                <c:pt idx="220">
                  <c:v>-5</c:v>
                </c:pt>
                <c:pt idx="221">
                  <c:v>-4.75</c:v>
                </c:pt>
                <c:pt idx="222">
                  <c:v>-4.5</c:v>
                </c:pt>
                <c:pt idx="223">
                  <c:v>-4.25</c:v>
                </c:pt>
                <c:pt idx="224">
                  <c:v>-4</c:v>
                </c:pt>
                <c:pt idx="225">
                  <c:v>-3.75</c:v>
                </c:pt>
                <c:pt idx="226">
                  <c:v>-3.5</c:v>
                </c:pt>
                <c:pt idx="227">
                  <c:v>-3.25</c:v>
                </c:pt>
                <c:pt idx="228">
                  <c:v>-3</c:v>
                </c:pt>
                <c:pt idx="229">
                  <c:v>-2.75</c:v>
                </c:pt>
                <c:pt idx="230">
                  <c:v>-2.5</c:v>
                </c:pt>
                <c:pt idx="231">
                  <c:v>-2.25</c:v>
                </c:pt>
                <c:pt idx="232">
                  <c:v>-2</c:v>
                </c:pt>
                <c:pt idx="233">
                  <c:v>-1.75</c:v>
                </c:pt>
                <c:pt idx="234">
                  <c:v>-1.5</c:v>
                </c:pt>
                <c:pt idx="235">
                  <c:v>-1.25</c:v>
                </c:pt>
                <c:pt idx="236">
                  <c:v>-1</c:v>
                </c:pt>
                <c:pt idx="237">
                  <c:v>-0.75</c:v>
                </c:pt>
                <c:pt idx="238">
                  <c:v>-0.5</c:v>
                </c:pt>
                <c:pt idx="239">
                  <c:v>-0.25</c:v>
                </c:pt>
                <c:pt idx="240">
                  <c:v>0</c:v>
                </c:pt>
                <c:pt idx="241">
                  <c:v>0.25</c:v>
                </c:pt>
                <c:pt idx="242">
                  <c:v>0.5</c:v>
                </c:pt>
                <c:pt idx="243">
                  <c:v>0.75</c:v>
                </c:pt>
                <c:pt idx="244">
                  <c:v>1</c:v>
                </c:pt>
                <c:pt idx="245">
                  <c:v>1.25</c:v>
                </c:pt>
                <c:pt idx="246">
                  <c:v>1.5</c:v>
                </c:pt>
                <c:pt idx="247">
                  <c:v>1.75</c:v>
                </c:pt>
                <c:pt idx="248">
                  <c:v>2</c:v>
                </c:pt>
                <c:pt idx="249">
                  <c:v>2.25</c:v>
                </c:pt>
                <c:pt idx="250">
                  <c:v>2.5</c:v>
                </c:pt>
                <c:pt idx="251">
                  <c:v>2.75</c:v>
                </c:pt>
                <c:pt idx="252">
                  <c:v>3</c:v>
                </c:pt>
                <c:pt idx="253">
                  <c:v>3.25</c:v>
                </c:pt>
                <c:pt idx="254">
                  <c:v>3.5</c:v>
                </c:pt>
                <c:pt idx="255">
                  <c:v>3.75</c:v>
                </c:pt>
                <c:pt idx="256">
                  <c:v>4</c:v>
                </c:pt>
                <c:pt idx="257">
                  <c:v>4.25</c:v>
                </c:pt>
                <c:pt idx="258">
                  <c:v>4.5</c:v>
                </c:pt>
                <c:pt idx="259">
                  <c:v>4.75</c:v>
                </c:pt>
                <c:pt idx="260">
                  <c:v>5</c:v>
                </c:pt>
                <c:pt idx="261">
                  <c:v>5.25</c:v>
                </c:pt>
                <c:pt idx="262">
                  <c:v>5.5</c:v>
                </c:pt>
                <c:pt idx="263">
                  <c:v>5.75</c:v>
                </c:pt>
                <c:pt idx="264">
                  <c:v>6</c:v>
                </c:pt>
                <c:pt idx="265">
                  <c:v>6.25</c:v>
                </c:pt>
                <c:pt idx="266">
                  <c:v>6.5</c:v>
                </c:pt>
                <c:pt idx="267">
                  <c:v>6.75</c:v>
                </c:pt>
                <c:pt idx="268">
                  <c:v>7</c:v>
                </c:pt>
                <c:pt idx="269">
                  <c:v>7.25</c:v>
                </c:pt>
                <c:pt idx="270">
                  <c:v>7.5</c:v>
                </c:pt>
                <c:pt idx="271">
                  <c:v>7.75</c:v>
                </c:pt>
                <c:pt idx="272">
                  <c:v>8</c:v>
                </c:pt>
                <c:pt idx="273">
                  <c:v>8.25</c:v>
                </c:pt>
                <c:pt idx="274">
                  <c:v>8.5</c:v>
                </c:pt>
                <c:pt idx="275">
                  <c:v>8.75</c:v>
                </c:pt>
                <c:pt idx="276">
                  <c:v>9</c:v>
                </c:pt>
                <c:pt idx="277">
                  <c:v>9.25</c:v>
                </c:pt>
                <c:pt idx="278">
                  <c:v>9.5</c:v>
                </c:pt>
                <c:pt idx="279">
                  <c:v>9.75</c:v>
                </c:pt>
                <c:pt idx="280">
                  <c:v>10</c:v>
                </c:pt>
                <c:pt idx="281">
                  <c:v>10.25</c:v>
                </c:pt>
                <c:pt idx="282">
                  <c:v>10.5</c:v>
                </c:pt>
                <c:pt idx="283">
                  <c:v>10.75</c:v>
                </c:pt>
                <c:pt idx="284">
                  <c:v>11</c:v>
                </c:pt>
                <c:pt idx="285">
                  <c:v>11.25</c:v>
                </c:pt>
                <c:pt idx="286">
                  <c:v>11.5</c:v>
                </c:pt>
                <c:pt idx="287">
                  <c:v>11.75</c:v>
                </c:pt>
                <c:pt idx="288">
                  <c:v>12</c:v>
                </c:pt>
                <c:pt idx="289">
                  <c:v>12.25</c:v>
                </c:pt>
                <c:pt idx="290">
                  <c:v>12.5</c:v>
                </c:pt>
                <c:pt idx="291">
                  <c:v>12.75</c:v>
                </c:pt>
                <c:pt idx="292">
                  <c:v>13</c:v>
                </c:pt>
                <c:pt idx="293">
                  <c:v>13.25</c:v>
                </c:pt>
                <c:pt idx="294">
                  <c:v>13.5</c:v>
                </c:pt>
                <c:pt idx="295">
                  <c:v>13.75</c:v>
                </c:pt>
                <c:pt idx="296">
                  <c:v>14</c:v>
                </c:pt>
                <c:pt idx="297">
                  <c:v>14.25</c:v>
                </c:pt>
                <c:pt idx="298">
                  <c:v>14.5</c:v>
                </c:pt>
                <c:pt idx="299">
                  <c:v>14.75</c:v>
                </c:pt>
                <c:pt idx="300">
                  <c:v>15</c:v>
                </c:pt>
                <c:pt idx="301">
                  <c:v>15.25</c:v>
                </c:pt>
                <c:pt idx="302">
                  <c:v>15.5</c:v>
                </c:pt>
                <c:pt idx="303">
                  <c:v>15.75</c:v>
                </c:pt>
                <c:pt idx="304">
                  <c:v>16</c:v>
                </c:pt>
                <c:pt idx="305">
                  <c:v>16.25</c:v>
                </c:pt>
                <c:pt idx="306">
                  <c:v>16.5</c:v>
                </c:pt>
                <c:pt idx="307">
                  <c:v>16.75</c:v>
                </c:pt>
                <c:pt idx="308">
                  <c:v>17</c:v>
                </c:pt>
                <c:pt idx="309">
                  <c:v>17.25</c:v>
                </c:pt>
                <c:pt idx="310">
                  <c:v>17.5</c:v>
                </c:pt>
                <c:pt idx="311">
                  <c:v>17.75</c:v>
                </c:pt>
                <c:pt idx="312">
                  <c:v>18</c:v>
                </c:pt>
                <c:pt idx="313">
                  <c:v>18.25</c:v>
                </c:pt>
                <c:pt idx="314">
                  <c:v>18.5</c:v>
                </c:pt>
                <c:pt idx="315">
                  <c:v>18.75</c:v>
                </c:pt>
                <c:pt idx="316">
                  <c:v>19</c:v>
                </c:pt>
                <c:pt idx="317">
                  <c:v>19.25</c:v>
                </c:pt>
                <c:pt idx="318">
                  <c:v>19.5</c:v>
                </c:pt>
                <c:pt idx="319">
                  <c:v>19.75</c:v>
                </c:pt>
                <c:pt idx="320">
                  <c:v>20</c:v>
                </c:pt>
                <c:pt idx="321">
                  <c:v>20.25</c:v>
                </c:pt>
                <c:pt idx="322">
                  <c:v>20.5</c:v>
                </c:pt>
                <c:pt idx="323">
                  <c:v>20.75</c:v>
                </c:pt>
                <c:pt idx="324">
                  <c:v>21</c:v>
                </c:pt>
                <c:pt idx="325">
                  <c:v>21.25</c:v>
                </c:pt>
                <c:pt idx="326">
                  <c:v>21.5</c:v>
                </c:pt>
                <c:pt idx="327">
                  <c:v>21.75</c:v>
                </c:pt>
                <c:pt idx="328">
                  <c:v>22</c:v>
                </c:pt>
                <c:pt idx="329">
                  <c:v>22.25</c:v>
                </c:pt>
                <c:pt idx="330">
                  <c:v>22.5</c:v>
                </c:pt>
                <c:pt idx="331">
                  <c:v>22.75</c:v>
                </c:pt>
                <c:pt idx="332">
                  <c:v>23</c:v>
                </c:pt>
                <c:pt idx="333">
                  <c:v>23.25</c:v>
                </c:pt>
                <c:pt idx="334">
                  <c:v>23.5</c:v>
                </c:pt>
                <c:pt idx="335">
                  <c:v>23.75</c:v>
                </c:pt>
                <c:pt idx="336">
                  <c:v>24</c:v>
                </c:pt>
                <c:pt idx="337">
                  <c:v>24.25</c:v>
                </c:pt>
                <c:pt idx="338">
                  <c:v>24.5</c:v>
                </c:pt>
                <c:pt idx="339">
                  <c:v>24.75</c:v>
                </c:pt>
                <c:pt idx="340">
                  <c:v>25</c:v>
                </c:pt>
                <c:pt idx="341">
                  <c:v>25.25</c:v>
                </c:pt>
                <c:pt idx="342">
                  <c:v>25.5</c:v>
                </c:pt>
                <c:pt idx="343">
                  <c:v>25.75</c:v>
                </c:pt>
                <c:pt idx="344">
                  <c:v>26</c:v>
                </c:pt>
                <c:pt idx="345">
                  <c:v>26.25</c:v>
                </c:pt>
                <c:pt idx="346">
                  <c:v>26.5</c:v>
                </c:pt>
                <c:pt idx="347">
                  <c:v>26.75</c:v>
                </c:pt>
                <c:pt idx="348">
                  <c:v>27</c:v>
                </c:pt>
                <c:pt idx="349">
                  <c:v>27.25</c:v>
                </c:pt>
                <c:pt idx="350">
                  <c:v>27.5</c:v>
                </c:pt>
                <c:pt idx="351">
                  <c:v>27.75</c:v>
                </c:pt>
                <c:pt idx="352">
                  <c:v>28</c:v>
                </c:pt>
                <c:pt idx="353">
                  <c:v>28.25</c:v>
                </c:pt>
                <c:pt idx="354">
                  <c:v>28.5</c:v>
                </c:pt>
                <c:pt idx="355">
                  <c:v>28.75</c:v>
                </c:pt>
                <c:pt idx="356">
                  <c:v>29</c:v>
                </c:pt>
                <c:pt idx="357">
                  <c:v>29.25</c:v>
                </c:pt>
                <c:pt idx="358">
                  <c:v>29.5</c:v>
                </c:pt>
                <c:pt idx="359">
                  <c:v>29.75</c:v>
                </c:pt>
                <c:pt idx="360">
                  <c:v>30</c:v>
                </c:pt>
                <c:pt idx="361">
                  <c:v>30.25</c:v>
                </c:pt>
                <c:pt idx="362">
                  <c:v>30.5</c:v>
                </c:pt>
                <c:pt idx="363">
                  <c:v>30.75</c:v>
                </c:pt>
                <c:pt idx="364">
                  <c:v>31</c:v>
                </c:pt>
                <c:pt idx="365">
                  <c:v>31.25</c:v>
                </c:pt>
                <c:pt idx="366">
                  <c:v>31.5</c:v>
                </c:pt>
                <c:pt idx="367">
                  <c:v>31.75</c:v>
                </c:pt>
                <c:pt idx="368">
                  <c:v>32</c:v>
                </c:pt>
                <c:pt idx="369">
                  <c:v>32.25</c:v>
                </c:pt>
                <c:pt idx="370">
                  <c:v>32.5</c:v>
                </c:pt>
                <c:pt idx="371">
                  <c:v>32.75</c:v>
                </c:pt>
                <c:pt idx="372">
                  <c:v>33</c:v>
                </c:pt>
                <c:pt idx="373">
                  <c:v>33.25</c:v>
                </c:pt>
                <c:pt idx="374">
                  <c:v>33.5</c:v>
                </c:pt>
                <c:pt idx="375">
                  <c:v>33.75</c:v>
                </c:pt>
                <c:pt idx="376">
                  <c:v>34</c:v>
                </c:pt>
                <c:pt idx="377">
                  <c:v>34.25</c:v>
                </c:pt>
                <c:pt idx="378">
                  <c:v>34.5</c:v>
                </c:pt>
                <c:pt idx="379">
                  <c:v>34.75</c:v>
                </c:pt>
                <c:pt idx="380">
                  <c:v>35</c:v>
                </c:pt>
                <c:pt idx="381">
                  <c:v>35.25</c:v>
                </c:pt>
                <c:pt idx="382">
                  <c:v>35.5</c:v>
                </c:pt>
                <c:pt idx="383">
                  <c:v>35.75</c:v>
                </c:pt>
                <c:pt idx="384">
                  <c:v>36</c:v>
                </c:pt>
                <c:pt idx="385">
                  <c:v>36.25</c:v>
                </c:pt>
                <c:pt idx="386">
                  <c:v>36.5</c:v>
                </c:pt>
                <c:pt idx="387">
                  <c:v>36.75</c:v>
                </c:pt>
                <c:pt idx="388">
                  <c:v>37</c:v>
                </c:pt>
                <c:pt idx="389">
                  <c:v>37.25</c:v>
                </c:pt>
                <c:pt idx="390">
                  <c:v>37.5</c:v>
                </c:pt>
                <c:pt idx="391">
                  <c:v>37.75</c:v>
                </c:pt>
                <c:pt idx="392">
                  <c:v>38</c:v>
                </c:pt>
                <c:pt idx="393">
                  <c:v>38.25</c:v>
                </c:pt>
                <c:pt idx="394">
                  <c:v>38.5</c:v>
                </c:pt>
                <c:pt idx="395">
                  <c:v>38.75</c:v>
                </c:pt>
                <c:pt idx="396">
                  <c:v>39</c:v>
                </c:pt>
                <c:pt idx="397">
                  <c:v>39.25</c:v>
                </c:pt>
                <c:pt idx="398">
                  <c:v>39.5</c:v>
                </c:pt>
                <c:pt idx="399">
                  <c:v>39.75</c:v>
                </c:pt>
                <c:pt idx="400">
                  <c:v>40</c:v>
                </c:pt>
              </c:numCache>
            </c:numRef>
          </c:xVal>
          <c:yVal>
            <c:numRef>
              <c:f>'transversal subsidence profile'!$O$10:$O$410</c:f>
              <c:numCache>
                <c:formatCode>0.0000000</c:formatCode>
                <c:ptCount val="401"/>
                <c:pt idx="0">
                  <c:v>-1.0618099018529246E-11</c:v>
                </c:pt>
                <c:pt idx="1">
                  <c:v>-1.3890567452863057E-11</c:v>
                </c:pt>
                <c:pt idx="2">
                  <c:v>-1.8146233609843288E-11</c:v>
                </c:pt>
                <c:pt idx="3">
                  <c:v>-2.3672612514496082E-11</c:v>
                </c:pt>
                <c:pt idx="4">
                  <c:v>-3.083890509848587E-11</c:v>
                </c:pt>
                <c:pt idx="5">
                  <c:v>-4.0118498121936366E-11</c:v>
                </c:pt>
                <c:pt idx="6">
                  <c:v>-5.211745748508517E-11</c:v>
                </c:pt>
                <c:pt idx="7">
                  <c:v>-6.7610554176242368E-11</c:v>
                </c:pt>
                <c:pt idx="8">
                  <c:v>-8.7586741829158625E-11</c:v>
                </c:pt>
                <c:pt idx="9">
                  <c:v>-1.1330647415048601E-10</c:v>
                </c:pt>
                <c:pt idx="10">
                  <c:v>-1.4637382939828277E-10</c:v>
                </c:pt>
                <c:pt idx="11">
                  <c:v>-1.8882712195590147E-10</c:v>
                </c:pt>
                <c:pt idx="12">
                  <c:v>-2.432525572347092E-10</c:v>
                </c:pt>
                <c:pt idx="13">
                  <c:v>-3.1292656109157308E-10</c:v>
                </c:pt>
                <c:pt idx="14">
                  <c:v>-4.0199373131220308E-10</c:v>
                </c:pt>
                <c:pt idx="15">
                  <c:v>-5.1568896770689949E-10</c:v>
                </c:pt>
                <c:pt idx="16">
                  <c:v>-6.6061430036410142E-10</c:v>
                </c:pt>
                <c:pt idx="17">
                  <c:v>-8.4508332598971268E-10</c:v>
                </c:pt>
                <c:pt idx="18">
                  <c:v>-1.0795490675668884E-9</c:v>
                </c:pt>
                <c:pt idx="19">
                  <c:v>-1.3771345970001342E-9</c:v>
                </c:pt>
                <c:pt idx="20">
                  <c:v>-1.7542900277007713E-9</c:v>
                </c:pt>
                <c:pt idx="21">
                  <c:v>-2.2316046408395681E-9</c:v>
                </c:pt>
                <c:pt idx="22">
                  <c:v>-2.83480912853707E-9</c:v>
                </c:pt>
                <c:pt idx="23">
                  <c:v>-3.5960104239436837E-9</c:v>
                </c:pt>
                <c:pt idx="24">
                  <c:v>-4.5552105823879982E-9</c:v>
                </c:pt>
                <c:pt idx="25">
                  <c:v>-5.7621719616613945E-9</c:v>
                </c:pt>
                <c:pt idx="26">
                  <c:v>-7.2787038533055247E-9</c:v>
                </c:pt>
                <c:pt idx="27">
                  <c:v>-9.1814611260775283E-9</c:v>
                </c:pt>
                <c:pt idx="28">
                  <c:v>-1.1565363806660819E-8</c:v>
                </c:pt>
                <c:pt idx="29">
                  <c:v>-1.4547768362799697E-8</c:v>
                </c:pt>
                <c:pt idx="30">
                  <c:v>-1.8273547374640201E-8</c:v>
                </c:pt>
                <c:pt idx="31">
                  <c:v>-2.2921264979275717E-8</c:v>
                </c:pt>
                <c:pt idx="32">
                  <c:v>-2.8710671755596544E-8</c:v>
                </c:pt>
                <c:pt idx="33">
                  <c:v>-3.5911785505437363E-8</c:v>
                </c:pt>
                <c:pt idx="34">
                  <c:v>-4.4855874740969038E-8</c:v>
                </c:pt>
                <c:pt idx="35">
                  <c:v>-5.5948720815761308E-8</c:v>
                </c:pt>
                <c:pt idx="36">
                  <c:v>-6.9686603913718604E-8</c:v>
                </c:pt>
                <c:pt idx="37">
                  <c:v>-8.6675539097378266E-8</c:v>
                </c:pt>
                <c:pt idx="38">
                  <c:v>-1.0765438308069874E-7</c:v>
                </c:pt>
                <c:pt idx="39">
                  <c:v>-1.3352254232199381E-7</c:v>
                </c:pt>
                <c:pt idx="40">
                  <c:v>-1.6537314066591201E-7</c:v>
                </c:pt>
                <c:pt idx="41">
                  <c:v>-2.0453265260162411E-7</c:v>
                </c:pt>
                <c:pt idx="42">
                  <c:v>-2.5260817903733927E-7</c:v>
                </c:pt>
                <c:pt idx="43">
                  <c:v>-3.1154373941671163E-7</c:v>
                </c:pt>
                <c:pt idx="44">
                  <c:v>-3.8368718044608324E-7</c:v>
                </c:pt>
                <c:pt idx="45">
                  <c:v>-4.7186956143387611E-7</c:v>
                </c:pt>
                <c:pt idx="46">
                  <c:v>-5.7949917339709782E-7</c:v>
                </c:pt>
                <c:pt idx="47">
                  <c:v>-7.1067268817013891E-7</c:v>
                </c:pt>
                <c:pt idx="48">
                  <c:v>-8.7030631964429403E-7</c:v>
                </c:pt>
                <c:pt idx="49">
                  <c:v>-1.0642903172415774E-6</c:v>
                </c:pt>
                <c:pt idx="50">
                  <c:v>-1.2996706074301852E-6</c:v>
                </c:pt>
                <c:pt idx="51">
                  <c:v>-1.5848619585312384E-6</c:v>
                </c:pt>
                <c:pt idx="52">
                  <c:v>-1.9298976735968807E-6</c:v>
                </c:pt>
                <c:pt idx="53">
                  <c:v>-2.3467215224094204E-6</c:v>
                </c:pt>
                <c:pt idx="54">
                  <c:v>-2.8495284135627221E-6</c:v>
                </c:pt>
                <c:pt idx="55">
                  <c:v>-3.4551611882253537E-6</c:v>
                </c:pt>
                <c:pt idx="56">
                  <c:v>-4.1835718957298166E-6</c:v>
                </c:pt>
                <c:pt idx="57">
                  <c:v>-5.0583569947501631E-6</c:v>
                </c:pt>
                <c:pt idx="58">
                  <c:v>-6.1073771195393159E-6</c:v>
                </c:pt>
                <c:pt idx="59">
                  <c:v>-7.3634733652076295E-6</c:v>
                </c:pt>
                <c:pt idx="60">
                  <c:v>-8.8652934855479935E-6</c:v>
                </c:pt>
                <c:pt idx="61">
                  <c:v>-1.065824296694038E-5</c:v>
                </c:pt>
                <c:pt idx="62">
                  <c:v>-1.2795577646913713E-5</c:v>
                </c:pt>
                <c:pt idx="63">
                  <c:v>-1.5339656389248934E-5</c:v>
                </c:pt>
                <c:pt idx="64">
                  <c:v>-1.8363374310711692E-5</c:v>
                </c:pt>
                <c:pt idx="65">
                  <c:v>-2.1951799177273973E-5</c:v>
                </c:pt>
                <c:pt idx="66">
                  <c:v>-2.6204035847302074E-5</c:v>
                </c:pt>
                <c:pt idx="67">
                  <c:v>-3.1235346030094804E-5</c:v>
                </c:pt>
                <c:pt idx="68">
                  <c:v>-3.7179553141473351E-5</c:v>
                </c:pt>
                <c:pt idx="69">
                  <c:v>-4.4191764661114027E-5</c:v>
                </c:pt>
                <c:pt idx="70">
                  <c:v>-5.2451447111832479E-5</c:v>
                </c:pt>
                <c:pt idx="71">
                  <c:v>-6.2165891566927259E-5</c:v>
                </c:pt>
                <c:pt idx="72">
                  <c:v>-7.3574110420218525E-5</c:v>
                </c:pt>
                <c:pt idx="73">
                  <c:v>-8.6951208990589769E-5</c:v>
                </c:pt>
                <c:pt idx="74">
                  <c:v>-1.0261327833783219E-4</c:v>
                </c:pt>
                <c:pt idx="75">
                  <c:v>-1.2092285839109156E-4</c:v>
                </c:pt>
                <c:pt idx="76">
                  <c:v>-1.4229502307888884E-4</c:v>
                </c:pt>
                <c:pt idx="77">
                  <c:v>-1.6720414153558358E-4</c:v>
                </c:pt>
                <c:pt idx="78">
                  <c:v>-1.9619137156923026E-4</c:v>
                </c:pt>
                <c:pt idx="79">
                  <c:v>-2.2987294332657478E-4</c:v>
                </c:pt>
                <c:pt idx="80">
                  <c:v>-2.6894929238914283E-4</c:v>
                </c:pt>
                <c:pt idx="81">
                  <c:v>-3.1421510227684478E-4</c:v>
                </c:pt>
                <c:pt idx="82">
                  <c:v>-3.6657031640910788E-4</c:v>
                </c:pt>
                <c:pt idx="83">
                  <c:v>-4.2703217885549019E-4</c:v>
                </c:pt>
                <c:pt idx="84">
                  <c:v>-4.9674836156592811E-4</c:v>
                </c:pt>
                <c:pt idx="85">
                  <c:v>-5.770112330645053E-4</c:v>
                </c:pt>
                <c:pt idx="86">
                  <c:v>-6.6927331967167104E-4</c:v>
                </c:pt>
                <c:pt idx="87">
                  <c:v>-7.7516400503349766E-4</c:v>
                </c:pt>
                <c:pt idx="88">
                  <c:v>-8.9650750692354985E-4</c:v>
                </c:pt>
                <c:pt idx="89">
                  <c:v>-1.0353421617813187E-3</c:v>
                </c:pt>
                <c:pt idx="90">
                  <c:v>-1.1939410370986937E-3</c:v>
                </c:pt>
                <c:pt idx="91">
                  <c:v>-1.3748338794030753E-3</c:v>
                </c:pt>
                <c:pt idx="92">
                  <c:v>-1.5808303910586864E-3</c:v>
                </c:pt>
                <c:pt idx="93">
                  <c:v>-1.8150448122724499E-3</c:v>
                </c:pt>
                <c:pt idx="94">
                  <c:v>-2.0809217654169814E-3</c:v>
                </c:pt>
                <c:pt idx="95">
                  <c:v>-2.3822632969588324E-3</c:v>
                </c:pt>
                <c:pt idx="96">
                  <c:v>-2.7232570278163766E-3</c:v>
                </c:pt>
                <c:pt idx="97">
                  <c:v>-3.1085052958085158E-3</c:v>
                </c:pt>
                <c:pt idx="98">
                  <c:v>-3.5430551439667533E-3</c:v>
                </c:pt>
                <c:pt idx="99">
                  <c:v>-4.0324289758832867E-3</c:v>
                </c:pt>
                <c:pt idx="100">
                  <c:v>-4.5826556640172142E-3</c:v>
                </c:pt>
                <c:pt idx="101">
                  <c:v>-5.2003018590915271E-3</c:v>
                </c:pt>
                <c:pt idx="102">
                  <c:v>-5.8925032085569446E-3</c:v>
                </c:pt>
                <c:pt idx="103">
                  <c:v>-6.6669951498083265E-3</c:v>
                </c:pt>
                <c:pt idx="104">
                  <c:v>-7.5321428997205987E-3</c:v>
                </c:pt>
                <c:pt idx="105">
                  <c:v>-8.4969702165015679E-3</c:v>
                </c:pt>
                <c:pt idx="106">
                  <c:v>-9.5711864632962926E-3</c:v>
                </c:pt>
                <c:pt idx="107">
                  <c:v>-1.0765211455960945E-2</c:v>
                </c:pt>
                <c:pt idx="108">
                  <c:v>-1.2090197530577209E-2</c:v>
                </c:pt>
                <c:pt idx="109">
                  <c:v>-1.3558048220309975E-2</c:v>
                </c:pt>
                <c:pt idx="110">
                  <c:v>-1.5181432886915751E-2</c:v>
                </c:pt>
                <c:pt idx="111">
                  <c:v>-1.6973796610463793E-2</c:v>
                </c:pt>
                <c:pt idx="112">
                  <c:v>-1.8949364602592406E-2</c:v>
                </c:pt>
                <c:pt idx="113">
                  <c:v>-2.1123140374917613E-2</c:v>
                </c:pt>
                <c:pt idx="114">
                  <c:v>-2.3510896866134445E-2</c:v>
                </c:pt>
                <c:pt idx="115">
                  <c:v>-2.612915971005032E-2</c:v>
                </c:pt>
                <c:pt idx="116">
                  <c:v>-2.8995181813453251E-2</c:v>
                </c:pt>
                <c:pt idx="117">
                  <c:v>-3.2126908408560882E-2</c:v>
                </c:pt>
                <c:pt idx="118">
                  <c:v>-3.5542931751041805E-2</c:v>
                </c:pt>
                <c:pt idx="119">
                  <c:v>-3.926243465245853E-2</c:v>
                </c:pt>
                <c:pt idx="120">
                  <c:v>-4.3305122066626886E-2</c:v>
                </c:pt>
                <c:pt idx="121">
                  <c:v>-4.7691139993936642E-2</c:v>
                </c:pt>
                <c:pt idx="122">
                  <c:v>-5.2440981027158613E-2</c:v>
                </c:pt>
                <c:pt idx="123">
                  <c:v>-5.7575375937592752E-2</c:v>
                </c:pt>
                <c:pt idx="124">
                  <c:v>-6.3115170792356429E-2</c:v>
                </c:pt>
                <c:pt idx="125">
                  <c:v>-6.9081189202768081E-2</c:v>
                </c:pt>
                <c:pt idx="126">
                  <c:v>-7.5494079430541983E-2</c:v>
                </c:pt>
                <c:pt idx="127">
                  <c:v>-8.2374146223023442E-2</c:v>
                </c:pt>
                <c:pt idx="128">
                  <c:v>-8.9741167410856942E-2</c:v>
                </c:pt>
                <c:pt idx="129">
                  <c:v>-9.7614195480886887E-2</c:v>
                </c:pt>
                <c:pt idx="130">
                  <c:v>-0.10601134453302175</c:v>
                </c:pt>
                <c:pt idx="131">
                  <c:v>-0.11494956324119149</c:v>
                </c:pt>
                <c:pt idx="132">
                  <c:v>-0.12444439466397755</c:v>
                </c:pt>
                <c:pt idx="133">
                  <c:v>-0.13450972398821043</c:v>
                </c:pt>
                <c:pt idx="134">
                  <c:v>-0.14515751553664358</c:v>
                </c:pt>
                <c:pt idx="135">
                  <c:v>-0.15639754062619027</c:v>
                </c:pt>
                <c:pt idx="136">
                  <c:v>-0.16823709812322529</c:v>
                </c:pt>
                <c:pt idx="137">
                  <c:v>-0.18068072980383879</c:v>
                </c:pt>
                <c:pt idx="138">
                  <c:v>-0.19372993288606474</c:v>
                </c:pt>
                <c:pt idx="139">
                  <c:v>-0.20738287235406655</c:v>
                </c:pt>
                <c:pt idx="140">
                  <c:v>-0.22163409593685704</c:v>
                </c:pt>
                <c:pt idx="141">
                  <c:v>-0.23647425483192813</c:v>
                </c:pt>
                <c:pt idx="142">
                  <c:v>-0.25188983347259086</c:v>
                </c:pt>
                <c:pt idx="143">
                  <c:v>-0.26786289182216827</c:v>
                </c:pt>
                <c:pt idx="144">
                  <c:v>-0.28437082383372558</c:v>
                </c:pt>
                <c:pt idx="145">
                  <c:v>-0.3013861358360681</c:v>
                </c:pt>
                <c:pt idx="146">
                  <c:v>-0.31887624869072723</c:v>
                </c:pt>
                <c:pt idx="147">
                  <c:v>-0.33680332760625303</c:v>
                </c:pt>
                <c:pt idx="148">
                  <c:v>-0.35512414349128868</c:v>
                </c:pt>
                <c:pt idx="149">
                  <c:v>-0.37378996967299299</c:v>
                </c:pt>
                <c:pt idx="150">
                  <c:v>-0.39274651769926383</c:v>
                </c:pt>
                <c:pt idx="151">
                  <c:v>-0.41193391577933247</c:v>
                </c:pt>
                <c:pt idx="152">
                  <c:v>-0.43128673319579525</c:v>
                </c:pt>
                <c:pt idx="153">
                  <c:v>-0.4507340537408881</c:v>
                </c:pt>
                <c:pt idx="154">
                  <c:v>-0.47019960089052976</c:v>
                </c:pt>
                <c:pt idx="155">
                  <c:v>-0.48960191703196382</c:v>
                </c:pt>
                <c:pt idx="156">
                  <c:v>-0.50885459860630911</c:v>
                </c:pt>
                <c:pt idx="157">
                  <c:v>-0.52786658851853596</c:v>
                </c:pt>
                <c:pt idx="158">
                  <c:v>-0.5465425266079017</c:v>
                </c:pt>
                <c:pt idx="159">
                  <c:v>-0.56478315836633275</c:v>
                </c:pt>
                <c:pt idx="160">
                  <c:v>-0.58248580144620965</c:v>
                </c:pt>
                <c:pt idx="161">
                  <c:v>-0.59954486881913382</c:v>
                </c:pt>
                <c:pt idx="162">
                  <c:v>-0.61585244674103978</c:v>
                </c:pt>
                <c:pt idx="163">
                  <c:v>-0.63129892495485074</c:v>
                </c:pt>
                <c:pt idx="164">
                  <c:v>-0.64577367582892653</c:v>
                </c:pt>
                <c:pt idx="165">
                  <c:v>-0.65916577839763169</c:v>
                </c:pt>
                <c:pt idx="166">
                  <c:v>-0.67136478254981002</c:v>
                </c:pt>
                <c:pt idx="167">
                  <c:v>-0.68226150791249762</c:v>
                </c:pt>
                <c:pt idx="168">
                  <c:v>-0.69174887131184248</c:v>
                </c:pt>
                <c:pt idx="169">
                  <c:v>-0.69972273607187141</c:v>
                </c:pt>
                <c:pt idx="170">
                  <c:v>-0.7060827758453796</c:v>
                </c:pt>
                <c:pt idx="171">
                  <c:v>-0.71073334517034892</c:v>
                </c:pt>
                <c:pt idx="172">
                  <c:v>-0.71358434851996055</c:v>
                </c:pt>
                <c:pt idx="173">
                  <c:v>-0.71455209927381746</c:v>
                </c:pt>
                <c:pt idx="174">
                  <c:v>-0.71356015979085718</c:v>
                </c:pt>
                <c:pt idx="175">
                  <c:v>-0.71054015361798906</c:v>
                </c:pt>
                <c:pt idx="176">
                  <c:v>-0.70543254082885642</c:v>
                </c:pt>
                <c:pt idx="177">
                  <c:v>-0.69818734755904932</c:v>
                </c:pt>
                <c:pt idx="178">
                  <c:v>-0.68876484099075286</c:v>
                </c:pt>
                <c:pt idx="179">
                  <c:v>-0.67713614134279643</c:v>
                </c:pt>
                <c:pt idx="180">
                  <c:v>-0.66328376284118618</c:v>
                </c:pt>
                <c:pt idx="181">
                  <c:v>-0.6472020761785291</c:v>
                </c:pt>
                <c:pt idx="182">
                  <c:v>-0.62889768561450365</c:v>
                </c:pt>
                <c:pt idx="183">
                  <c:v>-0.60838971461816949</c:v>
                </c:pt>
                <c:pt idx="184">
                  <c:v>-0.58570999479907837</c:v>
                </c:pt>
                <c:pt idx="185">
                  <c:v>-0.56090315380882527</c:v>
                </c:pt>
                <c:pt idx="186">
                  <c:v>-0.53402659890725146</c:v>
                </c:pt>
                <c:pt idx="187">
                  <c:v>-0.5051503939658688</c:v>
                </c:pt>
                <c:pt idx="188">
                  <c:v>-0.47435702881186198</c:v>
                </c:pt>
                <c:pt idx="189">
                  <c:v>-0.44174108098474185</c:v>
                </c:pt>
                <c:pt idx="190">
                  <c:v>-0.40740877116899626</c:v>
                </c:pt>
                <c:pt idx="191">
                  <c:v>-0.37147741476389962</c:v>
                </c:pt>
                <c:pt idx="192">
                  <c:v>-0.33407477323956886</c:v>
                </c:pt>
                <c:pt idx="193">
                  <c:v>-0.2953383100898328</c:v>
                </c:pt>
                <c:pt idx="194">
                  <c:v>-0.25541435731110484</c:v>
                </c:pt>
                <c:pt idx="195">
                  <c:v>-0.21445719939620131</c:v>
                </c:pt>
                <c:pt idx="196">
                  <c:v>-0.17262808281760933</c:v>
                </c:pt>
                <c:pt idx="197">
                  <c:v>-0.13009415987169481</c:v>
                </c:pt>
                <c:pt idx="198">
                  <c:v>-8.7027376550568553E-2</c:v>
                </c:pt>
                <c:pt idx="199">
                  <c:v>-4.3603314790026243E-2</c:v>
                </c:pt>
                <c:pt idx="200">
                  <c:v>0</c:v>
                </c:pt>
                <c:pt idx="201">
                  <c:v>4.3603314790026243E-2</c:v>
                </c:pt>
                <c:pt idx="202">
                  <c:v>8.7027376550568553E-2</c:v>
                </c:pt>
                <c:pt idx="203">
                  <c:v>0.13009415987169481</c:v>
                </c:pt>
                <c:pt idx="204">
                  <c:v>0.17262808281760933</c:v>
                </c:pt>
                <c:pt idx="205">
                  <c:v>0.21445719939620131</c:v>
                </c:pt>
                <c:pt idx="206">
                  <c:v>0.25541435731110484</c:v>
                </c:pt>
                <c:pt idx="207">
                  <c:v>0.2953383100898328</c:v>
                </c:pt>
                <c:pt idx="208">
                  <c:v>0.33407477323956886</c:v>
                </c:pt>
                <c:pt idx="209">
                  <c:v>0.37147741476389962</c:v>
                </c:pt>
                <c:pt idx="210">
                  <c:v>0.40740877116899626</c:v>
                </c:pt>
                <c:pt idx="211">
                  <c:v>0.44174108098474185</c:v>
                </c:pt>
                <c:pt idx="212">
                  <c:v>0.47435702881186198</c:v>
                </c:pt>
                <c:pt idx="213">
                  <c:v>0.5051503939658688</c:v>
                </c:pt>
                <c:pt idx="214">
                  <c:v>0.53402659890725146</c:v>
                </c:pt>
                <c:pt idx="215">
                  <c:v>0.56090315380882527</c:v>
                </c:pt>
                <c:pt idx="216">
                  <c:v>0.58570999479907837</c:v>
                </c:pt>
                <c:pt idx="217">
                  <c:v>0.60838971461816949</c:v>
                </c:pt>
                <c:pt idx="218">
                  <c:v>0.62889768561450365</c:v>
                </c:pt>
                <c:pt idx="219">
                  <c:v>0.6472020761785291</c:v>
                </c:pt>
                <c:pt idx="220">
                  <c:v>0.66328376284118618</c:v>
                </c:pt>
                <c:pt idx="221">
                  <c:v>0.67713614134279643</c:v>
                </c:pt>
                <c:pt idx="222">
                  <c:v>0.68876484099075286</c:v>
                </c:pt>
                <c:pt idx="223">
                  <c:v>0.69818734755904932</c:v>
                </c:pt>
                <c:pt idx="224">
                  <c:v>0.70543254082885642</c:v>
                </c:pt>
                <c:pt idx="225">
                  <c:v>0.71054015361798906</c:v>
                </c:pt>
                <c:pt idx="226">
                  <c:v>0.71356015979085718</c:v>
                </c:pt>
                <c:pt idx="227">
                  <c:v>0.71455209927381746</c:v>
                </c:pt>
                <c:pt idx="228">
                  <c:v>0.71358434851996055</c:v>
                </c:pt>
                <c:pt idx="229">
                  <c:v>0.71073334517034892</c:v>
                </c:pt>
                <c:pt idx="230">
                  <c:v>0.7060827758453796</c:v>
                </c:pt>
                <c:pt idx="231">
                  <c:v>0.69972273607187141</c:v>
                </c:pt>
                <c:pt idx="232">
                  <c:v>0.69174887131184248</c:v>
                </c:pt>
                <c:pt idx="233">
                  <c:v>0.68226150791249762</c:v>
                </c:pt>
                <c:pt idx="234">
                  <c:v>0.67136478254981002</c:v>
                </c:pt>
                <c:pt idx="235">
                  <c:v>0.65916577839763169</c:v>
                </c:pt>
                <c:pt idx="236">
                  <c:v>0.64577367582892653</c:v>
                </c:pt>
                <c:pt idx="237">
                  <c:v>0.63129892495485074</c:v>
                </c:pt>
                <c:pt idx="238">
                  <c:v>0.61585244674103978</c:v>
                </c:pt>
                <c:pt idx="239">
                  <c:v>0.59954486881913382</c:v>
                </c:pt>
                <c:pt idx="240">
                  <c:v>0.58248580144620965</c:v>
                </c:pt>
                <c:pt idx="241">
                  <c:v>0.56478315836633275</c:v>
                </c:pt>
                <c:pt idx="242">
                  <c:v>0.5465425266079017</c:v>
                </c:pt>
                <c:pt idx="243">
                  <c:v>0.52786658851853596</c:v>
                </c:pt>
                <c:pt idx="244">
                  <c:v>0.50885459860630911</c:v>
                </c:pt>
                <c:pt idx="245">
                  <c:v>0.48960191703196382</c:v>
                </c:pt>
                <c:pt idx="246">
                  <c:v>0.47019960089052976</c:v>
                </c:pt>
                <c:pt idx="247">
                  <c:v>0.4507340537408881</c:v>
                </c:pt>
                <c:pt idx="248">
                  <c:v>0.43128673319579525</c:v>
                </c:pt>
                <c:pt idx="249">
                  <c:v>0.41193391577933247</c:v>
                </c:pt>
                <c:pt idx="250">
                  <c:v>0.39274651769926383</c:v>
                </c:pt>
                <c:pt idx="251">
                  <c:v>0.37378996967299299</c:v>
                </c:pt>
                <c:pt idx="252">
                  <c:v>0.35512414349128868</c:v>
                </c:pt>
                <c:pt idx="253">
                  <c:v>0.33680332760625303</c:v>
                </c:pt>
                <c:pt idx="254">
                  <c:v>0.31887624869072723</c:v>
                </c:pt>
                <c:pt idx="255">
                  <c:v>0.3013861358360681</c:v>
                </c:pt>
                <c:pt idx="256">
                  <c:v>0.28437082383372558</c:v>
                </c:pt>
                <c:pt idx="257">
                  <c:v>0.26786289182216827</c:v>
                </c:pt>
                <c:pt idx="258">
                  <c:v>0.25188983347259086</c:v>
                </c:pt>
                <c:pt idx="259">
                  <c:v>0.23647425483192813</c:v>
                </c:pt>
                <c:pt idx="260">
                  <c:v>0.22163409593685704</c:v>
                </c:pt>
                <c:pt idx="261">
                  <c:v>0.20738287235406655</c:v>
                </c:pt>
                <c:pt idx="262">
                  <c:v>0.19372993288606474</c:v>
                </c:pt>
                <c:pt idx="263">
                  <c:v>0.18068072980383879</c:v>
                </c:pt>
                <c:pt idx="264">
                  <c:v>0.16823709812322529</c:v>
                </c:pt>
                <c:pt idx="265">
                  <c:v>0.15639754062619027</c:v>
                </c:pt>
                <c:pt idx="266">
                  <c:v>0.14515751553664358</c:v>
                </c:pt>
                <c:pt idx="267">
                  <c:v>0.13450972398821043</c:v>
                </c:pt>
                <c:pt idx="268">
                  <c:v>0.12444439466397755</c:v>
                </c:pt>
                <c:pt idx="269">
                  <c:v>0.11494956324119149</c:v>
                </c:pt>
                <c:pt idx="270">
                  <c:v>0.10601134453302175</c:v>
                </c:pt>
                <c:pt idx="271">
                  <c:v>9.7614195480886887E-2</c:v>
                </c:pt>
                <c:pt idx="272">
                  <c:v>8.9741167410856942E-2</c:v>
                </c:pt>
                <c:pt idx="273">
                  <c:v>8.2374146223023442E-2</c:v>
                </c:pt>
                <c:pt idx="274">
                  <c:v>7.5494079430541983E-2</c:v>
                </c:pt>
                <c:pt idx="275">
                  <c:v>6.9081189202768081E-2</c:v>
                </c:pt>
                <c:pt idx="276">
                  <c:v>6.3115170792356429E-2</c:v>
                </c:pt>
                <c:pt idx="277">
                  <c:v>5.7575375937592752E-2</c:v>
                </c:pt>
                <c:pt idx="278">
                  <c:v>5.2440981027158613E-2</c:v>
                </c:pt>
                <c:pt idx="279">
                  <c:v>4.7691139993936642E-2</c:v>
                </c:pt>
                <c:pt idx="280">
                  <c:v>4.3305122066626886E-2</c:v>
                </c:pt>
                <c:pt idx="281">
                  <c:v>3.926243465245853E-2</c:v>
                </c:pt>
                <c:pt idx="282">
                  <c:v>3.5542931751041805E-2</c:v>
                </c:pt>
                <c:pt idx="283">
                  <c:v>3.2126908408560882E-2</c:v>
                </c:pt>
                <c:pt idx="284">
                  <c:v>2.8995181813453251E-2</c:v>
                </c:pt>
                <c:pt idx="285">
                  <c:v>2.612915971005032E-2</c:v>
                </c:pt>
                <c:pt idx="286">
                  <c:v>2.3510896866134445E-2</c:v>
                </c:pt>
                <c:pt idx="287">
                  <c:v>2.1123140374917613E-2</c:v>
                </c:pt>
                <c:pt idx="288">
                  <c:v>1.8949364602592406E-2</c:v>
                </c:pt>
                <c:pt idx="289">
                  <c:v>1.6973796610463793E-2</c:v>
                </c:pt>
                <c:pt idx="290">
                  <c:v>1.5181432886915751E-2</c:v>
                </c:pt>
                <c:pt idx="291">
                  <c:v>1.3558048220309975E-2</c:v>
                </c:pt>
                <c:pt idx="292">
                  <c:v>1.2090197530577209E-2</c:v>
                </c:pt>
                <c:pt idx="293">
                  <c:v>1.0765211455960945E-2</c:v>
                </c:pt>
                <c:pt idx="294">
                  <c:v>9.5711864632962926E-3</c:v>
                </c:pt>
                <c:pt idx="295">
                  <c:v>8.4969702165015679E-3</c:v>
                </c:pt>
                <c:pt idx="296">
                  <c:v>7.5321428997205987E-3</c:v>
                </c:pt>
                <c:pt idx="297">
                  <c:v>6.6669951498083265E-3</c:v>
                </c:pt>
                <c:pt idx="298">
                  <c:v>5.8925032085569446E-3</c:v>
                </c:pt>
                <c:pt idx="299">
                  <c:v>5.2003018590915271E-3</c:v>
                </c:pt>
                <c:pt idx="300">
                  <c:v>4.5826556640172142E-3</c:v>
                </c:pt>
                <c:pt idx="301">
                  <c:v>4.0324289758832867E-3</c:v>
                </c:pt>
                <c:pt idx="302">
                  <c:v>3.5430551439667533E-3</c:v>
                </c:pt>
                <c:pt idx="303">
                  <c:v>3.1085052958085158E-3</c:v>
                </c:pt>
                <c:pt idx="304">
                  <c:v>2.7232570278163766E-3</c:v>
                </c:pt>
                <c:pt idx="305">
                  <c:v>2.3822632969588324E-3</c:v>
                </c:pt>
                <c:pt idx="306">
                  <c:v>2.0809217654169814E-3</c:v>
                </c:pt>
                <c:pt idx="307">
                  <c:v>1.8150448122724499E-3</c:v>
                </c:pt>
                <c:pt idx="308">
                  <c:v>1.5808303910586864E-3</c:v>
                </c:pt>
                <c:pt idx="309">
                  <c:v>1.3748338794030753E-3</c:v>
                </c:pt>
                <c:pt idx="310">
                  <c:v>1.1939410370986937E-3</c:v>
                </c:pt>
                <c:pt idx="311">
                  <c:v>1.0353421617813187E-3</c:v>
                </c:pt>
                <c:pt idx="312">
                  <c:v>8.9650750692354985E-4</c:v>
                </c:pt>
                <c:pt idx="313">
                  <c:v>7.7516400503349766E-4</c:v>
                </c:pt>
                <c:pt idx="314">
                  <c:v>6.6927331967167104E-4</c:v>
                </c:pt>
                <c:pt idx="315">
                  <c:v>5.770112330645053E-4</c:v>
                </c:pt>
                <c:pt idx="316">
                  <c:v>4.9674836156592811E-4</c:v>
                </c:pt>
                <c:pt idx="317">
                  <c:v>4.2703217885549019E-4</c:v>
                </c:pt>
                <c:pt idx="318">
                  <c:v>3.6657031640910788E-4</c:v>
                </c:pt>
                <c:pt idx="319">
                  <c:v>3.1421510227684478E-4</c:v>
                </c:pt>
                <c:pt idx="320">
                  <c:v>2.6894929238914283E-4</c:v>
                </c:pt>
                <c:pt idx="321">
                  <c:v>2.2987294332657478E-4</c:v>
                </c:pt>
                <c:pt idx="322">
                  <c:v>1.9619137156923026E-4</c:v>
                </c:pt>
                <c:pt idx="323">
                  <c:v>1.6720414153558358E-4</c:v>
                </c:pt>
                <c:pt idx="324">
                  <c:v>1.4229502307888884E-4</c:v>
                </c:pt>
                <c:pt idx="325">
                  <c:v>1.2092285839109156E-4</c:v>
                </c:pt>
                <c:pt idx="326">
                  <c:v>1.0261327833783219E-4</c:v>
                </c:pt>
                <c:pt idx="327">
                  <c:v>8.6951208990589769E-5</c:v>
                </c:pt>
                <c:pt idx="328">
                  <c:v>7.3574110420218525E-5</c:v>
                </c:pt>
                <c:pt idx="329">
                  <c:v>6.2165891566927259E-5</c:v>
                </c:pt>
                <c:pt idx="330">
                  <c:v>5.2451447111832479E-5</c:v>
                </c:pt>
                <c:pt idx="331">
                  <c:v>4.4191764661114027E-5</c:v>
                </c:pt>
                <c:pt idx="332">
                  <c:v>3.7179553141473351E-5</c:v>
                </c:pt>
                <c:pt idx="333">
                  <c:v>3.1235346030094804E-5</c:v>
                </c:pt>
                <c:pt idx="334">
                  <c:v>2.6204035847302074E-5</c:v>
                </c:pt>
                <c:pt idx="335">
                  <c:v>2.1951799177273973E-5</c:v>
                </c:pt>
                <c:pt idx="336">
                  <c:v>1.8363374310711692E-5</c:v>
                </c:pt>
                <c:pt idx="337">
                  <c:v>1.5339656389248934E-5</c:v>
                </c:pt>
                <c:pt idx="338">
                  <c:v>1.2795577646913713E-5</c:v>
                </c:pt>
                <c:pt idx="339">
                  <c:v>1.065824296694038E-5</c:v>
                </c:pt>
                <c:pt idx="340">
                  <c:v>8.8652934855479935E-6</c:v>
                </c:pt>
                <c:pt idx="341">
                  <c:v>7.3634733652076295E-6</c:v>
                </c:pt>
                <c:pt idx="342">
                  <c:v>6.1073771195393159E-6</c:v>
                </c:pt>
                <c:pt idx="343">
                  <c:v>5.0583569947501631E-6</c:v>
                </c:pt>
                <c:pt idx="344">
                  <c:v>4.1835718957298166E-6</c:v>
                </c:pt>
                <c:pt idx="345">
                  <c:v>3.4551611882253537E-6</c:v>
                </c:pt>
                <c:pt idx="346">
                  <c:v>2.8495284135627221E-6</c:v>
                </c:pt>
                <c:pt idx="347">
                  <c:v>2.3467215224094204E-6</c:v>
                </c:pt>
                <c:pt idx="348">
                  <c:v>1.9298976735968807E-6</c:v>
                </c:pt>
                <c:pt idx="349">
                  <c:v>1.5848619585312384E-6</c:v>
                </c:pt>
                <c:pt idx="350">
                  <c:v>1.2996706074301852E-6</c:v>
                </c:pt>
                <c:pt idx="351">
                  <c:v>1.0642903172415774E-6</c:v>
                </c:pt>
                <c:pt idx="352">
                  <c:v>8.7030631964429403E-7</c:v>
                </c:pt>
                <c:pt idx="353">
                  <c:v>7.1067268817013891E-7</c:v>
                </c:pt>
                <c:pt idx="354">
                  <c:v>5.7949917339709782E-7</c:v>
                </c:pt>
                <c:pt idx="355">
                  <c:v>4.7186956143387611E-7</c:v>
                </c:pt>
                <c:pt idx="356">
                  <c:v>3.8368718044608324E-7</c:v>
                </c:pt>
                <c:pt idx="357">
                  <c:v>3.1154373941671163E-7</c:v>
                </c:pt>
                <c:pt idx="358">
                  <c:v>2.5260817903733927E-7</c:v>
                </c:pt>
                <c:pt idx="359">
                  <c:v>2.0453265260162411E-7</c:v>
                </c:pt>
                <c:pt idx="360">
                  <c:v>1.6537314066591201E-7</c:v>
                </c:pt>
                <c:pt idx="361">
                  <c:v>1.3352254232199381E-7</c:v>
                </c:pt>
                <c:pt idx="362">
                  <c:v>1.0765438308069874E-7</c:v>
                </c:pt>
                <c:pt idx="363">
                  <c:v>8.6675539097378266E-8</c:v>
                </c:pt>
                <c:pt idx="364">
                  <c:v>6.9686603913718604E-8</c:v>
                </c:pt>
                <c:pt idx="365">
                  <c:v>5.5948720815761308E-8</c:v>
                </c:pt>
                <c:pt idx="366">
                  <c:v>4.4855874740969038E-8</c:v>
                </c:pt>
                <c:pt idx="367">
                  <c:v>3.5911785505437363E-8</c:v>
                </c:pt>
                <c:pt idx="368">
                  <c:v>2.8710671755596544E-8</c:v>
                </c:pt>
                <c:pt idx="369">
                  <c:v>2.2921264979275717E-8</c:v>
                </c:pt>
                <c:pt idx="370">
                  <c:v>1.8273547374640201E-8</c:v>
                </c:pt>
                <c:pt idx="371">
                  <c:v>1.4547768362799697E-8</c:v>
                </c:pt>
                <c:pt idx="372">
                  <c:v>1.1565363806660819E-8</c:v>
                </c:pt>
                <c:pt idx="373">
                  <c:v>9.1814611260775283E-9</c:v>
                </c:pt>
                <c:pt idx="374">
                  <c:v>7.2787038533055247E-9</c:v>
                </c:pt>
                <c:pt idx="375">
                  <c:v>5.7621719616613945E-9</c:v>
                </c:pt>
                <c:pt idx="376">
                  <c:v>4.5552105823879982E-9</c:v>
                </c:pt>
                <c:pt idx="377">
                  <c:v>3.5960104239436837E-9</c:v>
                </c:pt>
                <c:pt idx="378">
                  <c:v>2.83480912853707E-9</c:v>
                </c:pt>
                <c:pt idx="379">
                  <c:v>2.2316046408395681E-9</c:v>
                </c:pt>
                <c:pt idx="380">
                  <c:v>1.7542900277007713E-9</c:v>
                </c:pt>
                <c:pt idx="381">
                  <c:v>1.3771345970001342E-9</c:v>
                </c:pt>
                <c:pt idx="382">
                  <c:v>1.0795490675668884E-9</c:v>
                </c:pt>
                <c:pt idx="383">
                  <c:v>8.4508332598971268E-10</c:v>
                </c:pt>
                <c:pt idx="384">
                  <c:v>6.6061430036410142E-10</c:v>
                </c:pt>
                <c:pt idx="385">
                  <c:v>5.1568896770689949E-10</c:v>
                </c:pt>
                <c:pt idx="386">
                  <c:v>4.0199373131220308E-10</c:v>
                </c:pt>
                <c:pt idx="387">
                  <c:v>3.1292656109157308E-10</c:v>
                </c:pt>
                <c:pt idx="388">
                  <c:v>2.432525572347092E-10</c:v>
                </c:pt>
                <c:pt idx="389">
                  <c:v>1.8882712195590147E-10</c:v>
                </c:pt>
                <c:pt idx="390">
                  <c:v>1.4637382939828277E-10</c:v>
                </c:pt>
                <c:pt idx="391">
                  <c:v>1.1330647415048601E-10</c:v>
                </c:pt>
                <c:pt idx="392">
                  <c:v>8.7586741829158625E-11</c:v>
                </c:pt>
                <c:pt idx="393">
                  <c:v>6.7610554176242368E-11</c:v>
                </c:pt>
                <c:pt idx="394">
                  <c:v>5.211745748508517E-11</c:v>
                </c:pt>
                <c:pt idx="395">
                  <c:v>4.0118498121936366E-11</c:v>
                </c:pt>
                <c:pt idx="396">
                  <c:v>3.083890509848587E-11</c:v>
                </c:pt>
                <c:pt idx="397">
                  <c:v>2.3672612514496082E-11</c:v>
                </c:pt>
                <c:pt idx="398">
                  <c:v>1.8146233609843288E-11</c:v>
                </c:pt>
                <c:pt idx="399">
                  <c:v>1.3890567452863057E-11</c:v>
                </c:pt>
                <c:pt idx="400">
                  <c:v>1.0618099018529246E-11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5C-472E-BB58-BD413582DD90}"/>
            </c:ext>
          </c:extLst>
        </c:ser>
        <c:ser>
          <c:idx val="2"/>
          <c:order val="2"/>
          <c:tx>
            <c:strRef>
              <c:f>'transversal subsidence profile'!$P$4</c:f>
              <c:strCache>
                <c:ptCount val="1"/>
                <c:pt idx="0">
                  <c:v>Total displacements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'transversal subsidence profile'!$G$10:$G$410</c:f>
              <c:numCache>
                <c:formatCode>General</c:formatCode>
                <c:ptCount val="401"/>
                <c:pt idx="0">
                  <c:v>-60</c:v>
                </c:pt>
                <c:pt idx="1">
                  <c:v>-59.75</c:v>
                </c:pt>
                <c:pt idx="2">
                  <c:v>-59.5</c:v>
                </c:pt>
                <c:pt idx="3">
                  <c:v>-59.25</c:v>
                </c:pt>
                <c:pt idx="4">
                  <c:v>-59</c:v>
                </c:pt>
                <c:pt idx="5">
                  <c:v>-58.75</c:v>
                </c:pt>
                <c:pt idx="6">
                  <c:v>-58.5</c:v>
                </c:pt>
                <c:pt idx="7">
                  <c:v>-58.25</c:v>
                </c:pt>
                <c:pt idx="8">
                  <c:v>-58</c:v>
                </c:pt>
                <c:pt idx="9">
                  <c:v>-57.75</c:v>
                </c:pt>
                <c:pt idx="10">
                  <c:v>-57.5</c:v>
                </c:pt>
                <c:pt idx="11">
                  <c:v>-57.25</c:v>
                </c:pt>
                <c:pt idx="12">
                  <c:v>-57</c:v>
                </c:pt>
                <c:pt idx="13">
                  <c:v>-56.75</c:v>
                </c:pt>
                <c:pt idx="14">
                  <c:v>-56.5</c:v>
                </c:pt>
                <c:pt idx="15">
                  <c:v>-56.25</c:v>
                </c:pt>
                <c:pt idx="16">
                  <c:v>-56</c:v>
                </c:pt>
                <c:pt idx="17">
                  <c:v>-55.75</c:v>
                </c:pt>
                <c:pt idx="18">
                  <c:v>-55.5</c:v>
                </c:pt>
                <c:pt idx="19">
                  <c:v>-55.25</c:v>
                </c:pt>
                <c:pt idx="20">
                  <c:v>-55</c:v>
                </c:pt>
                <c:pt idx="21">
                  <c:v>-54.75</c:v>
                </c:pt>
                <c:pt idx="22">
                  <c:v>-54.5</c:v>
                </c:pt>
                <c:pt idx="23">
                  <c:v>-54.25</c:v>
                </c:pt>
                <c:pt idx="24">
                  <c:v>-54</c:v>
                </c:pt>
                <c:pt idx="25">
                  <c:v>-53.75</c:v>
                </c:pt>
                <c:pt idx="26">
                  <c:v>-53.5</c:v>
                </c:pt>
                <c:pt idx="27">
                  <c:v>-53.25</c:v>
                </c:pt>
                <c:pt idx="28">
                  <c:v>-53</c:v>
                </c:pt>
                <c:pt idx="29">
                  <c:v>-52.75</c:v>
                </c:pt>
                <c:pt idx="30">
                  <c:v>-52.5</c:v>
                </c:pt>
                <c:pt idx="31">
                  <c:v>-52.25</c:v>
                </c:pt>
                <c:pt idx="32">
                  <c:v>-52</c:v>
                </c:pt>
                <c:pt idx="33">
                  <c:v>-51.75</c:v>
                </c:pt>
                <c:pt idx="34">
                  <c:v>-51.5</c:v>
                </c:pt>
                <c:pt idx="35">
                  <c:v>-51.25</c:v>
                </c:pt>
                <c:pt idx="36">
                  <c:v>-51</c:v>
                </c:pt>
                <c:pt idx="37">
                  <c:v>-50.75</c:v>
                </c:pt>
                <c:pt idx="38">
                  <c:v>-50.5</c:v>
                </c:pt>
                <c:pt idx="39">
                  <c:v>-50.25</c:v>
                </c:pt>
                <c:pt idx="40">
                  <c:v>-50</c:v>
                </c:pt>
                <c:pt idx="41">
                  <c:v>-49.75</c:v>
                </c:pt>
                <c:pt idx="42">
                  <c:v>-49.5</c:v>
                </c:pt>
                <c:pt idx="43">
                  <c:v>-49.25</c:v>
                </c:pt>
                <c:pt idx="44">
                  <c:v>-49</c:v>
                </c:pt>
                <c:pt idx="45">
                  <c:v>-48.75</c:v>
                </c:pt>
                <c:pt idx="46">
                  <c:v>-48.5</c:v>
                </c:pt>
                <c:pt idx="47">
                  <c:v>-48.25</c:v>
                </c:pt>
                <c:pt idx="48">
                  <c:v>-48</c:v>
                </c:pt>
                <c:pt idx="49">
                  <c:v>-47.75</c:v>
                </c:pt>
                <c:pt idx="50">
                  <c:v>-47.5</c:v>
                </c:pt>
                <c:pt idx="51">
                  <c:v>-47.25</c:v>
                </c:pt>
                <c:pt idx="52">
                  <c:v>-47</c:v>
                </c:pt>
                <c:pt idx="53">
                  <c:v>-46.75</c:v>
                </c:pt>
                <c:pt idx="54">
                  <c:v>-46.5</c:v>
                </c:pt>
                <c:pt idx="55">
                  <c:v>-46.25</c:v>
                </c:pt>
                <c:pt idx="56">
                  <c:v>-46</c:v>
                </c:pt>
                <c:pt idx="57">
                  <c:v>-45.75</c:v>
                </c:pt>
                <c:pt idx="58">
                  <c:v>-45.5</c:v>
                </c:pt>
                <c:pt idx="59">
                  <c:v>-45.25</c:v>
                </c:pt>
                <c:pt idx="60">
                  <c:v>-45</c:v>
                </c:pt>
                <c:pt idx="61">
                  <c:v>-44.75</c:v>
                </c:pt>
                <c:pt idx="62">
                  <c:v>-44.5</c:v>
                </c:pt>
                <c:pt idx="63">
                  <c:v>-44.25</c:v>
                </c:pt>
                <c:pt idx="64">
                  <c:v>-44</c:v>
                </c:pt>
                <c:pt idx="65">
                  <c:v>-43.75</c:v>
                </c:pt>
                <c:pt idx="66">
                  <c:v>-43.5</c:v>
                </c:pt>
                <c:pt idx="67">
                  <c:v>-43.25</c:v>
                </c:pt>
                <c:pt idx="68">
                  <c:v>-43</c:v>
                </c:pt>
                <c:pt idx="69">
                  <c:v>-42.75</c:v>
                </c:pt>
                <c:pt idx="70">
                  <c:v>-42.5</c:v>
                </c:pt>
                <c:pt idx="71">
                  <c:v>-42.25</c:v>
                </c:pt>
                <c:pt idx="72">
                  <c:v>-42</c:v>
                </c:pt>
                <c:pt idx="73">
                  <c:v>-41.75</c:v>
                </c:pt>
                <c:pt idx="74">
                  <c:v>-41.5</c:v>
                </c:pt>
                <c:pt idx="75">
                  <c:v>-41.25</c:v>
                </c:pt>
                <c:pt idx="76">
                  <c:v>-41</c:v>
                </c:pt>
                <c:pt idx="77">
                  <c:v>-40.75</c:v>
                </c:pt>
                <c:pt idx="78">
                  <c:v>-40.5</c:v>
                </c:pt>
                <c:pt idx="79">
                  <c:v>-40.25</c:v>
                </c:pt>
                <c:pt idx="80">
                  <c:v>-40</c:v>
                </c:pt>
                <c:pt idx="81">
                  <c:v>-39.75</c:v>
                </c:pt>
                <c:pt idx="82">
                  <c:v>-39.5</c:v>
                </c:pt>
                <c:pt idx="83">
                  <c:v>-39.25</c:v>
                </c:pt>
                <c:pt idx="84">
                  <c:v>-39</c:v>
                </c:pt>
                <c:pt idx="85">
                  <c:v>-38.75</c:v>
                </c:pt>
                <c:pt idx="86">
                  <c:v>-38.5</c:v>
                </c:pt>
                <c:pt idx="87">
                  <c:v>-38.25</c:v>
                </c:pt>
                <c:pt idx="88">
                  <c:v>-38</c:v>
                </c:pt>
                <c:pt idx="89">
                  <c:v>-37.75</c:v>
                </c:pt>
                <c:pt idx="90">
                  <c:v>-37.5</c:v>
                </c:pt>
                <c:pt idx="91">
                  <c:v>-37.25</c:v>
                </c:pt>
                <c:pt idx="92">
                  <c:v>-37</c:v>
                </c:pt>
                <c:pt idx="93">
                  <c:v>-36.75</c:v>
                </c:pt>
                <c:pt idx="94">
                  <c:v>-36.5</c:v>
                </c:pt>
                <c:pt idx="95">
                  <c:v>-36.25</c:v>
                </c:pt>
                <c:pt idx="96">
                  <c:v>-36</c:v>
                </c:pt>
                <c:pt idx="97">
                  <c:v>-35.75</c:v>
                </c:pt>
                <c:pt idx="98">
                  <c:v>-35.5</c:v>
                </c:pt>
                <c:pt idx="99">
                  <c:v>-35.25</c:v>
                </c:pt>
                <c:pt idx="100">
                  <c:v>-35</c:v>
                </c:pt>
                <c:pt idx="101">
                  <c:v>-34.75</c:v>
                </c:pt>
                <c:pt idx="102">
                  <c:v>-34.5</c:v>
                </c:pt>
                <c:pt idx="103">
                  <c:v>-34.25</c:v>
                </c:pt>
                <c:pt idx="104">
                  <c:v>-34</c:v>
                </c:pt>
                <c:pt idx="105">
                  <c:v>-33.75</c:v>
                </c:pt>
                <c:pt idx="106">
                  <c:v>-33.5</c:v>
                </c:pt>
                <c:pt idx="107">
                  <c:v>-33.25</c:v>
                </c:pt>
                <c:pt idx="108">
                  <c:v>-33</c:v>
                </c:pt>
                <c:pt idx="109">
                  <c:v>-32.75</c:v>
                </c:pt>
                <c:pt idx="110">
                  <c:v>-32.5</c:v>
                </c:pt>
                <c:pt idx="111">
                  <c:v>-32.25</c:v>
                </c:pt>
                <c:pt idx="112">
                  <c:v>-32</c:v>
                </c:pt>
                <c:pt idx="113">
                  <c:v>-31.75</c:v>
                </c:pt>
                <c:pt idx="114">
                  <c:v>-31.5</c:v>
                </c:pt>
                <c:pt idx="115">
                  <c:v>-31.25</c:v>
                </c:pt>
                <c:pt idx="116">
                  <c:v>-31</c:v>
                </c:pt>
                <c:pt idx="117">
                  <c:v>-30.75</c:v>
                </c:pt>
                <c:pt idx="118">
                  <c:v>-30.5</c:v>
                </c:pt>
                <c:pt idx="119">
                  <c:v>-30.25</c:v>
                </c:pt>
                <c:pt idx="120">
                  <c:v>-30</c:v>
                </c:pt>
                <c:pt idx="121">
                  <c:v>-29.75</c:v>
                </c:pt>
                <c:pt idx="122">
                  <c:v>-29.5</c:v>
                </c:pt>
                <c:pt idx="123">
                  <c:v>-29.25</c:v>
                </c:pt>
                <c:pt idx="124">
                  <c:v>-29</c:v>
                </c:pt>
                <c:pt idx="125">
                  <c:v>-28.75</c:v>
                </c:pt>
                <c:pt idx="126">
                  <c:v>-28.5</c:v>
                </c:pt>
                <c:pt idx="127">
                  <c:v>-28.25</c:v>
                </c:pt>
                <c:pt idx="128">
                  <c:v>-28</c:v>
                </c:pt>
                <c:pt idx="129">
                  <c:v>-27.75</c:v>
                </c:pt>
                <c:pt idx="130">
                  <c:v>-27.5</c:v>
                </c:pt>
                <c:pt idx="131">
                  <c:v>-27.25</c:v>
                </c:pt>
                <c:pt idx="132">
                  <c:v>-27</c:v>
                </c:pt>
                <c:pt idx="133">
                  <c:v>-26.75</c:v>
                </c:pt>
                <c:pt idx="134">
                  <c:v>-26.5</c:v>
                </c:pt>
                <c:pt idx="135">
                  <c:v>-26.25</c:v>
                </c:pt>
                <c:pt idx="136">
                  <c:v>-26</c:v>
                </c:pt>
                <c:pt idx="137">
                  <c:v>-25.75</c:v>
                </c:pt>
                <c:pt idx="138">
                  <c:v>-25.5</c:v>
                </c:pt>
                <c:pt idx="139">
                  <c:v>-25.25</c:v>
                </c:pt>
                <c:pt idx="140">
                  <c:v>-25</c:v>
                </c:pt>
                <c:pt idx="141">
                  <c:v>-24.75</c:v>
                </c:pt>
                <c:pt idx="142">
                  <c:v>-24.5</c:v>
                </c:pt>
                <c:pt idx="143">
                  <c:v>-24.25</c:v>
                </c:pt>
                <c:pt idx="144">
                  <c:v>-24</c:v>
                </c:pt>
                <c:pt idx="145">
                  <c:v>-23.75</c:v>
                </c:pt>
                <c:pt idx="146">
                  <c:v>-23.5</c:v>
                </c:pt>
                <c:pt idx="147">
                  <c:v>-23.25</c:v>
                </c:pt>
                <c:pt idx="148">
                  <c:v>-23</c:v>
                </c:pt>
                <c:pt idx="149">
                  <c:v>-22.75</c:v>
                </c:pt>
                <c:pt idx="150">
                  <c:v>-22.5</c:v>
                </c:pt>
                <c:pt idx="151">
                  <c:v>-22.25</c:v>
                </c:pt>
                <c:pt idx="152">
                  <c:v>-22</c:v>
                </c:pt>
                <c:pt idx="153">
                  <c:v>-21.75</c:v>
                </c:pt>
                <c:pt idx="154">
                  <c:v>-21.5</c:v>
                </c:pt>
                <c:pt idx="155">
                  <c:v>-21.25</c:v>
                </c:pt>
                <c:pt idx="156">
                  <c:v>-21</c:v>
                </c:pt>
                <c:pt idx="157">
                  <c:v>-20.75</c:v>
                </c:pt>
                <c:pt idx="158">
                  <c:v>-20.5</c:v>
                </c:pt>
                <c:pt idx="159">
                  <c:v>-20.25</c:v>
                </c:pt>
                <c:pt idx="160">
                  <c:v>-20</c:v>
                </c:pt>
                <c:pt idx="161">
                  <c:v>-19.75</c:v>
                </c:pt>
                <c:pt idx="162">
                  <c:v>-19.5</c:v>
                </c:pt>
                <c:pt idx="163">
                  <c:v>-19.25</c:v>
                </c:pt>
                <c:pt idx="164">
                  <c:v>-19</c:v>
                </c:pt>
                <c:pt idx="165">
                  <c:v>-18.75</c:v>
                </c:pt>
                <c:pt idx="166">
                  <c:v>-18.5</c:v>
                </c:pt>
                <c:pt idx="167">
                  <c:v>-18.25</c:v>
                </c:pt>
                <c:pt idx="168">
                  <c:v>-18</c:v>
                </c:pt>
                <c:pt idx="169">
                  <c:v>-17.75</c:v>
                </c:pt>
                <c:pt idx="170">
                  <c:v>-17.5</c:v>
                </c:pt>
                <c:pt idx="171">
                  <c:v>-17.25</c:v>
                </c:pt>
                <c:pt idx="172">
                  <c:v>-17</c:v>
                </c:pt>
                <c:pt idx="173">
                  <c:v>-16.75</c:v>
                </c:pt>
                <c:pt idx="174">
                  <c:v>-16.5</c:v>
                </c:pt>
                <c:pt idx="175">
                  <c:v>-16.25</c:v>
                </c:pt>
                <c:pt idx="176">
                  <c:v>-16</c:v>
                </c:pt>
                <c:pt idx="177">
                  <c:v>-15.75</c:v>
                </c:pt>
                <c:pt idx="178">
                  <c:v>-15.5</c:v>
                </c:pt>
                <c:pt idx="179">
                  <c:v>-15.25</c:v>
                </c:pt>
                <c:pt idx="180">
                  <c:v>-15</c:v>
                </c:pt>
                <c:pt idx="181">
                  <c:v>-14.75</c:v>
                </c:pt>
                <c:pt idx="182">
                  <c:v>-14.5</c:v>
                </c:pt>
                <c:pt idx="183">
                  <c:v>-14.25</c:v>
                </c:pt>
                <c:pt idx="184">
                  <c:v>-14</c:v>
                </c:pt>
                <c:pt idx="185">
                  <c:v>-13.75</c:v>
                </c:pt>
                <c:pt idx="186">
                  <c:v>-13.5</c:v>
                </c:pt>
                <c:pt idx="187">
                  <c:v>-13.25</c:v>
                </c:pt>
                <c:pt idx="188">
                  <c:v>-13</c:v>
                </c:pt>
                <c:pt idx="189">
                  <c:v>-12.75</c:v>
                </c:pt>
                <c:pt idx="190">
                  <c:v>-12.5</c:v>
                </c:pt>
                <c:pt idx="191">
                  <c:v>-12.25</c:v>
                </c:pt>
                <c:pt idx="192">
                  <c:v>-12</c:v>
                </c:pt>
                <c:pt idx="193">
                  <c:v>-11.75</c:v>
                </c:pt>
                <c:pt idx="194">
                  <c:v>-11.5</c:v>
                </c:pt>
                <c:pt idx="195">
                  <c:v>-11.25</c:v>
                </c:pt>
                <c:pt idx="196">
                  <c:v>-11</c:v>
                </c:pt>
                <c:pt idx="197">
                  <c:v>-10.75</c:v>
                </c:pt>
                <c:pt idx="198">
                  <c:v>-10.5</c:v>
                </c:pt>
                <c:pt idx="199">
                  <c:v>-10.25</c:v>
                </c:pt>
                <c:pt idx="200">
                  <c:v>-10</c:v>
                </c:pt>
                <c:pt idx="201">
                  <c:v>-9.75</c:v>
                </c:pt>
                <c:pt idx="202">
                  <c:v>-9.5</c:v>
                </c:pt>
                <c:pt idx="203">
                  <c:v>-9.25</c:v>
                </c:pt>
                <c:pt idx="204">
                  <c:v>-9</c:v>
                </c:pt>
                <c:pt idx="205">
                  <c:v>-8.75</c:v>
                </c:pt>
                <c:pt idx="206">
                  <c:v>-8.5</c:v>
                </c:pt>
                <c:pt idx="207">
                  <c:v>-8.25</c:v>
                </c:pt>
                <c:pt idx="208">
                  <c:v>-8</c:v>
                </c:pt>
                <c:pt idx="209">
                  <c:v>-7.75</c:v>
                </c:pt>
                <c:pt idx="210">
                  <c:v>-7.5</c:v>
                </c:pt>
                <c:pt idx="211">
                  <c:v>-7.25</c:v>
                </c:pt>
                <c:pt idx="212">
                  <c:v>-7</c:v>
                </c:pt>
                <c:pt idx="213">
                  <c:v>-6.75</c:v>
                </c:pt>
                <c:pt idx="214">
                  <c:v>-6.5</c:v>
                </c:pt>
                <c:pt idx="215">
                  <c:v>-6.25</c:v>
                </c:pt>
                <c:pt idx="216">
                  <c:v>-6</c:v>
                </c:pt>
                <c:pt idx="217">
                  <c:v>-5.75</c:v>
                </c:pt>
                <c:pt idx="218">
                  <c:v>-5.5</c:v>
                </c:pt>
                <c:pt idx="219">
                  <c:v>-5.25</c:v>
                </c:pt>
                <c:pt idx="220">
                  <c:v>-5</c:v>
                </c:pt>
                <c:pt idx="221">
                  <c:v>-4.75</c:v>
                </c:pt>
                <c:pt idx="222">
                  <c:v>-4.5</c:v>
                </c:pt>
                <c:pt idx="223">
                  <c:v>-4.25</c:v>
                </c:pt>
                <c:pt idx="224">
                  <c:v>-4</c:v>
                </c:pt>
                <c:pt idx="225">
                  <c:v>-3.75</c:v>
                </c:pt>
                <c:pt idx="226">
                  <c:v>-3.5</c:v>
                </c:pt>
                <c:pt idx="227">
                  <c:v>-3.25</c:v>
                </c:pt>
                <c:pt idx="228">
                  <c:v>-3</c:v>
                </c:pt>
                <c:pt idx="229">
                  <c:v>-2.75</c:v>
                </c:pt>
                <c:pt idx="230">
                  <c:v>-2.5</c:v>
                </c:pt>
                <c:pt idx="231">
                  <c:v>-2.25</c:v>
                </c:pt>
                <c:pt idx="232">
                  <c:v>-2</c:v>
                </c:pt>
                <c:pt idx="233">
                  <c:v>-1.75</c:v>
                </c:pt>
                <c:pt idx="234">
                  <c:v>-1.5</c:v>
                </c:pt>
                <c:pt idx="235">
                  <c:v>-1.25</c:v>
                </c:pt>
                <c:pt idx="236">
                  <c:v>-1</c:v>
                </c:pt>
                <c:pt idx="237">
                  <c:v>-0.75</c:v>
                </c:pt>
                <c:pt idx="238">
                  <c:v>-0.5</c:v>
                </c:pt>
                <c:pt idx="239">
                  <c:v>-0.25</c:v>
                </c:pt>
                <c:pt idx="240">
                  <c:v>0</c:v>
                </c:pt>
                <c:pt idx="241">
                  <c:v>0.25</c:v>
                </c:pt>
                <c:pt idx="242">
                  <c:v>0.5</c:v>
                </c:pt>
                <c:pt idx="243">
                  <c:v>0.75</c:v>
                </c:pt>
                <c:pt idx="244">
                  <c:v>1</c:v>
                </c:pt>
                <c:pt idx="245">
                  <c:v>1.25</c:v>
                </c:pt>
                <c:pt idx="246">
                  <c:v>1.5</c:v>
                </c:pt>
                <c:pt idx="247">
                  <c:v>1.75</c:v>
                </c:pt>
                <c:pt idx="248">
                  <c:v>2</c:v>
                </c:pt>
                <c:pt idx="249">
                  <c:v>2.25</c:v>
                </c:pt>
                <c:pt idx="250">
                  <c:v>2.5</c:v>
                </c:pt>
                <c:pt idx="251">
                  <c:v>2.75</c:v>
                </c:pt>
                <c:pt idx="252">
                  <c:v>3</c:v>
                </c:pt>
                <c:pt idx="253">
                  <c:v>3.25</c:v>
                </c:pt>
                <c:pt idx="254">
                  <c:v>3.5</c:v>
                </c:pt>
                <c:pt idx="255">
                  <c:v>3.75</c:v>
                </c:pt>
                <c:pt idx="256">
                  <c:v>4</c:v>
                </c:pt>
                <c:pt idx="257">
                  <c:v>4.25</c:v>
                </c:pt>
                <c:pt idx="258">
                  <c:v>4.5</c:v>
                </c:pt>
                <c:pt idx="259">
                  <c:v>4.75</c:v>
                </c:pt>
                <c:pt idx="260">
                  <c:v>5</c:v>
                </c:pt>
                <c:pt idx="261">
                  <c:v>5.25</c:v>
                </c:pt>
                <c:pt idx="262">
                  <c:v>5.5</c:v>
                </c:pt>
                <c:pt idx="263">
                  <c:v>5.75</c:v>
                </c:pt>
                <c:pt idx="264">
                  <c:v>6</c:v>
                </c:pt>
                <c:pt idx="265">
                  <c:v>6.25</c:v>
                </c:pt>
                <c:pt idx="266">
                  <c:v>6.5</c:v>
                </c:pt>
                <c:pt idx="267">
                  <c:v>6.75</c:v>
                </c:pt>
                <c:pt idx="268">
                  <c:v>7</c:v>
                </c:pt>
                <c:pt idx="269">
                  <c:v>7.25</c:v>
                </c:pt>
                <c:pt idx="270">
                  <c:v>7.5</c:v>
                </c:pt>
                <c:pt idx="271">
                  <c:v>7.75</c:v>
                </c:pt>
                <c:pt idx="272">
                  <c:v>8</c:v>
                </c:pt>
                <c:pt idx="273">
                  <c:v>8.25</c:v>
                </c:pt>
                <c:pt idx="274">
                  <c:v>8.5</c:v>
                </c:pt>
                <c:pt idx="275">
                  <c:v>8.75</c:v>
                </c:pt>
                <c:pt idx="276">
                  <c:v>9</c:v>
                </c:pt>
                <c:pt idx="277">
                  <c:v>9.25</c:v>
                </c:pt>
                <c:pt idx="278">
                  <c:v>9.5</c:v>
                </c:pt>
                <c:pt idx="279">
                  <c:v>9.75</c:v>
                </c:pt>
                <c:pt idx="280">
                  <c:v>10</c:v>
                </c:pt>
                <c:pt idx="281">
                  <c:v>10.25</c:v>
                </c:pt>
                <c:pt idx="282">
                  <c:v>10.5</c:v>
                </c:pt>
                <c:pt idx="283">
                  <c:v>10.75</c:v>
                </c:pt>
                <c:pt idx="284">
                  <c:v>11</c:v>
                </c:pt>
                <c:pt idx="285">
                  <c:v>11.25</c:v>
                </c:pt>
                <c:pt idx="286">
                  <c:v>11.5</c:v>
                </c:pt>
                <c:pt idx="287">
                  <c:v>11.75</c:v>
                </c:pt>
                <c:pt idx="288">
                  <c:v>12</c:v>
                </c:pt>
                <c:pt idx="289">
                  <c:v>12.25</c:v>
                </c:pt>
                <c:pt idx="290">
                  <c:v>12.5</c:v>
                </c:pt>
                <c:pt idx="291">
                  <c:v>12.75</c:v>
                </c:pt>
                <c:pt idx="292">
                  <c:v>13</c:v>
                </c:pt>
                <c:pt idx="293">
                  <c:v>13.25</c:v>
                </c:pt>
                <c:pt idx="294">
                  <c:v>13.5</c:v>
                </c:pt>
                <c:pt idx="295">
                  <c:v>13.75</c:v>
                </c:pt>
                <c:pt idx="296">
                  <c:v>14</c:v>
                </c:pt>
                <c:pt idx="297">
                  <c:v>14.25</c:v>
                </c:pt>
                <c:pt idx="298">
                  <c:v>14.5</c:v>
                </c:pt>
                <c:pt idx="299">
                  <c:v>14.75</c:v>
                </c:pt>
                <c:pt idx="300">
                  <c:v>15</c:v>
                </c:pt>
                <c:pt idx="301">
                  <c:v>15.25</c:v>
                </c:pt>
                <c:pt idx="302">
                  <c:v>15.5</c:v>
                </c:pt>
                <c:pt idx="303">
                  <c:v>15.75</c:v>
                </c:pt>
                <c:pt idx="304">
                  <c:v>16</c:v>
                </c:pt>
                <c:pt idx="305">
                  <c:v>16.25</c:v>
                </c:pt>
                <c:pt idx="306">
                  <c:v>16.5</c:v>
                </c:pt>
                <c:pt idx="307">
                  <c:v>16.75</c:v>
                </c:pt>
                <c:pt idx="308">
                  <c:v>17</c:v>
                </c:pt>
                <c:pt idx="309">
                  <c:v>17.25</c:v>
                </c:pt>
                <c:pt idx="310">
                  <c:v>17.5</c:v>
                </c:pt>
                <c:pt idx="311">
                  <c:v>17.75</c:v>
                </c:pt>
                <c:pt idx="312">
                  <c:v>18</c:v>
                </c:pt>
                <c:pt idx="313">
                  <c:v>18.25</c:v>
                </c:pt>
                <c:pt idx="314">
                  <c:v>18.5</c:v>
                </c:pt>
                <c:pt idx="315">
                  <c:v>18.75</c:v>
                </c:pt>
                <c:pt idx="316">
                  <c:v>19</c:v>
                </c:pt>
                <c:pt idx="317">
                  <c:v>19.25</c:v>
                </c:pt>
                <c:pt idx="318">
                  <c:v>19.5</c:v>
                </c:pt>
                <c:pt idx="319">
                  <c:v>19.75</c:v>
                </c:pt>
                <c:pt idx="320">
                  <c:v>20</c:v>
                </c:pt>
                <c:pt idx="321">
                  <c:v>20.25</c:v>
                </c:pt>
                <c:pt idx="322">
                  <c:v>20.5</c:v>
                </c:pt>
                <c:pt idx="323">
                  <c:v>20.75</c:v>
                </c:pt>
                <c:pt idx="324">
                  <c:v>21</c:v>
                </c:pt>
                <c:pt idx="325">
                  <c:v>21.25</c:v>
                </c:pt>
                <c:pt idx="326">
                  <c:v>21.5</c:v>
                </c:pt>
                <c:pt idx="327">
                  <c:v>21.75</c:v>
                </c:pt>
                <c:pt idx="328">
                  <c:v>22</c:v>
                </c:pt>
                <c:pt idx="329">
                  <c:v>22.25</c:v>
                </c:pt>
                <c:pt idx="330">
                  <c:v>22.5</c:v>
                </c:pt>
                <c:pt idx="331">
                  <c:v>22.75</c:v>
                </c:pt>
                <c:pt idx="332">
                  <c:v>23</c:v>
                </c:pt>
                <c:pt idx="333">
                  <c:v>23.25</c:v>
                </c:pt>
                <c:pt idx="334">
                  <c:v>23.5</c:v>
                </c:pt>
                <c:pt idx="335">
                  <c:v>23.75</c:v>
                </c:pt>
                <c:pt idx="336">
                  <c:v>24</c:v>
                </c:pt>
                <c:pt idx="337">
                  <c:v>24.25</c:v>
                </c:pt>
                <c:pt idx="338">
                  <c:v>24.5</c:v>
                </c:pt>
                <c:pt idx="339">
                  <c:v>24.75</c:v>
                </c:pt>
                <c:pt idx="340">
                  <c:v>25</c:v>
                </c:pt>
                <c:pt idx="341">
                  <c:v>25.25</c:v>
                </c:pt>
                <c:pt idx="342">
                  <c:v>25.5</c:v>
                </c:pt>
                <c:pt idx="343">
                  <c:v>25.75</c:v>
                </c:pt>
                <c:pt idx="344">
                  <c:v>26</c:v>
                </c:pt>
                <c:pt idx="345">
                  <c:v>26.25</c:v>
                </c:pt>
                <c:pt idx="346">
                  <c:v>26.5</c:v>
                </c:pt>
                <c:pt idx="347">
                  <c:v>26.75</c:v>
                </c:pt>
                <c:pt idx="348">
                  <c:v>27</c:v>
                </c:pt>
                <c:pt idx="349">
                  <c:v>27.25</c:v>
                </c:pt>
                <c:pt idx="350">
                  <c:v>27.5</c:v>
                </c:pt>
                <c:pt idx="351">
                  <c:v>27.75</c:v>
                </c:pt>
                <c:pt idx="352">
                  <c:v>28</c:v>
                </c:pt>
                <c:pt idx="353">
                  <c:v>28.25</c:v>
                </c:pt>
                <c:pt idx="354">
                  <c:v>28.5</c:v>
                </c:pt>
                <c:pt idx="355">
                  <c:v>28.75</c:v>
                </c:pt>
                <c:pt idx="356">
                  <c:v>29</c:v>
                </c:pt>
                <c:pt idx="357">
                  <c:v>29.25</c:v>
                </c:pt>
                <c:pt idx="358">
                  <c:v>29.5</c:v>
                </c:pt>
                <c:pt idx="359">
                  <c:v>29.75</c:v>
                </c:pt>
                <c:pt idx="360">
                  <c:v>30</c:v>
                </c:pt>
                <c:pt idx="361">
                  <c:v>30.25</c:v>
                </c:pt>
                <c:pt idx="362">
                  <c:v>30.5</c:v>
                </c:pt>
                <c:pt idx="363">
                  <c:v>30.75</c:v>
                </c:pt>
                <c:pt idx="364">
                  <c:v>31</c:v>
                </c:pt>
                <c:pt idx="365">
                  <c:v>31.25</c:v>
                </c:pt>
                <c:pt idx="366">
                  <c:v>31.5</c:v>
                </c:pt>
                <c:pt idx="367">
                  <c:v>31.75</c:v>
                </c:pt>
                <c:pt idx="368">
                  <c:v>32</c:v>
                </c:pt>
                <c:pt idx="369">
                  <c:v>32.25</c:v>
                </c:pt>
                <c:pt idx="370">
                  <c:v>32.5</c:v>
                </c:pt>
                <c:pt idx="371">
                  <c:v>32.75</c:v>
                </c:pt>
                <c:pt idx="372">
                  <c:v>33</c:v>
                </c:pt>
                <c:pt idx="373">
                  <c:v>33.25</c:v>
                </c:pt>
                <c:pt idx="374">
                  <c:v>33.5</c:v>
                </c:pt>
                <c:pt idx="375">
                  <c:v>33.75</c:v>
                </c:pt>
                <c:pt idx="376">
                  <c:v>34</c:v>
                </c:pt>
                <c:pt idx="377">
                  <c:v>34.25</c:v>
                </c:pt>
                <c:pt idx="378">
                  <c:v>34.5</c:v>
                </c:pt>
                <c:pt idx="379">
                  <c:v>34.75</c:v>
                </c:pt>
                <c:pt idx="380">
                  <c:v>35</c:v>
                </c:pt>
                <c:pt idx="381">
                  <c:v>35.25</c:v>
                </c:pt>
                <c:pt idx="382">
                  <c:v>35.5</c:v>
                </c:pt>
                <c:pt idx="383">
                  <c:v>35.75</c:v>
                </c:pt>
                <c:pt idx="384">
                  <c:v>36</c:v>
                </c:pt>
                <c:pt idx="385">
                  <c:v>36.25</c:v>
                </c:pt>
                <c:pt idx="386">
                  <c:v>36.5</c:v>
                </c:pt>
                <c:pt idx="387">
                  <c:v>36.75</c:v>
                </c:pt>
                <c:pt idx="388">
                  <c:v>37</c:v>
                </c:pt>
                <c:pt idx="389">
                  <c:v>37.25</c:v>
                </c:pt>
                <c:pt idx="390">
                  <c:v>37.5</c:v>
                </c:pt>
                <c:pt idx="391">
                  <c:v>37.75</c:v>
                </c:pt>
                <c:pt idx="392">
                  <c:v>38</c:v>
                </c:pt>
                <c:pt idx="393">
                  <c:v>38.25</c:v>
                </c:pt>
                <c:pt idx="394">
                  <c:v>38.5</c:v>
                </c:pt>
                <c:pt idx="395">
                  <c:v>38.75</c:v>
                </c:pt>
                <c:pt idx="396">
                  <c:v>39</c:v>
                </c:pt>
                <c:pt idx="397">
                  <c:v>39.25</c:v>
                </c:pt>
                <c:pt idx="398">
                  <c:v>39.5</c:v>
                </c:pt>
                <c:pt idx="399">
                  <c:v>39.75</c:v>
                </c:pt>
                <c:pt idx="400">
                  <c:v>40</c:v>
                </c:pt>
              </c:numCache>
            </c:numRef>
          </c:xVal>
          <c:yVal>
            <c:numRef>
              <c:f>'transversal subsidence profile'!$P$10:$P$410</c:f>
              <c:numCache>
                <c:formatCode>0.00000</c:formatCode>
                <c:ptCount val="401"/>
                <c:pt idx="0">
                  <c:v>-1.0618171916552628E-11</c:v>
                </c:pt>
                <c:pt idx="1">
                  <c:v>-1.3890668281094383E-11</c:v>
                </c:pt>
                <c:pt idx="2">
                  <c:v>-1.8146372875875484E-11</c:v>
                </c:pt>
                <c:pt idx="3">
                  <c:v>-2.3672804604536734E-11</c:v>
                </c:pt>
                <c:pt idx="4">
                  <c:v>-3.0839169680929088E-11</c:v>
                </c:pt>
                <c:pt idx="5">
                  <c:v>-4.0118862048418088E-11</c:v>
                </c:pt>
                <c:pt idx="6">
                  <c:v>-5.2117957361551489E-11</c:v>
                </c:pt>
                <c:pt idx="7">
                  <c:v>-6.7611239835038322E-11</c:v>
                </c:pt>
                <c:pt idx="8">
                  <c:v>-8.7587681010968548E-11</c:v>
                </c:pt>
                <c:pt idx="9">
                  <c:v>-1.1330775880836409E-10</c:v>
                </c:pt>
                <c:pt idx="10">
                  <c:v>-1.4637558417319841E-10</c:v>
                </c:pt>
                <c:pt idx="11">
                  <c:v>-1.8882951555493479E-10</c:v>
                </c:pt>
                <c:pt idx="12">
                  <c:v>-2.4325581768334104E-10</c:v>
                </c:pt>
                <c:pt idx="13">
                  <c:v>-3.1293099614881331E-10</c:v>
                </c:pt>
                <c:pt idx="14">
                  <c:v>-4.0199975575559744E-10</c:v>
                </c:pt>
                <c:pt idx="15">
                  <c:v>-5.1569713974502009E-10</c:v>
                </c:pt>
                <c:pt idx="16">
                  <c:v>-6.6062537015763578E-10</c:v>
                </c:pt>
                <c:pt idx="17">
                  <c:v>-8.4509830021153261E-10</c:v>
                </c:pt>
                <c:pt idx="18">
                  <c:v>-1.0795692951749666E-9</c:v>
                </c:pt>
                <c:pt idx="19">
                  <c:v>-1.3771618830234702E-9</c:v>
                </c:pt>
                <c:pt idx="20">
                  <c:v>-1.7543267839620477E-9</c:v>
                </c:pt>
                <c:pt idx="21">
                  <c:v>-2.2316540853066745E-9</c:v>
                </c:pt>
                <c:pt idx="22">
                  <c:v>-2.8348755485989581E-9</c:v>
                </c:pt>
                <c:pt idx="23">
                  <c:v>-3.5960995235884832E-9</c:v>
                </c:pt>
                <c:pt idx="24">
                  <c:v>-4.5553299393363567E-9</c:v>
                </c:pt>
                <c:pt idx="25">
                  <c:v>-5.7623316283769781E-9</c:v>
                </c:pt>
                <c:pt idx="26">
                  <c:v>-7.2789171459808554E-9</c:v>
                </c:pt>
                <c:pt idx="27">
                  <c:v>-9.1817456588319843E-9</c:v>
                </c:pt>
                <c:pt idx="28">
                  <c:v>-1.1565742845123546E-8</c:v>
                </c:pt>
                <c:pt idx="29">
                  <c:v>-1.4548272593045315E-8</c:v>
                </c:pt>
                <c:pt idx="30">
                  <c:v>-1.8274217211447963E-8</c:v>
                </c:pt>
                <c:pt idx="31">
                  <c:v>-2.2922153573602491E-8</c:v>
                </c:pt>
                <c:pt idx="32">
                  <c:v>-2.8711848907153239E-8</c:v>
                </c:pt>
                <c:pt idx="33">
                  <c:v>-3.5913342745069207E-8</c:v>
                </c:pt>
                <c:pt idx="34">
                  <c:v>-4.4857931922606496E-8</c:v>
                </c:pt>
                <c:pt idx="35">
                  <c:v>-5.5951434653365675E-8</c:v>
                </c:pt>
                <c:pt idx="36">
                  <c:v>-6.96901790203407E-8</c:v>
                </c:pt>
                <c:pt idx="37">
                  <c:v>-8.6680242238010352E-8</c:v>
                </c:pt>
                <c:pt idx="38">
                  <c:v>-1.0766056154657946E-7</c:v>
                </c:pt>
                <c:pt idx="39">
                  <c:v>-1.3353064758210708E-7</c:v>
                </c:pt>
                <c:pt idx="40">
                  <c:v>-1.6538375876493054E-7</c:v>
                </c:pt>
                <c:pt idx="41">
                  <c:v>-2.0454654316907698E-7</c:v>
                </c:pt>
                <c:pt idx="42">
                  <c:v>-2.5262632527094913E-7</c:v>
                </c:pt>
                <c:pt idx="43">
                  <c:v>-3.1156741202922614E-7</c:v>
                </c:pt>
                <c:pt idx="44">
                  <c:v>-3.8371801935118172E-7</c:v>
                </c:pt>
                <c:pt idx="45">
                  <c:v>-4.7190967993199802E-7</c:v>
                </c:pt>
                <c:pt idx="46">
                  <c:v>-5.7955129085458291E-7</c:v>
                </c:pt>
                <c:pt idx="47">
                  <c:v>-7.1074029872431512E-7</c:v>
                </c:pt>
                <c:pt idx="48">
                  <c:v>-8.7039390638612323E-7</c:v>
                </c:pt>
                <c:pt idx="49">
                  <c:v>-1.0644036237157278E-6</c:v>
                </c:pt>
                <c:pt idx="50">
                  <c:v>-1.2998169812595835E-6</c:v>
                </c:pt>
                <c:pt idx="51">
                  <c:v>-1.5850507856531943E-6</c:v>
                </c:pt>
                <c:pt idx="52">
                  <c:v>-1.9301409261541155E-6</c:v>
                </c:pt>
                <c:pt idx="53">
                  <c:v>-2.3470344489705119E-6</c:v>
                </c:pt>
                <c:pt idx="54">
                  <c:v>-2.8499304072940343E-6</c:v>
                </c:pt>
                <c:pt idx="55">
                  <c:v>-3.4556768771930605E-6</c:v>
                </c:pt>
                <c:pt idx="56">
                  <c:v>-4.1842325100301807E-6</c:v>
                </c:pt>
                <c:pt idx="57">
                  <c:v>-5.0592020780761524E-6</c:v>
                </c:pt>
                <c:pt idx="58">
                  <c:v>-6.108456668606883E-6</c:v>
                </c:pt>
                <c:pt idx="59">
                  <c:v>-7.3648504998046293E-6</c:v>
                </c:pt>
                <c:pt idx="60">
                  <c:v>-8.8670477755756946E-6</c:v>
                </c:pt>
                <c:pt idx="61">
                  <c:v>-1.066047457158122E-5</c:v>
                </c:pt>
                <c:pt idx="62">
                  <c:v>-1.279841245604225E-5</c:v>
                </c:pt>
                <c:pt idx="63">
                  <c:v>-1.5343252399672877E-5</c:v>
                </c:pt>
                <c:pt idx="64">
                  <c:v>-1.8367929521294081E-5</c:v>
                </c:pt>
                <c:pt idx="65">
                  <c:v>-2.1957561349235636E-5</c:v>
                </c:pt>
                <c:pt idx="66">
                  <c:v>-2.621131455115538E-5</c:v>
                </c:pt>
                <c:pt idx="67">
                  <c:v>-3.1244527491220884E-5</c:v>
                </c:pt>
                <c:pt idx="68">
                  <c:v>-3.7191118505280015E-5</c:v>
                </c:pt>
                <c:pt idx="69">
                  <c:v>-4.4206312429476824E-5</c:v>
                </c:pt>
                <c:pt idx="70">
                  <c:v>-5.2469720659207116E-5</c:v>
                </c:pt>
                <c:pt idx="71">
                  <c:v>-6.2188812831906541E-5</c:v>
                </c:pt>
                <c:pt idx="72">
                  <c:v>-7.3602821091974121E-5</c:v>
                </c:pt>
                <c:pt idx="73">
                  <c:v>-8.6987120776095206E-5</c:v>
                </c:pt>
                <c:pt idx="74">
                  <c:v>-1.0265813421257316E-4</c:v>
                </c:pt>
                <c:pt idx="75">
                  <c:v>-1.2097880711190732E-4</c:v>
                </c:pt>
                <c:pt idx="76">
                  <c:v>-1.4236470968280256E-4</c:v>
                </c:pt>
                <c:pt idx="77">
                  <c:v>-1.6729081707468095E-4</c:v>
                </c:pt>
                <c:pt idx="78">
                  <c:v>-1.9629902595231095E-4</c:v>
                </c:pt>
                <c:pt idx="79">
                  <c:v>-2.3000646586889678E-4</c:v>
                </c:pt>
                <c:pt idx="80">
                  <c:v>-2.6911466552980877E-4</c:v>
                </c:pt>
                <c:pt idx="81">
                  <c:v>-3.1441963492944639E-4</c:v>
                </c:pt>
                <c:pt idx="82">
                  <c:v>-3.6682292458814524E-4</c:v>
                </c:pt>
                <c:pt idx="83">
                  <c:v>-4.2734372259490693E-4</c:v>
                </c:pt>
                <c:pt idx="84">
                  <c:v>-4.9713204874637419E-4</c:v>
                </c:pt>
                <c:pt idx="85">
                  <c:v>-5.7748310262593916E-4</c:v>
                </c:pt>
                <c:pt idx="86">
                  <c:v>-6.6985281884506811E-4</c:v>
                </c:pt>
                <c:pt idx="87">
                  <c:v>-7.7587467772166781E-4</c:v>
                </c:pt>
                <c:pt idx="88">
                  <c:v>-8.9737781324319412E-4</c:v>
                </c:pt>
                <c:pt idx="89">
                  <c:v>-1.0364064520985603E-3</c:v>
                </c:pt>
                <c:pt idx="90">
                  <c:v>-1.1952407077061239E-3</c:v>
                </c:pt>
                <c:pt idx="91">
                  <c:v>-1.3764187413616066E-3</c:v>
                </c:pt>
                <c:pt idx="92">
                  <c:v>-1.5827602887322832E-3</c:v>
                </c:pt>
                <c:pt idx="93">
                  <c:v>-1.8173915337948592E-3</c:v>
                </c:pt>
                <c:pt idx="94">
                  <c:v>-2.083771293830544E-3</c:v>
                </c:pt>
                <c:pt idx="95">
                  <c:v>-2.3857184581470578E-3</c:v>
                </c:pt>
                <c:pt idx="96">
                  <c:v>-2.7274405997121062E-3</c:v>
                </c:pt>
                <c:pt idx="97">
                  <c:v>-3.1135636528032661E-3</c:v>
                </c:pt>
                <c:pt idx="98">
                  <c:v>-3.5491625210862924E-3</c:v>
                </c:pt>
                <c:pt idx="99">
                  <c:v>-4.0397924492484947E-3</c:v>
                </c:pt>
                <c:pt idx="100">
                  <c:v>-4.591520957502762E-3</c:v>
                </c:pt>
                <c:pt idx="101">
                  <c:v>-5.2109601020584673E-3</c:v>
                </c:pt>
                <c:pt idx="102">
                  <c:v>-5.9052987862038579E-3</c:v>
                </c:pt>
                <c:pt idx="103">
                  <c:v>-6.6823348061975756E-3</c:v>
                </c:pt>
                <c:pt idx="104">
                  <c:v>-7.55050627403131E-3</c:v>
                </c:pt>
                <c:pt idx="105">
                  <c:v>-8.5189220156788419E-3</c:v>
                </c:pt>
                <c:pt idx="106">
                  <c:v>-9.5973904991435953E-3</c:v>
                </c:pt>
                <c:pt idx="107">
                  <c:v>-1.0796446801991039E-2</c:v>
                </c:pt>
                <c:pt idx="108">
                  <c:v>-1.2127377083718683E-2</c:v>
                </c:pt>
                <c:pt idx="109">
                  <c:v>-1.3602239984971089E-2</c:v>
                </c:pt>
                <c:pt idx="110">
                  <c:v>-1.5233884334027583E-2</c:v>
                </c:pt>
                <c:pt idx="111">
                  <c:v>-1.7035962502030721E-2</c:v>
                </c:pt>
                <c:pt idx="112">
                  <c:v>-1.9022938713012624E-2</c:v>
                </c:pt>
                <c:pt idx="113">
                  <c:v>-2.1210091583908203E-2</c:v>
                </c:pt>
                <c:pt idx="114">
                  <c:v>-2.3613510144472279E-2</c:v>
                </c:pt>
                <c:pt idx="115">
                  <c:v>-2.6250082568441409E-2</c:v>
                </c:pt>
                <c:pt idx="116">
                  <c:v>-2.9137476836532141E-2</c:v>
                </c:pt>
                <c:pt idx="117">
                  <c:v>-3.2294112550096468E-2</c:v>
                </c:pt>
                <c:pt idx="118">
                  <c:v>-3.5739123122611037E-2</c:v>
                </c:pt>
                <c:pt idx="119">
                  <c:v>-3.9492307595785106E-2</c:v>
                </c:pt>
                <c:pt idx="120">
                  <c:v>-4.3574071359016031E-2</c:v>
                </c:pt>
                <c:pt idx="121">
                  <c:v>-4.8005355096213488E-2</c:v>
                </c:pt>
                <c:pt idx="122">
                  <c:v>-5.2807551343567724E-2</c:v>
                </c:pt>
                <c:pt idx="123">
                  <c:v>-5.8002408116448238E-2</c:v>
                </c:pt>
                <c:pt idx="124">
                  <c:v>-6.361191915392235E-2</c:v>
                </c:pt>
                <c:pt idx="125">
                  <c:v>-6.9658200435832582E-2</c:v>
                </c:pt>
                <c:pt idx="126">
                  <c:v>-7.6163352750213659E-2</c:v>
                </c:pt>
                <c:pt idx="127">
                  <c:v>-8.3149310228056938E-2</c:v>
                </c:pt>
                <c:pt idx="128">
                  <c:v>-9.0637674917780492E-2</c:v>
                </c:pt>
                <c:pt idx="129">
                  <c:v>-9.8649537642668206E-2</c:v>
                </c:pt>
                <c:pt idx="130">
                  <c:v>-0.10720528557012043</c:v>
                </c:pt>
                <c:pt idx="131">
                  <c:v>-0.11632439712059456</c:v>
                </c:pt>
                <c:pt idx="132">
                  <c:v>-0.12602522505503624</c:v>
                </c:pt>
                <c:pt idx="133">
                  <c:v>-0.13632476880048289</c:v>
                </c:pt>
                <c:pt idx="134">
                  <c:v>-0.14723843730206057</c:v>
                </c:pt>
                <c:pt idx="135">
                  <c:v>-0.15877980392314911</c:v>
                </c:pt>
                <c:pt idx="136">
                  <c:v>-0.17096035515104166</c:v>
                </c:pt>
                <c:pt idx="137">
                  <c:v>-0.18378923509964731</c:v>
                </c:pt>
                <c:pt idx="138">
                  <c:v>-0.19727298803003149</c:v>
                </c:pt>
                <c:pt idx="139">
                  <c:v>-0.21141530132994985</c:v>
                </c:pt>
                <c:pt idx="140">
                  <c:v>-0.22621675160087426</c:v>
                </c:pt>
                <c:pt idx="141">
                  <c:v>-0.24167455669101967</c:v>
                </c:pt>
                <c:pt idx="142">
                  <c:v>-0.25778233668114781</c:v>
                </c:pt>
                <c:pt idx="143">
                  <c:v>-0.27452988697197661</c:v>
                </c:pt>
                <c:pt idx="144">
                  <c:v>-0.29190296673344618</c:v>
                </c:pt>
                <c:pt idx="145">
                  <c:v>-0.30988310605256969</c:v>
                </c:pt>
                <c:pt idx="146">
                  <c:v>-0.32844743515402353</c:v>
                </c:pt>
                <c:pt idx="147">
                  <c:v>-0.34756853906221397</c:v>
                </c:pt>
                <c:pt idx="148">
                  <c:v>-0.3672143410218659</c:v>
                </c:pt>
                <c:pt idx="149">
                  <c:v>-0.38734801789330298</c:v>
                </c:pt>
                <c:pt idx="150">
                  <c:v>-0.40792795058617959</c:v>
                </c:pt>
                <c:pt idx="151">
                  <c:v>-0.42890771238979625</c:v>
                </c:pt>
                <c:pt idx="152">
                  <c:v>-0.45023609779838764</c:v>
                </c:pt>
                <c:pt idx="153">
                  <c:v>-0.47185719411580573</c:v>
                </c:pt>
                <c:pt idx="154">
                  <c:v>-0.4937104977566642</c:v>
                </c:pt>
                <c:pt idx="155">
                  <c:v>-0.51573107674201413</c:v>
                </c:pt>
                <c:pt idx="156">
                  <c:v>-0.53784978041976239</c:v>
                </c:pt>
                <c:pt idx="157">
                  <c:v>-0.55999349692709688</c:v>
                </c:pt>
                <c:pt idx="158">
                  <c:v>-0.58208545835894354</c:v>
                </c:pt>
                <c:pt idx="159">
                  <c:v>-0.60404559301879124</c:v>
                </c:pt>
                <c:pt idx="160">
                  <c:v>-0.62579092351283649</c:v>
                </c:pt>
                <c:pt idx="161">
                  <c:v>-0.64723600881307042</c:v>
                </c:pt>
                <c:pt idx="162">
                  <c:v>-0.66829342776819844</c:v>
                </c:pt>
                <c:pt idx="163">
                  <c:v>-0.6888743008924435</c:v>
                </c:pt>
                <c:pt idx="164">
                  <c:v>-0.70888884662128293</c:v>
                </c:pt>
                <c:pt idx="165">
                  <c:v>-0.72824696760039975</c:v>
                </c:pt>
                <c:pt idx="166">
                  <c:v>-0.74685886198035201</c:v>
                </c:pt>
                <c:pt idx="167">
                  <c:v>-0.76463565413552104</c:v>
                </c:pt>
                <c:pt idx="168">
                  <c:v>-0.7814900387226994</c:v>
                </c:pt>
                <c:pt idx="169">
                  <c:v>-0.79733693155275831</c:v>
                </c:pt>
                <c:pt idx="170">
                  <c:v>-0.81209412037840134</c:v>
                </c:pt>
                <c:pt idx="171">
                  <c:v>-0.82568290841154046</c:v>
                </c:pt>
                <c:pt idx="172">
                  <c:v>-0.83802874318393816</c:v>
                </c:pt>
                <c:pt idx="173">
                  <c:v>-0.84906182326202795</c:v>
                </c:pt>
                <c:pt idx="174">
                  <c:v>-0.85871767532750076</c:v>
                </c:pt>
                <c:pt idx="175">
                  <c:v>-0.86693769424417932</c:v>
                </c:pt>
                <c:pt idx="176">
                  <c:v>-0.87366963895208172</c:v>
                </c:pt>
                <c:pt idx="177">
                  <c:v>-0.87886807736288808</c:v>
                </c:pt>
                <c:pt idx="178">
                  <c:v>-0.88249477387681763</c:v>
                </c:pt>
                <c:pt idx="179">
                  <c:v>-0.88451901369686303</c:v>
                </c:pt>
                <c:pt idx="180">
                  <c:v>-0.88491785877804319</c:v>
                </c:pt>
                <c:pt idx="181">
                  <c:v>-0.88367633101045717</c:v>
                </c:pt>
                <c:pt idx="182">
                  <c:v>-0.88078751908709452</c:v>
                </c:pt>
                <c:pt idx="183">
                  <c:v>-0.87625260644033776</c:v>
                </c:pt>
                <c:pt idx="184">
                  <c:v>-0.87008081863280395</c:v>
                </c:pt>
                <c:pt idx="185">
                  <c:v>-0.86228928964489338</c:v>
                </c:pt>
                <c:pt idx="186">
                  <c:v>-0.85290284759797874</c:v>
                </c:pt>
                <c:pt idx="187">
                  <c:v>-0.84195372157212178</c:v>
                </c:pt>
                <c:pt idx="188">
                  <c:v>-0.82948117230315066</c:v>
                </c:pt>
                <c:pt idx="189">
                  <c:v>-0.8155310506577349</c:v>
                </c:pt>
                <c:pt idx="190">
                  <c:v>-0.80015528886826015</c:v>
                </c:pt>
                <c:pt idx="191">
                  <c:v>-0.78341133054323209</c:v>
                </c:pt>
                <c:pt idx="192">
                  <c:v>-0.76536150643536405</c:v>
                </c:pt>
                <c:pt idx="193">
                  <c:v>-0.74607236383072095</c:v>
                </c:pt>
                <c:pt idx="194">
                  <c:v>-0.72561395820163455</c:v>
                </c:pt>
                <c:pt idx="195">
                  <c:v>-0.7040591164281651</c:v>
                </c:pt>
                <c:pt idx="196">
                  <c:v>-0.68148268142391843</c:v>
                </c:pt>
                <c:pt idx="197">
                  <c:v>-0.65796074839023078</c:v>
                </c:pt>
                <c:pt idx="198">
                  <c:v>-0.63356990315847028</c:v>
                </c:pt>
                <c:pt idx="199">
                  <c:v>-0.60838647315635896</c:v>
                </c:pt>
                <c:pt idx="200">
                  <c:v>-0.58248580144620965</c:v>
                </c:pt>
                <c:pt idx="201">
                  <c:v>-0.55594155402910761</c:v>
                </c:pt>
                <c:pt idx="202">
                  <c:v>-0.5288250701904712</c:v>
                </c:pt>
                <c:pt idx="203">
                  <c:v>-0.50120476508315592</c:v>
                </c:pt>
                <c:pt idx="204">
                  <c:v>-0.4731455930113172</c:v>
                </c:pt>
                <c:pt idx="205">
                  <c:v>-0.44470857900143035</c:v>
                </c:pt>
                <c:pt idx="206">
                  <c:v>-0.41595042523870518</c:v>
                </c:pt>
                <c:pt idx="207">
                  <c:v>-0.38692319782266482</c:v>
                </c:pt>
                <c:pt idx="208">
                  <c:v>-0.35767409807227363</c:v>
                </c:pt>
                <c:pt idx="209">
                  <c:v>-0.32824532130797179</c:v>
                </c:pt>
                <c:pt idx="210">
                  <c:v>-0.29867400467638333</c:v>
                </c:pt>
                <c:pt idx="211">
                  <c:v>-0.26899226418560707</c:v>
                </c:pt>
                <c:pt idx="212">
                  <c:v>-0.23922731970809857</c:v>
                </c:pt>
                <c:pt idx="213">
                  <c:v>-0.20940170530794866</c:v>
                </c:pt>
                <c:pt idx="214">
                  <c:v>-0.17953356088360573</c:v>
                </c:pt>
                <c:pt idx="215">
                  <c:v>-0.14963699980916378</c:v>
                </c:pt>
                <c:pt idx="216">
                  <c:v>-0.11972254602977805</c:v>
                </c:pt>
                <c:pt idx="217">
                  <c:v>-8.9797632940879835E-2</c:v>
                </c:pt>
                <c:pt idx="218">
                  <c:v>-5.9867155376249204E-2</c:v>
                </c:pt>
                <c:pt idx="219">
                  <c:v>-2.9934065164267332E-2</c:v>
                </c:pt>
                <c:pt idx="220">
                  <c:v>0</c:v>
                </c:pt>
                <c:pt idx="221">
                  <c:v>2.9934065164267332E-2</c:v>
                </c:pt>
                <c:pt idx="222">
                  <c:v>5.9867155376249204E-2</c:v>
                </c:pt>
                <c:pt idx="223">
                  <c:v>8.9797632940879835E-2</c:v>
                </c:pt>
                <c:pt idx="224">
                  <c:v>0.11972254602977805</c:v>
                </c:pt>
                <c:pt idx="225">
                  <c:v>0.14963699980916378</c:v>
                </c:pt>
                <c:pt idx="226">
                  <c:v>0.17953356088360573</c:v>
                </c:pt>
                <c:pt idx="227">
                  <c:v>0.20940170530794866</c:v>
                </c:pt>
                <c:pt idx="228">
                  <c:v>0.23922731970809857</c:v>
                </c:pt>
                <c:pt idx="229">
                  <c:v>0.26899226418560707</c:v>
                </c:pt>
                <c:pt idx="230">
                  <c:v>0.29867400467638333</c:v>
                </c:pt>
                <c:pt idx="231">
                  <c:v>0.32824532130797179</c:v>
                </c:pt>
                <c:pt idx="232">
                  <c:v>0.35767409807227363</c:v>
                </c:pt>
                <c:pt idx="233">
                  <c:v>0.38692319782266482</c:v>
                </c:pt>
                <c:pt idx="234">
                  <c:v>0.41595042523870518</c:v>
                </c:pt>
                <c:pt idx="235">
                  <c:v>0.44470857900143035</c:v>
                </c:pt>
                <c:pt idx="236">
                  <c:v>0.4731455930113172</c:v>
                </c:pt>
                <c:pt idx="237">
                  <c:v>0.50120476508315592</c:v>
                </c:pt>
                <c:pt idx="238">
                  <c:v>0.5288250701904712</c:v>
                </c:pt>
                <c:pt idx="239">
                  <c:v>0.55594155402910761</c:v>
                </c:pt>
                <c:pt idx="240">
                  <c:v>0.58248580144620965</c:v>
                </c:pt>
                <c:pt idx="241">
                  <c:v>0.60838647315635896</c:v>
                </c:pt>
                <c:pt idx="242">
                  <c:v>0.63356990315847028</c:v>
                </c:pt>
                <c:pt idx="243">
                  <c:v>0.65796074839023078</c:v>
                </c:pt>
                <c:pt idx="244">
                  <c:v>0.68148268142391843</c:v>
                </c:pt>
                <c:pt idx="245">
                  <c:v>0.7040591164281651</c:v>
                </c:pt>
                <c:pt idx="246">
                  <c:v>0.72561395820163455</c:v>
                </c:pt>
                <c:pt idx="247">
                  <c:v>0.74607236383072095</c:v>
                </c:pt>
                <c:pt idx="248">
                  <c:v>0.76536150643536405</c:v>
                </c:pt>
                <c:pt idx="249">
                  <c:v>0.78341133054323209</c:v>
                </c:pt>
                <c:pt idx="250">
                  <c:v>0.80015528886826015</c:v>
                </c:pt>
                <c:pt idx="251">
                  <c:v>0.8155310506577349</c:v>
                </c:pt>
                <c:pt idx="252">
                  <c:v>0.82948117230315066</c:v>
                </c:pt>
                <c:pt idx="253">
                  <c:v>0.84195372157212178</c:v>
                </c:pt>
                <c:pt idx="254">
                  <c:v>0.85290284759797874</c:v>
                </c:pt>
                <c:pt idx="255">
                  <c:v>0.86228928964489338</c:v>
                </c:pt>
                <c:pt idx="256">
                  <c:v>0.87008081863280395</c:v>
                </c:pt>
                <c:pt idx="257">
                  <c:v>0.87625260644033776</c:v>
                </c:pt>
                <c:pt idx="258">
                  <c:v>0.88078751908709452</c:v>
                </c:pt>
                <c:pt idx="259">
                  <c:v>0.88367633101045717</c:v>
                </c:pt>
                <c:pt idx="260">
                  <c:v>0.88491785877804319</c:v>
                </c:pt>
                <c:pt idx="261">
                  <c:v>0.88451901369686303</c:v>
                </c:pt>
                <c:pt idx="262">
                  <c:v>0.88249477387681763</c:v>
                </c:pt>
                <c:pt idx="263">
                  <c:v>0.87886807736288808</c:v>
                </c:pt>
                <c:pt idx="264">
                  <c:v>0.87366963895208172</c:v>
                </c:pt>
                <c:pt idx="265">
                  <c:v>0.86693769424417932</c:v>
                </c:pt>
                <c:pt idx="266">
                  <c:v>0.85871767532750076</c:v>
                </c:pt>
                <c:pt idx="267">
                  <c:v>0.84906182326202795</c:v>
                </c:pt>
                <c:pt idx="268">
                  <c:v>0.83802874318393816</c:v>
                </c:pt>
                <c:pt idx="269">
                  <c:v>0.82568290841154046</c:v>
                </c:pt>
                <c:pt idx="270">
                  <c:v>0.81209412037840134</c:v>
                </c:pt>
                <c:pt idx="271">
                  <c:v>0.79733693155275831</c:v>
                </c:pt>
                <c:pt idx="272">
                  <c:v>0.7814900387226994</c:v>
                </c:pt>
                <c:pt idx="273">
                  <c:v>0.76463565413552104</c:v>
                </c:pt>
                <c:pt idx="274">
                  <c:v>0.74685886198035201</c:v>
                </c:pt>
                <c:pt idx="275">
                  <c:v>0.72824696760039975</c:v>
                </c:pt>
                <c:pt idx="276">
                  <c:v>0.70888884662128293</c:v>
                </c:pt>
                <c:pt idx="277">
                  <c:v>0.6888743008924435</c:v>
                </c:pt>
                <c:pt idx="278">
                  <c:v>0.66829342776819844</c:v>
                </c:pt>
                <c:pt idx="279">
                  <c:v>0.64723600881307042</c:v>
                </c:pt>
                <c:pt idx="280">
                  <c:v>0.62579092351283649</c:v>
                </c:pt>
                <c:pt idx="281">
                  <c:v>0.60404559301879124</c:v>
                </c:pt>
                <c:pt idx="282">
                  <c:v>0.58208545835894354</c:v>
                </c:pt>
                <c:pt idx="283">
                  <c:v>0.55999349692709688</c:v>
                </c:pt>
                <c:pt idx="284">
                  <c:v>0.53784978041976239</c:v>
                </c:pt>
                <c:pt idx="285">
                  <c:v>0.51573107674201413</c:v>
                </c:pt>
                <c:pt idx="286">
                  <c:v>0.4937104977566642</c:v>
                </c:pt>
                <c:pt idx="287">
                  <c:v>0.47185719411580573</c:v>
                </c:pt>
                <c:pt idx="288">
                  <c:v>0.45023609779838764</c:v>
                </c:pt>
                <c:pt idx="289">
                  <c:v>0.42890771238979625</c:v>
                </c:pt>
                <c:pt idx="290">
                  <c:v>0.40792795058617959</c:v>
                </c:pt>
                <c:pt idx="291">
                  <c:v>0.38734801789330298</c:v>
                </c:pt>
                <c:pt idx="292">
                  <c:v>0.3672143410218659</c:v>
                </c:pt>
                <c:pt idx="293">
                  <c:v>0.34756853906221397</c:v>
                </c:pt>
                <c:pt idx="294">
                  <c:v>0.32844743515402353</c:v>
                </c:pt>
                <c:pt idx="295">
                  <c:v>0.30988310605256969</c:v>
                </c:pt>
                <c:pt idx="296">
                  <c:v>0.29190296673344618</c:v>
                </c:pt>
                <c:pt idx="297">
                  <c:v>0.27452988697197661</c:v>
                </c:pt>
                <c:pt idx="298">
                  <c:v>0.25778233668114781</c:v>
                </c:pt>
                <c:pt idx="299">
                  <c:v>0.24167455669101967</c:v>
                </c:pt>
                <c:pt idx="300">
                  <c:v>0.22621675160087426</c:v>
                </c:pt>
                <c:pt idx="301">
                  <c:v>0.21141530132994985</c:v>
                </c:pt>
                <c:pt idx="302">
                  <c:v>0.19727298803003149</c:v>
                </c:pt>
                <c:pt idx="303">
                  <c:v>0.18378923509964731</c:v>
                </c:pt>
                <c:pt idx="304">
                  <c:v>0.17096035515104166</c:v>
                </c:pt>
                <c:pt idx="305">
                  <c:v>0.15877980392314911</c:v>
                </c:pt>
                <c:pt idx="306">
                  <c:v>0.14723843730206057</c:v>
                </c:pt>
                <c:pt idx="307">
                  <c:v>0.13632476880048289</c:v>
                </c:pt>
                <c:pt idx="308">
                  <c:v>0.12602522505503624</c:v>
                </c:pt>
                <c:pt idx="309">
                  <c:v>0.11632439712059456</c:v>
                </c:pt>
                <c:pt idx="310">
                  <c:v>0.10720528557012043</c:v>
                </c:pt>
                <c:pt idx="311">
                  <c:v>9.8649537642668206E-2</c:v>
                </c:pt>
                <c:pt idx="312">
                  <c:v>9.0637674917780492E-2</c:v>
                </c:pt>
                <c:pt idx="313">
                  <c:v>8.3149310228056938E-2</c:v>
                </c:pt>
                <c:pt idx="314">
                  <c:v>7.6163352750213659E-2</c:v>
                </c:pt>
                <c:pt idx="315">
                  <c:v>6.9658200435832582E-2</c:v>
                </c:pt>
                <c:pt idx="316">
                  <c:v>6.361191915392235E-2</c:v>
                </c:pt>
                <c:pt idx="317">
                  <c:v>5.8002408116448238E-2</c:v>
                </c:pt>
                <c:pt idx="318">
                  <c:v>5.2807551343567724E-2</c:v>
                </c:pt>
                <c:pt idx="319">
                  <c:v>4.8005355096213488E-2</c:v>
                </c:pt>
                <c:pt idx="320">
                  <c:v>4.3574071359016031E-2</c:v>
                </c:pt>
                <c:pt idx="321">
                  <c:v>3.9492307595785106E-2</c:v>
                </c:pt>
                <c:pt idx="322">
                  <c:v>3.5739123122611037E-2</c:v>
                </c:pt>
                <c:pt idx="323">
                  <c:v>3.2294112550096468E-2</c:v>
                </c:pt>
                <c:pt idx="324">
                  <c:v>2.9137476836532141E-2</c:v>
                </c:pt>
                <c:pt idx="325">
                  <c:v>2.6250082568441409E-2</c:v>
                </c:pt>
                <c:pt idx="326">
                  <c:v>2.3613510144472279E-2</c:v>
                </c:pt>
                <c:pt idx="327">
                  <c:v>2.1210091583908203E-2</c:v>
                </c:pt>
                <c:pt idx="328">
                  <c:v>1.9022938713012624E-2</c:v>
                </c:pt>
                <c:pt idx="329">
                  <c:v>1.7035962502030721E-2</c:v>
                </c:pt>
                <c:pt idx="330">
                  <c:v>1.5233884334027583E-2</c:v>
                </c:pt>
                <c:pt idx="331">
                  <c:v>1.3602239984971089E-2</c:v>
                </c:pt>
                <c:pt idx="332">
                  <c:v>1.2127377083718683E-2</c:v>
                </c:pt>
                <c:pt idx="333">
                  <c:v>1.0796446801991039E-2</c:v>
                </c:pt>
                <c:pt idx="334">
                  <c:v>9.5973904991435953E-3</c:v>
                </c:pt>
                <c:pt idx="335">
                  <c:v>8.5189220156788419E-3</c:v>
                </c:pt>
                <c:pt idx="336">
                  <c:v>7.55050627403131E-3</c:v>
                </c:pt>
                <c:pt idx="337">
                  <c:v>6.6823348061975756E-3</c:v>
                </c:pt>
                <c:pt idx="338">
                  <c:v>5.9052987862038579E-3</c:v>
                </c:pt>
                <c:pt idx="339">
                  <c:v>5.2109601020584673E-3</c:v>
                </c:pt>
                <c:pt idx="340">
                  <c:v>4.591520957502762E-3</c:v>
                </c:pt>
                <c:pt idx="341">
                  <c:v>4.0397924492484947E-3</c:v>
                </c:pt>
                <c:pt idx="342">
                  <c:v>3.5491625210862924E-3</c:v>
                </c:pt>
                <c:pt idx="343">
                  <c:v>3.1135636528032661E-3</c:v>
                </c:pt>
                <c:pt idx="344">
                  <c:v>2.7274405997121062E-3</c:v>
                </c:pt>
                <c:pt idx="345">
                  <c:v>2.3857184581470578E-3</c:v>
                </c:pt>
                <c:pt idx="346">
                  <c:v>2.083771293830544E-3</c:v>
                </c:pt>
                <c:pt idx="347">
                  <c:v>1.8173915337948592E-3</c:v>
                </c:pt>
                <c:pt idx="348">
                  <c:v>1.5827602887322832E-3</c:v>
                </c:pt>
                <c:pt idx="349">
                  <c:v>1.3764187413616066E-3</c:v>
                </c:pt>
                <c:pt idx="350">
                  <c:v>1.1952407077061239E-3</c:v>
                </c:pt>
                <c:pt idx="351">
                  <c:v>1.0364064520985603E-3</c:v>
                </c:pt>
                <c:pt idx="352">
                  <c:v>8.9737781324319412E-4</c:v>
                </c:pt>
                <c:pt idx="353">
                  <c:v>7.7587467772166781E-4</c:v>
                </c:pt>
                <c:pt idx="354">
                  <c:v>6.6985281884506811E-4</c:v>
                </c:pt>
                <c:pt idx="355">
                  <c:v>5.7748310262593916E-4</c:v>
                </c:pt>
                <c:pt idx="356">
                  <c:v>4.9713204874637419E-4</c:v>
                </c:pt>
                <c:pt idx="357">
                  <c:v>4.2734372259490693E-4</c:v>
                </c:pt>
                <c:pt idx="358">
                  <c:v>3.6682292458814524E-4</c:v>
                </c:pt>
                <c:pt idx="359">
                  <c:v>3.1441963492944639E-4</c:v>
                </c:pt>
                <c:pt idx="360">
                  <c:v>2.6911466552980877E-4</c:v>
                </c:pt>
                <c:pt idx="361">
                  <c:v>2.3000646586889678E-4</c:v>
                </c:pt>
                <c:pt idx="362">
                  <c:v>1.9629902595231095E-4</c:v>
                </c:pt>
                <c:pt idx="363">
                  <c:v>1.6729081707468095E-4</c:v>
                </c:pt>
                <c:pt idx="364">
                  <c:v>1.4236470968280256E-4</c:v>
                </c:pt>
                <c:pt idx="365">
                  <c:v>1.2097880711190732E-4</c:v>
                </c:pt>
                <c:pt idx="366">
                  <c:v>1.0265813421257316E-4</c:v>
                </c:pt>
                <c:pt idx="367">
                  <c:v>8.6987120776095206E-5</c:v>
                </c:pt>
                <c:pt idx="368">
                  <c:v>7.3602821091974121E-5</c:v>
                </c:pt>
                <c:pt idx="369">
                  <c:v>6.2188812831906541E-5</c:v>
                </c:pt>
                <c:pt idx="370">
                  <c:v>5.2469720659207116E-5</c:v>
                </c:pt>
                <c:pt idx="371">
                  <c:v>4.4206312429476824E-5</c:v>
                </c:pt>
                <c:pt idx="372">
                  <c:v>3.7191118505280015E-5</c:v>
                </c:pt>
                <c:pt idx="373">
                  <c:v>3.1244527491220884E-5</c:v>
                </c:pt>
                <c:pt idx="374">
                  <c:v>2.621131455115538E-5</c:v>
                </c:pt>
                <c:pt idx="375">
                  <c:v>2.1957561349235636E-5</c:v>
                </c:pt>
                <c:pt idx="376">
                  <c:v>1.8367929521294081E-5</c:v>
                </c:pt>
                <c:pt idx="377">
                  <c:v>1.5343252399672877E-5</c:v>
                </c:pt>
                <c:pt idx="378">
                  <c:v>1.279841245604225E-5</c:v>
                </c:pt>
                <c:pt idx="379">
                  <c:v>1.066047457158122E-5</c:v>
                </c:pt>
                <c:pt idx="380">
                  <c:v>8.8670477755756946E-6</c:v>
                </c:pt>
                <c:pt idx="381">
                  <c:v>7.3648504998046293E-6</c:v>
                </c:pt>
                <c:pt idx="382">
                  <c:v>6.108456668606883E-6</c:v>
                </c:pt>
                <c:pt idx="383">
                  <c:v>5.0592020780761524E-6</c:v>
                </c:pt>
                <c:pt idx="384">
                  <c:v>4.1842325100301807E-6</c:v>
                </c:pt>
                <c:pt idx="385">
                  <c:v>3.4556768771930605E-6</c:v>
                </c:pt>
                <c:pt idx="386">
                  <c:v>2.8499304072940343E-6</c:v>
                </c:pt>
                <c:pt idx="387">
                  <c:v>2.3470344489705119E-6</c:v>
                </c:pt>
                <c:pt idx="388">
                  <c:v>1.9301409261541155E-6</c:v>
                </c:pt>
                <c:pt idx="389">
                  <c:v>1.5850507856531943E-6</c:v>
                </c:pt>
                <c:pt idx="390">
                  <c:v>1.2998169812595835E-6</c:v>
                </c:pt>
                <c:pt idx="391">
                  <c:v>1.0644036237157278E-6</c:v>
                </c:pt>
                <c:pt idx="392">
                  <c:v>8.7039390638612323E-7</c:v>
                </c:pt>
                <c:pt idx="393">
                  <c:v>7.1074029872431512E-7</c:v>
                </c:pt>
                <c:pt idx="394">
                  <c:v>5.7955129085458291E-7</c:v>
                </c:pt>
                <c:pt idx="395">
                  <c:v>4.7190967993199802E-7</c:v>
                </c:pt>
                <c:pt idx="396">
                  <c:v>3.8371801935118172E-7</c:v>
                </c:pt>
                <c:pt idx="397">
                  <c:v>3.1156741202922614E-7</c:v>
                </c:pt>
                <c:pt idx="398">
                  <c:v>2.5262632527094913E-7</c:v>
                </c:pt>
                <c:pt idx="399">
                  <c:v>2.0454654316907698E-7</c:v>
                </c:pt>
                <c:pt idx="400">
                  <c:v>1.6538375876493054E-7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5C-472E-BB58-BD413582DD90}"/>
            </c:ext>
          </c:extLst>
        </c:ser>
        <c:ser>
          <c:idx val="3"/>
          <c:order val="3"/>
          <c:tx>
            <c:strRef>
              <c:f>'Burland damage classification'!$C$102</c:f>
              <c:strCache>
                <c:ptCount val="1"/>
                <c:pt idx="0">
                  <c:v>Foundation[hogging]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'Burland damage classification'!$EB$9:$EB$10</c:f>
              <c:numCache>
                <c:formatCode>0.00</c:formatCode>
                <c:ptCount val="2"/>
                <c:pt idx="0">
                  <c:v>-22.198671000000001</c:v>
                </c:pt>
                <c:pt idx="1">
                  <c:v>-15</c:v>
                </c:pt>
              </c:numCache>
            </c:numRef>
          </c:xVal>
          <c:yVal>
            <c:numRef>
              <c:f>'Burland damage classification'!$EB$12:$EB$13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5C-472E-BB58-BD413582DD90}"/>
            </c:ext>
          </c:extLst>
        </c:ser>
        <c:ser>
          <c:idx val="4"/>
          <c:order val="4"/>
          <c:tx>
            <c:v>L2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'Burland damage classification'!$EE$9:$EE$10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'Burland damage classification'!$EE$12:$EE$13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95C-472E-BB58-BD413582DD90}"/>
            </c:ext>
          </c:extLst>
        </c:ser>
        <c:ser>
          <c:idx val="5"/>
          <c:order val="5"/>
          <c:tx>
            <c:v>L3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'Burland damage classification'!$EF$9:$EF$10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'Burland damage classification'!$EF$12:$EF$13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95C-472E-BB58-BD413582DD90}"/>
            </c:ext>
          </c:extLst>
        </c:ser>
        <c:ser>
          <c:idx val="6"/>
          <c:order val="6"/>
          <c:tx>
            <c:strRef>
              <c:f>'Burland damage classification'!$D$102</c:f>
              <c:strCache>
                <c:ptCount val="1"/>
                <c:pt idx="0">
                  <c:v>Foundation[sagging]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'Burland damage classification'!$EG$9:$EG$10</c:f>
              <c:numCache>
                <c:formatCode>0.00</c:formatCode>
                <c:ptCount val="2"/>
                <c:pt idx="0">
                  <c:v>-15</c:v>
                </c:pt>
                <c:pt idx="1">
                  <c:v>-12.488417999999999</c:v>
                </c:pt>
              </c:numCache>
            </c:numRef>
          </c:xVal>
          <c:yVal>
            <c:numRef>
              <c:f>'Burland damage classification'!$EG$12:$EG$13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95C-472E-BB58-BD413582DD90}"/>
            </c:ext>
          </c:extLst>
        </c:ser>
        <c:ser>
          <c:idx val="7"/>
          <c:order val="7"/>
          <c:tx>
            <c:v>L5</c:v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'Burland damage classification'!$EJ$9:$EJ$10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'Burland damage classification'!$EJ$12:$EJ$13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95C-472E-BB58-BD413582D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5776"/>
        <c:axId val="294157696"/>
      </c:scatterChart>
      <c:valAx>
        <c:axId val="294155776"/>
        <c:scaling>
          <c:orientation val="minMax"/>
          <c:max val="40"/>
          <c:min val="-40"/>
        </c:scaling>
        <c:delete val="0"/>
        <c:axPos val="t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y (m)</a:t>
                </a:r>
              </a:p>
            </c:rich>
          </c:tx>
          <c:layout>
            <c:manualLayout>
              <c:xMode val="edge"/>
              <c:yMode val="edge"/>
              <c:x val="0.89625822388899679"/>
              <c:y val="0.398711173803809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952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4157696"/>
        <c:crosses val="autoZero"/>
        <c:crossBetween val="midCat"/>
      </c:valAx>
      <c:valAx>
        <c:axId val="294157696"/>
        <c:scaling>
          <c:orientation val="maxMin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Sh (cm)</a:t>
                </a:r>
              </a:p>
            </c:rich>
          </c:tx>
          <c:layout>
            <c:manualLayout>
              <c:xMode val="edge"/>
              <c:yMode val="edge"/>
              <c:x val="0.52025931928687197"/>
              <c:y val="0.1626301210618568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in"/>
        <c:minorTickMark val="none"/>
        <c:tickLblPos val="low"/>
        <c:spPr>
          <a:ln w="952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4155776"/>
        <c:crosses val="autoZero"/>
        <c:crossBetween val="midCat"/>
        <c:majorUnit val="0.5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ayout>
        <c:manualLayout>
          <c:xMode val="edge"/>
          <c:yMode val="edge"/>
          <c:x val="0.75881340259412533"/>
          <c:y val="0.56349074346990036"/>
          <c:w val="0.20745542949756887"/>
          <c:h val="0.35986231824828119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6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262" orientation="landscape" horizontalDpi="0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BUILDING DAMAGE CLASSIFICATION (AFTER BURLAND et al, 1977 AND BOSCARDIN AND CORDING, 1989)-HOGGING</a:t>
            </a:r>
          </a:p>
        </c:rich>
      </c:tx>
      <c:layout>
        <c:manualLayout>
          <c:xMode val="edge"/>
          <c:yMode val="edge"/>
          <c:x val="0.12581716501123633"/>
          <c:y val="1.73611111111111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503413984971763E-2"/>
          <c:y val="0.12152818986066984"/>
          <c:w val="0.88235434914079913"/>
          <c:h val="0.77083594711624859"/>
        </c:manualLayout>
      </c:layout>
      <c:scatterChart>
        <c:scatterStyle val="lineMarker"/>
        <c:varyColors val="0"/>
        <c:ser>
          <c:idx val="1"/>
          <c:order val="0"/>
          <c:tx>
            <c:strRef>
              <c:f>'Burland damage classification'!$Q$34:$S$34</c:f>
              <c:strCache>
                <c:ptCount val="1"/>
                <c:pt idx="0">
                  <c:v>eps_lim= 0.033 %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'Burland damage classification'!$AC$16:$AC$66</c:f>
              <c:numCache>
                <c:formatCode>General</c:formatCode>
                <c:ptCount val="51"/>
                <c:pt idx="0">
                  <c:v>0</c:v>
                </c:pt>
                <c:pt idx="1">
                  <c:v>6.6666666666666664E-4</c:v>
                </c:pt>
                <c:pt idx="2">
                  <c:v>1.3333333333333333E-3</c:v>
                </c:pt>
                <c:pt idx="3">
                  <c:v>2E-3</c:v>
                </c:pt>
                <c:pt idx="4">
                  <c:v>2.6666666666666666E-3</c:v>
                </c:pt>
                <c:pt idx="5">
                  <c:v>3.3333333333333335E-3</c:v>
                </c:pt>
                <c:pt idx="6">
                  <c:v>4.0000000000000001E-3</c:v>
                </c:pt>
                <c:pt idx="7">
                  <c:v>4.6666666666666671E-3</c:v>
                </c:pt>
                <c:pt idx="8">
                  <c:v>5.333333333333334E-3</c:v>
                </c:pt>
                <c:pt idx="9">
                  <c:v>6.000000000000001E-3</c:v>
                </c:pt>
                <c:pt idx="10">
                  <c:v>6.6666666666666671E-3</c:v>
                </c:pt>
                <c:pt idx="11">
                  <c:v>7.3333333333333332E-3</c:v>
                </c:pt>
                <c:pt idx="12">
                  <c:v>8.0000000000000002E-3</c:v>
                </c:pt>
                <c:pt idx="13">
                  <c:v>8.6666666666666663E-3</c:v>
                </c:pt>
                <c:pt idx="14">
                  <c:v>9.3333333333333324E-3</c:v>
                </c:pt>
                <c:pt idx="15">
                  <c:v>9.9999999999999985E-3</c:v>
                </c:pt>
                <c:pt idx="16">
                  <c:v>1.0666666666666665E-2</c:v>
                </c:pt>
                <c:pt idx="17">
                  <c:v>1.1333333333333331E-2</c:v>
                </c:pt>
                <c:pt idx="18">
                  <c:v>1.1999999999999997E-2</c:v>
                </c:pt>
                <c:pt idx="19">
                  <c:v>1.2666666666666663E-2</c:v>
                </c:pt>
                <c:pt idx="20">
                  <c:v>1.3333333333333331E-2</c:v>
                </c:pt>
                <c:pt idx="21">
                  <c:v>1.3999999999999999E-2</c:v>
                </c:pt>
                <c:pt idx="22">
                  <c:v>1.4666666666666666E-2</c:v>
                </c:pt>
                <c:pt idx="23">
                  <c:v>1.5333333333333334E-2</c:v>
                </c:pt>
                <c:pt idx="24">
                  <c:v>1.6E-2</c:v>
                </c:pt>
                <c:pt idx="25">
                  <c:v>1.666666666666667E-2</c:v>
                </c:pt>
                <c:pt idx="26">
                  <c:v>1.7333333333333336E-2</c:v>
                </c:pt>
                <c:pt idx="27">
                  <c:v>1.8000000000000002E-2</c:v>
                </c:pt>
                <c:pt idx="28">
                  <c:v>1.8666666666666672E-2</c:v>
                </c:pt>
                <c:pt idx="29">
                  <c:v>1.9333333333333338E-2</c:v>
                </c:pt>
                <c:pt idx="30">
                  <c:v>2.0000000000000007E-2</c:v>
                </c:pt>
                <c:pt idx="31">
                  <c:v>2.0666666666666673E-2</c:v>
                </c:pt>
                <c:pt idx="32">
                  <c:v>2.1333333333333343E-2</c:v>
                </c:pt>
                <c:pt idx="33">
                  <c:v>2.2000000000000009E-2</c:v>
                </c:pt>
                <c:pt idx="34">
                  <c:v>2.2666666666666675E-2</c:v>
                </c:pt>
                <c:pt idx="35">
                  <c:v>2.3333333333333345E-2</c:v>
                </c:pt>
                <c:pt idx="36">
                  <c:v>2.4000000000000011E-2</c:v>
                </c:pt>
                <c:pt idx="37">
                  <c:v>2.466666666666668E-2</c:v>
                </c:pt>
                <c:pt idx="38">
                  <c:v>2.5333333333333343E-2</c:v>
                </c:pt>
                <c:pt idx="39">
                  <c:v>2.6000000000000009E-2</c:v>
                </c:pt>
                <c:pt idx="40">
                  <c:v>2.6666666666666672E-2</c:v>
                </c:pt>
                <c:pt idx="41">
                  <c:v>2.7333333333333338E-2</c:v>
                </c:pt>
                <c:pt idx="42">
                  <c:v>2.8000000000000004E-2</c:v>
                </c:pt>
                <c:pt idx="43">
                  <c:v>2.8666666666666667E-2</c:v>
                </c:pt>
                <c:pt idx="44">
                  <c:v>2.9333333333333333E-2</c:v>
                </c:pt>
                <c:pt idx="45">
                  <c:v>0.03</c:v>
                </c:pt>
                <c:pt idx="46">
                  <c:v>3.0666666666666662E-2</c:v>
                </c:pt>
                <c:pt idx="47">
                  <c:v>3.1333333333333324E-2</c:v>
                </c:pt>
                <c:pt idx="48">
                  <c:v>3.1999999999999994E-2</c:v>
                </c:pt>
                <c:pt idx="49">
                  <c:v>3.2666666666666656E-2</c:v>
                </c:pt>
                <c:pt idx="50">
                  <c:v>3.3333333333333319E-2</c:v>
                </c:pt>
              </c:numCache>
            </c:numRef>
          </c:xVal>
          <c:yVal>
            <c:numRef>
              <c:f>'Burland damage classification'!$Y$16:$Y$66</c:f>
              <c:numCache>
                <c:formatCode>0.0000000000</c:formatCode>
                <c:ptCount val="51"/>
                <c:pt idx="0">
                  <c:v>3.5213455389251372E-2</c:v>
                </c:pt>
                <c:pt idx="1">
                  <c:v>3.4966092379396435E-2</c:v>
                </c:pt>
                <c:pt idx="2">
                  <c:v>3.4716966919910705E-2</c:v>
                </c:pt>
                <c:pt idx="3">
                  <c:v>3.4466040793103329E-2</c:v>
                </c:pt>
                <c:pt idx="4">
                  <c:v>3.4213274379771841E-2</c:v>
                </c:pt>
                <c:pt idx="5">
                  <c:v>3.3958626586174552E-2</c:v>
                </c:pt>
                <c:pt idx="6">
                  <c:v>3.370205476603659E-2</c:v>
                </c:pt>
                <c:pt idx="7">
                  <c:v>3.3443514637170213E-2</c:v>
                </c:pt>
                <c:pt idx="8">
                  <c:v>3.3182960192247875E-2</c:v>
                </c:pt>
                <c:pt idx="9">
                  <c:v>3.292034360321891E-2</c:v>
                </c:pt>
                <c:pt idx="10">
                  <c:v>3.2655615118807442E-2</c:v>
                </c:pt>
                <c:pt idx="11">
                  <c:v>3.2388722954469408E-2</c:v>
                </c:pt>
                <c:pt idx="12">
                  <c:v>3.2119613174119377E-2</c:v>
                </c:pt>
                <c:pt idx="13">
                  <c:v>3.1848229562861916E-2</c:v>
                </c:pt>
                <c:pt idx="14">
                  <c:v>3.1574513489877255E-2</c:v>
                </c:pt>
                <c:pt idx="15">
                  <c:v>3.1298403760513557E-2</c:v>
                </c:pt>
                <c:pt idx="16">
                  <c:v>3.1019836456529205E-2</c:v>
                </c:pt>
                <c:pt idx="17">
                  <c:v>3.0738744763303318E-2</c:v>
                </c:pt>
                <c:pt idx="18">
                  <c:v>3.0455058782691523E-2</c:v>
                </c:pt>
                <c:pt idx="19">
                  <c:v>3.0168705330041672E-2</c:v>
                </c:pt>
                <c:pt idx="20">
                  <c:v>2.9879607713699546E-2</c:v>
                </c:pt>
                <c:pt idx="21">
                  <c:v>2.9587685495122161E-2</c:v>
                </c:pt>
                <c:pt idx="22">
                  <c:v>2.9292854227472461E-2</c:v>
                </c:pt>
                <c:pt idx="23">
                  <c:v>2.899502517028809E-2</c:v>
                </c:pt>
                <c:pt idx="24">
                  <c:v>2.869410497749196E-2</c:v>
                </c:pt>
                <c:pt idx="25">
                  <c:v>2.8389995355635723E-2</c:v>
                </c:pt>
                <c:pt idx="26">
                  <c:v>2.8082592688829615E-2</c:v>
                </c:pt>
                <c:pt idx="27">
                  <c:v>2.7771787626301541E-2</c:v>
                </c:pt>
                <c:pt idx="28">
                  <c:v>2.7457464627931038E-2</c:v>
                </c:pt>
                <c:pt idx="29">
                  <c:v>2.713950146240297E-2</c:v>
                </c:pt>
                <c:pt idx="30">
                  <c:v>2.6817768651799904E-2</c:v>
                </c:pt>
                <c:pt idx="31">
                  <c:v>2.6492128855476124E-2</c:v>
                </c:pt>
                <c:pt idx="32">
                  <c:v>2.6162436184897608E-2</c:v>
                </c:pt>
                <c:pt idx="33">
                  <c:v>2.5828535439752064E-2</c:v>
                </c:pt>
                <c:pt idx="34">
                  <c:v>2.5490261253981239E-2</c:v>
                </c:pt>
                <c:pt idx="35">
                  <c:v>2.514743713840251E-2</c:v>
                </c:pt>
                <c:pt idx="36">
                  <c:v>2.4799874404189931E-2</c:v>
                </c:pt>
                <c:pt idx="37">
                  <c:v>2.444737094857612E-2</c:v>
                </c:pt>
                <c:pt idx="38">
                  <c:v>2.4089709880589526E-2</c:v>
                </c:pt>
                <c:pt idx="39">
                  <c:v>2.3541116695119491E-2</c:v>
                </c:pt>
                <c:pt idx="40">
                  <c:v>2.1401015177381359E-2</c:v>
                </c:pt>
                <c:pt idx="41">
                  <c:v>1.9260913659643226E-2</c:v>
                </c:pt>
                <c:pt idx="42">
                  <c:v>1.7120812141905094E-2</c:v>
                </c:pt>
                <c:pt idx="43">
                  <c:v>1.4980710624166964E-2</c:v>
                </c:pt>
                <c:pt idx="44">
                  <c:v>1.2840609106428829E-2</c:v>
                </c:pt>
                <c:pt idx="45">
                  <c:v>1.0700507588690697E-2</c:v>
                </c:pt>
                <c:pt idx="46">
                  <c:v>8.5604060709525646E-3</c:v>
                </c:pt>
                <c:pt idx="47">
                  <c:v>6.4203045532144317E-3</c:v>
                </c:pt>
                <c:pt idx="48">
                  <c:v>4.2802030354763005E-3</c:v>
                </c:pt>
                <c:pt idx="49">
                  <c:v>2.1401015177381685E-3</c:v>
                </c:pt>
                <c:pt idx="50">
                  <c:v>3.6436003569461933E-17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A8-485F-AC89-7B6805D48DBC}"/>
            </c:ext>
          </c:extLst>
        </c:ser>
        <c:ser>
          <c:idx val="0"/>
          <c:order val="1"/>
          <c:tx>
            <c:strRef>
              <c:f>'Burland damage classification'!$Q$35:$S$35</c:f>
              <c:strCache>
                <c:ptCount val="1"/>
                <c:pt idx="0">
                  <c:v>eps_lim= 0.050 %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'Burland damage classification'!$AL$16:$AL$91</c:f>
              <c:numCache>
                <c:formatCode>General</c:formatCode>
                <c:ptCount val="76"/>
                <c:pt idx="0">
                  <c:v>0</c:v>
                </c:pt>
                <c:pt idx="1">
                  <c:v>6.6666666666666664E-4</c:v>
                </c:pt>
                <c:pt idx="2">
                  <c:v>1.3333333333333333E-3</c:v>
                </c:pt>
                <c:pt idx="3">
                  <c:v>2E-3</c:v>
                </c:pt>
                <c:pt idx="4">
                  <c:v>2.6666666666666666E-3</c:v>
                </c:pt>
                <c:pt idx="5">
                  <c:v>3.3333333333333335E-3</c:v>
                </c:pt>
                <c:pt idx="6">
                  <c:v>4.0000000000000001E-3</c:v>
                </c:pt>
                <c:pt idx="7">
                  <c:v>4.6666666666666671E-3</c:v>
                </c:pt>
                <c:pt idx="8">
                  <c:v>5.333333333333334E-3</c:v>
                </c:pt>
                <c:pt idx="9">
                  <c:v>6.000000000000001E-3</c:v>
                </c:pt>
                <c:pt idx="10">
                  <c:v>6.6666666666666671E-3</c:v>
                </c:pt>
                <c:pt idx="11">
                  <c:v>7.3333333333333332E-3</c:v>
                </c:pt>
                <c:pt idx="12">
                  <c:v>8.0000000000000002E-3</c:v>
                </c:pt>
                <c:pt idx="13">
                  <c:v>8.6666666666666663E-3</c:v>
                </c:pt>
                <c:pt idx="14">
                  <c:v>9.3333333333333324E-3</c:v>
                </c:pt>
                <c:pt idx="15">
                  <c:v>9.9999999999999985E-3</c:v>
                </c:pt>
                <c:pt idx="16">
                  <c:v>1.0666666666666665E-2</c:v>
                </c:pt>
                <c:pt idx="17">
                  <c:v>1.1333333333333331E-2</c:v>
                </c:pt>
                <c:pt idx="18">
                  <c:v>1.1999999999999997E-2</c:v>
                </c:pt>
                <c:pt idx="19">
                  <c:v>1.2666666666666663E-2</c:v>
                </c:pt>
                <c:pt idx="20">
                  <c:v>1.3333333333333331E-2</c:v>
                </c:pt>
                <c:pt idx="21">
                  <c:v>1.3999999999999999E-2</c:v>
                </c:pt>
                <c:pt idx="22">
                  <c:v>1.4666666666666666E-2</c:v>
                </c:pt>
                <c:pt idx="23">
                  <c:v>1.5333333333333334E-2</c:v>
                </c:pt>
                <c:pt idx="24">
                  <c:v>1.6E-2</c:v>
                </c:pt>
                <c:pt idx="25">
                  <c:v>1.666666666666667E-2</c:v>
                </c:pt>
                <c:pt idx="26">
                  <c:v>1.7333333333333336E-2</c:v>
                </c:pt>
                <c:pt idx="27">
                  <c:v>1.8000000000000002E-2</c:v>
                </c:pt>
                <c:pt idx="28">
                  <c:v>1.8666666666666672E-2</c:v>
                </c:pt>
                <c:pt idx="29">
                  <c:v>1.9333333333333338E-2</c:v>
                </c:pt>
                <c:pt idx="30">
                  <c:v>2.0000000000000007E-2</c:v>
                </c:pt>
                <c:pt idx="31">
                  <c:v>2.0666666666666673E-2</c:v>
                </c:pt>
                <c:pt idx="32">
                  <c:v>2.1333333333333343E-2</c:v>
                </c:pt>
                <c:pt idx="33">
                  <c:v>2.2000000000000009E-2</c:v>
                </c:pt>
                <c:pt idx="34">
                  <c:v>2.2666666666666675E-2</c:v>
                </c:pt>
                <c:pt idx="35">
                  <c:v>2.3333333333333345E-2</c:v>
                </c:pt>
                <c:pt idx="36">
                  <c:v>2.4000000000000011E-2</c:v>
                </c:pt>
                <c:pt idx="37">
                  <c:v>2.466666666666668E-2</c:v>
                </c:pt>
                <c:pt idx="38">
                  <c:v>2.5333333333333343E-2</c:v>
                </c:pt>
                <c:pt idx="39">
                  <c:v>2.6000000000000009E-2</c:v>
                </c:pt>
                <c:pt idx="40">
                  <c:v>2.6666666666666672E-2</c:v>
                </c:pt>
                <c:pt idx="41">
                  <c:v>2.7333333333333338E-2</c:v>
                </c:pt>
                <c:pt idx="42">
                  <c:v>2.8000000000000004E-2</c:v>
                </c:pt>
                <c:pt idx="43">
                  <c:v>2.8666666666666667E-2</c:v>
                </c:pt>
                <c:pt idx="44">
                  <c:v>2.9333333333333333E-2</c:v>
                </c:pt>
                <c:pt idx="45">
                  <c:v>0.03</c:v>
                </c:pt>
                <c:pt idx="46">
                  <c:v>3.0666666666666662E-2</c:v>
                </c:pt>
                <c:pt idx="47">
                  <c:v>3.1333333333333324E-2</c:v>
                </c:pt>
                <c:pt idx="48">
                  <c:v>3.1999999999999994E-2</c:v>
                </c:pt>
                <c:pt idx="49">
                  <c:v>3.2666666666666656E-2</c:v>
                </c:pt>
                <c:pt idx="50">
                  <c:v>3.3333333333333319E-2</c:v>
                </c:pt>
                <c:pt idx="51">
                  <c:v>3.3999999999999989E-2</c:v>
                </c:pt>
                <c:pt idx="52">
                  <c:v>3.4666666666666651E-2</c:v>
                </c:pt>
                <c:pt idx="53">
                  <c:v>3.5333333333333314E-2</c:v>
                </c:pt>
                <c:pt idx="54">
                  <c:v>3.5999999999999983E-2</c:v>
                </c:pt>
                <c:pt idx="55">
                  <c:v>3.6666666666666646E-2</c:v>
                </c:pt>
                <c:pt idx="56">
                  <c:v>3.7333333333333309E-2</c:v>
                </c:pt>
                <c:pt idx="57">
                  <c:v>3.7999999999999978E-2</c:v>
                </c:pt>
                <c:pt idx="58">
                  <c:v>3.8666666666666641E-2</c:v>
                </c:pt>
                <c:pt idx="59">
                  <c:v>3.9333333333333304E-2</c:v>
                </c:pt>
                <c:pt idx="60">
                  <c:v>3.9999999999999966E-2</c:v>
                </c:pt>
                <c:pt idx="61">
                  <c:v>4.0666666666666636E-2</c:v>
                </c:pt>
                <c:pt idx="62">
                  <c:v>4.1333333333333298E-2</c:v>
                </c:pt>
                <c:pt idx="63">
                  <c:v>4.1999999999999961E-2</c:v>
                </c:pt>
                <c:pt idx="64">
                  <c:v>4.2666666666666631E-2</c:v>
                </c:pt>
                <c:pt idx="65">
                  <c:v>4.3333333333333293E-2</c:v>
                </c:pt>
                <c:pt idx="66">
                  <c:v>4.3999999999999956E-2</c:v>
                </c:pt>
                <c:pt idx="67">
                  <c:v>4.4666666666666625E-2</c:v>
                </c:pt>
                <c:pt idx="68">
                  <c:v>4.5333333333333288E-2</c:v>
                </c:pt>
                <c:pt idx="69">
                  <c:v>4.5999999999999951E-2</c:v>
                </c:pt>
                <c:pt idx="70">
                  <c:v>4.666666666666662E-2</c:v>
                </c:pt>
                <c:pt idx="71">
                  <c:v>4.7333333333333283E-2</c:v>
                </c:pt>
                <c:pt idx="72">
                  <c:v>4.7999999999999945E-2</c:v>
                </c:pt>
                <c:pt idx="73">
                  <c:v>4.8666666666666615E-2</c:v>
                </c:pt>
                <c:pt idx="74">
                  <c:v>4.9333333333333285E-2</c:v>
                </c:pt>
                <c:pt idx="75">
                  <c:v>4.9999999999999947E-2</c:v>
                </c:pt>
              </c:numCache>
            </c:numRef>
          </c:xVal>
          <c:yVal>
            <c:numRef>
              <c:f>'Burland damage classification'!$AH$16:$AH$91</c:f>
              <c:numCache>
                <c:formatCode>0.0000000000</c:formatCode>
                <c:ptCount val="76"/>
                <c:pt idx="0">
                  <c:v>5.2820183083877058E-2</c:v>
                </c:pt>
                <c:pt idx="1">
                  <c:v>5.257311104323982E-2</c:v>
                </c:pt>
                <c:pt idx="2">
                  <c:v>5.2324872369795217E-2</c:v>
                </c:pt>
                <c:pt idx="3">
                  <c:v>5.2075450379866058E-2</c:v>
                </c:pt>
                <c:pt idx="4">
                  <c:v>5.1824827988295581E-2</c:v>
                </c:pt>
                <c:pt idx="5">
                  <c:v>5.1572987694789976E-2</c:v>
                </c:pt>
                <c:pt idx="6">
                  <c:v>5.1319911569657754E-2</c:v>
                </c:pt>
                <c:pt idx="7">
                  <c:v>5.106558123891302E-2</c:v>
                </c:pt>
                <c:pt idx="8">
                  <c:v>5.0809977868707619E-2</c:v>
                </c:pt>
                <c:pt idx="9">
                  <c:v>5.0553082149054893E-2</c:v>
                </c:pt>
                <c:pt idx="10">
                  <c:v>5.0294874276805034E-2</c:v>
                </c:pt>
                <c:pt idx="11">
                  <c:v>5.0035333937829961E-2</c:v>
                </c:pt>
                <c:pt idx="12">
                  <c:v>4.9774440288371816E-2</c:v>
                </c:pt>
                <c:pt idx="13">
                  <c:v>4.9512171935507179E-2</c:v>
                </c:pt>
                <c:pt idx="14">
                  <c:v>4.9248506916674727E-2</c:v>
                </c:pt>
                <c:pt idx="15">
                  <c:v>4.898342267821116E-2</c:v>
                </c:pt>
                <c:pt idx="16">
                  <c:v>4.8716896052835967E-2</c:v>
                </c:pt>
                <c:pt idx="17">
                  <c:v>4.8448903236021329E-2</c:v>
                </c:pt>
                <c:pt idx="18">
                  <c:v>4.8179419761179058E-2</c:v>
                </c:pt>
                <c:pt idx="19">
                  <c:v>4.7908420473591326E-2</c:v>
                </c:pt>
                <c:pt idx="20">
                  <c:v>4.7635879503006531E-2</c:v>
                </c:pt>
                <c:pt idx="21">
                  <c:v>4.7361770234815873E-2</c:v>
                </c:pt>
                <c:pt idx="22">
                  <c:v>4.7086065279719688E-2</c:v>
                </c:pt>
                <c:pt idx="23">
                  <c:v>4.6808736441785709E-2</c:v>
                </c:pt>
                <c:pt idx="24">
                  <c:v>4.6529754684793805E-2</c:v>
                </c:pt>
                <c:pt idx="25">
                  <c:v>4.6249090096753515E-2</c:v>
                </c:pt>
                <c:pt idx="26">
                  <c:v>4.5966711852471642E-2</c:v>
                </c:pt>
                <c:pt idx="27">
                  <c:v>4.5682588174037274E-2</c:v>
                </c:pt>
                <c:pt idx="28">
                  <c:v>4.5396686289080883E-2</c:v>
                </c:pt>
                <c:pt idx="29">
                  <c:v>4.5108972386652263E-2</c:v>
                </c:pt>
                <c:pt idx="30">
                  <c:v>4.481941157054932E-2</c:v>
                </c:pt>
                <c:pt idx="31">
                  <c:v>4.4527967809914963E-2</c:v>
                </c:pt>
                <c:pt idx="32">
                  <c:v>4.423460388690461E-2</c:v>
                </c:pt>
                <c:pt idx="33">
                  <c:v>4.3939281341208683E-2</c:v>
                </c:pt>
                <c:pt idx="34">
                  <c:v>4.3641960411196272E-2</c:v>
                </c:pt>
                <c:pt idx="35">
                  <c:v>4.3342599971424839E-2</c:v>
                </c:pt>
                <c:pt idx="36">
                  <c:v>4.3041157466237941E-2</c:v>
                </c:pt>
                <c:pt idx="37">
                  <c:v>4.2737588839147481E-2</c:v>
                </c:pt>
                <c:pt idx="38">
                  <c:v>4.2431848457668633E-2</c:v>
                </c:pt>
                <c:pt idx="39">
                  <c:v>4.2123889033244419E-2</c:v>
                </c:pt>
                <c:pt idx="40">
                  <c:v>4.1813661535861961E-2</c:v>
                </c:pt>
                <c:pt idx="41">
                  <c:v>4.1501115102924119E-2</c:v>
                </c:pt>
                <c:pt idx="42">
                  <c:v>4.1186196941896555E-2</c:v>
                </c:pt>
                <c:pt idx="43">
                  <c:v>4.0868852226203067E-2</c:v>
                </c:pt>
                <c:pt idx="44">
                  <c:v>4.0549023983787284E-2</c:v>
                </c:pt>
                <c:pt idx="45">
                  <c:v>4.0226652977699867E-2</c:v>
                </c:pt>
                <c:pt idx="46">
                  <c:v>3.9901677578001941E-2</c:v>
                </c:pt>
                <c:pt idx="47">
                  <c:v>3.9574033624200561E-2</c:v>
                </c:pt>
                <c:pt idx="48">
                  <c:v>3.9243654277346419E-2</c:v>
                </c:pt>
                <c:pt idx="49">
                  <c:v>3.8910469860828245E-2</c:v>
                </c:pt>
                <c:pt idx="50">
                  <c:v>3.8574407688789683E-2</c:v>
                </c:pt>
                <c:pt idx="51">
                  <c:v>3.8235391880971865E-2</c:v>
                </c:pt>
                <c:pt idx="52">
                  <c:v>3.7893343162645636E-2</c:v>
                </c:pt>
                <c:pt idx="53">
                  <c:v>3.7548178648138933E-2</c:v>
                </c:pt>
                <c:pt idx="54">
                  <c:v>3.719981160628491E-2</c:v>
                </c:pt>
                <c:pt idx="55">
                  <c:v>3.6848151205910222E-2</c:v>
                </c:pt>
                <c:pt idx="56">
                  <c:v>3.6493102239247302E-2</c:v>
                </c:pt>
                <c:pt idx="57">
                  <c:v>3.6134564820884306E-2</c:v>
                </c:pt>
                <c:pt idx="58">
                  <c:v>3.5772434059555165E-2</c:v>
                </c:pt>
                <c:pt idx="59">
                  <c:v>3.42416242838103E-2</c:v>
                </c:pt>
                <c:pt idx="60">
                  <c:v>3.2101522766072164E-2</c:v>
                </c:pt>
                <c:pt idx="61">
                  <c:v>2.9961421248334036E-2</c:v>
                </c:pt>
                <c:pt idx="62">
                  <c:v>2.7821319730595907E-2</c:v>
                </c:pt>
                <c:pt idx="63">
                  <c:v>2.5681218212857779E-2</c:v>
                </c:pt>
                <c:pt idx="64">
                  <c:v>2.3541116695119647E-2</c:v>
                </c:pt>
                <c:pt idx="65">
                  <c:v>2.1401015177381515E-2</c:v>
                </c:pt>
                <c:pt idx="66">
                  <c:v>1.9260913659643383E-2</c:v>
                </c:pt>
                <c:pt idx="67">
                  <c:v>1.7120812141905254E-2</c:v>
                </c:pt>
                <c:pt idx="68">
                  <c:v>1.4980710624167119E-2</c:v>
                </c:pt>
                <c:pt idx="69">
                  <c:v>1.2840609106428987E-2</c:v>
                </c:pt>
                <c:pt idx="70">
                  <c:v>1.0700507588690854E-2</c:v>
                </c:pt>
                <c:pt idx="71">
                  <c:v>8.5604060709527207E-3</c:v>
                </c:pt>
                <c:pt idx="72">
                  <c:v>6.4203045532145895E-3</c:v>
                </c:pt>
                <c:pt idx="73">
                  <c:v>4.2802030354764566E-3</c:v>
                </c:pt>
                <c:pt idx="74">
                  <c:v>2.140101517738325E-3</c:v>
                </c:pt>
                <c:pt idx="75">
                  <c:v>1.930564368232685E-16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A8-485F-AC89-7B6805D48DBC}"/>
            </c:ext>
          </c:extLst>
        </c:ser>
        <c:ser>
          <c:idx val="2"/>
          <c:order val="2"/>
          <c:tx>
            <c:strRef>
              <c:f>'Burland damage classification'!$Q$36:$S$36</c:f>
              <c:strCache>
                <c:ptCount val="1"/>
                <c:pt idx="0">
                  <c:v>eps_lim= 0.100 %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'Burland damage classification'!$AU$16:$AU$166</c:f>
              <c:numCache>
                <c:formatCode>General</c:formatCode>
                <c:ptCount val="151"/>
                <c:pt idx="0">
                  <c:v>0</c:v>
                </c:pt>
                <c:pt idx="1">
                  <c:v>6.6666666666666664E-4</c:v>
                </c:pt>
                <c:pt idx="2">
                  <c:v>1.3333333333333333E-3</c:v>
                </c:pt>
                <c:pt idx="3">
                  <c:v>2E-3</c:v>
                </c:pt>
                <c:pt idx="4">
                  <c:v>2.6666666666666666E-3</c:v>
                </c:pt>
                <c:pt idx="5">
                  <c:v>3.3333333333333335E-3</c:v>
                </c:pt>
                <c:pt idx="6">
                  <c:v>4.0000000000000001E-3</c:v>
                </c:pt>
                <c:pt idx="7">
                  <c:v>4.6666666666666671E-3</c:v>
                </c:pt>
                <c:pt idx="8">
                  <c:v>5.333333333333334E-3</c:v>
                </c:pt>
                <c:pt idx="9">
                  <c:v>6.000000000000001E-3</c:v>
                </c:pt>
                <c:pt idx="10">
                  <c:v>6.6666666666666671E-3</c:v>
                </c:pt>
                <c:pt idx="11">
                  <c:v>7.3333333333333332E-3</c:v>
                </c:pt>
                <c:pt idx="12">
                  <c:v>8.0000000000000002E-3</c:v>
                </c:pt>
                <c:pt idx="13">
                  <c:v>8.6666666666666663E-3</c:v>
                </c:pt>
                <c:pt idx="14">
                  <c:v>9.3333333333333324E-3</c:v>
                </c:pt>
                <c:pt idx="15">
                  <c:v>9.9999999999999985E-3</c:v>
                </c:pt>
                <c:pt idx="16">
                  <c:v>1.0666666666666665E-2</c:v>
                </c:pt>
                <c:pt idx="17">
                  <c:v>1.1333333333333331E-2</c:v>
                </c:pt>
                <c:pt idx="18">
                  <c:v>1.1999999999999997E-2</c:v>
                </c:pt>
                <c:pt idx="19">
                  <c:v>1.2666666666666663E-2</c:v>
                </c:pt>
                <c:pt idx="20">
                  <c:v>1.3333333333333331E-2</c:v>
                </c:pt>
                <c:pt idx="21">
                  <c:v>1.3999999999999999E-2</c:v>
                </c:pt>
                <c:pt idx="22">
                  <c:v>1.4666666666666666E-2</c:v>
                </c:pt>
                <c:pt idx="23">
                  <c:v>1.5333333333333334E-2</c:v>
                </c:pt>
                <c:pt idx="24">
                  <c:v>1.6E-2</c:v>
                </c:pt>
                <c:pt idx="25">
                  <c:v>1.666666666666667E-2</c:v>
                </c:pt>
                <c:pt idx="26">
                  <c:v>1.7333333333333336E-2</c:v>
                </c:pt>
                <c:pt idx="27">
                  <c:v>1.8000000000000002E-2</c:v>
                </c:pt>
                <c:pt idx="28">
                  <c:v>1.8666666666666672E-2</c:v>
                </c:pt>
                <c:pt idx="29">
                  <c:v>1.9333333333333338E-2</c:v>
                </c:pt>
                <c:pt idx="30">
                  <c:v>2.0000000000000007E-2</c:v>
                </c:pt>
                <c:pt idx="31">
                  <c:v>2.0666666666666673E-2</c:v>
                </c:pt>
                <c:pt idx="32">
                  <c:v>2.1333333333333343E-2</c:v>
                </c:pt>
                <c:pt idx="33">
                  <c:v>2.2000000000000009E-2</c:v>
                </c:pt>
                <c:pt idx="34">
                  <c:v>2.2666666666666675E-2</c:v>
                </c:pt>
                <c:pt idx="35">
                  <c:v>2.3333333333333345E-2</c:v>
                </c:pt>
                <c:pt idx="36">
                  <c:v>2.4000000000000011E-2</c:v>
                </c:pt>
                <c:pt idx="37">
                  <c:v>2.466666666666668E-2</c:v>
                </c:pt>
                <c:pt idx="38">
                  <c:v>2.5333333333333343E-2</c:v>
                </c:pt>
                <c:pt idx="39">
                  <c:v>2.6000000000000009E-2</c:v>
                </c:pt>
                <c:pt idx="40">
                  <c:v>2.6666666666666672E-2</c:v>
                </c:pt>
                <c:pt idx="41">
                  <c:v>2.7333333333333338E-2</c:v>
                </c:pt>
                <c:pt idx="42">
                  <c:v>2.8000000000000004E-2</c:v>
                </c:pt>
                <c:pt idx="43">
                  <c:v>2.8666666666666667E-2</c:v>
                </c:pt>
                <c:pt idx="44">
                  <c:v>2.9333333333333333E-2</c:v>
                </c:pt>
                <c:pt idx="45">
                  <c:v>0.03</c:v>
                </c:pt>
                <c:pt idx="46">
                  <c:v>3.0666666666666662E-2</c:v>
                </c:pt>
                <c:pt idx="47">
                  <c:v>3.1333333333333324E-2</c:v>
                </c:pt>
                <c:pt idx="48">
                  <c:v>3.1999999999999994E-2</c:v>
                </c:pt>
                <c:pt idx="49">
                  <c:v>3.2666666666666656E-2</c:v>
                </c:pt>
                <c:pt idx="50">
                  <c:v>3.3333333333333319E-2</c:v>
                </c:pt>
                <c:pt idx="51">
                  <c:v>3.3999999999999989E-2</c:v>
                </c:pt>
                <c:pt idx="52">
                  <c:v>3.4666666666666651E-2</c:v>
                </c:pt>
                <c:pt idx="53">
                  <c:v>3.5333333333333314E-2</c:v>
                </c:pt>
                <c:pt idx="54">
                  <c:v>3.5999999999999983E-2</c:v>
                </c:pt>
                <c:pt idx="55">
                  <c:v>3.6666666666666646E-2</c:v>
                </c:pt>
                <c:pt idx="56">
                  <c:v>3.7333333333333309E-2</c:v>
                </c:pt>
                <c:pt idx="57">
                  <c:v>3.7999999999999978E-2</c:v>
                </c:pt>
                <c:pt idx="58">
                  <c:v>3.8666666666666641E-2</c:v>
                </c:pt>
                <c:pt idx="59">
                  <c:v>3.9333333333333304E-2</c:v>
                </c:pt>
                <c:pt idx="60">
                  <c:v>3.9999999999999966E-2</c:v>
                </c:pt>
                <c:pt idx="61">
                  <c:v>4.0666666666666636E-2</c:v>
                </c:pt>
                <c:pt idx="62">
                  <c:v>4.1333333333333298E-2</c:v>
                </c:pt>
                <c:pt idx="63">
                  <c:v>4.1999999999999961E-2</c:v>
                </c:pt>
                <c:pt idx="64">
                  <c:v>4.2666666666666631E-2</c:v>
                </c:pt>
                <c:pt idx="65">
                  <c:v>4.3333333333333293E-2</c:v>
                </c:pt>
                <c:pt idx="66">
                  <c:v>4.3999999999999956E-2</c:v>
                </c:pt>
                <c:pt idx="67">
                  <c:v>4.4666666666666625E-2</c:v>
                </c:pt>
                <c:pt idx="68">
                  <c:v>4.5333333333333288E-2</c:v>
                </c:pt>
                <c:pt idx="69">
                  <c:v>4.5999999999999951E-2</c:v>
                </c:pt>
                <c:pt idx="70">
                  <c:v>4.666666666666662E-2</c:v>
                </c:pt>
                <c:pt idx="71">
                  <c:v>4.7333333333333283E-2</c:v>
                </c:pt>
                <c:pt idx="72">
                  <c:v>4.7999999999999945E-2</c:v>
                </c:pt>
                <c:pt idx="73">
                  <c:v>4.8666666666666615E-2</c:v>
                </c:pt>
                <c:pt idx="74">
                  <c:v>4.9333333333333285E-2</c:v>
                </c:pt>
                <c:pt idx="75">
                  <c:v>4.9999999999999947E-2</c:v>
                </c:pt>
                <c:pt idx="76">
                  <c:v>5.066666666666661E-2</c:v>
                </c:pt>
                <c:pt idx="77">
                  <c:v>5.1333333333333279E-2</c:v>
                </c:pt>
                <c:pt idx="78">
                  <c:v>5.1999999999999942E-2</c:v>
                </c:pt>
                <c:pt idx="79">
                  <c:v>5.2666666666666605E-2</c:v>
                </c:pt>
                <c:pt idx="80">
                  <c:v>5.3333333333333274E-2</c:v>
                </c:pt>
                <c:pt idx="81">
                  <c:v>5.3999999999999937E-2</c:v>
                </c:pt>
                <c:pt idx="82">
                  <c:v>5.46666666666666E-2</c:v>
                </c:pt>
                <c:pt idx="83">
                  <c:v>5.5333333333333262E-2</c:v>
                </c:pt>
                <c:pt idx="84">
                  <c:v>5.5999999999999932E-2</c:v>
                </c:pt>
                <c:pt idx="85">
                  <c:v>5.6666666666666594E-2</c:v>
                </c:pt>
                <c:pt idx="86">
                  <c:v>5.7333333333333257E-2</c:v>
                </c:pt>
                <c:pt idx="87">
                  <c:v>5.7999999999999927E-2</c:v>
                </c:pt>
                <c:pt idx="88">
                  <c:v>5.8666666666666589E-2</c:v>
                </c:pt>
                <c:pt idx="89">
                  <c:v>5.9333333333333252E-2</c:v>
                </c:pt>
                <c:pt idx="90">
                  <c:v>5.9999999999999921E-2</c:v>
                </c:pt>
                <c:pt idx="91">
                  <c:v>6.0666666666666584E-2</c:v>
                </c:pt>
                <c:pt idx="92">
                  <c:v>6.1333333333333247E-2</c:v>
                </c:pt>
                <c:pt idx="93">
                  <c:v>6.1999999999999916E-2</c:v>
                </c:pt>
                <c:pt idx="94">
                  <c:v>6.2666666666666579E-2</c:v>
                </c:pt>
                <c:pt idx="95">
                  <c:v>6.3333333333333242E-2</c:v>
                </c:pt>
                <c:pt idx="96">
                  <c:v>6.3999999999999904E-2</c:v>
                </c:pt>
                <c:pt idx="97">
                  <c:v>6.4666666666666567E-2</c:v>
                </c:pt>
                <c:pt idx="98">
                  <c:v>6.5333333333333243E-2</c:v>
                </c:pt>
                <c:pt idx="99">
                  <c:v>6.5999999999999906E-2</c:v>
                </c:pt>
                <c:pt idx="100">
                  <c:v>6.6666666666666569E-2</c:v>
                </c:pt>
                <c:pt idx="101">
                  <c:v>6.7333333333333231E-2</c:v>
                </c:pt>
                <c:pt idx="102">
                  <c:v>6.7999999999999894E-2</c:v>
                </c:pt>
                <c:pt idx="103">
                  <c:v>6.8666666666666556E-2</c:v>
                </c:pt>
                <c:pt idx="104">
                  <c:v>6.9333333333333219E-2</c:v>
                </c:pt>
                <c:pt idx="105">
                  <c:v>6.9999999999999896E-2</c:v>
                </c:pt>
                <c:pt idx="106">
                  <c:v>7.0666666666666558E-2</c:v>
                </c:pt>
                <c:pt idx="107">
                  <c:v>7.1333333333333221E-2</c:v>
                </c:pt>
                <c:pt idx="108">
                  <c:v>7.1999999999999884E-2</c:v>
                </c:pt>
                <c:pt idx="109">
                  <c:v>7.2666666666666546E-2</c:v>
                </c:pt>
                <c:pt idx="110">
                  <c:v>7.3333333333333209E-2</c:v>
                </c:pt>
                <c:pt idx="111">
                  <c:v>7.3999999999999885E-2</c:v>
                </c:pt>
                <c:pt idx="112">
                  <c:v>7.4666666666666548E-2</c:v>
                </c:pt>
                <c:pt idx="113">
                  <c:v>7.5333333333333211E-2</c:v>
                </c:pt>
                <c:pt idx="114">
                  <c:v>7.5999999999999873E-2</c:v>
                </c:pt>
                <c:pt idx="115">
                  <c:v>7.6666666666666536E-2</c:v>
                </c:pt>
                <c:pt idx="116">
                  <c:v>7.7333333333333198E-2</c:v>
                </c:pt>
                <c:pt idx="117">
                  <c:v>7.7999999999999875E-2</c:v>
                </c:pt>
                <c:pt idx="118">
                  <c:v>7.8666666666666538E-2</c:v>
                </c:pt>
                <c:pt idx="119">
                  <c:v>7.93333333333332E-2</c:v>
                </c:pt>
                <c:pt idx="120">
                  <c:v>7.9999999999999863E-2</c:v>
                </c:pt>
                <c:pt idx="121">
                  <c:v>8.0666666666666526E-2</c:v>
                </c:pt>
                <c:pt idx="122">
                  <c:v>8.1333333333333188E-2</c:v>
                </c:pt>
                <c:pt idx="123">
                  <c:v>8.1999999999999851E-2</c:v>
                </c:pt>
                <c:pt idx="124">
                  <c:v>8.2666666666666527E-2</c:v>
                </c:pt>
                <c:pt idx="125">
                  <c:v>8.333333333333319E-2</c:v>
                </c:pt>
                <c:pt idx="126">
                  <c:v>8.3999999999999853E-2</c:v>
                </c:pt>
                <c:pt idx="127">
                  <c:v>8.4666666666666515E-2</c:v>
                </c:pt>
                <c:pt idx="128">
                  <c:v>8.5333333333333178E-2</c:v>
                </c:pt>
                <c:pt idx="129">
                  <c:v>8.599999999999984E-2</c:v>
                </c:pt>
                <c:pt idx="130">
                  <c:v>8.6666666666666517E-2</c:v>
                </c:pt>
                <c:pt idx="131">
                  <c:v>8.733333333333318E-2</c:v>
                </c:pt>
                <c:pt idx="132">
                  <c:v>8.7999999999999842E-2</c:v>
                </c:pt>
                <c:pt idx="133">
                  <c:v>8.8666666666666505E-2</c:v>
                </c:pt>
                <c:pt idx="134">
                  <c:v>8.9333333333333168E-2</c:v>
                </c:pt>
                <c:pt idx="135">
                  <c:v>8.999999999999983E-2</c:v>
                </c:pt>
                <c:pt idx="136">
                  <c:v>9.0666666666666507E-2</c:v>
                </c:pt>
                <c:pt idx="137">
                  <c:v>9.1333333333333169E-2</c:v>
                </c:pt>
                <c:pt idx="138">
                  <c:v>9.1999999999999832E-2</c:v>
                </c:pt>
                <c:pt idx="139">
                  <c:v>9.2666666666666495E-2</c:v>
                </c:pt>
                <c:pt idx="140">
                  <c:v>9.3333333333333157E-2</c:v>
                </c:pt>
                <c:pt idx="141">
                  <c:v>9.399999999999982E-2</c:v>
                </c:pt>
                <c:pt idx="142">
                  <c:v>9.4666666666666482E-2</c:v>
                </c:pt>
                <c:pt idx="143">
                  <c:v>9.5333333333333159E-2</c:v>
                </c:pt>
                <c:pt idx="144">
                  <c:v>9.5999999999999822E-2</c:v>
                </c:pt>
                <c:pt idx="145">
                  <c:v>9.6666666666666484E-2</c:v>
                </c:pt>
                <c:pt idx="146">
                  <c:v>9.7333333333333147E-2</c:v>
                </c:pt>
                <c:pt idx="147">
                  <c:v>9.7999999999999823E-2</c:v>
                </c:pt>
                <c:pt idx="148">
                  <c:v>9.86666666666665E-2</c:v>
                </c:pt>
                <c:pt idx="149">
                  <c:v>9.9333333333333176E-2</c:v>
                </c:pt>
                <c:pt idx="150">
                  <c:v>9.9999999999999853E-2</c:v>
                </c:pt>
              </c:numCache>
            </c:numRef>
          </c:xVal>
          <c:yVal>
            <c:numRef>
              <c:f>'Burland damage classification'!$AQ$16:$AQ$166</c:f>
              <c:numCache>
                <c:formatCode>0.0000000000</c:formatCode>
                <c:ptCount val="151"/>
                <c:pt idx="0">
                  <c:v>0.10564036616775412</c:v>
                </c:pt>
                <c:pt idx="1">
                  <c:v>0.10539358373050152</c:v>
                </c:pt>
                <c:pt idx="2">
                  <c:v>0.10514622208647964</c:v>
                </c:pt>
                <c:pt idx="3">
                  <c:v>0.10489827713818931</c:v>
                </c:pt>
                <c:pt idx="4">
                  <c:v>0.10464974473959043</c:v>
                </c:pt>
                <c:pt idx="5">
                  <c:v>0.10440062069529329</c:v>
                </c:pt>
                <c:pt idx="6">
                  <c:v>0.10415090075973212</c:v>
                </c:pt>
                <c:pt idx="7">
                  <c:v>0.10390058063632096</c:v>
                </c:pt>
                <c:pt idx="8">
                  <c:v>0.10364965597659116</c:v>
                </c:pt>
                <c:pt idx="9">
                  <c:v>0.10339812237931</c:v>
                </c:pt>
                <c:pt idx="10">
                  <c:v>0.10314597538957995</c:v>
                </c:pt>
                <c:pt idx="11">
                  <c:v>0.10289321049791818</c:v>
                </c:pt>
                <c:pt idx="12">
                  <c:v>0.10263982313931551</c:v>
                </c:pt>
                <c:pt idx="13">
                  <c:v>0.10238580869227451</c:v>
                </c:pt>
                <c:pt idx="14">
                  <c:v>0.10213116247782604</c:v>
                </c:pt>
                <c:pt idx="15">
                  <c:v>0.10187587975852364</c:v>
                </c:pt>
                <c:pt idx="16">
                  <c:v>0.10161995573741524</c:v>
                </c:pt>
                <c:pt idx="17">
                  <c:v>0.10136338555699143</c:v>
                </c:pt>
                <c:pt idx="18">
                  <c:v>0.10110616429810979</c:v>
                </c:pt>
                <c:pt idx="19">
                  <c:v>0.10084828697889435</c:v>
                </c:pt>
                <c:pt idx="20">
                  <c:v>0.10058974855361007</c:v>
                </c:pt>
                <c:pt idx="21">
                  <c:v>0.10033054391151064</c:v>
                </c:pt>
                <c:pt idx="22">
                  <c:v>0.10007066787565992</c:v>
                </c:pt>
                <c:pt idx="23">
                  <c:v>9.9810115201725419E-2</c:v>
                </c:pt>
                <c:pt idx="24">
                  <c:v>9.9548880576743617E-2</c:v>
                </c:pt>
                <c:pt idx="25">
                  <c:v>9.92869586178559E-2</c:v>
                </c:pt>
                <c:pt idx="26">
                  <c:v>9.9024343871014359E-2</c:v>
                </c:pt>
                <c:pt idx="27">
                  <c:v>9.876103080965673E-2</c:v>
                </c:pt>
                <c:pt idx="28">
                  <c:v>9.8497013833349453E-2</c:v>
                </c:pt>
                <c:pt idx="29">
                  <c:v>9.823228726639778E-2</c:v>
                </c:pt>
                <c:pt idx="30">
                  <c:v>9.7966845356422319E-2</c:v>
                </c:pt>
                <c:pt idx="31">
                  <c:v>9.7700682272900394E-2</c:v>
                </c:pt>
                <c:pt idx="32">
                  <c:v>9.7433792105671935E-2</c:v>
                </c:pt>
                <c:pt idx="33">
                  <c:v>9.7166168863408231E-2</c:v>
                </c:pt>
                <c:pt idx="34">
                  <c:v>9.6897806472042644E-2</c:v>
                </c:pt>
                <c:pt idx="35">
                  <c:v>9.6628698773162089E-2</c:v>
                </c:pt>
                <c:pt idx="36">
                  <c:v>9.6358839522358117E-2</c:v>
                </c:pt>
                <c:pt idx="37">
                  <c:v>9.6088222387536282E-2</c:v>
                </c:pt>
                <c:pt idx="38">
                  <c:v>9.5816840947182638E-2</c:v>
                </c:pt>
                <c:pt idx="39">
                  <c:v>9.5544688688585733E-2</c:v>
                </c:pt>
                <c:pt idx="40">
                  <c:v>9.5271759006013063E-2</c:v>
                </c:pt>
                <c:pt idx="41">
                  <c:v>9.4998045198840253E-2</c:v>
                </c:pt>
                <c:pt idx="42">
                  <c:v>9.4723540469631745E-2</c:v>
                </c:pt>
                <c:pt idx="43">
                  <c:v>9.4448237922171052E-2</c:v>
                </c:pt>
                <c:pt idx="44">
                  <c:v>9.4172130559439376E-2</c:v>
                </c:pt>
                <c:pt idx="45">
                  <c:v>9.3895211281540686E-2</c:v>
                </c:pt>
                <c:pt idx="46">
                  <c:v>9.3617472883571418E-2</c:v>
                </c:pt>
                <c:pt idx="47">
                  <c:v>9.3338908053433423E-2</c:v>
                </c:pt>
                <c:pt idx="48">
                  <c:v>9.3059509369587609E-2</c:v>
                </c:pt>
                <c:pt idx="49">
                  <c:v>9.2779269298747066E-2</c:v>
                </c:pt>
                <c:pt idx="50">
                  <c:v>9.2498180193507043E-2</c:v>
                </c:pt>
                <c:pt idx="51">
                  <c:v>9.2216234289909951E-2</c:v>
                </c:pt>
                <c:pt idx="52">
                  <c:v>9.1933423704943285E-2</c:v>
                </c:pt>
                <c:pt idx="53">
                  <c:v>9.1649740433967924E-2</c:v>
                </c:pt>
                <c:pt idx="54">
                  <c:v>9.1365176348074562E-2</c:v>
                </c:pt>
                <c:pt idx="55">
                  <c:v>9.1079723191365869E-2</c:v>
                </c:pt>
                <c:pt idx="56">
                  <c:v>9.079337257816178E-2</c:v>
                </c:pt>
                <c:pt idx="57">
                  <c:v>9.0506115990125022E-2</c:v>
                </c:pt>
                <c:pt idx="58">
                  <c:v>9.021794477330454E-2</c:v>
                </c:pt>
                <c:pt idx="59">
                  <c:v>8.9928850135093441E-2</c:v>
                </c:pt>
                <c:pt idx="60">
                  <c:v>8.9638823141098653E-2</c:v>
                </c:pt>
                <c:pt idx="61">
                  <c:v>8.9347854711919264E-2</c:v>
                </c:pt>
                <c:pt idx="62">
                  <c:v>8.905593561982994E-2</c:v>
                </c:pt>
                <c:pt idx="63">
                  <c:v>8.876305648536649E-2</c:v>
                </c:pt>
                <c:pt idx="64">
                  <c:v>8.8469207773809247E-2</c:v>
                </c:pt>
                <c:pt idx="65">
                  <c:v>8.8174379791561314E-2</c:v>
                </c:pt>
                <c:pt idx="66">
                  <c:v>8.7878562682417394E-2</c:v>
                </c:pt>
                <c:pt idx="67">
                  <c:v>8.758174642371909E-2</c:v>
                </c:pt>
                <c:pt idx="68">
                  <c:v>8.7283920822392572E-2</c:v>
                </c:pt>
                <c:pt idx="69">
                  <c:v>8.6985075510864304E-2</c:v>
                </c:pt>
                <c:pt idx="70">
                  <c:v>8.6685199942849692E-2</c:v>
                </c:pt>
                <c:pt idx="71">
                  <c:v>8.6384283389010622E-2</c:v>
                </c:pt>
                <c:pt idx="72">
                  <c:v>8.6082314932475909E-2</c:v>
                </c:pt>
                <c:pt idx="73">
                  <c:v>8.5779283464220146E-2</c:v>
                </c:pt>
                <c:pt idx="74">
                  <c:v>8.5475177678294989E-2</c:v>
                </c:pt>
                <c:pt idx="75">
                  <c:v>8.5169986066907191E-2</c:v>
                </c:pt>
                <c:pt idx="76">
                  <c:v>8.4863696915337294E-2</c:v>
                </c:pt>
                <c:pt idx="77">
                  <c:v>8.4556298296692825E-2</c:v>
                </c:pt>
                <c:pt idx="78">
                  <c:v>8.4247778066488865E-2</c:v>
                </c:pt>
                <c:pt idx="79">
                  <c:v>8.3938123857049782E-2</c:v>
                </c:pt>
                <c:pt idx="80">
                  <c:v>8.3627323071723964E-2</c:v>
                </c:pt>
                <c:pt idx="81">
                  <c:v>8.3315362878904647E-2</c:v>
                </c:pt>
                <c:pt idx="82">
                  <c:v>8.3002230205848279E-2</c:v>
                </c:pt>
                <c:pt idx="83">
                  <c:v>8.2687911732282224E-2</c:v>
                </c:pt>
                <c:pt idx="84">
                  <c:v>8.2372393883793166E-2</c:v>
                </c:pt>
                <c:pt idx="85">
                  <c:v>8.2055662824986247E-2</c:v>
                </c:pt>
                <c:pt idx="86">
                  <c:v>8.1737704452406149E-2</c:v>
                </c:pt>
                <c:pt idx="87">
                  <c:v>8.1418504387208962E-2</c:v>
                </c:pt>
                <c:pt idx="88">
                  <c:v>8.1098047967574596E-2</c:v>
                </c:pt>
                <c:pt idx="89">
                  <c:v>8.0776320240848409E-2</c:v>
                </c:pt>
                <c:pt idx="90">
                  <c:v>8.0453305955399762E-2</c:v>
                </c:pt>
                <c:pt idx="91">
                  <c:v>8.0128989552185365E-2</c:v>
                </c:pt>
                <c:pt idx="92">
                  <c:v>7.9803355156003911E-2</c:v>
                </c:pt>
                <c:pt idx="93">
                  <c:v>7.9476386566428428E-2</c:v>
                </c:pt>
                <c:pt idx="94">
                  <c:v>7.9148067248401135E-2</c:v>
                </c:pt>
                <c:pt idx="95">
                  <c:v>7.8818380322476164E-2</c:v>
                </c:pt>
                <c:pt idx="96">
                  <c:v>7.8487308554692867E-2</c:v>
                </c:pt>
                <c:pt idx="97">
                  <c:v>7.8154834346063518E-2</c:v>
                </c:pt>
                <c:pt idx="98">
                  <c:v>7.7820939721656532E-2</c:v>
                </c:pt>
                <c:pt idx="99">
                  <c:v>7.7485606319256245E-2</c:v>
                </c:pt>
                <c:pt idx="100">
                  <c:v>7.7148815377579394E-2</c:v>
                </c:pt>
                <c:pt idx="101">
                  <c:v>7.6810547724026151E-2</c:v>
                </c:pt>
                <c:pt idx="102">
                  <c:v>7.6470783761943772E-2</c:v>
                </c:pt>
                <c:pt idx="103">
                  <c:v>7.6129503457378664E-2</c:v>
                </c:pt>
                <c:pt idx="104">
                  <c:v>7.5786686325291314E-2</c:v>
                </c:pt>
                <c:pt idx="105">
                  <c:v>7.5442311415207602E-2</c:v>
                </c:pt>
                <c:pt idx="106">
                  <c:v>7.5096357296277894E-2</c:v>
                </c:pt>
                <c:pt idx="107">
                  <c:v>7.4748802041713663E-2</c:v>
                </c:pt>
                <c:pt idx="108">
                  <c:v>7.4399623212569863E-2</c:v>
                </c:pt>
                <c:pt idx="109">
                  <c:v>7.4048797840838926E-2</c:v>
                </c:pt>
                <c:pt idx="110">
                  <c:v>7.3696302411820486E-2</c:v>
                </c:pt>
                <c:pt idx="111">
                  <c:v>7.3342112845728447E-2</c:v>
                </c:pt>
                <c:pt idx="112">
                  <c:v>7.2986204478494646E-2</c:v>
                </c:pt>
                <c:pt idx="113">
                  <c:v>7.2628552041725969E-2</c:v>
                </c:pt>
                <c:pt idx="114">
                  <c:v>7.2269129641768654E-2</c:v>
                </c:pt>
                <c:pt idx="115">
                  <c:v>7.1907910737830733E-2</c:v>
                </c:pt>
                <c:pt idx="116">
                  <c:v>7.1544868119110386E-2</c:v>
                </c:pt>
                <c:pt idx="117">
                  <c:v>7.0623350085358916E-2</c:v>
                </c:pt>
                <c:pt idx="118">
                  <c:v>6.8483248567620794E-2</c:v>
                </c:pt>
                <c:pt idx="119">
                  <c:v>6.6343147049882659E-2</c:v>
                </c:pt>
                <c:pt idx="120">
                  <c:v>6.4203045532144523E-2</c:v>
                </c:pt>
                <c:pt idx="121">
                  <c:v>6.2062944014406381E-2</c:v>
                </c:pt>
                <c:pt idx="122">
                  <c:v>5.9922842496668245E-2</c:v>
                </c:pt>
                <c:pt idx="123">
                  <c:v>5.7782740978930117E-2</c:v>
                </c:pt>
                <c:pt idx="124">
                  <c:v>5.5642639461191981E-2</c:v>
                </c:pt>
                <c:pt idx="125">
                  <c:v>5.3502537943453846E-2</c:v>
                </c:pt>
                <c:pt idx="126">
                  <c:v>5.1362436425715703E-2</c:v>
                </c:pt>
                <c:pt idx="127">
                  <c:v>4.9222334907977582E-2</c:v>
                </c:pt>
                <c:pt idx="128">
                  <c:v>4.7082233390239439E-2</c:v>
                </c:pt>
                <c:pt idx="129">
                  <c:v>4.4942131872501304E-2</c:v>
                </c:pt>
                <c:pt idx="130">
                  <c:v>4.2802030354763175E-2</c:v>
                </c:pt>
                <c:pt idx="131">
                  <c:v>4.0661928837025033E-2</c:v>
                </c:pt>
                <c:pt idx="132">
                  <c:v>3.8521827319286911E-2</c:v>
                </c:pt>
                <c:pt idx="133">
                  <c:v>3.6381725801548775E-2</c:v>
                </c:pt>
                <c:pt idx="134">
                  <c:v>3.4241624283810647E-2</c:v>
                </c:pt>
                <c:pt idx="135">
                  <c:v>3.2101522766072511E-2</c:v>
                </c:pt>
                <c:pt idx="136">
                  <c:v>2.9961421248334386E-2</c:v>
                </c:pt>
                <c:pt idx="137">
                  <c:v>2.7821319730596254E-2</c:v>
                </c:pt>
                <c:pt idx="138">
                  <c:v>2.5681218212858126E-2</c:v>
                </c:pt>
                <c:pt idx="139">
                  <c:v>2.3541116695119994E-2</c:v>
                </c:pt>
                <c:pt idx="140">
                  <c:v>2.1401015177381865E-2</c:v>
                </c:pt>
                <c:pt idx="141">
                  <c:v>1.926091365964373E-2</c:v>
                </c:pt>
                <c:pt idx="142">
                  <c:v>1.7120812141905601E-2</c:v>
                </c:pt>
                <c:pt idx="143">
                  <c:v>1.4980710624167467E-2</c:v>
                </c:pt>
                <c:pt idx="144">
                  <c:v>1.2840609106429335E-2</c:v>
                </c:pt>
                <c:pt idx="145">
                  <c:v>1.0700507588691203E-2</c:v>
                </c:pt>
                <c:pt idx="146">
                  <c:v>8.5604060709530694E-3</c:v>
                </c:pt>
                <c:pt idx="147">
                  <c:v>6.4203045532149373E-3</c:v>
                </c:pt>
                <c:pt idx="148">
                  <c:v>4.2802030354768053E-3</c:v>
                </c:pt>
                <c:pt idx="149">
                  <c:v>2.1401015177386728E-3</c:v>
                </c:pt>
                <c:pt idx="150">
                  <c:v>5.411018440539497E-16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A8-485F-AC89-7B6805D48DBC}"/>
            </c:ext>
          </c:extLst>
        </c:ser>
        <c:ser>
          <c:idx val="3"/>
          <c:order val="3"/>
          <c:tx>
            <c:strRef>
              <c:f>'Burland damage classification'!$Q$37:$S$37</c:f>
              <c:strCache>
                <c:ptCount val="1"/>
                <c:pt idx="0">
                  <c:v>eps_lim= 0.200 %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'Burland damage classification'!$BD$16:$BD$316</c:f>
              <c:numCache>
                <c:formatCode>General</c:formatCode>
                <c:ptCount val="301"/>
                <c:pt idx="0">
                  <c:v>0</c:v>
                </c:pt>
                <c:pt idx="1">
                  <c:v>6.6666666666666664E-4</c:v>
                </c:pt>
                <c:pt idx="2">
                  <c:v>1.3333333333333333E-3</c:v>
                </c:pt>
                <c:pt idx="3">
                  <c:v>2E-3</c:v>
                </c:pt>
                <c:pt idx="4">
                  <c:v>2.6666666666666666E-3</c:v>
                </c:pt>
                <c:pt idx="5">
                  <c:v>3.3333333333333335E-3</c:v>
                </c:pt>
                <c:pt idx="6">
                  <c:v>4.0000000000000001E-3</c:v>
                </c:pt>
                <c:pt idx="7">
                  <c:v>4.6666666666666671E-3</c:v>
                </c:pt>
                <c:pt idx="8">
                  <c:v>5.333333333333334E-3</c:v>
                </c:pt>
                <c:pt idx="9">
                  <c:v>6.000000000000001E-3</c:v>
                </c:pt>
                <c:pt idx="10">
                  <c:v>6.6666666666666671E-3</c:v>
                </c:pt>
                <c:pt idx="11">
                  <c:v>7.3333333333333332E-3</c:v>
                </c:pt>
                <c:pt idx="12">
                  <c:v>8.0000000000000002E-3</c:v>
                </c:pt>
                <c:pt idx="13">
                  <c:v>8.6666666666666663E-3</c:v>
                </c:pt>
                <c:pt idx="14">
                  <c:v>9.3333333333333324E-3</c:v>
                </c:pt>
                <c:pt idx="15">
                  <c:v>9.9999999999999985E-3</c:v>
                </c:pt>
                <c:pt idx="16">
                  <c:v>1.0666666666666665E-2</c:v>
                </c:pt>
                <c:pt idx="17">
                  <c:v>1.1333333333333331E-2</c:v>
                </c:pt>
                <c:pt idx="18">
                  <c:v>1.1999999999999997E-2</c:v>
                </c:pt>
                <c:pt idx="19">
                  <c:v>1.2666666666666663E-2</c:v>
                </c:pt>
                <c:pt idx="20">
                  <c:v>1.3333333333333331E-2</c:v>
                </c:pt>
                <c:pt idx="21">
                  <c:v>1.3999999999999999E-2</c:v>
                </c:pt>
                <c:pt idx="22">
                  <c:v>1.4666666666666666E-2</c:v>
                </c:pt>
                <c:pt idx="23">
                  <c:v>1.5333333333333334E-2</c:v>
                </c:pt>
                <c:pt idx="24">
                  <c:v>1.6E-2</c:v>
                </c:pt>
                <c:pt idx="25">
                  <c:v>1.666666666666667E-2</c:v>
                </c:pt>
                <c:pt idx="26">
                  <c:v>1.7333333333333336E-2</c:v>
                </c:pt>
                <c:pt idx="27">
                  <c:v>1.8000000000000002E-2</c:v>
                </c:pt>
                <c:pt idx="28">
                  <c:v>1.8666666666666672E-2</c:v>
                </c:pt>
                <c:pt idx="29">
                  <c:v>1.9333333333333338E-2</c:v>
                </c:pt>
                <c:pt idx="30">
                  <c:v>2.0000000000000007E-2</c:v>
                </c:pt>
                <c:pt idx="31">
                  <c:v>2.0666666666666673E-2</c:v>
                </c:pt>
                <c:pt idx="32">
                  <c:v>2.1333333333333343E-2</c:v>
                </c:pt>
                <c:pt idx="33">
                  <c:v>2.2000000000000009E-2</c:v>
                </c:pt>
                <c:pt idx="34">
                  <c:v>2.2666666666666675E-2</c:v>
                </c:pt>
                <c:pt idx="35">
                  <c:v>2.3333333333333345E-2</c:v>
                </c:pt>
                <c:pt idx="36">
                  <c:v>2.4000000000000011E-2</c:v>
                </c:pt>
                <c:pt idx="37">
                  <c:v>2.466666666666668E-2</c:v>
                </c:pt>
                <c:pt idx="38">
                  <c:v>2.5333333333333343E-2</c:v>
                </c:pt>
                <c:pt idx="39">
                  <c:v>2.6000000000000009E-2</c:v>
                </c:pt>
                <c:pt idx="40">
                  <c:v>2.6666666666666672E-2</c:v>
                </c:pt>
                <c:pt idx="41">
                  <c:v>2.7333333333333338E-2</c:v>
                </c:pt>
                <c:pt idx="42">
                  <c:v>2.8000000000000004E-2</c:v>
                </c:pt>
                <c:pt idx="43">
                  <c:v>2.8666666666666667E-2</c:v>
                </c:pt>
                <c:pt idx="44">
                  <c:v>2.9333333333333333E-2</c:v>
                </c:pt>
                <c:pt idx="45">
                  <c:v>0.03</c:v>
                </c:pt>
                <c:pt idx="46">
                  <c:v>3.0666666666666662E-2</c:v>
                </c:pt>
                <c:pt idx="47">
                  <c:v>3.1333333333333324E-2</c:v>
                </c:pt>
                <c:pt idx="48">
                  <c:v>3.1999999999999994E-2</c:v>
                </c:pt>
                <c:pt idx="49">
                  <c:v>3.2666666666666656E-2</c:v>
                </c:pt>
                <c:pt idx="50">
                  <c:v>3.3333333333333319E-2</c:v>
                </c:pt>
                <c:pt idx="51">
                  <c:v>3.3999999999999989E-2</c:v>
                </c:pt>
                <c:pt idx="52">
                  <c:v>3.4666666666666651E-2</c:v>
                </c:pt>
                <c:pt idx="53">
                  <c:v>3.5333333333333314E-2</c:v>
                </c:pt>
                <c:pt idx="54">
                  <c:v>3.5999999999999983E-2</c:v>
                </c:pt>
                <c:pt idx="55">
                  <c:v>3.6666666666666646E-2</c:v>
                </c:pt>
                <c:pt idx="56">
                  <c:v>3.7333333333333309E-2</c:v>
                </c:pt>
                <c:pt idx="57">
                  <c:v>3.7999999999999978E-2</c:v>
                </c:pt>
                <c:pt idx="58">
                  <c:v>3.8666666666666641E-2</c:v>
                </c:pt>
                <c:pt idx="59">
                  <c:v>3.9333333333333304E-2</c:v>
                </c:pt>
                <c:pt idx="60">
                  <c:v>3.9999999999999966E-2</c:v>
                </c:pt>
                <c:pt idx="61">
                  <c:v>4.0666666666666636E-2</c:v>
                </c:pt>
                <c:pt idx="62">
                  <c:v>4.1333333333333298E-2</c:v>
                </c:pt>
                <c:pt idx="63">
                  <c:v>4.1999999999999961E-2</c:v>
                </c:pt>
                <c:pt idx="64">
                  <c:v>4.2666666666666631E-2</c:v>
                </c:pt>
                <c:pt idx="65">
                  <c:v>4.3333333333333293E-2</c:v>
                </c:pt>
                <c:pt idx="66">
                  <c:v>4.3999999999999956E-2</c:v>
                </c:pt>
                <c:pt idx="67">
                  <c:v>4.4666666666666625E-2</c:v>
                </c:pt>
                <c:pt idx="68">
                  <c:v>4.5333333333333288E-2</c:v>
                </c:pt>
                <c:pt idx="69">
                  <c:v>4.5999999999999951E-2</c:v>
                </c:pt>
                <c:pt idx="70">
                  <c:v>4.666666666666662E-2</c:v>
                </c:pt>
                <c:pt idx="71">
                  <c:v>4.7333333333333283E-2</c:v>
                </c:pt>
                <c:pt idx="72">
                  <c:v>4.7999999999999945E-2</c:v>
                </c:pt>
                <c:pt idx="73">
                  <c:v>4.8666666666666615E-2</c:v>
                </c:pt>
                <c:pt idx="74">
                  <c:v>4.9333333333333285E-2</c:v>
                </c:pt>
                <c:pt idx="75">
                  <c:v>4.9999999999999947E-2</c:v>
                </c:pt>
                <c:pt idx="76">
                  <c:v>5.066666666666661E-2</c:v>
                </c:pt>
                <c:pt idx="77">
                  <c:v>5.1333333333333279E-2</c:v>
                </c:pt>
                <c:pt idx="78">
                  <c:v>5.1999999999999942E-2</c:v>
                </c:pt>
                <c:pt idx="79">
                  <c:v>5.2666666666666605E-2</c:v>
                </c:pt>
                <c:pt idx="80">
                  <c:v>5.3333333333333274E-2</c:v>
                </c:pt>
                <c:pt idx="81">
                  <c:v>5.3999999999999937E-2</c:v>
                </c:pt>
                <c:pt idx="82">
                  <c:v>5.46666666666666E-2</c:v>
                </c:pt>
                <c:pt idx="83">
                  <c:v>5.5333333333333262E-2</c:v>
                </c:pt>
                <c:pt idx="84">
                  <c:v>5.5999999999999932E-2</c:v>
                </c:pt>
                <c:pt idx="85">
                  <c:v>5.6666666666666594E-2</c:v>
                </c:pt>
                <c:pt idx="86">
                  <c:v>5.7333333333333257E-2</c:v>
                </c:pt>
                <c:pt idx="87">
                  <c:v>5.7999999999999927E-2</c:v>
                </c:pt>
                <c:pt idx="88">
                  <c:v>5.8666666666666589E-2</c:v>
                </c:pt>
                <c:pt idx="89">
                  <c:v>5.9333333333333252E-2</c:v>
                </c:pt>
                <c:pt idx="90">
                  <c:v>5.9999999999999921E-2</c:v>
                </c:pt>
                <c:pt idx="91">
                  <c:v>6.0666666666666584E-2</c:v>
                </c:pt>
                <c:pt idx="92">
                  <c:v>6.1333333333333247E-2</c:v>
                </c:pt>
                <c:pt idx="93">
                  <c:v>6.1999999999999916E-2</c:v>
                </c:pt>
                <c:pt idx="94">
                  <c:v>6.2666666666666579E-2</c:v>
                </c:pt>
                <c:pt idx="95">
                  <c:v>6.3333333333333242E-2</c:v>
                </c:pt>
                <c:pt idx="96">
                  <c:v>6.3999999999999904E-2</c:v>
                </c:pt>
                <c:pt idx="97">
                  <c:v>6.4666666666666567E-2</c:v>
                </c:pt>
                <c:pt idx="98">
                  <c:v>6.5333333333333243E-2</c:v>
                </c:pt>
                <c:pt idx="99">
                  <c:v>6.5999999999999906E-2</c:v>
                </c:pt>
                <c:pt idx="100">
                  <c:v>6.6666666666666569E-2</c:v>
                </c:pt>
                <c:pt idx="101">
                  <c:v>6.7333333333333231E-2</c:v>
                </c:pt>
                <c:pt idx="102">
                  <c:v>6.7999999999999894E-2</c:v>
                </c:pt>
                <c:pt idx="103">
                  <c:v>6.8666666666666556E-2</c:v>
                </c:pt>
                <c:pt idx="104">
                  <c:v>6.9333333333333219E-2</c:v>
                </c:pt>
                <c:pt idx="105">
                  <c:v>6.9999999999999896E-2</c:v>
                </c:pt>
                <c:pt idx="106">
                  <c:v>7.0666666666666558E-2</c:v>
                </c:pt>
                <c:pt idx="107">
                  <c:v>7.1333333333333221E-2</c:v>
                </c:pt>
                <c:pt idx="108">
                  <c:v>7.1999999999999884E-2</c:v>
                </c:pt>
                <c:pt idx="109">
                  <c:v>7.2666666666666546E-2</c:v>
                </c:pt>
                <c:pt idx="110">
                  <c:v>7.3333333333333209E-2</c:v>
                </c:pt>
                <c:pt idx="111">
                  <c:v>7.3999999999999885E-2</c:v>
                </c:pt>
                <c:pt idx="112">
                  <c:v>7.4666666666666548E-2</c:v>
                </c:pt>
                <c:pt idx="113">
                  <c:v>7.5333333333333211E-2</c:v>
                </c:pt>
                <c:pt idx="114">
                  <c:v>7.5999999999999873E-2</c:v>
                </c:pt>
                <c:pt idx="115">
                  <c:v>7.6666666666666536E-2</c:v>
                </c:pt>
                <c:pt idx="116">
                  <c:v>7.7333333333333198E-2</c:v>
                </c:pt>
                <c:pt idx="117">
                  <c:v>7.7999999999999875E-2</c:v>
                </c:pt>
                <c:pt idx="118">
                  <c:v>7.8666666666666538E-2</c:v>
                </c:pt>
                <c:pt idx="119">
                  <c:v>7.93333333333332E-2</c:v>
                </c:pt>
                <c:pt idx="120">
                  <c:v>7.9999999999999863E-2</c:v>
                </c:pt>
                <c:pt idx="121">
                  <c:v>8.0666666666666526E-2</c:v>
                </c:pt>
                <c:pt idx="122">
                  <c:v>8.1333333333333188E-2</c:v>
                </c:pt>
                <c:pt idx="123">
                  <c:v>8.1999999999999851E-2</c:v>
                </c:pt>
                <c:pt idx="124">
                  <c:v>8.2666666666666527E-2</c:v>
                </c:pt>
                <c:pt idx="125">
                  <c:v>8.333333333333319E-2</c:v>
                </c:pt>
                <c:pt idx="126">
                  <c:v>8.3999999999999853E-2</c:v>
                </c:pt>
                <c:pt idx="127">
                  <c:v>8.4666666666666515E-2</c:v>
                </c:pt>
                <c:pt idx="128">
                  <c:v>8.5333333333333178E-2</c:v>
                </c:pt>
                <c:pt idx="129">
                  <c:v>8.599999999999984E-2</c:v>
                </c:pt>
                <c:pt idx="130">
                  <c:v>8.6666666666666517E-2</c:v>
                </c:pt>
                <c:pt idx="131">
                  <c:v>8.733333333333318E-2</c:v>
                </c:pt>
                <c:pt idx="132">
                  <c:v>8.7999999999999842E-2</c:v>
                </c:pt>
                <c:pt idx="133">
                  <c:v>8.8666666666666505E-2</c:v>
                </c:pt>
                <c:pt idx="134">
                  <c:v>8.9333333333333168E-2</c:v>
                </c:pt>
                <c:pt idx="135">
                  <c:v>8.999999999999983E-2</c:v>
                </c:pt>
                <c:pt idx="136">
                  <c:v>9.0666666666666507E-2</c:v>
                </c:pt>
                <c:pt idx="137">
                  <c:v>9.1333333333333169E-2</c:v>
                </c:pt>
                <c:pt idx="138">
                  <c:v>9.1999999999999832E-2</c:v>
                </c:pt>
                <c:pt idx="139">
                  <c:v>9.2666666666666495E-2</c:v>
                </c:pt>
                <c:pt idx="140">
                  <c:v>9.3333333333333157E-2</c:v>
                </c:pt>
                <c:pt idx="141">
                  <c:v>9.399999999999982E-2</c:v>
                </c:pt>
                <c:pt idx="142">
                  <c:v>9.4666666666666482E-2</c:v>
                </c:pt>
                <c:pt idx="143">
                  <c:v>9.5333333333333159E-2</c:v>
                </c:pt>
                <c:pt idx="144">
                  <c:v>9.5999999999999822E-2</c:v>
                </c:pt>
                <c:pt idx="145">
                  <c:v>9.6666666666666484E-2</c:v>
                </c:pt>
                <c:pt idx="146">
                  <c:v>9.7333333333333147E-2</c:v>
                </c:pt>
                <c:pt idx="147">
                  <c:v>9.7999999999999823E-2</c:v>
                </c:pt>
                <c:pt idx="148">
                  <c:v>9.86666666666665E-2</c:v>
                </c:pt>
                <c:pt idx="149">
                  <c:v>9.9333333333333176E-2</c:v>
                </c:pt>
                <c:pt idx="150">
                  <c:v>9.9999999999999853E-2</c:v>
                </c:pt>
                <c:pt idx="151">
                  <c:v>0.10066666666666653</c:v>
                </c:pt>
                <c:pt idx="152">
                  <c:v>0.10133333333333321</c:v>
                </c:pt>
                <c:pt idx="153">
                  <c:v>0.10199999999999988</c:v>
                </c:pt>
                <c:pt idx="154">
                  <c:v>0.10266666666666656</c:v>
                </c:pt>
                <c:pt idx="155">
                  <c:v>0.10333333333333322</c:v>
                </c:pt>
                <c:pt idx="156">
                  <c:v>0.1039999999999999</c:v>
                </c:pt>
                <c:pt idx="157">
                  <c:v>0.10466666666666657</c:v>
                </c:pt>
                <c:pt idx="158">
                  <c:v>0.10533333333333325</c:v>
                </c:pt>
                <c:pt idx="159">
                  <c:v>0.10599999999999993</c:v>
                </c:pt>
                <c:pt idx="160">
                  <c:v>0.1066666666666666</c:v>
                </c:pt>
                <c:pt idx="161">
                  <c:v>0.10733333333333328</c:v>
                </c:pt>
                <c:pt idx="162">
                  <c:v>0.10799999999999996</c:v>
                </c:pt>
                <c:pt idx="163">
                  <c:v>0.10866666666666663</c:v>
                </c:pt>
                <c:pt idx="164">
                  <c:v>0.10933333333333331</c:v>
                </c:pt>
                <c:pt idx="165">
                  <c:v>0.10999999999999999</c:v>
                </c:pt>
                <c:pt idx="166">
                  <c:v>0.11066666666666666</c:v>
                </c:pt>
                <c:pt idx="167">
                  <c:v>0.11133333333333334</c:v>
                </c:pt>
                <c:pt idx="168">
                  <c:v>0.11200000000000002</c:v>
                </c:pt>
                <c:pt idx="169">
                  <c:v>0.11266666666666669</c:v>
                </c:pt>
                <c:pt idx="170">
                  <c:v>0.11333333333333337</c:v>
                </c:pt>
                <c:pt idx="171">
                  <c:v>0.11400000000000005</c:v>
                </c:pt>
                <c:pt idx="172">
                  <c:v>0.11466666666666671</c:v>
                </c:pt>
                <c:pt idx="173">
                  <c:v>0.11533333333333338</c:v>
                </c:pt>
                <c:pt idx="174">
                  <c:v>0.11600000000000006</c:v>
                </c:pt>
                <c:pt idx="175">
                  <c:v>0.11666666666666674</c:v>
                </c:pt>
                <c:pt idx="176">
                  <c:v>0.11733333333333341</c:v>
                </c:pt>
                <c:pt idx="177">
                  <c:v>0.11800000000000009</c:v>
                </c:pt>
                <c:pt idx="178">
                  <c:v>0.11866666666666677</c:v>
                </c:pt>
                <c:pt idx="179">
                  <c:v>0.11933333333333344</c:v>
                </c:pt>
                <c:pt idx="180">
                  <c:v>0.12000000000000012</c:v>
                </c:pt>
                <c:pt idx="181">
                  <c:v>0.1206666666666668</c:v>
                </c:pt>
                <c:pt idx="182">
                  <c:v>0.12133333333333347</c:v>
                </c:pt>
                <c:pt idx="183">
                  <c:v>0.12200000000000015</c:v>
                </c:pt>
                <c:pt idx="184">
                  <c:v>0.12266666666666683</c:v>
                </c:pt>
                <c:pt idx="185">
                  <c:v>0.1233333333333335</c:v>
                </c:pt>
                <c:pt idx="186">
                  <c:v>0.12400000000000018</c:v>
                </c:pt>
                <c:pt idx="187">
                  <c:v>0.12466666666666684</c:v>
                </c:pt>
                <c:pt idx="188">
                  <c:v>0.12533333333333352</c:v>
                </c:pt>
                <c:pt idx="189">
                  <c:v>0.1260000000000002</c:v>
                </c:pt>
                <c:pt idx="190">
                  <c:v>0.12666666666666687</c:v>
                </c:pt>
                <c:pt idx="191">
                  <c:v>0.12733333333333355</c:v>
                </c:pt>
                <c:pt idx="192">
                  <c:v>0.12800000000000022</c:v>
                </c:pt>
                <c:pt idx="193">
                  <c:v>0.1286666666666669</c:v>
                </c:pt>
                <c:pt idx="194">
                  <c:v>0.12933333333333358</c:v>
                </c:pt>
                <c:pt idx="195">
                  <c:v>0.13000000000000025</c:v>
                </c:pt>
                <c:pt idx="196">
                  <c:v>0.13066666666666693</c:v>
                </c:pt>
                <c:pt idx="197">
                  <c:v>0.13133333333333361</c:v>
                </c:pt>
                <c:pt idx="198">
                  <c:v>0.13200000000000028</c:v>
                </c:pt>
                <c:pt idx="199">
                  <c:v>0.13266666666666696</c:v>
                </c:pt>
                <c:pt idx="200">
                  <c:v>0.13333333333333364</c:v>
                </c:pt>
                <c:pt idx="201">
                  <c:v>0.13400000000000031</c:v>
                </c:pt>
                <c:pt idx="202">
                  <c:v>0.13466666666666699</c:v>
                </c:pt>
                <c:pt idx="203">
                  <c:v>0.13533333333333367</c:v>
                </c:pt>
                <c:pt idx="204">
                  <c:v>0.13600000000000034</c:v>
                </c:pt>
                <c:pt idx="205">
                  <c:v>0.13666666666666702</c:v>
                </c:pt>
                <c:pt idx="206">
                  <c:v>0.1373333333333337</c:v>
                </c:pt>
                <c:pt idx="207">
                  <c:v>0.13800000000000037</c:v>
                </c:pt>
                <c:pt idx="208">
                  <c:v>0.13866666666666705</c:v>
                </c:pt>
                <c:pt idx="209">
                  <c:v>0.13933333333333373</c:v>
                </c:pt>
                <c:pt idx="210">
                  <c:v>0.1400000000000004</c:v>
                </c:pt>
                <c:pt idx="211">
                  <c:v>0.14066666666666705</c:v>
                </c:pt>
                <c:pt idx="212">
                  <c:v>0.14133333333333373</c:v>
                </c:pt>
                <c:pt idx="213">
                  <c:v>0.1420000000000004</c:v>
                </c:pt>
                <c:pt idx="214">
                  <c:v>0.14266666666666708</c:v>
                </c:pt>
                <c:pt idx="215">
                  <c:v>0.14333333333333376</c:v>
                </c:pt>
                <c:pt idx="216">
                  <c:v>0.14400000000000043</c:v>
                </c:pt>
                <c:pt idx="217">
                  <c:v>0.14466666666666711</c:v>
                </c:pt>
                <c:pt idx="218">
                  <c:v>0.14533333333333379</c:v>
                </c:pt>
                <c:pt idx="219">
                  <c:v>0.14600000000000046</c:v>
                </c:pt>
                <c:pt idx="220">
                  <c:v>0.14666666666666714</c:v>
                </c:pt>
                <c:pt idx="221">
                  <c:v>0.14733333333333382</c:v>
                </c:pt>
                <c:pt idx="222">
                  <c:v>0.14800000000000049</c:v>
                </c:pt>
                <c:pt idx="223">
                  <c:v>0.14866666666666717</c:v>
                </c:pt>
                <c:pt idx="224">
                  <c:v>0.14933333333333385</c:v>
                </c:pt>
                <c:pt idx="225">
                  <c:v>0.15000000000000052</c:v>
                </c:pt>
                <c:pt idx="226">
                  <c:v>0.1506666666666672</c:v>
                </c:pt>
                <c:pt idx="227">
                  <c:v>0.15133333333333387</c:v>
                </c:pt>
                <c:pt idx="228">
                  <c:v>0.15200000000000055</c:v>
                </c:pt>
                <c:pt idx="229">
                  <c:v>0.15266666666666723</c:v>
                </c:pt>
                <c:pt idx="230">
                  <c:v>0.1533333333333339</c:v>
                </c:pt>
                <c:pt idx="231">
                  <c:v>0.15400000000000058</c:v>
                </c:pt>
                <c:pt idx="232">
                  <c:v>0.15466666666666726</c:v>
                </c:pt>
                <c:pt idx="233">
                  <c:v>0.15533333333333393</c:v>
                </c:pt>
                <c:pt idx="234">
                  <c:v>0.15600000000000061</c:v>
                </c:pt>
                <c:pt idx="235">
                  <c:v>0.15666666666666729</c:v>
                </c:pt>
                <c:pt idx="236">
                  <c:v>0.15733333333333396</c:v>
                </c:pt>
                <c:pt idx="237">
                  <c:v>0.15800000000000064</c:v>
                </c:pt>
                <c:pt idx="238">
                  <c:v>0.15866666666666732</c:v>
                </c:pt>
                <c:pt idx="239">
                  <c:v>0.15933333333333399</c:v>
                </c:pt>
                <c:pt idx="240">
                  <c:v>0.16000000000000067</c:v>
                </c:pt>
                <c:pt idx="241">
                  <c:v>0.16066666666666735</c:v>
                </c:pt>
                <c:pt idx="242">
                  <c:v>0.16133333333333402</c:v>
                </c:pt>
                <c:pt idx="243">
                  <c:v>0.1620000000000007</c:v>
                </c:pt>
                <c:pt idx="244">
                  <c:v>0.16266666666666735</c:v>
                </c:pt>
                <c:pt idx="245">
                  <c:v>0.16333333333333402</c:v>
                </c:pt>
                <c:pt idx="246">
                  <c:v>0.1640000000000007</c:v>
                </c:pt>
                <c:pt idx="247">
                  <c:v>0.16466666666666738</c:v>
                </c:pt>
                <c:pt idx="248">
                  <c:v>0.16533333333333405</c:v>
                </c:pt>
                <c:pt idx="249">
                  <c:v>0.16600000000000073</c:v>
                </c:pt>
                <c:pt idx="250">
                  <c:v>0.16666666666666741</c:v>
                </c:pt>
                <c:pt idx="251">
                  <c:v>0.16733333333333408</c:v>
                </c:pt>
                <c:pt idx="252">
                  <c:v>0.16800000000000076</c:v>
                </c:pt>
                <c:pt idx="253">
                  <c:v>0.16866666666666744</c:v>
                </c:pt>
                <c:pt idx="254">
                  <c:v>0.16933333333333411</c:v>
                </c:pt>
                <c:pt idx="255">
                  <c:v>0.17000000000000079</c:v>
                </c:pt>
                <c:pt idx="256">
                  <c:v>0.17066666666666747</c:v>
                </c:pt>
                <c:pt idx="257">
                  <c:v>0.17133333333333414</c:v>
                </c:pt>
                <c:pt idx="258">
                  <c:v>0.17200000000000082</c:v>
                </c:pt>
                <c:pt idx="259">
                  <c:v>0.1726666666666675</c:v>
                </c:pt>
                <c:pt idx="260">
                  <c:v>0.17333333333333417</c:v>
                </c:pt>
                <c:pt idx="261">
                  <c:v>0.17400000000000085</c:v>
                </c:pt>
                <c:pt idx="262">
                  <c:v>0.17466666666666752</c:v>
                </c:pt>
                <c:pt idx="263">
                  <c:v>0.1753333333333342</c:v>
                </c:pt>
                <c:pt idx="264">
                  <c:v>0.17600000000000088</c:v>
                </c:pt>
                <c:pt idx="265">
                  <c:v>0.17666666666666755</c:v>
                </c:pt>
                <c:pt idx="266">
                  <c:v>0.17733333333333423</c:v>
                </c:pt>
                <c:pt idx="267">
                  <c:v>0.17800000000000091</c:v>
                </c:pt>
                <c:pt idx="268">
                  <c:v>0.17866666666666758</c:v>
                </c:pt>
                <c:pt idx="269">
                  <c:v>0.17933333333333426</c:v>
                </c:pt>
                <c:pt idx="270">
                  <c:v>0.18000000000000094</c:v>
                </c:pt>
                <c:pt idx="271">
                  <c:v>0.18066666666666761</c:v>
                </c:pt>
                <c:pt idx="272">
                  <c:v>0.18133333333333429</c:v>
                </c:pt>
                <c:pt idx="273">
                  <c:v>0.18200000000000097</c:v>
                </c:pt>
                <c:pt idx="274">
                  <c:v>0.18266666666666764</c:v>
                </c:pt>
                <c:pt idx="275">
                  <c:v>0.18333333333333429</c:v>
                </c:pt>
                <c:pt idx="276">
                  <c:v>0.18400000000000097</c:v>
                </c:pt>
                <c:pt idx="277">
                  <c:v>0.18466666666666764</c:v>
                </c:pt>
                <c:pt idx="278">
                  <c:v>0.18533333333333432</c:v>
                </c:pt>
                <c:pt idx="279">
                  <c:v>0.186000000000001</c:v>
                </c:pt>
                <c:pt idx="280">
                  <c:v>0.18666666666666767</c:v>
                </c:pt>
                <c:pt idx="281">
                  <c:v>0.18733333333333435</c:v>
                </c:pt>
                <c:pt idx="282">
                  <c:v>0.18800000000000103</c:v>
                </c:pt>
                <c:pt idx="283">
                  <c:v>0.1886666666666677</c:v>
                </c:pt>
                <c:pt idx="284">
                  <c:v>0.18933333333333438</c:v>
                </c:pt>
                <c:pt idx="285">
                  <c:v>0.19000000000000106</c:v>
                </c:pt>
                <c:pt idx="286">
                  <c:v>0.19066666666666773</c:v>
                </c:pt>
                <c:pt idx="287">
                  <c:v>0.19133333333333441</c:v>
                </c:pt>
                <c:pt idx="288">
                  <c:v>0.19200000000000109</c:v>
                </c:pt>
                <c:pt idx="289">
                  <c:v>0.19266666666666776</c:v>
                </c:pt>
                <c:pt idx="290">
                  <c:v>0.19333333333333444</c:v>
                </c:pt>
                <c:pt idx="291">
                  <c:v>0.19400000000000112</c:v>
                </c:pt>
                <c:pt idx="292">
                  <c:v>0.19466666666666779</c:v>
                </c:pt>
                <c:pt idx="293">
                  <c:v>0.19533333333333447</c:v>
                </c:pt>
                <c:pt idx="294">
                  <c:v>0.19600000000000112</c:v>
                </c:pt>
                <c:pt idx="295">
                  <c:v>0.19666666666666777</c:v>
                </c:pt>
                <c:pt idx="296">
                  <c:v>0.19733333333333442</c:v>
                </c:pt>
                <c:pt idx="297">
                  <c:v>0.19800000000000109</c:v>
                </c:pt>
                <c:pt idx="298">
                  <c:v>0.19866666666666774</c:v>
                </c:pt>
                <c:pt idx="299">
                  <c:v>0.19933333333333439</c:v>
                </c:pt>
                <c:pt idx="300">
                  <c:v>0.20000000000000104</c:v>
                </c:pt>
              </c:numCache>
            </c:numRef>
          </c:xVal>
          <c:yVal>
            <c:numRef>
              <c:f>'Burland damage classification'!$AZ$16:$AZ$316</c:f>
              <c:numCache>
                <c:formatCode>0.0000000000</c:formatCode>
                <c:ptCount val="301"/>
                <c:pt idx="0">
                  <c:v>0.21128073233550823</c:v>
                </c:pt>
                <c:pt idx="1">
                  <c:v>0.21103409419150929</c:v>
                </c:pt>
                <c:pt idx="2">
                  <c:v>0.21078716746100304</c:v>
                </c:pt>
                <c:pt idx="3">
                  <c:v>0.21053995112860427</c:v>
                </c:pt>
                <c:pt idx="4">
                  <c:v>0.21029244417295928</c:v>
                </c:pt>
                <c:pt idx="5">
                  <c:v>0.21004464556669691</c:v>
                </c:pt>
                <c:pt idx="6">
                  <c:v>0.20979655427637861</c:v>
                </c:pt>
                <c:pt idx="7">
                  <c:v>0.2095481692624481</c:v>
                </c:pt>
                <c:pt idx="8">
                  <c:v>0.20929948947918087</c:v>
                </c:pt>
                <c:pt idx="9">
                  <c:v>0.20905051387463239</c:v>
                </c:pt>
                <c:pt idx="10">
                  <c:v>0.20880124139058659</c:v>
                </c:pt>
                <c:pt idx="11">
                  <c:v>0.20855167096250304</c:v>
                </c:pt>
                <c:pt idx="12">
                  <c:v>0.20830180151946423</c:v>
                </c:pt>
                <c:pt idx="13">
                  <c:v>0.20805163198412169</c:v>
                </c:pt>
                <c:pt idx="14">
                  <c:v>0.20780116127264192</c:v>
                </c:pt>
                <c:pt idx="15">
                  <c:v>0.20755038829465161</c:v>
                </c:pt>
                <c:pt idx="16">
                  <c:v>0.20729931195318232</c:v>
                </c:pt>
                <c:pt idx="17">
                  <c:v>0.20704793114461428</c:v>
                </c:pt>
                <c:pt idx="18">
                  <c:v>0.20679624475861999</c:v>
                </c:pt>
                <c:pt idx="19">
                  <c:v>0.20654425167810694</c:v>
                </c:pt>
                <c:pt idx="20">
                  <c:v>0.2062919507791599</c:v>
                </c:pt>
                <c:pt idx="21">
                  <c:v>0.20603934093098211</c:v>
                </c:pt>
                <c:pt idx="22">
                  <c:v>0.20578642099583636</c:v>
                </c:pt>
                <c:pt idx="23">
                  <c:v>0.20553318982898536</c:v>
                </c:pt>
                <c:pt idx="24">
                  <c:v>0.20527964627863102</c:v>
                </c:pt>
                <c:pt idx="25">
                  <c:v>0.20502578918585337</c:v>
                </c:pt>
                <c:pt idx="26">
                  <c:v>0.20477161738454902</c:v>
                </c:pt>
                <c:pt idx="27">
                  <c:v>0.20451712970136821</c:v>
                </c:pt>
                <c:pt idx="28">
                  <c:v>0.20426232495565208</c:v>
                </c:pt>
                <c:pt idx="29">
                  <c:v>0.20400720195936842</c:v>
                </c:pt>
                <c:pt idx="30">
                  <c:v>0.20375175951704727</c:v>
                </c:pt>
                <c:pt idx="31">
                  <c:v>0.20349599642571545</c:v>
                </c:pt>
                <c:pt idx="32">
                  <c:v>0.20323991147483048</c:v>
                </c:pt>
                <c:pt idx="33">
                  <c:v>0.20298350344621374</c:v>
                </c:pt>
                <c:pt idx="34">
                  <c:v>0.20272677111398285</c:v>
                </c:pt>
                <c:pt idx="35">
                  <c:v>0.2024697132444834</c:v>
                </c:pt>
                <c:pt idx="36">
                  <c:v>0.20221232859621957</c:v>
                </c:pt>
                <c:pt idx="37">
                  <c:v>0.20195461591978434</c:v>
                </c:pt>
                <c:pt idx="38">
                  <c:v>0.2016965739577887</c:v>
                </c:pt>
                <c:pt idx="39">
                  <c:v>0.20143820144479016</c:v>
                </c:pt>
                <c:pt idx="40">
                  <c:v>0.20117949710722013</c:v>
                </c:pt>
                <c:pt idx="41">
                  <c:v>0.20092045966331085</c:v>
                </c:pt>
                <c:pt idx="42">
                  <c:v>0.20066108782302128</c:v>
                </c:pt>
                <c:pt idx="43">
                  <c:v>0.20040138028796206</c:v>
                </c:pt>
                <c:pt idx="44">
                  <c:v>0.20014133575131984</c:v>
                </c:pt>
                <c:pt idx="45">
                  <c:v>0.19988095289778027</c:v>
                </c:pt>
                <c:pt idx="46">
                  <c:v>0.19962023040345084</c:v>
                </c:pt>
                <c:pt idx="47">
                  <c:v>0.19935916693578182</c:v>
                </c:pt>
                <c:pt idx="48">
                  <c:v>0.19909776115348726</c:v>
                </c:pt>
                <c:pt idx="49">
                  <c:v>0.19883601170646426</c:v>
                </c:pt>
                <c:pt idx="50">
                  <c:v>0.1985739172357118</c:v>
                </c:pt>
                <c:pt idx="51">
                  <c:v>0.19831147637324842</c:v>
                </c:pt>
                <c:pt idx="52">
                  <c:v>0.19804868774202872</c:v>
                </c:pt>
                <c:pt idx="53">
                  <c:v>0.19778554995585934</c:v>
                </c:pt>
                <c:pt idx="54">
                  <c:v>0.19752206161931349</c:v>
                </c:pt>
                <c:pt idx="55">
                  <c:v>0.19725822132764451</c:v>
                </c:pt>
                <c:pt idx="56">
                  <c:v>0.19699402766669891</c:v>
                </c:pt>
                <c:pt idx="57">
                  <c:v>0.19672947921282732</c:v>
                </c:pt>
                <c:pt idx="58">
                  <c:v>0.19646457453279562</c:v>
                </c:pt>
                <c:pt idx="59">
                  <c:v>0.1961993121836938</c:v>
                </c:pt>
                <c:pt idx="60">
                  <c:v>0.19593369071284464</c:v>
                </c:pt>
                <c:pt idx="61">
                  <c:v>0.19566770865771083</c:v>
                </c:pt>
                <c:pt idx="62">
                  <c:v>0.19540136454580079</c:v>
                </c:pt>
                <c:pt idx="63">
                  <c:v>0.19513465689457388</c:v>
                </c:pt>
                <c:pt idx="64">
                  <c:v>0.1948675842113439</c:v>
                </c:pt>
                <c:pt idx="65">
                  <c:v>0.19460014499318168</c:v>
                </c:pt>
                <c:pt idx="66">
                  <c:v>0.19433233772681649</c:v>
                </c:pt>
                <c:pt idx="67">
                  <c:v>0.19406416088853601</c:v>
                </c:pt>
                <c:pt idx="68">
                  <c:v>0.19379561294408534</c:v>
                </c:pt>
                <c:pt idx="69">
                  <c:v>0.19352669234856434</c:v>
                </c:pt>
                <c:pt idx="70">
                  <c:v>0.19325739754632421</c:v>
                </c:pt>
                <c:pt idx="71">
                  <c:v>0.19298772697086239</c:v>
                </c:pt>
                <c:pt idx="72">
                  <c:v>0.19271767904471626</c:v>
                </c:pt>
                <c:pt idx="73">
                  <c:v>0.19244725217935538</c:v>
                </c:pt>
                <c:pt idx="74">
                  <c:v>0.19217644477507262</c:v>
                </c:pt>
                <c:pt idx="75">
                  <c:v>0.19190525522087368</c:v>
                </c:pt>
                <c:pt idx="76">
                  <c:v>0.1916336818943653</c:v>
                </c:pt>
                <c:pt idx="77">
                  <c:v>0.19136172316164204</c:v>
                </c:pt>
                <c:pt idx="78">
                  <c:v>0.19108937737717149</c:v>
                </c:pt>
                <c:pt idx="79">
                  <c:v>0.19081664288367825</c:v>
                </c:pt>
                <c:pt idx="80">
                  <c:v>0.19054351801202615</c:v>
                </c:pt>
                <c:pt idx="81">
                  <c:v>0.19027000108109912</c:v>
                </c:pt>
                <c:pt idx="82">
                  <c:v>0.18999609039768056</c:v>
                </c:pt>
                <c:pt idx="83">
                  <c:v>0.18972178425633079</c:v>
                </c:pt>
                <c:pt idx="84">
                  <c:v>0.18944708093926352</c:v>
                </c:pt>
                <c:pt idx="85">
                  <c:v>0.18917197871622002</c:v>
                </c:pt>
                <c:pt idx="86">
                  <c:v>0.18889647584434213</c:v>
                </c:pt>
                <c:pt idx="87">
                  <c:v>0.18862057056804346</c:v>
                </c:pt>
                <c:pt idx="88">
                  <c:v>0.18834426111887878</c:v>
                </c:pt>
                <c:pt idx="89">
                  <c:v>0.18806754571541187</c:v>
                </c:pt>
                <c:pt idx="90">
                  <c:v>0.18779042256308137</c:v>
                </c:pt>
                <c:pt idx="91">
                  <c:v>0.18751288985406522</c:v>
                </c:pt>
                <c:pt idx="92">
                  <c:v>0.18723494576714286</c:v>
                </c:pt>
                <c:pt idx="93">
                  <c:v>0.18695658846755592</c:v>
                </c:pt>
                <c:pt idx="94">
                  <c:v>0.18667781610686685</c:v>
                </c:pt>
                <c:pt idx="95">
                  <c:v>0.18639862682281577</c:v>
                </c:pt>
                <c:pt idx="96">
                  <c:v>0.18611901873917525</c:v>
                </c:pt>
                <c:pt idx="97">
                  <c:v>0.18583898996560327</c:v>
                </c:pt>
                <c:pt idx="98">
                  <c:v>0.18555853859749419</c:v>
                </c:pt>
                <c:pt idx="99">
                  <c:v>0.1852776627158273</c:v>
                </c:pt>
                <c:pt idx="100">
                  <c:v>0.18499636038701411</c:v>
                </c:pt>
                <c:pt idx="101">
                  <c:v>0.18471462966274255</c:v>
                </c:pt>
                <c:pt idx="102">
                  <c:v>0.18443246857981993</c:v>
                </c:pt>
                <c:pt idx="103">
                  <c:v>0.18414987516001308</c:v>
                </c:pt>
                <c:pt idx="104">
                  <c:v>0.18386684740988662</c:v>
                </c:pt>
                <c:pt idx="105">
                  <c:v>0.18358338332063898</c:v>
                </c:pt>
                <c:pt idx="106">
                  <c:v>0.18329948086793588</c:v>
                </c:pt>
                <c:pt idx="107">
                  <c:v>0.18301513801174188</c:v>
                </c:pt>
                <c:pt idx="108">
                  <c:v>0.18273035269614912</c:v>
                </c:pt>
                <c:pt idx="109">
                  <c:v>0.18244512284920417</c:v>
                </c:pt>
                <c:pt idx="110">
                  <c:v>0.18215944638273179</c:v>
                </c:pt>
                <c:pt idx="111">
                  <c:v>0.18187332119215691</c:v>
                </c:pt>
                <c:pt idx="112">
                  <c:v>0.18158674515632356</c:v>
                </c:pt>
                <c:pt idx="113">
                  <c:v>0.18129971613731152</c:v>
                </c:pt>
                <c:pt idx="114">
                  <c:v>0.18101223198025007</c:v>
                </c:pt>
                <c:pt idx="115">
                  <c:v>0.18072429051312941</c:v>
                </c:pt>
                <c:pt idx="116">
                  <c:v>0.18043588954660916</c:v>
                </c:pt>
                <c:pt idx="117">
                  <c:v>0.180147026873824</c:v>
                </c:pt>
                <c:pt idx="118">
                  <c:v>0.17985770027018691</c:v>
                </c:pt>
                <c:pt idx="119">
                  <c:v>0.17956790749318913</c:v>
                </c:pt>
                <c:pt idx="120">
                  <c:v>0.17927764628219736</c:v>
                </c:pt>
                <c:pt idx="121">
                  <c:v>0.17898691435824798</c:v>
                </c:pt>
                <c:pt idx="122">
                  <c:v>0.17869570942383853</c:v>
                </c:pt>
                <c:pt idx="123">
                  <c:v>0.17840402916271556</c:v>
                </c:pt>
                <c:pt idx="124">
                  <c:v>0.17811187123965994</c:v>
                </c:pt>
                <c:pt idx="125">
                  <c:v>0.17781923330026855</c:v>
                </c:pt>
                <c:pt idx="126">
                  <c:v>0.17752611297073304</c:v>
                </c:pt>
                <c:pt idx="127">
                  <c:v>0.1772325078576151</c:v>
                </c:pt>
                <c:pt idx="128">
                  <c:v>0.17693841554761852</c:v>
                </c:pt>
                <c:pt idx="129">
                  <c:v>0.17664383360735769</c:v>
                </c:pt>
                <c:pt idx="130">
                  <c:v>0.17634875958312268</c:v>
                </c:pt>
                <c:pt idx="131">
                  <c:v>0.17605319100064087</c:v>
                </c:pt>
                <c:pt idx="132">
                  <c:v>0.17575712536483484</c:v>
                </c:pt>
                <c:pt idx="133">
                  <c:v>0.17546056015957662</c:v>
                </c:pt>
                <c:pt idx="134">
                  <c:v>0.17516349284743821</c:v>
                </c:pt>
                <c:pt idx="135">
                  <c:v>0.17486592086943833</c:v>
                </c:pt>
                <c:pt idx="136">
                  <c:v>0.1745678416447852</c:v>
                </c:pt>
                <c:pt idx="137">
                  <c:v>0.17426925257061537</c:v>
                </c:pt>
                <c:pt idx="138">
                  <c:v>0.17397015102172864</c:v>
                </c:pt>
                <c:pt idx="139">
                  <c:v>0.17367053435031862</c:v>
                </c:pt>
                <c:pt idx="140">
                  <c:v>0.17337039988569944</c:v>
                </c:pt>
                <c:pt idx="141">
                  <c:v>0.17306974493402791</c:v>
                </c:pt>
                <c:pt idx="142">
                  <c:v>0.1727685667780213</c:v>
                </c:pt>
                <c:pt idx="143">
                  <c:v>0.17246686267667111</c:v>
                </c:pt>
                <c:pt idx="144">
                  <c:v>0.17216462986495185</c:v>
                </c:pt>
                <c:pt idx="145">
                  <c:v>0.17186186555352528</c:v>
                </c:pt>
                <c:pt idx="146">
                  <c:v>0.17155856692844032</c:v>
                </c:pt>
                <c:pt idx="147">
                  <c:v>0.17125473115082768</c:v>
                </c:pt>
                <c:pt idx="148">
                  <c:v>0.17095035535659001</c:v>
                </c:pt>
                <c:pt idx="149">
                  <c:v>0.17064543665608678</c:v>
                </c:pt>
                <c:pt idx="150">
                  <c:v>0.17033997213381438</c:v>
                </c:pt>
                <c:pt idx="151">
                  <c:v>0.17003395884808067</c:v>
                </c:pt>
                <c:pt idx="152">
                  <c:v>0.16972739383067464</c:v>
                </c:pt>
                <c:pt idx="153">
                  <c:v>0.16942027408653032</c:v>
                </c:pt>
                <c:pt idx="154">
                  <c:v>0.16911259659338565</c:v>
                </c:pt>
                <c:pt idx="155">
                  <c:v>0.1688043583014352</c:v>
                </c:pt>
                <c:pt idx="156">
                  <c:v>0.16849555613297773</c:v>
                </c:pt>
                <c:pt idx="157">
                  <c:v>0.16818618698205742</c:v>
                </c:pt>
                <c:pt idx="158">
                  <c:v>0.16787624771409956</c:v>
                </c:pt>
                <c:pt idx="159">
                  <c:v>0.16756573516553988</c:v>
                </c:pt>
                <c:pt idx="160">
                  <c:v>0.16725464614344793</c:v>
                </c:pt>
                <c:pt idx="161">
                  <c:v>0.16694297742514391</c:v>
                </c:pt>
                <c:pt idx="162">
                  <c:v>0.16663072575780927</c:v>
                </c:pt>
                <c:pt idx="163">
                  <c:v>0.16631788785809051</c:v>
                </c:pt>
                <c:pt idx="164">
                  <c:v>0.16600446041169648</c:v>
                </c:pt>
                <c:pt idx="165">
                  <c:v>0.16569044007298864</c:v>
                </c:pt>
                <c:pt idx="166">
                  <c:v>0.16537582346456439</c:v>
                </c:pt>
                <c:pt idx="167">
                  <c:v>0.16506060717683338</c:v>
                </c:pt>
                <c:pt idx="168">
                  <c:v>0.16474478776758622</c:v>
                </c:pt>
                <c:pt idx="169">
                  <c:v>0.16442836176155609</c:v>
                </c:pt>
                <c:pt idx="170">
                  <c:v>0.16411132564997244</c:v>
                </c:pt>
                <c:pt idx="171">
                  <c:v>0.16379367589010702</c:v>
                </c:pt>
                <c:pt idx="172">
                  <c:v>0.16347540890481224</c:v>
                </c:pt>
                <c:pt idx="173">
                  <c:v>0.16315652108205078</c:v>
                </c:pt>
                <c:pt idx="174">
                  <c:v>0.16283700877441779</c:v>
                </c:pt>
                <c:pt idx="175">
                  <c:v>0.16251686829865372</c:v>
                </c:pt>
                <c:pt idx="176">
                  <c:v>0.16219609593514908</c:v>
                </c:pt>
                <c:pt idx="177">
                  <c:v>0.16187468792744042</c:v>
                </c:pt>
                <c:pt idx="178">
                  <c:v>0.16155264048169671</c:v>
                </c:pt>
                <c:pt idx="179">
                  <c:v>0.16122994976619723</c:v>
                </c:pt>
                <c:pt idx="180">
                  <c:v>0.16090661191079941</c:v>
                </c:pt>
                <c:pt idx="181">
                  <c:v>0.16058262300639736</c:v>
                </c:pt>
                <c:pt idx="182">
                  <c:v>0.16025797910437056</c:v>
                </c:pt>
                <c:pt idx="183">
                  <c:v>0.15993267621602225</c:v>
                </c:pt>
                <c:pt idx="184">
                  <c:v>0.15960671031200768</c:v>
                </c:pt>
                <c:pt idx="185">
                  <c:v>0.15928007732175192</c:v>
                </c:pt>
                <c:pt idx="186">
                  <c:v>0.15895277313285666</c:v>
                </c:pt>
                <c:pt idx="187">
                  <c:v>0.15862479359049622</c:v>
                </c:pt>
                <c:pt idx="188">
                  <c:v>0.1582961344968021</c:v>
                </c:pt>
                <c:pt idx="189">
                  <c:v>0.15796679161023619</c:v>
                </c:pt>
                <c:pt idx="190">
                  <c:v>0.15763676064495213</c:v>
                </c:pt>
                <c:pt idx="191">
                  <c:v>0.15730603727014439</c:v>
                </c:pt>
                <c:pt idx="192">
                  <c:v>0.15697461710938554</c:v>
                </c:pt>
                <c:pt idx="193">
                  <c:v>0.15664249573995023</c:v>
                </c:pt>
                <c:pt idx="194">
                  <c:v>0.15630966869212684</c:v>
                </c:pt>
                <c:pt idx="195">
                  <c:v>0.15597613144851549</c:v>
                </c:pt>
                <c:pt idx="196">
                  <c:v>0.15564187944331279</c:v>
                </c:pt>
                <c:pt idx="197">
                  <c:v>0.15530690806158251</c:v>
                </c:pt>
                <c:pt idx="198">
                  <c:v>0.15497121263851224</c:v>
                </c:pt>
                <c:pt idx="199">
                  <c:v>0.15463478845865541</c:v>
                </c:pt>
                <c:pt idx="200">
                  <c:v>0.15429763075515854</c:v>
                </c:pt>
                <c:pt idx="201">
                  <c:v>0.15395973470897309</c:v>
                </c:pt>
                <c:pt idx="202">
                  <c:v>0.153621095448052</c:v>
                </c:pt>
                <c:pt idx="203">
                  <c:v>0.15328170804652994</c:v>
                </c:pt>
                <c:pt idx="204">
                  <c:v>0.15294156752388727</c:v>
                </c:pt>
                <c:pt idx="205">
                  <c:v>0.15260066884409748</c:v>
                </c:pt>
                <c:pt idx="206">
                  <c:v>0.15225900691475705</c:v>
                </c:pt>
                <c:pt idx="207">
                  <c:v>0.15191657658619803</c:v>
                </c:pt>
                <c:pt idx="208">
                  <c:v>0.15157337265058232</c:v>
                </c:pt>
                <c:pt idx="209">
                  <c:v>0.15122938984097778</c:v>
                </c:pt>
                <c:pt idx="210">
                  <c:v>0.1508846228304149</c:v>
                </c:pt>
                <c:pt idx="211">
                  <c:v>0.15053906623092458</c:v>
                </c:pt>
                <c:pt idx="212">
                  <c:v>0.15019271459255548</c:v>
                </c:pt>
                <c:pt idx="213">
                  <c:v>0.14984556240237132</c:v>
                </c:pt>
                <c:pt idx="214">
                  <c:v>0.14949760408342699</c:v>
                </c:pt>
                <c:pt idx="215">
                  <c:v>0.14914883399372325</c:v>
                </c:pt>
                <c:pt idx="216">
                  <c:v>0.14879924642513936</c:v>
                </c:pt>
                <c:pt idx="217">
                  <c:v>0.14844883560234307</c:v>
                </c:pt>
                <c:pt idx="218">
                  <c:v>0.14809759568167746</c:v>
                </c:pt>
                <c:pt idx="219">
                  <c:v>0.14774552075002392</c:v>
                </c:pt>
                <c:pt idx="220">
                  <c:v>0.14739260482364058</c:v>
                </c:pt>
                <c:pt idx="221">
                  <c:v>0.14703884184697597</c:v>
                </c:pt>
                <c:pt idx="222">
                  <c:v>0.14668422569145648</c:v>
                </c:pt>
                <c:pt idx="223">
                  <c:v>0.14632875015424779</c:v>
                </c:pt>
                <c:pt idx="224">
                  <c:v>0.14597240895698887</c:v>
                </c:pt>
                <c:pt idx="225">
                  <c:v>0.14561519574449822</c:v>
                </c:pt>
                <c:pt idx="226">
                  <c:v>0.14525710408345152</c:v>
                </c:pt>
                <c:pt idx="227">
                  <c:v>0.14489812746102967</c:v>
                </c:pt>
                <c:pt idx="228">
                  <c:v>0.14453825928353686</c:v>
                </c:pt>
                <c:pt idx="229">
                  <c:v>0.14417749287498746</c:v>
                </c:pt>
                <c:pt idx="230">
                  <c:v>0.14381582147566099</c:v>
                </c:pt>
                <c:pt idx="231">
                  <c:v>0.14345323824062434</c:v>
                </c:pt>
                <c:pt idx="232">
                  <c:v>0.1430897362382203</c:v>
                </c:pt>
                <c:pt idx="233">
                  <c:v>0.14272530844852144</c:v>
                </c:pt>
                <c:pt idx="234">
                  <c:v>0.14124670017071328</c:v>
                </c:pt>
                <c:pt idx="235">
                  <c:v>0.13910659865297517</c:v>
                </c:pt>
                <c:pt idx="236">
                  <c:v>0.13696649713523704</c:v>
                </c:pt>
                <c:pt idx="237">
                  <c:v>0.13482639561749893</c:v>
                </c:pt>
                <c:pt idx="238">
                  <c:v>0.13268629409976079</c:v>
                </c:pt>
                <c:pt idx="239">
                  <c:v>0.13054619258202266</c:v>
                </c:pt>
                <c:pt idx="240">
                  <c:v>0.12840609106428452</c:v>
                </c:pt>
                <c:pt idx="241">
                  <c:v>0.12626598954654641</c:v>
                </c:pt>
                <c:pt idx="242">
                  <c:v>0.12412588802880828</c:v>
                </c:pt>
                <c:pt idx="243">
                  <c:v>0.12198578651107016</c:v>
                </c:pt>
                <c:pt idx="244">
                  <c:v>0.11984568499333202</c:v>
                </c:pt>
                <c:pt idx="245">
                  <c:v>0.1177055834755939</c:v>
                </c:pt>
                <c:pt idx="246">
                  <c:v>0.11556548195785576</c:v>
                </c:pt>
                <c:pt idx="247">
                  <c:v>0.11342538044011766</c:v>
                </c:pt>
                <c:pt idx="248">
                  <c:v>0.11128527892237952</c:v>
                </c:pt>
                <c:pt idx="249">
                  <c:v>0.1091451774046414</c:v>
                </c:pt>
                <c:pt idx="250">
                  <c:v>0.10700507588690326</c:v>
                </c:pt>
                <c:pt idx="251">
                  <c:v>0.10486497436916514</c:v>
                </c:pt>
                <c:pt idx="252">
                  <c:v>0.10272487285142701</c:v>
                </c:pt>
                <c:pt idx="253">
                  <c:v>0.1005847713336889</c:v>
                </c:pt>
                <c:pt idx="254">
                  <c:v>9.8444669815950764E-2</c:v>
                </c:pt>
                <c:pt idx="255">
                  <c:v>9.6304568298212642E-2</c:v>
                </c:pt>
                <c:pt idx="256">
                  <c:v>9.4164466780474521E-2</c:v>
                </c:pt>
                <c:pt idx="257">
                  <c:v>9.2024365262736385E-2</c:v>
                </c:pt>
                <c:pt idx="258">
                  <c:v>8.9884263744998263E-2</c:v>
                </c:pt>
                <c:pt idx="259">
                  <c:v>8.7744162227260142E-2</c:v>
                </c:pt>
                <c:pt idx="260">
                  <c:v>8.5604060709522006E-2</c:v>
                </c:pt>
                <c:pt idx="261">
                  <c:v>8.3463959191783885E-2</c:v>
                </c:pt>
                <c:pt idx="262">
                  <c:v>8.1323857674045763E-2</c:v>
                </c:pt>
                <c:pt idx="263">
                  <c:v>7.9183756156307628E-2</c:v>
                </c:pt>
                <c:pt idx="264">
                  <c:v>7.7043654638569492E-2</c:v>
                </c:pt>
                <c:pt idx="265">
                  <c:v>7.490355312083137E-2</c:v>
                </c:pt>
                <c:pt idx="266">
                  <c:v>7.2763451603093235E-2</c:v>
                </c:pt>
                <c:pt idx="267">
                  <c:v>7.0623350085355086E-2</c:v>
                </c:pt>
                <c:pt idx="268">
                  <c:v>6.848324856761695E-2</c:v>
                </c:pt>
                <c:pt idx="269">
                  <c:v>6.6343147049878828E-2</c:v>
                </c:pt>
                <c:pt idx="270">
                  <c:v>6.4203045532140693E-2</c:v>
                </c:pt>
                <c:pt idx="271">
                  <c:v>6.2062944014402557E-2</c:v>
                </c:pt>
                <c:pt idx="272">
                  <c:v>5.9922842496664415E-2</c:v>
                </c:pt>
                <c:pt idx="273">
                  <c:v>5.7782740978926293E-2</c:v>
                </c:pt>
                <c:pt idx="274">
                  <c:v>5.5642639461188151E-2</c:v>
                </c:pt>
                <c:pt idx="275">
                  <c:v>5.3502537943450015E-2</c:v>
                </c:pt>
                <c:pt idx="276">
                  <c:v>5.136243642571188E-2</c:v>
                </c:pt>
                <c:pt idx="277">
                  <c:v>4.9222334907973751E-2</c:v>
                </c:pt>
                <c:pt idx="278">
                  <c:v>4.7082233390235616E-2</c:v>
                </c:pt>
                <c:pt idx="279">
                  <c:v>4.494213187249748E-2</c:v>
                </c:pt>
                <c:pt idx="280">
                  <c:v>4.2802030354759345E-2</c:v>
                </c:pt>
                <c:pt idx="281">
                  <c:v>4.0661928837021209E-2</c:v>
                </c:pt>
                <c:pt idx="282">
                  <c:v>3.8521827319283074E-2</c:v>
                </c:pt>
                <c:pt idx="283">
                  <c:v>3.6381725801544952E-2</c:v>
                </c:pt>
                <c:pt idx="284">
                  <c:v>3.4241624283806817E-2</c:v>
                </c:pt>
                <c:pt idx="285">
                  <c:v>3.2101522766068688E-2</c:v>
                </c:pt>
                <c:pt idx="286">
                  <c:v>2.9961421248330556E-2</c:v>
                </c:pt>
                <c:pt idx="287">
                  <c:v>2.7821319730592427E-2</c:v>
                </c:pt>
                <c:pt idx="288">
                  <c:v>2.5681218212854295E-2</c:v>
                </c:pt>
                <c:pt idx="289">
                  <c:v>2.3541116695116163E-2</c:v>
                </c:pt>
                <c:pt idx="290">
                  <c:v>2.1401015177378035E-2</c:v>
                </c:pt>
                <c:pt idx="291">
                  <c:v>1.9260913659639903E-2</c:v>
                </c:pt>
                <c:pt idx="292">
                  <c:v>1.7120812141901771E-2</c:v>
                </c:pt>
                <c:pt idx="293">
                  <c:v>1.4980710624163637E-2</c:v>
                </c:pt>
                <c:pt idx="294">
                  <c:v>1.2840609106425507E-2</c:v>
                </c:pt>
                <c:pt idx="295">
                  <c:v>1.0700507588687375E-2</c:v>
                </c:pt>
                <c:pt idx="296">
                  <c:v>8.5604060709492408E-3</c:v>
                </c:pt>
                <c:pt idx="297">
                  <c:v>6.4203045532111088E-3</c:v>
                </c:pt>
                <c:pt idx="298">
                  <c:v>4.2802030354729768E-3</c:v>
                </c:pt>
                <c:pt idx="299">
                  <c:v>2.1401015177348447E-3</c:v>
                </c:pt>
                <c:pt idx="300">
                  <c:v>-3.2873976354835435E-15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A8-485F-AC89-7B6805D48DBC}"/>
            </c:ext>
          </c:extLst>
        </c:ser>
        <c:ser>
          <c:idx val="4"/>
          <c:order val="4"/>
          <c:tx>
            <c:strRef>
              <c:f>'Burland damage classification'!$P$10:$P$11</c:f>
              <c:strCache>
                <c:ptCount val="2"/>
                <c:pt idx="0">
                  <c:v>L1/H=</c:v>
                </c:pt>
                <c:pt idx="1">
                  <c:v>1.03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'Burland damage classification'!$T$24</c:f>
              <c:numCache>
                <c:formatCode>0.00</c:formatCode>
                <c:ptCount val="1"/>
              </c:numCache>
            </c:numRef>
          </c:xVal>
          <c:yVal>
            <c:numRef>
              <c:f>'Burland damage classification'!$O$9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8A8-485F-AC89-7B6805D48DBC}"/>
            </c:ext>
          </c:extLst>
        </c:ser>
        <c:ser>
          <c:idx val="5"/>
          <c:order val="5"/>
          <c:tx>
            <c:v>L1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xVal>
            <c:numRef>
              <c:f>'Burland damage classification'!$EW$34</c:f>
              <c:numCache>
                <c:formatCode>General</c:formatCode>
                <c:ptCount val="1"/>
                <c:pt idx="0">
                  <c:v>6.2741826168073583E-2</c:v>
                </c:pt>
              </c:numCache>
            </c:numRef>
          </c:xVal>
          <c:yVal>
            <c:numRef>
              <c:f>'Burland damage classification'!$EV$34</c:f>
              <c:numCache>
                <c:formatCode>General</c:formatCode>
                <c:ptCount val="1"/>
                <c:pt idx="0">
                  <c:v>2.0232024921747412E-2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8A8-485F-AC89-7B6805D48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219136"/>
        <c:axId val="294225792"/>
      </c:scatterChart>
      <c:valAx>
        <c:axId val="29421913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 sz="800" b="1" i="0" u="none" strike="noStrike" baseline="0">
                    <a:solidFill>
                      <a:srgbClr val="000000"/>
                    </a:solidFill>
                    <a:latin typeface="GreekC"/>
                    <a:cs typeface="GreekC"/>
                  </a:rPr>
                  <a:t>e</a:t>
                </a:r>
                <a:r>
                  <a:rPr lang="it-IT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h [%]</a:t>
                </a:r>
              </a:p>
            </c:rich>
          </c:tx>
          <c:layout>
            <c:manualLayout>
              <c:xMode val="edge"/>
              <c:yMode val="edge"/>
              <c:x val="0.50000085773592029"/>
              <c:y val="0.929401064450277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4225792"/>
        <c:crosses val="autoZero"/>
        <c:crossBetween val="midCat"/>
      </c:valAx>
      <c:valAx>
        <c:axId val="29422579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 sz="800" b="1" i="0" u="none" strike="noStrike" baseline="0">
                    <a:solidFill>
                      <a:srgbClr val="000000"/>
                    </a:solidFill>
                    <a:latin typeface="GreekC"/>
                    <a:cs typeface="GreekC"/>
                  </a:rPr>
                  <a:t>D</a:t>
                </a:r>
                <a:r>
                  <a:rPr lang="it-IT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/L[%]</a:t>
                </a:r>
              </a:p>
            </c:rich>
          </c:tx>
          <c:layout>
            <c:manualLayout>
              <c:xMode val="edge"/>
              <c:yMode val="edge"/>
              <c:x val="8.1699346405228763E-3"/>
              <c:y val="0.4340292359288422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4219136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egendEntry>
        <c:idx val="4"/>
        <c:txPr>
          <a:bodyPr/>
          <a:lstStyle/>
          <a:p>
            <a:pPr>
              <a:defRPr sz="64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</c:legendEntry>
      <c:legendEntry>
        <c:idx val="5"/>
        <c:delete val="1"/>
      </c:legendEntry>
      <c:layout>
        <c:manualLayout>
          <c:xMode val="edge"/>
          <c:yMode val="edge"/>
          <c:x val="0.75490316161460214"/>
          <c:y val="0.12152814231554389"/>
          <c:w val="0.21732060453227664"/>
          <c:h val="0.32291776027996505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6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258"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BUILDING DAMAGE CLASSIFICATION (AFTER BURLAND et al, 1977 AND BOSCARDIN AND CORDING, 1989)-HOGGING</a:t>
            </a:r>
          </a:p>
        </c:rich>
      </c:tx>
      <c:layout>
        <c:manualLayout>
          <c:xMode val="edge"/>
          <c:yMode val="edge"/>
          <c:x val="0.12111292962356793"/>
          <c:y val="1.73611111111111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5106382978723402E-2"/>
          <c:y val="0.13888935984076553"/>
          <c:w val="0.88870703764320791"/>
          <c:h val="0.75347477713615296"/>
        </c:manualLayout>
      </c:layout>
      <c:scatterChart>
        <c:scatterStyle val="lineMarker"/>
        <c:varyColors val="0"/>
        <c:ser>
          <c:idx val="1"/>
          <c:order val="0"/>
          <c:tx>
            <c:strRef>
              <c:f>'Burland damage classification'!$Q$34:$S$34</c:f>
              <c:strCache>
                <c:ptCount val="1"/>
                <c:pt idx="0">
                  <c:v>eps_lim= 0.033 %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'Burland damage classification'!$BM$16:$BM$66</c:f>
              <c:numCache>
                <c:formatCode>General</c:formatCode>
                <c:ptCount val="51"/>
                <c:pt idx="0">
                  <c:v>0</c:v>
                </c:pt>
                <c:pt idx="1">
                  <c:v>6.6666666666666664E-4</c:v>
                </c:pt>
                <c:pt idx="2">
                  <c:v>1.3333333333333333E-3</c:v>
                </c:pt>
                <c:pt idx="3">
                  <c:v>2E-3</c:v>
                </c:pt>
                <c:pt idx="4">
                  <c:v>2.6666666666666666E-3</c:v>
                </c:pt>
                <c:pt idx="5">
                  <c:v>3.3333333333333335E-3</c:v>
                </c:pt>
                <c:pt idx="6">
                  <c:v>4.0000000000000001E-3</c:v>
                </c:pt>
                <c:pt idx="7">
                  <c:v>4.6666666666666671E-3</c:v>
                </c:pt>
                <c:pt idx="8">
                  <c:v>5.333333333333334E-3</c:v>
                </c:pt>
                <c:pt idx="9">
                  <c:v>6.000000000000001E-3</c:v>
                </c:pt>
                <c:pt idx="10">
                  <c:v>6.6666666666666671E-3</c:v>
                </c:pt>
                <c:pt idx="11">
                  <c:v>7.3333333333333332E-3</c:v>
                </c:pt>
                <c:pt idx="12">
                  <c:v>8.0000000000000002E-3</c:v>
                </c:pt>
                <c:pt idx="13">
                  <c:v>8.6666666666666663E-3</c:v>
                </c:pt>
                <c:pt idx="14">
                  <c:v>9.3333333333333324E-3</c:v>
                </c:pt>
                <c:pt idx="15">
                  <c:v>9.9999999999999985E-3</c:v>
                </c:pt>
                <c:pt idx="16">
                  <c:v>1.0666666666666665E-2</c:v>
                </c:pt>
                <c:pt idx="17">
                  <c:v>1.1333333333333331E-2</c:v>
                </c:pt>
                <c:pt idx="18">
                  <c:v>1.1999999999999997E-2</c:v>
                </c:pt>
                <c:pt idx="19">
                  <c:v>1.2666666666666663E-2</c:v>
                </c:pt>
                <c:pt idx="20">
                  <c:v>1.3333333333333331E-2</c:v>
                </c:pt>
                <c:pt idx="21">
                  <c:v>1.3999999999999999E-2</c:v>
                </c:pt>
                <c:pt idx="22">
                  <c:v>1.4666666666666666E-2</c:v>
                </c:pt>
                <c:pt idx="23">
                  <c:v>1.5333333333333334E-2</c:v>
                </c:pt>
                <c:pt idx="24">
                  <c:v>1.6E-2</c:v>
                </c:pt>
                <c:pt idx="25">
                  <c:v>1.666666666666667E-2</c:v>
                </c:pt>
                <c:pt idx="26">
                  <c:v>1.7333333333333336E-2</c:v>
                </c:pt>
                <c:pt idx="27">
                  <c:v>1.8000000000000002E-2</c:v>
                </c:pt>
                <c:pt idx="28">
                  <c:v>1.8666666666666672E-2</c:v>
                </c:pt>
                <c:pt idx="29">
                  <c:v>1.9333333333333338E-2</c:v>
                </c:pt>
                <c:pt idx="30">
                  <c:v>2.0000000000000007E-2</c:v>
                </c:pt>
                <c:pt idx="31">
                  <c:v>2.0666666666666673E-2</c:v>
                </c:pt>
                <c:pt idx="32">
                  <c:v>2.1333333333333343E-2</c:v>
                </c:pt>
                <c:pt idx="33">
                  <c:v>2.2000000000000009E-2</c:v>
                </c:pt>
                <c:pt idx="34">
                  <c:v>2.2666666666666675E-2</c:v>
                </c:pt>
                <c:pt idx="35">
                  <c:v>2.3333333333333345E-2</c:v>
                </c:pt>
                <c:pt idx="36">
                  <c:v>2.4000000000000011E-2</c:v>
                </c:pt>
                <c:pt idx="37">
                  <c:v>2.466666666666668E-2</c:v>
                </c:pt>
                <c:pt idx="38">
                  <c:v>2.5333333333333343E-2</c:v>
                </c:pt>
                <c:pt idx="39">
                  <c:v>2.6000000000000009E-2</c:v>
                </c:pt>
                <c:pt idx="40">
                  <c:v>2.6666666666666672E-2</c:v>
                </c:pt>
                <c:pt idx="41">
                  <c:v>2.7333333333333338E-2</c:v>
                </c:pt>
                <c:pt idx="42">
                  <c:v>2.8000000000000004E-2</c:v>
                </c:pt>
                <c:pt idx="43">
                  <c:v>2.8666666666666667E-2</c:v>
                </c:pt>
                <c:pt idx="44">
                  <c:v>2.9333333333333333E-2</c:v>
                </c:pt>
                <c:pt idx="45">
                  <c:v>0.03</c:v>
                </c:pt>
                <c:pt idx="46">
                  <c:v>3.0666666666666662E-2</c:v>
                </c:pt>
                <c:pt idx="47">
                  <c:v>3.1333333333333324E-2</c:v>
                </c:pt>
                <c:pt idx="48">
                  <c:v>3.1999999999999994E-2</c:v>
                </c:pt>
                <c:pt idx="49">
                  <c:v>3.2666666666666656E-2</c:v>
                </c:pt>
                <c:pt idx="50">
                  <c:v>3.3333333333333319E-2</c:v>
                </c:pt>
              </c:numCache>
            </c:numRef>
          </c:xVal>
          <c:yVal>
            <c:numRef>
              <c:f>'Burland damage classification'!$BI$16:$BI$66</c:f>
              <c:numCache>
                <c:formatCode>0.0000000000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07-4B19-8389-F93EE4CB7D38}"/>
            </c:ext>
          </c:extLst>
        </c:ser>
        <c:ser>
          <c:idx val="0"/>
          <c:order val="1"/>
          <c:tx>
            <c:strRef>
              <c:f>'Burland damage classification'!$Q$35:$S$35</c:f>
              <c:strCache>
                <c:ptCount val="1"/>
                <c:pt idx="0">
                  <c:v>eps_lim= 0.050 %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'Burland damage classification'!$BV$16:$BV$91</c:f>
              <c:numCache>
                <c:formatCode>General</c:formatCode>
                <c:ptCount val="76"/>
                <c:pt idx="0">
                  <c:v>0</c:v>
                </c:pt>
                <c:pt idx="1">
                  <c:v>6.6666666666666664E-4</c:v>
                </c:pt>
                <c:pt idx="2">
                  <c:v>1.3333333333333333E-3</c:v>
                </c:pt>
                <c:pt idx="3">
                  <c:v>2E-3</c:v>
                </c:pt>
                <c:pt idx="4">
                  <c:v>2.6666666666666666E-3</c:v>
                </c:pt>
                <c:pt idx="5">
                  <c:v>3.3333333333333335E-3</c:v>
                </c:pt>
                <c:pt idx="6">
                  <c:v>4.0000000000000001E-3</c:v>
                </c:pt>
                <c:pt idx="7">
                  <c:v>4.6666666666666671E-3</c:v>
                </c:pt>
                <c:pt idx="8">
                  <c:v>5.333333333333334E-3</c:v>
                </c:pt>
                <c:pt idx="9">
                  <c:v>6.000000000000001E-3</c:v>
                </c:pt>
                <c:pt idx="10">
                  <c:v>6.6666666666666671E-3</c:v>
                </c:pt>
                <c:pt idx="11">
                  <c:v>7.3333333333333332E-3</c:v>
                </c:pt>
                <c:pt idx="12">
                  <c:v>8.0000000000000002E-3</c:v>
                </c:pt>
                <c:pt idx="13">
                  <c:v>8.6666666666666663E-3</c:v>
                </c:pt>
                <c:pt idx="14">
                  <c:v>9.3333333333333324E-3</c:v>
                </c:pt>
                <c:pt idx="15">
                  <c:v>9.9999999999999985E-3</c:v>
                </c:pt>
                <c:pt idx="16">
                  <c:v>1.0666666666666665E-2</c:v>
                </c:pt>
                <c:pt idx="17">
                  <c:v>1.1333333333333331E-2</c:v>
                </c:pt>
                <c:pt idx="18">
                  <c:v>1.1999999999999997E-2</c:v>
                </c:pt>
                <c:pt idx="19">
                  <c:v>1.2666666666666663E-2</c:v>
                </c:pt>
                <c:pt idx="20">
                  <c:v>1.3333333333333331E-2</c:v>
                </c:pt>
                <c:pt idx="21">
                  <c:v>1.3999999999999999E-2</c:v>
                </c:pt>
                <c:pt idx="22">
                  <c:v>1.4666666666666666E-2</c:v>
                </c:pt>
                <c:pt idx="23">
                  <c:v>1.5333333333333334E-2</c:v>
                </c:pt>
                <c:pt idx="24">
                  <c:v>1.6E-2</c:v>
                </c:pt>
                <c:pt idx="25">
                  <c:v>1.666666666666667E-2</c:v>
                </c:pt>
                <c:pt idx="26">
                  <c:v>1.7333333333333336E-2</c:v>
                </c:pt>
                <c:pt idx="27">
                  <c:v>1.8000000000000002E-2</c:v>
                </c:pt>
                <c:pt idx="28">
                  <c:v>1.8666666666666672E-2</c:v>
                </c:pt>
                <c:pt idx="29">
                  <c:v>1.9333333333333338E-2</c:v>
                </c:pt>
                <c:pt idx="30">
                  <c:v>2.0000000000000007E-2</c:v>
                </c:pt>
                <c:pt idx="31">
                  <c:v>2.0666666666666673E-2</c:v>
                </c:pt>
                <c:pt idx="32">
                  <c:v>2.1333333333333343E-2</c:v>
                </c:pt>
                <c:pt idx="33">
                  <c:v>2.2000000000000009E-2</c:v>
                </c:pt>
                <c:pt idx="34">
                  <c:v>2.2666666666666675E-2</c:v>
                </c:pt>
                <c:pt idx="35">
                  <c:v>2.3333333333333345E-2</c:v>
                </c:pt>
                <c:pt idx="36">
                  <c:v>2.4000000000000011E-2</c:v>
                </c:pt>
                <c:pt idx="37">
                  <c:v>2.466666666666668E-2</c:v>
                </c:pt>
                <c:pt idx="38">
                  <c:v>2.5333333333333343E-2</c:v>
                </c:pt>
                <c:pt idx="39">
                  <c:v>2.6000000000000009E-2</c:v>
                </c:pt>
                <c:pt idx="40">
                  <c:v>2.6666666666666672E-2</c:v>
                </c:pt>
                <c:pt idx="41">
                  <c:v>2.7333333333333338E-2</c:v>
                </c:pt>
                <c:pt idx="42">
                  <c:v>2.8000000000000004E-2</c:v>
                </c:pt>
                <c:pt idx="43">
                  <c:v>2.8666666666666667E-2</c:v>
                </c:pt>
                <c:pt idx="44">
                  <c:v>2.9333333333333333E-2</c:v>
                </c:pt>
                <c:pt idx="45">
                  <c:v>0.03</c:v>
                </c:pt>
                <c:pt idx="46">
                  <c:v>3.0666666666666662E-2</c:v>
                </c:pt>
                <c:pt idx="47">
                  <c:v>3.1333333333333324E-2</c:v>
                </c:pt>
                <c:pt idx="48">
                  <c:v>3.1999999999999994E-2</c:v>
                </c:pt>
                <c:pt idx="49">
                  <c:v>3.2666666666666656E-2</c:v>
                </c:pt>
                <c:pt idx="50">
                  <c:v>3.3333333333333319E-2</c:v>
                </c:pt>
                <c:pt idx="51">
                  <c:v>3.3999999999999989E-2</c:v>
                </c:pt>
                <c:pt idx="52">
                  <c:v>3.4666666666666651E-2</c:v>
                </c:pt>
                <c:pt idx="53">
                  <c:v>3.5333333333333314E-2</c:v>
                </c:pt>
                <c:pt idx="54">
                  <c:v>3.5999999999999983E-2</c:v>
                </c:pt>
                <c:pt idx="55">
                  <c:v>3.6666666666666646E-2</c:v>
                </c:pt>
                <c:pt idx="56">
                  <c:v>3.7333333333333309E-2</c:v>
                </c:pt>
                <c:pt idx="57">
                  <c:v>3.7999999999999978E-2</c:v>
                </c:pt>
                <c:pt idx="58">
                  <c:v>3.8666666666666641E-2</c:v>
                </c:pt>
                <c:pt idx="59">
                  <c:v>3.9333333333333304E-2</c:v>
                </c:pt>
                <c:pt idx="60">
                  <c:v>3.9999999999999966E-2</c:v>
                </c:pt>
                <c:pt idx="61">
                  <c:v>4.0666666666666636E-2</c:v>
                </c:pt>
                <c:pt idx="62">
                  <c:v>4.1333333333333298E-2</c:v>
                </c:pt>
                <c:pt idx="63">
                  <c:v>4.1999999999999961E-2</c:v>
                </c:pt>
                <c:pt idx="64">
                  <c:v>4.2666666666666631E-2</c:v>
                </c:pt>
                <c:pt idx="65">
                  <c:v>4.3333333333333293E-2</c:v>
                </c:pt>
                <c:pt idx="66">
                  <c:v>4.3999999999999956E-2</c:v>
                </c:pt>
                <c:pt idx="67">
                  <c:v>4.4666666666666625E-2</c:v>
                </c:pt>
                <c:pt idx="68">
                  <c:v>4.5333333333333288E-2</c:v>
                </c:pt>
                <c:pt idx="69">
                  <c:v>4.5999999999999951E-2</c:v>
                </c:pt>
                <c:pt idx="70">
                  <c:v>4.666666666666662E-2</c:v>
                </c:pt>
                <c:pt idx="71">
                  <c:v>4.7333333333333283E-2</c:v>
                </c:pt>
                <c:pt idx="72">
                  <c:v>4.7999999999999945E-2</c:v>
                </c:pt>
                <c:pt idx="73">
                  <c:v>4.8666666666666615E-2</c:v>
                </c:pt>
                <c:pt idx="74">
                  <c:v>4.9333333333333285E-2</c:v>
                </c:pt>
                <c:pt idx="75">
                  <c:v>4.9999999999999947E-2</c:v>
                </c:pt>
              </c:numCache>
            </c:numRef>
          </c:xVal>
          <c:yVal>
            <c:numRef>
              <c:f>'Burland damage classification'!$BR$16:$BR$91</c:f>
              <c:numCache>
                <c:formatCode>0.0000000000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07-4B19-8389-F93EE4CB7D38}"/>
            </c:ext>
          </c:extLst>
        </c:ser>
        <c:ser>
          <c:idx val="2"/>
          <c:order val="2"/>
          <c:tx>
            <c:strRef>
              <c:f>'Burland damage classification'!$Q$36:$S$36</c:f>
              <c:strCache>
                <c:ptCount val="1"/>
                <c:pt idx="0">
                  <c:v>eps_lim= 0.100 %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'Burland damage classification'!$CE$16:$CE$166</c:f>
              <c:numCache>
                <c:formatCode>General</c:formatCode>
                <c:ptCount val="151"/>
                <c:pt idx="0">
                  <c:v>0</c:v>
                </c:pt>
                <c:pt idx="1">
                  <c:v>6.6666666666666664E-4</c:v>
                </c:pt>
                <c:pt idx="2">
                  <c:v>1.3333333333333333E-3</c:v>
                </c:pt>
                <c:pt idx="3">
                  <c:v>2E-3</c:v>
                </c:pt>
                <c:pt idx="4">
                  <c:v>2.6666666666666666E-3</c:v>
                </c:pt>
                <c:pt idx="5">
                  <c:v>3.3333333333333335E-3</c:v>
                </c:pt>
                <c:pt idx="6">
                  <c:v>4.0000000000000001E-3</c:v>
                </c:pt>
                <c:pt idx="7">
                  <c:v>4.6666666666666671E-3</c:v>
                </c:pt>
                <c:pt idx="8">
                  <c:v>5.333333333333334E-3</c:v>
                </c:pt>
                <c:pt idx="9">
                  <c:v>6.000000000000001E-3</c:v>
                </c:pt>
                <c:pt idx="10">
                  <c:v>6.6666666666666671E-3</c:v>
                </c:pt>
                <c:pt idx="11">
                  <c:v>7.3333333333333332E-3</c:v>
                </c:pt>
                <c:pt idx="12">
                  <c:v>8.0000000000000002E-3</c:v>
                </c:pt>
                <c:pt idx="13">
                  <c:v>8.6666666666666663E-3</c:v>
                </c:pt>
                <c:pt idx="14">
                  <c:v>9.3333333333333324E-3</c:v>
                </c:pt>
                <c:pt idx="15">
                  <c:v>9.9999999999999985E-3</c:v>
                </c:pt>
                <c:pt idx="16">
                  <c:v>1.0666666666666665E-2</c:v>
                </c:pt>
                <c:pt idx="17">
                  <c:v>1.1333333333333331E-2</c:v>
                </c:pt>
                <c:pt idx="18">
                  <c:v>1.1999999999999997E-2</c:v>
                </c:pt>
                <c:pt idx="19">
                  <c:v>1.2666666666666663E-2</c:v>
                </c:pt>
                <c:pt idx="20">
                  <c:v>1.3333333333333331E-2</c:v>
                </c:pt>
                <c:pt idx="21">
                  <c:v>1.3999999999999999E-2</c:v>
                </c:pt>
                <c:pt idx="22">
                  <c:v>1.4666666666666666E-2</c:v>
                </c:pt>
                <c:pt idx="23">
                  <c:v>1.5333333333333334E-2</c:v>
                </c:pt>
                <c:pt idx="24">
                  <c:v>1.6E-2</c:v>
                </c:pt>
                <c:pt idx="25">
                  <c:v>1.666666666666667E-2</c:v>
                </c:pt>
                <c:pt idx="26">
                  <c:v>1.7333333333333336E-2</c:v>
                </c:pt>
                <c:pt idx="27">
                  <c:v>1.8000000000000002E-2</c:v>
                </c:pt>
                <c:pt idx="28">
                  <c:v>1.8666666666666672E-2</c:v>
                </c:pt>
                <c:pt idx="29">
                  <c:v>1.9333333333333338E-2</c:v>
                </c:pt>
                <c:pt idx="30">
                  <c:v>2.0000000000000007E-2</c:v>
                </c:pt>
                <c:pt idx="31">
                  <c:v>2.0666666666666673E-2</c:v>
                </c:pt>
                <c:pt idx="32">
                  <c:v>2.1333333333333343E-2</c:v>
                </c:pt>
                <c:pt idx="33">
                  <c:v>2.2000000000000009E-2</c:v>
                </c:pt>
                <c:pt idx="34">
                  <c:v>2.2666666666666675E-2</c:v>
                </c:pt>
                <c:pt idx="35">
                  <c:v>2.3333333333333345E-2</c:v>
                </c:pt>
                <c:pt idx="36">
                  <c:v>2.4000000000000011E-2</c:v>
                </c:pt>
                <c:pt idx="37">
                  <c:v>2.466666666666668E-2</c:v>
                </c:pt>
                <c:pt idx="38">
                  <c:v>2.5333333333333343E-2</c:v>
                </c:pt>
                <c:pt idx="39">
                  <c:v>2.6000000000000009E-2</c:v>
                </c:pt>
                <c:pt idx="40">
                  <c:v>2.6666666666666672E-2</c:v>
                </c:pt>
                <c:pt idx="41">
                  <c:v>2.7333333333333338E-2</c:v>
                </c:pt>
                <c:pt idx="42">
                  <c:v>2.8000000000000004E-2</c:v>
                </c:pt>
                <c:pt idx="43">
                  <c:v>2.8666666666666667E-2</c:v>
                </c:pt>
                <c:pt idx="44">
                  <c:v>2.9333333333333333E-2</c:v>
                </c:pt>
                <c:pt idx="45">
                  <c:v>0.03</c:v>
                </c:pt>
                <c:pt idx="46">
                  <c:v>3.0666666666666662E-2</c:v>
                </c:pt>
                <c:pt idx="47">
                  <c:v>3.1333333333333324E-2</c:v>
                </c:pt>
                <c:pt idx="48">
                  <c:v>3.1999999999999994E-2</c:v>
                </c:pt>
                <c:pt idx="49">
                  <c:v>3.2666666666666656E-2</c:v>
                </c:pt>
                <c:pt idx="50">
                  <c:v>3.3333333333333319E-2</c:v>
                </c:pt>
                <c:pt idx="51">
                  <c:v>3.3999999999999989E-2</c:v>
                </c:pt>
                <c:pt idx="52">
                  <c:v>3.4666666666666651E-2</c:v>
                </c:pt>
                <c:pt idx="53">
                  <c:v>3.5333333333333314E-2</c:v>
                </c:pt>
                <c:pt idx="54">
                  <c:v>3.5999999999999983E-2</c:v>
                </c:pt>
                <c:pt idx="55">
                  <c:v>3.6666666666666646E-2</c:v>
                </c:pt>
                <c:pt idx="56">
                  <c:v>3.7333333333333309E-2</c:v>
                </c:pt>
                <c:pt idx="57">
                  <c:v>3.7999999999999978E-2</c:v>
                </c:pt>
                <c:pt idx="58">
                  <c:v>3.8666666666666641E-2</c:v>
                </c:pt>
                <c:pt idx="59">
                  <c:v>3.9333333333333304E-2</c:v>
                </c:pt>
                <c:pt idx="60">
                  <c:v>3.9999999999999966E-2</c:v>
                </c:pt>
                <c:pt idx="61">
                  <c:v>4.0666666666666636E-2</c:v>
                </c:pt>
                <c:pt idx="62">
                  <c:v>4.1333333333333298E-2</c:v>
                </c:pt>
                <c:pt idx="63">
                  <c:v>4.1999999999999961E-2</c:v>
                </c:pt>
                <c:pt idx="64">
                  <c:v>4.2666666666666631E-2</c:v>
                </c:pt>
                <c:pt idx="65">
                  <c:v>4.3333333333333293E-2</c:v>
                </c:pt>
                <c:pt idx="66">
                  <c:v>4.3999999999999956E-2</c:v>
                </c:pt>
                <c:pt idx="67">
                  <c:v>4.4666666666666625E-2</c:v>
                </c:pt>
                <c:pt idx="68">
                  <c:v>4.5333333333333288E-2</c:v>
                </c:pt>
                <c:pt idx="69">
                  <c:v>4.5999999999999951E-2</c:v>
                </c:pt>
                <c:pt idx="70">
                  <c:v>4.666666666666662E-2</c:v>
                </c:pt>
                <c:pt idx="71">
                  <c:v>4.7333333333333283E-2</c:v>
                </c:pt>
                <c:pt idx="72">
                  <c:v>4.7999999999999945E-2</c:v>
                </c:pt>
                <c:pt idx="73">
                  <c:v>4.8666666666666615E-2</c:v>
                </c:pt>
                <c:pt idx="74">
                  <c:v>4.9333333333333285E-2</c:v>
                </c:pt>
                <c:pt idx="75">
                  <c:v>4.9999999999999947E-2</c:v>
                </c:pt>
                <c:pt idx="76">
                  <c:v>5.066666666666661E-2</c:v>
                </c:pt>
                <c:pt idx="77">
                  <c:v>5.1333333333333279E-2</c:v>
                </c:pt>
                <c:pt idx="78">
                  <c:v>5.1999999999999942E-2</c:v>
                </c:pt>
                <c:pt idx="79">
                  <c:v>5.2666666666666605E-2</c:v>
                </c:pt>
                <c:pt idx="80">
                  <c:v>5.3333333333333274E-2</c:v>
                </c:pt>
                <c:pt idx="81">
                  <c:v>5.3999999999999937E-2</c:v>
                </c:pt>
                <c:pt idx="82">
                  <c:v>5.46666666666666E-2</c:v>
                </c:pt>
                <c:pt idx="83">
                  <c:v>5.5333333333333262E-2</c:v>
                </c:pt>
                <c:pt idx="84">
                  <c:v>5.5999999999999932E-2</c:v>
                </c:pt>
                <c:pt idx="85">
                  <c:v>5.6666666666666594E-2</c:v>
                </c:pt>
                <c:pt idx="86">
                  <c:v>5.7333333333333257E-2</c:v>
                </c:pt>
                <c:pt idx="87">
                  <c:v>5.7999999999999927E-2</c:v>
                </c:pt>
                <c:pt idx="88">
                  <c:v>5.8666666666666589E-2</c:v>
                </c:pt>
                <c:pt idx="89">
                  <c:v>5.9333333333333252E-2</c:v>
                </c:pt>
                <c:pt idx="90">
                  <c:v>5.9999999999999921E-2</c:v>
                </c:pt>
                <c:pt idx="91">
                  <c:v>6.0666666666666584E-2</c:v>
                </c:pt>
                <c:pt idx="92">
                  <c:v>6.1333333333333247E-2</c:v>
                </c:pt>
                <c:pt idx="93">
                  <c:v>6.1999999999999916E-2</c:v>
                </c:pt>
                <c:pt idx="94">
                  <c:v>6.2666666666666579E-2</c:v>
                </c:pt>
                <c:pt idx="95">
                  <c:v>6.3333333333333242E-2</c:v>
                </c:pt>
                <c:pt idx="96">
                  <c:v>6.3999999999999904E-2</c:v>
                </c:pt>
                <c:pt idx="97">
                  <c:v>6.4666666666666567E-2</c:v>
                </c:pt>
                <c:pt idx="98">
                  <c:v>6.5333333333333243E-2</c:v>
                </c:pt>
                <c:pt idx="99">
                  <c:v>6.5999999999999906E-2</c:v>
                </c:pt>
                <c:pt idx="100">
                  <c:v>6.6666666666666569E-2</c:v>
                </c:pt>
                <c:pt idx="101">
                  <c:v>6.7333333333333231E-2</c:v>
                </c:pt>
                <c:pt idx="102">
                  <c:v>6.7999999999999894E-2</c:v>
                </c:pt>
                <c:pt idx="103">
                  <c:v>6.8666666666666556E-2</c:v>
                </c:pt>
                <c:pt idx="104">
                  <c:v>6.9333333333333219E-2</c:v>
                </c:pt>
                <c:pt idx="105">
                  <c:v>6.9999999999999896E-2</c:v>
                </c:pt>
                <c:pt idx="106">
                  <c:v>7.0666666666666558E-2</c:v>
                </c:pt>
                <c:pt idx="107">
                  <c:v>7.1333333333333221E-2</c:v>
                </c:pt>
                <c:pt idx="108">
                  <c:v>7.1999999999999884E-2</c:v>
                </c:pt>
                <c:pt idx="109">
                  <c:v>7.2666666666666546E-2</c:v>
                </c:pt>
                <c:pt idx="110">
                  <c:v>7.3333333333333209E-2</c:v>
                </c:pt>
                <c:pt idx="111">
                  <c:v>7.3999999999999885E-2</c:v>
                </c:pt>
                <c:pt idx="112">
                  <c:v>7.4666666666666548E-2</c:v>
                </c:pt>
                <c:pt idx="113">
                  <c:v>7.5333333333333211E-2</c:v>
                </c:pt>
                <c:pt idx="114">
                  <c:v>7.5999999999999873E-2</c:v>
                </c:pt>
                <c:pt idx="115">
                  <c:v>7.6666666666666536E-2</c:v>
                </c:pt>
                <c:pt idx="116">
                  <c:v>7.7333333333333198E-2</c:v>
                </c:pt>
                <c:pt idx="117">
                  <c:v>7.7999999999999875E-2</c:v>
                </c:pt>
                <c:pt idx="118">
                  <c:v>7.8666666666666538E-2</c:v>
                </c:pt>
                <c:pt idx="119">
                  <c:v>7.93333333333332E-2</c:v>
                </c:pt>
                <c:pt idx="120">
                  <c:v>7.9999999999999863E-2</c:v>
                </c:pt>
                <c:pt idx="121">
                  <c:v>8.0666666666666526E-2</c:v>
                </c:pt>
                <c:pt idx="122">
                  <c:v>8.1333333333333188E-2</c:v>
                </c:pt>
                <c:pt idx="123">
                  <c:v>8.1999999999999851E-2</c:v>
                </c:pt>
                <c:pt idx="124">
                  <c:v>8.2666666666666527E-2</c:v>
                </c:pt>
                <c:pt idx="125">
                  <c:v>8.333333333333319E-2</c:v>
                </c:pt>
                <c:pt idx="126">
                  <c:v>8.3999999999999853E-2</c:v>
                </c:pt>
                <c:pt idx="127">
                  <c:v>8.4666666666666515E-2</c:v>
                </c:pt>
                <c:pt idx="128">
                  <c:v>8.5333333333333178E-2</c:v>
                </c:pt>
                <c:pt idx="129">
                  <c:v>8.599999999999984E-2</c:v>
                </c:pt>
                <c:pt idx="130">
                  <c:v>8.6666666666666517E-2</c:v>
                </c:pt>
                <c:pt idx="131">
                  <c:v>8.733333333333318E-2</c:v>
                </c:pt>
                <c:pt idx="132">
                  <c:v>8.7999999999999842E-2</c:v>
                </c:pt>
                <c:pt idx="133">
                  <c:v>8.8666666666666505E-2</c:v>
                </c:pt>
                <c:pt idx="134">
                  <c:v>8.9333333333333168E-2</c:v>
                </c:pt>
                <c:pt idx="135">
                  <c:v>8.999999999999983E-2</c:v>
                </c:pt>
                <c:pt idx="136">
                  <c:v>9.0666666666666507E-2</c:v>
                </c:pt>
                <c:pt idx="137">
                  <c:v>9.1333333333333169E-2</c:v>
                </c:pt>
                <c:pt idx="138">
                  <c:v>9.1999999999999832E-2</c:v>
                </c:pt>
                <c:pt idx="139">
                  <c:v>9.2666666666666495E-2</c:v>
                </c:pt>
                <c:pt idx="140">
                  <c:v>9.3333333333333157E-2</c:v>
                </c:pt>
                <c:pt idx="141">
                  <c:v>9.399999999999982E-2</c:v>
                </c:pt>
                <c:pt idx="142">
                  <c:v>9.4666666666666482E-2</c:v>
                </c:pt>
                <c:pt idx="143">
                  <c:v>9.5333333333333159E-2</c:v>
                </c:pt>
                <c:pt idx="144">
                  <c:v>9.5999999999999822E-2</c:v>
                </c:pt>
                <c:pt idx="145">
                  <c:v>9.6666666666666484E-2</c:v>
                </c:pt>
                <c:pt idx="146">
                  <c:v>9.7333333333333147E-2</c:v>
                </c:pt>
                <c:pt idx="147">
                  <c:v>9.7999999999999823E-2</c:v>
                </c:pt>
                <c:pt idx="148">
                  <c:v>9.86666666666665E-2</c:v>
                </c:pt>
                <c:pt idx="149">
                  <c:v>9.9333333333333176E-2</c:v>
                </c:pt>
                <c:pt idx="150">
                  <c:v>9.9999999999999853E-2</c:v>
                </c:pt>
              </c:numCache>
            </c:numRef>
          </c:xVal>
          <c:yVal>
            <c:numRef>
              <c:f>'Burland damage classification'!$CA$16:$CA$166</c:f>
              <c:numCache>
                <c:formatCode>0.0000000000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07-4B19-8389-F93EE4CB7D38}"/>
            </c:ext>
          </c:extLst>
        </c:ser>
        <c:ser>
          <c:idx val="3"/>
          <c:order val="3"/>
          <c:tx>
            <c:strRef>
              <c:f>'Burland damage classification'!$Q$37:$S$37</c:f>
              <c:strCache>
                <c:ptCount val="1"/>
                <c:pt idx="0">
                  <c:v>eps_lim= 0.200 %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'Burland damage classification'!$CN$16:$CN$316</c:f>
              <c:numCache>
                <c:formatCode>General</c:formatCode>
                <c:ptCount val="301"/>
                <c:pt idx="0">
                  <c:v>0</c:v>
                </c:pt>
                <c:pt idx="1">
                  <c:v>6.6666666666666664E-4</c:v>
                </c:pt>
                <c:pt idx="2">
                  <c:v>1.3333333333333333E-3</c:v>
                </c:pt>
                <c:pt idx="3">
                  <c:v>2E-3</c:v>
                </c:pt>
                <c:pt idx="4">
                  <c:v>2.6666666666666666E-3</c:v>
                </c:pt>
                <c:pt idx="5">
                  <c:v>3.3333333333333335E-3</c:v>
                </c:pt>
                <c:pt idx="6">
                  <c:v>4.0000000000000001E-3</c:v>
                </c:pt>
                <c:pt idx="7">
                  <c:v>4.6666666666666671E-3</c:v>
                </c:pt>
                <c:pt idx="8">
                  <c:v>5.333333333333334E-3</c:v>
                </c:pt>
                <c:pt idx="9">
                  <c:v>6.000000000000001E-3</c:v>
                </c:pt>
                <c:pt idx="10">
                  <c:v>6.6666666666666671E-3</c:v>
                </c:pt>
                <c:pt idx="11">
                  <c:v>7.3333333333333332E-3</c:v>
                </c:pt>
                <c:pt idx="12">
                  <c:v>8.0000000000000002E-3</c:v>
                </c:pt>
                <c:pt idx="13">
                  <c:v>8.6666666666666663E-3</c:v>
                </c:pt>
                <c:pt idx="14">
                  <c:v>9.3333333333333324E-3</c:v>
                </c:pt>
                <c:pt idx="15">
                  <c:v>9.9999999999999985E-3</c:v>
                </c:pt>
                <c:pt idx="16">
                  <c:v>1.0666666666666665E-2</c:v>
                </c:pt>
                <c:pt idx="17">
                  <c:v>1.1333333333333331E-2</c:v>
                </c:pt>
                <c:pt idx="18">
                  <c:v>1.1999999999999997E-2</c:v>
                </c:pt>
                <c:pt idx="19">
                  <c:v>1.2666666666666663E-2</c:v>
                </c:pt>
                <c:pt idx="20">
                  <c:v>1.3333333333333331E-2</c:v>
                </c:pt>
                <c:pt idx="21">
                  <c:v>1.3999999999999999E-2</c:v>
                </c:pt>
                <c:pt idx="22">
                  <c:v>1.4666666666666666E-2</c:v>
                </c:pt>
                <c:pt idx="23">
                  <c:v>1.5333333333333334E-2</c:v>
                </c:pt>
                <c:pt idx="24">
                  <c:v>1.6E-2</c:v>
                </c:pt>
                <c:pt idx="25">
                  <c:v>1.666666666666667E-2</c:v>
                </c:pt>
                <c:pt idx="26">
                  <c:v>1.7333333333333336E-2</c:v>
                </c:pt>
                <c:pt idx="27">
                  <c:v>1.8000000000000002E-2</c:v>
                </c:pt>
                <c:pt idx="28">
                  <c:v>1.8666666666666672E-2</c:v>
                </c:pt>
                <c:pt idx="29">
                  <c:v>1.9333333333333338E-2</c:v>
                </c:pt>
                <c:pt idx="30">
                  <c:v>2.0000000000000007E-2</c:v>
                </c:pt>
                <c:pt idx="31">
                  <c:v>2.0666666666666673E-2</c:v>
                </c:pt>
                <c:pt idx="32">
                  <c:v>2.1333333333333343E-2</c:v>
                </c:pt>
                <c:pt idx="33">
                  <c:v>2.2000000000000009E-2</c:v>
                </c:pt>
                <c:pt idx="34">
                  <c:v>2.2666666666666675E-2</c:v>
                </c:pt>
                <c:pt idx="35">
                  <c:v>2.3333333333333345E-2</c:v>
                </c:pt>
                <c:pt idx="36">
                  <c:v>2.4000000000000011E-2</c:v>
                </c:pt>
                <c:pt idx="37">
                  <c:v>2.466666666666668E-2</c:v>
                </c:pt>
                <c:pt idx="38">
                  <c:v>2.5333333333333343E-2</c:v>
                </c:pt>
                <c:pt idx="39">
                  <c:v>2.6000000000000009E-2</c:v>
                </c:pt>
                <c:pt idx="40">
                  <c:v>2.6666666666666672E-2</c:v>
                </c:pt>
                <c:pt idx="41">
                  <c:v>2.7333333333333338E-2</c:v>
                </c:pt>
                <c:pt idx="42">
                  <c:v>2.8000000000000004E-2</c:v>
                </c:pt>
                <c:pt idx="43">
                  <c:v>2.8666666666666667E-2</c:v>
                </c:pt>
                <c:pt idx="44">
                  <c:v>2.9333333333333333E-2</c:v>
                </c:pt>
                <c:pt idx="45">
                  <c:v>0.03</c:v>
                </c:pt>
                <c:pt idx="46">
                  <c:v>3.0666666666666662E-2</c:v>
                </c:pt>
                <c:pt idx="47">
                  <c:v>3.1333333333333324E-2</c:v>
                </c:pt>
                <c:pt idx="48">
                  <c:v>3.1999999999999994E-2</c:v>
                </c:pt>
                <c:pt idx="49">
                  <c:v>3.2666666666666656E-2</c:v>
                </c:pt>
                <c:pt idx="50">
                  <c:v>3.3333333333333319E-2</c:v>
                </c:pt>
                <c:pt idx="51">
                  <c:v>3.3999999999999989E-2</c:v>
                </c:pt>
                <c:pt idx="52">
                  <c:v>3.4666666666666651E-2</c:v>
                </c:pt>
                <c:pt idx="53">
                  <c:v>3.5333333333333314E-2</c:v>
                </c:pt>
                <c:pt idx="54">
                  <c:v>3.5999999999999983E-2</c:v>
                </c:pt>
                <c:pt idx="55">
                  <c:v>3.6666666666666646E-2</c:v>
                </c:pt>
                <c:pt idx="56">
                  <c:v>3.7333333333333309E-2</c:v>
                </c:pt>
                <c:pt idx="57">
                  <c:v>3.7999999999999978E-2</c:v>
                </c:pt>
                <c:pt idx="58">
                  <c:v>3.8666666666666641E-2</c:v>
                </c:pt>
                <c:pt idx="59">
                  <c:v>3.9333333333333304E-2</c:v>
                </c:pt>
                <c:pt idx="60">
                  <c:v>3.9999999999999966E-2</c:v>
                </c:pt>
                <c:pt idx="61">
                  <c:v>4.0666666666666636E-2</c:v>
                </c:pt>
                <c:pt idx="62">
                  <c:v>4.1333333333333298E-2</c:v>
                </c:pt>
                <c:pt idx="63">
                  <c:v>4.1999999999999961E-2</c:v>
                </c:pt>
                <c:pt idx="64">
                  <c:v>4.2666666666666631E-2</c:v>
                </c:pt>
                <c:pt idx="65">
                  <c:v>4.3333333333333293E-2</c:v>
                </c:pt>
                <c:pt idx="66">
                  <c:v>4.3999999999999956E-2</c:v>
                </c:pt>
                <c:pt idx="67">
                  <c:v>4.4666666666666625E-2</c:v>
                </c:pt>
                <c:pt idx="68">
                  <c:v>4.5333333333333288E-2</c:v>
                </c:pt>
                <c:pt idx="69">
                  <c:v>4.5999999999999951E-2</c:v>
                </c:pt>
                <c:pt idx="70">
                  <c:v>4.666666666666662E-2</c:v>
                </c:pt>
                <c:pt idx="71">
                  <c:v>4.7333333333333283E-2</c:v>
                </c:pt>
                <c:pt idx="72">
                  <c:v>4.7999999999999945E-2</c:v>
                </c:pt>
                <c:pt idx="73">
                  <c:v>4.8666666666666615E-2</c:v>
                </c:pt>
                <c:pt idx="74">
                  <c:v>4.9333333333333285E-2</c:v>
                </c:pt>
                <c:pt idx="75">
                  <c:v>4.9999999999999947E-2</c:v>
                </c:pt>
                <c:pt idx="76">
                  <c:v>5.066666666666661E-2</c:v>
                </c:pt>
                <c:pt idx="77">
                  <c:v>5.1333333333333279E-2</c:v>
                </c:pt>
                <c:pt idx="78">
                  <c:v>5.1999999999999942E-2</c:v>
                </c:pt>
                <c:pt idx="79">
                  <c:v>5.2666666666666605E-2</c:v>
                </c:pt>
                <c:pt idx="80">
                  <c:v>5.3333333333333274E-2</c:v>
                </c:pt>
                <c:pt idx="81">
                  <c:v>5.3999999999999937E-2</c:v>
                </c:pt>
                <c:pt idx="82">
                  <c:v>5.46666666666666E-2</c:v>
                </c:pt>
                <c:pt idx="83">
                  <c:v>5.5333333333333262E-2</c:v>
                </c:pt>
                <c:pt idx="84">
                  <c:v>5.5999999999999932E-2</c:v>
                </c:pt>
                <c:pt idx="85">
                  <c:v>5.6666666666666594E-2</c:v>
                </c:pt>
                <c:pt idx="86">
                  <c:v>5.7333333333333257E-2</c:v>
                </c:pt>
                <c:pt idx="87">
                  <c:v>5.7999999999999927E-2</c:v>
                </c:pt>
                <c:pt idx="88">
                  <c:v>5.8666666666666589E-2</c:v>
                </c:pt>
                <c:pt idx="89">
                  <c:v>5.9333333333333252E-2</c:v>
                </c:pt>
                <c:pt idx="90">
                  <c:v>5.9999999999999921E-2</c:v>
                </c:pt>
                <c:pt idx="91">
                  <c:v>6.0666666666666584E-2</c:v>
                </c:pt>
                <c:pt idx="92">
                  <c:v>6.1333333333333247E-2</c:v>
                </c:pt>
                <c:pt idx="93">
                  <c:v>6.1999999999999916E-2</c:v>
                </c:pt>
                <c:pt idx="94">
                  <c:v>6.2666666666666579E-2</c:v>
                </c:pt>
                <c:pt idx="95">
                  <c:v>6.3333333333333242E-2</c:v>
                </c:pt>
                <c:pt idx="96">
                  <c:v>6.3999999999999904E-2</c:v>
                </c:pt>
                <c:pt idx="97">
                  <c:v>6.4666666666666567E-2</c:v>
                </c:pt>
                <c:pt idx="98">
                  <c:v>6.5333333333333243E-2</c:v>
                </c:pt>
                <c:pt idx="99">
                  <c:v>6.5999999999999906E-2</c:v>
                </c:pt>
                <c:pt idx="100">
                  <c:v>6.6666666666666569E-2</c:v>
                </c:pt>
                <c:pt idx="101">
                  <c:v>6.7333333333333231E-2</c:v>
                </c:pt>
                <c:pt idx="102">
                  <c:v>6.7999999999999894E-2</c:v>
                </c:pt>
                <c:pt idx="103">
                  <c:v>6.8666666666666556E-2</c:v>
                </c:pt>
                <c:pt idx="104">
                  <c:v>6.9333333333333219E-2</c:v>
                </c:pt>
                <c:pt idx="105">
                  <c:v>6.9999999999999896E-2</c:v>
                </c:pt>
                <c:pt idx="106">
                  <c:v>7.0666666666666558E-2</c:v>
                </c:pt>
                <c:pt idx="107">
                  <c:v>7.1333333333333221E-2</c:v>
                </c:pt>
                <c:pt idx="108">
                  <c:v>7.1999999999999884E-2</c:v>
                </c:pt>
                <c:pt idx="109">
                  <c:v>7.2666666666666546E-2</c:v>
                </c:pt>
                <c:pt idx="110">
                  <c:v>7.3333333333333209E-2</c:v>
                </c:pt>
                <c:pt idx="111">
                  <c:v>7.3999999999999885E-2</c:v>
                </c:pt>
                <c:pt idx="112">
                  <c:v>7.4666666666666548E-2</c:v>
                </c:pt>
                <c:pt idx="113">
                  <c:v>7.5333333333333211E-2</c:v>
                </c:pt>
                <c:pt idx="114">
                  <c:v>7.5999999999999873E-2</c:v>
                </c:pt>
                <c:pt idx="115">
                  <c:v>7.6666666666666536E-2</c:v>
                </c:pt>
                <c:pt idx="116">
                  <c:v>7.7333333333333198E-2</c:v>
                </c:pt>
                <c:pt idx="117">
                  <c:v>7.7999999999999875E-2</c:v>
                </c:pt>
                <c:pt idx="118">
                  <c:v>7.8666666666666538E-2</c:v>
                </c:pt>
                <c:pt idx="119">
                  <c:v>7.93333333333332E-2</c:v>
                </c:pt>
                <c:pt idx="120">
                  <c:v>7.9999999999999863E-2</c:v>
                </c:pt>
                <c:pt idx="121">
                  <c:v>8.0666666666666526E-2</c:v>
                </c:pt>
                <c:pt idx="122">
                  <c:v>8.1333333333333188E-2</c:v>
                </c:pt>
                <c:pt idx="123">
                  <c:v>8.1999999999999851E-2</c:v>
                </c:pt>
                <c:pt idx="124">
                  <c:v>8.2666666666666527E-2</c:v>
                </c:pt>
                <c:pt idx="125">
                  <c:v>8.333333333333319E-2</c:v>
                </c:pt>
                <c:pt idx="126">
                  <c:v>8.3999999999999853E-2</c:v>
                </c:pt>
                <c:pt idx="127">
                  <c:v>8.4666666666666515E-2</c:v>
                </c:pt>
                <c:pt idx="128">
                  <c:v>8.5333333333333178E-2</c:v>
                </c:pt>
                <c:pt idx="129">
                  <c:v>8.599999999999984E-2</c:v>
                </c:pt>
                <c:pt idx="130">
                  <c:v>8.6666666666666517E-2</c:v>
                </c:pt>
                <c:pt idx="131">
                  <c:v>8.733333333333318E-2</c:v>
                </c:pt>
                <c:pt idx="132">
                  <c:v>8.7999999999999842E-2</c:v>
                </c:pt>
                <c:pt idx="133">
                  <c:v>8.8666666666666505E-2</c:v>
                </c:pt>
                <c:pt idx="134">
                  <c:v>8.9333333333333168E-2</c:v>
                </c:pt>
                <c:pt idx="135">
                  <c:v>8.999999999999983E-2</c:v>
                </c:pt>
                <c:pt idx="136">
                  <c:v>9.0666666666666507E-2</c:v>
                </c:pt>
                <c:pt idx="137">
                  <c:v>9.1333333333333169E-2</c:v>
                </c:pt>
                <c:pt idx="138">
                  <c:v>9.1999999999999832E-2</c:v>
                </c:pt>
                <c:pt idx="139">
                  <c:v>9.2666666666666495E-2</c:v>
                </c:pt>
                <c:pt idx="140">
                  <c:v>9.3333333333333157E-2</c:v>
                </c:pt>
                <c:pt idx="141">
                  <c:v>9.399999999999982E-2</c:v>
                </c:pt>
                <c:pt idx="142">
                  <c:v>9.4666666666666482E-2</c:v>
                </c:pt>
                <c:pt idx="143">
                  <c:v>9.5333333333333159E-2</c:v>
                </c:pt>
                <c:pt idx="144">
                  <c:v>9.5999999999999822E-2</c:v>
                </c:pt>
                <c:pt idx="145">
                  <c:v>9.6666666666666484E-2</c:v>
                </c:pt>
                <c:pt idx="146">
                  <c:v>9.7333333333333147E-2</c:v>
                </c:pt>
                <c:pt idx="147">
                  <c:v>9.7999999999999823E-2</c:v>
                </c:pt>
                <c:pt idx="148">
                  <c:v>9.86666666666665E-2</c:v>
                </c:pt>
                <c:pt idx="149">
                  <c:v>9.9333333333333176E-2</c:v>
                </c:pt>
                <c:pt idx="150">
                  <c:v>9.9999999999999853E-2</c:v>
                </c:pt>
                <c:pt idx="151">
                  <c:v>0.10066666666666653</c:v>
                </c:pt>
                <c:pt idx="152">
                  <c:v>0.10133333333333321</c:v>
                </c:pt>
                <c:pt idx="153">
                  <c:v>0.10199999999999988</c:v>
                </c:pt>
                <c:pt idx="154">
                  <c:v>0.10266666666666656</c:v>
                </c:pt>
                <c:pt idx="155">
                  <c:v>0.10333333333333322</c:v>
                </c:pt>
                <c:pt idx="156">
                  <c:v>0.1039999999999999</c:v>
                </c:pt>
                <c:pt idx="157">
                  <c:v>0.10466666666666657</c:v>
                </c:pt>
                <c:pt idx="158">
                  <c:v>0.10533333333333325</c:v>
                </c:pt>
                <c:pt idx="159">
                  <c:v>0.10599999999999993</c:v>
                </c:pt>
                <c:pt idx="160">
                  <c:v>0.1066666666666666</c:v>
                </c:pt>
                <c:pt idx="161">
                  <c:v>0.10733333333333328</c:v>
                </c:pt>
                <c:pt idx="162">
                  <c:v>0.10799999999999996</c:v>
                </c:pt>
                <c:pt idx="163">
                  <c:v>0.10866666666666663</c:v>
                </c:pt>
                <c:pt idx="164">
                  <c:v>0.10933333333333331</c:v>
                </c:pt>
                <c:pt idx="165">
                  <c:v>0.10999999999999999</c:v>
                </c:pt>
                <c:pt idx="166">
                  <c:v>0.11066666666666666</c:v>
                </c:pt>
                <c:pt idx="167">
                  <c:v>0.11133333333333334</c:v>
                </c:pt>
                <c:pt idx="168">
                  <c:v>0.11200000000000002</c:v>
                </c:pt>
                <c:pt idx="169">
                  <c:v>0.11266666666666669</c:v>
                </c:pt>
                <c:pt idx="170">
                  <c:v>0.11333333333333337</c:v>
                </c:pt>
                <c:pt idx="171">
                  <c:v>0.11400000000000005</c:v>
                </c:pt>
                <c:pt idx="172">
                  <c:v>0.11466666666666671</c:v>
                </c:pt>
                <c:pt idx="173">
                  <c:v>0.11533333333333338</c:v>
                </c:pt>
                <c:pt idx="174">
                  <c:v>0.11600000000000006</c:v>
                </c:pt>
                <c:pt idx="175">
                  <c:v>0.11666666666666674</c:v>
                </c:pt>
                <c:pt idx="176">
                  <c:v>0.11733333333333341</c:v>
                </c:pt>
                <c:pt idx="177">
                  <c:v>0.11800000000000009</c:v>
                </c:pt>
                <c:pt idx="178">
                  <c:v>0.11866666666666677</c:v>
                </c:pt>
                <c:pt idx="179">
                  <c:v>0.11933333333333344</c:v>
                </c:pt>
                <c:pt idx="180">
                  <c:v>0.12000000000000012</c:v>
                </c:pt>
                <c:pt idx="181">
                  <c:v>0.1206666666666668</c:v>
                </c:pt>
                <c:pt idx="182">
                  <c:v>0.12133333333333347</c:v>
                </c:pt>
                <c:pt idx="183">
                  <c:v>0.12200000000000015</c:v>
                </c:pt>
                <c:pt idx="184">
                  <c:v>0.12266666666666683</c:v>
                </c:pt>
                <c:pt idx="185">
                  <c:v>0.1233333333333335</c:v>
                </c:pt>
                <c:pt idx="186">
                  <c:v>0.12400000000000018</c:v>
                </c:pt>
                <c:pt idx="187">
                  <c:v>0.12466666666666684</c:v>
                </c:pt>
                <c:pt idx="188">
                  <c:v>0.12533333333333352</c:v>
                </c:pt>
                <c:pt idx="189">
                  <c:v>0.1260000000000002</c:v>
                </c:pt>
                <c:pt idx="190">
                  <c:v>0.12666666666666687</c:v>
                </c:pt>
                <c:pt idx="191">
                  <c:v>0.12733333333333355</c:v>
                </c:pt>
                <c:pt idx="192">
                  <c:v>0.12800000000000022</c:v>
                </c:pt>
                <c:pt idx="193">
                  <c:v>0.1286666666666669</c:v>
                </c:pt>
                <c:pt idx="194">
                  <c:v>0.12933333333333358</c:v>
                </c:pt>
                <c:pt idx="195">
                  <c:v>0.13000000000000025</c:v>
                </c:pt>
                <c:pt idx="196">
                  <c:v>0.13066666666666693</c:v>
                </c:pt>
                <c:pt idx="197">
                  <c:v>0.13133333333333361</c:v>
                </c:pt>
                <c:pt idx="198">
                  <c:v>0.13200000000000028</c:v>
                </c:pt>
                <c:pt idx="199">
                  <c:v>0.13266666666666696</c:v>
                </c:pt>
                <c:pt idx="200">
                  <c:v>0.13333333333333364</c:v>
                </c:pt>
                <c:pt idx="201">
                  <c:v>0.13400000000000031</c:v>
                </c:pt>
                <c:pt idx="202">
                  <c:v>0.13466666666666699</c:v>
                </c:pt>
                <c:pt idx="203">
                  <c:v>0.13533333333333367</c:v>
                </c:pt>
                <c:pt idx="204">
                  <c:v>0.13600000000000034</c:v>
                </c:pt>
                <c:pt idx="205">
                  <c:v>0.13666666666666702</c:v>
                </c:pt>
                <c:pt idx="206">
                  <c:v>0.1373333333333337</c:v>
                </c:pt>
                <c:pt idx="207">
                  <c:v>0.13800000000000037</c:v>
                </c:pt>
                <c:pt idx="208">
                  <c:v>0.13866666666666705</c:v>
                </c:pt>
                <c:pt idx="209">
                  <c:v>0.13933333333333373</c:v>
                </c:pt>
                <c:pt idx="210">
                  <c:v>0.1400000000000004</c:v>
                </c:pt>
                <c:pt idx="211">
                  <c:v>0.14066666666666705</c:v>
                </c:pt>
                <c:pt idx="212">
                  <c:v>0.14133333333333373</c:v>
                </c:pt>
                <c:pt idx="213">
                  <c:v>0.1420000000000004</c:v>
                </c:pt>
                <c:pt idx="214">
                  <c:v>0.14266666666666708</c:v>
                </c:pt>
                <c:pt idx="215">
                  <c:v>0.14333333333333376</c:v>
                </c:pt>
                <c:pt idx="216">
                  <c:v>0.14400000000000043</c:v>
                </c:pt>
                <c:pt idx="217">
                  <c:v>0.14466666666666711</c:v>
                </c:pt>
                <c:pt idx="218">
                  <c:v>0.14533333333333379</c:v>
                </c:pt>
                <c:pt idx="219">
                  <c:v>0.14600000000000046</c:v>
                </c:pt>
                <c:pt idx="220">
                  <c:v>0.14666666666666714</c:v>
                </c:pt>
                <c:pt idx="221">
                  <c:v>0.14733333333333382</c:v>
                </c:pt>
                <c:pt idx="222">
                  <c:v>0.14800000000000049</c:v>
                </c:pt>
                <c:pt idx="223">
                  <c:v>0.14866666666666717</c:v>
                </c:pt>
                <c:pt idx="224">
                  <c:v>0.14933333333333385</c:v>
                </c:pt>
                <c:pt idx="225">
                  <c:v>0.15000000000000052</c:v>
                </c:pt>
                <c:pt idx="226">
                  <c:v>0.1506666666666672</c:v>
                </c:pt>
                <c:pt idx="227">
                  <c:v>0.15133333333333387</c:v>
                </c:pt>
                <c:pt idx="228">
                  <c:v>0.15200000000000055</c:v>
                </c:pt>
                <c:pt idx="229">
                  <c:v>0.15266666666666723</c:v>
                </c:pt>
                <c:pt idx="230">
                  <c:v>0.1533333333333339</c:v>
                </c:pt>
                <c:pt idx="231">
                  <c:v>0.15400000000000058</c:v>
                </c:pt>
                <c:pt idx="232">
                  <c:v>0.15466666666666726</c:v>
                </c:pt>
                <c:pt idx="233">
                  <c:v>0.15533333333333393</c:v>
                </c:pt>
                <c:pt idx="234">
                  <c:v>0.15600000000000061</c:v>
                </c:pt>
                <c:pt idx="235">
                  <c:v>0.15666666666666729</c:v>
                </c:pt>
                <c:pt idx="236">
                  <c:v>0.15733333333333396</c:v>
                </c:pt>
                <c:pt idx="237">
                  <c:v>0.15800000000000064</c:v>
                </c:pt>
                <c:pt idx="238">
                  <c:v>0.15866666666666732</c:v>
                </c:pt>
                <c:pt idx="239">
                  <c:v>0.15933333333333399</c:v>
                </c:pt>
                <c:pt idx="240">
                  <c:v>0.16000000000000067</c:v>
                </c:pt>
                <c:pt idx="241">
                  <c:v>0.16066666666666735</c:v>
                </c:pt>
                <c:pt idx="242">
                  <c:v>0.16133333333333402</c:v>
                </c:pt>
                <c:pt idx="243">
                  <c:v>0.1620000000000007</c:v>
                </c:pt>
                <c:pt idx="244">
                  <c:v>0.16266666666666735</c:v>
                </c:pt>
                <c:pt idx="245">
                  <c:v>0.16333333333333402</c:v>
                </c:pt>
                <c:pt idx="246">
                  <c:v>0.1640000000000007</c:v>
                </c:pt>
                <c:pt idx="247">
                  <c:v>0.16466666666666738</c:v>
                </c:pt>
                <c:pt idx="248">
                  <c:v>0.16533333333333405</c:v>
                </c:pt>
                <c:pt idx="249">
                  <c:v>0.16600000000000073</c:v>
                </c:pt>
                <c:pt idx="250">
                  <c:v>0.16666666666666741</c:v>
                </c:pt>
                <c:pt idx="251">
                  <c:v>0.16733333333333408</c:v>
                </c:pt>
                <c:pt idx="252">
                  <c:v>0.16800000000000076</c:v>
                </c:pt>
                <c:pt idx="253">
                  <c:v>0.16866666666666744</c:v>
                </c:pt>
                <c:pt idx="254">
                  <c:v>0.16933333333333411</c:v>
                </c:pt>
                <c:pt idx="255">
                  <c:v>0.17000000000000079</c:v>
                </c:pt>
                <c:pt idx="256">
                  <c:v>0.17066666666666747</c:v>
                </c:pt>
                <c:pt idx="257">
                  <c:v>0.17133333333333414</c:v>
                </c:pt>
                <c:pt idx="258">
                  <c:v>0.17200000000000082</c:v>
                </c:pt>
                <c:pt idx="259">
                  <c:v>0.1726666666666675</c:v>
                </c:pt>
                <c:pt idx="260">
                  <c:v>0.17333333333333417</c:v>
                </c:pt>
                <c:pt idx="261">
                  <c:v>0.17400000000000085</c:v>
                </c:pt>
                <c:pt idx="262">
                  <c:v>0.17466666666666752</c:v>
                </c:pt>
                <c:pt idx="263">
                  <c:v>0.1753333333333342</c:v>
                </c:pt>
                <c:pt idx="264">
                  <c:v>0.17600000000000088</c:v>
                </c:pt>
                <c:pt idx="265">
                  <c:v>0.17666666666666755</c:v>
                </c:pt>
                <c:pt idx="266">
                  <c:v>0.17733333333333423</c:v>
                </c:pt>
                <c:pt idx="267">
                  <c:v>0.17800000000000091</c:v>
                </c:pt>
                <c:pt idx="268">
                  <c:v>0.17866666666666758</c:v>
                </c:pt>
                <c:pt idx="269">
                  <c:v>0.17933333333333426</c:v>
                </c:pt>
                <c:pt idx="270">
                  <c:v>0.18000000000000094</c:v>
                </c:pt>
                <c:pt idx="271">
                  <c:v>0.18066666666666761</c:v>
                </c:pt>
                <c:pt idx="272">
                  <c:v>0.18133333333333429</c:v>
                </c:pt>
                <c:pt idx="273">
                  <c:v>0.18200000000000097</c:v>
                </c:pt>
                <c:pt idx="274">
                  <c:v>0.18266666666666764</c:v>
                </c:pt>
                <c:pt idx="275">
                  <c:v>0.18333333333333429</c:v>
                </c:pt>
                <c:pt idx="276">
                  <c:v>0.18400000000000097</c:v>
                </c:pt>
                <c:pt idx="277">
                  <c:v>0.18466666666666764</c:v>
                </c:pt>
                <c:pt idx="278">
                  <c:v>0.18533333333333432</c:v>
                </c:pt>
                <c:pt idx="279">
                  <c:v>0.186000000000001</c:v>
                </c:pt>
                <c:pt idx="280">
                  <c:v>0.18666666666666767</c:v>
                </c:pt>
                <c:pt idx="281">
                  <c:v>0.18733333333333435</c:v>
                </c:pt>
                <c:pt idx="282">
                  <c:v>0.18800000000000103</c:v>
                </c:pt>
                <c:pt idx="283">
                  <c:v>0.1886666666666677</c:v>
                </c:pt>
                <c:pt idx="284">
                  <c:v>0.18933333333333438</c:v>
                </c:pt>
                <c:pt idx="285">
                  <c:v>0.19000000000000106</c:v>
                </c:pt>
                <c:pt idx="286">
                  <c:v>0.19066666666666773</c:v>
                </c:pt>
                <c:pt idx="287">
                  <c:v>0.19133333333333441</c:v>
                </c:pt>
                <c:pt idx="288">
                  <c:v>0.19200000000000109</c:v>
                </c:pt>
                <c:pt idx="289">
                  <c:v>0.19266666666666776</c:v>
                </c:pt>
                <c:pt idx="290">
                  <c:v>0.19333333333333444</c:v>
                </c:pt>
                <c:pt idx="291">
                  <c:v>0.19400000000000112</c:v>
                </c:pt>
                <c:pt idx="292">
                  <c:v>0.19466666666666779</c:v>
                </c:pt>
                <c:pt idx="293">
                  <c:v>0.19533333333333447</c:v>
                </c:pt>
                <c:pt idx="294">
                  <c:v>0.19600000000000112</c:v>
                </c:pt>
                <c:pt idx="295">
                  <c:v>0.19666666666666777</c:v>
                </c:pt>
                <c:pt idx="296">
                  <c:v>0.19733333333333442</c:v>
                </c:pt>
                <c:pt idx="297">
                  <c:v>0.19800000000000109</c:v>
                </c:pt>
                <c:pt idx="298">
                  <c:v>0.19866666666666774</c:v>
                </c:pt>
                <c:pt idx="299">
                  <c:v>0.19933333333333439</c:v>
                </c:pt>
                <c:pt idx="300">
                  <c:v>0.20000000000000104</c:v>
                </c:pt>
              </c:numCache>
            </c:numRef>
          </c:xVal>
          <c:yVal>
            <c:numRef>
              <c:f>'Burland damage classification'!$CJ$16:$CJ$316</c:f>
              <c:numCache>
                <c:formatCode>0.0000000000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E07-4B19-8389-F93EE4CB7D38}"/>
            </c:ext>
          </c:extLst>
        </c:ser>
        <c:ser>
          <c:idx val="4"/>
          <c:order val="4"/>
          <c:tx>
            <c:strRef>
              <c:f>'Burland damage classification'!$Q$10:$Q$11</c:f>
              <c:strCache>
                <c:ptCount val="2"/>
                <c:pt idx="0">
                  <c:v>L2/H=</c:v>
                </c:pt>
                <c:pt idx="1">
                  <c:v>No building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'Burland damage classification'!$O$9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'Burland damage classification'!$O$9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E07-4B19-8389-F93EE4CB7D38}"/>
            </c:ext>
          </c:extLst>
        </c:ser>
        <c:ser>
          <c:idx val="5"/>
          <c:order val="5"/>
          <c:tx>
            <c:v>L2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'Burland damage classification'!$EW$45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'Burland damage classification'!$EV$45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E07-4B19-8389-F93EE4CB7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963264"/>
        <c:axId val="293994496"/>
      </c:scatterChart>
      <c:valAx>
        <c:axId val="29396326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 sz="800" b="1" i="0" u="none" strike="noStrike" baseline="0">
                    <a:solidFill>
                      <a:srgbClr val="000000"/>
                    </a:solidFill>
                    <a:latin typeface="GreekC"/>
                    <a:cs typeface="GreekC"/>
                  </a:rPr>
                  <a:t>e</a:t>
                </a:r>
                <a:r>
                  <a:rPr lang="it-IT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h [%]</a:t>
                </a:r>
              </a:p>
            </c:rich>
          </c:tx>
          <c:layout>
            <c:manualLayout>
              <c:xMode val="edge"/>
              <c:yMode val="edge"/>
              <c:x val="0.49754500818330605"/>
              <c:y val="0.920141805191017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3994496"/>
        <c:crosses val="autoZero"/>
        <c:crossBetween val="midCat"/>
      </c:valAx>
      <c:valAx>
        <c:axId val="29399449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 sz="800" b="1" i="0" u="none" strike="noStrike" baseline="0">
                    <a:solidFill>
                      <a:srgbClr val="000000"/>
                    </a:solidFill>
                    <a:latin typeface="GreekC"/>
                    <a:cs typeface="GreekC"/>
                  </a:rPr>
                  <a:t>D</a:t>
                </a:r>
                <a:r>
                  <a:rPr lang="it-IT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/L[%]</a:t>
                </a:r>
              </a:p>
            </c:rich>
          </c:tx>
          <c:layout>
            <c:manualLayout>
              <c:xMode val="edge"/>
              <c:yMode val="edge"/>
              <c:x val="8.1833060556464818E-3"/>
              <c:y val="0.4409736803732866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396326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egendEntry>
        <c:idx val="4"/>
        <c:txPr>
          <a:bodyPr/>
          <a:lstStyle/>
          <a:p>
            <a:pPr>
              <a:defRPr sz="64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</c:legendEntry>
      <c:legendEntry>
        <c:idx val="5"/>
        <c:delete val="1"/>
      </c:legendEntry>
      <c:layout>
        <c:manualLayout>
          <c:xMode val="edge"/>
          <c:yMode val="edge"/>
          <c:x val="0.7725040916530278"/>
          <c:y val="0.13888925342665501"/>
          <c:w val="0.19803600654664488"/>
          <c:h val="0.32291776027996499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6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BUILDING DAMAGE CLASSIFICATION (AFTER BURLAND et al, 1977 AND BOSCARDIN AND CORDING, 1989)-HOGGING</a:t>
            </a:r>
          </a:p>
        </c:rich>
      </c:tx>
      <c:layout>
        <c:manualLayout>
          <c:xMode val="edge"/>
          <c:yMode val="edge"/>
          <c:x val="0.1295083688309453"/>
          <c:y val="2.07612456747404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524661024478923E-2"/>
          <c:y val="0.13148811142968653"/>
          <c:w val="0.88360726467026185"/>
          <c:h val="0.76124696090871158"/>
        </c:manualLayout>
      </c:layout>
      <c:scatterChart>
        <c:scatterStyle val="lineMarker"/>
        <c:varyColors val="0"/>
        <c:ser>
          <c:idx val="1"/>
          <c:order val="0"/>
          <c:tx>
            <c:strRef>
              <c:f>'Burland damage classification'!$Q$34:$S$34</c:f>
              <c:strCache>
                <c:ptCount val="1"/>
                <c:pt idx="0">
                  <c:v>eps_lim= 0.033 %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'Burland damage classification'!$CW$16:$CW$66</c:f>
              <c:numCache>
                <c:formatCode>General</c:formatCode>
                <c:ptCount val="51"/>
                <c:pt idx="0">
                  <c:v>0</c:v>
                </c:pt>
                <c:pt idx="1">
                  <c:v>6.6666666666666664E-4</c:v>
                </c:pt>
                <c:pt idx="2">
                  <c:v>1.3333333333333333E-3</c:v>
                </c:pt>
                <c:pt idx="3">
                  <c:v>2E-3</c:v>
                </c:pt>
                <c:pt idx="4">
                  <c:v>2.6666666666666666E-3</c:v>
                </c:pt>
                <c:pt idx="5">
                  <c:v>3.3333333333333335E-3</c:v>
                </c:pt>
                <c:pt idx="6">
                  <c:v>4.0000000000000001E-3</c:v>
                </c:pt>
                <c:pt idx="7">
                  <c:v>4.6666666666666671E-3</c:v>
                </c:pt>
                <c:pt idx="8">
                  <c:v>5.333333333333334E-3</c:v>
                </c:pt>
                <c:pt idx="9">
                  <c:v>6.000000000000001E-3</c:v>
                </c:pt>
                <c:pt idx="10">
                  <c:v>6.6666666666666671E-3</c:v>
                </c:pt>
                <c:pt idx="11">
                  <c:v>7.3333333333333332E-3</c:v>
                </c:pt>
                <c:pt idx="12">
                  <c:v>8.0000000000000002E-3</c:v>
                </c:pt>
                <c:pt idx="13">
                  <c:v>8.6666666666666663E-3</c:v>
                </c:pt>
                <c:pt idx="14">
                  <c:v>9.3333333333333324E-3</c:v>
                </c:pt>
                <c:pt idx="15">
                  <c:v>9.9999999999999985E-3</c:v>
                </c:pt>
                <c:pt idx="16">
                  <c:v>1.0666666666666665E-2</c:v>
                </c:pt>
                <c:pt idx="17">
                  <c:v>1.1333333333333331E-2</c:v>
                </c:pt>
                <c:pt idx="18">
                  <c:v>1.1999999999999997E-2</c:v>
                </c:pt>
                <c:pt idx="19">
                  <c:v>1.2666666666666663E-2</c:v>
                </c:pt>
                <c:pt idx="20">
                  <c:v>1.3333333333333331E-2</c:v>
                </c:pt>
                <c:pt idx="21">
                  <c:v>1.3999999999999999E-2</c:v>
                </c:pt>
                <c:pt idx="22">
                  <c:v>1.4666666666666666E-2</c:v>
                </c:pt>
                <c:pt idx="23">
                  <c:v>1.5333333333333334E-2</c:v>
                </c:pt>
                <c:pt idx="24">
                  <c:v>1.6E-2</c:v>
                </c:pt>
                <c:pt idx="25">
                  <c:v>1.666666666666667E-2</c:v>
                </c:pt>
                <c:pt idx="26">
                  <c:v>1.7333333333333336E-2</c:v>
                </c:pt>
                <c:pt idx="27">
                  <c:v>1.8000000000000002E-2</c:v>
                </c:pt>
                <c:pt idx="28">
                  <c:v>1.8666666666666672E-2</c:v>
                </c:pt>
                <c:pt idx="29">
                  <c:v>1.9333333333333338E-2</c:v>
                </c:pt>
                <c:pt idx="30">
                  <c:v>2.0000000000000007E-2</c:v>
                </c:pt>
                <c:pt idx="31">
                  <c:v>2.0666666666666673E-2</c:v>
                </c:pt>
                <c:pt idx="32">
                  <c:v>2.1333333333333343E-2</c:v>
                </c:pt>
                <c:pt idx="33">
                  <c:v>2.2000000000000009E-2</c:v>
                </c:pt>
                <c:pt idx="34">
                  <c:v>2.2666666666666675E-2</c:v>
                </c:pt>
                <c:pt idx="35">
                  <c:v>2.3333333333333345E-2</c:v>
                </c:pt>
                <c:pt idx="36">
                  <c:v>2.4000000000000011E-2</c:v>
                </c:pt>
                <c:pt idx="37">
                  <c:v>2.466666666666668E-2</c:v>
                </c:pt>
                <c:pt idx="38">
                  <c:v>2.5333333333333343E-2</c:v>
                </c:pt>
                <c:pt idx="39">
                  <c:v>2.6000000000000009E-2</c:v>
                </c:pt>
                <c:pt idx="40">
                  <c:v>2.6666666666666672E-2</c:v>
                </c:pt>
                <c:pt idx="41">
                  <c:v>2.7333333333333338E-2</c:v>
                </c:pt>
                <c:pt idx="42">
                  <c:v>2.8000000000000004E-2</c:v>
                </c:pt>
                <c:pt idx="43">
                  <c:v>2.8666666666666667E-2</c:v>
                </c:pt>
                <c:pt idx="44">
                  <c:v>2.9333333333333333E-2</c:v>
                </c:pt>
                <c:pt idx="45">
                  <c:v>0.03</c:v>
                </c:pt>
                <c:pt idx="46">
                  <c:v>3.0666666666666662E-2</c:v>
                </c:pt>
                <c:pt idx="47">
                  <c:v>3.1333333333333324E-2</c:v>
                </c:pt>
                <c:pt idx="48">
                  <c:v>3.1999999999999994E-2</c:v>
                </c:pt>
                <c:pt idx="49">
                  <c:v>3.2666666666666656E-2</c:v>
                </c:pt>
                <c:pt idx="50">
                  <c:v>3.3333333333333319E-2</c:v>
                </c:pt>
              </c:numCache>
            </c:numRef>
          </c:xVal>
          <c:yVal>
            <c:numRef>
              <c:f>'Burland damage classification'!$CS$16:$CS$66</c:f>
              <c:numCache>
                <c:formatCode>0.0000000000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30-4C91-A17E-1BD66FAB5C13}"/>
            </c:ext>
          </c:extLst>
        </c:ser>
        <c:ser>
          <c:idx val="0"/>
          <c:order val="1"/>
          <c:tx>
            <c:strRef>
              <c:f>'Burland damage classification'!$Q$35:$S$35</c:f>
              <c:strCache>
                <c:ptCount val="1"/>
                <c:pt idx="0">
                  <c:v>eps_lim= 0.050 %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'Burland damage classification'!$DF$16:$DF$91</c:f>
              <c:numCache>
                <c:formatCode>General</c:formatCode>
                <c:ptCount val="76"/>
                <c:pt idx="0">
                  <c:v>0</c:v>
                </c:pt>
                <c:pt idx="1">
                  <c:v>6.6666666666666664E-4</c:v>
                </c:pt>
                <c:pt idx="2">
                  <c:v>1.3333333333333333E-3</c:v>
                </c:pt>
                <c:pt idx="3">
                  <c:v>2E-3</c:v>
                </c:pt>
                <c:pt idx="4">
                  <c:v>2.6666666666666666E-3</c:v>
                </c:pt>
                <c:pt idx="5">
                  <c:v>3.3333333333333335E-3</c:v>
                </c:pt>
                <c:pt idx="6">
                  <c:v>4.0000000000000001E-3</c:v>
                </c:pt>
                <c:pt idx="7">
                  <c:v>4.6666666666666671E-3</c:v>
                </c:pt>
                <c:pt idx="8">
                  <c:v>5.333333333333334E-3</c:v>
                </c:pt>
                <c:pt idx="9">
                  <c:v>6.000000000000001E-3</c:v>
                </c:pt>
                <c:pt idx="10">
                  <c:v>6.6666666666666671E-3</c:v>
                </c:pt>
                <c:pt idx="11">
                  <c:v>7.3333333333333332E-3</c:v>
                </c:pt>
                <c:pt idx="12">
                  <c:v>8.0000000000000002E-3</c:v>
                </c:pt>
                <c:pt idx="13">
                  <c:v>8.6666666666666663E-3</c:v>
                </c:pt>
                <c:pt idx="14">
                  <c:v>9.3333333333333324E-3</c:v>
                </c:pt>
                <c:pt idx="15">
                  <c:v>9.9999999999999985E-3</c:v>
                </c:pt>
                <c:pt idx="16">
                  <c:v>1.0666666666666665E-2</c:v>
                </c:pt>
                <c:pt idx="17">
                  <c:v>1.1333333333333331E-2</c:v>
                </c:pt>
                <c:pt idx="18">
                  <c:v>1.1999999999999997E-2</c:v>
                </c:pt>
                <c:pt idx="19">
                  <c:v>1.2666666666666663E-2</c:v>
                </c:pt>
                <c:pt idx="20">
                  <c:v>1.3333333333333331E-2</c:v>
                </c:pt>
                <c:pt idx="21">
                  <c:v>1.3999999999999999E-2</c:v>
                </c:pt>
                <c:pt idx="22">
                  <c:v>1.4666666666666666E-2</c:v>
                </c:pt>
                <c:pt idx="23">
                  <c:v>1.5333333333333334E-2</c:v>
                </c:pt>
                <c:pt idx="24">
                  <c:v>1.6E-2</c:v>
                </c:pt>
                <c:pt idx="25">
                  <c:v>1.666666666666667E-2</c:v>
                </c:pt>
                <c:pt idx="26">
                  <c:v>1.7333333333333336E-2</c:v>
                </c:pt>
                <c:pt idx="27">
                  <c:v>1.8000000000000002E-2</c:v>
                </c:pt>
                <c:pt idx="28">
                  <c:v>1.8666666666666672E-2</c:v>
                </c:pt>
                <c:pt idx="29">
                  <c:v>1.9333333333333338E-2</c:v>
                </c:pt>
                <c:pt idx="30">
                  <c:v>2.0000000000000007E-2</c:v>
                </c:pt>
                <c:pt idx="31">
                  <c:v>2.0666666666666673E-2</c:v>
                </c:pt>
                <c:pt idx="32">
                  <c:v>2.1333333333333343E-2</c:v>
                </c:pt>
                <c:pt idx="33">
                  <c:v>2.2000000000000009E-2</c:v>
                </c:pt>
                <c:pt idx="34">
                  <c:v>2.2666666666666675E-2</c:v>
                </c:pt>
                <c:pt idx="35">
                  <c:v>2.3333333333333345E-2</c:v>
                </c:pt>
                <c:pt idx="36">
                  <c:v>2.4000000000000011E-2</c:v>
                </c:pt>
                <c:pt idx="37">
                  <c:v>2.466666666666668E-2</c:v>
                </c:pt>
                <c:pt idx="38">
                  <c:v>2.5333333333333343E-2</c:v>
                </c:pt>
                <c:pt idx="39">
                  <c:v>2.6000000000000009E-2</c:v>
                </c:pt>
                <c:pt idx="40">
                  <c:v>2.6666666666666672E-2</c:v>
                </c:pt>
                <c:pt idx="41">
                  <c:v>2.7333333333333338E-2</c:v>
                </c:pt>
                <c:pt idx="42">
                  <c:v>2.8000000000000004E-2</c:v>
                </c:pt>
                <c:pt idx="43">
                  <c:v>2.8666666666666667E-2</c:v>
                </c:pt>
                <c:pt idx="44">
                  <c:v>2.9333333333333333E-2</c:v>
                </c:pt>
                <c:pt idx="45">
                  <c:v>0.03</c:v>
                </c:pt>
                <c:pt idx="46">
                  <c:v>3.0666666666666662E-2</c:v>
                </c:pt>
                <c:pt idx="47">
                  <c:v>3.1333333333333324E-2</c:v>
                </c:pt>
                <c:pt idx="48">
                  <c:v>3.1999999999999994E-2</c:v>
                </c:pt>
                <c:pt idx="49">
                  <c:v>3.2666666666666656E-2</c:v>
                </c:pt>
                <c:pt idx="50">
                  <c:v>3.3333333333333319E-2</c:v>
                </c:pt>
                <c:pt idx="51">
                  <c:v>3.3999999999999989E-2</c:v>
                </c:pt>
                <c:pt idx="52">
                  <c:v>3.4666666666666651E-2</c:v>
                </c:pt>
                <c:pt idx="53">
                  <c:v>3.5333333333333314E-2</c:v>
                </c:pt>
                <c:pt idx="54">
                  <c:v>3.5999999999999983E-2</c:v>
                </c:pt>
                <c:pt idx="55">
                  <c:v>3.6666666666666646E-2</c:v>
                </c:pt>
                <c:pt idx="56">
                  <c:v>3.7333333333333309E-2</c:v>
                </c:pt>
                <c:pt idx="57">
                  <c:v>3.7999999999999978E-2</c:v>
                </c:pt>
                <c:pt idx="58">
                  <c:v>3.8666666666666641E-2</c:v>
                </c:pt>
                <c:pt idx="59">
                  <c:v>3.9333333333333304E-2</c:v>
                </c:pt>
                <c:pt idx="60">
                  <c:v>3.9999999999999966E-2</c:v>
                </c:pt>
                <c:pt idx="61">
                  <c:v>4.0666666666666636E-2</c:v>
                </c:pt>
                <c:pt idx="62">
                  <c:v>4.1333333333333298E-2</c:v>
                </c:pt>
                <c:pt idx="63">
                  <c:v>4.1999999999999961E-2</c:v>
                </c:pt>
                <c:pt idx="64">
                  <c:v>4.2666666666666631E-2</c:v>
                </c:pt>
                <c:pt idx="65">
                  <c:v>4.3333333333333293E-2</c:v>
                </c:pt>
                <c:pt idx="66">
                  <c:v>4.3999999999999956E-2</c:v>
                </c:pt>
                <c:pt idx="67">
                  <c:v>4.4666666666666625E-2</c:v>
                </c:pt>
                <c:pt idx="68">
                  <c:v>4.5333333333333288E-2</c:v>
                </c:pt>
                <c:pt idx="69">
                  <c:v>4.5999999999999951E-2</c:v>
                </c:pt>
                <c:pt idx="70">
                  <c:v>4.666666666666662E-2</c:v>
                </c:pt>
                <c:pt idx="71">
                  <c:v>4.7333333333333283E-2</c:v>
                </c:pt>
                <c:pt idx="72">
                  <c:v>4.7999999999999945E-2</c:v>
                </c:pt>
                <c:pt idx="73">
                  <c:v>4.8666666666666615E-2</c:v>
                </c:pt>
                <c:pt idx="74">
                  <c:v>4.9333333333333285E-2</c:v>
                </c:pt>
                <c:pt idx="75">
                  <c:v>4.9999999999999947E-2</c:v>
                </c:pt>
              </c:numCache>
            </c:numRef>
          </c:xVal>
          <c:yVal>
            <c:numRef>
              <c:f>'Burland damage classification'!$DB$16:$DB$91</c:f>
              <c:numCache>
                <c:formatCode>0.0000000000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30-4C91-A17E-1BD66FAB5C13}"/>
            </c:ext>
          </c:extLst>
        </c:ser>
        <c:ser>
          <c:idx val="2"/>
          <c:order val="2"/>
          <c:tx>
            <c:strRef>
              <c:f>'Burland damage classification'!$Q$36:$S$36</c:f>
              <c:strCache>
                <c:ptCount val="1"/>
                <c:pt idx="0">
                  <c:v>eps_lim= 0.100 %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'Burland damage classification'!$DO$16:$DO$166</c:f>
              <c:numCache>
                <c:formatCode>General</c:formatCode>
                <c:ptCount val="151"/>
                <c:pt idx="0">
                  <c:v>0</c:v>
                </c:pt>
                <c:pt idx="1">
                  <c:v>6.6666666666666664E-4</c:v>
                </c:pt>
                <c:pt idx="2">
                  <c:v>1.3333333333333333E-3</c:v>
                </c:pt>
                <c:pt idx="3">
                  <c:v>2E-3</c:v>
                </c:pt>
                <c:pt idx="4">
                  <c:v>2.6666666666666666E-3</c:v>
                </c:pt>
                <c:pt idx="5">
                  <c:v>3.3333333333333335E-3</c:v>
                </c:pt>
                <c:pt idx="6">
                  <c:v>4.0000000000000001E-3</c:v>
                </c:pt>
                <c:pt idx="7">
                  <c:v>4.6666666666666671E-3</c:v>
                </c:pt>
                <c:pt idx="8">
                  <c:v>5.333333333333334E-3</c:v>
                </c:pt>
                <c:pt idx="9">
                  <c:v>6.000000000000001E-3</c:v>
                </c:pt>
                <c:pt idx="10">
                  <c:v>6.6666666666666671E-3</c:v>
                </c:pt>
                <c:pt idx="11">
                  <c:v>7.3333333333333332E-3</c:v>
                </c:pt>
                <c:pt idx="12">
                  <c:v>8.0000000000000002E-3</c:v>
                </c:pt>
                <c:pt idx="13">
                  <c:v>8.6666666666666663E-3</c:v>
                </c:pt>
                <c:pt idx="14">
                  <c:v>9.3333333333333324E-3</c:v>
                </c:pt>
                <c:pt idx="15">
                  <c:v>9.9999999999999985E-3</c:v>
                </c:pt>
                <c:pt idx="16">
                  <c:v>1.0666666666666665E-2</c:v>
                </c:pt>
                <c:pt idx="17">
                  <c:v>1.1333333333333331E-2</c:v>
                </c:pt>
                <c:pt idx="18">
                  <c:v>1.1999999999999997E-2</c:v>
                </c:pt>
                <c:pt idx="19">
                  <c:v>1.2666666666666663E-2</c:v>
                </c:pt>
                <c:pt idx="20">
                  <c:v>1.3333333333333331E-2</c:v>
                </c:pt>
                <c:pt idx="21">
                  <c:v>1.3999999999999999E-2</c:v>
                </c:pt>
                <c:pt idx="22">
                  <c:v>1.4666666666666666E-2</c:v>
                </c:pt>
                <c:pt idx="23">
                  <c:v>1.5333333333333334E-2</c:v>
                </c:pt>
                <c:pt idx="24">
                  <c:v>1.6E-2</c:v>
                </c:pt>
                <c:pt idx="25">
                  <c:v>1.666666666666667E-2</c:v>
                </c:pt>
                <c:pt idx="26">
                  <c:v>1.7333333333333336E-2</c:v>
                </c:pt>
                <c:pt idx="27">
                  <c:v>1.8000000000000002E-2</c:v>
                </c:pt>
                <c:pt idx="28">
                  <c:v>1.8666666666666672E-2</c:v>
                </c:pt>
                <c:pt idx="29">
                  <c:v>1.9333333333333338E-2</c:v>
                </c:pt>
                <c:pt idx="30">
                  <c:v>2.0000000000000007E-2</c:v>
                </c:pt>
                <c:pt idx="31">
                  <c:v>2.0666666666666673E-2</c:v>
                </c:pt>
                <c:pt idx="32">
                  <c:v>2.1333333333333343E-2</c:v>
                </c:pt>
                <c:pt idx="33">
                  <c:v>2.2000000000000009E-2</c:v>
                </c:pt>
                <c:pt idx="34">
                  <c:v>2.2666666666666675E-2</c:v>
                </c:pt>
                <c:pt idx="35">
                  <c:v>2.3333333333333345E-2</c:v>
                </c:pt>
                <c:pt idx="36">
                  <c:v>2.4000000000000011E-2</c:v>
                </c:pt>
                <c:pt idx="37">
                  <c:v>2.466666666666668E-2</c:v>
                </c:pt>
                <c:pt idx="38">
                  <c:v>2.5333333333333343E-2</c:v>
                </c:pt>
                <c:pt idx="39">
                  <c:v>2.6000000000000009E-2</c:v>
                </c:pt>
                <c:pt idx="40">
                  <c:v>2.6666666666666672E-2</c:v>
                </c:pt>
                <c:pt idx="41">
                  <c:v>2.7333333333333338E-2</c:v>
                </c:pt>
                <c:pt idx="42">
                  <c:v>2.8000000000000004E-2</c:v>
                </c:pt>
                <c:pt idx="43">
                  <c:v>2.8666666666666667E-2</c:v>
                </c:pt>
                <c:pt idx="44">
                  <c:v>2.9333333333333333E-2</c:v>
                </c:pt>
                <c:pt idx="45">
                  <c:v>0.03</c:v>
                </c:pt>
                <c:pt idx="46">
                  <c:v>3.0666666666666662E-2</c:v>
                </c:pt>
                <c:pt idx="47">
                  <c:v>3.1333333333333324E-2</c:v>
                </c:pt>
                <c:pt idx="48">
                  <c:v>3.1999999999999994E-2</c:v>
                </c:pt>
                <c:pt idx="49">
                  <c:v>3.2666666666666656E-2</c:v>
                </c:pt>
                <c:pt idx="50">
                  <c:v>3.3333333333333319E-2</c:v>
                </c:pt>
                <c:pt idx="51">
                  <c:v>3.3999999999999989E-2</c:v>
                </c:pt>
                <c:pt idx="52">
                  <c:v>3.4666666666666651E-2</c:v>
                </c:pt>
                <c:pt idx="53">
                  <c:v>3.5333333333333314E-2</c:v>
                </c:pt>
                <c:pt idx="54">
                  <c:v>3.5999999999999983E-2</c:v>
                </c:pt>
                <c:pt idx="55">
                  <c:v>3.6666666666666646E-2</c:v>
                </c:pt>
                <c:pt idx="56">
                  <c:v>3.7333333333333309E-2</c:v>
                </c:pt>
                <c:pt idx="57">
                  <c:v>3.7999999999999978E-2</c:v>
                </c:pt>
                <c:pt idx="58">
                  <c:v>3.8666666666666641E-2</c:v>
                </c:pt>
                <c:pt idx="59">
                  <c:v>3.9333333333333304E-2</c:v>
                </c:pt>
                <c:pt idx="60">
                  <c:v>3.9999999999999966E-2</c:v>
                </c:pt>
                <c:pt idx="61">
                  <c:v>4.0666666666666636E-2</c:v>
                </c:pt>
                <c:pt idx="62">
                  <c:v>4.1333333333333298E-2</c:v>
                </c:pt>
                <c:pt idx="63">
                  <c:v>4.1999999999999961E-2</c:v>
                </c:pt>
                <c:pt idx="64">
                  <c:v>4.2666666666666631E-2</c:v>
                </c:pt>
                <c:pt idx="65">
                  <c:v>4.3333333333333293E-2</c:v>
                </c:pt>
                <c:pt idx="66">
                  <c:v>4.3999999999999956E-2</c:v>
                </c:pt>
                <c:pt idx="67">
                  <c:v>4.4666666666666625E-2</c:v>
                </c:pt>
                <c:pt idx="68">
                  <c:v>4.5333333333333288E-2</c:v>
                </c:pt>
                <c:pt idx="69">
                  <c:v>4.5999999999999951E-2</c:v>
                </c:pt>
                <c:pt idx="70">
                  <c:v>4.666666666666662E-2</c:v>
                </c:pt>
                <c:pt idx="71">
                  <c:v>4.7333333333333283E-2</c:v>
                </c:pt>
                <c:pt idx="72">
                  <c:v>4.7999999999999945E-2</c:v>
                </c:pt>
                <c:pt idx="73">
                  <c:v>4.8666666666666615E-2</c:v>
                </c:pt>
                <c:pt idx="74">
                  <c:v>4.9333333333333285E-2</c:v>
                </c:pt>
                <c:pt idx="75">
                  <c:v>4.9999999999999947E-2</c:v>
                </c:pt>
                <c:pt idx="76">
                  <c:v>5.066666666666661E-2</c:v>
                </c:pt>
                <c:pt idx="77">
                  <c:v>5.1333333333333279E-2</c:v>
                </c:pt>
                <c:pt idx="78">
                  <c:v>5.1999999999999942E-2</c:v>
                </c:pt>
                <c:pt idx="79">
                  <c:v>5.2666666666666605E-2</c:v>
                </c:pt>
                <c:pt idx="80">
                  <c:v>5.3333333333333274E-2</c:v>
                </c:pt>
                <c:pt idx="81">
                  <c:v>5.3999999999999937E-2</c:v>
                </c:pt>
                <c:pt idx="82">
                  <c:v>5.46666666666666E-2</c:v>
                </c:pt>
                <c:pt idx="83">
                  <c:v>5.5333333333333262E-2</c:v>
                </c:pt>
                <c:pt idx="84">
                  <c:v>5.5999999999999932E-2</c:v>
                </c:pt>
                <c:pt idx="85">
                  <c:v>5.6666666666666594E-2</c:v>
                </c:pt>
                <c:pt idx="86">
                  <c:v>5.7333333333333257E-2</c:v>
                </c:pt>
                <c:pt idx="87">
                  <c:v>5.7999999999999927E-2</c:v>
                </c:pt>
                <c:pt idx="88">
                  <c:v>5.8666666666666589E-2</c:v>
                </c:pt>
                <c:pt idx="89">
                  <c:v>5.9333333333333252E-2</c:v>
                </c:pt>
                <c:pt idx="90">
                  <c:v>5.9999999999999921E-2</c:v>
                </c:pt>
                <c:pt idx="91">
                  <c:v>6.0666666666666584E-2</c:v>
                </c:pt>
                <c:pt idx="92">
                  <c:v>6.1333333333333247E-2</c:v>
                </c:pt>
                <c:pt idx="93">
                  <c:v>6.1999999999999916E-2</c:v>
                </c:pt>
                <c:pt idx="94">
                  <c:v>6.2666666666666579E-2</c:v>
                </c:pt>
                <c:pt idx="95">
                  <c:v>6.3333333333333242E-2</c:v>
                </c:pt>
                <c:pt idx="96">
                  <c:v>6.3999999999999904E-2</c:v>
                </c:pt>
                <c:pt idx="97">
                  <c:v>6.4666666666666567E-2</c:v>
                </c:pt>
                <c:pt idx="98">
                  <c:v>6.5333333333333243E-2</c:v>
                </c:pt>
                <c:pt idx="99">
                  <c:v>6.5999999999999906E-2</c:v>
                </c:pt>
                <c:pt idx="100">
                  <c:v>6.6666666666666569E-2</c:v>
                </c:pt>
                <c:pt idx="101">
                  <c:v>6.7333333333333231E-2</c:v>
                </c:pt>
                <c:pt idx="102">
                  <c:v>6.7999999999999894E-2</c:v>
                </c:pt>
                <c:pt idx="103">
                  <c:v>6.8666666666666556E-2</c:v>
                </c:pt>
                <c:pt idx="104">
                  <c:v>6.9333333333333219E-2</c:v>
                </c:pt>
                <c:pt idx="105">
                  <c:v>6.9999999999999896E-2</c:v>
                </c:pt>
                <c:pt idx="106">
                  <c:v>7.0666666666666558E-2</c:v>
                </c:pt>
                <c:pt idx="107">
                  <c:v>7.1333333333333221E-2</c:v>
                </c:pt>
                <c:pt idx="108">
                  <c:v>7.1999999999999884E-2</c:v>
                </c:pt>
                <c:pt idx="109">
                  <c:v>7.2666666666666546E-2</c:v>
                </c:pt>
                <c:pt idx="110">
                  <c:v>7.3333333333333209E-2</c:v>
                </c:pt>
                <c:pt idx="111">
                  <c:v>7.3999999999999885E-2</c:v>
                </c:pt>
                <c:pt idx="112">
                  <c:v>7.4666666666666548E-2</c:v>
                </c:pt>
                <c:pt idx="113">
                  <c:v>7.5333333333333211E-2</c:v>
                </c:pt>
                <c:pt idx="114">
                  <c:v>7.5999999999999873E-2</c:v>
                </c:pt>
                <c:pt idx="115">
                  <c:v>7.6666666666666536E-2</c:v>
                </c:pt>
                <c:pt idx="116">
                  <c:v>7.7333333333333198E-2</c:v>
                </c:pt>
                <c:pt idx="117">
                  <c:v>7.7999999999999875E-2</c:v>
                </c:pt>
                <c:pt idx="118">
                  <c:v>7.8666666666666538E-2</c:v>
                </c:pt>
                <c:pt idx="119">
                  <c:v>7.93333333333332E-2</c:v>
                </c:pt>
                <c:pt idx="120">
                  <c:v>7.9999999999999863E-2</c:v>
                </c:pt>
                <c:pt idx="121">
                  <c:v>8.0666666666666526E-2</c:v>
                </c:pt>
                <c:pt idx="122">
                  <c:v>8.1333333333333188E-2</c:v>
                </c:pt>
                <c:pt idx="123">
                  <c:v>8.1999999999999851E-2</c:v>
                </c:pt>
                <c:pt idx="124">
                  <c:v>8.2666666666666527E-2</c:v>
                </c:pt>
                <c:pt idx="125">
                  <c:v>8.333333333333319E-2</c:v>
                </c:pt>
                <c:pt idx="126">
                  <c:v>8.3999999999999853E-2</c:v>
                </c:pt>
                <c:pt idx="127">
                  <c:v>8.4666666666666515E-2</c:v>
                </c:pt>
                <c:pt idx="128">
                  <c:v>8.5333333333333178E-2</c:v>
                </c:pt>
                <c:pt idx="129">
                  <c:v>8.599999999999984E-2</c:v>
                </c:pt>
                <c:pt idx="130">
                  <c:v>8.6666666666666517E-2</c:v>
                </c:pt>
                <c:pt idx="131">
                  <c:v>8.733333333333318E-2</c:v>
                </c:pt>
                <c:pt idx="132">
                  <c:v>8.7999999999999842E-2</c:v>
                </c:pt>
                <c:pt idx="133">
                  <c:v>8.8666666666666505E-2</c:v>
                </c:pt>
                <c:pt idx="134">
                  <c:v>8.9333333333333168E-2</c:v>
                </c:pt>
                <c:pt idx="135">
                  <c:v>8.999999999999983E-2</c:v>
                </c:pt>
                <c:pt idx="136">
                  <c:v>9.0666666666666507E-2</c:v>
                </c:pt>
                <c:pt idx="137">
                  <c:v>9.1333333333333169E-2</c:v>
                </c:pt>
                <c:pt idx="138">
                  <c:v>9.1999999999999832E-2</c:v>
                </c:pt>
                <c:pt idx="139">
                  <c:v>9.2666666666666495E-2</c:v>
                </c:pt>
                <c:pt idx="140">
                  <c:v>9.3333333333333157E-2</c:v>
                </c:pt>
                <c:pt idx="141">
                  <c:v>9.399999999999982E-2</c:v>
                </c:pt>
                <c:pt idx="142">
                  <c:v>9.4666666666666482E-2</c:v>
                </c:pt>
                <c:pt idx="143">
                  <c:v>9.5333333333333159E-2</c:v>
                </c:pt>
                <c:pt idx="144">
                  <c:v>9.5999999999999822E-2</c:v>
                </c:pt>
                <c:pt idx="145">
                  <c:v>9.6666666666666484E-2</c:v>
                </c:pt>
                <c:pt idx="146">
                  <c:v>9.7333333333333147E-2</c:v>
                </c:pt>
                <c:pt idx="147">
                  <c:v>9.7999999999999823E-2</c:v>
                </c:pt>
                <c:pt idx="148">
                  <c:v>9.86666666666665E-2</c:v>
                </c:pt>
                <c:pt idx="149">
                  <c:v>9.9333333333333176E-2</c:v>
                </c:pt>
                <c:pt idx="150">
                  <c:v>9.9999999999999853E-2</c:v>
                </c:pt>
              </c:numCache>
            </c:numRef>
          </c:xVal>
          <c:yVal>
            <c:numRef>
              <c:f>'Burland damage classification'!$DK$16:$DK$166</c:f>
              <c:numCache>
                <c:formatCode>0.0000000000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30-4C91-A17E-1BD66FAB5C13}"/>
            </c:ext>
          </c:extLst>
        </c:ser>
        <c:ser>
          <c:idx val="3"/>
          <c:order val="3"/>
          <c:tx>
            <c:strRef>
              <c:f>'Burland damage classification'!$Q$37:$S$37</c:f>
              <c:strCache>
                <c:ptCount val="1"/>
                <c:pt idx="0">
                  <c:v>eps_lim= 0.200 %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'Burland damage classification'!$DX$16:$DX$316</c:f>
              <c:numCache>
                <c:formatCode>General</c:formatCode>
                <c:ptCount val="301"/>
                <c:pt idx="0">
                  <c:v>0</c:v>
                </c:pt>
                <c:pt idx="1">
                  <c:v>6.6666666666666664E-4</c:v>
                </c:pt>
                <c:pt idx="2">
                  <c:v>1.3333333333333333E-3</c:v>
                </c:pt>
                <c:pt idx="3">
                  <c:v>2E-3</c:v>
                </c:pt>
                <c:pt idx="4">
                  <c:v>2.6666666666666666E-3</c:v>
                </c:pt>
                <c:pt idx="5">
                  <c:v>3.3333333333333335E-3</c:v>
                </c:pt>
                <c:pt idx="6">
                  <c:v>4.0000000000000001E-3</c:v>
                </c:pt>
                <c:pt idx="7">
                  <c:v>4.6666666666666671E-3</c:v>
                </c:pt>
                <c:pt idx="8">
                  <c:v>5.333333333333334E-3</c:v>
                </c:pt>
                <c:pt idx="9">
                  <c:v>6.000000000000001E-3</c:v>
                </c:pt>
                <c:pt idx="10">
                  <c:v>6.6666666666666671E-3</c:v>
                </c:pt>
                <c:pt idx="11">
                  <c:v>7.3333333333333332E-3</c:v>
                </c:pt>
                <c:pt idx="12">
                  <c:v>8.0000000000000002E-3</c:v>
                </c:pt>
                <c:pt idx="13">
                  <c:v>8.6666666666666663E-3</c:v>
                </c:pt>
                <c:pt idx="14">
                  <c:v>9.3333333333333324E-3</c:v>
                </c:pt>
                <c:pt idx="15">
                  <c:v>9.9999999999999985E-3</c:v>
                </c:pt>
                <c:pt idx="16">
                  <c:v>1.0666666666666665E-2</c:v>
                </c:pt>
                <c:pt idx="17">
                  <c:v>1.1333333333333331E-2</c:v>
                </c:pt>
                <c:pt idx="18">
                  <c:v>1.1999999999999997E-2</c:v>
                </c:pt>
                <c:pt idx="19">
                  <c:v>1.2666666666666663E-2</c:v>
                </c:pt>
                <c:pt idx="20">
                  <c:v>1.3333333333333331E-2</c:v>
                </c:pt>
                <c:pt idx="21">
                  <c:v>1.3999999999999999E-2</c:v>
                </c:pt>
                <c:pt idx="22">
                  <c:v>1.4666666666666666E-2</c:v>
                </c:pt>
                <c:pt idx="23">
                  <c:v>1.5333333333333334E-2</c:v>
                </c:pt>
                <c:pt idx="24">
                  <c:v>1.6E-2</c:v>
                </c:pt>
                <c:pt idx="25">
                  <c:v>1.666666666666667E-2</c:v>
                </c:pt>
                <c:pt idx="26">
                  <c:v>1.7333333333333336E-2</c:v>
                </c:pt>
                <c:pt idx="27">
                  <c:v>1.8000000000000002E-2</c:v>
                </c:pt>
                <c:pt idx="28">
                  <c:v>1.8666666666666672E-2</c:v>
                </c:pt>
                <c:pt idx="29">
                  <c:v>1.9333333333333338E-2</c:v>
                </c:pt>
                <c:pt idx="30">
                  <c:v>2.0000000000000007E-2</c:v>
                </c:pt>
                <c:pt idx="31">
                  <c:v>2.0666666666666673E-2</c:v>
                </c:pt>
                <c:pt idx="32">
                  <c:v>2.1333333333333343E-2</c:v>
                </c:pt>
                <c:pt idx="33">
                  <c:v>2.2000000000000009E-2</c:v>
                </c:pt>
                <c:pt idx="34">
                  <c:v>2.2666666666666675E-2</c:v>
                </c:pt>
                <c:pt idx="35">
                  <c:v>2.3333333333333345E-2</c:v>
                </c:pt>
                <c:pt idx="36">
                  <c:v>2.4000000000000011E-2</c:v>
                </c:pt>
                <c:pt idx="37">
                  <c:v>2.466666666666668E-2</c:v>
                </c:pt>
                <c:pt idx="38">
                  <c:v>2.5333333333333343E-2</c:v>
                </c:pt>
                <c:pt idx="39">
                  <c:v>2.6000000000000009E-2</c:v>
                </c:pt>
                <c:pt idx="40">
                  <c:v>2.6666666666666672E-2</c:v>
                </c:pt>
                <c:pt idx="41">
                  <c:v>2.7333333333333338E-2</c:v>
                </c:pt>
                <c:pt idx="42">
                  <c:v>2.8000000000000004E-2</c:v>
                </c:pt>
                <c:pt idx="43">
                  <c:v>2.8666666666666667E-2</c:v>
                </c:pt>
                <c:pt idx="44">
                  <c:v>2.9333333333333333E-2</c:v>
                </c:pt>
                <c:pt idx="45">
                  <c:v>0.03</c:v>
                </c:pt>
                <c:pt idx="46">
                  <c:v>3.0666666666666662E-2</c:v>
                </c:pt>
                <c:pt idx="47">
                  <c:v>3.1333333333333324E-2</c:v>
                </c:pt>
                <c:pt idx="48">
                  <c:v>3.1999999999999994E-2</c:v>
                </c:pt>
                <c:pt idx="49">
                  <c:v>3.2666666666666656E-2</c:v>
                </c:pt>
                <c:pt idx="50">
                  <c:v>3.3333333333333319E-2</c:v>
                </c:pt>
                <c:pt idx="51">
                  <c:v>3.3999999999999989E-2</c:v>
                </c:pt>
                <c:pt idx="52">
                  <c:v>3.4666666666666651E-2</c:v>
                </c:pt>
                <c:pt idx="53">
                  <c:v>3.5333333333333314E-2</c:v>
                </c:pt>
                <c:pt idx="54">
                  <c:v>3.5999999999999983E-2</c:v>
                </c:pt>
                <c:pt idx="55">
                  <c:v>3.6666666666666646E-2</c:v>
                </c:pt>
                <c:pt idx="56">
                  <c:v>3.7333333333333309E-2</c:v>
                </c:pt>
                <c:pt idx="57">
                  <c:v>3.7999999999999978E-2</c:v>
                </c:pt>
                <c:pt idx="58">
                  <c:v>3.8666666666666641E-2</c:v>
                </c:pt>
                <c:pt idx="59">
                  <c:v>3.9333333333333304E-2</c:v>
                </c:pt>
                <c:pt idx="60">
                  <c:v>3.9999999999999966E-2</c:v>
                </c:pt>
                <c:pt idx="61">
                  <c:v>4.0666666666666636E-2</c:v>
                </c:pt>
                <c:pt idx="62">
                  <c:v>4.1333333333333298E-2</c:v>
                </c:pt>
                <c:pt idx="63">
                  <c:v>4.1999999999999961E-2</c:v>
                </c:pt>
                <c:pt idx="64">
                  <c:v>4.2666666666666631E-2</c:v>
                </c:pt>
                <c:pt idx="65">
                  <c:v>4.3333333333333293E-2</c:v>
                </c:pt>
                <c:pt idx="66">
                  <c:v>4.3999999999999956E-2</c:v>
                </c:pt>
                <c:pt idx="67">
                  <c:v>4.4666666666666625E-2</c:v>
                </c:pt>
                <c:pt idx="68">
                  <c:v>4.5333333333333288E-2</c:v>
                </c:pt>
                <c:pt idx="69">
                  <c:v>4.5999999999999951E-2</c:v>
                </c:pt>
                <c:pt idx="70">
                  <c:v>4.666666666666662E-2</c:v>
                </c:pt>
                <c:pt idx="71">
                  <c:v>4.7333333333333283E-2</c:v>
                </c:pt>
                <c:pt idx="72">
                  <c:v>4.7999999999999945E-2</c:v>
                </c:pt>
                <c:pt idx="73">
                  <c:v>4.8666666666666615E-2</c:v>
                </c:pt>
                <c:pt idx="74">
                  <c:v>4.9333333333333285E-2</c:v>
                </c:pt>
                <c:pt idx="75">
                  <c:v>4.9999999999999947E-2</c:v>
                </c:pt>
                <c:pt idx="76">
                  <c:v>5.066666666666661E-2</c:v>
                </c:pt>
                <c:pt idx="77">
                  <c:v>5.1333333333333279E-2</c:v>
                </c:pt>
                <c:pt idx="78">
                  <c:v>5.1999999999999942E-2</c:v>
                </c:pt>
                <c:pt idx="79">
                  <c:v>5.2666666666666605E-2</c:v>
                </c:pt>
                <c:pt idx="80">
                  <c:v>5.3333333333333274E-2</c:v>
                </c:pt>
                <c:pt idx="81">
                  <c:v>5.3999999999999937E-2</c:v>
                </c:pt>
                <c:pt idx="82">
                  <c:v>5.46666666666666E-2</c:v>
                </c:pt>
                <c:pt idx="83">
                  <c:v>5.5333333333333262E-2</c:v>
                </c:pt>
                <c:pt idx="84">
                  <c:v>5.5999999999999932E-2</c:v>
                </c:pt>
                <c:pt idx="85">
                  <c:v>5.6666666666666594E-2</c:v>
                </c:pt>
                <c:pt idx="86">
                  <c:v>5.7333333333333257E-2</c:v>
                </c:pt>
                <c:pt idx="87">
                  <c:v>5.7999999999999927E-2</c:v>
                </c:pt>
                <c:pt idx="88">
                  <c:v>5.8666666666666589E-2</c:v>
                </c:pt>
                <c:pt idx="89">
                  <c:v>5.9333333333333252E-2</c:v>
                </c:pt>
                <c:pt idx="90">
                  <c:v>5.9999999999999921E-2</c:v>
                </c:pt>
                <c:pt idx="91">
                  <c:v>6.0666666666666584E-2</c:v>
                </c:pt>
                <c:pt idx="92">
                  <c:v>6.1333333333333247E-2</c:v>
                </c:pt>
                <c:pt idx="93">
                  <c:v>6.1999999999999916E-2</c:v>
                </c:pt>
                <c:pt idx="94">
                  <c:v>6.2666666666666579E-2</c:v>
                </c:pt>
                <c:pt idx="95">
                  <c:v>6.3333333333333242E-2</c:v>
                </c:pt>
                <c:pt idx="96">
                  <c:v>6.3999999999999904E-2</c:v>
                </c:pt>
                <c:pt idx="97">
                  <c:v>6.4666666666666567E-2</c:v>
                </c:pt>
                <c:pt idx="98">
                  <c:v>6.5333333333333243E-2</c:v>
                </c:pt>
                <c:pt idx="99">
                  <c:v>6.5999999999999906E-2</c:v>
                </c:pt>
                <c:pt idx="100">
                  <c:v>6.6666666666666569E-2</c:v>
                </c:pt>
                <c:pt idx="101">
                  <c:v>6.7333333333333231E-2</c:v>
                </c:pt>
                <c:pt idx="102">
                  <c:v>6.7999999999999894E-2</c:v>
                </c:pt>
                <c:pt idx="103">
                  <c:v>6.8666666666666556E-2</c:v>
                </c:pt>
                <c:pt idx="104">
                  <c:v>6.9333333333333219E-2</c:v>
                </c:pt>
                <c:pt idx="105">
                  <c:v>6.9999999999999896E-2</c:v>
                </c:pt>
                <c:pt idx="106">
                  <c:v>7.0666666666666558E-2</c:v>
                </c:pt>
                <c:pt idx="107">
                  <c:v>7.1333333333333221E-2</c:v>
                </c:pt>
                <c:pt idx="108">
                  <c:v>7.1999999999999884E-2</c:v>
                </c:pt>
                <c:pt idx="109">
                  <c:v>7.2666666666666546E-2</c:v>
                </c:pt>
                <c:pt idx="110">
                  <c:v>7.3333333333333209E-2</c:v>
                </c:pt>
                <c:pt idx="111">
                  <c:v>7.3999999999999885E-2</c:v>
                </c:pt>
                <c:pt idx="112">
                  <c:v>7.4666666666666548E-2</c:v>
                </c:pt>
                <c:pt idx="113">
                  <c:v>7.5333333333333211E-2</c:v>
                </c:pt>
                <c:pt idx="114">
                  <c:v>7.5999999999999873E-2</c:v>
                </c:pt>
                <c:pt idx="115">
                  <c:v>7.6666666666666536E-2</c:v>
                </c:pt>
                <c:pt idx="116">
                  <c:v>7.7333333333333198E-2</c:v>
                </c:pt>
                <c:pt idx="117">
                  <c:v>7.7999999999999875E-2</c:v>
                </c:pt>
                <c:pt idx="118">
                  <c:v>7.8666666666666538E-2</c:v>
                </c:pt>
                <c:pt idx="119">
                  <c:v>7.93333333333332E-2</c:v>
                </c:pt>
                <c:pt idx="120">
                  <c:v>7.9999999999999863E-2</c:v>
                </c:pt>
                <c:pt idx="121">
                  <c:v>8.0666666666666526E-2</c:v>
                </c:pt>
                <c:pt idx="122">
                  <c:v>8.1333333333333188E-2</c:v>
                </c:pt>
                <c:pt idx="123">
                  <c:v>8.1999999999999851E-2</c:v>
                </c:pt>
                <c:pt idx="124">
                  <c:v>8.2666666666666527E-2</c:v>
                </c:pt>
                <c:pt idx="125">
                  <c:v>8.333333333333319E-2</c:v>
                </c:pt>
                <c:pt idx="126">
                  <c:v>8.3999999999999853E-2</c:v>
                </c:pt>
                <c:pt idx="127">
                  <c:v>8.4666666666666515E-2</c:v>
                </c:pt>
                <c:pt idx="128">
                  <c:v>8.5333333333333178E-2</c:v>
                </c:pt>
                <c:pt idx="129">
                  <c:v>8.599999999999984E-2</c:v>
                </c:pt>
                <c:pt idx="130">
                  <c:v>8.6666666666666517E-2</c:v>
                </c:pt>
                <c:pt idx="131">
                  <c:v>8.733333333333318E-2</c:v>
                </c:pt>
                <c:pt idx="132">
                  <c:v>8.7999999999999842E-2</c:v>
                </c:pt>
                <c:pt idx="133">
                  <c:v>8.8666666666666505E-2</c:v>
                </c:pt>
                <c:pt idx="134">
                  <c:v>8.9333333333333168E-2</c:v>
                </c:pt>
                <c:pt idx="135">
                  <c:v>8.999999999999983E-2</c:v>
                </c:pt>
                <c:pt idx="136">
                  <c:v>9.0666666666666507E-2</c:v>
                </c:pt>
                <c:pt idx="137">
                  <c:v>9.1333333333333169E-2</c:v>
                </c:pt>
                <c:pt idx="138">
                  <c:v>9.1999999999999832E-2</c:v>
                </c:pt>
                <c:pt idx="139">
                  <c:v>9.2666666666666495E-2</c:v>
                </c:pt>
                <c:pt idx="140">
                  <c:v>9.3333333333333157E-2</c:v>
                </c:pt>
                <c:pt idx="141">
                  <c:v>9.399999999999982E-2</c:v>
                </c:pt>
                <c:pt idx="142">
                  <c:v>9.4666666666666482E-2</c:v>
                </c:pt>
                <c:pt idx="143">
                  <c:v>9.5333333333333159E-2</c:v>
                </c:pt>
                <c:pt idx="144">
                  <c:v>9.5999999999999822E-2</c:v>
                </c:pt>
                <c:pt idx="145">
                  <c:v>9.6666666666666484E-2</c:v>
                </c:pt>
                <c:pt idx="146">
                  <c:v>9.7333333333333147E-2</c:v>
                </c:pt>
                <c:pt idx="147">
                  <c:v>9.7999999999999823E-2</c:v>
                </c:pt>
                <c:pt idx="148">
                  <c:v>9.86666666666665E-2</c:v>
                </c:pt>
                <c:pt idx="149">
                  <c:v>9.9333333333333176E-2</c:v>
                </c:pt>
                <c:pt idx="150">
                  <c:v>9.9999999999999853E-2</c:v>
                </c:pt>
                <c:pt idx="151">
                  <c:v>0.10066666666666653</c:v>
                </c:pt>
                <c:pt idx="152">
                  <c:v>0.10133333333333321</c:v>
                </c:pt>
                <c:pt idx="153">
                  <c:v>0.10199999999999988</c:v>
                </c:pt>
                <c:pt idx="154">
                  <c:v>0.10266666666666656</c:v>
                </c:pt>
                <c:pt idx="155">
                  <c:v>0.10333333333333322</c:v>
                </c:pt>
                <c:pt idx="156">
                  <c:v>0.1039999999999999</c:v>
                </c:pt>
                <c:pt idx="157">
                  <c:v>0.10466666666666657</c:v>
                </c:pt>
                <c:pt idx="158">
                  <c:v>0.10533333333333325</c:v>
                </c:pt>
                <c:pt idx="159">
                  <c:v>0.10599999999999993</c:v>
                </c:pt>
                <c:pt idx="160">
                  <c:v>0.1066666666666666</c:v>
                </c:pt>
                <c:pt idx="161">
                  <c:v>0.10733333333333328</c:v>
                </c:pt>
                <c:pt idx="162">
                  <c:v>0.10799999999999996</c:v>
                </c:pt>
                <c:pt idx="163">
                  <c:v>0.10866666666666663</c:v>
                </c:pt>
                <c:pt idx="164">
                  <c:v>0.10933333333333331</c:v>
                </c:pt>
                <c:pt idx="165">
                  <c:v>0.10999999999999999</c:v>
                </c:pt>
                <c:pt idx="166">
                  <c:v>0.11066666666666666</c:v>
                </c:pt>
                <c:pt idx="167">
                  <c:v>0.11133333333333334</c:v>
                </c:pt>
                <c:pt idx="168">
                  <c:v>0.11200000000000002</c:v>
                </c:pt>
                <c:pt idx="169">
                  <c:v>0.11266666666666669</c:v>
                </c:pt>
                <c:pt idx="170">
                  <c:v>0.11333333333333337</c:v>
                </c:pt>
                <c:pt idx="171">
                  <c:v>0.11400000000000005</c:v>
                </c:pt>
                <c:pt idx="172">
                  <c:v>0.11466666666666671</c:v>
                </c:pt>
                <c:pt idx="173">
                  <c:v>0.11533333333333338</c:v>
                </c:pt>
                <c:pt idx="174">
                  <c:v>0.11600000000000006</c:v>
                </c:pt>
                <c:pt idx="175">
                  <c:v>0.11666666666666674</c:v>
                </c:pt>
                <c:pt idx="176">
                  <c:v>0.11733333333333341</c:v>
                </c:pt>
                <c:pt idx="177">
                  <c:v>0.11800000000000009</c:v>
                </c:pt>
                <c:pt idx="178">
                  <c:v>0.11866666666666677</c:v>
                </c:pt>
                <c:pt idx="179">
                  <c:v>0.11933333333333344</c:v>
                </c:pt>
                <c:pt idx="180">
                  <c:v>0.12000000000000012</c:v>
                </c:pt>
                <c:pt idx="181">
                  <c:v>0.1206666666666668</c:v>
                </c:pt>
                <c:pt idx="182">
                  <c:v>0.12133333333333347</c:v>
                </c:pt>
                <c:pt idx="183">
                  <c:v>0.12200000000000015</c:v>
                </c:pt>
                <c:pt idx="184">
                  <c:v>0.12266666666666683</c:v>
                </c:pt>
                <c:pt idx="185">
                  <c:v>0.1233333333333335</c:v>
                </c:pt>
                <c:pt idx="186">
                  <c:v>0.12400000000000018</c:v>
                </c:pt>
                <c:pt idx="187">
                  <c:v>0.12466666666666684</c:v>
                </c:pt>
                <c:pt idx="188">
                  <c:v>0.12533333333333352</c:v>
                </c:pt>
                <c:pt idx="189">
                  <c:v>0.1260000000000002</c:v>
                </c:pt>
                <c:pt idx="190">
                  <c:v>0.12666666666666687</c:v>
                </c:pt>
                <c:pt idx="191">
                  <c:v>0.12733333333333355</c:v>
                </c:pt>
                <c:pt idx="192">
                  <c:v>0.12800000000000022</c:v>
                </c:pt>
                <c:pt idx="193">
                  <c:v>0.1286666666666669</c:v>
                </c:pt>
                <c:pt idx="194">
                  <c:v>0.12933333333333358</c:v>
                </c:pt>
                <c:pt idx="195">
                  <c:v>0.13000000000000025</c:v>
                </c:pt>
                <c:pt idx="196">
                  <c:v>0.13066666666666693</c:v>
                </c:pt>
                <c:pt idx="197">
                  <c:v>0.13133333333333361</c:v>
                </c:pt>
                <c:pt idx="198">
                  <c:v>0.13200000000000028</c:v>
                </c:pt>
                <c:pt idx="199">
                  <c:v>0.13266666666666696</c:v>
                </c:pt>
                <c:pt idx="200">
                  <c:v>0.13333333333333364</c:v>
                </c:pt>
                <c:pt idx="201">
                  <c:v>0.13400000000000031</c:v>
                </c:pt>
                <c:pt idx="202">
                  <c:v>0.13466666666666699</c:v>
                </c:pt>
                <c:pt idx="203">
                  <c:v>0.13533333333333367</c:v>
                </c:pt>
                <c:pt idx="204">
                  <c:v>0.13600000000000034</c:v>
                </c:pt>
                <c:pt idx="205">
                  <c:v>0.13666666666666702</c:v>
                </c:pt>
                <c:pt idx="206">
                  <c:v>0.1373333333333337</c:v>
                </c:pt>
                <c:pt idx="207">
                  <c:v>0.13800000000000037</c:v>
                </c:pt>
                <c:pt idx="208">
                  <c:v>0.13866666666666705</c:v>
                </c:pt>
                <c:pt idx="209">
                  <c:v>0.13933333333333373</c:v>
                </c:pt>
                <c:pt idx="210">
                  <c:v>0.1400000000000004</c:v>
                </c:pt>
                <c:pt idx="211">
                  <c:v>0.14066666666666705</c:v>
                </c:pt>
                <c:pt idx="212">
                  <c:v>0.14133333333333373</c:v>
                </c:pt>
                <c:pt idx="213">
                  <c:v>0.1420000000000004</c:v>
                </c:pt>
                <c:pt idx="214">
                  <c:v>0.14266666666666708</c:v>
                </c:pt>
                <c:pt idx="215">
                  <c:v>0.14333333333333376</c:v>
                </c:pt>
                <c:pt idx="216">
                  <c:v>0.14400000000000043</c:v>
                </c:pt>
                <c:pt idx="217">
                  <c:v>0.14466666666666711</c:v>
                </c:pt>
                <c:pt idx="218">
                  <c:v>0.14533333333333379</c:v>
                </c:pt>
                <c:pt idx="219">
                  <c:v>0.14600000000000046</c:v>
                </c:pt>
                <c:pt idx="220">
                  <c:v>0.14666666666666714</c:v>
                </c:pt>
                <c:pt idx="221">
                  <c:v>0.14733333333333382</c:v>
                </c:pt>
                <c:pt idx="222">
                  <c:v>0.14800000000000049</c:v>
                </c:pt>
                <c:pt idx="223">
                  <c:v>0.14866666666666717</c:v>
                </c:pt>
                <c:pt idx="224">
                  <c:v>0.14933333333333385</c:v>
                </c:pt>
                <c:pt idx="225">
                  <c:v>0.15000000000000052</c:v>
                </c:pt>
                <c:pt idx="226">
                  <c:v>0.1506666666666672</c:v>
                </c:pt>
                <c:pt idx="227">
                  <c:v>0.15133333333333387</c:v>
                </c:pt>
                <c:pt idx="228">
                  <c:v>0.15200000000000055</c:v>
                </c:pt>
                <c:pt idx="229">
                  <c:v>0.15266666666666723</c:v>
                </c:pt>
                <c:pt idx="230">
                  <c:v>0.1533333333333339</c:v>
                </c:pt>
                <c:pt idx="231">
                  <c:v>0.15400000000000058</c:v>
                </c:pt>
                <c:pt idx="232">
                  <c:v>0.15466666666666726</c:v>
                </c:pt>
                <c:pt idx="233">
                  <c:v>0.15533333333333393</c:v>
                </c:pt>
                <c:pt idx="234">
                  <c:v>0.15600000000000061</c:v>
                </c:pt>
                <c:pt idx="235">
                  <c:v>0.15666666666666729</c:v>
                </c:pt>
                <c:pt idx="236">
                  <c:v>0.15733333333333396</c:v>
                </c:pt>
                <c:pt idx="237">
                  <c:v>0.15800000000000064</c:v>
                </c:pt>
                <c:pt idx="238">
                  <c:v>0.15866666666666732</c:v>
                </c:pt>
                <c:pt idx="239">
                  <c:v>0.15933333333333399</c:v>
                </c:pt>
                <c:pt idx="240">
                  <c:v>0.16000000000000067</c:v>
                </c:pt>
                <c:pt idx="241">
                  <c:v>0.16066666666666735</c:v>
                </c:pt>
                <c:pt idx="242">
                  <c:v>0.16133333333333402</c:v>
                </c:pt>
                <c:pt idx="243">
                  <c:v>0.1620000000000007</c:v>
                </c:pt>
                <c:pt idx="244">
                  <c:v>0.16266666666666735</c:v>
                </c:pt>
                <c:pt idx="245">
                  <c:v>0.16333333333333402</c:v>
                </c:pt>
                <c:pt idx="246">
                  <c:v>0.1640000000000007</c:v>
                </c:pt>
                <c:pt idx="247">
                  <c:v>0.16466666666666738</c:v>
                </c:pt>
                <c:pt idx="248">
                  <c:v>0.16533333333333405</c:v>
                </c:pt>
                <c:pt idx="249">
                  <c:v>0.16600000000000073</c:v>
                </c:pt>
                <c:pt idx="250">
                  <c:v>0.16666666666666741</c:v>
                </c:pt>
                <c:pt idx="251">
                  <c:v>0.16733333333333408</c:v>
                </c:pt>
                <c:pt idx="252">
                  <c:v>0.16800000000000076</c:v>
                </c:pt>
                <c:pt idx="253">
                  <c:v>0.16866666666666744</c:v>
                </c:pt>
                <c:pt idx="254">
                  <c:v>0.16933333333333411</c:v>
                </c:pt>
                <c:pt idx="255">
                  <c:v>0.17000000000000079</c:v>
                </c:pt>
                <c:pt idx="256">
                  <c:v>0.17066666666666747</c:v>
                </c:pt>
                <c:pt idx="257">
                  <c:v>0.17133333333333414</c:v>
                </c:pt>
                <c:pt idx="258">
                  <c:v>0.17200000000000082</c:v>
                </c:pt>
                <c:pt idx="259">
                  <c:v>0.1726666666666675</c:v>
                </c:pt>
                <c:pt idx="260">
                  <c:v>0.17333333333333417</c:v>
                </c:pt>
                <c:pt idx="261">
                  <c:v>0.17400000000000085</c:v>
                </c:pt>
                <c:pt idx="262">
                  <c:v>0.17466666666666752</c:v>
                </c:pt>
                <c:pt idx="263">
                  <c:v>0.1753333333333342</c:v>
                </c:pt>
                <c:pt idx="264">
                  <c:v>0.17600000000000088</c:v>
                </c:pt>
                <c:pt idx="265">
                  <c:v>0.17666666666666755</c:v>
                </c:pt>
                <c:pt idx="266">
                  <c:v>0.17733333333333423</c:v>
                </c:pt>
                <c:pt idx="267">
                  <c:v>0.17800000000000091</c:v>
                </c:pt>
                <c:pt idx="268">
                  <c:v>0.17866666666666758</c:v>
                </c:pt>
                <c:pt idx="269">
                  <c:v>0.17933333333333426</c:v>
                </c:pt>
                <c:pt idx="270">
                  <c:v>0.18000000000000094</c:v>
                </c:pt>
                <c:pt idx="271">
                  <c:v>0.18066666666666761</c:v>
                </c:pt>
                <c:pt idx="272">
                  <c:v>0.18133333333333429</c:v>
                </c:pt>
                <c:pt idx="273">
                  <c:v>0.18200000000000097</c:v>
                </c:pt>
                <c:pt idx="274">
                  <c:v>0.18266666666666764</c:v>
                </c:pt>
                <c:pt idx="275">
                  <c:v>0.18333333333333429</c:v>
                </c:pt>
                <c:pt idx="276">
                  <c:v>0.18400000000000097</c:v>
                </c:pt>
                <c:pt idx="277">
                  <c:v>0.18466666666666764</c:v>
                </c:pt>
                <c:pt idx="278">
                  <c:v>0.18533333333333432</c:v>
                </c:pt>
                <c:pt idx="279">
                  <c:v>0.186000000000001</c:v>
                </c:pt>
                <c:pt idx="280">
                  <c:v>0.18666666666666767</c:v>
                </c:pt>
                <c:pt idx="281">
                  <c:v>0.18733333333333435</c:v>
                </c:pt>
                <c:pt idx="282">
                  <c:v>0.18800000000000103</c:v>
                </c:pt>
                <c:pt idx="283">
                  <c:v>0.1886666666666677</c:v>
                </c:pt>
                <c:pt idx="284">
                  <c:v>0.18933333333333438</c:v>
                </c:pt>
                <c:pt idx="285">
                  <c:v>0.19000000000000106</c:v>
                </c:pt>
                <c:pt idx="286">
                  <c:v>0.19066666666666773</c:v>
                </c:pt>
                <c:pt idx="287">
                  <c:v>0.19133333333333441</c:v>
                </c:pt>
                <c:pt idx="288">
                  <c:v>0.19200000000000109</c:v>
                </c:pt>
                <c:pt idx="289">
                  <c:v>0.19266666666666776</c:v>
                </c:pt>
                <c:pt idx="290">
                  <c:v>0.19333333333333444</c:v>
                </c:pt>
                <c:pt idx="291">
                  <c:v>0.19400000000000112</c:v>
                </c:pt>
                <c:pt idx="292">
                  <c:v>0.19466666666666779</c:v>
                </c:pt>
                <c:pt idx="293">
                  <c:v>0.19533333333333447</c:v>
                </c:pt>
                <c:pt idx="294">
                  <c:v>0.19600000000000112</c:v>
                </c:pt>
                <c:pt idx="295">
                  <c:v>0.19666666666666777</c:v>
                </c:pt>
                <c:pt idx="296">
                  <c:v>0.19733333333333442</c:v>
                </c:pt>
                <c:pt idx="297">
                  <c:v>0.19800000000000109</c:v>
                </c:pt>
                <c:pt idx="298">
                  <c:v>0.19866666666666774</c:v>
                </c:pt>
                <c:pt idx="299">
                  <c:v>0.19933333333333439</c:v>
                </c:pt>
                <c:pt idx="300">
                  <c:v>0.20000000000000104</c:v>
                </c:pt>
              </c:numCache>
            </c:numRef>
          </c:xVal>
          <c:yVal>
            <c:numRef>
              <c:f>'Burland damage classification'!$DT$16:$DT$316</c:f>
              <c:numCache>
                <c:formatCode>0.0000000000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030-4C91-A17E-1BD66FAB5C13}"/>
            </c:ext>
          </c:extLst>
        </c:ser>
        <c:ser>
          <c:idx val="4"/>
          <c:order val="4"/>
          <c:tx>
            <c:strRef>
              <c:f>'Burland damage classification'!$R$10:$R$11</c:f>
              <c:strCache>
                <c:ptCount val="2"/>
                <c:pt idx="0">
                  <c:v>L3/H=</c:v>
                </c:pt>
                <c:pt idx="1">
                  <c:v>No building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'Burland damage classification'!$O$9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'Burland damage classification'!$O$9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030-4C91-A17E-1BD66FAB5C13}"/>
            </c:ext>
          </c:extLst>
        </c:ser>
        <c:ser>
          <c:idx val="5"/>
          <c:order val="5"/>
          <c:tx>
            <c:v>L3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'Burland damage classification'!$EW$56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'Burland damage classification'!$EV$56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030-4C91-A17E-1BD66FAB5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31200"/>
        <c:axId val="294064128"/>
      </c:scatterChart>
      <c:valAx>
        <c:axId val="29413120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 sz="800" b="1" i="0" u="none" strike="noStrike" baseline="0">
                    <a:solidFill>
                      <a:srgbClr val="000000"/>
                    </a:solidFill>
                    <a:latin typeface="GreekC"/>
                    <a:cs typeface="GreekC"/>
                  </a:rPr>
                  <a:t>e</a:t>
                </a:r>
                <a:r>
                  <a:rPr lang="it-IT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h [%]</a:t>
                </a:r>
              </a:p>
            </c:rich>
          </c:tx>
          <c:layout>
            <c:manualLayout>
              <c:xMode val="edge"/>
              <c:yMode val="edge"/>
              <c:x val="0.49672165569467752"/>
              <c:y val="0.9158030678691114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4064128"/>
        <c:crosses val="autoZero"/>
        <c:crossBetween val="midCat"/>
      </c:valAx>
      <c:valAx>
        <c:axId val="29406412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 sz="800" b="1" i="0" u="none" strike="noStrike" baseline="0">
                    <a:solidFill>
                      <a:srgbClr val="000000"/>
                    </a:solidFill>
                    <a:latin typeface="GreekC"/>
                    <a:cs typeface="GreekC"/>
                  </a:rPr>
                  <a:t>D</a:t>
                </a:r>
                <a:r>
                  <a:rPr lang="it-IT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/L[%]</a:t>
                </a:r>
              </a:p>
            </c:rich>
          </c:tx>
          <c:layout>
            <c:manualLayout>
              <c:xMode val="edge"/>
              <c:yMode val="edge"/>
              <c:x val="8.1967213114754103E-3"/>
              <c:y val="0.4359868857223296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413120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egendEntry>
        <c:idx val="4"/>
        <c:txPr>
          <a:bodyPr/>
          <a:lstStyle/>
          <a:p>
            <a:pPr>
              <a:defRPr sz="64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</c:legendEntry>
      <c:legendEntry>
        <c:idx val="5"/>
        <c:delete val="1"/>
      </c:legendEntry>
      <c:layout>
        <c:manualLayout>
          <c:xMode val="edge"/>
          <c:yMode val="edge"/>
          <c:x val="0.7655744589303386"/>
          <c:y val="0.13840866777465965"/>
          <c:w val="0.20819689342110925"/>
          <c:h val="0.33218065734862723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6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BUILDING DAMAGE CLASSIFICATION (AFTER BURLAND et al, 1977 AND BOSCARDIN AND CORDING, 1989)-SAGGING</a:t>
            </a:r>
          </a:p>
        </c:rich>
      </c:tx>
      <c:layout>
        <c:manualLayout>
          <c:xMode val="edge"/>
          <c:yMode val="edge"/>
          <c:x val="0.12295103306576143"/>
          <c:y val="3.81944444444444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3442697748061077E-2"/>
          <c:y val="0.14236159383678465"/>
          <c:w val="0.88032857352120708"/>
          <c:h val="0.75000254314013381"/>
        </c:manualLayout>
      </c:layout>
      <c:scatterChart>
        <c:scatterStyle val="lineMarker"/>
        <c:varyColors val="0"/>
        <c:ser>
          <c:idx val="1"/>
          <c:order val="0"/>
          <c:tx>
            <c:strRef>
              <c:f>'Burland damage classification'!$Q$34:$S$34</c:f>
              <c:strCache>
                <c:ptCount val="1"/>
                <c:pt idx="0">
                  <c:v>eps_lim= 0.033 %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'Burland damage classification'!$AC$327:$AC$377</c:f>
              <c:numCache>
                <c:formatCode>General</c:formatCode>
                <c:ptCount val="51"/>
                <c:pt idx="0">
                  <c:v>0</c:v>
                </c:pt>
                <c:pt idx="1">
                  <c:v>6.6666666666666664E-4</c:v>
                </c:pt>
                <c:pt idx="2">
                  <c:v>1.3333333333333333E-3</c:v>
                </c:pt>
                <c:pt idx="3">
                  <c:v>2E-3</c:v>
                </c:pt>
                <c:pt idx="4">
                  <c:v>2.6666666666666666E-3</c:v>
                </c:pt>
                <c:pt idx="5">
                  <c:v>3.3333333333333335E-3</c:v>
                </c:pt>
                <c:pt idx="6">
                  <c:v>4.0000000000000001E-3</c:v>
                </c:pt>
                <c:pt idx="7">
                  <c:v>4.6666666666666671E-3</c:v>
                </c:pt>
                <c:pt idx="8">
                  <c:v>5.333333333333334E-3</c:v>
                </c:pt>
                <c:pt idx="9">
                  <c:v>6.000000000000001E-3</c:v>
                </c:pt>
                <c:pt idx="10">
                  <c:v>6.6666666666666671E-3</c:v>
                </c:pt>
                <c:pt idx="11">
                  <c:v>7.3333333333333332E-3</c:v>
                </c:pt>
                <c:pt idx="12">
                  <c:v>8.0000000000000002E-3</c:v>
                </c:pt>
                <c:pt idx="13">
                  <c:v>8.6666666666666663E-3</c:v>
                </c:pt>
                <c:pt idx="14">
                  <c:v>9.3333333333333324E-3</c:v>
                </c:pt>
                <c:pt idx="15">
                  <c:v>9.9999999999999985E-3</c:v>
                </c:pt>
                <c:pt idx="16">
                  <c:v>1.0666666666666665E-2</c:v>
                </c:pt>
                <c:pt idx="17">
                  <c:v>1.1333333333333331E-2</c:v>
                </c:pt>
                <c:pt idx="18">
                  <c:v>1.1999999999999997E-2</c:v>
                </c:pt>
                <c:pt idx="19">
                  <c:v>1.2666666666666663E-2</c:v>
                </c:pt>
                <c:pt idx="20">
                  <c:v>1.3333333333333331E-2</c:v>
                </c:pt>
                <c:pt idx="21">
                  <c:v>1.3999999999999999E-2</c:v>
                </c:pt>
                <c:pt idx="22">
                  <c:v>1.4666666666666666E-2</c:v>
                </c:pt>
                <c:pt idx="23">
                  <c:v>1.5333333333333334E-2</c:v>
                </c:pt>
                <c:pt idx="24">
                  <c:v>1.6E-2</c:v>
                </c:pt>
                <c:pt idx="25">
                  <c:v>1.666666666666667E-2</c:v>
                </c:pt>
                <c:pt idx="26">
                  <c:v>1.7333333333333336E-2</c:v>
                </c:pt>
                <c:pt idx="27">
                  <c:v>1.8000000000000002E-2</c:v>
                </c:pt>
                <c:pt idx="28">
                  <c:v>1.8666666666666672E-2</c:v>
                </c:pt>
                <c:pt idx="29">
                  <c:v>1.9333333333333338E-2</c:v>
                </c:pt>
                <c:pt idx="30">
                  <c:v>2.0000000000000007E-2</c:v>
                </c:pt>
                <c:pt idx="31">
                  <c:v>2.0666666666666673E-2</c:v>
                </c:pt>
                <c:pt idx="32">
                  <c:v>2.1333333333333343E-2</c:v>
                </c:pt>
                <c:pt idx="33">
                  <c:v>2.2000000000000009E-2</c:v>
                </c:pt>
                <c:pt idx="34">
                  <c:v>2.2666666666666675E-2</c:v>
                </c:pt>
                <c:pt idx="35">
                  <c:v>2.3333333333333345E-2</c:v>
                </c:pt>
                <c:pt idx="36">
                  <c:v>2.4000000000000011E-2</c:v>
                </c:pt>
                <c:pt idx="37">
                  <c:v>2.466666666666668E-2</c:v>
                </c:pt>
                <c:pt idx="38">
                  <c:v>2.5333333333333343E-2</c:v>
                </c:pt>
                <c:pt idx="39">
                  <c:v>2.6000000000000009E-2</c:v>
                </c:pt>
                <c:pt idx="40">
                  <c:v>2.6666666666666672E-2</c:v>
                </c:pt>
                <c:pt idx="41">
                  <c:v>2.7333333333333338E-2</c:v>
                </c:pt>
                <c:pt idx="42">
                  <c:v>2.8000000000000004E-2</c:v>
                </c:pt>
                <c:pt idx="43">
                  <c:v>2.8666666666666667E-2</c:v>
                </c:pt>
                <c:pt idx="44">
                  <c:v>2.9333333333333333E-2</c:v>
                </c:pt>
                <c:pt idx="45">
                  <c:v>0.03</c:v>
                </c:pt>
                <c:pt idx="46">
                  <c:v>3.0666666666666662E-2</c:v>
                </c:pt>
                <c:pt idx="47">
                  <c:v>3.1333333333333324E-2</c:v>
                </c:pt>
                <c:pt idx="48">
                  <c:v>3.1999999999999994E-2</c:v>
                </c:pt>
                <c:pt idx="49">
                  <c:v>3.2666666666666656E-2</c:v>
                </c:pt>
                <c:pt idx="50">
                  <c:v>3.3333333333333319E-2</c:v>
                </c:pt>
              </c:numCache>
            </c:numRef>
          </c:xVal>
          <c:yVal>
            <c:numRef>
              <c:f>'Burland damage classification'!$Y$327:$Y$377</c:f>
              <c:numCache>
                <c:formatCode>0.0000000000</c:formatCode>
                <c:ptCount val="51"/>
                <c:pt idx="0">
                  <c:v>3.3562196612887937E-2</c:v>
                </c:pt>
                <c:pt idx="1">
                  <c:v>3.3326433156000909E-2</c:v>
                </c:pt>
                <c:pt idx="2">
                  <c:v>3.3088989895743978E-2</c:v>
                </c:pt>
                <c:pt idx="3">
                  <c:v>3.2849830406562176E-2</c:v>
                </c:pt>
                <c:pt idx="4">
                  <c:v>3.260891692710978E-2</c:v>
                </c:pt>
                <c:pt idx="5">
                  <c:v>3.23662102906472E-2</c:v>
                </c:pt>
                <c:pt idx="6">
                  <c:v>3.2121669850704318E-2</c:v>
                </c:pt>
                <c:pt idx="7">
                  <c:v>3.187525340161073E-2</c:v>
                </c:pt>
                <c:pt idx="8">
                  <c:v>3.1626917093452951E-2</c:v>
                </c:pt>
                <c:pt idx="9">
                  <c:v>3.1376615340973225E-2</c:v>
                </c:pt>
                <c:pt idx="10">
                  <c:v>3.1124300725874091E-2</c:v>
                </c:pt>
                <c:pt idx="11">
                  <c:v>3.0869923891935599E-2</c:v>
                </c:pt>
                <c:pt idx="12">
                  <c:v>3.0613433432288291E-2</c:v>
                </c:pt>
                <c:pt idx="13">
                  <c:v>3.0354775768112605E-2</c:v>
                </c:pt>
                <c:pt idx="14">
                  <c:v>3.0093895017954161E-2</c:v>
                </c:pt>
                <c:pt idx="15">
                  <c:v>2.9830732856751876E-2</c:v>
                </c:pt>
                <c:pt idx="16">
                  <c:v>2.9565228363571727E-2</c:v>
                </c:pt>
                <c:pt idx="17">
                  <c:v>2.9297317856919875E-2</c:v>
                </c:pt>
                <c:pt idx="18">
                  <c:v>2.9026934716374138E-2</c:v>
                </c:pt>
                <c:pt idx="19">
                  <c:v>2.8754009189118235E-2</c:v>
                </c:pt>
                <c:pt idx="20">
                  <c:v>2.8478468179787095E-2</c:v>
                </c:pt>
                <c:pt idx="21">
                  <c:v>2.8200235021829084E-2</c:v>
                </c:pt>
                <c:pt idx="22">
                  <c:v>2.7919229228358829E-2</c:v>
                </c:pt>
                <c:pt idx="23">
                  <c:v>2.7635366220205865E-2</c:v>
                </c:pt>
                <c:pt idx="24">
                  <c:v>2.7348557028555372E-2</c:v>
                </c:pt>
                <c:pt idx="25">
                  <c:v>2.705870796921752E-2</c:v>
                </c:pt>
                <c:pt idx="26">
                  <c:v>2.6765720285145424E-2</c:v>
                </c:pt>
                <c:pt idx="27">
                  <c:v>2.6469489753334789E-2</c:v>
                </c:pt>
                <c:pt idx="28">
                  <c:v>2.6169906251669019E-2</c:v>
                </c:pt>
                <c:pt idx="29">
                  <c:v>2.5866853280605957E-2</c:v>
                </c:pt>
                <c:pt idx="30">
                  <c:v>2.5560207433814871E-2</c:v>
                </c:pt>
                <c:pt idx="31">
                  <c:v>2.5249837810942369E-2</c:v>
                </c:pt>
                <c:pt idx="32">
                  <c:v>2.493560536458149E-2</c:v>
                </c:pt>
                <c:pt idx="33">
                  <c:v>2.4617362172202669E-2</c:v>
                </c:pt>
                <c:pt idx="34">
                  <c:v>2.4294950622231047E-2</c:v>
                </c:pt>
                <c:pt idx="35">
                  <c:v>2.3968202501562244E-2</c:v>
                </c:pt>
                <c:pt idx="36">
                  <c:v>2.3636937969524409E-2</c:v>
                </c:pt>
                <c:pt idx="37">
                  <c:v>2.3300964400522022E-2</c:v>
                </c:pt>
                <c:pt idx="38">
                  <c:v>2.2960075074216213E-2</c:v>
                </c:pt>
                <c:pt idx="39">
                  <c:v>2.2614047687950396E-2</c:v>
                </c:pt>
                <c:pt idx="40">
                  <c:v>2.2262642661017237E-2</c:v>
                </c:pt>
                <c:pt idx="41">
                  <c:v>2.1905601194018725E-2</c:v>
                </c:pt>
                <c:pt idx="42">
                  <c:v>2.1542643038648824E-2</c:v>
                </c:pt>
                <c:pt idx="43">
                  <c:v>2.1173463923267126E-2</c:v>
                </c:pt>
                <c:pt idx="44">
                  <c:v>2.0797732567016641E-2</c:v>
                </c:pt>
                <c:pt idx="45">
                  <c:v>2.0415087199137663E-2</c:v>
                </c:pt>
                <c:pt idx="46">
                  <c:v>2.0025131479409677E-2</c:v>
                </c:pt>
                <c:pt idx="47">
                  <c:v>1.7538899010430743E-2</c:v>
                </c:pt>
                <c:pt idx="48">
                  <c:v>1.1692599340287196E-2</c:v>
                </c:pt>
                <c:pt idx="49">
                  <c:v>5.8462996701436473E-3</c:v>
                </c:pt>
                <c:pt idx="50">
                  <c:v>9.9535369646684023E-17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6E-42E9-B351-C58FEA24DB69}"/>
            </c:ext>
          </c:extLst>
        </c:ser>
        <c:ser>
          <c:idx val="0"/>
          <c:order val="1"/>
          <c:tx>
            <c:strRef>
              <c:f>'Burland damage classification'!$Q$35:$S$35</c:f>
              <c:strCache>
                <c:ptCount val="1"/>
                <c:pt idx="0">
                  <c:v>eps_lim= 0.050 %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'Burland damage classification'!$AL$327:$AL$402</c:f>
              <c:numCache>
                <c:formatCode>General</c:formatCode>
                <c:ptCount val="76"/>
                <c:pt idx="0">
                  <c:v>0</c:v>
                </c:pt>
                <c:pt idx="1">
                  <c:v>6.6666666666666664E-4</c:v>
                </c:pt>
                <c:pt idx="2">
                  <c:v>1.3333333333333333E-3</c:v>
                </c:pt>
                <c:pt idx="3">
                  <c:v>2E-3</c:v>
                </c:pt>
                <c:pt idx="4">
                  <c:v>2.6666666666666666E-3</c:v>
                </c:pt>
                <c:pt idx="5">
                  <c:v>3.3333333333333335E-3</c:v>
                </c:pt>
                <c:pt idx="6">
                  <c:v>4.0000000000000001E-3</c:v>
                </c:pt>
                <c:pt idx="7">
                  <c:v>4.6666666666666671E-3</c:v>
                </c:pt>
                <c:pt idx="8">
                  <c:v>5.333333333333334E-3</c:v>
                </c:pt>
                <c:pt idx="9">
                  <c:v>6.000000000000001E-3</c:v>
                </c:pt>
                <c:pt idx="10">
                  <c:v>6.6666666666666671E-3</c:v>
                </c:pt>
                <c:pt idx="11">
                  <c:v>7.3333333333333332E-3</c:v>
                </c:pt>
                <c:pt idx="12">
                  <c:v>8.0000000000000002E-3</c:v>
                </c:pt>
                <c:pt idx="13">
                  <c:v>8.6666666666666663E-3</c:v>
                </c:pt>
                <c:pt idx="14">
                  <c:v>9.3333333333333324E-3</c:v>
                </c:pt>
                <c:pt idx="15">
                  <c:v>9.9999999999999985E-3</c:v>
                </c:pt>
                <c:pt idx="16">
                  <c:v>1.0666666666666665E-2</c:v>
                </c:pt>
                <c:pt idx="17">
                  <c:v>1.1333333333333331E-2</c:v>
                </c:pt>
                <c:pt idx="18">
                  <c:v>1.1999999999999997E-2</c:v>
                </c:pt>
                <c:pt idx="19">
                  <c:v>1.2666666666666663E-2</c:v>
                </c:pt>
                <c:pt idx="20">
                  <c:v>1.3333333333333331E-2</c:v>
                </c:pt>
                <c:pt idx="21">
                  <c:v>1.3999999999999999E-2</c:v>
                </c:pt>
                <c:pt idx="22">
                  <c:v>1.4666666666666666E-2</c:v>
                </c:pt>
                <c:pt idx="23">
                  <c:v>1.5333333333333334E-2</c:v>
                </c:pt>
                <c:pt idx="24">
                  <c:v>1.6E-2</c:v>
                </c:pt>
                <c:pt idx="25">
                  <c:v>1.666666666666667E-2</c:v>
                </c:pt>
                <c:pt idx="26">
                  <c:v>1.7333333333333336E-2</c:v>
                </c:pt>
                <c:pt idx="27">
                  <c:v>1.8000000000000002E-2</c:v>
                </c:pt>
                <c:pt idx="28">
                  <c:v>1.8666666666666672E-2</c:v>
                </c:pt>
                <c:pt idx="29">
                  <c:v>1.9333333333333338E-2</c:v>
                </c:pt>
                <c:pt idx="30">
                  <c:v>2.0000000000000007E-2</c:v>
                </c:pt>
                <c:pt idx="31">
                  <c:v>2.0666666666666673E-2</c:v>
                </c:pt>
                <c:pt idx="32">
                  <c:v>2.1333333333333343E-2</c:v>
                </c:pt>
                <c:pt idx="33">
                  <c:v>2.2000000000000009E-2</c:v>
                </c:pt>
                <c:pt idx="34">
                  <c:v>2.2666666666666675E-2</c:v>
                </c:pt>
                <c:pt idx="35">
                  <c:v>2.3333333333333345E-2</c:v>
                </c:pt>
                <c:pt idx="36">
                  <c:v>2.4000000000000011E-2</c:v>
                </c:pt>
                <c:pt idx="37">
                  <c:v>2.466666666666668E-2</c:v>
                </c:pt>
                <c:pt idx="38">
                  <c:v>2.5333333333333343E-2</c:v>
                </c:pt>
                <c:pt idx="39">
                  <c:v>2.6000000000000009E-2</c:v>
                </c:pt>
                <c:pt idx="40">
                  <c:v>2.6666666666666672E-2</c:v>
                </c:pt>
                <c:pt idx="41">
                  <c:v>2.7333333333333338E-2</c:v>
                </c:pt>
                <c:pt idx="42">
                  <c:v>2.8000000000000004E-2</c:v>
                </c:pt>
                <c:pt idx="43">
                  <c:v>2.8666666666666667E-2</c:v>
                </c:pt>
                <c:pt idx="44">
                  <c:v>2.9333333333333333E-2</c:v>
                </c:pt>
                <c:pt idx="45">
                  <c:v>0.03</c:v>
                </c:pt>
                <c:pt idx="46">
                  <c:v>3.0666666666666662E-2</c:v>
                </c:pt>
                <c:pt idx="47">
                  <c:v>3.1333333333333324E-2</c:v>
                </c:pt>
                <c:pt idx="48">
                  <c:v>3.1999999999999994E-2</c:v>
                </c:pt>
                <c:pt idx="49">
                  <c:v>3.2666666666666656E-2</c:v>
                </c:pt>
                <c:pt idx="50">
                  <c:v>3.3333333333333319E-2</c:v>
                </c:pt>
                <c:pt idx="51">
                  <c:v>3.3999999999999989E-2</c:v>
                </c:pt>
                <c:pt idx="52">
                  <c:v>3.4666666666666651E-2</c:v>
                </c:pt>
                <c:pt idx="53">
                  <c:v>3.5333333333333314E-2</c:v>
                </c:pt>
                <c:pt idx="54">
                  <c:v>3.5999999999999983E-2</c:v>
                </c:pt>
                <c:pt idx="55">
                  <c:v>3.6666666666666646E-2</c:v>
                </c:pt>
                <c:pt idx="56">
                  <c:v>3.7333333333333309E-2</c:v>
                </c:pt>
                <c:pt idx="57">
                  <c:v>3.7999999999999978E-2</c:v>
                </c:pt>
                <c:pt idx="58">
                  <c:v>3.8666666666666641E-2</c:v>
                </c:pt>
                <c:pt idx="59">
                  <c:v>3.9333333333333304E-2</c:v>
                </c:pt>
                <c:pt idx="60">
                  <c:v>3.9999999999999966E-2</c:v>
                </c:pt>
                <c:pt idx="61">
                  <c:v>4.0666666666666636E-2</c:v>
                </c:pt>
                <c:pt idx="62">
                  <c:v>4.1333333333333298E-2</c:v>
                </c:pt>
                <c:pt idx="63">
                  <c:v>4.1999999999999961E-2</c:v>
                </c:pt>
                <c:pt idx="64">
                  <c:v>4.2666666666666631E-2</c:v>
                </c:pt>
                <c:pt idx="65">
                  <c:v>4.3333333333333293E-2</c:v>
                </c:pt>
                <c:pt idx="66">
                  <c:v>4.3999999999999956E-2</c:v>
                </c:pt>
                <c:pt idx="67">
                  <c:v>4.4666666666666625E-2</c:v>
                </c:pt>
                <c:pt idx="68">
                  <c:v>4.5333333333333288E-2</c:v>
                </c:pt>
                <c:pt idx="69">
                  <c:v>4.5999999999999951E-2</c:v>
                </c:pt>
                <c:pt idx="70">
                  <c:v>4.666666666666662E-2</c:v>
                </c:pt>
                <c:pt idx="71">
                  <c:v>4.7333333333333283E-2</c:v>
                </c:pt>
                <c:pt idx="72">
                  <c:v>4.7999999999999945E-2</c:v>
                </c:pt>
                <c:pt idx="73">
                  <c:v>4.8666666666666615E-2</c:v>
                </c:pt>
                <c:pt idx="74">
                  <c:v>4.9333333333333285E-2</c:v>
                </c:pt>
                <c:pt idx="75">
                  <c:v>4.9999999999999947E-2</c:v>
                </c:pt>
              </c:numCache>
            </c:numRef>
          </c:xVal>
          <c:yVal>
            <c:numRef>
              <c:f>'Burland damage classification'!$AH$327:$AH$402</c:f>
              <c:numCache>
                <c:formatCode>0.0000000000</c:formatCode>
                <c:ptCount val="76"/>
                <c:pt idx="0">
                  <c:v>5.0343294919331913E-2</c:v>
                </c:pt>
                <c:pt idx="1">
                  <c:v>5.0107808787290875E-2</c:v>
                </c:pt>
                <c:pt idx="2">
                  <c:v>4.9871210729162979E-2</c:v>
                </c:pt>
                <c:pt idx="3">
                  <c:v>4.963348484361596E-2</c:v>
                </c:pt>
                <c:pt idx="4">
                  <c:v>4.9394614846664513E-2</c:v>
                </c:pt>
                <c:pt idx="5">
                  <c:v>4.9154584058653215E-2</c:v>
                </c:pt>
                <c:pt idx="6">
                  <c:v>4.8913375390664662E-2</c:v>
                </c:pt>
                <c:pt idx="7">
                  <c:v>4.8670971330321271E-2</c:v>
                </c:pt>
                <c:pt idx="8">
                  <c:v>4.8427353926947428E-2</c:v>
                </c:pt>
                <c:pt idx="9">
                  <c:v>4.818250477605647E-2</c:v>
                </c:pt>
                <c:pt idx="10">
                  <c:v>4.7936405003124502E-2</c:v>
                </c:pt>
                <c:pt idx="11">
                  <c:v>4.7689035246610459E-2</c:v>
                </c:pt>
                <c:pt idx="12">
                  <c:v>4.744037564017943E-2</c:v>
                </c:pt>
                <c:pt idx="13">
                  <c:v>4.7190405794082811E-2</c:v>
                </c:pt>
                <c:pt idx="14">
                  <c:v>4.6939104775646071E-2</c:v>
                </c:pt>
                <c:pt idx="15">
                  <c:v>4.6686451088811129E-2</c:v>
                </c:pt>
                <c:pt idx="16">
                  <c:v>4.6432422652676969E-2</c:v>
                </c:pt>
                <c:pt idx="17">
                  <c:v>4.6176996778977561E-2</c:v>
                </c:pt>
                <c:pt idx="18">
                  <c:v>4.5920150148432433E-2</c:v>
                </c:pt>
                <c:pt idx="19">
                  <c:v>4.5661858785899789E-2</c:v>
                </c:pt>
                <c:pt idx="20">
                  <c:v>4.5402098034257501E-2</c:v>
                </c:pt>
                <c:pt idx="21">
                  <c:v>4.5140842526931235E-2</c:v>
                </c:pt>
                <c:pt idx="22">
                  <c:v>4.4878066158983258E-2</c:v>
                </c:pt>
                <c:pt idx="23">
                  <c:v>4.4613742056668522E-2</c:v>
                </c:pt>
                <c:pt idx="24">
                  <c:v>4.4347842545357584E-2</c:v>
                </c:pt>
                <c:pt idx="25">
                  <c:v>4.4080339115718056E-2</c:v>
                </c:pt>
                <c:pt idx="26">
                  <c:v>4.381120238803745E-2</c:v>
                </c:pt>
                <c:pt idx="27">
                  <c:v>4.3540402074561196E-2</c:v>
                </c:pt>
                <c:pt idx="28">
                  <c:v>4.3267906939709118E-2</c:v>
                </c:pt>
                <c:pt idx="29">
                  <c:v>4.2993684758022344E-2</c:v>
                </c:pt>
                <c:pt idx="30">
                  <c:v>4.2717702269680635E-2</c:v>
                </c:pt>
                <c:pt idx="31">
                  <c:v>4.2439925133415969E-2</c:v>
                </c:pt>
                <c:pt idx="32">
                  <c:v>4.2160317876634039E-2</c:v>
                </c:pt>
                <c:pt idx="33">
                  <c:v>4.1878843842538233E-2</c:v>
                </c:pt>
                <c:pt idx="34">
                  <c:v>4.1595465134033262E-2</c:v>
                </c:pt>
                <c:pt idx="35">
                  <c:v>4.1310142554165222E-2</c:v>
                </c:pt>
                <c:pt idx="36">
                  <c:v>4.1022835542833057E-2</c:v>
                </c:pt>
                <c:pt idx="37">
                  <c:v>4.0733502109482338E-2</c:v>
                </c:pt>
                <c:pt idx="38">
                  <c:v>4.0442098761464852E-2</c:v>
                </c:pt>
                <c:pt idx="39">
                  <c:v>4.0148580427718135E-2</c:v>
                </c:pt>
                <c:pt idx="40">
                  <c:v>3.9852900377385668E-2</c:v>
                </c:pt>
                <c:pt idx="41">
                  <c:v>3.9555010132961692E-2</c:v>
                </c:pt>
                <c:pt idx="42">
                  <c:v>3.9254859377503531E-2</c:v>
                </c:pt>
                <c:pt idx="43">
                  <c:v>3.8952395855408592E-2</c:v>
                </c:pt>
                <c:pt idx="44">
                  <c:v>3.8647565266201785E-2</c:v>
                </c:pt>
                <c:pt idx="45">
                  <c:v>3.8340311150722312E-2</c:v>
                </c:pt>
                <c:pt idx="46">
                  <c:v>3.8030574769033883E-2</c:v>
                </c:pt>
                <c:pt idx="47">
                  <c:v>3.7718294969311006E-2</c:v>
                </c:pt>
                <c:pt idx="48">
                  <c:v>3.7403408046872234E-2</c:v>
                </c:pt>
                <c:pt idx="49">
                  <c:v>3.7085847592440192E-2</c:v>
                </c:pt>
                <c:pt idx="50">
                  <c:v>3.6765544328604419E-2</c:v>
                </c:pt>
                <c:pt idx="51">
                  <c:v>3.6442425933346588E-2</c:v>
                </c:pt>
                <c:pt idx="52">
                  <c:v>3.6116416849354349E-2</c:v>
                </c:pt>
                <c:pt idx="53">
                  <c:v>3.5787438077699858E-2</c:v>
                </c:pt>
                <c:pt idx="54">
                  <c:v>3.5455406954286631E-2</c:v>
                </c:pt>
                <c:pt idx="55">
                  <c:v>3.512023690727259E-2</c:v>
                </c:pt>
                <c:pt idx="56">
                  <c:v>3.4781837193452368E-2</c:v>
                </c:pt>
                <c:pt idx="57">
                  <c:v>3.4440112611324333E-2</c:v>
                </c:pt>
                <c:pt idx="58">
                  <c:v>3.4094963188271321E-2</c:v>
                </c:pt>
                <c:pt idx="59">
                  <c:v>3.3746283838942195E-2</c:v>
                </c:pt>
                <c:pt idx="60">
                  <c:v>3.3393963991525867E-2</c:v>
                </c:pt>
                <c:pt idx="61">
                  <c:v>3.3037887178150503E-2</c:v>
                </c:pt>
                <c:pt idx="62">
                  <c:v>3.2677930585107082E-2</c:v>
                </c:pt>
                <c:pt idx="63">
                  <c:v>3.2313964557973245E-2</c:v>
                </c:pt>
                <c:pt idx="64">
                  <c:v>3.1945852055984152E-2</c:v>
                </c:pt>
                <c:pt idx="65">
                  <c:v>3.1573448049139342E-2</c:v>
                </c:pt>
                <c:pt idx="66">
                  <c:v>3.1196598850524979E-2</c:v>
                </c:pt>
                <c:pt idx="67">
                  <c:v>3.0815141375133283E-2</c:v>
                </c:pt>
                <c:pt idx="68">
                  <c:v>3.0428902315041313E-2</c:v>
                </c:pt>
                <c:pt idx="69">
                  <c:v>3.0037697219114534E-2</c:v>
                </c:pt>
                <c:pt idx="70">
                  <c:v>2.9231498350718272E-2</c:v>
                </c:pt>
                <c:pt idx="71">
                  <c:v>2.3385198680574721E-2</c:v>
                </c:pt>
                <c:pt idx="72">
                  <c:v>1.753889901043117E-2</c:v>
                </c:pt>
                <c:pt idx="73">
                  <c:v>1.1692599340287622E-2</c:v>
                </c:pt>
                <c:pt idx="74">
                  <c:v>5.8462996701440749E-3</c:v>
                </c:pt>
                <c:pt idx="75">
                  <c:v>5.2738889887422131E-16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6E-42E9-B351-C58FEA24DB69}"/>
            </c:ext>
          </c:extLst>
        </c:ser>
        <c:ser>
          <c:idx val="2"/>
          <c:order val="2"/>
          <c:tx>
            <c:strRef>
              <c:f>'Burland damage classification'!$Q$36:$S$36</c:f>
              <c:strCache>
                <c:ptCount val="1"/>
                <c:pt idx="0">
                  <c:v>eps_lim= 0.100 %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'Burland damage classification'!$AU$327:$AU$477</c:f>
              <c:numCache>
                <c:formatCode>General</c:formatCode>
                <c:ptCount val="151"/>
                <c:pt idx="0">
                  <c:v>0</c:v>
                </c:pt>
                <c:pt idx="1">
                  <c:v>6.6666666666666664E-4</c:v>
                </c:pt>
                <c:pt idx="2">
                  <c:v>1.3333333333333333E-3</c:v>
                </c:pt>
                <c:pt idx="3">
                  <c:v>2E-3</c:v>
                </c:pt>
                <c:pt idx="4">
                  <c:v>2.6666666666666666E-3</c:v>
                </c:pt>
                <c:pt idx="5">
                  <c:v>3.3333333333333335E-3</c:v>
                </c:pt>
                <c:pt idx="6">
                  <c:v>4.0000000000000001E-3</c:v>
                </c:pt>
                <c:pt idx="7">
                  <c:v>4.6666666666666671E-3</c:v>
                </c:pt>
                <c:pt idx="8">
                  <c:v>5.333333333333334E-3</c:v>
                </c:pt>
                <c:pt idx="9">
                  <c:v>6.000000000000001E-3</c:v>
                </c:pt>
                <c:pt idx="10">
                  <c:v>6.6666666666666671E-3</c:v>
                </c:pt>
                <c:pt idx="11">
                  <c:v>7.3333333333333332E-3</c:v>
                </c:pt>
                <c:pt idx="12">
                  <c:v>8.0000000000000002E-3</c:v>
                </c:pt>
                <c:pt idx="13">
                  <c:v>8.6666666666666663E-3</c:v>
                </c:pt>
                <c:pt idx="14">
                  <c:v>9.3333333333333324E-3</c:v>
                </c:pt>
                <c:pt idx="15">
                  <c:v>9.9999999999999985E-3</c:v>
                </c:pt>
                <c:pt idx="16">
                  <c:v>1.0666666666666665E-2</c:v>
                </c:pt>
                <c:pt idx="17">
                  <c:v>1.1333333333333331E-2</c:v>
                </c:pt>
                <c:pt idx="18">
                  <c:v>1.1999999999999997E-2</c:v>
                </c:pt>
                <c:pt idx="19">
                  <c:v>1.2666666666666663E-2</c:v>
                </c:pt>
                <c:pt idx="20">
                  <c:v>1.3333333333333331E-2</c:v>
                </c:pt>
                <c:pt idx="21">
                  <c:v>1.3999999999999999E-2</c:v>
                </c:pt>
                <c:pt idx="22">
                  <c:v>1.4666666666666666E-2</c:v>
                </c:pt>
                <c:pt idx="23">
                  <c:v>1.5333333333333334E-2</c:v>
                </c:pt>
                <c:pt idx="24">
                  <c:v>1.6E-2</c:v>
                </c:pt>
                <c:pt idx="25">
                  <c:v>1.666666666666667E-2</c:v>
                </c:pt>
                <c:pt idx="26">
                  <c:v>1.7333333333333336E-2</c:v>
                </c:pt>
                <c:pt idx="27">
                  <c:v>1.8000000000000002E-2</c:v>
                </c:pt>
                <c:pt idx="28">
                  <c:v>1.8666666666666672E-2</c:v>
                </c:pt>
                <c:pt idx="29">
                  <c:v>1.9333333333333338E-2</c:v>
                </c:pt>
                <c:pt idx="30">
                  <c:v>2.0000000000000007E-2</c:v>
                </c:pt>
                <c:pt idx="31">
                  <c:v>2.0666666666666673E-2</c:v>
                </c:pt>
                <c:pt idx="32">
                  <c:v>2.1333333333333343E-2</c:v>
                </c:pt>
                <c:pt idx="33">
                  <c:v>2.2000000000000009E-2</c:v>
                </c:pt>
                <c:pt idx="34">
                  <c:v>2.2666666666666675E-2</c:v>
                </c:pt>
                <c:pt idx="35">
                  <c:v>2.3333333333333345E-2</c:v>
                </c:pt>
                <c:pt idx="36">
                  <c:v>2.4000000000000011E-2</c:v>
                </c:pt>
                <c:pt idx="37">
                  <c:v>2.466666666666668E-2</c:v>
                </c:pt>
                <c:pt idx="38">
                  <c:v>2.5333333333333343E-2</c:v>
                </c:pt>
                <c:pt idx="39">
                  <c:v>2.6000000000000009E-2</c:v>
                </c:pt>
                <c:pt idx="40">
                  <c:v>2.6666666666666672E-2</c:v>
                </c:pt>
                <c:pt idx="41">
                  <c:v>2.7333333333333338E-2</c:v>
                </c:pt>
                <c:pt idx="42">
                  <c:v>2.8000000000000004E-2</c:v>
                </c:pt>
                <c:pt idx="43">
                  <c:v>2.8666666666666667E-2</c:v>
                </c:pt>
                <c:pt idx="44">
                  <c:v>2.9333333333333333E-2</c:v>
                </c:pt>
                <c:pt idx="45">
                  <c:v>0.03</c:v>
                </c:pt>
                <c:pt idx="46">
                  <c:v>3.0666666666666662E-2</c:v>
                </c:pt>
                <c:pt idx="47">
                  <c:v>3.1333333333333324E-2</c:v>
                </c:pt>
                <c:pt idx="48">
                  <c:v>3.1999999999999994E-2</c:v>
                </c:pt>
                <c:pt idx="49">
                  <c:v>3.2666666666666656E-2</c:v>
                </c:pt>
                <c:pt idx="50">
                  <c:v>3.3333333333333319E-2</c:v>
                </c:pt>
                <c:pt idx="51">
                  <c:v>3.3999999999999989E-2</c:v>
                </c:pt>
                <c:pt idx="52">
                  <c:v>3.4666666666666651E-2</c:v>
                </c:pt>
                <c:pt idx="53">
                  <c:v>3.5333333333333314E-2</c:v>
                </c:pt>
                <c:pt idx="54">
                  <c:v>3.5999999999999983E-2</c:v>
                </c:pt>
                <c:pt idx="55">
                  <c:v>3.6666666666666646E-2</c:v>
                </c:pt>
                <c:pt idx="56">
                  <c:v>3.7333333333333309E-2</c:v>
                </c:pt>
                <c:pt idx="57">
                  <c:v>3.7999999999999978E-2</c:v>
                </c:pt>
                <c:pt idx="58">
                  <c:v>3.8666666666666641E-2</c:v>
                </c:pt>
                <c:pt idx="59">
                  <c:v>3.9333333333333304E-2</c:v>
                </c:pt>
                <c:pt idx="60">
                  <c:v>3.9999999999999966E-2</c:v>
                </c:pt>
                <c:pt idx="61">
                  <c:v>4.0666666666666636E-2</c:v>
                </c:pt>
                <c:pt idx="62">
                  <c:v>4.1333333333333298E-2</c:v>
                </c:pt>
                <c:pt idx="63">
                  <c:v>4.1999999999999961E-2</c:v>
                </c:pt>
                <c:pt idx="64">
                  <c:v>4.2666666666666631E-2</c:v>
                </c:pt>
                <c:pt idx="65">
                  <c:v>4.3333333333333293E-2</c:v>
                </c:pt>
                <c:pt idx="66">
                  <c:v>4.3999999999999956E-2</c:v>
                </c:pt>
                <c:pt idx="67">
                  <c:v>4.4666666666666625E-2</c:v>
                </c:pt>
                <c:pt idx="68">
                  <c:v>4.5333333333333288E-2</c:v>
                </c:pt>
                <c:pt idx="69">
                  <c:v>4.5999999999999951E-2</c:v>
                </c:pt>
                <c:pt idx="70">
                  <c:v>4.666666666666662E-2</c:v>
                </c:pt>
                <c:pt idx="71">
                  <c:v>4.7333333333333283E-2</c:v>
                </c:pt>
                <c:pt idx="72">
                  <c:v>4.7999999999999945E-2</c:v>
                </c:pt>
                <c:pt idx="73">
                  <c:v>4.8666666666666615E-2</c:v>
                </c:pt>
                <c:pt idx="74">
                  <c:v>4.9333333333333285E-2</c:v>
                </c:pt>
                <c:pt idx="75">
                  <c:v>4.9999999999999947E-2</c:v>
                </c:pt>
                <c:pt idx="76">
                  <c:v>5.066666666666661E-2</c:v>
                </c:pt>
                <c:pt idx="77">
                  <c:v>5.1333333333333279E-2</c:v>
                </c:pt>
                <c:pt idx="78">
                  <c:v>5.1999999999999942E-2</c:v>
                </c:pt>
                <c:pt idx="79">
                  <c:v>5.2666666666666605E-2</c:v>
                </c:pt>
                <c:pt idx="80">
                  <c:v>5.3333333333333274E-2</c:v>
                </c:pt>
                <c:pt idx="81">
                  <c:v>5.3999999999999937E-2</c:v>
                </c:pt>
                <c:pt idx="82">
                  <c:v>5.46666666666666E-2</c:v>
                </c:pt>
                <c:pt idx="83">
                  <c:v>5.5333333333333262E-2</c:v>
                </c:pt>
                <c:pt idx="84">
                  <c:v>5.5999999999999932E-2</c:v>
                </c:pt>
                <c:pt idx="85">
                  <c:v>5.6666666666666594E-2</c:v>
                </c:pt>
                <c:pt idx="86">
                  <c:v>5.7333333333333257E-2</c:v>
                </c:pt>
                <c:pt idx="87">
                  <c:v>5.7999999999999927E-2</c:v>
                </c:pt>
                <c:pt idx="88">
                  <c:v>5.8666666666666589E-2</c:v>
                </c:pt>
                <c:pt idx="89">
                  <c:v>5.9333333333333252E-2</c:v>
                </c:pt>
                <c:pt idx="90">
                  <c:v>5.9999999999999921E-2</c:v>
                </c:pt>
                <c:pt idx="91">
                  <c:v>6.0666666666666584E-2</c:v>
                </c:pt>
                <c:pt idx="92">
                  <c:v>6.1333333333333247E-2</c:v>
                </c:pt>
                <c:pt idx="93">
                  <c:v>6.1999999999999916E-2</c:v>
                </c:pt>
                <c:pt idx="94">
                  <c:v>6.2666666666666579E-2</c:v>
                </c:pt>
                <c:pt idx="95">
                  <c:v>6.3333333333333242E-2</c:v>
                </c:pt>
                <c:pt idx="96">
                  <c:v>6.3999999999999904E-2</c:v>
                </c:pt>
                <c:pt idx="97">
                  <c:v>6.4666666666666567E-2</c:v>
                </c:pt>
                <c:pt idx="98">
                  <c:v>6.5333333333333243E-2</c:v>
                </c:pt>
                <c:pt idx="99">
                  <c:v>6.5999999999999906E-2</c:v>
                </c:pt>
                <c:pt idx="100">
                  <c:v>6.6666666666666569E-2</c:v>
                </c:pt>
                <c:pt idx="101">
                  <c:v>6.7333333333333231E-2</c:v>
                </c:pt>
                <c:pt idx="102">
                  <c:v>6.7999999999999894E-2</c:v>
                </c:pt>
                <c:pt idx="103">
                  <c:v>6.8666666666666556E-2</c:v>
                </c:pt>
                <c:pt idx="104">
                  <c:v>6.9333333333333219E-2</c:v>
                </c:pt>
                <c:pt idx="105">
                  <c:v>6.9999999999999896E-2</c:v>
                </c:pt>
                <c:pt idx="106">
                  <c:v>7.0666666666666558E-2</c:v>
                </c:pt>
                <c:pt idx="107">
                  <c:v>7.1333333333333221E-2</c:v>
                </c:pt>
                <c:pt idx="108">
                  <c:v>7.1999999999999884E-2</c:v>
                </c:pt>
                <c:pt idx="109">
                  <c:v>7.2666666666666546E-2</c:v>
                </c:pt>
                <c:pt idx="110">
                  <c:v>7.3333333333333209E-2</c:v>
                </c:pt>
                <c:pt idx="111">
                  <c:v>7.3999999999999885E-2</c:v>
                </c:pt>
                <c:pt idx="112">
                  <c:v>7.4666666666666548E-2</c:v>
                </c:pt>
                <c:pt idx="113">
                  <c:v>7.5333333333333211E-2</c:v>
                </c:pt>
                <c:pt idx="114">
                  <c:v>7.5999999999999873E-2</c:v>
                </c:pt>
                <c:pt idx="115">
                  <c:v>7.6666666666666536E-2</c:v>
                </c:pt>
                <c:pt idx="116">
                  <c:v>7.7333333333333198E-2</c:v>
                </c:pt>
                <c:pt idx="117">
                  <c:v>7.7999999999999875E-2</c:v>
                </c:pt>
                <c:pt idx="118">
                  <c:v>7.8666666666666538E-2</c:v>
                </c:pt>
                <c:pt idx="119">
                  <c:v>7.93333333333332E-2</c:v>
                </c:pt>
                <c:pt idx="120">
                  <c:v>7.9999999999999863E-2</c:v>
                </c:pt>
                <c:pt idx="121">
                  <c:v>8.0666666666666526E-2</c:v>
                </c:pt>
                <c:pt idx="122">
                  <c:v>8.1333333333333188E-2</c:v>
                </c:pt>
                <c:pt idx="123">
                  <c:v>8.1999999999999851E-2</c:v>
                </c:pt>
                <c:pt idx="124">
                  <c:v>8.2666666666666527E-2</c:v>
                </c:pt>
                <c:pt idx="125">
                  <c:v>8.333333333333319E-2</c:v>
                </c:pt>
                <c:pt idx="126">
                  <c:v>8.3999999999999853E-2</c:v>
                </c:pt>
                <c:pt idx="127">
                  <c:v>8.4666666666666515E-2</c:v>
                </c:pt>
                <c:pt idx="128">
                  <c:v>8.5333333333333178E-2</c:v>
                </c:pt>
                <c:pt idx="129">
                  <c:v>8.599999999999984E-2</c:v>
                </c:pt>
                <c:pt idx="130">
                  <c:v>8.6666666666666517E-2</c:v>
                </c:pt>
                <c:pt idx="131">
                  <c:v>8.733333333333318E-2</c:v>
                </c:pt>
                <c:pt idx="132">
                  <c:v>8.7999999999999842E-2</c:v>
                </c:pt>
                <c:pt idx="133">
                  <c:v>8.8666666666666505E-2</c:v>
                </c:pt>
                <c:pt idx="134">
                  <c:v>8.9333333333333168E-2</c:v>
                </c:pt>
                <c:pt idx="135">
                  <c:v>8.999999999999983E-2</c:v>
                </c:pt>
                <c:pt idx="136">
                  <c:v>9.0666666666666507E-2</c:v>
                </c:pt>
                <c:pt idx="137">
                  <c:v>9.1333333333333169E-2</c:v>
                </c:pt>
                <c:pt idx="138">
                  <c:v>9.1999999999999832E-2</c:v>
                </c:pt>
                <c:pt idx="139">
                  <c:v>9.2666666666666495E-2</c:v>
                </c:pt>
                <c:pt idx="140">
                  <c:v>9.3333333333333157E-2</c:v>
                </c:pt>
                <c:pt idx="141">
                  <c:v>9.399999999999982E-2</c:v>
                </c:pt>
                <c:pt idx="142">
                  <c:v>9.4666666666666482E-2</c:v>
                </c:pt>
                <c:pt idx="143">
                  <c:v>9.5333333333333159E-2</c:v>
                </c:pt>
                <c:pt idx="144">
                  <c:v>9.5999999999999822E-2</c:v>
                </c:pt>
                <c:pt idx="145">
                  <c:v>9.6666666666666484E-2</c:v>
                </c:pt>
                <c:pt idx="146">
                  <c:v>9.7333333333333147E-2</c:v>
                </c:pt>
                <c:pt idx="147">
                  <c:v>9.7999999999999823E-2</c:v>
                </c:pt>
                <c:pt idx="148">
                  <c:v>9.86666666666665E-2</c:v>
                </c:pt>
                <c:pt idx="149">
                  <c:v>9.9333333333333176E-2</c:v>
                </c:pt>
                <c:pt idx="150">
                  <c:v>9.9999999999999853E-2</c:v>
                </c:pt>
              </c:numCache>
            </c:numRef>
          </c:xVal>
          <c:yVal>
            <c:numRef>
              <c:f>'Burland damage classification'!$AQ$327:$AQ$477</c:f>
              <c:numCache>
                <c:formatCode>0.0000000000</c:formatCode>
                <c:ptCount val="151"/>
                <c:pt idx="0">
                  <c:v>0.10068658983866383</c:v>
                </c:pt>
                <c:pt idx="1">
                  <c:v>0.10045137972968352</c:v>
                </c:pt>
                <c:pt idx="2">
                  <c:v>0.10021561757458175</c:v>
                </c:pt>
                <c:pt idx="3">
                  <c:v>9.9979299468002741E-2</c:v>
                </c:pt>
                <c:pt idx="4">
                  <c:v>9.9742421458325958E-2</c:v>
                </c:pt>
                <c:pt idx="5">
                  <c:v>9.9504979546895411E-2</c:v>
                </c:pt>
                <c:pt idx="6">
                  <c:v>9.9266969687231921E-2</c:v>
                </c:pt>
                <c:pt idx="7">
                  <c:v>9.9028387784228677E-2</c:v>
                </c:pt>
                <c:pt idx="8">
                  <c:v>9.8789229693329025E-2</c:v>
                </c:pt>
                <c:pt idx="9">
                  <c:v>9.8549491219686508E-2</c:v>
                </c:pt>
                <c:pt idx="10">
                  <c:v>9.8309168117306431E-2</c:v>
                </c:pt>
                <c:pt idx="11">
                  <c:v>9.8068256088168368E-2</c:v>
                </c:pt>
                <c:pt idx="12">
                  <c:v>9.7826750781329325E-2</c:v>
                </c:pt>
                <c:pt idx="13">
                  <c:v>9.7584647792007082E-2</c:v>
                </c:pt>
                <c:pt idx="14">
                  <c:v>9.7341942660642541E-2</c:v>
                </c:pt>
                <c:pt idx="15">
                  <c:v>9.7098630871941594E-2</c:v>
                </c:pt>
                <c:pt idx="16">
                  <c:v>9.6854707853894856E-2</c:v>
                </c:pt>
                <c:pt idx="17">
                  <c:v>9.6610168976775268E-2</c:v>
                </c:pt>
                <c:pt idx="18">
                  <c:v>9.636500955211294E-2</c:v>
                </c:pt>
                <c:pt idx="19">
                  <c:v>9.6119224831646283E-2</c:v>
                </c:pt>
                <c:pt idx="20">
                  <c:v>9.5872810006249004E-2</c:v>
                </c:pt>
                <c:pt idx="21">
                  <c:v>9.5625760204832197E-2</c:v>
                </c:pt>
                <c:pt idx="22">
                  <c:v>9.5378070493220918E-2</c:v>
                </c:pt>
                <c:pt idx="23">
                  <c:v>9.5129735873004329E-2</c:v>
                </c:pt>
                <c:pt idx="24">
                  <c:v>9.4880751280358847E-2</c:v>
                </c:pt>
                <c:pt idx="25">
                  <c:v>9.4631111584843317E-2</c:v>
                </c:pt>
                <c:pt idx="26">
                  <c:v>9.4380811588165622E-2</c:v>
                </c:pt>
                <c:pt idx="27">
                  <c:v>9.4129846022919683E-2</c:v>
                </c:pt>
                <c:pt idx="28">
                  <c:v>9.3878209551292141E-2</c:v>
                </c:pt>
                <c:pt idx="29">
                  <c:v>9.3625896763737684E-2</c:v>
                </c:pt>
                <c:pt idx="30">
                  <c:v>9.3372902177622258E-2</c:v>
                </c:pt>
                <c:pt idx="31">
                  <c:v>9.3119220235832995E-2</c:v>
                </c:pt>
                <c:pt idx="32">
                  <c:v>9.2864845305353938E-2</c:v>
                </c:pt>
                <c:pt idx="33">
                  <c:v>9.2609771675806793E-2</c:v>
                </c:pt>
                <c:pt idx="34">
                  <c:v>9.2353993557955108E-2</c:v>
                </c:pt>
                <c:pt idx="35">
                  <c:v>9.209750508217128E-2</c:v>
                </c:pt>
                <c:pt idx="36">
                  <c:v>9.1840300296864852E-2</c:v>
                </c:pt>
                <c:pt idx="37">
                  <c:v>9.1582373166871275E-2</c:v>
                </c:pt>
                <c:pt idx="38">
                  <c:v>9.1323717571799579E-2</c:v>
                </c:pt>
                <c:pt idx="39">
                  <c:v>9.1064327304337805E-2</c:v>
                </c:pt>
                <c:pt idx="40">
                  <c:v>9.0804196068515003E-2</c:v>
                </c:pt>
                <c:pt idx="41">
                  <c:v>9.0543317477918064E-2</c:v>
                </c:pt>
                <c:pt idx="42">
                  <c:v>9.028168505386247E-2</c:v>
                </c:pt>
                <c:pt idx="43">
                  <c:v>9.0019292223514874E-2</c:v>
                </c:pt>
                <c:pt idx="44">
                  <c:v>8.9756132317966517E-2</c:v>
                </c:pt>
                <c:pt idx="45">
                  <c:v>8.9492198570255643E-2</c:v>
                </c:pt>
                <c:pt idx="46">
                  <c:v>8.9227484113337044E-2</c:v>
                </c:pt>
                <c:pt idx="47">
                  <c:v>8.8961981977997567E-2</c:v>
                </c:pt>
                <c:pt idx="48">
                  <c:v>8.8695685090715182E-2</c:v>
                </c:pt>
                <c:pt idx="49">
                  <c:v>8.8428586271460108E-2</c:v>
                </c:pt>
                <c:pt idx="50">
                  <c:v>8.8160678231436126E-2</c:v>
                </c:pt>
                <c:pt idx="51">
                  <c:v>8.7891953570759629E-2</c:v>
                </c:pt>
                <c:pt idx="52">
                  <c:v>8.76224047760749E-2</c:v>
                </c:pt>
                <c:pt idx="53">
                  <c:v>8.7352024218103064E-2</c:v>
                </c:pt>
                <c:pt idx="54">
                  <c:v>8.7080804149122407E-2</c:v>
                </c:pt>
                <c:pt idx="55">
                  <c:v>8.6808736700378059E-2</c:v>
                </c:pt>
                <c:pt idx="56">
                  <c:v>8.6535813879418236E-2</c:v>
                </c:pt>
                <c:pt idx="57">
                  <c:v>8.6262027567354724E-2</c:v>
                </c:pt>
                <c:pt idx="58">
                  <c:v>8.5987369516044701E-2</c:v>
                </c:pt>
                <c:pt idx="59">
                  <c:v>8.5711831345191572E-2</c:v>
                </c:pt>
                <c:pt idx="60">
                  <c:v>8.5435404539361284E-2</c:v>
                </c:pt>
                <c:pt idx="61">
                  <c:v>8.5158080444911771E-2</c:v>
                </c:pt>
                <c:pt idx="62">
                  <c:v>8.4879850266831966E-2</c:v>
                </c:pt>
                <c:pt idx="63">
                  <c:v>8.4600705065487267E-2</c:v>
                </c:pt>
                <c:pt idx="64">
                  <c:v>8.4320635753268092E-2</c:v>
                </c:pt>
                <c:pt idx="65">
                  <c:v>8.4039633091137794E-2</c:v>
                </c:pt>
                <c:pt idx="66">
                  <c:v>8.3757687685076493E-2</c:v>
                </c:pt>
                <c:pt idx="67">
                  <c:v>8.3474789982416628E-2</c:v>
                </c:pt>
                <c:pt idx="68">
                  <c:v>8.3190930268066565E-2</c:v>
                </c:pt>
                <c:pt idx="69">
                  <c:v>8.2906098660617628E-2</c:v>
                </c:pt>
                <c:pt idx="70">
                  <c:v>8.2620285108330471E-2</c:v>
                </c:pt>
                <c:pt idx="71">
                  <c:v>8.2333479384996022E-2</c:v>
                </c:pt>
                <c:pt idx="72">
                  <c:v>8.2045671085666155E-2</c:v>
                </c:pt>
                <c:pt idx="73">
                  <c:v>8.1756849622249161E-2</c:v>
                </c:pt>
                <c:pt idx="74">
                  <c:v>8.1467004218964703E-2</c:v>
                </c:pt>
                <c:pt idx="75">
                  <c:v>8.1176123907652567E-2</c:v>
                </c:pt>
                <c:pt idx="76">
                  <c:v>8.0884197522929732E-2</c:v>
                </c:pt>
                <c:pt idx="77">
                  <c:v>8.0591213697189495E-2</c:v>
                </c:pt>
                <c:pt idx="78">
                  <c:v>8.0297160855436298E-2</c:v>
                </c:pt>
                <c:pt idx="79">
                  <c:v>8.0002027209949894E-2</c:v>
                </c:pt>
                <c:pt idx="80">
                  <c:v>7.9705800754771378E-2</c:v>
                </c:pt>
                <c:pt idx="81">
                  <c:v>7.9408469260004388E-2</c:v>
                </c:pt>
                <c:pt idx="82">
                  <c:v>7.9110020265923425E-2</c:v>
                </c:pt>
                <c:pt idx="83">
                  <c:v>7.8810441076881191E-2</c:v>
                </c:pt>
                <c:pt idx="84">
                  <c:v>7.8509718755007091E-2</c:v>
                </c:pt>
                <c:pt idx="85">
                  <c:v>7.8207840113687213E-2</c:v>
                </c:pt>
                <c:pt idx="86">
                  <c:v>7.7904791710817198E-2</c:v>
                </c:pt>
                <c:pt idx="87">
                  <c:v>7.7600559841817907E-2</c:v>
                </c:pt>
                <c:pt idx="88">
                  <c:v>7.7295130532403611E-2</c:v>
                </c:pt>
                <c:pt idx="89">
                  <c:v>7.6988489531091983E-2</c:v>
                </c:pt>
                <c:pt idx="90">
                  <c:v>7.6680622301444665E-2</c:v>
                </c:pt>
                <c:pt idx="91">
                  <c:v>7.6371514014025949E-2</c:v>
                </c:pt>
                <c:pt idx="92">
                  <c:v>7.6061149538067807E-2</c:v>
                </c:pt>
                <c:pt idx="93">
                  <c:v>7.5749513432827167E-2</c:v>
                </c:pt>
                <c:pt idx="94">
                  <c:v>7.543658993862204E-2</c:v>
                </c:pt>
                <c:pt idx="95">
                  <c:v>7.5122362967531595E-2</c:v>
                </c:pt>
                <c:pt idx="96">
                  <c:v>7.480681609374451E-2</c:v>
                </c:pt>
                <c:pt idx="97">
                  <c:v>7.4489932543539486E-2</c:v>
                </c:pt>
                <c:pt idx="98">
                  <c:v>7.4171695184880426E-2</c:v>
                </c:pt>
                <c:pt idx="99">
                  <c:v>7.3852086516608059E-2</c:v>
                </c:pt>
                <c:pt idx="100">
                  <c:v>7.3531088657208879E-2</c:v>
                </c:pt>
                <c:pt idx="101">
                  <c:v>7.3208683333140637E-2</c:v>
                </c:pt>
                <c:pt idx="102">
                  <c:v>7.2884851866693204E-2</c:v>
                </c:pt>
                <c:pt idx="103">
                  <c:v>7.2559575163361867E-2</c:v>
                </c:pt>
                <c:pt idx="104">
                  <c:v>7.2232833698708726E-2</c:v>
                </c:pt>
                <c:pt idx="105">
                  <c:v>7.1904607504686802E-2</c:v>
                </c:pt>
                <c:pt idx="106">
                  <c:v>7.1574876155399744E-2</c:v>
                </c:pt>
                <c:pt idx="107">
                  <c:v>7.124361875226834E-2</c:v>
                </c:pt>
                <c:pt idx="108">
                  <c:v>7.0910813908573289E-2</c:v>
                </c:pt>
                <c:pt idx="109">
                  <c:v>7.0576439733342045E-2</c:v>
                </c:pt>
                <c:pt idx="110">
                  <c:v>7.0240473814545221E-2</c:v>
                </c:pt>
                <c:pt idx="111">
                  <c:v>6.9902893201566146E-2</c:v>
                </c:pt>
                <c:pt idx="112">
                  <c:v>6.9563674386904778E-2</c:v>
                </c:pt>
                <c:pt idx="113">
                  <c:v>6.9222793287074605E-2</c:v>
                </c:pt>
                <c:pt idx="114">
                  <c:v>6.8880225222648708E-2</c:v>
                </c:pt>
                <c:pt idx="115">
                  <c:v>6.8535944897408121E-2</c:v>
                </c:pt>
                <c:pt idx="116">
                  <c:v>6.8189926376542684E-2</c:v>
                </c:pt>
                <c:pt idx="117">
                  <c:v>6.7842143063851251E-2</c:v>
                </c:pt>
                <c:pt idx="118">
                  <c:v>6.7492567677884432E-2</c:v>
                </c:pt>
                <c:pt idx="119">
                  <c:v>6.7141172226969359E-2</c:v>
                </c:pt>
                <c:pt idx="120">
                  <c:v>6.6787927983051776E-2</c:v>
                </c:pt>
                <c:pt idx="121">
                  <c:v>6.643280545428637E-2</c:v>
                </c:pt>
                <c:pt idx="122">
                  <c:v>6.6075774356301048E-2</c:v>
                </c:pt>
                <c:pt idx="123">
                  <c:v>6.5716803582056255E-2</c:v>
                </c:pt>
                <c:pt idx="124">
                  <c:v>6.5355861170214191E-2</c:v>
                </c:pt>
                <c:pt idx="125">
                  <c:v>6.4992914271927063E-2</c:v>
                </c:pt>
                <c:pt idx="126">
                  <c:v>6.4627929115946545E-2</c:v>
                </c:pt>
                <c:pt idx="127">
                  <c:v>6.4260870971949657E-2</c:v>
                </c:pt>
                <c:pt idx="128">
                  <c:v>6.3891704111968345E-2</c:v>
                </c:pt>
                <c:pt idx="129">
                  <c:v>6.3520391769801454E-2</c:v>
                </c:pt>
                <c:pt idx="130">
                  <c:v>6.3146896098278726E-2</c:v>
                </c:pt>
                <c:pt idx="131">
                  <c:v>6.277117812423598E-2</c:v>
                </c:pt>
                <c:pt idx="132">
                  <c:v>6.2393197701050007E-2</c:v>
                </c:pt>
                <c:pt idx="133">
                  <c:v>6.2012913458569741E-2</c:v>
                </c:pt>
                <c:pt idx="134">
                  <c:v>6.1630282750266607E-2</c:v>
                </c:pt>
                <c:pt idx="135">
                  <c:v>6.1245261597413087E-2</c:v>
                </c:pt>
                <c:pt idx="136">
                  <c:v>6.0857804630082668E-2</c:v>
                </c:pt>
                <c:pt idx="137">
                  <c:v>6.0467865024747325E-2</c:v>
                </c:pt>
                <c:pt idx="138">
                  <c:v>6.0075394438229124E-2</c:v>
                </c:pt>
                <c:pt idx="139">
                  <c:v>5.9680342937742575E-2</c:v>
                </c:pt>
                <c:pt idx="140">
                  <c:v>5.8462996701436967E-2</c:v>
                </c:pt>
                <c:pt idx="141">
                  <c:v>5.2616697031293416E-2</c:v>
                </c:pt>
                <c:pt idx="142">
                  <c:v>4.6770397361149872E-2</c:v>
                </c:pt>
                <c:pt idx="143">
                  <c:v>4.0924097691006321E-2</c:v>
                </c:pt>
                <c:pt idx="144">
                  <c:v>3.507779802086277E-2</c:v>
                </c:pt>
                <c:pt idx="145">
                  <c:v>2.9231498350719219E-2</c:v>
                </c:pt>
                <c:pt idx="146">
                  <c:v>2.3385198680575672E-2</c:v>
                </c:pt>
                <c:pt idx="147">
                  <c:v>1.7538899010432121E-2</c:v>
                </c:pt>
                <c:pt idx="148">
                  <c:v>1.1692599340288575E-2</c:v>
                </c:pt>
                <c:pt idx="149">
                  <c:v>5.8462996701450255E-3</c:v>
                </c:pt>
                <c:pt idx="150">
                  <c:v>1.4781745193798596E-15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6E-42E9-B351-C58FEA24DB69}"/>
            </c:ext>
          </c:extLst>
        </c:ser>
        <c:ser>
          <c:idx val="3"/>
          <c:order val="3"/>
          <c:tx>
            <c:strRef>
              <c:f>'Burland damage classification'!$Q$37:$S$37</c:f>
              <c:strCache>
                <c:ptCount val="1"/>
                <c:pt idx="0">
                  <c:v>eps_lim= 0.200 %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'Burland damage classification'!$BD$327:$BD$627</c:f>
              <c:numCache>
                <c:formatCode>General</c:formatCode>
                <c:ptCount val="301"/>
                <c:pt idx="0">
                  <c:v>0</c:v>
                </c:pt>
                <c:pt idx="1">
                  <c:v>6.6666666666666664E-4</c:v>
                </c:pt>
                <c:pt idx="2">
                  <c:v>1.3333333333333333E-3</c:v>
                </c:pt>
                <c:pt idx="3">
                  <c:v>2E-3</c:v>
                </c:pt>
                <c:pt idx="4">
                  <c:v>2.6666666666666666E-3</c:v>
                </c:pt>
                <c:pt idx="5">
                  <c:v>3.3333333333333335E-3</c:v>
                </c:pt>
                <c:pt idx="6">
                  <c:v>4.0000000000000001E-3</c:v>
                </c:pt>
                <c:pt idx="7">
                  <c:v>4.6666666666666671E-3</c:v>
                </c:pt>
                <c:pt idx="8">
                  <c:v>5.333333333333334E-3</c:v>
                </c:pt>
                <c:pt idx="9">
                  <c:v>6.000000000000001E-3</c:v>
                </c:pt>
                <c:pt idx="10">
                  <c:v>6.6666666666666671E-3</c:v>
                </c:pt>
                <c:pt idx="11">
                  <c:v>7.3333333333333332E-3</c:v>
                </c:pt>
                <c:pt idx="12">
                  <c:v>8.0000000000000002E-3</c:v>
                </c:pt>
                <c:pt idx="13">
                  <c:v>8.6666666666666663E-3</c:v>
                </c:pt>
                <c:pt idx="14">
                  <c:v>9.3333333333333324E-3</c:v>
                </c:pt>
                <c:pt idx="15">
                  <c:v>9.9999999999999985E-3</c:v>
                </c:pt>
                <c:pt idx="16">
                  <c:v>1.0666666666666665E-2</c:v>
                </c:pt>
                <c:pt idx="17">
                  <c:v>1.1333333333333331E-2</c:v>
                </c:pt>
                <c:pt idx="18">
                  <c:v>1.1999999999999997E-2</c:v>
                </c:pt>
                <c:pt idx="19">
                  <c:v>1.2666666666666663E-2</c:v>
                </c:pt>
                <c:pt idx="20">
                  <c:v>1.3333333333333331E-2</c:v>
                </c:pt>
                <c:pt idx="21">
                  <c:v>1.3999999999999999E-2</c:v>
                </c:pt>
                <c:pt idx="22">
                  <c:v>1.4666666666666666E-2</c:v>
                </c:pt>
                <c:pt idx="23">
                  <c:v>1.5333333333333334E-2</c:v>
                </c:pt>
                <c:pt idx="24">
                  <c:v>1.6E-2</c:v>
                </c:pt>
                <c:pt idx="25">
                  <c:v>1.666666666666667E-2</c:v>
                </c:pt>
                <c:pt idx="26">
                  <c:v>1.7333333333333336E-2</c:v>
                </c:pt>
                <c:pt idx="27">
                  <c:v>1.8000000000000002E-2</c:v>
                </c:pt>
                <c:pt idx="28">
                  <c:v>1.8666666666666672E-2</c:v>
                </c:pt>
                <c:pt idx="29">
                  <c:v>1.9333333333333338E-2</c:v>
                </c:pt>
                <c:pt idx="30">
                  <c:v>2.0000000000000007E-2</c:v>
                </c:pt>
                <c:pt idx="31">
                  <c:v>2.0666666666666673E-2</c:v>
                </c:pt>
                <c:pt idx="32">
                  <c:v>2.1333333333333343E-2</c:v>
                </c:pt>
                <c:pt idx="33">
                  <c:v>2.2000000000000009E-2</c:v>
                </c:pt>
                <c:pt idx="34">
                  <c:v>2.2666666666666675E-2</c:v>
                </c:pt>
                <c:pt idx="35">
                  <c:v>2.3333333333333345E-2</c:v>
                </c:pt>
                <c:pt idx="36">
                  <c:v>2.4000000000000011E-2</c:v>
                </c:pt>
                <c:pt idx="37">
                  <c:v>2.466666666666668E-2</c:v>
                </c:pt>
                <c:pt idx="38">
                  <c:v>2.5333333333333343E-2</c:v>
                </c:pt>
                <c:pt idx="39">
                  <c:v>2.6000000000000009E-2</c:v>
                </c:pt>
                <c:pt idx="40">
                  <c:v>2.6666666666666672E-2</c:v>
                </c:pt>
                <c:pt idx="41">
                  <c:v>2.7333333333333338E-2</c:v>
                </c:pt>
                <c:pt idx="42">
                  <c:v>2.8000000000000004E-2</c:v>
                </c:pt>
                <c:pt idx="43">
                  <c:v>2.8666666666666667E-2</c:v>
                </c:pt>
                <c:pt idx="44">
                  <c:v>2.9333333333333333E-2</c:v>
                </c:pt>
                <c:pt idx="45">
                  <c:v>0.03</c:v>
                </c:pt>
                <c:pt idx="46">
                  <c:v>3.0666666666666662E-2</c:v>
                </c:pt>
                <c:pt idx="47">
                  <c:v>3.1333333333333324E-2</c:v>
                </c:pt>
                <c:pt idx="48">
                  <c:v>3.1999999999999994E-2</c:v>
                </c:pt>
                <c:pt idx="49">
                  <c:v>3.2666666666666656E-2</c:v>
                </c:pt>
                <c:pt idx="50">
                  <c:v>3.3333333333333319E-2</c:v>
                </c:pt>
                <c:pt idx="51">
                  <c:v>3.3999999999999989E-2</c:v>
                </c:pt>
                <c:pt idx="52">
                  <c:v>3.4666666666666651E-2</c:v>
                </c:pt>
                <c:pt idx="53">
                  <c:v>3.5333333333333314E-2</c:v>
                </c:pt>
                <c:pt idx="54">
                  <c:v>3.5999999999999983E-2</c:v>
                </c:pt>
                <c:pt idx="55">
                  <c:v>3.6666666666666646E-2</c:v>
                </c:pt>
                <c:pt idx="56">
                  <c:v>3.7333333333333309E-2</c:v>
                </c:pt>
                <c:pt idx="57">
                  <c:v>3.7999999999999978E-2</c:v>
                </c:pt>
                <c:pt idx="58">
                  <c:v>3.8666666666666641E-2</c:v>
                </c:pt>
                <c:pt idx="59">
                  <c:v>3.9333333333333304E-2</c:v>
                </c:pt>
                <c:pt idx="60">
                  <c:v>3.9999999999999966E-2</c:v>
                </c:pt>
                <c:pt idx="61">
                  <c:v>4.0666666666666636E-2</c:v>
                </c:pt>
                <c:pt idx="62">
                  <c:v>4.1333333333333298E-2</c:v>
                </c:pt>
                <c:pt idx="63">
                  <c:v>4.1999999999999961E-2</c:v>
                </c:pt>
                <c:pt idx="64">
                  <c:v>4.2666666666666631E-2</c:v>
                </c:pt>
                <c:pt idx="65">
                  <c:v>4.3333333333333293E-2</c:v>
                </c:pt>
                <c:pt idx="66">
                  <c:v>4.3999999999999956E-2</c:v>
                </c:pt>
                <c:pt idx="67">
                  <c:v>4.4666666666666625E-2</c:v>
                </c:pt>
                <c:pt idx="68">
                  <c:v>4.5333333333333288E-2</c:v>
                </c:pt>
                <c:pt idx="69">
                  <c:v>4.5999999999999951E-2</c:v>
                </c:pt>
                <c:pt idx="70">
                  <c:v>4.666666666666662E-2</c:v>
                </c:pt>
                <c:pt idx="71">
                  <c:v>4.7333333333333283E-2</c:v>
                </c:pt>
                <c:pt idx="72">
                  <c:v>4.7999999999999945E-2</c:v>
                </c:pt>
                <c:pt idx="73">
                  <c:v>4.8666666666666615E-2</c:v>
                </c:pt>
                <c:pt idx="74">
                  <c:v>4.9333333333333285E-2</c:v>
                </c:pt>
                <c:pt idx="75">
                  <c:v>4.9999999999999947E-2</c:v>
                </c:pt>
                <c:pt idx="76">
                  <c:v>5.066666666666661E-2</c:v>
                </c:pt>
                <c:pt idx="77">
                  <c:v>5.1333333333333279E-2</c:v>
                </c:pt>
                <c:pt idx="78">
                  <c:v>5.1999999999999942E-2</c:v>
                </c:pt>
                <c:pt idx="79">
                  <c:v>5.2666666666666605E-2</c:v>
                </c:pt>
                <c:pt idx="80">
                  <c:v>5.3333333333333274E-2</c:v>
                </c:pt>
                <c:pt idx="81">
                  <c:v>5.3999999999999937E-2</c:v>
                </c:pt>
                <c:pt idx="82">
                  <c:v>5.46666666666666E-2</c:v>
                </c:pt>
                <c:pt idx="83">
                  <c:v>5.5333333333333262E-2</c:v>
                </c:pt>
                <c:pt idx="84">
                  <c:v>5.5999999999999932E-2</c:v>
                </c:pt>
                <c:pt idx="85">
                  <c:v>5.6666666666666594E-2</c:v>
                </c:pt>
                <c:pt idx="86">
                  <c:v>5.7333333333333257E-2</c:v>
                </c:pt>
                <c:pt idx="87">
                  <c:v>5.7999999999999927E-2</c:v>
                </c:pt>
                <c:pt idx="88">
                  <c:v>5.8666666666666589E-2</c:v>
                </c:pt>
                <c:pt idx="89">
                  <c:v>5.9333333333333252E-2</c:v>
                </c:pt>
                <c:pt idx="90">
                  <c:v>5.9999999999999921E-2</c:v>
                </c:pt>
                <c:pt idx="91">
                  <c:v>6.0666666666666584E-2</c:v>
                </c:pt>
                <c:pt idx="92">
                  <c:v>6.1333333333333247E-2</c:v>
                </c:pt>
                <c:pt idx="93">
                  <c:v>6.1999999999999916E-2</c:v>
                </c:pt>
                <c:pt idx="94">
                  <c:v>6.2666666666666579E-2</c:v>
                </c:pt>
                <c:pt idx="95">
                  <c:v>6.3333333333333242E-2</c:v>
                </c:pt>
                <c:pt idx="96">
                  <c:v>6.3999999999999904E-2</c:v>
                </c:pt>
                <c:pt idx="97">
                  <c:v>6.4666666666666567E-2</c:v>
                </c:pt>
                <c:pt idx="98">
                  <c:v>6.5333333333333243E-2</c:v>
                </c:pt>
                <c:pt idx="99">
                  <c:v>6.5999999999999906E-2</c:v>
                </c:pt>
                <c:pt idx="100">
                  <c:v>6.6666666666666569E-2</c:v>
                </c:pt>
                <c:pt idx="101">
                  <c:v>6.7333333333333231E-2</c:v>
                </c:pt>
                <c:pt idx="102">
                  <c:v>6.7999999999999894E-2</c:v>
                </c:pt>
                <c:pt idx="103">
                  <c:v>6.8666666666666556E-2</c:v>
                </c:pt>
                <c:pt idx="104">
                  <c:v>6.9333333333333219E-2</c:v>
                </c:pt>
                <c:pt idx="105">
                  <c:v>6.9999999999999896E-2</c:v>
                </c:pt>
                <c:pt idx="106">
                  <c:v>7.0666666666666558E-2</c:v>
                </c:pt>
                <c:pt idx="107">
                  <c:v>7.1333333333333221E-2</c:v>
                </c:pt>
                <c:pt idx="108">
                  <c:v>7.1999999999999884E-2</c:v>
                </c:pt>
                <c:pt idx="109">
                  <c:v>7.2666666666666546E-2</c:v>
                </c:pt>
                <c:pt idx="110">
                  <c:v>7.3333333333333209E-2</c:v>
                </c:pt>
                <c:pt idx="111">
                  <c:v>7.3999999999999885E-2</c:v>
                </c:pt>
                <c:pt idx="112">
                  <c:v>7.4666666666666548E-2</c:v>
                </c:pt>
                <c:pt idx="113">
                  <c:v>7.5333333333333211E-2</c:v>
                </c:pt>
                <c:pt idx="114">
                  <c:v>7.5999999999999873E-2</c:v>
                </c:pt>
                <c:pt idx="115">
                  <c:v>7.6666666666666536E-2</c:v>
                </c:pt>
                <c:pt idx="116">
                  <c:v>7.7333333333333198E-2</c:v>
                </c:pt>
                <c:pt idx="117">
                  <c:v>7.7999999999999875E-2</c:v>
                </c:pt>
                <c:pt idx="118">
                  <c:v>7.8666666666666538E-2</c:v>
                </c:pt>
                <c:pt idx="119">
                  <c:v>7.93333333333332E-2</c:v>
                </c:pt>
                <c:pt idx="120">
                  <c:v>7.9999999999999863E-2</c:v>
                </c:pt>
                <c:pt idx="121">
                  <c:v>8.0666666666666526E-2</c:v>
                </c:pt>
                <c:pt idx="122">
                  <c:v>8.1333333333333188E-2</c:v>
                </c:pt>
                <c:pt idx="123">
                  <c:v>8.1999999999999851E-2</c:v>
                </c:pt>
                <c:pt idx="124">
                  <c:v>8.2666666666666527E-2</c:v>
                </c:pt>
                <c:pt idx="125">
                  <c:v>8.333333333333319E-2</c:v>
                </c:pt>
                <c:pt idx="126">
                  <c:v>8.3999999999999853E-2</c:v>
                </c:pt>
                <c:pt idx="127">
                  <c:v>8.4666666666666515E-2</c:v>
                </c:pt>
                <c:pt idx="128">
                  <c:v>8.5333333333333178E-2</c:v>
                </c:pt>
                <c:pt idx="129">
                  <c:v>8.599999999999984E-2</c:v>
                </c:pt>
                <c:pt idx="130">
                  <c:v>8.6666666666666517E-2</c:v>
                </c:pt>
                <c:pt idx="131">
                  <c:v>8.733333333333318E-2</c:v>
                </c:pt>
                <c:pt idx="132">
                  <c:v>8.7999999999999842E-2</c:v>
                </c:pt>
                <c:pt idx="133">
                  <c:v>8.8666666666666505E-2</c:v>
                </c:pt>
                <c:pt idx="134">
                  <c:v>8.9333333333333168E-2</c:v>
                </c:pt>
                <c:pt idx="135">
                  <c:v>8.999999999999983E-2</c:v>
                </c:pt>
                <c:pt idx="136">
                  <c:v>9.0666666666666507E-2</c:v>
                </c:pt>
                <c:pt idx="137">
                  <c:v>9.1333333333333169E-2</c:v>
                </c:pt>
                <c:pt idx="138">
                  <c:v>9.1999999999999832E-2</c:v>
                </c:pt>
                <c:pt idx="139">
                  <c:v>9.2666666666666495E-2</c:v>
                </c:pt>
                <c:pt idx="140">
                  <c:v>9.3333333333333157E-2</c:v>
                </c:pt>
                <c:pt idx="141">
                  <c:v>9.399999999999982E-2</c:v>
                </c:pt>
                <c:pt idx="142">
                  <c:v>9.4666666666666482E-2</c:v>
                </c:pt>
                <c:pt idx="143">
                  <c:v>9.5333333333333159E-2</c:v>
                </c:pt>
                <c:pt idx="144">
                  <c:v>9.5999999999999822E-2</c:v>
                </c:pt>
                <c:pt idx="145">
                  <c:v>9.6666666666666484E-2</c:v>
                </c:pt>
                <c:pt idx="146">
                  <c:v>9.7333333333333147E-2</c:v>
                </c:pt>
                <c:pt idx="147">
                  <c:v>9.7999999999999823E-2</c:v>
                </c:pt>
                <c:pt idx="148">
                  <c:v>9.86666666666665E-2</c:v>
                </c:pt>
                <c:pt idx="149">
                  <c:v>9.9333333333333176E-2</c:v>
                </c:pt>
                <c:pt idx="150">
                  <c:v>9.9999999999999853E-2</c:v>
                </c:pt>
                <c:pt idx="151">
                  <c:v>0.10066666666666653</c:v>
                </c:pt>
                <c:pt idx="152">
                  <c:v>0.10133333333333321</c:v>
                </c:pt>
                <c:pt idx="153">
                  <c:v>0.10199999999999988</c:v>
                </c:pt>
                <c:pt idx="154">
                  <c:v>0.10266666666666656</c:v>
                </c:pt>
                <c:pt idx="155">
                  <c:v>0.10333333333333322</c:v>
                </c:pt>
                <c:pt idx="156">
                  <c:v>0.1039999999999999</c:v>
                </c:pt>
                <c:pt idx="157">
                  <c:v>0.10466666666666657</c:v>
                </c:pt>
                <c:pt idx="158">
                  <c:v>0.10533333333333325</c:v>
                </c:pt>
                <c:pt idx="159">
                  <c:v>0.10599999999999993</c:v>
                </c:pt>
                <c:pt idx="160">
                  <c:v>0.1066666666666666</c:v>
                </c:pt>
                <c:pt idx="161">
                  <c:v>0.10733333333333328</c:v>
                </c:pt>
                <c:pt idx="162">
                  <c:v>0.10799999999999996</c:v>
                </c:pt>
                <c:pt idx="163">
                  <c:v>0.10866666666666663</c:v>
                </c:pt>
                <c:pt idx="164">
                  <c:v>0.10933333333333331</c:v>
                </c:pt>
                <c:pt idx="165">
                  <c:v>0.10999999999999999</c:v>
                </c:pt>
                <c:pt idx="166">
                  <c:v>0.11066666666666666</c:v>
                </c:pt>
                <c:pt idx="167">
                  <c:v>0.11133333333333334</c:v>
                </c:pt>
                <c:pt idx="168">
                  <c:v>0.11200000000000002</c:v>
                </c:pt>
                <c:pt idx="169">
                  <c:v>0.11266666666666669</c:v>
                </c:pt>
                <c:pt idx="170">
                  <c:v>0.11333333333333337</c:v>
                </c:pt>
                <c:pt idx="171">
                  <c:v>0.11400000000000005</c:v>
                </c:pt>
                <c:pt idx="172">
                  <c:v>0.11466666666666671</c:v>
                </c:pt>
                <c:pt idx="173">
                  <c:v>0.11533333333333338</c:v>
                </c:pt>
                <c:pt idx="174">
                  <c:v>0.11600000000000006</c:v>
                </c:pt>
                <c:pt idx="175">
                  <c:v>0.11666666666666674</c:v>
                </c:pt>
                <c:pt idx="176">
                  <c:v>0.11733333333333341</c:v>
                </c:pt>
                <c:pt idx="177">
                  <c:v>0.11800000000000009</c:v>
                </c:pt>
                <c:pt idx="178">
                  <c:v>0.11866666666666677</c:v>
                </c:pt>
                <c:pt idx="179">
                  <c:v>0.11933333333333344</c:v>
                </c:pt>
                <c:pt idx="180">
                  <c:v>0.12000000000000012</c:v>
                </c:pt>
                <c:pt idx="181">
                  <c:v>0.1206666666666668</c:v>
                </c:pt>
                <c:pt idx="182">
                  <c:v>0.12133333333333347</c:v>
                </c:pt>
                <c:pt idx="183">
                  <c:v>0.12200000000000015</c:v>
                </c:pt>
                <c:pt idx="184">
                  <c:v>0.12266666666666683</c:v>
                </c:pt>
                <c:pt idx="185">
                  <c:v>0.1233333333333335</c:v>
                </c:pt>
                <c:pt idx="186">
                  <c:v>0.12400000000000018</c:v>
                </c:pt>
                <c:pt idx="187">
                  <c:v>0.12466666666666684</c:v>
                </c:pt>
                <c:pt idx="188">
                  <c:v>0.12533333333333352</c:v>
                </c:pt>
                <c:pt idx="189">
                  <c:v>0.1260000000000002</c:v>
                </c:pt>
                <c:pt idx="190">
                  <c:v>0.12666666666666687</c:v>
                </c:pt>
                <c:pt idx="191">
                  <c:v>0.12733333333333355</c:v>
                </c:pt>
                <c:pt idx="192">
                  <c:v>0.12800000000000022</c:v>
                </c:pt>
                <c:pt idx="193">
                  <c:v>0.1286666666666669</c:v>
                </c:pt>
                <c:pt idx="194">
                  <c:v>0.12933333333333358</c:v>
                </c:pt>
                <c:pt idx="195">
                  <c:v>0.13000000000000025</c:v>
                </c:pt>
                <c:pt idx="196">
                  <c:v>0.13066666666666693</c:v>
                </c:pt>
                <c:pt idx="197">
                  <c:v>0.13133333333333361</c:v>
                </c:pt>
                <c:pt idx="198">
                  <c:v>0.13200000000000028</c:v>
                </c:pt>
                <c:pt idx="199">
                  <c:v>0.13266666666666696</c:v>
                </c:pt>
                <c:pt idx="200">
                  <c:v>0.13333333333333364</c:v>
                </c:pt>
                <c:pt idx="201">
                  <c:v>0.13400000000000031</c:v>
                </c:pt>
                <c:pt idx="202">
                  <c:v>0.13466666666666699</c:v>
                </c:pt>
                <c:pt idx="203">
                  <c:v>0.13533333333333367</c:v>
                </c:pt>
                <c:pt idx="204">
                  <c:v>0.13600000000000034</c:v>
                </c:pt>
                <c:pt idx="205">
                  <c:v>0.13666666666666702</c:v>
                </c:pt>
                <c:pt idx="206">
                  <c:v>0.1373333333333337</c:v>
                </c:pt>
                <c:pt idx="207">
                  <c:v>0.13800000000000037</c:v>
                </c:pt>
                <c:pt idx="208">
                  <c:v>0.13866666666666705</c:v>
                </c:pt>
                <c:pt idx="209">
                  <c:v>0.13933333333333373</c:v>
                </c:pt>
                <c:pt idx="210">
                  <c:v>0.1400000000000004</c:v>
                </c:pt>
                <c:pt idx="211">
                  <c:v>0.14066666666666705</c:v>
                </c:pt>
                <c:pt idx="212">
                  <c:v>0.14133333333333373</c:v>
                </c:pt>
                <c:pt idx="213">
                  <c:v>0.1420000000000004</c:v>
                </c:pt>
                <c:pt idx="214">
                  <c:v>0.14266666666666708</c:v>
                </c:pt>
                <c:pt idx="215">
                  <c:v>0.14333333333333376</c:v>
                </c:pt>
                <c:pt idx="216">
                  <c:v>0.14400000000000043</c:v>
                </c:pt>
                <c:pt idx="217">
                  <c:v>0.14466666666666711</c:v>
                </c:pt>
                <c:pt idx="218">
                  <c:v>0.14533333333333379</c:v>
                </c:pt>
                <c:pt idx="219">
                  <c:v>0.14600000000000046</c:v>
                </c:pt>
                <c:pt idx="220">
                  <c:v>0.14666666666666714</c:v>
                </c:pt>
                <c:pt idx="221">
                  <c:v>0.14733333333333382</c:v>
                </c:pt>
                <c:pt idx="222">
                  <c:v>0.14800000000000049</c:v>
                </c:pt>
                <c:pt idx="223">
                  <c:v>0.14866666666666717</c:v>
                </c:pt>
                <c:pt idx="224">
                  <c:v>0.14933333333333385</c:v>
                </c:pt>
                <c:pt idx="225">
                  <c:v>0.15000000000000052</c:v>
                </c:pt>
                <c:pt idx="226">
                  <c:v>0.1506666666666672</c:v>
                </c:pt>
                <c:pt idx="227">
                  <c:v>0.15133333333333387</c:v>
                </c:pt>
                <c:pt idx="228">
                  <c:v>0.15200000000000055</c:v>
                </c:pt>
                <c:pt idx="229">
                  <c:v>0.15266666666666723</c:v>
                </c:pt>
                <c:pt idx="230">
                  <c:v>0.1533333333333339</c:v>
                </c:pt>
                <c:pt idx="231">
                  <c:v>0.15400000000000058</c:v>
                </c:pt>
                <c:pt idx="232">
                  <c:v>0.15466666666666726</c:v>
                </c:pt>
                <c:pt idx="233">
                  <c:v>0.15533333333333393</c:v>
                </c:pt>
                <c:pt idx="234">
                  <c:v>0.15600000000000061</c:v>
                </c:pt>
                <c:pt idx="235">
                  <c:v>0.15666666666666729</c:v>
                </c:pt>
                <c:pt idx="236">
                  <c:v>0.15733333333333396</c:v>
                </c:pt>
                <c:pt idx="237">
                  <c:v>0.15800000000000064</c:v>
                </c:pt>
                <c:pt idx="238">
                  <c:v>0.15866666666666732</c:v>
                </c:pt>
                <c:pt idx="239">
                  <c:v>0.15933333333333399</c:v>
                </c:pt>
                <c:pt idx="240">
                  <c:v>0.16000000000000067</c:v>
                </c:pt>
                <c:pt idx="241">
                  <c:v>0.16066666666666735</c:v>
                </c:pt>
                <c:pt idx="242">
                  <c:v>0.16133333333333402</c:v>
                </c:pt>
                <c:pt idx="243">
                  <c:v>0.1620000000000007</c:v>
                </c:pt>
                <c:pt idx="244">
                  <c:v>0.16266666666666735</c:v>
                </c:pt>
                <c:pt idx="245">
                  <c:v>0.16333333333333402</c:v>
                </c:pt>
                <c:pt idx="246">
                  <c:v>0.1640000000000007</c:v>
                </c:pt>
                <c:pt idx="247">
                  <c:v>0.16466666666666738</c:v>
                </c:pt>
                <c:pt idx="248">
                  <c:v>0.16533333333333405</c:v>
                </c:pt>
                <c:pt idx="249">
                  <c:v>0.16600000000000073</c:v>
                </c:pt>
                <c:pt idx="250">
                  <c:v>0.16666666666666741</c:v>
                </c:pt>
                <c:pt idx="251">
                  <c:v>0.16733333333333408</c:v>
                </c:pt>
                <c:pt idx="252">
                  <c:v>0.16800000000000076</c:v>
                </c:pt>
                <c:pt idx="253">
                  <c:v>0.16866666666666744</c:v>
                </c:pt>
                <c:pt idx="254">
                  <c:v>0.16933333333333411</c:v>
                </c:pt>
                <c:pt idx="255">
                  <c:v>0.17000000000000079</c:v>
                </c:pt>
                <c:pt idx="256">
                  <c:v>0.17066666666666747</c:v>
                </c:pt>
                <c:pt idx="257">
                  <c:v>0.17133333333333414</c:v>
                </c:pt>
                <c:pt idx="258">
                  <c:v>0.17200000000000082</c:v>
                </c:pt>
                <c:pt idx="259">
                  <c:v>0.1726666666666675</c:v>
                </c:pt>
                <c:pt idx="260">
                  <c:v>0.17333333333333417</c:v>
                </c:pt>
                <c:pt idx="261">
                  <c:v>0.17400000000000085</c:v>
                </c:pt>
                <c:pt idx="262">
                  <c:v>0.17466666666666752</c:v>
                </c:pt>
                <c:pt idx="263">
                  <c:v>0.1753333333333342</c:v>
                </c:pt>
                <c:pt idx="264">
                  <c:v>0.17600000000000088</c:v>
                </c:pt>
                <c:pt idx="265">
                  <c:v>0.17666666666666755</c:v>
                </c:pt>
                <c:pt idx="266">
                  <c:v>0.17733333333333423</c:v>
                </c:pt>
                <c:pt idx="267">
                  <c:v>0.17800000000000091</c:v>
                </c:pt>
                <c:pt idx="268">
                  <c:v>0.17866666666666758</c:v>
                </c:pt>
                <c:pt idx="269">
                  <c:v>0.17933333333333426</c:v>
                </c:pt>
                <c:pt idx="270">
                  <c:v>0.18000000000000094</c:v>
                </c:pt>
                <c:pt idx="271">
                  <c:v>0.18066666666666761</c:v>
                </c:pt>
                <c:pt idx="272">
                  <c:v>0.18133333333333429</c:v>
                </c:pt>
                <c:pt idx="273">
                  <c:v>0.18200000000000097</c:v>
                </c:pt>
                <c:pt idx="274">
                  <c:v>0.18266666666666764</c:v>
                </c:pt>
                <c:pt idx="275">
                  <c:v>0.18333333333333429</c:v>
                </c:pt>
                <c:pt idx="276">
                  <c:v>0.18400000000000097</c:v>
                </c:pt>
                <c:pt idx="277">
                  <c:v>0.18466666666666764</c:v>
                </c:pt>
                <c:pt idx="278">
                  <c:v>0.18533333333333432</c:v>
                </c:pt>
                <c:pt idx="279">
                  <c:v>0.186000000000001</c:v>
                </c:pt>
                <c:pt idx="280">
                  <c:v>0.18666666666666767</c:v>
                </c:pt>
                <c:pt idx="281">
                  <c:v>0.18733333333333435</c:v>
                </c:pt>
                <c:pt idx="282">
                  <c:v>0.18800000000000103</c:v>
                </c:pt>
                <c:pt idx="283">
                  <c:v>0.1886666666666677</c:v>
                </c:pt>
                <c:pt idx="284">
                  <c:v>0.18933333333333438</c:v>
                </c:pt>
                <c:pt idx="285">
                  <c:v>0.19000000000000106</c:v>
                </c:pt>
                <c:pt idx="286">
                  <c:v>0.19066666666666773</c:v>
                </c:pt>
                <c:pt idx="287">
                  <c:v>0.19133333333333441</c:v>
                </c:pt>
                <c:pt idx="288">
                  <c:v>0.19200000000000109</c:v>
                </c:pt>
                <c:pt idx="289">
                  <c:v>0.19266666666666776</c:v>
                </c:pt>
                <c:pt idx="290">
                  <c:v>0.19333333333333444</c:v>
                </c:pt>
                <c:pt idx="291">
                  <c:v>0.19400000000000112</c:v>
                </c:pt>
                <c:pt idx="292">
                  <c:v>0.19466666666666779</c:v>
                </c:pt>
                <c:pt idx="293">
                  <c:v>0.19533333333333447</c:v>
                </c:pt>
                <c:pt idx="294">
                  <c:v>0.19600000000000112</c:v>
                </c:pt>
                <c:pt idx="295">
                  <c:v>0.19666666666666777</c:v>
                </c:pt>
                <c:pt idx="296">
                  <c:v>0.19733333333333442</c:v>
                </c:pt>
                <c:pt idx="297">
                  <c:v>0.19800000000000109</c:v>
                </c:pt>
                <c:pt idx="298">
                  <c:v>0.19866666666666774</c:v>
                </c:pt>
                <c:pt idx="299">
                  <c:v>0.19933333333333439</c:v>
                </c:pt>
                <c:pt idx="300">
                  <c:v>0.20000000000000104</c:v>
                </c:pt>
              </c:numCache>
            </c:numRef>
          </c:xVal>
          <c:yVal>
            <c:numRef>
              <c:f>'Burland damage classification'!$AZ$327:$AZ$627</c:f>
              <c:numCache>
                <c:formatCode>0.0000000000</c:formatCode>
                <c:ptCount val="301"/>
                <c:pt idx="0">
                  <c:v>0.20137317967732765</c:v>
                </c:pt>
                <c:pt idx="1">
                  <c:v>0.20113810709528118</c:v>
                </c:pt>
                <c:pt idx="2">
                  <c:v>0.20090275945936703</c:v>
                </c:pt>
                <c:pt idx="3">
                  <c:v>0.20066713580181431</c:v>
                </c:pt>
                <c:pt idx="4">
                  <c:v>0.2004312351491635</c:v>
                </c:pt>
                <c:pt idx="5">
                  <c:v>0.20019505652221983</c:v>
                </c:pt>
                <c:pt idx="6">
                  <c:v>0.19995859893600548</c:v>
                </c:pt>
                <c:pt idx="7">
                  <c:v>0.19972186139971204</c:v>
                </c:pt>
                <c:pt idx="8">
                  <c:v>0.19948484291665192</c:v>
                </c:pt>
                <c:pt idx="9">
                  <c:v>0.19924754248420926</c:v>
                </c:pt>
                <c:pt idx="10">
                  <c:v>0.19900995909379082</c:v>
                </c:pt>
                <c:pt idx="11">
                  <c:v>0.19877209173077537</c:v>
                </c:pt>
                <c:pt idx="12">
                  <c:v>0.19853393937446384</c:v>
                </c:pt>
                <c:pt idx="13">
                  <c:v>0.19829550099802765</c:v>
                </c:pt>
                <c:pt idx="14">
                  <c:v>0.19805677556845735</c:v>
                </c:pt>
                <c:pt idx="15">
                  <c:v>0.1978177620465103</c:v>
                </c:pt>
                <c:pt idx="16">
                  <c:v>0.19757845938665805</c:v>
                </c:pt>
                <c:pt idx="17">
                  <c:v>0.19733886653703264</c:v>
                </c:pt>
                <c:pt idx="18">
                  <c:v>0.19709898243937302</c:v>
                </c:pt>
                <c:pt idx="19">
                  <c:v>0.19685880602897035</c:v>
                </c:pt>
                <c:pt idx="20">
                  <c:v>0.19661833623461286</c:v>
                </c:pt>
                <c:pt idx="21">
                  <c:v>0.19637757197853012</c:v>
                </c:pt>
                <c:pt idx="22">
                  <c:v>0.19613651217633674</c:v>
                </c:pt>
                <c:pt idx="23">
                  <c:v>0.19589515573697525</c:v>
                </c:pt>
                <c:pt idx="24">
                  <c:v>0.19565350156265865</c:v>
                </c:pt>
                <c:pt idx="25">
                  <c:v>0.19541154854881218</c:v>
                </c:pt>
                <c:pt idx="26">
                  <c:v>0.19516929558401416</c:v>
                </c:pt>
                <c:pt idx="27">
                  <c:v>0.19492674154993661</c:v>
                </c:pt>
                <c:pt idx="28">
                  <c:v>0.19468388532128508</c:v>
                </c:pt>
                <c:pt idx="29">
                  <c:v>0.19444072576573762</c:v>
                </c:pt>
                <c:pt idx="30">
                  <c:v>0.19419726174388319</c:v>
                </c:pt>
                <c:pt idx="31">
                  <c:v>0.19395349210915946</c:v>
                </c:pt>
                <c:pt idx="32">
                  <c:v>0.19370941570778971</c:v>
                </c:pt>
                <c:pt idx="33">
                  <c:v>0.19346503137871912</c:v>
                </c:pt>
                <c:pt idx="34">
                  <c:v>0.19322033795355054</c:v>
                </c:pt>
                <c:pt idx="35">
                  <c:v>0.19297533425647895</c:v>
                </c:pt>
                <c:pt idx="36">
                  <c:v>0.19273001910422588</c:v>
                </c:pt>
                <c:pt idx="37">
                  <c:v>0.19248439130597261</c:v>
                </c:pt>
                <c:pt idx="38">
                  <c:v>0.19223844966329257</c:v>
                </c:pt>
                <c:pt idx="39">
                  <c:v>0.19199219297008346</c:v>
                </c:pt>
                <c:pt idx="40">
                  <c:v>0.19174562001249801</c:v>
                </c:pt>
                <c:pt idx="41">
                  <c:v>0.19149872956887409</c:v>
                </c:pt>
                <c:pt idx="42">
                  <c:v>0.19125152040966439</c:v>
                </c:pt>
                <c:pt idx="43">
                  <c:v>0.1910039912973647</c:v>
                </c:pt>
                <c:pt idx="44">
                  <c:v>0.19075614098644184</c:v>
                </c:pt>
                <c:pt idx="45">
                  <c:v>0.19050796822326033</c:v>
                </c:pt>
                <c:pt idx="46">
                  <c:v>0.19025947174600866</c:v>
                </c:pt>
                <c:pt idx="47">
                  <c:v>0.19001065028462422</c:v>
                </c:pt>
                <c:pt idx="48">
                  <c:v>0.18976150256071772</c:v>
                </c:pt>
                <c:pt idx="49">
                  <c:v>0.18951202728749636</c:v>
                </c:pt>
                <c:pt idx="50">
                  <c:v>0.18926222316968663</c:v>
                </c:pt>
                <c:pt idx="51">
                  <c:v>0.1890120889034555</c:v>
                </c:pt>
                <c:pt idx="52">
                  <c:v>0.18876162317633124</c:v>
                </c:pt>
                <c:pt idx="53">
                  <c:v>0.18851082466712296</c:v>
                </c:pt>
                <c:pt idx="54">
                  <c:v>0.18825969204583937</c:v>
                </c:pt>
                <c:pt idx="55">
                  <c:v>0.18800822397360645</c:v>
                </c:pt>
                <c:pt idx="56">
                  <c:v>0.18775641910258428</c:v>
                </c:pt>
                <c:pt idx="57">
                  <c:v>0.18750427607588252</c:v>
                </c:pt>
                <c:pt idx="58">
                  <c:v>0.1872517935274754</c:v>
                </c:pt>
                <c:pt idx="59">
                  <c:v>0.18699897008211511</c:v>
                </c:pt>
                <c:pt idx="60">
                  <c:v>0.18674580435524452</c:v>
                </c:pt>
                <c:pt idx="61">
                  <c:v>0.18649229495290892</c:v>
                </c:pt>
                <c:pt idx="62">
                  <c:v>0.18623844047166599</c:v>
                </c:pt>
                <c:pt idx="63">
                  <c:v>0.18598423949849563</c:v>
                </c:pt>
                <c:pt idx="64">
                  <c:v>0.1857296906107079</c:v>
                </c:pt>
                <c:pt idx="65">
                  <c:v>0.18547479237585027</c:v>
                </c:pt>
                <c:pt idx="66">
                  <c:v>0.18521954335161361</c:v>
                </c:pt>
                <c:pt idx="67">
                  <c:v>0.18496394208573674</c:v>
                </c:pt>
                <c:pt idx="68">
                  <c:v>0.18470798711591027</c:v>
                </c:pt>
                <c:pt idx="69">
                  <c:v>0.1844516769696789</c:v>
                </c:pt>
                <c:pt idx="70">
                  <c:v>0.18419501016434259</c:v>
                </c:pt>
                <c:pt idx="71">
                  <c:v>0.1839379852068565</c:v>
                </c:pt>
                <c:pt idx="72">
                  <c:v>0.18368060059372976</c:v>
                </c:pt>
                <c:pt idx="73">
                  <c:v>0.18342285481092255</c:v>
                </c:pt>
                <c:pt idx="74">
                  <c:v>0.18316474633374261</c:v>
                </c:pt>
                <c:pt idx="75">
                  <c:v>0.1829062736267397</c:v>
                </c:pt>
                <c:pt idx="76">
                  <c:v>0.18264743514359916</c:v>
                </c:pt>
                <c:pt idx="77">
                  <c:v>0.18238822932703408</c:v>
                </c:pt>
                <c:pt idx="78">
                  <c:v>0.18212865460867567</c:v>
                </c:pt>
                <c:pt idx="79">
                  <c:v>0.18186870940896285</c:v>
                </c:pt>
                <c:pt idx="80">
                  <c:v>0.18160839213703003</c:v>
                </c:pt>
                <c:pt idx="81">
                  <c:v>0.18134770119059346</c:v>
                </c:pt>
                <c:pt idx="82">
                  <c:v>0.18108663495583618</c:v>
                </c:pt>
                <c:pt idx="83">
                  <c:v>0.18082519180729154</c:v>
                </c:pt>
                <c:pt idx="84">
                  <c:v>0.18056337010772497</c:v>
                </c:pt>
                <c:pt idx="85">
                  <c:v>0.18030116820801462</c:v>
                </c:pt>
                <c:pt idx="86">
                  <c:v>0.18003858444702975</c:v>
                </c:pt>
                <c:pt idx="87">
                  <c:v>0.17977561715150853</c:v>
                </c:pt>
                <c:pt idx="88">
                  <c:v>0.17951226463593309</c:v>
                </c:pt>
                <c:pt idx="89">
                  <c:v>0.17924852520240375</c:v>
                </c:pt>
                <c:pt idx="90">
                  <c:v>0.17898439714051129</c:v>
                </c:pt>
                <c:pt idx="91">
                  <c:v>0.17871987872720754</c:v>
                </c:pt>
                <c:pt idx="92">
                  <c:v>0.17845496822667412</c:v>
                </c:pt>
                <c:pt idx="93">
                  <c:v>0.1781896638901897</c:v>
                </c:pt>
                <c:pt idx="94">
                  <c:v>0.17792396395599516</c:v>
                </c:pt>
                <c:pt idx="95">
                  <c:v>0.17765786664915734</c:v>
                </c:pt>
                <c:pt idx="96">
                  <c:v>0.17739137018143036</c:v>
                </c:pt>
                <c:pt idx="97">
                  <c:v>0.17712447275111581</c:v>
                </c:pt>
                <c:pt idx="98">
                  <c:v>0.17685717254292027</c:v>
                </c:pt>
                <c:pt idx="99">
                  <c:v>0.17658946772781145</c:v>
                </c:pt>
                <c:pt idx="100">
                  <c:v>0.17632135646287228</c:v>
                </c:pt>
                <c:pt idx="101">
                  <c:v>0.17605283689115256</c:v>
                </c:pt>
                <c:pt idx="102">
                  <c:v>0.17578390714151929</c:v>
                </c:pt>
                <c:pt idx="103">
                  <c:v>0.17551456532850421</c:v>
                </c:pt>
                <c:pt idx="104">
                  <c:v>0.17524480955214986</c:v>
                </c:pt>
                <c:pt idx="105">
                  <c:v>0.174974637897853</c:v>
                </c:pt>
                <c:pt idx="106">
                  <c:v>0.17470404843620616</c:v>
                </c:pt>
                <c:pt idx="107">
                  <c:v>0.17443303922283693</c:v>
                </c:pt>
                <c:pt idx="108">
                  <c:v>0.17416160829824481</c:v>
                </c:pt>
                <c:pt idx="109">
                  <c:v>0.17388975368763615</c:v>
                </c:pt>
                <c:pt idx="110">
                  <c:v>0.17361747340075617</c:v>
                </c:pt>
                <c:pt idx="111">
                  <c:v>0.17334476543171923</c:v>
                </c:pt>
                <c:pt idx="112">
                  <c:v>0.1730716277588365</c:v>
                </c:pt>
                <c:pt idx="113">
                  <c:v>0.17279805834444081</c:v>
                </c:pt>
                <c:pt idx="114">
                  <c:v>0.17252405513470945</c:v>
                </c:pt>
                <c:pt idx="115">
                  <c:v>0.17224961605948436</c:v>
                </c:pt>
                <c:pt idx="116">
                  <c:v>0.17197473903208946</c:v>
                </c:pt>
                <c:pt idx="117">
                  <c:v>0.17169942194914567</c:v>
                </c:pt>
                <c:pt idx="118">
                  <c:v>0.17142366269038317</c:v>
                </c:pt>
                <c:pt idx="119">
                  <c:v>0.17114745911845072</c:v>
                </c:pt>
                <c:pt idx="120">
                  <c:v>0.1708708090787226</c:v>
                </c:pt>
                <c:pt idx="121">
                  <c:v>0.17059371039910223</c:v>
                </c:pt>
                <c:pt idx="122">
                  <c:v>0.17031616088982357</c:v>
                </c:pt>
                <c:pt idx="123">
                  <c:v>0.17003815834324881</c:v>
                </c:pt>
                <c:pt idx="124">
                  <c:v>0.16975970053366396</c:v>
                </c:pt>
                <c:pt idx="125">
                  <c:v>0.16948078521707047</c:v>
                </c:pt>
                <c:pt idx="126">
                  <c:v>0.16920141013097456</c:v>
                </c:pt>
                <c:pt idx="127">
                  <c:v>0.16892157299417315</c:v>
                </c:pt>
                <c:pt idx="128">
                  <c:v>0.16864127150653624</c:v>
                </c:pt>
                <c:pt idx="129">
                  <c:v>0.16836050334878655</c:v>
                </c:pt>
                <c:pt idx="130">
                  <c:v>0.16807926618227564</c:v>
                </c:pt>
                <c:pt idx="131">
                  <c:v>0.16779755764875651</c:v>
                </c:pt>
                <c:pt idx="132">
                  <c:v>0.16751537537015301</c:v>
                </c:pt>
                <c:pt idx="133">
                  <c:v>0.16723271694832553</c:v>
                </c:pt>
                <c:pt idx="134">
                  <c:v>0.16694957996483328</c:v>
                </c:pt>
                <c:pt idx="135">
                  <c:v>0.16666596198069289</c:v>
                </c:pt>
                <c:pt idx="136">
                  <c:v>0.16638186053613316</c:v>
                </c:pt>
                <c:pt idx="137">
                  <c:v>0.16609727315034634</c:v>
                </c:pt>
                <c:pt idx="138">
                  <c:v>0.16581219732123528</c:v>
                </c:pt>
                <c:pt idx="139">
                  <c:v>0.16552663052515679</c:v>
                </c:pt>
                <c:pt idx="140">
                  <c:v>0.16524057021666097</c:v>
                </c:pt>
                <c:pt idx="141">
                  <c:v>0.16495401382822661</c:v>
                </c:pt>
                <c:pt idx="142">
                  <c:v>0.16466695876999207</c:v>
                </c:pt>
                <c:pt idx="143">
                  <c:v>0.16437940242948251</c:v>
                </c:pt>
                <c:pt idx="144">
                  <c:v>0.16409134217133234</c:v>
                </c:pt>
                <c:pt idx="145">
                  <c:v>0.16380277533700327</c:v>
                </c:pt>
                <c:pt idx="146">
                  <c:v>0.16351369924449838</c:v>
                </c:pt>
                <c:pt idx="147">
                  <c:v>0.16322411118807101</c:v>
                </c:pt>
                <c:pt idx="148">
                  <c:v>0.16293400843792946</c:v>
                </c:pt>
                <c:pt idx="149">
                  <c:v>0.16264338823993665</c:v>
                </c:pt>
                <c:pt idx="150">
                  <c:v>0.16235224781530516</c:v>
                </c:pt>
                <c:pt idx="151">
                  <c:v>0.16206058436028717</c:v>
                </c:pt>
                <c:pt idx="152">
                  <c:v>0.16176839504585949</c:v>
                </c:pt>
                <c:pt idx="153">
                  <c:v>0.16147567701740331</c:v>
                </c:pt>
                <c:pt idx="154">
                  <c:v>0.16118242739437899</c:v>
                </c:pt>
                <c:pt idx="155">
                  <c:v>0.16088864326999514</c:v>
                </c:pt>
                <c:pt idx="156">
                  <c:v>0.1605943217108726</c:v>
                </c:pt>
                <c:pt idx="157">
                  <c:v>0.16029945975670271</c:v>
                </c:pt>
                <c:pt idx="158">
                  <c:v>0.16000405441989979</c:v>
                </c:pt>
                <c:pt idx="159">
                  <c:v>0.1597081026852481</c:v>
                </c:pt>
                <c:pt idx="160">
                  <c:v>0.15941160150954273</c:v>
                </c:pt>
                <c:pt idx="161">
                  <c:v>0.15911454782122453</c:v>
                </c:pt>
                <c:pt idx="162">
                  <c:v>0.15881693852000875</c:v>
                </c:pt>
                <c:pt idx="163">
                  <c:v>0.15851877047650775</c:v>
                </c:pt>
                <c:pt idx="164">
                  <c:v>0.15822004053184677</c:v>
                </c:pt>
                <c:pt idx="165">
                  <c:v>0.15792074549727383</c:v>
                </c:pt>
                <c:pt idx="166">
                  <c:v>0.15762088215376235</c:v>
                </c:pt>
                <c:pt idx="167">
                  <c:v>0.15732044725160724</c:v>
                </c:pt>
                <c:pt idx="168">
                  <c:v>0.15701943751001413</c:v>
                </c:pt>
                <c:pt idx="169">
                  <c:v>0.15671784961668128</c:v>
                </c:pt>
                <c:pt idx="170">
                  <c:v>0.15641568022737437</c:v>
                </c:pt>
                <c:pt idx="171">
                  <c:v>0.15611292596549373</c:v>
                </c:pt>
                <c:pt idx="172">
                  <c:v>0.15580958342163434</c:v>
                </c:pt>
                <c:pt idx="173">
                  <c:v>0.15550564915313758</c:v>
                </c:pt>
                <c:pt idx="174">
                  <c:v>0.15520111968363573</c:v>
                </c:pt>
                <c:pt idx="175">
                  <c:v>0.1548959915025877</c:v>
                </c:pt>
                <c:pt idx="176">
                  <c:v>0.15459026106480711</c:v>
                </c:pt>
                <c:pt idx="177">
                  <c:v>0.15428392478998165</c:v>
                </c:pt>
                <c:pt idx="178">
                  <c:v>0.15397697906218388</c:v>
                </c:pt>
                <c:pt idx="179">
                  <c:v>0.15366942022937327</c:v>
                </c:pt>
                <c:pt idx="180">
                  <c:v>0.15336124460288919</c:v>
                </c:pt>
                <c:pt idx="181">
                  <c:v>0.15305244845693489</c:v>
                </c:pt>
                <c:pt idx="182">
                  <c:v>0.15274302802805176</c:v>
                </c:pt>
                <c:pt idx="183">
                  <c:v>0.1524329795145844</c:v>
                </c:pt>
                <c:pt idx="184">
                  <c:v>0.15212229907613545</c:v>
                </c:pt>
                <c:pt idx="185">
                  <c:v>0.15181098283301081</c:v>
                </c:pt>
                <c:pt idx="186">
                  <c:v>0.15149902686565417</c:v>
                </c:pt>
                <c:pt idx="187">
                  <c:v>0.15118642721407136</c:v>
                </c:pt>
                <c:pt idx="188">
                  <c:v>0.15087317987724388</c:v>
                </c:pt>
                <c:pt idx="189">
                  <c:v>0.15055928081253142</c:v>
                </c:pt>
                <c:pt idx="190">
                  <c:v>0.15024472593506299</c:v>
                </c:pt>
                <c:pt idx="191">
                  <c:v>0.14992951111711694</c:v>
                </c:pt>
                <c:pt idx="192">
                  <c:v>0.14961363218748883</c:v>
                </c:pt>
                <c:pt idx="193">
                  <c:v>0.14929708493084751</c:v>
                </c:pt>
                <c:pt idx="194">
                  <c:v>0.14897986508707875</c:v>
                </c:pt>
                <c:pt idx="195">
                  <c:v>0.14866196835061643</c:v>
                </c:pt>
                <c:pt idx="196">
                  <c:v>0.1483433903697606</c:v>
                </c:pt>
                <c:pt idx="197">
                  <c:v>0.14802412674598248</c:v>
                </c:pt>
                <c:pt idx="198">
                  <c:v>0.14770417303321587</c:v>
                </c:pt>
                <c:pt idx="199">
                  <c:v>0.14738352473713498</c:v>
                </c:pt>
                <c:pt idx="200">
                  <c:v>0.14706217731441751</c:v>
                </c:pt>
                <c:pt idx="201">
                  <c:v>0.14674012617199383</c:v>
                </c:pt>
                <c:pt idx="202">
                  <c:v>0.146417366666281</c:v>
                </c:pt>
                <c:pt idx="203">
                  <c:v>0.14609389410240139</c:v>
                </c:pt>
                <c:pt idx="204">
                  <c:v>0.14576970373338616</c:v>
                </c:pt>
                <c:pt idx="205">
                  <c:v>0.14544479075936226</c:v>
                </c:pt>
                <c:pt idx="206">
                  <c:v>0.14511915032672348</c:v>
                </c:pt>
                <c:pt idx="207">
                  <c:v>0.14479277752728437</c:v>
                </c:pt>
                <c:pt idx="208">
                  <c:v>0.14446566739741717</c:v>
                </c:pt>
                <c:pt idx="209">
                  <c:v>0.14413781491717106</c:v>
                </c:pt>
                <c:pt idx="210">
                  <c:v>0.14380921500937333</c:v>
                </c:pt>
                <c:pt idx="211">
                  <c:v>0.14347986253871189</c:v>
                </c:pt>
                <c:pt idx="212">
                  <c:v>0.14314975231079918</c:v>
                </c:pt>
                <c:pt idx="213">
                  <c:v>0.14281887907121613</c:v>
                </c:pt>
                <c:pt idx="214">
                  <c:v>0.14248723750453637</c:v>
                </c:pt>
                <c:pt idx="215">
                  <c:v>0.14215482223332998</c:v>
                </c:pt>
                <c:pt idx="216">
                  <c:v>0.14182162781714625</c:v>
                </c:pt>
                <c:pt idx="217">
                  <c:v>0.14148764875147457</c:v>
                </c:pt>
                <c:pt idx="218">
                  <c:v>0.14115287946668376</c:v>
                </c:pt>
                <c:pt idx="219">
                  <c:v>0.14081731432693798</c:v>
                </c:pt>
                <c:pt idx="220">
                  <c:v>0.14048094762909008</c:v>
                </c:pt>
                <c:pt idx="221">
                  <c:v>0.1401437736015505</c:v>
                </c:pt>
                <c:pt idx="222">
                  <c:v>0.1398057864031319</c:v>
                </c:pt>
                <c:pt idx="223">
                  <c:v>0.13946698012186842</c:v>
                </c:pt>
                <c:pt idx="224">
                  <c:v>0.13912734877380917</c:v>
                </c:pt>
                <c:pt idx="225">
                  <c:v>0.13878688630178515</c:v>
                </c:pt>
                <c:pt idx="226">
                  <c:v>0.13844558657414882</c:v>
                </c:pt>
                <c:pt idx="227">
                  <c:v>0.13810344338348568</c:v>
                </c:pt>
                <c:pt idx="228">
                  <c:v>0.137760450445297</c:v>
                </c:pt>
                <c:pt idx="229">
                  <c:v>0.13741660139665304</c:v>
                </c:pt>
                <c:pt idx="230">
                  <c:v>0.1370718897948158</c:v>
                </c:pt>
                <c:pt idx="231">
                  <c:v>0.13672630911583047</c:v>
                </c:pt>
                <c:pt idx="232">
                  <c:v>0.13637985275308492</c:v>
                </c:pt>
                <c:pt idx="233">
                  <c:v>0.13603251401583602</c:v>
                </c:pt>
                <c:pt idx="234">
                  <c:v>0.13568428612770206</c:v>
                </c:pt>
                <c:pt idx="235">
                  <c:v>0.13533516222512026</c:v>
                </c:pt>
                <c:pt idx="236">
                  <c:v>0.13498513535576842</c:v>
                </c:pt>
                <c:pt idx="237">
                  <c:v>0.13463419847694946</c:v>
                </c:pt>
                <c:pt idx="238">
                  <c:v>0.13428234445393825</c:v>
                </c:pt>
                <c:pt idx="239">
                  <c:v>0.13392956605828907</c:v>
                </c:pt>
                <c:pt idx="240">
                  <c:v>0.13357585596610308</c:v>
                </c:pt>
                <c:pt idx="241">
                  <c:v>0.13322120675625412</c:v>
                </c:pt>
                <c:pt idx="242">
                  <c:v>0.13286561090857224</c:v>
                </c:pt>
                <c:pt idx="243">
                  <c:v>0.13250906080198294</c:v>
                </c:pt>
                <c:pt idx="244">
                  <c:v>0.1321515487126016</c:v>
                </c:pt>
                <c:pt idx="245">
                  <c:v>0.13179306681178116</c:v>
                </c:pt>
                <c:pt idx="246">
                  <c:v>0.13143360716411195</c:v>
                </c:pt>
                <c:pt idx="247">
                  <c:v>0.13107316172537231</c:v>
                </c:pt>
                <c:pt idx="248">
                  <c:v>0.13071172234042783</c:v>
                </c:pt>
                <c:pt idx="249">
                  <c:v>0.13034928074107888</c:v>
                </c:pt>
                <c:pt idx="250">
                  <c:v>0.12998582854385357</c:v>
                </c:pt>
                <c:pt idx="251">
                  <c:v>0.12962135724774523</c:v>
                </c:pt>
                <c:pt idx="252">
                  <c:v>0.12925585823189251</c:v>
                </c:pt>
                <c:pt idx="253">
                  <c:v>0.12888932275320014</c:v>
                </c:pt>
                <c:pt idx="254">
                  <c:v>0.1285217419438987</c:v>
                </c:pt>
                <c:pt idx="255">
                  <c:v>0.12815310680904146</c:v>
                </c:pt>
                <c:pt idx="256">
                  <c:v>0.12778340822393605</c:v>
                </c:pt>
                <c:pt idx="257">
                  <c:v>0.12741263693150923</c:v>
                </c:pt>
                <c:pt idx="258">
                  <c:v>0.1270407835396023</c:v>
                </c:pt>
                <c:pt idx="259">
                  <c:v>0.12666783851819521</c:v>
                </c:pt>
                <c:pt idx="260">
                  <c:v>0.12629379219655684</c:v>
                </c:pt>
                <c:pt idx="261">
                  <c:v>0.12591863476031884</c:v>
                </c:pt>
                <c:pt idx="262">
                  <c:v>0.12554235624847127</c:v>
                </c:pt>
                <c:pt idx="263">
                  <c:v>0.12516494655027652</c:v>
                </c:pt>
                <c:pt idx="264">
                  <c:v>0.12478639540209932</c:v>
                </c:pt>
                <c:pt idx="265">
                  <c:v>0.12440669238415018</c:v>
                </c:pt>
                <c:pt idx="266">
                  <c:v>0.1240258269171388</c:v>
                </c:pt>
                <c:pt idx="267">
                  <c:v>0.12364378825883479</c:v>
                </c:pt>
                <c:pt idx="268">
                  <c:v>0.12326056550053251</c:v>
                </c:pt>
                <c:pt idx="269">
                  <c:v>0.12287614756341673</c:v>
                </c:pt>
                <c:pt idx="270">
                  <c:v>0.12249052319482541</c:v>
                </c:pt>
                <c:pt idx="271">
                  <c:v>0.12210368096440646</c:v>
                </c:pt>
                <c:pt idx="272">
                  <c:v>0.12171560926016459</c:v>
                </c:pt>
                <c:pt idx="273">
                  <c:v>0.12132629628439404</c:v>
                </c:pt>
                <c:pt idx="274">
                  <c:v>0.12093573004949389</c:v>
                </c:pt>
                <c:pt idx="275">
                  <c:v>0.1205438983736612</c:v>
                </c:pt>
                <c:pt idx="276">
                  <c:v>0.12015078887645746</c:v>
                </c:pt>
                <c:pt idx="277">
                  <c:v>0.11975638897424454</c:v>
                </c:pt>
                <c:pt idx="278">
                  <c:v>0.11936068587548437</c:v>
                </c:pt>
                <c:pt idx="279">
                  <c:v>0.11896366657589851</c:v>
                </c:pt>
                <c:pt idx="280">
                  <c:v>0.11692599340286196</c:v>
                </c:pt>
                <c:pt idx="281">
                  <c:v>0.11107969373271841</c:v>
                </c:pt>
                <c:pt idx="282">
                  <c:v>0.10523339406257487</c:v>
                </c:pt>
                <c:pt idx="283">
                  <c:v>9.9387094392431305E-2</c:v>
                </c:pt>
                <c:pt idx="284">
                  <c:v>9.3540794722287768E-2</c:v>
                </c:pt>
                <c:pt idx="285">
                  <c:v>8.7694495052144217E-2</c:v>
                </c:pt>
                <c:pt idx="286">
                  <c:v>8.184819538200068E-2</c:v>
                </c:pt>
                <c:pt idx="287">
                  <c:v>7.6001895711857143E-2</c:v>
                </c:pt>
                <c:pt idx="288">
                  <c:v>7.0155596041713592E-2</c:v>
                </c:pt>
                <c:pt idx="289">
                  <c:v>6.4309296371570054E-2</c:v>
                </c:pt>
                <c:pt idx="290">
                  <c:v>5.846299670142651E-2</c:v>
                </c:pt>
                <c:pt idx="291">
                  <c:v>5.2616697031282952E-2</c:v>
                </c:pt>
                <c:pt idx="292">
                  <c:v>4.6770397361139415E-2</c:v>
                </c:pt>
                <c:pt idx="293">
                  <c:v>4.0924097690995857E-2</c:v>
                </c:pt>
                <c:pt idx="294">
                  <c:v>3.5077798020852313E-2</c:v>
                </c:pt>
                <c:pt idx="295">
                  <c:v>2.9231498350708762E-2</c:v>
                </c:pt>
                <c:pt idx="296">
                  <c:v>2.3385198680565211E-2</c:v>
                </c:pt>
                <c:pt idx="297">
                  <c:v>1.7538899010421664E-2</c:v>
                </c:pt>
                <c:pt idx="298">
                  <c:v>1.1692599340278114E-2</c:v>
                </c:pt>
                <c:pt idx="299">
                  <c:v>5.8462996701345677E-3</c:v>
                </c:pt>
                <c:pt idx="300">
                  <c:v>-8.9804673061821635E-15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F6E-42E9-B351-C58FEA24DB69}"/>
            </c:ext>
          </c:extLst>
        </c:ser>
        <c:ser>
          <c:idx val="4"/>
          <c:order val="4"/>
          <c:tx>
            <c:strRef>
              <c:f>'Burland damage classification'!$S$10:$S$11</c:f>
              <c:strCache>
                <c:ptCount val="2"/>
                <c:pt idx="0">
                  <c:v>L4/H=</c:v>
                </c:pt>
                <c:pt idx="1">
                  <c:v>0.36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'Burland damage classification'!$T$24</c:f>
              <c:numCache>
                <c:formatCode>0.00</c:formatCode>
                <c:ptCount val="1"/>
              </c:numCache>
            </c:numRef>
          </c:xVal>
          <c:yVal>
            <c:numRef>
              <c:f>'Burland damage classification'!$O$9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F6E-42E9-B351-C58FEA24DB69}"/>
            </c:ext>
          </c:extLst>
        </c:ser>
        <c:ser>
          <c:idx val="5"/>
          <c:order val="5"/>
          <c:tx>
            <c:v>L4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'Burland damage classification'!$EW$67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'Burland damage classification'!$EV$67</c:f>
              <c:numCache>
                <c:formatCode>General</c:formatCode>
                <c:ptCount val="1"/>
                <c:pt idx="0">
                  <c:v>3.543405518301632E-3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F6E-42E9-B351-C58FEA24DB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20448"/>
        <c:axId val="294598144"/>
      </c:scatterChart>
      <c:valAx>
        <c:axId val="29412044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 sz="800" b="1" i="0" u="none" strike="noStrike" baseline="0">
                    <a:solidFill>
                      <a:srgbClr val="000000"/>
                    </a:solidFill>
                    <a:latin typeface="GreekC"/>
                    <a:cs typeface="GreekC"/>
                  </a:rPr>
                  <a:t>e</a:t>
                </a:r>
                <a:r>
                  <a:rPr lang="it-IT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h [%]</a:t>
                </a:r>
              </a:p>
            </c:rich>
          </c:tx>
          <c:layout>
            <c:manualLayout>
              <c:xMode val="edge"/>
              <c:yMode val="edge"/>
              <c:x val="0.50000042539253098"/>
              <c:y val="0.920141805191017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4598144"/>
        <c:crosses val="autoZero"/>
        <c:crossBetween val="midCat"/>
      </c:valAx>
      <c:valAx>
        <c:axId val="29459814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 sz="800" b="1" i="0" u="none" strike="noStrike" baseline="0">
                    <a:solidFill>
                      <a:srgbClr val="000000"/>
                    </a:solidFill>
                    <a:latin typeface="GreekC"/>
                    <a:cs typeface="GreekC"/>
                  </a:rPr>
                  <a:t>D</a:t>
                </a:r>
                <a:r>
                  <a:rPr lang="it-IT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/L[%]</a:t>
                </a:r>
              </a:p>
            </c:rich>
          </c:tx>
          <c:layout>
            <c:manualLayout>
              <c:xMode val="edge"/>
              <c:yMode val="edge"/>
              <c:x val="8.1968036005223826E-3"/>
              <c:y val="0.4444459025955089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412044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egendEntry>
        <c:idx val="4"/>
        <c:txPr>
          <a:bodyPr/>
          <a:lstStyle/>
          <a:p>
            <a:pPr>
              <a:defRPr sz="64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</c:legendEntry>
      <c:legendEntry>
        <c:idx val="5"/>
        <c:delete val="1"/>
      </c:legendEntry>
      <c:layout>
        <c:manualLayout>
          <c:xMode val="edge"/>
          <c:yMode val="edge"/>
          <c:x val="0.76661264181523503"/>
          <c:y val="0.14930592009332166"/>
          <c:w val="0.20259319286871957"/>
          <c:h val="0.33333442694663168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6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258" orientation="landscape" horizontalDpi="0" verticalDpi="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BUILDING DAMAGE CLASSIFICATION (AFTER BURLAND et al, 1977 AND BOSCARDIN AND CORDING, 1989)-SAGGING</a:t>
            </a:r>
          </a:p>
        </c:rich>
      </c:tx>
      <c:layout>
        <c:manualLayout>
          <c:xMode val="edge"/>
          <c:yMode val="edge"/>
          <c:x val="0.12295103306576143"/>
          <c:y val="3.80622837370242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2658022690437608E-2"/>
          <c:y val="0.17301067293379807"/>
          <c:w val="0.88168557536466774"/>
          <c:h val="0.71972439940459998"/>
        </c:manualLayout>
      </c:layout>
      <c:scatterChart>
        <c:scatterStyle val="lineMarker"/>
        <c:varyColors val="0"/>
        <c:ser>
          <c:idx val="1"/>
          <c:order val="0"/>
          <c:tx>
            <c:strRef>
              <c:f>'Burland damage classification'!$Q$34:$S$34</c:f>
              <c:strCache>
                <c:ptCount val="1"/>
                <c:pt idx="0">
                  <c:v>eps_lim= 0.033 %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'Burland damage classification'!$BM$327:$BM$377</c:f>
              <c:numCache>
                <c:formatCode>General</c:formatCode>
                <c:ptCount val="51"/>
                <c:pt idx="0">
                  <c:v>0</c:v>
                </c:pt>
                <c:pt idx="1">
                  <c:v>6.6666666666666664E-4</c:v>
                </c:pt>
                <c:pt idx="2">
                  <c:v>1.3333333333333333E-3</c:v>
                </c:pt>
                <c:pt idx="3">
                  <c:v>2E-3</c:v>
                </c:pt>
                <c:pt idx="4">
                  <c:v>2.6666666666666666E-3</c:v>
                </c:pt>
                <c:pt idx="5">
                  <c:v>3.3333333333333335E-3</c:v>
                </c:pt>
                <c:pt idx="6">
                  <c:v>4.0000000000000001E-3</c:v>
                </c:pt>
                <c:pt idx="7">
                  <c:v>4.6666666666666671E-3</c:v>
                </c:pt>
                <c:pt idx="8">
                  <c:v>5.333333333333334E-3</c:v>
                </c:pt>
                <c:pt idx="9">
                  <c:v>6.000000000000001E-3</c:v>
                </c:pt>
                <c:pt idx="10">
                  <c:v>6.6666666666666671E-3</c:v>
                </c:pt>
                <c:pt idx="11">
                  <c:v>7.3333333333333332E-3</c:v>
                </c:pt>
                <c:pt idx="12">
                  <c:v>8.0000000000000002E-3</c:v>
                </c:pt>
                <c:pt idx="13">
                  <c:v>8.6666666666666663E-3</c:v>
                </c:pt>
                <c:pt idx="14">
                  <c:v>9.3333333333333324E-3</c:v>
                </c:pt>
                <c:pt idx="15">
                  <c:v>9.9999999999999985E-3</c:v>
                </c:pt>
                <c:pt idx="16">
                  <c:v>1.0666666666666665E-2</c:v>
                </c:pt>
                <c:pt idx="17">
                  <c:v>1.1333333333333331E-2</c:v>
                </c:pt>
                <c:pt idx="18">
                  <c:v>1.1999999999999997E-2</c:v>
                </c:pt>
                <c:pt idx="19">
                  <c:v>1.2666666666666663E-2</c:v>
                </c:pt>
                <c:pt idx="20">
                  <c:v>1.3333333333333331E-2</c:v>
                </c:pt>
                <c:pt idx="21">
                  <c:v>1.3999999999999999E-2</c:v>
                </c:pt>
                <c:pt idx="22">
                  <c:v>1.4666666666666666E-2</c:v>
                </c:pt>
                <c:pt idx="23">
                  <c:v>1.5333333333333334E-2</c:v>
                </c:pt>
                <c:pt idx="24">
                  <c:v>1.6E-2</c:v>
                </c:pt>
                <c:pt idx="25">
                  <c:v>1.666666666666667E-2</c:v>
                </c:pt>
                <c:pt idx="26">
                  <c:v>1.7333333333333336E-2</c:v>
                </c:pt>
                <c:pt idx="27">
                  <c:v>1.8000000000000002E-2</c:v>
                </c:pt>
                <c:pt idx="28">
                  <c:v>1.8666666666666672E-2</c:v>
                </c:pt>
                <c:pt idx="29">
                  <c:v>1.9333333333333338E-2</c:v>
                </c:pt>
                <c:pt idx="30">
                  <c:v>2.0000000000000007E-2</c:v>
                </c:pt>
                <c:pt idx="31">
                  <c:v>2.0666666666666673E-2</c:v>
                </c:pt>
                <c:pt idx="32">
                  <c:v>2.1333333333333343E-2</c:v>
                </c:pt>
                <c:pt idx="33">
                  <c:v>2.2000000000000009E-2</c:v>
                </c:pt>
                <c:pt idx="34">
                  <c:v>2.2666666666666675E-2</c:v>
                </c:pt>
                <c:pt idx="35">
                  <c:v>2.3333333333333345E-2</c:v>
                </c:pt>
                <c:pt idx="36">
                  <c:v>2.4000000000000011E-2</c:v>
                </c:pt>
                <c:pt idx="37">
                  <c:v>2.466666666666668E-2</c:v>
                </c:pt>
                <c:pt idx="38">
                  <c:v>2.5333333333333343E-2</c:v>
                </c:pt>
                <c:pt idx="39">
                  <c:v>2.6000000000000009E-2</c:v>
                </c:pt>
                <c:pt idx="40">
                  <c:v>2.6666666666666672E-2</c:v>
                </c:pt>
                <c:pt idx="41">
                  <c:v>2.7333333333333338E-2</c:v>
                </c:pt>
                <c:pt idx="42">
                  <c:v>2.8000000000000004E-2</c:v>
                </c:pt>
                <c:pt idx="43">
                  <c:v>2.8666666666666667E-2</c:v>
                </c:pt>
                <c:pt idx="44">
                  <c:v>2.9333333333333333E-2</c:v>
                </c:pt>
                <c:pt idx="45">
                  <c:v>0.03</c:v>
                </c:pt>
                <c:pt idx="46">
                  <c:v>3.0666666666666662E-2</c:v>
                </c:pt>
                <c:pt idx="47">
                  <c:v>3.1333333333333324E-2</c:v>
                </c:pt>
                <c:pt idx="48">
                  <c:v>3.1999999999999994E-2</c:v>
                </c:pt>
                <c:pt idx="49">
                  <c:v>3.2666666666666656E-2</c:v>
                </c:pt>
                <c:pt idx="50">
                  <c:v>3.3333333333333319E-2</c:v>
                </c:pt>
              </c:numCache>
            </c:numRef>
          </c:xVal>
          <c:yVal>
            <c:numRef>
              <c:f>'Burland damage classification'!$BI$327:$BI$377</c:f>
              <c:numCache>
                <c:formatCode>0.0000000000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31-4883-A8B9-9FB165F318D3}"/>
            </c:ext>
          </c:extLst>
        </c:ser>
        <c:ser>
          <c:idx val="0"/>
          <c:order val="1"/>
          <c:tx>
            <c:strRef>
              <c:f>'Burland damage classification'!$Q$35:$S$35</c:f>
              <c:strCache>
                <c:ptCount val="1"/>
                <c:pt idx="0">
                  <c:v>eps_lim= 0.050 %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'Burland damage classification'!$BV$327:$BV$402</c:f>
              <c:numCache>
                <c:formatCode>General</c:formatCode>
                <c:ptCount val="76"/>
                <c:pt idx="0">
                  <c:v>0</c:v>
                </c:pt>
                <c:pt idx="1">
                  <c:v>6.6666666666666664E-4</c:v>
                </c:pt>
                <c:pt idx="2">
                  <c:v>1.3333333333333333E-3</c:v>
                </c:pt>
                <c:pt idx="3">
                  <c:v>2E-3</c:v>
                </c:pt>
                <c:pt idx="4">
                  <c:v>2.6666666666666666E-3</c:v>
                </c:pt>
                <c:pt idx="5">
                  <c:v>3.3333333333333335E-3</c:v>
                </c:pt>
                <c:pt idx="6">
                  <c:v>4.0000000000000001E-3</c:v>
                </c:pt>
                <c:pt idx="7">
                  <c:v>4.6666666666666671E-3</c:v>
                </c:pt>
                <c:pt idx="8">
                  <c:v>5.333333333333334E-3</c:v>
                </c:pt>
                <c:pt idx="9">
                  <c:v>6.000000000000001E-3</c:v>
                </c:pt>
                <c:pt idx="10">
                  <c:v>6.6666666666666671E-3</c:v>
                </c:pt>
                <c:pt idx="11">
                  <c:v>7.3333333333333332E-3</c:v>
                </c:pt>
                <c:pt idx="12">
                  <c:v>8.0000000000000002E-3</c:v>
                </c:pt>
                <c:pt idx="13">
                  <c:v>8.6666666666666663E-3</c:v>
                </c:pt>
                <c:pt idx="14">
                  <c:v>9.3333333333333324E-3</c:v>
                </c:pt>
                <c:pt idx="15">
                  <c:v>9.9999999999999985E-3</c:v>
                </c:pt>
                <c:pt idx="16">
                  <c:v>1.0666666666666665E-2</c:v>
                </c:pt>
                <c:pt idx="17">
                  <c:v>1.1333333333333331E-2</c:v>
                </c:pt>
                <c:pt idx="18">
                  <c:v>1.1999999999999997E-2</c:v>
                </c:pt>
                <c:pt idx="19">
                  <c:v>1.2666666666666663E-2</c:v>
                </c:pt>
                <c:pt idx="20">
                  <c:v>1.3333333333333331E-2</c:v>
                </c:pt>
                <c:pt idx="21">
                  <c:v>1.3999999999999999E-2</c:v>
                </c:pt>
                <c:pt idx="22">
                  <c:v>1.4666666666666666E-2</c:v>
                </c:pt>
                <c:pt idx="23">
                  <c:v>1.5333333333333334E-2</c:v>
                </c:pt>
                <c:pt idx="24">
                  <c:v>1.6E-2</c:v>
                </c:pt>
                <c:pt idx="25">
                  <c:v>1.666666666666667E-2</c:v>
                </c:pt>
                <c:pt idx="26">
                  <c:v>1.7333333333333336E-2</c:v>
                </c:pt>
                <c:pt idx="27">
                  <c:v>1.8000000000000002E-2</c:v>
                </c:pt>
                <c:pt idx="28">
                  <c:v>1.8666666666666672E-2</c:v>
                </c:pt>
                <c:pt idx="29">
                  <c:v>1.9333333333333338E-2</c:v>
                </c:pt>
                <c:pt idx="30">
                  <c:v>2.0000000000000007E-2</c:v>
                </c:pt>
                <c:pt idx="31">
                  <c:v>2.0666666666666673E-2</c:v>
                </c:pt>
                <c:pt idx="32">
                  <c:v>2.1333333333333343E-2</c:v>
                </c:pt>
                <c:pt idx="33">
                  <c:v>2.2000000000000009E-2</c:v>
                </c:pt>
                <c:pt idx="34">
                  <c:v>2.2666666666666675E-2</c:v>
                </c:pt>
                <c:pt idx="35">
                  <c:v>2.3333333333333345E-2</c:v>
                </c:pt>
                <c:pt idx="36">
                  <c:v>2.4000000000000011E-2</c:v>
                </c:pt>
                <c:pt idx="37">
                  <c:v>2.466666666666668E-2</c:v>
                </c:pt>
                <c:pt idx="38">
                  <c:v>2.5333333333333343E-2</c:v>
                </c:pt>
                <c:pt idx="39">
                  <c:v>2.6000000000000009E-2</c:v>
                </c:pt>
                <c:pt idx="40">
                  <c:v>2.6666666666666672E-2</c:v>
                </c:pt>
                <c:pt idx="41">
                  <c:v>2.7333333333333338E-2</c:v>
                </c:pt>
                <c:pt idx="42">
                  <c:v>2.8000000000000004E-2</c:v>
                </c:pt>
                <c:pt idx="43">
                  <c:v>2.8666666666666667E-2</c:v>
                </c:pt>
                <c:pt idx="44">
                  <c:v>2.9333333333333333E-2</c:v>
                </c:pt>
                <c:pt idx="45">
                  <c:v>0.03</c:v>
                </c:pt>
                <c:pt idx="46">
                  <c:v>3.0666666666666662E-2</c:v>
                </c:pt>
                <c:pt idx="47">
                  <c:v>3.1333333333333324E-2</c:v>
                </c:pt>
                <c:pt idx="48">
                  <c:v>3.1999999999999994E-2</c:v>
                </c:pt>
                <c:pt idx="49">
                  <c:v>3.2666666666666656E-2</c:v>
                </c:pt>
                <c:pt idx="50">
                  <c:v>3.3333333333333319E-2</c:v>
                </c:pt>
                <c:pt idx="51">
                  <c:v>3.3999999999999989E-2</c:v>
                </c:pt>
                <c:pt idx="52">
                  <c:v>3.4666666666666651E-2</c:v>
                </c:pt>
                <c:pt idx="53">
                  <c:v>3.5333333333333314E-2</c:v>
                </c:pt>
                <c:pt idx="54">
                  <c:v>3.5999999999999983E-2</c:v>
                </c:pt>
                <c:pt idx="55">
                  <c:v>3.6666666666666646E-2</c:v>
                </c:pt>
                <c:pt idx="56">
                  <c:v>3.7333333333333309E-2</c:v>
                </c:pt>
                <c:pt idx="57">
                  <c:v>3.7999999999999978E-2</c:v>
                </c:pt>
                <c:pt idx="58">
                  <c:v>3.8666666666666641E-2</c:v>
                </c:pt>
                <c:pt idx="59">
                  <c:v>3.9333333333333304E-2</c:v>
                </c:pt>
                <c:pt idx="60">
                  <c:v>3.9999999999999966E-2</c:v>
                </c:pt>
                <c:pt idx="61">
                  <c:v>4.0666666666666636E-2</c:v>
                </c:pt>
                <c:pt idx="62">
                  <c:v>4.1333333333333298E-2</c:v>
                </c:pt>
                <c:pt idx="63">
                  <c:v>4.1999999999999961E-2</c:v>
                </c:pt>
                <c:pt idx="64">
                  <c:v>4.2666666666666631E-2</c:v>
                </c:pt>
                <c:pt idx="65">
                  <c:v>4.3333333333333293E-2</c:v>
                </c:pt>
                <c:pt idx="66">
                  <c:v>4.3999999999999956E-2</c:v>
                </c:pt>
                <c:pt idx="67">
                  <c:v>4.4666666666666625E-2</c:v>
                </c:pt>
                <c:pt idx="68">
                  <c:v>4.5333333333333288E-2</c:v>
                </c:pt>
                <c:pt idx="69">
                  <c:v>4.5999999999999951E-2</c:v>
                </c:pt>
                <c:pt idx="70">
                  <c:v>4.666666666666662E-2</c:v>
                </c:pt>
                <c:pt idx="71">
                  <c:v>4.7333333333333283E-2</c:v>
                </c:pt>
                <c:pt idx="72">
                  <c:v>4.7999999999999945E-2</c:v>
                </c:pt>
                <c:pt idx="73">
                  <c:v>4.8666666666666615E-2</c:v>
                </c:pt>
                <c:pt idx="74">
                  <c:v>4.9333333333333285E-2</c:v>
                </c:pt>
                <c:pt idx="75">
                  <c:v>4.9999999999999947E-2</c:v>
                </c:pt>
              </c:numCache>
            </c:numRef>
          </c:xVal>
          <c:yVal>
            <c:numRef>
              <c:f>'Burland damage classification'!$BR$327:$BR$402</c:f>
              <c:numCache>
                <c:formatCode>0.0000000000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31-4883-A8B9-9FB165F318D3}"/>
            </c:ext>
          </c:extLst>
        </c:ser>
        <c:ser>
          <c:idx val="2"/>
          <c:order val="2"/>
          <c:tx>
            <c:strRef>
              <c:f>'Burland damage classification'!$Q$36:$S$36</c:f>
              <c:strCache>
                <c:ptCount val="1"/>
                <c:pt idx="0">
                  <c:v>eps_lim= 0.100 %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'Burland damage classification'!$CE$327:$CE$477</c:f>
              <c:numCache>
                <c:formatCode>General</c:formatCode>
                <c:ptCount val="151"/>
                <c:pt idx="0">
                  <c:v>0</c:v>
                </c:pt>
                <c:pt idx="1">
                  <c:v>6.6666666666666664E-4</c:v>
                </c:pt>
                <c:pt idx="2">
                  <c:v>1.3333333333333333E-3</c:v>
                </c:pt>
                <c:pt idx="3">
                  <c:v>2E-3</c:v>
                </c:pt>
                <c:pt idx="4">
                  <c:v>2.6666666666666666E-3</c:v>
                </c:pt>
                <c:pt idx="5">
                  <c:v>3.3333333333333335E-3</c:v>
                </c:pt>
                <c:pt idx="6">
                  <c:v>4.0000000000000001E-3</c:v>
                </c:pt>
                <c:pt idx="7">
                  <c:v>4.6666666666666671E-3</c:v>
                </c:pt>
                <c:pt idx="8">
                  <c:v>5.333333333333334E-3</c:v>
                </c:pt>
                <c:pt idx="9">
                  <c:v>6.000000000000001E-3</c:v>
                </c:pt>
                <c:pt idx="10">
                  <c:v>6.6666666666666671E-3</c:v>
                </c:pt>
                <c:pt idx="11">
                  <c:v>7.3333333333333332E-3</c:v>
                </c:pt>
                <c:pt idx="12">
                  <c:v>8.0000000000000002E-3</c:v>
                </c:pt>
                <c:pt idx="13">
                  <c:v>8.6666666666666663E-3</c:v>
                </c:pt>
                <c:pt idx="14">
                  <c:v>9.3333333333333324E-3</c:v>
                </c:pt>
                <c:pt idx="15">
                  <c:v>9.9999999999999985E-3</c:v>
                </c:pt>
                <c:pt idx="16">
                  <c:v>1.0666666666666665E-2</c:v>
                </c:pt>
                <c:pt idx="17">
                  <c:v>1.1333333333333331E-2</c:v>
                </c:pt>
                <c:pt idx="18">
                  <c:v>1.1999999999999997E-2</c:v>
                </c:pt>
                <c:pt idx="19">
                  <c:v>1.2666666666666663E-2</c:v>
                </c:pt>
                <c:pt idx="20">
                  <c:v>1.3333333333333331E-2</c:v>
                </c:pt>
                <c:pt idx="21">
                  <c:v>1.3999999999999999E-2</c:v>
                </c:pt>
                <c:pt idx="22">
                  <c:v>1.4666666666666666E-2</c:v>
                </c:pt>
                <c:pt idx="23">
                  <c:v>1.5333333333333334E-2</c:v>
                </c:pt>
                <c:pt idx="24">
                  <c:v>1.6E-2</c:v>
                </c:pt>
                <c:pt idx="25">
                  <c:v>1.666666666666667E-2</c:v>
                </c:pt>
                <c:pt idx="26">
                  <c:v>1.7333333333333336E-2</c:v>
                </c:pt>
                <c:pt idx="27">
                  <c:v>1.8000000000000002E-2</c:v>
                </c:pt>
                <c:pt idx="28">
                  <c:v>1.8666666666666672E-2</c:v>
                </c:pt>
                <c:pt idx="29">
                  <c:v>1.9333333333333338E-2</c:v>
                </c:pt>
                <c:pt idx="30">
                  <c:v>2.0000000000000007E-2</c:v>
                </c:pt>
                <c:pt idx="31">
                  <c:v>2.0666666666666673E-2</c:v>
                </c:pt>
                <c:pt idx="32">
                  <c:v>2.1333333333333343E-2</c:v>
                </c:pt>
                <c:pt idx="33">
                  <c:v>2.2000000000000009E-2</c:v>
                </c:pt>
                <c:pt idx="34">
                  <c:v>2.2666666666666675E-2</c:v>
                </c:pt>
                <c:pt idx="35">
                  <c:v>2.3333333333333345E-2</c:v>
                </c:pt>
                <c:pt idx="36">
                  <c:v>2.4000000000000011E-2</c:v>
                </c:pt>
                <c:pt idx="37">
                  <c:v>2.466666666666668E-2</c:v>
                </c:pt>
                <c:pt idx="38">
                  <c:v>2.5333333333333343E-2</c:v>
                </c:pt>
                <c:pt idx="39">
                  <c:v>2.6000000000000009E-2</c:v>
                </c:pt>
                <c:pt idx="40">
                  <c:v>2.6666666666666672E-2</c:v>
                </c:pt>
                <c:pt idx="41">
                  <c:v>2.7333333333333338E-2</c:v>
                </c:pt>
                <c:pt idx="42">
                  <c:v>2.8000000000000004E-2</c:v>
                </c:pt>
                <c:pt idx="43">
                  <c:v>2.8666666666666667E-2</c:v>
                </c:pt>
                <c:pt idx="44">
                  <c:v>2.9333333333333333E-2</c:v>
                </c:pt>
                <c:pt idx="45">
                  <c:v>0.03</c:v>
                </c:pt>
                <c:pt idx="46">
                  <c:v>3.0666666666666662E-2</c:v>
                </c:pt>
                <c:pt idx="47">
                  <c:v>3.1333333333333324E-2</c:v>
                </c:pt>
                <c:pt idx="48">
                  <c:v>3.1999999999999994E-2</c:v>
                </c:pt>
                <c:pt idx="49">
                  <c:v>3.2666666666666656E-2</c:v>
                </c:pt>
                <c:pt idx="50">
                  <c:v>3.3333333333333319E-2</c:v>
                </c:pt>
                <c:pt idx="51">
                  <c:v>3.3999999999999989E-2</c:v>
                </c:pt>
                <c:pt idx="52">
                  <c:v>3.4666666666666651E-2</c:v>
                </c:pt>
                <c:pt idx="53">
                  <c:v>3.5333333333333314E-2</c:v>
                </c:pt>
                <c:pt idx="54">
                  <c:v>3.5999999999999983E-2</c:v>
                </c:pt>
                <c:pt idx="55">
                  <c:v>3.6666666666666646E-2</c:v>
                </c:pt>
                <c:pt idx="56">
                  <c:v>3.7333333333333309E-2</c:v>
                </c:pt>
                <c:pt idx="57">
                  <c:v>3.7999999999999978E-2</c:v>
                </c:pt>
                <c:pt idx="58">
                  <c:v>3.8666666666666641E-2</c:v>
                </c:pt>
                <c:pt idx="59">
                  <c:v>3.9333333333333304E-2</c:v>
                </c:pt>
                <c:pt idx="60">
                  <c:v>3.9999999999999966E-2</c:v>
                </c:pt>
                <c:pt idx="61">
                  <c:v>4.0666666666666636E-2</c:v>
                </c:pt>
                <c:pt idx="62">
                  <c:v>4.1333333333333298E-2</c:v>
                </c:pt>
                <c:pt idx="63">
                  <c:v>4.1999999999999961E-2</c:v>
                </c:pt>
                <c:pt idx="64">
                  <c:v>4.2666666666666631E-2</c:v>
                </c:pt>
                <c:pt idx="65">
                  <c:v>4.3333333333333293E-2</c:v>
                </c:pt>
                <c:pt idx="66">
                  <c:v>4.3999999999999956E-2</c:v>
                </c:pt>
                <c:pt idx="67">
                  <c:v>4.4666666666666625E-2</c:v>
                </c:pt>
                <c:pt idx="68">
                  <c:v>4.5333333333333288E-2</c:v>
                </c:pt>
                <c:pt idx="69">
                  <c:v>4.5999999999999951E-2</c:v>
                </c:pt>
                <c:pt idx="70">
                  <c:v>4.666666666666662E-2</c:v>
                </c:pt>
                <c:pt idx="71">
                  <c:v>4.7333333333333283E-2</c:v>
                </c:pt>
                <c:pt idx="72">
                  <c:v>4.7999999999999945E-2</c:v>
                </c:pt>
                <c:pt idx="73">
                  <c:v>4.8666666666666615E-2</c:v>
                </c:pt>
                <c:pt idx="74">
                  <c:v>4.9333333333333285E-2</c:v>
                </c:pt>
                <c:pt idx="75">
                  <c:v>4.9999999999999947E-2</c:v>
                </c:pt>
                <c:pt idx="76">
                  <c:v>5.066666666666661E-2</c:v>
                </c:pt>
                <c:pt idx="77">
                  <c:v>5.1333333333333279E-2</c:v>
                </c:pt>
                <c:pt idx="78">
                  <c:v>5.1999999999999942E-2</c:v>
                </c:pt>
                <c:pt idx="79">
                  <c:v>5.2666666666666605E-2</c:v>
                </c:pt>
                <c:pt idx="80">
                  <c:v>5.3333333333333274E-2</c:v>
                </c:pt>
                <c:pt idx="81">
                  <c:v>5.3999999999999937E-2</c:v>
                </c:pt>
                <c:pt idx="82">
                  <c:v>5.46666666666666E-2</c:v>
                </c:pt>
                <c:pt idx="83">
                  <c:v>5.5333333333333262E-2</c:v>
                </c:pt>
                <c:pt idx="84">
                  <c:v>5.5999999999999932E-2</c:v>
                </c:pt>
                <c:pt idx="85">
                  <c:v>5.6666666666666594E-2</c:v>
                </c:pt>
                <c:pt idx="86">
                  <c:v>5.7333333333333257E-2</c:v>
                </c:pt>
                <c:pt idx="87">
                  <c:v>5.7999999999999927E-2</c:v>
                </c:pt>
                <c:pt idx="88">
                  <c:v>5.8666666666666589E-2</c:v>
                </c:pt>
                <c:pt idx="89">
                  <c:v>5.9333333333333252E-2</c:v>
                </c:pt>
                <c:pt idx="90">
                  <c:v>5.9999999999999921E-2</c:v>
                </c:pt>
                <c:pt idx="91">
                  <c:v>6.0666666666666584E-2</c:v>
                </c:pt>
                <c:pt idx="92">
                  <c:v>6.1333333333333247E-2</c:v>
                </c:pt>
                <c:pt idx="93">
                  <c:v>6.1999999999999916E-2</c:v>
                </c:pt>
                <c:pt idx="94">
                  <c:v>6.2666666666666579E-2</c:v>
                </c:pt>
                <c:pt idx="95">
                  <c:v>6.3333333333333242E-2</c:v>
                </c:pt>
                <c:pt idx="96">
                  <c:v>6.3999999999999904E-2</c:v>
                </c:pt>
                <c:pt idx="97">
                  <c:v>6.4666666666666567E-2</c:v>
                </c:pt>
                <c:pt idx="98">
                  <c:v>6.5333333333333243E-2</c:v>
                </c:pt>
                <c:pt idx="99">
                  <c:v>6.5999999999999906E-2</c:v>
                </c:pt>
                <c:pt idx="100">
                  <c:v>6.6666666666666569E-2</c:v>
                </c:pt>
                <c:pt idx="101">
                  <c:v>6.7333333333333231E-2</c:v>
                </c:pt>
                <c:pt idx="102">
                  <c:v>6.7999999999999894E-2</c:v>
                </c:pt>
                <c:pt idx="103">
                  <c:v>6.8666666666666556E-2</c:v>
                </c:pt>
                <c:pt idx="104">
                  <c:v>6.9333333333333219E-2</c:v>
                </c:pt>
                <c:pt idx="105">
                  <c:v>6.9999999999999896E-2</c:v>
                </c:pt>
                <c:pt idx="106">
                  <c:v>7.0666666666666558E-2</c:v>
                </c:pt>
                <c:pt idx="107">
                  <c:v>7.1333333333333221E-2</c:v>
                </c:pt>
                <c:pt idx="108">
                  <c:v>7.1999999999999884E-2</c:v>
                </c:pt>
                <c:pt idx="109">
                  <c:v>7.2666666666666546E-2</c:v>
                </c:pt>
                <c:pt idx="110">
                  <c:v>7.3333333333333209E-2</c:v>
                </c:pt>
                <c:pt idx="111">
                  <c:v>7.3999999999999885E-2</c:v>
                </c:pt>
                <c:pt idx="112">
                  <c:v>7.4666666666666548E-2</c:v>
                </c:pt>
                <c:pt idx="113">
                  <c:v>7.5333333333333211E-2</c:v>
                </c:pt>
                <c:pt idx="114">
                  <c:v>7.5999999999999873E-2</c:v>
                </c:pt>
                <c:pt idx="115">
                  <c:v>7.6666666666666536E-2</c:v>
                </c:pt>
                <c:pt idx="116">
                  <c:v>7.7333333333333198E-2</c:v>
                </c:pt>
                <c:pt idx="117">
                  <c:v>7.7999999999999875E-2</c:v>
                </c:pt>
                <c:pt idx="118">
                  <c:v>7.8666666666666538E-2</c:v>
                </c:pt>
                <c:pt idx="119">
                  <c:v>7.93333333333332E-2</c:v>
                </c:pt>
                <c:pt idx="120">
                  <c:v>7.9999999999999863E-2</c:v>
                </c:pt>
                <c:pt idx="121">
                  <c:v>8.0666666666666526E-2</c:v>
                </c:pt>
                <c:pt idx="122">
                  <c:v>8.1333333333333188E-2</c:v>
                </c:pt>
                <c:pt idx="123">
                  <c:v>8.1999999999999851E-2</c:v>
                </c:pt>
                <c:pt idx="124">
                  <c:v>8.2666666666666527E-2</c:v>
                </c:pt>
                <c:pt idx="125">
                  <c:v>8.333333333333319E-2</c:v>
                </c:pt>
                <c:pt idx="126">
                  <c:v>8.3999999999999853E-2</c:v>
                </c:pt>
                <c:pt idx="127">
                  <c:v>8.4666666666666515E-2</c:v>
                </c:pt>
                <c:pt idx="128">
                  <c:v>8.5333333333333178E-2</c:v>
                </c:pt>
                <c:pt idx="129">
                  <c:v>8.599999999999984E-2</c:v>
                </c:pt>
                <c:pt idx="130">
                  <c:v>8.6666666666666517E-2</c:v>
                </c:pt>
                <c:pt idx="131">
                  <c:v>8.733333333333318E-2</c:v>
                </c:pt>
                <c:pt idx="132">
                  <c:v>8.7999999999999842E-2</c:v>
                </c:pt>
                <c:pt idx="133">
                  <c:v>8.8666666666666505E-2</c:v>
                </c:pt>
                <c:pt idx="134">
                  <c:v>8.9333333333333168E-2</c:v>
                </c:pt>
                <c:pt idx="135">
                  <c:v>8.999999999999983E-2</c:v>
                </c:pt>
                <c:pt idx="136">
                  <c:v>9.0666666666666507E-2</c:v>
                </c:pt>
                <c:pt idx="137">
                  <c:v>9.1333333333333169E-2</c:v>
                </c:pt>
                <c:pt idx="138">
                  <c:v>9.1999999999999832E-2</c:v>
                </c:pt>
                <c:pt idx="139">
                  <c:v>9.2666666666666495E-2</c:v>
                </c:pt>
                <c:pt idx="140">
                  <c:v>9.3333333333333157E-2</c:v>
                </c:pt>
                <c:pt idx="141">
                  <c:v>9.399999999999982E-2</c:v>
                </c:pt>
                <c:pt idx="142">
                  <c:v>9.4666666666666482E-2</c:v>
                </c:pt>
                <c:pt idx="143">
                  <c:v>9.5333333333333159E-2</c:v>
                </c:pt>
                <c:pt idx="144">
                  <c:v>9.5999999999999822E-2</c:v>
                </c:pt>
                <c:pt idx="145">
                  <c:v>9.6666666666666484E-2</c:v>
                </c:pt>
                <c:pt idx="146">
                  <c:v>9.7333333333333147E-2</c:v>
                </c:pt>
                <c:pt idx="147">
                  <c:v>9.7999999999999823E-2</c:v>
                </c:pt>
                <c:pt idx="148">
                  <c:v>9.86666666666665E-2</c:v>
                </c:pt>
                <c:pt idx="149">
                  <c:v>9.9333333333333176E-2</c:v>
                </c:pt>
                <c:pt idx="150">
                  <c:v>9.9999999999999853E-2</c:v>
                </c:pt>
              </c:numCache>
            </c:numRef>
          </c:xVal>
          <c:yVal>
            <c:numRef>
              <c:f>'Burland damage classification'!$CA$327:$CA$477</c:f>
              <c:numCache>
                <c:formatCode>0.0000000000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31-4883-A8B9-9FB165F318D3}"/>
            </c:ext>
          </c:extLst>
        </c:ser>
        <c:ser>
          <c:idx val="3"/>
          <c:order val="3"/>
          <c:tx>
            <c:strRef>
              <c:f>'Burland damage classification'!$Q$37:$S$37</c:f>
              <c:strCache>
                <c:ptCount val="1"/>
                <c:pt idx="0">
                  <c:v>eps_lim= 0.200 %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'Burland damage classification'!$CN$327:$CN$627</c:f>
              <c:numCache>
                <c:formatCode>General</c:formatCode>
                <c:ptCount val="301"/>
                <c:pt idx="0">
                  <c:v>0</c:v>
                </c:pt>
                <c:pt idx="1">
                  <c:v>6.6666666666666664E-4</c:v>
                </c:pt>
                <c:pt idx="2">
                  <c:v>1.3333333333333333E-3</c:v>
                </c:pt>
                <c:pt idx="3">
                  <c:v>2E-3</c:v>
                </c:pt>
                <c:pt idx="4">
                  <c:v>2.6666666666666666E-3</c:v>
                </c:pt>
                <c:pt idx="5">
                  <c:v>3.3333333333333335E-3</c:v>
                </c:pt>
                <c:pt idx="6">
                  <c:v>4.0000000000000001E-3</c:v>
                </c:pt>
                <c:pt idx="7">
                  <c:v>4.6666666666666671E-3</c:v>
                </c:pt>
                <c:pt idx="8">
                  <c:v>5.333333333333334E-3</c:v>
                </c:pt>
                <c:pt idx="9">
                  <c:v>6.000000000000001E-3</c:v>
                </c:pt>
                <c:pt idx="10">
                  <c:v>6.6666666666666671E-3</c:v>
                </c:pt>
                <c:pt idx="11">
                  <c:v>7.3333333333333332E-3</c:v>
                </c:pt>
                <c:pt idx="12">
                  <c:v>8.0000000000000002E-3</c:v>
                </c:pt>
                <c:pt idx="13">
                  <c:v>8.6666666666666663E-3</c:v>
                </c:pt>
                <c:pt idx="14">
                  <c:v>9.3333333333333324E-3</c:v>
                </c:pt>
                <c:pt idx="15">
                  <c:v>9.9999999999999985E-3</c:v>
                </c:pt>
                <c:pt idx="16">
                  <c:v>1.0666666666666665E-2</c:v>
                </c:pt>
                <c:pt idx="17">
                  <c:v>1.1333333333333331E-2</c:v>
                </c:pt>
                <c:pt idx="18">
                  <c:v>1.1999999999999997E-2</c:v>
                </c:pt>
                <c:pt idx="19">
                  <c:v>1.2666666666666663E-2</c:v>
                </c:pt>
                <c:pt idx="20">
                  <c:v>1.3333333333333331E-2</c:v>
                </c:pt>
                <c:pt idx="21">
                  <c:v>1.3999999999999999E-2</c:v>
                </c:pt>
                <c:pt idx="22">
                  <c:v>1.4666666666666666E-2</c:v>
                </c:pt>
                <c:pt idx="23">
                  <c:v>1.5333333333333334E-2</c:v>
                </c:pt>
                <c:pt idx="24">
                  <c:v>1.6E-2</c:v>
                </c:pt>
                <c:pt idx="25">
                  <c:v>1.666666666666667E-2</c:v>
                </c:pt>
                <c:pt idx="26">
                  <c:v>1.7333333333333336E-2</c:v>
                </c:pt>
                <c:pt idx="27">
                  <c:v>1.8000000000000002E-2</c:v>
                </c:pt>
                <c:pt idx="28">
                  <c:v>1.8666666666666672E-2</c:v>
                </c:pt>
                <c:pt idx="29">
                  <c:v>1.9333333333333338E-2</c:v>
                </c:pt>
                <c:pt idx="30">
                  <c:v>2.0000000000000007E-2</c:v>
                </c:pt>
                <c:pt idx="31">
                  <c:v>2.0666666666666673E-2</c:v>
                </c:pt>
                <c:pt idx="32">
                  <c:v>2.1333333333333343E-2</c:v>
                </c:pt>
                <c:pt idx="33">
                  <c:v>2.2000000000000009E-2</c:v>
                </c:pt>
                <c:pt idx="34">
                  <c:v>2.2666666666666675E-2</c:v>
                </c:pt>
                <c:pt idx="35">
                  <c:v>2.3333333333333345E-2</c:v>
                </c:pt>
                <c:pt idx="36">
                  <c:v>2.4000000000000011E-2</c:v>
                </c:pt>
                <c:pt idx="37">
                  <c:v>2.466666666666668E-2</c:v>
                </c:pt>
                <c:pt idx="38">
                  <c:v>2.5333333333333343E-2</c:v>
                </c:pt>
                <c:pt idx="39">
                  <c:v>2.6000000000000009E-2</c:v>
                </c:pt>
                <c:pt idx="40">
                  <c:v>2.6666666666666672E-2</c:v>
                </c:pt>
                <c:pt idx="41">
                  <c:v>2.7333333333333338E-2</c:v>
                </c:pt>
                <c:pt idx="42">
                  <c:v>2.8000000000000004E-2</c:v>
                </c:pt>
                <c:pt idx="43">
                  <c:v>2.8666666666666667E-2</c:v>
                </c:pt>
                <c:pt idx="44">
                  <c:v>2.9333333333333333E-2</c:v>
                </c:pt>
                <c:pt idx="45">
                  <c:v>0.03</c:v>
                </c:pt>
                <c:pt idx="46">
                  <c:v>3.0666666666666662E-2</c:v>
                </c:pt>
                <c:pt idx="47">
                  <c:v>3.1333333333333324E-2</c:v>
                </c:pt>
                <c:pt idx="48">
                  <c:v>3.1999999999999994E-2</c:v>
                </c:pt>
                <c:pt idx="49">
                  <c:v>3.2666666666666656E-2</c:v>
                </c:pt>
                <c:pt idx="50">
                  <c:v>3.3333333333333319E-2</c:v>
                </c:pt>
                <c:pt idx="51">
                  <c:v>3.3999999999999989E-2</c:v>
                </c:pt>
                <c:pt idx="52">
                  <c:v>3.4666666666666651E-2</c:v>
                </c:pt>
                <c:pt idx="53">
                  <c:v>3.5333333333333314E-2</c:v>
                </c:pt>
                <c:pt idx="54">
                  <c:v>3.5999999999999983E-2</c:v>
                </c:pt>
                <c:pt idx="55">
                  <c:v>3.6666666666666646E-2</c:v>
                </c:pt>
                <c:pt idx="56">
                  <c:v>3.7333333333333309E-2</c:v>
                </c:pt>
                <c:pt idx="57">
                  <c:v>3.7999999999999978E-2</c:v>
                </c:pt>
                <c:pt idx="58">
                  <c:v>3.8666666666666641E-2</c:v>
                </c:pt>
                <c:pt idx="59">
                  <c:v>3.9333333333333304E-2</c:v>
                </c:pt>
                <c:pt idx="60">
                  <c:v>3.9999999999999966E-2</c:v>
                </c:pt>
                <c:pt idx="61">
                  <c:v>4.0666666666666636E-2</c:v>
                </c:pt>
                <c:pt idx="62">
                  <c:v>4.1333333333333298E-2</c:v>
                </c:pt>
                <c:pt idx="63">
                  <c:v>4.1999999999999961E-2</c:v>
                </c:pt>
                <c:pt idx="64">
                  <c:v>4.2666666666666631E-2</c:v>
                </c:pt>
                <c:pt idx="65">
                  <c:v>4.3333333333333293E-2</c:v>
                </c:pt>
                <c:pt idx="66">
                  <c:v>4.3999999999999956E-2</c:v>
                </c:pt>
                <c:pt idx="67">
                  <c:v>4.4666666666666625E-2</c:v>
                </c:pt>
                <c:pt idx="68">
                  <c:v>4.5333333333333288E-2</c:v>
                </c:pt>
                <c:pt idx="69">
                  <c:v>4.5999999999999951E-2</c:v>
                </c:pt>
                <c:pt idx="70">
                  <c:v>4.666666666666662E-2</c:v>
                </c:pt>
                <c:pt idx="71">
                  <c:v>4.7333333333333283E-2</c:v>
                </c:pt>
                <c:pt idx="72">
                  <c:v>4.7999999999999945E-2</c:v>
                </c:pt>
                <c:pt idx="73">
                  <c:v>4.8666666666666615E-2</c:v>
                </c:pt>
                <c:pt idx="74">
                  <c:v>4.9333333333333285E-2</c:v>
                </c:pt>
                <c:pt idx="75">
                  <c:v>4.9999999999999947E-2</c:v>
                </c:pt>
                <c:pt idx="76">
                  <c:v>5.066666666666661E-2</c:v>
                </c:pt>
                <c:pt idx="77">
                  <c:v>5.1333333333333279E-2</c:v>
                </c:pt>
                <c:pt idx="78">
                  <c:v>5.1999999999999942E-2</c:v>
                </c:pt>
                <c:pt idx="79">
                  <c:v>5.2666666666666605E-2</c:v>
                </c:pt>
                <c:pt idx="80">
                  <c:v>5.3333333333333274E-2</c:v>
                </c:pt>
                <c:pt idx="81">
                  <c:v>5.3999999999999937E-2</c:v>
                </c:pt>
                <c:pt idx="82">
                  <c:v>5.46666666666666E-2</c:v>
                </c:pt>
                <c:pt idx="83">
                  <c:v>5.5333333333333262E-2</c:v>
                </c:pt>
                <c:pt idx="84">
                  <c:v>5.5999999999999932E-2</c:v>
                </c:pt>
                <c:pt idx="85">
                  <c:v>5.6666666666666594E-2</c:v>
                </c:pt>
                <c:pt idx="86">
                  <c:v>5.7333333333333257E-2</c:v>
                </c:pt>
                <c:pt idx="87">
                  <c:v>5.7999999999999927E-2</c:v>
                </c:pt>
                <c:pt idx="88">
                  <c:v>5.8666666666666589E-2</c:v>
                </c:pt>
                <c:pt idx="89">
                  <c:v>5.9333333333333252E-2</c:v>
                </c:pt>
                <c:pt idx="90">
                  <c:v>5.9999999999999921E-2</c:v>
                </c:pt>
                <c:pt idx="91">
                  <c:v>6.0666666666666584E-2</c:v>
                </c:pt>
                <c:pt idx="92">
                  <c:v>6.1333333333333247E-2</c:v>
                </c:pt>
                <c:pt idx="93">
                  <c:v>6.1999999999999916E-2</c:v>
                </c:pt>
                <c:pt idx="94">
                  <c:v>6.2666666666666579E-2</c:v>
                </c:pt>
                <c:pt idx="95">
                  <c:v>6.3333333333333242E-2</c:v>
                </c:pt>
                <c:pt idx="96">
                  <c:v>6.3999999999999904E-2</c:v>
                </c:pt>
                <c:pt idx="97">
                  <c:v>6.4666666666666567E-2</c:v>
                </c:pt>
                <c:pt idx="98">
                  <c:v>6.5333333333333243E-2</c:v>
                </c:pt>
                <c:pt idx="99">
                  <c:v>6.5999999999999906E-2</c:v>
                </c:pt>
                <c:pt idx="100">
                  <c:v>6.6666666666666569E-2</c:v>
                </c:pt>
                <c:pt idx="101">
                  <c:v>6.7333333333333231E-2</c:v>
                </c:pt>
                <c:pt idx="102">
                  <c:v>6.7999999999999894E-2</c:v>
                </c:pt>
                <c:pt idx="103">
                  <c:v>6.8666666666666556E-2</c:v>
                </c:pt>
                <c:pt idx="104">
                  <c:v>6.9333333333333219E-2</c:v>
                </c:pt>
                <c:pt idx="105">
                  <c:v>6.9999999999999896E-2</c:v>
                </c:pt>
                <c:pt idx="106">
                  <c:v>7.0666666666666558E-2</c:v>
                </c:pt>
                <c:pt idx="107">
                  <c:v>7.1333333333333221E-2</c:v>
                </c:pt>
                <c:pt idx="108">
                  <c:v>7.1999999999999884E-2</c:v>
                </c:pt>
                <c:pt idx="109">
                  <c:v>7.2666666666666546E-2</c:v>
                </c:pt>
                <c:pt idx="110">
                  <c:v>7.3333333333333209E-2</c:v>
                </c:pt>
                <c:pt idx="111">
                  <c:v>7.3999999999999885E-2</c:v>
                </c:pt>
                <c:pt idx="112">
                  <c:v>7.4666666666666548E-2</c:v>
                </c:pt>
                <c:pt idx="113">
                  <c:v>7.5333333333333211E-2</c:v>
                </c:pt>
                <c:pt idx="114">
                  <c:v>7.5999999999999873E-2</c:v>
                </c:pt>
                <c:pt idx="115">
                  <c:v>7.6666666666666536E-2</c:v>
                </c:pt>
                <c:pt idx="116">
                  <c:v>7.7333333333333198E-2</c:v>
                </c:pt>
                <c:pt idx="117">
                  <c:v>7.7999999999999875E-2</c:v>
                </c:pt>
                <c:pt idx="118">
                  <c:v>7.8666666666666538E-2</c:v>
                </c:pt>
                <c:pt idx="119">
                  <c:v>7.93333333333332E-2</c:v>
                </c:pt>
                <c:pt idx="120">
                  <c:v>7.9999999999999863E-2</c:v>
                </c:pt>
                <c:pt idx="121">
                  <c:v>8.0666666666666526E-2</c:v>
                </c:pt>
                <c:pt idx="122">
                  <c:v>8.1333333333333188E-2</c:v>
                </c:pt>
                <c:pt idx="123">
                  <c:v>8.1999999999999851E-2</c:v>
                </c:pt>
                <c:pt idx="124">
                  <c:v>8.2666666666666527E-2</c:v>
                </c:pt>
                <c:pt idx="125">
                  <c:v>8.333333333333319E-2</c:v>
                </c:pt>
                <c:pt idx="126">
                  <c:v>8.3999999999999853E-2</c:v>
                </c:pt>
                <c:pt idx="127">
                  <c:v>8.4666666666666515E-2</c:v>
                </c:pt>
                <c:pt idx="128">
                  <c:v>8.5333333333333178E-2</c:v>
                </c:pt>
                <c:pt idx="129">
                  <c:v>8.599999999999984E-2</c:v>
                </c:pt>
                <c:pt idx="130">
                  <c:v>8.6666666666666517E-2</c:v>
                </c:pt>
                <c:pt idx="131">
                  <c:v>8.733333333333318E-2</c:v>
                </c:pt>
                <c:pt idx="132">
                  <c:v>8.7999999999999842E-2</c:v>
                </c:pt>
                <c:pt idx="133">
                  <c:v>8.8666666666666505E-2</c:v>
                </c:pt>
                <c:pt idx="134">
                  <c:v>8.9333333333333168E-2</c:v>
                </c:pt>
                <c:pt idx="135">
                  <c:v>8.999999999999983E-2</c:v>
                </c:pt>
                <c:pt idx="136">
                  <c:v>9.0666666666666507E-2</c:v>
                </c:pt>
                <c:pt idx="137">
                  <c:v>9.1333333333333169E-2</c:v>
                </c:pt>
                <c:pt idx="138">
                  <c:v>9.1999999999999832E-2</c:v>
                </c:pt>
                <c:pt idx="139">
                  <c:v>9.2666666666666495E-2</c:v>
                </c:pt>
                <c:pt idx="140">
                  <c:v>9.3333333333333157E-2</c:v>
                </c:pt>
                <c:pt idx="141">
                  <c:v>9.399999999999982E-2</c:v>
                </c:pt>
                <c:pt idx="142">
                  <c:v>9.4666666666666482E-2</c:v>
                </c:pt>
                <c:pt idx="143">
                  <c:v>9.5333333333333159E-2</c:v>
                </c:pt>
                <c:pt idx="144">
                  <c:v>9.5999999999999822E-2</c:v>
                </c:pt>
                <c:pt idx="145">
                  <c:v>9.6666666666666484E-2</c:v>
                </c:pt>
                <c:pt idx="146">
                  <c:v>9.7333333333333147E-2</c:v>
                </c:pt>
                <c:pt idx="147">
                  <c:v>9.7999999999999823E-2</c:v>
                </c:pt>
                <c:pt idx="148">
                  <c:v>9.86666666666665E-2</c:v>
                </c:pt>
                <c:pt idx="149">
                  <c:v>9.9333333333333176E-2</c:v>
                </c:pt>
                <c:pt idx="150">
                  <c:v>9.9999999999999853E-2</c:v>
                </c:pt>
                <c:pt idx="151">
                  <c:v>0.10066666666666653</c:v>
                </c:pt>
                <c:pt idx="152">
                  <c:v>0.10133333333333321</c:v>
                </c:pt>
                <c:pt idx="153">
                  <c:v>0.10199999999999988</c:v>
                </c:pt>
                <c:pt idx="154">
                  <c:v>0.10266666666666656</c:v>
                </c:pt>
                <c:pt idx="155">
                  <c:v>0.10333333333333322</c:v>
                </c:pt>
                <c:pt idx="156">
                  <c:v>0.1039999999999999</c:v>
                </c:pt>
                <c:pt idx="157">
                  <c:v>0.10466666666666657</c:v>
                </c:pt>
                <c:pt idx="158">
                  <c:v>0.10533333333333325</c:v>
                </c:pt>
                <c:pt idx="159">
                  <c:v>0.10599999999999993</c:v>
                </c:pt>
                <c:pt idx="160">
                  <c:v>0.1066666666666666</c:v>
                </c:pt>
                <c:pt idx="161">
                  <c:v>0.10733333333333328</c:v>
                </c:pt>
                <c:pt idx="162">
                  <c:v>0.10799999999999996</c:v>
                </c:pt>
                <c:pt idx="163">
                  <c:v>0.10866666666666663</c:v>
                </c:pt>
                <c:pt idx="164">
                  <c:v>0.10933333333333331</c:v>
                </c:pt>
                <c:pt idx="165">
                  <c:v>0.10999999999999999</c:v>
                </c:pt>
                <c:pt idx="166">
                  <c:v>0.11066666666666666</c:v>
                </c:pt>
                <c:pt idx="167">
                  <c:v>0.11133333333333334</c:v>
                </c:pt>
                <c:pt idx="168">
                  <c:v>0.11200000000000002</c:v>
                </c:pt>
                <c:pt idx="169">
                  <c:v>0.11266666666666669</c:v>
                </c:pt>
                <c:pt idx="170">
                  <c:v>0.11333333333333337</c:v>
                </c:pt>
                <c:pt idx="171">
                  <c:v>0.11400000000000005</c:v>
                </c:pt>
                <c:pt idx="172">
                  <c:v>0.11466666666666671</c:v>
                </c:pt>
                <c:pt idx="173">
                  <c:v>0.11533333333333338</c:v>
                </c:pt>
                <c:pt idx="174">
                  <c:v>0.11600000000000006</c:v>
                </c:pt>
                <c:pt idx="175">
                  <c:v>0.11666666666666674</c:v>
                </c:pt>
                <c:pt idx="176">
                  <c:v>0.11733333333333341</c:v>
                </c:pt>
                <c:pt idx="177">
                  <c:v>0.11800000000000009</c:v>
                </c:pt>
                <c:pt idx="178">
                  <c:v>0.11866666666666677</c:v>
                </c:pt>
                <c:pt idx="179">
                  <c:v>0.11933333333333344</c:v>
                </c:pt>
                <c:pt idx="180">
                  <c:v>0.12000000000000012</c:v>
                </c:pt>
                <c:pt idx="181">
                  <c:v>0.1206666666666668</c:v>
                </c:pt>
                <c:pt idx="182">
                  <c:v>0.12133333333333347</c:v>
                </c:pt>
                <c:pt idx="183">
                  <c:v>0.12200000000000015</c:v>
                </c:pt>
                <c:pt idx="184">
                  <c:v>0.12266666666666683</c:v>
                </c:pt>
                <c:pt idx="185">
                  <c:v>0.1233333333333335</c:v>
                </c:pt>
                <c:pt idx="186">
                  <c:v>0.12400000000000018</c:v>
                </c:pt>
                <c:pt idx="187">
                  <c:v>0.12466666666666684</c:v>
                </c:pt>
                <c:pt idx="188">
                  <c:v>0.12533333333333352</c:v>
                </c:pt>
                <c:pt idx="189">
                  <c:v>0.1260000000000002</c:v>
                </c:pt>
                <c:pt idx="190">
                  <c:v>0.12666666666666687</c:v>
                </c:pt>
                <c:pt idx="191">
                  <c:v>0.12733333333333355</c:v>
                </c:pt>
                <c:pt idx="192">
                  <c:v>0.12800000000000022</c:v>
                </c:pt>
                <c:pt idx="193">
                  <c:v>0.1286666666666669</c:v>
                </c:pt>
                <c:pt idx="194">
                  <c:v>0.12933333333333358</c:v>
                </c:pt>
                <c:pt idx="195">
                  <c:v>0.13000000000000025</c:v>
                </c:pt>
                <c:pt idx="196">
                  <c:v>0.13066666666666693</c:v>
                </c:pt>
                <c:pt idx="197">
                  <c:v>0.13133333333333361</c:v>
                </c:pt>
                <c:pt idx="198">
                  <c:v>0.13200000000000028</c:v>
                </c:pt>
                <c:pt idx="199">
                  <c:v>0.13266666666666696</c:v>
                </c:pt>
                <c:pt idx="200">
                  <c:v>0.13333333333333364</c:v>
                </c:pt>
                <c:pt idx="201">
                  <c:v>0.13400000000000031</c:v>
                </c:pt>
                <c:pt idx="202">
                  <c:v>0.13466666666666699</c:v>
                </c:pt>
                <c:pt idx="203">
                  <c:v>0.13533333333333367</c:v>
                </c:pt>
                <c:pt idx="204">
                  <c:v>0.13600000000000034</c:v>
                </c:pt>
                <c:pt idx="205">
                  <c:v>0.13666666666666702</c:v>
                </c:pt>
                <c:pt idx="206">
                  <c:v>0.1373333333333337</c:v>
                </c:pt>
                <c:pt idx="207">
                  <c:v>0.13800000000000037</c:v>
                </c:pt>
                <c:pt idx="208">
                  <c:v>0.13866666666666705</c:v>
                </c:pt>
                <c:pt idx="209">
                  <c:v>0.13933333333333373</c:v>
                </c:pt>
                <c:pt idx="210">
                  <c:v>0.1400000000000004</c:v>
                </c:pt>
                <c:pt idx="211">
                  <c:v>0.14066666666666705</c:v>
                </c:pt>
                <c:pt idx="212">
                  <c:v>0.14133333333333373</c:v>
                </c:pt>
                <c:pt idx="213">
                  <c:v>0.1420000000000004</c:v>
                </c:pt>
                <c:pt idx="214">
                  <c:v>0.14266666666666708</c:v>
                </c:pt>
                <c:pt idx="215">
                  <c:v>0.14333333333333376</c:v>
                </c:pt>
                <c:pt idx="216">
                  <c:v>0.14400000000000043</c:v>
                </c:pt>
                <c:pt idx="217">
                  <c:v>0.14466666666666711</c:v>
                </c:pt>
                <c:pt idx="218">
                  <c:v>0.14533333333333379</c:v>
                </c:pt>
                <c:pt idx="219">
                  <c:v>0.14600000000000046</c:v>
                </c:pt>
                <c:pt idx="220">
                  <c:v>0.14666666666666714</c:v>
                </c:pt>
                <c:pt idx="221">
                  <c:v>0.14733333333333382</c:v>
                </c:pt>
                <c:pt idx="222">
                  <c:v>0.14800000000000049</c:v>
                </c:pt>
                <c:pt idx="223">
                  <c:v>0.14866666666666717</c:v>
                </c:pt>
                <c:pt idx="224">
                  <c:v>0.14933333333333385</c:v>
                </c:pt>
                <c:pt idx="225">
                  <c:v>0.15000000000000052</c:v>
                </c:pt>
                <c:pt idx="226">
                  <c:v>0.1506666666666672</c:v>
                </c:pt>
                <c:pt idx="227">
                  <c:v>0.15133333333333387</c:v>
                </c:pt>
                <c:pt idx="228">
                  <c:v>0.15200000000000055</c:v>
                </c:pt>
                <c:pt idx="229">
                  <c:v>0.15266666666666723</c:v>
                </c:pt>
                <c:pt idx="230">
                  <c:v>0.1533333333333339</c:v>
                </c:pt>
                <c:pt idx="231">
                  <c:v>0.15400000000000058</c:v>
                </c:pt>
                <c:pt idx="232">
                  <c:v>0.15466666666666726</c:v>
                </c:pt>
                <c:pt idx="233">
                  <c:v>0.15533333333333393</c:v>
                </c:pt>
                <c:pt idx="234">
                  <c:v>0.15600000000000061</c:v>
                </c:pt>
                <c:pt idx="235">
                  <c:v>0.15666666666666729</c:v>
                </c:pt>
                <c:pt idx="236">
                  <c:v>0.15733333333333396</c:v>
                </c:pt>
                <c:pt idx="237">
                  <c:v>0.15800000000000064</c:v>
                </c:pt>
                <c:pt idx="238">
                  <c:v>0.15866666666666732</c:v>
                </c:pt>
                <c:pt idx="239">
                  <c:v>0.15933333333333399</c:v>
                </c:pt>
                <c:pt idx="240">
                  <c:v>0.16000000000000067</c:v>
                </c:pt>
                <c:pt idx="241">
                  <c:v>0.16066666666666735</c:v>
                </c:pt>
                <c:pt idx="242">
                  <c:v>0.16133333333333402</c:v>
                </c:pt>
                <c:pt idx="243">
                  <c:v>0.1620000000000007</c:v>
                </c:pt>
                <c:pt idx="244">
                  <c:v>0.16266666666666735</c:v>
                </c:pt>
                <c:pt idx="245">
                  <c:v>0.16333333333333402</c:v>
                </c:pt>
                <c:pt idx="246">
                  <c:v>0.1640000000000007</c:v>
                </c:pt>
                <c:pt idx="247">
                  <c:v>0.16466666666666738</c:v>
                </c:pt>
                <c:pt idx="248">
                  <c:v>0.16533333333333405</c:v>
                </c:pt>
                <c:pt idx="249">
                  <c:v>0.16600000000000073</c:v>
                </c:pt>
                <c:pt idx="250">
                  <c:v>0.16666666666666741</c:v>
                </c:pt>
                <c:pt idx="251">
                  <c:v>0.16733333333333408</c:v>
                </c:pt>
                <c:pt idx="252">
                  <c:v>0.16800000000000076</c:v>
                </c:pt>
                <c:pt idx="253">
                  <c:v>0.16866666666666744</c:v>
                </c:pt>
                <c:pt idx="254">
                  <c:v>0.16933333333333411</c:v>
                </c:pt>
                <c:pt idx="255">
                  <c:v>0.17000000000000079</c:v>
                </c:pt>
                <c:pt idx="256">
                  <c:v>0.17066666666666747</c:v>
                </c:pt>
                <c:pt idx="257">
                  <c:v>0.17133333333333414</c:v>
                </c:pt>
                <c:pt idx="258">
                  <c:v>0.17200000000000082</c:v>
                </c:pt>
                <c:pt idx="259">
                  <c:v>0.1726666666666675</c:v>
                </c:pt>
                <c:pt idx="260">
                  <c:v>0.17333333333333417</c:v>
                </c:pt>
                <c:pt idx="261">
                  <c:v>0.17400000000000085</c:v>
                </c:pt>
                <c:pt idx="262">
                  <c:v>0.17466666666666752</c:v>
                </c:pt>
                <c:pt idx="263">
                  <c:v>0.1753333333333342</c:v>
                </c:pt>
                <c:pt idx="264">
                  <c:v>0.17600000000000088</c:v>
                </c:pt>
                <c:pt idx="265">
                  <c:v>0.17666666666666755</c:v>
                </c:pt>
                <c:pt idx="266">
                  <c:v>0.17733333333333423</c:v>
                </c:pt>
                <c:pt idx="267">
                  <c:v>0.17800000000000091</c:v>
                </c:pt>
                <c:pt idx="268">
                  <c:v>0.17866666666666758</c:v>
                </c:pt>
                <c:pt idx="269">
                  <c:v>0.17933333333333426</c:v>
                </c:pt>
                <c:pt idx="270">
                  <c:v>0.18000000000000094</c:v>
                </c:pt>
                <c:pt idx="271">
                  <c:v>0.18066666666666761</c:v>
                </c:pt>
                <c:pt idx="272">
                  <c:v>0.18133333333333429</c:v>
                </c:pt>
                <c:pt idx="273">
                  <c:v>0.18200000000000097</c:v>
                </c:pt>
                <c:pt idx="274">
                  <c:v>0.18266666666666764</c:v>
                </c:pt>
                <c:pt idx="275">
                  <c:v>0.18333333333333429</c:v>
                </c:pt>
                <c:pt idx="276">
                  <c:v>0.18400000000000097</c:v>
                </c:pt>
                <c:pt idx="277">
                  <c:v>0.18466666666666764</c:v>
                </c:pt>
                <c:pt idx="278">
                  <c:v>0.18533333333333432</c:v>
                </c:pt>
                <c:pt idx="279">
                  <c:v>0.186000000000001</c:v>
                </c:pt>
                <c:pt idx="280">
                  <c:v>0.18666666666666767</c:v>
                </c:pt>
                <c:pt idx="281">
                  <c:v>0.18733333333333435</c:v>
                </c:pt>
                <c:pt idx="282">
                  <c:v>0.18800000000000103</c:v>
                </c:pt>
                <c:pt idx="283">
                  <c:v>0.1886666666666677</c:v>
                </c:pt>
                <c:pt idx="284">
                  <c:v>0.18933333333333438</c:v>
                </c:pt>
                <c:pt idx="285">
                  <c:v>0.19000000000000106</c:v>
                </c:pt>
                <c:pt idx="286">
                  <c:v>0.19066666666666773</c:v>
                </c:pt>
                <c:pt idx="287">
                  <c:v>0.19133333333333441</c:v>
                </c:pt>
                <c:pt idx="288">
                  <c:v>0.19200000000000109</c:v>
                </c:pt>
                <c:pt idx="289">
                  <c:v>0.19266666666666776</c:v>
                </c:pt>
                <c:pt idx="290">
                  <c:v>0.19333333333333444</c:v>
                </c:pt>
                <c:pt idx="291">
                  <c:v>0.19400000000000112</c:v>
                </c:pt>
                <c:pt idx="292">
                  <c:v>0.19466666666666779</c:v>
                </c:pt>
                <c:pt idx="293">
                  <c:v>0.19533333333333447</c:v>
                </c:pt>
                <c:pt idx="294">
                  <c:v>0.19600000000000112</c:v>
                </c:pt>
                <c:pt idx="295">
                  <c:v>0.19666666666666777</c:v>
                </c:pt>
                <c:pt idx="296">
                  <c:v>0.19733333333333442</c:v>
                </c:pt>
                <c:pt idx="297">
                  <c:v>0.19800000000000109</c:v>
                </c:pt>
                <c:pt idx="298">
                  <c:v>0.19866666666666774</c:v>
                </c:pt>
                <c:pt idx="299">
                  <c:v>0.19933333333333439</c:v>
                </c:pt>
                <c:pt idx="300">
                  <c:v>0.20000000000000104</c:v>
                </c:pt>
              </c:numCache>
            </c:numRef>
          </c:xVal>
          <c:yVal>
            <c:numRef>
              <c:f>'Burland damage classification'!$CJ$327:$CJ$627</c:f>
              <c:numCache>
                <c:formatCode>0.0000000000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31-4883-A8B9-9FB165F318D3}"/>
            </c:ext>
          </c:extLst>
        </c:ser>
        <c:ser>
          <c:idx val="4"/>
          <c:order val="4"/>
          <c:tx>
            <c:strRef>
              <c:f>'Burland damage classification'!$T$10:$T$11</c:f>
              <c:strCache>
                <c:ptCount val="2"/>
                <c:pt idx="0">
                  <c:v>L5/H=</c:v>
                </c:pt>
                <c:pt idx="1">
                  <c:v>No building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'Burland damage classification'!$T$24</c:f>
              <c:numCache>
                <c:formatCode>0.00</c:formatCode>
                <c:ptCount val="1"/>
              </c:numCache>
            </c:numRef>
          </c:xVal>
          <c:yVal>
            <c:numRef>
              <c:f>'Burland damage classification'!$O$9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531-4883-A8B9-9FB165F318D3}"/>
            </c:ext>
          </c:extLst>
        </c:ser>
        <c:ser>
          <c:idx val="5"/>
          <c:order val="5"/>
          <c:tx>
            <c:v>L5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'Burland damage classification'!$EW$78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'Burland damage classification'!$EV$78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531-4883-A8B9-9FB165F31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404480"/>
        <c:axId val="294406784"/>
      </c:scatterChart>
      <c:valAx>
        <c:axId val="29440448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 sz="800" b="1" i="0" u="none" strike="noStrike" baseline="0">
                    <a:solidFill>
                      <a:srgbClr val="000000"/>
                    </a:solidFill>
                    <a:latin typeface="GreekC"/>
                    <a:cs typeface="GreekC"/>
                  </a:rPr>
                  <a:t>e</a:t>
                </a:r>
                <a:r>
                  <a:rPr lang="it-IT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h [%]</a:t>
                </a:r>
              </a:p>
            </c:rich>
          </c:tx>
          <c:layout>
            <c:manualLayout>
              <c:xMode val="edge"/>
              <c:yMode val="edge"/>
              <c:x val="0.49567843727799826"/>
              <c:y val="0.9111894577191691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4406784"/>
        <c:crosses val="autoZero"/>
        <c:crossBetween val="midCat"/>
      </c:valAx>
      <c:valAx>
        <c:axId val="2944067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 sz="800" b="1" i="0" u="none" strike="noStrike" baseline="0">
                    <a:solidFill>
                      <a:srgbClr val="000000"/>
                    </a:solidFill>
                    <a:latin typeface="GreekC"/>
                    <a:cs typeface="GreekC"/>
                  </a:rPr>
                  <a:t>D</a:t>
                </a:r>
                <a:r>
                  <a:rPr lang="it-IT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/L[%]</a:t>
                </a:r>
              </a:p>
            </c:rich>
          </c:tx>
          <c:layout>
            <c:manualLayout>
              <c:xMode val="edge"/>
              <c:yMode val="edge"/>
              <c:x val="8.1968036005223826E-3"/>
              <c:y val="0.4567481313970701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440448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egendEntry>
        <c:idx val="4"/>
        <c:txPr>
          <a:bodyPr/>
          <a:lstStyle/>
          <a:p>
            <a:pPr>
              <a:defRPr sz="64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</c:legendEntry>
      <c:legendEntry>
        <c:idx val="5"/>
        <c:delete val="1"/>
      </c:legendEntry>
      <c:layout>
        <c:manualLayout>
          <c:xMode val="edge"/>
          <c:yMode val="edge"/>
          <c:x val="0.75688816855753649"/>
          <c:y val="0.18339136673659737"/>
          <c:w val="0.20583468395461912"/>
          <c:h val="0.3183394636224105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6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258" orientation="landscape" horizontalDpi="0" verticalDpi="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t>CONCHE DI SUBSIDENZA TRASVERSALI A VARIE DISTANZE DALL'INIZIO DELLO SCAVO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"/>
          <c:y val="0"/>
          <c:w val="0"/>
          <c:h val="0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970A-40A1-B520-E7A1F16B1805}"/>
            </c:ext>
          </c:extLst>
        </c:ser>
        <c:ser>
          <c:idx val="4"/>
          <c:order val="1"/>
          <c:spPr>
            <a:ln w="12700">
              <a:solidFill>
                <a:srgbClr val="FF99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970A-40A1-B520-E7A1F16B1805}"/>
            </c:ext>
          </c:extLst>
        </c:ser>
        <c:ser>
          <c:idx val="5"/>
          <c:order val="2"/>
          <c:spPr>
            <a:ln w="12700">
              <a:solidFill>
                <a:srgbClr val="FFCC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00"/>
              </a:solidFill>
              <a:ln>
                <a:solidFill>
                  <a:srgbClr val="FFCC00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970A-40A1-B520-E7A1F16B1805}"/>
            </c:ext>
          </c:extLst>
        </c:ser>
        <c:ser>
          <c:idx val="0"/>
          <c:order val="3"/>
          <c:spPr>
            <a:ln w="3175">
              <a:solidFill>
                <a:srgbClr val="FFFF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970A-40A1-B520-E7A1F16B1805}"/>
            </c:ext>
          </c:extLst>
        </c:ser>
        <c:ser>
          <c:idx val="1"/>
          <c:order val="4"/>
          <c:spPr>
            <a:ln w="3175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970A-40A1-B520-E7A1F16B1805}"/>
            </c:ext>
          </c:extLst>
        </c:ser>
        <c:ser>
          <c:idx val="10"/>
          <c:order val="5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970A-40A1-B520-E7A1F16B1805}"/>
            </c:ext>
          </c:extLst>
        </c:ser>
        <c:ser>
          <c:idx val="11"/>
          <c:order val="6"/>
          <c:spPr>
            <a:ln w="3175">
              <a:solidFill>
                <a:srgbClr val="00FFFF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970A-40A1-B520-E7A1F16B1805}"/>
            </c:ext>
          </c:extLst>
        </c:ser>
        <c:ser>
          <c:idx val="12"/>
          <c:order val="7"/>
          <c:spPr>
            <a:ln w="12700">
              <a:solidFill>
                <a:srgbClr val="33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33CCCC"/>
              </a:solidFill>
              <a:ln>
                <a:solidFill>
                  <a:srgbClr val="33CCCC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970A-40A1-B520-E7A1F16B1805}"/>
            </c:ext>
          </c:extLst>
        </c:ser>
        <c:ser>
          <c:idx val="13"/>
          <c:order val="8"/>
          <c:spPr>
            <a:ln w="12700">
              <a:solidFill>
                <a:srgbClr val="00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970A-40A1-B520-E7A1F16B1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570624"/>
        <c:axId val="294577280"/>
      </c:scatterChart>
      <c:valAx>
        <c:axId val="294570624"/>
        <c:scaling>
          <c:orientation val="minMax"/>
          <c:max val="100"/>
          <c:min val="-100"/>
        </c:scaling>
        <c:delete val="0"/>
        <c:axPos val="b"/>
        <c:title>
          <c:tx>
            <c:rich>
              <a:bodyPr/>
              <a:lstStyle/>
              <a:p>
                <a:pPr>
                  <a:defRPr sz="1525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t>ASCISSA TRASVERSALE all'ASSE della GALLERIA (m)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294577280"/>
        <c:crosses val="autoZero"/>
        <c:crossBetween val="midCat"/>
      </c:valAx>
      <c:valAx>
        <c:axId val="294577280"/>
        <c:scaling>
          <c:orientation val="minMax"/>
          <c:max val="1"/>
          <c:min val="-25"/>
        </c:scaling>
        <c:delete val="0"/>
        <c:axPos val="l"/>
        <c:title>
          <c:tx>
            <c:rich>
              <a:bodyPr/>
              <a:lstStyle/>
              <a:p>
                <a:pPr>
                  <a:defRPr sz="1525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t>W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294570624"/>
        <c:crossesAt val="0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"/>
          <c:y val="0"/>
          <c:w val="0"/>
          <c:h val="0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25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'subsidence profile with z_0'!$A$5</c:f>
              <c:strCache>
                <c:ptCount val="1"/>
                <c:pt idx="0">
                  <c:v>VOLUME LOSS  %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yVal>
            <c:numRef>
              <c:f>'subsidence profile with z_0'!$C$5:$M$5</c:f>
              <c:numCache>
                <c:formatCode>0.00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4A-4DDF-AF96-251EB6EC87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126528"/>
        <c:axId val="295129088"/>
      </c:scatterChart>
      <c:valAx>
        <c:axId val="295126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sezione di studio (m)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5129088"/>
        <c:crosses val="autoZero"/>
        <c:crossBetween val="midCat"/>
      </c:valAx>
      <c:valAx>
        <c:axId val="295129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Vl (%)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512652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CEDIMENTO MAX con la sezione di distanza dall'origine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599-4976-894F-72285A9DB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444864"/>
        <c:axId val="295447168"/>
      </c:scatterChart>
      <c:valAx>
        <c:axId val="295444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PROGRESSIVA (m)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5447168"/>
        <c:crosses val="autoZero"/>
        <c:crossBetween val="midCat"/>
      </c:valAx>
      <c:valAx>
        <c:axId val="2954471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cedimento max della conca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54448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"/>
          <c:y val="0"/>
          <c:w val="0"/>
          <c:h val="0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5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t>taratura della CONCA DI SUBSIDENZA alla sezione di primo scavo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NUMERICO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2281-49CA-9056-35FFF768F6B1}"/>
            </c:ext>
          </c:extLst>
        </c:ser>
        <c:ser>
          <c:idx val="0"/>
          <c:order val="1"/>
          <c:tx>
            <c:v>EMPIRICO</c:v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2281-49CA-9056-35FFF768F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478016"/>
        <c:axId val="295479936"/>
      </c:scatterChart>
      <c:valAx>
        <c:axId val="295478016"/>
        <c:scaling>
          <c:orientation val="minMax"/>
          <c:max val="100"/>
          <c:min val="-100"/>
        </c:scaling>
        <c:delete val="0"/>
        <c:axPos val="b"/>
        <c:title>
          <c:tx>
            <c:rich>
              <a:bodyPr/>
              <a:lstStyle/>
              <a:p>
                <a:pPr>
                  <a:defRPr sz="1525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t>ASCISSA TRASVERSALE all'ASSE della GALLERIA (m)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295479936"/>
        <c:crosses val="autoZero"/>
        <c:crossBetween val="midCat"/>
      </c:valAx>
      <c:valAx>
        <c:axId val="295479936"/>
        <c:scaling>
          <c:orientation val="minMax"/>
          <c:max val="2.5"/>
          <c:min val="-25"/>
        </c:scaling>
        <c:delete val="0"/>
        <c:axPos val="l"/>
        <c:title>
          <c:tx>
            <c:rich>
              <a:bodyPr/>
              <a:lstStyle/>
              <a:p>
                <a:pPr>
                  <a:defRPr sz="1525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t>W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295478016"/>
        <c:crossesAt val="0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25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t>CONCHE DI SUBSIDENZA CON LA PROGRESSIVA DI SCAVO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2BD5-4A64-AB1B-21B52613428B}"/>
            </c:ext>
          </c:extLst>
        </c:ser>
        <c:ser>
          <c:idx val="4"/>
          <c:order val="1"/>
          <c:spPr>
            <a:ln w="12700">
              <a:solidFill>
                <a:srgbClr val="FF99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2BD5-4A64-AB1B-21B52613428B}"/>
            </c:ext>
          </c:extLst>
        </c:ser>
        <c:ser>
          <c:idx val="5"/>
          <c:order val="2"/>
          <c:spPr>
            <a:ln w="12700">
              <a:solidFill>
                <a:srgbClr val="FFCC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00"/>
              </a:solidFill>
              <a:ln>
                <a:solidFill>
                  <a:srgbClr val="FFCC00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2BD5-4A64-AB1B-21B52613428B}"/>
            </c:ext>
          </c:extLst>
        </c:ser>
        <c:ser>
          <c:idx val="0"/>
          <c:order val="3"/>
          <c:spPr>
            <a:ln w="3175">
              <a:solidFill>
                <a:srgbClr val="FFFF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2BD5-4A64-AB1B-21B52613428B}"/>
            </c:ext>
          </c:extLst>
        </c:ser>
        <c:ser>
          <c:idx val="1"/>
          <c:order val="4"/>
          <c:spPr>
            <a:ln w="3175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2BD5-4A64-AB1B-21B52613428B}"/>
            </c:ext>
          </c:extLst>
        </c:ser>
        <c:ser>
          <c:idx val="10"/>
          <c:order val="5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2BD5-4A64-AB1B-21B52613428B}"/>
            </c:ext>
          </c:extLst>
        </c:ser>
        <c:ser>
          <c:idx val="11"/>
          <c:order val="6"/>
          <c:spPr>
            <a:ln w="3175">
              <a:solidFill>
                <a:srgbClr val="00FFFF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2BD5-4A64-AB1B-21B52613428B}"/>
            </c:ext>
          </c:extLst>
        </c:ser>
        <c:ser>
          <c:idx val="12"/>
          <c:order val="7"/>
          <c:spPr>
            <a:ln w="12700">
              <a:solidFill>
                <a:srgbClr val="33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33CCCC"/>
              </a:solidFill>
              <a:ln>
                <a:solidFill>
                  <a:srgbClr val="33CCCC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2BD5-4A64-AB1B-21B52613428B}"/>
            </c:ext>
          </c:extLst>
        </c:ser>
        <c:ser>
          <c:idx val="13"/>
          <c:order val="8"/>
          <c:spPr>
            <a:ln w="12700">
              <a:solidFill>
                <a:srgbClr val="00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2BD5-4A64-AB1B-21B5261342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551744"/>
        <c:axId val="295554048"/>
      </c:scatterChart>
      <c:valAx>
        <c:axId val="295551744"/>
        <c:scaling>
          <c:orientation val="minMax"/>
          <c:max val="3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525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t>ASCISSA TRASVERSALE all'ASSE della GALLERIA (m)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295554048"/>
        <c:crosses val="autoZero"/>
        <c:crossBetween val="midCat"/>
      </c:valAx>
      <c:valAx>
        <c:axId val="295554048"/>
        <c:scaling>
          <c:orientation val="minMax"/>
          <c:max val="1"/>
          <c:min val="-20"/>
        </c:scaling>
        <c:delete val="0"/>
        <c:axPos val="l"/>
        <c:title>
          <c:tx>
            <c:rich>
              <a:bodyPr/>
              <a:lstStyle/>
              <a:p>
                <a:pPr>
                  <a:defRPr sz="1525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t>W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295551744"/>
        <c:crossesAt val="0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25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it-IT"/>
              <a:t>CONCHE DI SUBSIDENZA CON L'ALTEZZA DI COPERTURA</a:t>
            </a:r>
          </a:p>
        </c:rich>
      </c:tx>
      <c:layout>
        <c:manualLayout>
          <c:xMode val="edge"/>
          <c:yMode val="edge"/>
          <c:x val="0.22335052027126051"/>
          <c:y val="1.096491228070175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436563635890452"/>
          <c:y val="0.25000053539725403"/>
          <c:w val="0.80203145080436378"/>
          <c:h val="0.67763303015571497"/>
        </c:manualLayout>
      </c:layout>
      <c:scatterChart>
        <c:scatterStyle val="lineMarker"/>
        <c:varyColors val="0"/>
        <c:ser>
          <c:idx val="3"/>
          <c:order val="0"/>
          <c:tx>
            <c:v>NUMERICO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60B7-4578-BC6E-392E145A3195}"/>
            </c:ext>
          </c:extLst>
        </c:ser>
        <c:ser>
          <c:idx val="0"/>
          <c:order val="1"/>
          <c:tx>
            <c:v>EMPIRICO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'subsidence profile with z_0'!$B$16:$B$216</c:f>
              <c:numCache>
                <c:formatCode>0.000</c:formatCode>
                <c:ptCount val="201"/>
                <c:pt idx="0">
                  <c:v>-50</c:v>
                </c:pt>
                <c:pt idx="1">
                  <c:v>-49.5</c:v>
                </c:pt>
                <c:pt idx="2">
                  <c:v>-49</c:v>
                </c:pt>
                <c:pt idx="3">
                  <c:v>-48.5</c:v>
                </c:pt>
                <c:pt idx="4">
                  <c:v>-48</c:v>
                </c:pt>
                <c:pt idx="5">
                  <c:v>-47.5</c:v>
                </c:pt>
                <c:pt idx="6">
                  <c:v>-47</c:v>
                </c:pt>
                <c:pt idx="7">
                  <c:v>-46.5</c:v>
                </c:pt>
                <c:pt idx="8">
                  <c:v>-46</c:v>
                </c:pt>
                <c:pt idx="9">
                  <c:v>-45.5</c:v>
                </c:pt>
                <c:pt idx="10">
                  <c:v>-45</c:v>
                </c:pt>
                <c:pt idx="11">
                  <c:v>-44.5</c:v>
                </c:pt>
                <c:pt idx="12">
                  <c:v>-44</c:v>
                </c:pt>
                <c:pt idx="13">
                  <c:v>-43.5</c:v>
                </c:pt>
                <c:pt idx="14">
                  <c:v>-43</c:v>
                </c:pt>
                <c:pt idx="15">
                  <c:v>-42.5</c:v>
                </c:pt>
                <c:pt idx="16">
                  <c:v>-42</c:v>
                </c:pt>
                <c:pt idx="17">
                  <c:v>-41.5</c:v>
                </c:pt>
                <c:pt idx="18">
                  <c:v>-41</c:v>
                </c:pt>
                <c:pt idx="19">
                  <c:v>-40.5</c:v>
                </c:pt>
                <c:pt idx="20">
                  <c:v>-40</c:v>
                </c:pt>
                <c:pt idx="21">
                  <c:v>-39.5</c:v>
                </c:pt>
                <c:pt idx="22">
                  <c:v>-39</c:v>
                </c:pt>
                <c:pt idx="23">
                  <c:v>-38.5</c:v>
                </c:pt>
                <c:pt idx="24">
                  <c:v>-38</c:v>
                </c:pt>
                <c:pt idx="25">
                  <c:v>-37.5</c:v>
                </c:pt>
                <c:pt idx="26">
                  <c:v>-37</c:v>
                </c:pt>
                <c:pt idx="27">
                  <c:v>-36.5</c:v>
                </c:pt>
                <c:pt idx="28">
                  <c:v>-36</c:v>
                </c:pt>
                <c:pt idx="29">
                  <c:v>-35.5</c:v>
                </c:pt>
                <c:pt idx="30">
                  <c:v>-35</c:v>
                </c:pt>
                <c:pt idx="31">
                  <c:v>-34.5</c:v>
                </c:pt>
                <c:pt idx="32">
                  <c:v>-34</c:v>
                </c:pt>
                <c:pt idx="33">
                  <c:v>-33.5</c:v>
                </c:pt>
                <c:pt idx="34">
                  <c:v>-33</c:v>
                </c:pt>
                <c:pt idx="35">
                  <c:v>-32.5</c:v>
                </c:pt>
                <c:pt idx="36">
                  <c:v>-32</c:v>
                </c:pt>
                <c:pt idx="37">
                  <c:v>-31.5</c:v>
                </c:pt>
                <c:pt idx="38">
                  <c:v>-31</c:v>
                </c:pt>
                <c:pt idx="39">
                  <c:v>-30.5</c:v>
                </c:pt>
                <c:pt idx="40">
                  <c:v>-30</c:v>
                </c:pt>
                <c:pt idx="41">
                  <c:v>-29.5</c:v>
                </c:pt>
                <c:pt idx="42">
                  <c:v>-29</c:v>
                </c:pt>
                <c:pt idx="43">
                  <c:v>-28.5</c:v>
                </c:pt>
                <c:pt idx="44">
                  <c:v>-28</c:v>
                </c:pt>
                <c:pt idx="45">
                  <c:v>-27.5</c:v>
                </c:pt>
                <c:pt idx="46">
                  <c:v>-27</c:v>
                </c:pt>
                <c:pt idx="47">
                  <c:v>-26.5</c:v>
                </c:pt>
                <c:pt idx="48">
                  <c:v>-26</c:v>
                </c:pt>
                <c:pt idx="49">
                  <c:v>-25.5</c:v>
                </c:pt>
                <c:pt idx="50">
                  <c:v>-25</c:v>
                </c:pt>
                <c:pt idx="51">
                  <c:v>-24.5</c:v>
                </c:pt>
                <c:pt idx="52">
                  <c:v>-24</c:v>
                </c:pt>
                <c:pt idx="53">
                  <c:v>-23.5</c:v>
                </c:pt>
                <c:pt idx="54">
                  <c:v>-23</c:v>
                </c:pt>
                <c:pt idx="55">
                  <c:v>-22.5</c:v>
                </c:pt>
                <c:pt idx="56">
                  <c:v>-22</c:v>
                </c:pt>
                <c:pt idx="57">
                  <c:v>-21.5</c:v>
                </c:pt>
                <c:pt idx="58">
                  <c:v>-21</c:v>
                </c:pt>
                <c:pt idx="59">
                  <c:v>-20.5</c:v>
                </c:pt>
                <c:pt idx="60">
                  <c:v>-20</c:v>
                </c:pt>
                <c:pt idx="61">
                  <c:v>-19.5</c:v>
                </c:pt>
                <c:pt idx="62">
                  <c:v>-19</c:v>
                </c:pt>
                <c:pt idx="63">
                  <c:v>-18.5</c:v>
                </c:pt>
                <c:pt idx="64">
                  <c:v>-18</c:v>
                </c:pt>
                <c:pt idx="65">
                  <c:v>-17.5</c:v>
                </c:pt>
                <c:pt idx="66">
                  <c:v>-17</c:v>
                </c:pt>
                <c:pt idx="67">
                  <c:v>-16.5</c:v>
                </c:pt>
                <c:pt idx="68">
                  <c:v>-16</c:v>
                </c:pt>
                <c:pt idx="69">
                  <c:v>-15.5</c:v>
                </c:pt>
                <c:pt idx="70">
                  <c:v>-15</c:v>
                </c:pt>
                <c:pt idx="71">
                  <c:v>-14.5</c:v>
                </c:pt>
                <c:pt idx="72">
                  <c:v>-14</c:v>
                </c:pt>
                <c:pt idx="73">
                  <c:v>-13.5</c:v>
                </c:pt>
                <c:pt idx="74">
                  <c:v>-13</c:v>
                </c:pt>
                <c:pt idx="75">
                  <c:v>-12.5</c:v>
                </c:pt>
                <c:pt idx="76">
                  <c:v>-12</c:v>
                </c:pt>
                <c:pt idx="77">
                  <c:v>-11.5</c:v>
                </c:pt>
                <c:pt idx="78">
                  <c:v>-11</c:v>
                </c:pt>
                <c:pt idx="79">
                  <c:v>-10.5</c:v>
                </c:pt>
                <c:pt idx="80">
                  <c:v>-10</c:v>
                </c:pt>
                <c:pt idx="81">
                  <c:v>-9.5</c:v>
                </c:pt>
                <c:pt idx="82">
                  <c:v>-9</c:v>
                </c:pt>
                <c:pt idx="83">
                  <c:v>-8.5</c:v>
                </c:pt>
                <c:pt idx="84">
                  <c:v>-8</c:v>
                </c:pt>
                <c:pt idx="85">
                  <c:v>-7.5</c:v>
                </c:pt>
                <c:pt idx="86">
                  <c:v>-7</c:v>
                </c:pt>
                <c:pt idx="87">
                  <c:v>-6.5</c:v>
                </c:pt>
                <c:pt idx="88">
                  <c:v>-6</c:v>
                </c:pt>
                <c:pt idx="89">
                  <c:v>-5.5</c:v>
                </c:pt>
                <c:pt idx="90">
                  <c:v>-5</c:v>
                </c:pt>
                <c:pt idx="91">
                  <c:v>-4.5</c:v>
                </c:pt>
                <c:pt idx="92">
                  <c:v>-4</c:v>
                </c:pt>
                <c:pt idx="93">
                  <c:v>-3.5</c:v>
                </c:pt>
                <c:pt idx="94">
                  <c:v>-3</c:v>
                </c:pt>
                <c:pt idx="95">
                  <c:v>-2.5</c:v>
                </c:pt>
                <c:pt idx="96">
                  <c:v>-2</c:v>
                </c:pt>
                <c:pt idx="97">
                  <c:v>-1.5</c:v>
                </c:pt>
                <c:pt idx="98">
                  <c:v>-1</c:v>
                </c:pt>
                <c:pt idx="99">
                  <c:v>-0.5</c:v>
                </c:pt>
                <c:pt idx="100">
                  <c:v>0</c:v>
                </c:pt>
                <c:pt idx="101">
                  <c:v>0.5</c:v>
                </c:pt>
                <c:pt idx="102">
                  <c:v>1</c:v>
                </c:pt>
                <c:pt idx="103">
                  <c:v>1.5</c:v>
                </c:pt>
                <c:pt idx="104">
                  <c:v>2</c:v>
                </c:pt>
                <c:pt idx="105">
                  <c:v>2.5</c:v>
                </c:pt>
                <c:pt idx="106">
                  <c:v>3</c:v>
                </c:pt>
                <c:pt idx="107">
                  <c:v>3.5</c:v>
                </c:pt>
                <c:pt idx="108">
                  <c:v>4</c:v>
                </c:pt>
                <c:pt idx="109">
                  <c:v>4.5</c:v>
                </c:pt>
                <c:pt idx="110">
                  <c:v>5</c:v>
                </c:pt>
                <c:pt idx="111">
                  <c:v>5.5</c:v>
                </c:pt>
                <c:pt idx="112">
                  <c:v>6</c:v>
                </c:pt>
                <c:pt idx="113">
                  <c:v>6.5</c:v>
                </c:pt>
                <c:pt idx="114">
                  <c:v>7</c:v>
                </c:pt>
                <c:pt idx="115">
                  <c:v>7.5</c:v>
                </c:pt>
                <c:pt idx="116">
                  <c:v>8</c:v>
                </c:pt>
                <c:pt idx="117">
                  <c:v>8.5</c:v>
                </c:pt>
                <c:pt idx="118">
                  <c:v>9</c:v>
                </c:pt>
                <c:pt idx="119">
                  <c:v>9.5</c:v>
                </c:pt>
                <c:pt idx="120">
                  <c:v>10</c:v>
                </c:pt>
                <c:pt idx="121">
                  <c:v>10.5</c:v>
                </c:pt>
                <c:pt idx="122">
                  <c:v>11</c:v>
                </c:pt>
                <c:pt idx="123">
                  <c:v>11.5</c:v>
                </c:pt>
                <c:pt idx="124">
                  <c:v>12</c:v>
                </c:pt>
                <c:pt idx="125">
                  <c:v>12.5</c:v>
                </c:pt>
                <c:pt idx="126">
                  <c:v>13</c:v>
                </c:pt>
                <c:pt idx="127">
                  <c:v>13.5</c:v>
                </c:pt>
                <c:pt idx="128">
                  <c:v>14</c:v>
                </c:pt>
                <c:pt idx="129">
                  <c:v>14.5</c:v>
                </c:pt>
                <c:pt idx="130">
                  <c:v>15</c:v>
                </c:pt>
                <c:pt idx="131">
                  <c:v>15.5</c:v>
                </c:pt>
                <c:pt idx="132">
                  <c:v>16</c:v>
                </c:pt>
                <c:pt idx="133">
                  <c:v>16.5</c:v>
                </c:pt>
                <c:pt idx="134">
                  <c:v>17</c:v>
                </c:pt>
                <c:pt idx="135">
                  <c:v>17.5</c:v>
                </c:pt>
                <c:pt idx="136">
                  <c:v>18</c:v>
                </c:pt>
                <c:pt idx="137">
                  <c:v>18.5</c:v>
                </c:pt>
                <c:pt idx="138">
                  <c:v>19</c:v>
                </c:pt>
                <c:pt idx="139">
                  <c:v>19.5</c:v>
                </c:pt>
                <c:pt idx="140">
                  <c:v>20</c:v>
                </c:pt>
                <c:pt idx="141">
                  <c:v>20.5</c:v>
                </c:pt>
                <c:pt idx="142">
                  <c:v>21</c:v>
                </c:pt>
                <c:pt idx="143">
                  <c:v>21.5</c:v>
                </c:pt>
                <c:pt idx="144">
                  <c:v>22</c:v>
                </c:pt>
                <c:pt idx="145">
                  <c:v>22.5</c:v>
                </c:pt>
                <c:pt idx="146">
                  <c:v>23</c:v>
                </c:pt>
                <c:pt idx="147">
                  <c:v>23.5</c:v>
                </c:pt>
                <c:pt idx="148">
                  <c:v>24</c:v>
                </c:pt>
                <c:pt idx="149">
                  <c:v>24.5</c:v>
                </c:pt>
                <c:pt idx="150">
                  <c:v>25</c:v>
                </c:pt>
                <c:pt idx="151">
                  <c:v>25.5</c:v>
                </c:pt>
                <c:pt idx="152">
                  <c:v>26</c:v>
                </c:pt>
                <c:pt idx="153">
                  <c:v>26.5</c:v>
                </c:pt>
                <c:pt idx="154">
                  <c:v>27</c:v>
                </c:pt>
                <c:pt idx="155">
                  <c:v>27.5</c:v>
                </c:pt>
                <c:pt idx="156">
                  <c:v>28</c:v>
                </c:pt>
                <c:pt idx="157">
                  <c:v>28.5</c:v>
                </c:pt>
                <c:pt idx="158">
                  <c:v>29</c:v>
                </c:pt>
                <c:pt idx="159">
                  <c:v>29.5</c:v>
                </c:pt>
                <c:pt idx="160">
                  <c:v>30</c:v>
                </c:pt>
                <c:pt idx="161">
                  <c:v>30.5</c:v>
                </c:pt>
                <c:pt idx="162">
                  <c:v>31</c:v>
                </c:pt>
                <c:pt idx="163">
                  <c:v>31.5</c:v>
                </c:pt>
                <c:pt idx="164">
                  <c:v>32</c:v>
                </c:pt>
                <c:pt idx="165">
                  <c:v>32.5</c:v>
                </c:pt>
                <c:pt idx="166">
                  <c:v>33</c:v>
                </c:pt>
                <c:pt idx="167">
                  <c:v>33.5</c:v>
                </c:pt>
                <c:pt idx="168">
                  <c:v>34</c:v>
                </c:pt>
                <c:pt idx="169">
                  <c:v>34.5</c:v>
                </c:pt>
                <c:pt idx="170">
                  <c:v>35</c:v>
                </c:pt>
                <c:pt idx="171">
                  <c:v>35.5</c:v>
                </c:pt>
                <c:pt idx="172">
                  <c:v>36</c:v>
                </c:pt>
                <c:pt idx="173">
                  <c:v>36.5</c:v>
                </c:pt>
                <c:pt idx="174">
                  <c:v>37</c:v>
                </c:pt>
                <c:pt idx="175">
                  <c:v>37.5</c:v>
                </c:pt>
                <c:pt idx="176">
                  <c:v>38</c:v>
                </c:pt>
                <c:pt idx="177">
                  <c:v>38.5</c:v>
                </c:pt>
                <c:pt idx="178">
                  <c:v>39</c:v>
                </c:pt>
                <c:pt idx="179">
                  <c:v>39.5</c:v>
                </c:pt>
                <c:pt idx="180">
                  <c:v>40</c:v>
                </c:pt>
                <c:pt idx="181">
                  <c:v>40.5</c:v>
                </c:pt>
                <c:pt idx="182">
                  <c:v>41</c:v>
                </c:pt>
                <c:pt idx="183">
                  <c:v>41.5</c:v>
                </c:pt>
                <c:pt idx="184">
                  <c:v>42</c:v>
                </c:pt>
                <c:pt idx="185">
                  <c:v>42.5</c:v>
                </c:pt>
                <c:pt idx="186">
                  <c:v>43</c:v>
                </c:pt>
                <c:pt idx="187">
                  <c:v>43.5</c:v>
                </c:pt>
                <c:pt idx="188">
                  <c:v>44</c:v>
                </c:pt>
                <c:pt idx="189">
                  <c:v>44.5</c:v>
                </c:pt>
                <c:pt idx="190">
                  <c:v>45</c:v>
                </c:pt>
                <c:pt idx="191">
                  <c:v>45.5</c:v>
                </c:pt>
                <c:pt idx="192">
                  <c:v>46</c:v>
                </c:pt>
                <c:pt idx="193">
                  <c:v>46.5</c:v>
                </c:pt>
                <c:pt idx="194">
                  <c:v>47</c:v>
                </c:pt>
                <c:pt idx="195">
                  <c:v>47.5</c:v>
                </c:pt>
                <c:pt idx="196">
                  <c:v>48</c:v>
                </c:pt>
                <c:pt idx="197">
                  <c:v>48.5</c:v>
                </c:pt>
                <c:pt idx="198">
                  <c:v>49</c:v>
                </c:pt>
                <c:pt idx="199">
                  <c:v>49.5</c:v>
                </c:pt>
                <c:pt idx="200">
                  <c:v>50</c:v>
                </c:pt>
              </c:numCache>
            </c:numRef>
          </c:xVal>
          <c:yVal>
            <c:numRef>
              <c:f>'subsidence profile with z_0'!$C$16:$C$216</c:f>
              <c:numCache>
                <c:formatCode>0.000</c:formatCode>
                <c:ptCount val="201"/>
                <c:pt idx="0">
                  <c:v>-1.1445803695731549E-46</c:v>
                </c:pt>
                <c:pt idx="1">
                  <c:v>-1.0163994491027566E-45</c:v>
                </c:pt>
                <c:pt idx="2">
                  <c:v>-8.8297967808821387E-45</c:v>
                </c:pt>
                <c:pt idx="3">
                  <c:v>-7.5042130453638544E-44</c:v>
                </c:pt>
                <c:pt idx="4">
                  <c:v>-6.2391835400945462E-43</c:v>
                </c:pt>
                <c:pt idx="5">
                  <c:v>-5.0747952828869297E-42</c:v>
                </c:pt>
                <c:pt idx="6">
                  <c:v>-4.0381035637372569E-41</c:v>
                </c:pt>
                <c:pt idx="7">
                  <c:v>-3.1434353869211774E-40</c:v>
                </c:pt>
                <c:pt idx="8">
                  <c:v>-2.3938657014969563E-39</c:v>
                </c:pt>
                <c:pt idx="9">
                  <c:v>-1.7834592322808737E-38</c:v>
                </c:pt>
                <c:pt idx="10">
                  <c:v>-1.2998545234532888E-37</c:v>
                </c:pt>
                <c:pt idx="11">
                  <c:v>-9.2681802798776205E-37</c:v>
                </c:pt>
                <c:pt idx="12">
                  <c:v>-6.4649080961722239E-36</c:v>
                </c:pt>
                <c:pt idx="13">
                  <c:v>-4.4116230531360012E-35</c:v>
                </c:pt>
                <c:pt idx="14">
                  <c:v>-2.9451173151966675E-34</c:v>
                </c:pt>
                <c:pt idx="15">
                  <c:v>-1.9234236873501562E-33</c:v>
                </c:pt>
                <c:pt idx="16">
                  <c:v>-1.2288969908550753E-32</c:v>
                </c:pt>
                <c:pt idx="17">
                  <c:v>-7.6811131182811037E-32</c:v>
                </c:pt>
                <c:pt idx="18">
                  <c:v>-4.6967884630240959E-31</c:v>
                </c:pt>
                <c:pt idx="19">
                  <c:v>-2.8096097398932037E-30</c:v>
                </c:pt>
                <c:pt idx="20">
                  <c:v>-1.6442170919560271E-29</c:v>
                </c:pt>
                <c:pt idx="21">
                  <c:v>-9.4132691544377995E-29</c:v>
                </c:pt>
                <c:pt idx="22">
                  <c:v>-5.2721766631805745E-28</c:v>
                </c:pt>
                <c:pt idx="23">
                  <c:v>-2.8887342570053657E-27</c:v>
                </c:pt>
                <c:pt idx="24">
                  <c:v>-1.5484364587383116E-26</c:v>
                </c:pt>
                <c:pt idx="25">
                  <c:v>-8.1198376277871484E-26</c:v>
                </c:pt>
                <c:pt idx="26">
                  <c:v>-4.1655222690241279E-25</c:v>
                </c:pt>
                <c:pt idx="27">
                  <c:v>-2.0905460373986879E-24</c:v>
                </c:pt>
                <c:pt idx="28">
                  <c:v>-1.0264036097871945E-23</c:v>
                </c:pt>
                <c:pt idx="29">
                  <c:v>-4.9299755466634562E-23</c:v>
                </c:pt>
                <c:pt idx="30">
                  <c:v>-2.3165384818914007E-22</c:v>
                </c:pt>
                <c:pt idx="31">
                  <c:v>-1.064884320387019E-21</c:v>
                </c:pt>
                <c:pt idx="32">
                  <c:v>-4.7888750462170246E-21</c:v>
                </c:pt>
                <c:pt idx="33">
                  <c:v>-2.1068457371198567E-20</c:v>
                </c:pt>
                <c:pt idx="34">
                  <c:v>-9.067762355427183E-20</c:v>
                </c:pt>
                <c:pt idx="35">
                  <c:v>-3.8179978655163661E-19</c:v>
                </c:pt>
                <c:pt idx="36">
                  <c:v>-1.5726764817354964E-18</c:v>
                </c:pt>
                <c:pt idx="37">
                  <c:v>-6.3374020908104854E-18</c:v>
                </c:pt>
                <c:pt idx="38">
                  <c:v>-2.4983385703914836E-17</c:v>
                </c:pt>
                <c:pt idx="39">
                  <c:v>-9.6351722360458728E-17</c:v>
                </c:pt>
                <c:pt idx="40">
                  <c:v>-3.6352629606564088E-16</c:v>
                </c:pt>
                <c:pt idx="41">
                  <c:v>-1.3417769905016181E-15</c:v>
                </c:pt>
                <c:pt idx="42">
                  <c:v>-4.8449913744945252E-15</c:v>
                </c:pt>
                <c:pt idx="43">
                  <c:v>-1.7114879109533817E-14</c:v>
                </c:pt>
                <c:pt idx="44">
                  <c:v>-5.9145651912917713E-14</c:v>
                </c:pt>
                <c:pt idx="45">
                  <c:v>-1.9995854580802249E-13</c:v>
                </c:pt>
                <c:pt idx="46">
                  <c:v>-6.6134073833265201E-13</c:v>
                </c:pt>
                <c:pt idx="47">
                  <c:v>-2.1398273869842023E-12</c:v>
                </c:pt>
                <c:pt idx="48">
                  <c:v>-6.7733008616191406E-12</c:v>
                </c:pt>
                <c:pt idx="49">
                  <c:v>-2.0974429242588661E-11</c:v>
                </c:pt>
                <c:pt idx="50">
                  <c:v>-6.3540129539704109E-11</c:v>
                </c:pt>
                <c:pt idx="51">
                  <c:v>-1.8831035395520396E-10</c:v>
                </c:pt>
                <c:pt idx="52">
                  <c:v>-5.4596960184775171E-10</c:v>
                </c:pt>
                <c:pt idx="53">
                  <c:v>-1.5485701579259834E-9</c:v>
                </c:pt>
                <c:pt idx="54">
                  <c:v>-4.2969615562997568E-9</c:v>
                </c:pt>
                <c:pt idx="55">
                  <c:v>-1.1664341068940639E-8</c:v>
                </c:pt>
                <c:pt idx="56">
                  <c:v>-3.0976126661021712E-8</c:v>
                </c:pt>
                <c:pt idx="57">
                  <c:v>-8.0475219954095289E-8</c:v>
                </c:pt>
                <c:pt idx="58">
                  <c:v>-2.0453394396490523E-7</c:v>
                </c:pt>
                <c:pt idx="59">
                  <c:v>-5.0855364656287158E-7</c:v>
                </c:pt>
                <c:pt idx="60">
                  <c:v>-1.2370188347701098E-6</c:v>
                </c:pt>
                <c:pt idx="61">
                  <c:v>-2.9436353601530093E-6</c:v>
                </c:pt>
                <c:pt idx="62">
                  <c:v>-6.8526708119738089E-6</c:v>
                </c:pt>
                <c:pt idx="63">
                  <c:v>-1.5606441463097834E-5</c:v>
                </c:pt>
                <c:pt idx="64">
                  <c:v>-3.4770910673037455E-5</c:v>
                </c:pt>
                <c:pt idx="65">
                  <c:v>-7.5787294276124652E-5</c:v>
                </c:pt>
                <c:pt idx="66">
                  <c:v>-1.6160131816280322E-4</c:v>
                </c:pt>
                <c:pt idx="67">
                  <c:v>-3.3710217533103711E-4</c:v>
                </c:pt>
                <c:pt idx="68">
                  <c:v>-6.8793336069254999E-4</c:v>
                </c:pt>
                <c:pt idx="69">
                  <c:v>-1.3734072821822525E-3</c:v>
                </c:pt>
                <c:pt idx="70">
                  <c:v>-2.6823811004519096E-3</c:v>
                </c:pt>
                <c:pt idx="71">
                  <c:v>-5.1251876935031089E-3</c:v>
                </c:pt>
                <c:pt idx="72">
                  <c:v>-9.5800379252433312E-3</c:v>
                </c:pt>
                <c:pt idx="73">
                  <c:v>-1.7518335587134476E-2</c:v>
                </c:pt>
                <c:pt idx="74">
                  <c:v>-3.1339106792200776E-2</c:v>
                </c:pt>
                <c:pt idx="75">
                  <c:v>-5.4846453026927103E-2</c:v>
                </c:pt>
                <c:pt idx="76">
                  <c:v>-9.3902820772624879E-2</c:v>
                </c:pt>
                <c:pt idx="77">
                  <c:v>-0.15728122739192102</c:v>
                </c:pt>
                <c:pt idx="78">
                  <c:v>-0.25771713841078658</c:v>
                </c:pt>
                <c:pt idx="79">
                  <c:v>-0.41312156976118541</c:v>
                </c:pt>
                <c:pt idx="80">
                  <c:v>-0.64785915563709517</c:v>
                </c:pt>
                <c:pt idx="81">
                  <c:v>-0.99392013804586499</c:v>
                </c:pt>
                <c:pt idx="82">
                  <c:v>-1.4917310821989171</c:v>
                </c:pt>
                <c:pt idx="83">
                  <c:v>-2.1902704672245488</c:v>
                </c:pt>
                <c:pt idx="84">
                  <c:v>-3.1461042925030838</c:v>
                </c:pt>
                <c:pt idx="85">
                  <c:v>-4.4209605823879841</c:v>
                </c:pt>
                <c:pt idx="86">
                  <c:v>-6.0775470503496765</c:v>
                </c:pt>
                <c:pt idx="87">
                  <c:v>-8.1735020555780977</c:v>
                </c:pt>
                <c:pt idx="88">
                  <c:v>-10.753657053000932</c:v>
                </c:pt>
                <c:pt idx="89">
                  <c:v>-13.841155497324324</c:v>
                </c:pt>
                <c:pt idx="90">
                  <c:v>-17.428366044780532</c:v>
                </c:pt>
                <c:pt idx="91">
                  <c:v>-21.468868571533964</c:v>
                </c:pt>
                <c:pt idx="92">
                  <c:v>-25.871988017462229</c:v>
                </c:pt>
                <c:pt idx="93">
                  <c:v>-30.50131792042756</c:v>
                </c:pt>
                <c:pt idx="94">
                  <c:v>-35.178358313455107</c:v>
                </c:pt>
                <c:pt idx="95">
                  <c:v>-39.691790535165886</c:v>
                </c:pt>
                <c:pt idx="96">
                  <c:v>-43.812090183572941</c:v>
                </c:pt>
                <c:pt idx="97">
                  <c:v>-47.310268699663105</c:v>
                </c:pt>
                <c:pt idx="98">
                  <c:v>-49.978706947794436</c:v>
                </c:pt>
                <c:pt idx="99">
                  <c:v>-51.651480765438357</c:v>
                </c:pt>
                <c:pt idx="100">
                  <c:v>-52.221422388145861</c:v>
                </c:pt>
                <c:pt idx="101">
                  <c:v>-51.651480765438357</c:v>
                </c:pt>
                <c:pt idx="102">
                  <c:v>-49.978706947794436</c:v>
                </c:pt>
                <c:pt idx="103">
                  <c:v>-47.310268699663105</c:v>
                </c:pt>
                <c:pt idx="104">
                  <c:v>-43.812090183572941</c:v>
                </c:pt>
                <c:pt idx="105">
                  <c:v>-39.691790535165886</c:v>
                </c:pt>
                <c:pt idx="106">
                  <c:v>-35.178358313455107</c:v>
                </c:pt>
                <c:pt idx="107">
                  <c:v>-30.50131792042756</c:v>
                </c:pt>
                <c:pt idx="108">
                  <c:v>-25.871988017462229</c:v>
                </c:pt>
                <c:pt idx="109">
                  <c:v>-21.468868571533964</c:v>
                </c:pt>
                <c:pt idx="110">
                  <c:v>-17.428366044780532</c:v>
                </c:pt>
                <c:pt idx="111">
                  <c:v>-13.841155497324324</c:v>
                </c:pt>
                <c:pt idx="112">
                  <c:v>-10.753657053000932</c:v>
                </c:pt>
                <c:pt idx="113">
                  <c:v>-8.1735020555780977</c:v>
                </c:pt>
                <c:pt idx="114">
                  <c:v>-6.0775470503496765</c:v>
                </c:pt>
                <c:pt idx="115">
                  <c:v>-4.4209605823879841</c:v>
                </c:pt>
                <c:pt idx="116">
                  <c:v>-3.1461042925030838</c:v>
                </c:pt>
                <c:pt idx="117">
                  <c:v>-2.1902704672245488</c:v>
                </c:pt>
                <c:pt idx="118">
                  <c:v>-1.4917310821989171</c:v>
                </c:pt>
                <c:pt idx="119">
                  <c:v>-0.99392013804586499</c:v>
                </c:pt>
                <c:pt idx="120">
                  <c:v>-0.64785915563709517</c:v>
                </c:pt>
                <c:pt idx="121">
                  <c:v>-0.41312156976118541</c:v>
                </c:pt>
                <c:pt idx="122">
                  <c:v>-0.25771713841078658</c:v>
                </c:pt>
                <c:pt idx="123">
                  <c:v>-0.15728122739192102</c:v>
                </c:pt>
                <c:pt idx="124">
                  <c:v>-9.3902820772624879E-2</c:v>
                </c:pt>
                <c:pt idx="125">
                  <c:v>-5.4846453026927103E-2</c:v>
                </c:pt>
                <c:pt idx="126">
                  <c:v>-3.1339106792200776E-2</c:v>
                </c:pt>
                <c:pt idx="127">
                  <c:v>-1.7518335587134476E-2</c:v>
                </c:pt>
                <c:pt idx="128">
                  <c:v>-9.5800379252433312E-3</c:v>
                </c:pt>
                <c:pt idx="129">
                  <c:v>-5.1251876935031089E-3</c:v>
                </c:pt>
                <c:pt idx="130">
                  <c:v>-2.6823811004519096E-3</c:v>
                </c:pt>
                <c:pt idx="131">
                  <c:v>-1.3734072821822525E-3</c:v>
                </c:pt>
                <c:pt idx="132">
                  <c:v>-6.8793336069254999E-4</c:v>
                </c:pt>
                <c:pt idx="133">
                  <c:v>-3.3710217533103711E-4</c:v>
                </c:pt>
                <c:pt idx="134">
                  <c:v>-1.6160131816280322E-4</c:v>
                </c:pt>
                <c:pt idx="135">
                  <c:v>-7.5787294276124652E-5</c:v>
                </c:pt>
                <c:pt idx="136">
                  <c:v>-3.4770910673037455E-5</c:v>
                </c:pt>
                <c:pt idx="137">
                  <c:v>-1.5606441463097834E-5</c:v>
                </c:pt>
                <c:pt idx="138">
                  <c:v>-6.8526708119738089E-6</c:v>
                </c:pt>
                <c:pt idx="139">
                  <c:v>-2.9436353601530093E-6</c:v>
                </c:pt>
                <c:pt idx="140">
                  <c:v>-1.2370188347701098E-6</c:v>
                </c:pt>
                <c:pt idx="141">
                  <c:v>-5.0855364656287158E-7</c:v>
                </c:pt>
                <c:pt idx="142">
                  <c:v>-2.0453394396490523E-7</c:v>
                </c:pt>
                <c:pt idx="143">
                  <c:v>-8.0475219954095289E-8</c:v>
                </c:pt>
                <c:pt idx="144">
                  <c:v>-3.0976126661021712E-8</c:v>
                </c:pt>
                <c:pt idx="145">
                  <c:v>-1.1664341068940639E-8</c:v>
                </c:pt>
                <c:pt idx="146">
                  <c:v>-4.2969615562997568E-9</c:v>
                </c:pt>
                <c:pt idx="147">
                  <c:v>-1.5485701579259834E-9</c:v>
                </c:pt>
                <c:pt idx="148">
                  <c:v>-5.4596960184775171E-10</c:v>
                </c:pt>
                <c:pt idx="149">
                  <c:v>-1.8831035395520396E-10</c:v>
                </c:pt>
                <c:pt idx="150">
                  <c:v>-6.3540129539704109E-11</c:v>
                </c:pt>
                <c:pt idx="151">
                  <c:v>-2.0974429242588661E-11</c:v>
                </c:pt>
                <c:pt idx="152">
                  <c:v>-6.7733008616191406E-12</c:v>
                </c:pt>
                <c:pt idx="153">
                  <c:v>-2.1398273869842023E-12</c:v>
                </c:pt>
                <c:pt idx="154">
                  <c:v>-6.6134073833265201E-13</c:v>
                </c:pt>
                <c:pt idx="155">
                  <c:v>-1.9995854580802249E-13</c:v>
                </c:pt>
                <c:pt idx="156">
                  <c:v>-5.9145651912917713E-14</c:v>
                </c:pt>
                <c:pt idx="157">
                  <c:v>-1.7114879109533817E-14</c:v>
                </c:pt>
                <c:pt idx="158">
                  <c:v>-4.8449913744945252E-15</c:v>
                </c:pt>
                <c:pt idx="159">
                  <c:v>-1.3417769905016181E-15</c:v>
                </c:pt>
                <c:pt idx="160">
                  <c:v>-3.6352629606564088E-16</c:v>
                </c:pt>
                <c:pt idx="161">
                  <c:v>-9.6351722360458728E-17</c:v>
                </c:pt>
                <c:pt idx="162">
                  <c:v>-2.4983385703914836E-17</c:v>
                </c:pt>
                <c:pt idx="163">
                  <c:v>-6.3374020908104854E-18</c:v>
                </c:pt>
                <c:pt idx="164">
                  <c:v>-1.5726764817354964E-18</c:v>
                </c:pt>
                <c:pt idx="165">
                  <c:v>-3.8179978655163661E-19</c:v>
                </c:pt>
                <c:pt idx="166">
                  <c:v>-9.067762355427183E-20</c:v>
                </c:pt>
                <c:pt idx="167">
                  <c:v>-2.1068457371198567E-20</c:v>
                </c:pt>
                <c:pt idx="168">
                  <c:v>-4.7888750462170246E-21</c:v>
                </c:pt>
                <c:pt idx="169">
                  <c:v>-1.064884320387019E-21</c:v>
                </c:pt>
                <c:pt idx="170">
                  <c:v>-2.3165384818914007E-22</c:v>
                </c:pt>
                <c:pt idx="171">
                  <c:v>-4.9299755466634562E-23</c:v>
                </c:pt>
                <c:pt idx="172">
                  <c:v>-1.0264036097871945E-23</c:v>
                </c:pt>
                <c:pt idx="173">
                  <c:v>-2.0905460373986879E-24</c:v>
                </c:pt>
                <c:pt idx="174">
                  <c:v>-4.1655222690241279E-25</c:v>
                </c:pt>
                <c:pt idx="175">
                  <c:v>-8.1198376277871484E-26</c:v>
                </c:pt>
                <c:pt idx="176">
                  <c:v>-1.5484364587383116E-26</c:v>
                </c:pt>
                <c:pt idx="177">
                  <c:v>-2.8887342570053657E-27</c:v>
                </c:pt>
                <c:pt idx="178">
                  <c:v>-5.2721766631805745E-28</c:v>
                </c:pt>
                <c:pt idx="179">
                  <c:v>-9.4132691544377995E-29</c:v>
                </c:pt>
                <c:pt idx="180">
                  <c:v>-1.6442170919560271E-29</c:v>
                </c:pt>
                <c:pt idx="181">
                  <c:v>-2.8096097398932037E-30</c:v>
                </c:pt>
                <c:pt idx="182">
                  <c:v>-4.6967884630240959E-31</c:v>
                </c:pt>
                <c:pt idx="183">
                  <c:v>-7.6811131182811037E-32</c:v>
                </c:pt>
                <c:pt idx="184">
                  <c:v>-1.2288969908550753E-32</c:v>
                </c:pt>
                <c:pt idx="185">
                  <c:v>-1.9234236873501562E-33</c:v>
                </c:pt>
                <c:pt idx="186">
                  <c:v>-2.9451173151966675E-34</c:v>
                </c:pt>
                <c:pt idx="187">
                  <c:v>-4.4116230531360012E-35</c:v>
                </c:pt>
                <c:pt idx="188">
                  <c:v>-6.4649080961722239E-36</c:v>
                </c:pt>
                <c:pt idx="189">
                  <c:v>-9.2681802798776205E-37</c:v>
                </c:pt>
                <c:pt idx="190">
                  <c:v>-1.2998545234532888E-37</c:v>
                </c:pt>
                <c:pt idx="191">
                  <c:v>-1.7834592322808737E-38</c:v>
                </c:pt>
                <c:pt idx="192">
                  <c:v>-2.3938657014969563E-39</c:v>
                </c:pt>
                <c:pt idx="193">
                  <c:v>-3.1434353869211774E-40</c:v>
                </c:pt>
                <c:pt idx="194">
                  <c:v>-4.0381035637372569E-41</c:v>
                </c:pt>
                <c:pt idx="195">
                  <c:v>-5.0747952828869297E-42</c:v>
                </c:pt>
                <c:pt idx="196">
                  <c:v>-6.2391835400945462E-43</c:v>
                </c:pt>
                <c:pt idx="197">
                  <c:v>-7.5042130453638544E-44</c:v>
                </c:pt>
                <c:pt idx="198">
                  <c:v>-8.8297967808821387E-45</c:v>
                </c:pt>
                <c:pt idx="199">
                  <c:v>-1.0163994491027566E-45</c:v>
                </c:pt>
                <c:pt idx="200">
                  <c:v>-1.1445803695731549E-46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B7-4578-BC6E-392E145A3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580800"/>
        <c:axId val="295582720"/>
      </c:scatterChart>
      <c:valAx>
        <c:axId val="295580800"/>
        <c:scaling>
          <c:orientation val="minMax"/>
          <c:max val="30"/>
          <c:min val="-3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it-IT"/>
                  <a:t>ASCISSA TRASVERSALE all'ASSE della GALLERIA (m)</a:t>
                </a:r>
              </a:p>
            </c:rich>
          </c:tx>
          <c:layout>
            <c:manualLayout>
              <c:xMode val="edge"/>
              <c:yMode val="edge"/>
              <c:x val="0.16243681468750415"/>
              <c:y val="0.166667127135423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295582720"/>
        <c:crosses val="autoZero"/>
        <c:crossBetween val="midCat"/>
      </c:valAx>
      <c:valAx>
        <c:axId val="295582720"/>
        <c:scaling>
          <c:orientation val="minMax"/>
          <c:max val="2.5"/>
          <c:min val="-30"/>
        </c:scaling>
        <c:delete val="0"/>
        <c:axPos val="l"/>
        <c:title>
          <c:tx>
            <c:rich>
              <a:bodyPr/>
              <a:lstStyle/>
              <a:p>
                <a:pPr>
                  <a:defRPr sz="1525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it-IT"/>
                  <a:t>W (mm)</a:t>
                </a:r>
              </a:p>
            </c:rich>
          </c:tx>
          <c:layout>
            <c:manualLayout>
              <c:xMode val="edge"/>
              <c:yMode val="edge"/>
              <c:x val="1.2690355329949238E-2"/>
              <c:y val="0.52412395818943691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295580800"/>
        <c:crossesAt val="0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25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it-IT"/>
              <a:t>CONCHE DI SUBSIDENZA CON L'ALTEZZA DI COPERTURA</a:t>
            </a:r>
          </a:p>
        </c:rich>
      </c:tx>
      <c:layout>
        <c:manualLayout>
          <c:xMode val="edge"/>
          <c:yMode val="edge"/>
          <c:x val="0.23471908309749789"/>
          <c:y val="1.10619469026548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491456261766816"/>
          <c:y val="0.25221238938053098"/>
          <c:w val="0.83618681734558531"/>
          <c:h val="0.6747787610619469"/>
        </c:manualLayout>
      </c:layout>
      <c:scatterChart>
        <c:scatterStyle val="lineMarker"/>
        <c:varyColors val="0"/>
        <c:ser>
          <c:idx val="3"/>
          <c:order val="0"/>
          <c:tx>
            <c:v>NUMERICO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6C5A-4294-8AC9-2DE64CDEE4CA}"/>
            </c:ext>
          </c:extLst>
        </c:ser>
        <c:ser>
          <c:idx val="0"/>
          <c:order val="1"/>
          <c:tx>
            <c:v>EMPIRICO</c:v>
          </c:tx>
          <c:spPr>
            <a:ln w="381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'subsidence profile with z_0'!$B$16:$B$216</c:f>
              <c:numCache>
                <c:formatCode>0.000</c:formatCode>
                <c:ptCount val="201"/>
                <c:pt idx="0">
                  <c:v>-50</c:v>
                </c:pt>
                <c:pt idx="1">
                  <c:v>-49.5</c:v>
                </c:pt>
                <c:pt idx="2">
                  <c:v>-49</c:v>
                </c:pt>
                <c:pt idx="3">
                  <c:v>-48.5</c:v>
                </c:pt>
                <c:pt idx="4">
                  <c:v>-48</c:v>
                </c:pt>
                <c:pt idx="5">
                  <c:v>-47.5</c:v>
                </c:pt>
                <c:pt idx="6">
                  <c:v>-47</c:v>
                </c:pt>
                <c:pt idx="7">
                  <c:v>-46.5</c:v>
                </c:pt>
                <c:pt idx="8">
                  <c:v>-46</c:v>
                </c:pt>
                <c:pt idx="9">
                  <c:v>-45.5</c:v>
                </c:pt>
                <c:pt idx="10">
                  <c:v>-45</c:v>
                </c:pt>
                <c:pt idx="11">
                  <c:v>-44.5</c:v>
                </c:pt>
                <c:pt idx="12">
                  <c:v>-44</c:v>
                </c:pt>
                <c:pt idx="13">
                  <c:v>-43.5</c:v>
                </c:pt>
                <c:pt idx="14">
                  <c:v>-43</c:v>
                </c:pt>
                <c:pt idx="15">
                  <c:v>-42.5</c:v>
                </c:pt>
                <c:pt idx="16">
                  <c:v>-42</c:v>
                </c:pt>
                <c:pt idx="17">
                  <c:v>-41.5</c:v>
                </c:pt>
                <c:pt idx="18">
                  <c:v>-41</c:v>
                </c:pt>
                <c:pt idx="19">
                  <c:v>-40.5</c:v>
                </c:pt>
                <c:pt idx="20">
                  <c:v>-40</c:v>
                </c:pt>
                <c:pt idx="21">
                  <c:v>-39.5</c:v>
                </c:pt>
                <c:pt idx="22">
                  <c:v>-39</c:v>
                </c:pt>
                <c:pt idx="23">
                  <c:v>-38.5</c:v>
                </c:pt>
                <c:pt idx="24">
                  <c:v>-38</c:v>
                </c:pt>
                <c:pt idx="25">
                  <c:v>-37.5</c:v>
                </c:pt>
                <c:pt idx="26">
                  <c:v>-37</c:v>
                </c:pt>
                <c:pt idx="27">
                  <c:v>-36.5</c:v>
                </c:pt>
                <c:pt idx="28">
                  <c:v>-36</c:v>
                </c:pt>
                <c:pt idx="29">
                  <c:v>-35.5</c:v>
                </c:pt>
                <c:pt idx="30">
                  <c:v>-35</c:v>
                </c:pt>
                <c:pt idx="31">
                  <c:v>-34.5</c:v>
                </c:pt>
                <c:pt idx="32">
                  <c:v>-34</c:v>
                </c:pt>
                <c:pt idx="33">
                  <c:v>-33.5</c:v>
                </c:pt>
                <c:pt idx="34">
                  <c:v>-33</c:v>
                </c:pt>
                <c:pt idx="35">
                  <c:v>-32.5</c:v>
                </c:pt>
                <c:pt idx="36">
                  <c:v>-32</c:v>
                </c:pt>
                <c:pt idx="37">
                  <c:v>-31.5</c:v>
                </c:pt>
                <c:pt idx="38">
                  <c:v>-31</c:v>
                </c:pt>
                <c:pt idx="39">
                  <c:v>-30.5</c:v>
                </c:pt>
                <c:pt idx="40">
                  <c:v>-30</c:v>
                </c:pt>
                <c:pt idx="41">
                  <c:v>-29.5</c:v>
                </c:pt>
                <c:pt idx="42">
                  <c:v>-29</c:v>
                </c:pt>
                <c:pt idx="43">
                  <c:v>-28.5</c:v>
                </c:pt>
                <c:pt idx="44">
                  <c:v>-28</c:v>
                </c:pt>
                <c:pt idx="45">
                  <c:v>-27.5</c:v>
                </c:pt>
                <c:pt idx="46">
                  <c:v>-27</c:v>
                </c:pt>
                <c:pt idx="47">
                  <c:v>-26.5</c:v>
                </c:pt>
                <c:pt idx="48">
                  <c:v>-26</c:v>
                </c:pt>
                <c:pt idx="49">
                  <c:v>-25.5</c:v>
                </c:pt>
                <c:pt idx="50">
                  <c:v>-25</c:v>
                </c:pt>
                <c:pt idx="51">
                  <c:v>-24.5</c:v>
                </c:pt>
                <c:pt idx="52">
                  <c:v>-24</c:v>
                </c:pt>
                <c:pt idx="53">
                  <c:v>-23.5</c:v>
                </c:pt>
                <c:pt idx="54">
                  <c:v>-23</c:v>
                </c:pt>
                <c:pt idx="55">
                  <c:v>-22.5</c:v>
                </c:pt>
                <c:pt idx="56">
                  <c:v>-22</c:v>
                </c:pt>
                <c:pt idx="57">
                  <c:v>-21.5</c:v>
                </c:pt>
                <c:pt idx="58">
                  <c:v>-21</c:v>
                </c:pt>
                <c:pt idx="59">
                  <c:v>-20.5</c:v>
                </c:pt>
                <c:pt idx="60">
                  <c:v>-20</c:v>
                </c:pt>
                <c:pt idx="61">
                  <c:v>-19.5</c:v>
                </c:pt>
                <c:pt idx="62">
                  <c:v>-19</c:v>
                </c:pt>
                <c:pt idx="63">
                  <c:v>-18.5</c:v>
                </c:pt>
                <c:pt idx="64">
                  <c:v>-18</c:v>
                </c:pt>
                <c:pt idx="65">
                  <c:v>-17.5</c:v>
                </c:pt>
                <c:pt idx="66">
                  <c:v>-17</c:v>
                </c:pt>
                <c:pt idx="67">
                  <c:v>-16.5</c:v>
                </c:pt>
                <c:pt idx="68">
                  <c:v>-16</c:v>
                </c:pt>
                <c:pt idx="69">
                  <c:v>-15.5</c:v>
                </c:pt>
                <c:pt idx="70">
                  <c:v>-15</c:v>
                </c:pt>
                <c:pt idx="71">
                  <c:v>-14.5</c:v>
                </c:pt>
                <c:pt idx="72">
                  <c:v>-14</c:v>
                </c:pt>
                <c:pt idx="73">
                  <c:v>-13.5</c:v>
                </c:pt>
                <c:pt idx="74">
                  <c:v>-13</c:v>
                </c:pt>
                <c:pt idx="75">
                  <c:v>-12.5</c:v>
                </c:pt>
                <c:pt idx="76">
                  <c:v>-12</c:v>
                </c:pt>
                <c:pt idx="77">
                  <c:v>-11.5</c:v>
                </c:pt>
                <c:pt idx="78">
                  <c:v>-11</c:v>
                </c:pt>
                <c:pt idx="79">
                  <c:v>-10.5</c:v>
                </c:pt>
                <c:pt idx="80">
                  <c:v>-10</c:v>
                </c:pt>
                <c:pt idx="81">
                  <c:v>-9.5</c:v>
                </c:pt>
                <c:pt idx="82">
                  <c:v>-9</c:v>
                </c:pt>
                <c:pt idx="83">
                  <c:v>-8.5</c:v>
                </c:pt>
                <c:pt idx="84">
                  <c:v>-8</c:v>
                </c:pt>
                <c:pt idx="85">
                  <c:v>-7.5</c:v>
                </c:pt>
                <c:pt idx="86">
                  <c:v>-7</c:v>
                </c:pt>
                <c:pt idx="87">
                  <c:v>-6.5</c:v>
                </c:pt>
                <c:pt idx="88">
                  <c:v>-6</c:v>
                </c:pt>
                <c:pt idx="89">
                  <c:v>-5.5</c:v>
                </c:pt>
                <c:pt idx="90">
                  <c:v>-5</c:v>
                </c:pt>
                <c:pt idx="91">
                  <c:v>-4.5</c:v>
                </c:pt>
                <c:pt idx="92">
                  <c:v>-4</c:v>
                </c:pt>
                <c:pt idx="93">
                  <c:v>-3.5</c:v>
                </c:pt>
                <c:pt idx="94">
                  <c:v>-3</c:v>
                </c:pt>
                <c:pt idx="95">
                  <c:v>-2.5</c:v>
                </c:pt>
                <c:pt idx="96">
                  <c:v>-2</c:v>
                </c:pt>
                <c:pt idx="97">
                  <c:v>-1.5</c:v>
                </c:pt>
                <c:pt idx="98">
                  <c:v>-1</c:v>
                </c:pt>
                <c:pt idx="99">
                  <c:v>-0.5</c:v>
                </c:pt>
                <c:pt idx="100">
                  <c:v>0</c:v>
                </c:pt>
                <c:pt idx="101">
                  <c:v>0.5</c:v>
                </c:pt>
                <c:pt idx="102">
                  <c:v>1</c:v>
                </c:pt>
                <c:pt idx="103">
                  <c:v>1.5</c:v>
                </c:pt>
                <c:pt idx="104">
                  <c:v>2</c:v>
                </c:pt>
                <c:pt idx="105">
                  <c:v>2.5</c:v>
                </c:pt>
                <c:pt idx="106">
                  <c:v>3</c:v>
                </c:pt>
                <c:pt idx="107">
                  <c:v>3.5</c:v>
                </c:pt>
                <c:pt idx="108">
                  <c:v>4</c:v>
                </c:pt>
                <c:pt idx="109">
                  <c:v>4.5</c:v>
                </c:pt>
                <c:pt idx="110">
                  <c:v>5</c:v>
                </c:pt>
                <c:pt idx="111">
                  <c:v>5.5</c:v>
                </c:pt>
                <c:pt idx="112">
                  <c:v>6</c:v>
                </c:pt>
                <c:pt idx="113">
                  <c:v>6.5</c:v>
                </c:pt>
                <c:pt idx="114">
                  <c:v>7</c:v>
                </c:pt>
                <c:pt idx="115">
                  <c:v>7.5</c:v>
                </c:pt>
                <c:pt idx="116">
                  <c:v>8</c:v>
                </c:pt>
                <c:pt idx="117">
                  <c:v>8.5</c:v>
                </c:pt>
                <c:pt idx="118">
                  <c:v>9</c:v>
                </c:pt>
                <c:pt idx="119">
                  <c:v>9.5</c:v>
                </c:pt>
                <c:pt idx="120">
                  <c:v>10</c:v>
                </c:pt>
                <c:pt idx="121">
                  <c:v>10.5</c:v>
                </c:pt>
                <c:pt idx="122">
                  <c:v>11</c:v>
                </c:pt>
                <c:pt idx="123">
                  <c:v>11.5</c:v>
                </c:pt>
                <c:pt idx="124">
                  <c:v>12</c:v>
                </c:pt>
                <c:pt idx="125">
                  <c:v>12.5</c:v>
                </c:pt>
                <c:pt idx="126">
                  <c:v>13</c:v>
                </c:pt>
                <c:pt idx="127">
                  <c:v>13.5</c:v>
                </c:pt>
                <c:pt idx="128">
                  <c:v>14</c:v>
                </c:pt>
                <c:pt idx="129">
                  <c:v>14.5</c:v>
                </c:pt>
                <c:pt idx="130">
                  <c:v>15</c:v>
                </c:pt>
                <c:pt idx="131">
                  <c:v>15.5</c:v>
                </c:pt>
                <c:pt idx="132">
                  <c:v>16</c:v>
                </c:pt>
                <c:pt idx="133">
                  <c:v>16.5</c:v>
                </c:pt>
                <c:pt idx="134">
                  <c:v>17</c:v>
                </c:pt>
                <c:pt idx="135">
                  <c:v>17.5</c:v>
                </c:pt>
                <c:pt idx="136">
                  <c:v>18</c:v>
                </c:pt>
                <c:pt idx="137">
                  <c:v>18.5</c:v>
                </c:pt>
                <c:pt idx="138">
                  <c:v>19</c:v>
                </c:pt>
                <c:pt idx="139">
                  <c:v>19.5</c:v>
                </c:pt>
                <c:pt idx="140">
                  <c:v>20</c:v>
                </c:pt>
                <c:pt idx="141">
                  <c:v>20.5</c:v>
                </c:pt>
                <c:pt idx="142">
                  <c:v>21</c:v>
                </c:pt>
                <c:pt idx="143">
                  <c:v>21.5</c:v>
                </c:pt>
                <c:pt idx="144">
                  <c:v>22</c:v>
                </c:pt>
                <c:pt idx="145">
                  <c:v>22.5</c:v>
                </c:pt>
                <c:pt idx="146">
                  <c:v>23</c:v>
                </c:pt>
                <c:pt idx="147">
                  <c:v>23.5</c:v>
                </c:pt>
                <c:pt idx="148">
                  <c:v>24</c:v>
                </c:pt>
                <c:pt idx="149">
                  <c:v>24.5</c:v>
                </c:pt>
                <c:pt idx="150">
                  <c:v>25</c:v>
                </c:pt>
                <c:pt idx="151">
                  <c:v>25.5</c:v>
                </c:pt>
                <c:pt idx="152">
                  <c:v>26</c:v>
                </c:pt>
                <c:pt idx="153">
                  <c:v>26.5</c:v>
                </c:pt>
                <c:pt idx="154">
                  <c:v>27</c:v>
                </c:pt>
                <c:pt idx="155">
                  <c:v>27.5</c:v>
                </c:pt>
                <c:pt idx="156">
                  <c:v>28</c:v>
                </c:pt>
                <c:pt idx="157">
                  <c:v>28.5</c:v>
                </c:pt>
                <c:pt idx="158">
                  <c:v>29</c:v>
                </c:pt>
                <c:pt idx="159">
                  <c:v>29.5</c:v>
                </c:pt>
                <c:pt idx="160">
                  <c:v>30</c:v>
                </c:pt>
                <c:pt idx="161">
                  <c:v>30.5</c:v>
                </c:pt>
                <c:pt idx="162">
                  <c:v>31</c:v>
                </c:pt>
                <c:pt idx="163">
                  <c:v>31.5</c:v>
                </c:pt>
                <c:pt idx="164">
                  <c:v>32</c:v>
                </c:pt>
                <c:pt idx="165">
                  <c:v>32.5</c:v>
                </c:pt>
                <c:pt idx="166">
                  <c:v>33</c:v>
                </c:pt>
                <c:pt idx="167">
                  <c:v>33.5</c:v>
                </c:pt>
                <c:pt idx="168">
                  <c:v>34</c:v>
                </c:pt>
                <c:pt idx="169">
                  <c:v>34.5</c:v>
                </c:pt>
                <c:pt idx="170">
                  <c:v>35</c:v>
                </c:pt>
                <c:pt idx="171">
                  <c:v>35.5</c:v>
                </c:pt>
                <c:pt idx="172">
                  <c:v>36</c:v>
                </c:pt>
                <c:pt idx="173">
                  <c:v>36.5</c:v>
                </c:pt>
                <c:pt idx="174">
                  <c:v>37</c:v>
                </c:pt>
                <c:pt idx="175">
                  <c:v>37.5</c:v>
                </c:pt>
                <c:pt idx="176">
                  <c:v>38</c:v>
                </c:pt>
                <c:pt idx="177">
                  <c:v>38.5</c:v>
                </c:pt>
                <c:pt idx="178">
                  <c:v>39</c:v>
                </c:pt>
                <c:pt idx="179">
                  <c:v>39.5</c:v>
                </c:pt>
                <c:pt idx="180">
                  <c:v>40</c:v>
                </c:pt>
                <c:pt idx="181">
                  <c:v>40.5</c:v>
                </c:pt>
                <c:pt idx="182">
                  <c:v>41</c:v>
                </c:pt>
                <c:pt idx="183">
                  <c:v>41.5</c:v>
                </c:pt>
                <c:pt idx="184">
                  <c:v>42</c:v>
                </c:pt>
                <c:pt idx="185">
                  <c:v>42.5</c:v>
                </c:pt>
                <c:pt idx="186">
                  <c:v>43</c:v>
                </c:pt>
                <c:pt idx="187">
                  <c:v>43.5</c:v>
                </c:pt>
                <c:pt idx="188">
                  <c:v>44</c:v>
                </c:pt>
                <c:pt idx="189">
                  <c:v>44.5</c:v>
                </c:pt>
                <c:pt idx="190">
                  <c:v>45</c:v>
                </c:pt>
                <c:pt idx="191">
                  <c:v>45.5</c:v>
                </c:pt>
                <c:pt idx="192">
                  <c:v>46</c:v>
                </c:pt>
                <c:pt idx="193">
                  <c:v>46.5</c:v>
                </c:pt>
                <c:pt idx="194">
                  <c:v>47</c:v>
                </c:pt>
                <c:pt idx="195">
                  <c:v>47.5</c:v>
                </c:pt>
                <c:pt idx="196">
                  <c:v>48</c:v>
                </c:pt>
                <c:pt idx="197">
                  <c:v>48.5</c:v>
                </c:pt>
                <c:pt idx="198">
                  <c:v>49</c:v>
                </c:pt>
                <c:pt idx="199">
                  <c:v>49.5</c:v>
                </c:pt>
                <c:pt idx="200">
                  <c:v>50</c:v>
                </c:pt>
              </c:numCache>
            </c:numRef>
          </c:xVal>
          <c:yVal>
            <c:numRef>
              <c:f>'subsidence profile with z_0'!$D$16:$D$216</c:f>
              <c:numCache>
                <c:formatCode>0.000</c:formatCode>
                <c:ptCount val="201"/>
                <c:pt idx="0">
                  <c:v>-3.4833660510973849E-32</c:v>
                </c:pt>
                <c:pt idx="1">
                  <c:v>-1.5871676929689183E-31</c:v>
                </c:pt>
                <c:pt idx="2">
                  <c:v>-7.1224134581367714E-31</c:v>
                </c:pt>
                <c:pt idx="3">
                  <c:v>-3.1478368385623495E-30</c:v>
                </c:pt>
                <c:pt idx="4">
                  <c:v>-1.370180909963356E-29</c:v>
                </c:pt>
                <c:pt idx="5">
                  <c:v>-5.8738692846794903E-29</c:v>
                </c:pt>
                <c:pt idx="6">
                  <c:v>-2.4799978777678035E-28</c:v>
                </c:pt>
                <c:pt idx="7">
                  <c:v>-1.0312382354189609E-27</c:v>
                </c:pt>
                <c:pt idx="8">
                  <c:v>-4.2232556454510187E-27</c:v>
                </c:pt>
                <c:pt idx="9">
                  <c:v>-1.7033990544093081E-26</c:v>
                </c:pt>
                <c:pt idx="10">
                  <c:v>-6.7665313564892894E-26</c:v>
                </c:pt>
                <c:pt idx="11">
                  <c:v>-2.6472591733945689E-25</c:v>
                </c:pt>
                <c:pt idx="12">
                  <c:v>-1.0200171914574522E-24</c:v>
                </c:pt>
                <c:pt idx="13">
                  <c:v>-3.8707862293184113E-24</c:v>
                </c:pt>
                <c:pt idx="14">
                  <c:v>-1.446676908938194E-23</c:v>
                </c:pt>
                <c:pt idx="15">
                  <c:v>-5.325060889558809E-23</c:v>
                </c:pt>
                <c:pt idx="16">
                  <c:v>-1.9304487349095002E-22</c:v>
                </c:pt>
                <c:pt idx="17">
                  <c:v>-6.8924342866244404E-22</c:v>
                </c:pt>
                <c:pt idx="18">
                  <c:v>-2.4236374898019662E-21</c:v>
                </c:pt>
                <c:pt idx="19">
                  <c:v>-8.3935050409663202E-21</c:v>
                </c:pt>
                <c:pt idx="20">
                  <c:v>-2.8628573974375935E-20</c:v>
                </c:pt>
                <c:pt idx="21">
                  <c:v>-9.6169363649975455E-20</c:v>
                </c:pt>
                <c:pt idx="22">
                  <c:v>-3.1816648879303046E-19</c:v>
                </c:pt>
                <c:pt idx="23">
                  <c:v>-1.0366992740494532E-18</c:v>
                </c:pt>
                <c:pt idx="24">
                  <c:v>-3.3268392754126009E-18</c:v>
                </c:pt>
                <c:pt idx="25">
                  <c:v>-1.0514569883615821E-17</c:v>
                </c:pt>
                <c:pt idx="26">
                  <c:v>-3.272893473212263E-17</c:v>
                </c:pt>
                <c:pt idx="27">
                  <c:v>-1.0033510155242171E-16</c:v>
                </c:pt>
                <c:pt idx="28">
                  <c:v>-3.0293858005470071E-16</c:v>
                </c:pt>
                <c:pt idx="29">
                  <c:v>-9.008177657155652E-16</c:v>
                </c:pt>
                <c:pt idx="30">
                  <c:v>-2.6381529227282202E-15</c:v>
                </c:pt>
                <c:pt idx="31">
                  <c:v>-7.6092815917001311E-15</c:v>
                </c:pt>
                <c:pt idx="32">
                  <c:v>-2.1615635695567265E-14</c:v>
                </c:pt>
                <c:pt idx="33">
                  <c:v>-6.0474604221445724E-14</c:v>
                </c:pt>
                <c:pt idx="34">
                  <c:v>-1.6663212150668539E-13</c:v>
                </c:pt>
                <c:pt idx="35">
                  <c:v>-4.5219429497845441E-13</c:v>
                </c:pt>
                <c:pt idx="36">
                  <c:v>-1.2085708089998471E-12</c:v>
                </c:pt>
                <c:pt idx="37">
                  <c:v>-3.1812645664995999E-12</c:v>
                </c:pt>
                <c:pt idx="38">
                  <c:v>-8.2472306845132222E-12</c:v>
                </c:pt>
                <c:pt idx="39">
                  <c:v>-2.105703228400703E-11</c:v>
                </c:pt>
                <c:pt idx="40">
                  <c:v>-5.2950107949753217E-11</c:v>
                </c:pt>
                <c:pt idx="41">
                  <c:v>-1.3113457197364416E-10</c:v>
                </c:pt>
                <c:pt idx="42">
                  <c:v>-3.198513753949316E-10</c:v>
                </c:pt>
                <c:pt idx="43">
                  <c:v>-7.6835143804264752E-10</c:v>
                </c:pt>
                <c:pt idx="44">
                  <c:v>-1.8178257901695921E-9</c:v>
                </c:pt>
                <c:pt idx="45">
                  <c:v>-4.2357008408043122E-9</c:v>
                </c:pt>
                <c:pt idx="46">
                  <c:v>-9.7202842241172001E-9</c:v>
                </c:pt>
                <c:pt idx="47">
                  <c:v>-2.1969153090148448E-8</c:v>
                </c:pt>
                <c:pt idx="48">
                  <c:v>-4.8902192708170768E-8</c:v>
                </c:pt>
                <c:pt idx="49">
                  <c:v>-1.0720721559797906E-7</c:v>
                </c:pt>
                <c:pt idx="50">
                  <c:v>-2.314730140949576E-7</c:v>
                </c:pt>
                <c:pt idx="51">
                  <c:v>-4.9221787744994165E-7</c:v>
                </c:pt>
                <c:pt idx="52">
                  <c:v>-1.0308490289750913E-6</c:v>
                </c:pt>
                <c:pt idx="53">
                  <c:v>-2.1262455386031208E-6</c:v>
                </c:pt>
                <c:pt idx="54">
                  <c:v>-4.319290666747239E-6</c:v>
                </c:pt>
                <c:pt idx="55">
                  <c:v>-8.6415592649818908E-6</c:v>
                </c:pt>
                <c:pt idx="56">
                  <c:v>-1.7027561633045275E-5</c:v>
                </c:pt>
                <c:pt idx="57">
                  <c:v>-3.3044065583964309E-5</c:v>
                </c:pt>
                <c:pt idx="58">
                  <c:v>-6.3156078563437199E-5</c:v>
                </c:pt>
                <c:pt idx="59">
                  <c:v>-1.188823834243683E-4</c:v>
                </c:pt>
                <c:pt idx="60">
                  <c:v>-2.2039438055502784E-4</c:v>
                </c:pt>
                <c:pt idx="61">
                  <c:v>-4.0240576771441531E-4</c:v>
                </c:pt>
                <c:pt idx="62">
                  <c:v>-7.2361663648615084E-4</c:v>
                </c:pt>
                <c:pt idx="63">
                  <c:v>-1.2815441000720714E-3</c:v>
                </c:pt>
                <c:pt idx="64">
                  <c:v>-2.2353175837099247E-3</c:v>
                </c:pt>
                <c:pt idx="65">
                  <c:v>-3.8399500898101957E-3</c:v>
                </c:pt>
                <c:pt idx="66">
                  <c:v>-6.4966966856907773E-3</c:v>
                </c:pt>
                <c:pt idx="67">
                  <c:v>-1.082530818193192E-2</c:v>
                </c:pt>
                <c:pt idx="68">
                  <c:v>-1.7765139133705345E-2</c:v>
                </c:pt>
                <c:pt idx="69">
                  <c:v>-2.8712937372121008E-2</c:v>
                </c:pt>
                <c:pt idx="70">
                  <c:v>-4.5705377522439201E-2</c:v>
                </c:pt>
                <c:pt idx="71">
                  <c:v>-7.1653538744211306E-2</c:v>
                </c:pt>
                <c:pt idx="72">
                  <c:v>-0.11063400981343692</c:v>
                </c:pt>
                <c:pt idx="73">
                  <c:v>-0.16823654043520767</c:v>
                </c:pt>
                <c:pt idx="74">
                  <c:v>-0.25196062168406919</c:v>
                </c:pt>
                <c:pt idx="75">
                  <c:v>-0.37164276262332724</c:v>
                </c:pt>
                <c:pt idx="76">
                  <c:v>-0.53988262969757927</c:v>
                </c:pt>
                <c:pt idx="77">
                  <c:v>-0.77242032992507226</c:v>
                </c:pt>
                <c:pt idx="78">
                  <c:v>-1.088400426524337</c:v>
                </c:pt>
                <c:pt idx="79">
                  <c:v>-1.5104431263009166</c:v>
                </c:pt>
                <c:pt idx="80">
                  <c:v>-2.0644326418800913</c:v>
                </c:pt>
                <c:pt idx="81">
                  <c:v>-2.7789307460850594</c:v>
                </c:pt>
                <c:pt idx="82">
                  <c:v>-3.6841338186566528</c:v>
                </c:pt>
                <c:pt idx="83">
                  <c:v>-4.8103174266108164</c:v>
                </c:pt>
                <c:pt idx="84">
                  <c:v>-6.1857553775548828</c:v>
                </c:pt>
                <c:pt idx="85">
                  <c:v>-7.8341595695332993</c:v>
                </c:pt>
                <c:pt idx="86">
                  <c:v>-9.7717590878528924</c:v>
                </c:pt>
                <c:pt idx="87">
                  <c:v>-12.004214742385715</c:v>
                </c:pt>
                <c:pt idx="88">
                  <c:v>-14.523638370650442</c:v>
                </c:pt>
                <c:pt idx="89">
                  <c:v>-17.306042419331792</c:v>
                </c:pt>
                <c:pt idx="90">
                  <c:v>-20.309571819208863</c:v>
                </c:pt>
                <c:pt idx="91">
                  <c:v>-23.473856062327449</c:v>
                </c:pt>
                <c:pt idx="92">
                  <c:v>-26.720757975219854</c:v>
                </c:pt>
                <c:pt idx="93">
                  <c:v>-29.956686597050457</c:v>
                </c:pt>
                <c:pt idx="94">
                  <c:v>-33.076492112638235</c:v>
                </c:pt>
                <c:pt idx="95">
                  <c:v>-35.968785994592402</c:v>
                </c:pt>
                <c:pt idx="96">
                  <c:v>-38.522350767606298</c:v>
                </c:pt>
                <c:pt idx="97">
                  <c:v>-40.633146056426213</c:v>
                </c:pt>
                <c:pt idx="98">
                  <c:v>-42.211305433465725</c:v>
                </c:pt>
                <c:pt idx="99">
                  <c:v>-43.187472076840777</c:v>
                </c:pt>
                <c:pt idx="100">
                  <c:v>-43.517851990121542</c:v>
                </c:pt>
                <c:pt idx="101">
                  <c:v>-43.187472076840777</c:v>
                </c:pt>
                <c:pt idx="102">
                  <c:v>-42.211305433465725</c:v>
                </c:pt>
                <c:pt idx="103">
                  <c:v>-40.633146056426213</c:v>
                </c:pt>
                <c:pt idx="104">
                  <c:v>-38.522350767606298</c:v>
                </c:pt>
                <c:pt idx="105">
                  <c:v>-35.968785994592402</c:v>
                </c:pt>
                <c:pt idx="106">
                  <c:v>-33.076492112638235</c:v>
                </c:pt>
                <c:pt idx="107">
                  <c:v>-29.956686597050457</c:v>
                </c:pt>
                <c:pt idx="108">
                  <c:v>-26.720757975219854</c:v>
                </c:pt>
                <c:pt idx="109">
                  <c:v>-23.473856062327449</c:v>
                </c:pt>
                <c:pt idx="110">
                  <c:v>-20.309571819208863</c:v>
                </c:pt>
                <c:pt idx="111">
                  <c:v>-17.306042419331792</c:v>
                </c:pt>
                <c:pt idx="112">
                  <c:v>-14.523638370650442</c:v>
                </c:pt>
                <c:pt idx="113">
                  <c:v>-12.004214742385715</c:v>
                </c:pt>
                <c:pt idx="114">
                  <c:v>-9.7717590878528924</c:v>
                </c:pt>
                <c:pt idx="115">
                  <c:v>-7.8341595695332993</c:v>
                </c:pt>
                <c:pt idx="116">
                  <c:v>-6.1857553775548828</c:v>
                </c:pt>
                <c:pt idx="117">
                  <c:v>-4.8103174266108164</c:v>
                </c:pt>
                <c:pt idx="118">
                  <c:v>-3.6841338186566528</c:v>
                </c:pt>
                <c:pt idx="119">
                  <c:v>-2.7789307460850594</c:v>
                </c:pt>
                <c:pt idx="120">
                  <c:v>-2.0644326418800913</c:v>
                </c:pt>
                <c:pt idx="121">
                  <c:v>-1.5104431263009166</c:v>
                </c:pt>
                <c:pt idx="122">
                  <c:v>-1.088400426524337</c:v>
                </c:pt>
                <c:pt idx="123">
                  <c:v>-0.77242032992507226</c:v>
                </c:pt>
                <c:pt idx="124">
                  <c:v>-0.53988262969757927</c:v>
                </c:pt>
                <c:pt idx="125">
                  <c:v>-0.37164276262332724</c:v>
                </c:pt>
                <c:pt idx="126">
                  <c:v>-0.25196062168406919</c:v>
                </c:pt>
                <c:pt idx="127">
                  <c:v>-0.16823654043520767</c:v>
                </c:pt>
                <c:pt idx="128">
                  <c:v>-0.11063400981343692</c:v>
                </c:pt>
                <c:pt idx="129">
                  <c:v>-7.1653538744211306E-2</c:v>
                </c:pt>
                <c:pt idx="130">
                  <c:v>-4.5705377522439201E-2</c:v>
                </c:pt>
                <c:pt idx="131">
                  <c:v>-2.8712937372121008E-2</c:v>
                </c:pt>
                <c:pt idx="132">
                  <c:v>-1.7765139133705345E-2</c:v>
                </c:pt>
                <c:pt idx="133">
                  <c:v>-1.082530818193192E-2</c:v>
                </c:pt>
                <c:pt idx="134">
                  <c:v>-6.4966966856907773E-3</c:v>
                </c:pt>
                <c:pt idx="135">
                  <c:v>-3.8399500898101957E-3</c:v>
                </c:pt>
                <c:pt idx="136">
                  <c:v>-2.2353175837099247E-3</c:v>
                </c:pt>
                <c:pt idx="137">
                  <c:v>-1.2815441000720714E-3</c:v>
                </c:pt>
                <c:pt idx="138">
                  <c:v>-7.2361663648615084E-4</c:v>
                </c:pt>
                <c:pt idx="139">
                  <c:v>-4.0240576771441531E-4</c:v>
                </c:pt>
                <c:pt idx="140">
                  <c:v>-2.2039438055502784E-4</c:v>
                </c:pt>
                <c:pt idx="141">
                  <c:v>-1.188823834243683E-4</c:v>
                </c:pt>
                <c:pt idx="142">
                  <c:v>-6.3156078563437199E-5</c:v>
                </c:pt>
                <c:pt idx="143">
                  <c:v>-3.3044065583964309E-5</c:v>
                </c:pt>
                <c:pt idx="144">
                  <c:v>-1.7027561633045275E-5</c:v>
                </c:pt>
                <c:pt idx="145">
                  <c:v>-8.6415592649818908E-6</c:v>
                </c:pt>
                <c:pt idx="146">
                  <c:v>-4.319290666747239E-6</c:v>
                </c:pt>
                <c:pt idx="147">
                  <c:v>-2.1262455386031208E-6</c:v>
                </c:pt>
                <c:pt idx="148">
                  <c:v>-1.0308490289750913E-6</c:v>
                </c:pt>
                <c:pt idx="149">
                  <c:v>-4.9221787744994165E-7</c:v>
                </c:pt>
                <c:pt idx="150">
                  <c:v>-2.314730140949576E-7</c:v>
                </c:pt>
                <c:pt idx="151">
                  <c:v>-1.0720721559797906E-7</c:v>
                </c:pt>
                <c:pt idx="152">
                  <c:v>-4.8902192708170768E-8</c:v>
                </c:pt>
                <c:pt idx="153">
                  <c:v>-2.1969153090148448E-8</c:v>
                </c:pt>
                <c:pt idx="154">
                  <c:v>-9.7202842241172001E-9</c:v>
                </c:pt>
                <c:pt idx="155">
                  <c:v>-4.2357008408043122E-9</c:v>
                </c:pt>
                <c:pt idx="156">
                  <c:v>-1.8178257901695921E-9</c:v>
                </c:pt>
                <c:pt idx="157">
                  <c:v>-7.6835143804264752E-10</c:v>
                </c:pt>
                <c:pt idx="158">
                  <c:v>-3.198513753949316E-10</c:v>
                </c:pt>
                <c:pt idx="159">
                  <c:v>-1.3113457197364416E-10</c:v>
                </c:pt>
                <c:pt idx="160">
                  <c:v>-5.2950107949753217E-11</c:v>
                </c:pt>
                <c:pt idx="161">
                  <c:v>-2.105703228400703E-11</c:v>
                </c:pt>
                <c:pt idx="162">
                  <c:v>-8.2472306845132222E-12</c:v>
                </c:pt>
                <c:pt idx="163">
                  <c:v>-3.1812645664995999E-12</c:v>
                </c:pt>
                <c:pt idx="164">
                  <c:v>-1.2085708089998471E-12</c:v>
                </c:pt>
                <c:pt idx="165">
                  <c:v>-4.5219429497845441E-13</c:v>
                </c:pt>
                <c:pt idx="166">
                  <c:v>-1.6663212150668539E-13</c:v>
                </c:pt>
                <c:pt idx="167">
                  <c:v>-6.0474604221445724E-14</c:v>
                </c:pt>
                <c:pt idx="168">
                  <c:v>-2.1615635695567265E-14</c:v>
                </c:pt>
                <c:pt idx="169">
                  <c:v>-7.6092815917001311E-15</c:v>
                </c:pt>
                <c:pt idx="170">
                  <c:v>-2.6381529227282202E-15</c:v>
                </c:pt>
                <c:pt idx="171">
                  <c:v>-9.008177657155652E-16</c:v>
                </c:pt>
                <c:pt idx="172">
                  <c:v>-3.0293858005470071E-16</c:v>
                </c:pt>
                <c:pt idx="173">
                  <c:v>-1.0033510155242171E-16</c:v>
                </c:pt>
                <c:pt idx="174">
                  <c:v>-3.272893473212263E-17</c:v>
                </c:pt>
                <c:pt idx="175">
                  <c:v>-1.0514569883615821E-17</c:v>
                </c:pt>
                <c:pt idx="176">
                  <c:v>-3.3268392754126009E-18</c:v>
                </c:pt>
                <c:pt idx="177">
                  <c:v>-1.0366992740494532E-18</c:v>
                </c:pt>
                <c:pt idx="178">
                  <c:v>-3.1816648879303046E-19</c:v>
                </c:pt>
                <c:pt idx="179">
                  <c:v>-9.6169363649975455E-20</c:v>
                </c:pt>
                <c:pt idx="180">
                  <c:v>-2.8628573974375935E-20</c:v>
                </c:pt>
                <c:pt idx="181">
                  <c:v>-8.3935050409663202E-21</c:v>
                </c:pt>
                <c:pt idx="182">
                  <c:v>-2.4236374898019662E-21</c:v>
                </c:pt>
                <c:pt idx="183">
                  <c:v>-6.8924342866244404E-22</c:v>
                </c:pt>
                <c:pt idx="184">
                  <c:v>-1.9304487349095002E-22</c:v>
                </c:pt>
                <c:pt idx="185">
                  <c:v>-5.325060889558809E-23</c:v>
                </c:pt>
                <c:pt idx="186">
                  <c:v>-1.446676908938194E-23</c:v>
                </c:pt>
                <c:pt idx="187">
                  <c:v>-3.8707862293184113E-24</c:v>
                </c:pt>
                <c:pt idx="188">
                  <c:v>-1.0200171914574522E-24</c:v>
                </c:pt>
                <c:pt idx="189">
                  <c:v>-2.6472591733945689E-25</c:v>
                </c:pt>
                <c:pt idx="190">
                  <c:v>-6.7665313564892894E-26</c:v>
                </c:pt>
                <c:pt idx="191">
                  <c:v>-1.7033990544093081E-26</c:v>
                </c:pt>
                <c:pt idx="192">
                  <c:v>-4.2232556454510187E-27</c:v>
                </c:pt>
                <c:pt idx="193">
                  <c:v>-1.0312382354189609E-27</c:v>
                </c:pt>
                <c:pt idx="194">
                  <c:v>-2.4799978777678035E-28</c:v>
                </c:pt>
                <c:pt idx="195">
                  <c:v>-5.8738692846794903E-29</c:v>
                </c:pt>
                <c:pt idx="196">
                  <c:v>-1.370180909963356E-29</c:v>
                </c:pt>
                <c:pt idx="197">
                  <c:v>-3.1478368385623495E-30</c:v>
                </c:pt>
                <c:pt idx="198">
                  <c:v>-7.1224134581367714E-31</c:v>
                </c:pt>
                <c:pt idx="199">
                  <c:v>-1.5871676929689183E-31</c:v>
                </c:pt>
                <c:pt idx="200">
                  <c:v>-3.4833660510973849E-32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5A-4294-8AC9-2DE64CDEE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772928"/>
        <c:axId val="295774848"/>
      </c:scatterChart>
      <c:valAx>
        <c:axId val="295772928"/>
        <c:scaling>
          <c:orientation val="minMax"/>
          <c:max val="30"/>
          <c:min val="-3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it-IT"/>
                  <a:t>ASCISSA TRASVERSALE all'ASSE della GALLERIA (m)</a:t>
                </a:r>
              </a:p>
            </c:rich>
          </c:tx>
          <c:layout>
            <c:manualLayout>
              <c:xMode val="edge"/>
              <c:yMode val="edge"/>
              <c:x val="0.18337433982121426"/>
              <c:y val="0.1703539823008849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295774848"/>
        <c:crosses val="autoZero"/>
        <c:crossBetween val="midCat"/>
      </c:valAx>
      <c:valAx>
        <c:axId val="295774848"/>
        <c:scaling>
          <c:orientation val="minMax"/>
          <c:max val="2.5"/>
          <c:min val="-30"/>
        </c:scaling>
        <c:delete val="0"/>
        <c:axPos val="l"/>
        <c:title>
          <c:tx>
            <c:rich>
              <a:bodyPr/>
              <a:lstStyle/>
              <a:p>
                <a:pPr>
                  <a:defRPr sz="1525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it-IT"/>
                  <a:t>W (mm)</a:t>
                </a:r>
              </a:p>
            </c:rich>
          </c:tx>
          <c:layout>
            <c:manualLayout>
              <c:xMode val="edge"/>
              <c:yMode val="edge"/>
              <c:x val="1.2224938875305624E-2"/>
              <c:y val="0.52433628318584069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295772928"/>
        <c:crossesAt val="0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25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it-IT"/>
              <a:t>CONCHE DI SUBSIDENZA CON L'ALTEZZA DI COPERTURA</a:t>
            </a:r>
          </a:p>
        </c:rich>
      </c:tx>
      <c:layout>
        <c:manualLayout>
          <c:xMode val="edge"/>
          <c:yMode val="edge"/>
          <c:x val="0.23019801980198021"/>
          <c:y val="1.121076233183856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633663366336634"/>
          <c:y val="0.24439461883408073"/>
          <c:w val="0.79207920792079212"/>
          <c:h val="0.6905829596412556"/>
        </c:manualLayout>
      </c:layout>
      <c:scatterChart>
        <c:scatterStyle val="lineMarker"/>
        <c:varyColors val="0"/>
        <c:ser>
          <c:idx val="3"/>
          <c:order val="0"/>
          <c:tx>
            <c:v>NUMERICO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8517-4584-944C-2924456285A6}"/>
            </c:ext>
          </c:extLst>
        </c:ser>
        <c:ser>
          <c:idx val="0"/>
          <c:order val="1"/>
          <c:tx>
            <c:v>EMPIRICO</c:v>
          </c:tx>
          <c:spPr>
            <a:ln w="38100">
              <a:solidFill>
                <a:srgbClr val="FF9900"/>
              </a:solidFill>
              <a:prstDash val="solid"/>
            </a:ln>
          </c:spPr>
          <c:marker>
            <c:symbol val="none"/>
          </c:marker>
          <c:xVal>
            <c:numRef>
              <c:f>'subsidence profile with z_0'!$B$16:$B$216</c:f>
              <c:numCache>
                <c:formatCode>0.000</c:formatCode>
                <c:ptCount val="201"/>
                <c:pt idx="0">
                  <c:v>-50</c:v>
                </c:pt>
                <c:pt idx="1">
                  <c:v>-49.5</c:v>
                </c:pt>
                <c:pt idx="2">
                  <c:v>-49</c:v>
                </c:pt>
                <c:pt idx="3">
                  <c:v>-48.5</c:v>
                </c:pt>
                <c:pt idx="4">
                  <c:v>-48</c:v>
                </c:pt>
                <c:pt idx="5">
                  <c:v>-47.5</c:v>
                </c:pt>
                <c:pt idx="6">
                  <c:v>-47</c:v>
                </c:pt>
                <c:pt idx="7">
                  <c:v>-46.5</c:v>
                </c:pt>
                <c:pt idx="8">
                  <c:v>-46</c:v>
                </c:pt>
                <c:pt idx="9">
                  <c:v>-45.5</c:v>
                </c:pt>
                <c:pt idx="10">
                  <c:v>-45</c:v>
                </c:pt>
                <c:pt idx="11">
                  <c:v>-44.5</c:v>
                </c:pt>
                <c:pt idx="12">
                  <c:v>-44</c:v>
                </c:pt>
                <c:pt idx="13">
                  <c:v>-43.5</c:v>
                </c:pt>
                <c:pt idx="14">
                  <c:v>-43</c:v>
                </c:pt>
                <c:pt idx="15">
                  <c:v>-42.5</c:v>
                </c:pt>
                <c:pt idx="16">
                  <c:v>-42</c:v>
                </c:pt>
                <c:pt idx="17">
                  <c:v>-41.5</c:v>
                </c:pt>
                <c:pt idx="18">
                  <c:v>-41</c:v>
                </c:pt>
                <c:pt idx="19">
                  <c:v>-40.5</c:v>
                </c:pt>
                <c:pt idx="20">
                  <c:v>-40</c:v>
                </c:pt>
                <c:pt idx="21">
                  <c:v>-39.5</c:v>
                </c:pt>
                <c:pt idx="22">
                  <c:v>-39</c:v>
                </c:pt>
                <c:pt idx="23">
                  <c:v>-38.5</c:v>
                </c:pt>
                <c:pt idx="24">
                  <c:v>-38</c:v>
                </c:pt>
                <c:pt idx="25">
                  <c:v>-37.5</c:v>
                </c:pt>
                <c:pt idx="26">
                  <c:v>-37</c:v>
                </c:pt>
                <c:pt idx="27">
                  <c:v>-36.5</c:v>
                </c:pt>
                <c:pt idx="28">
                  <c:v>-36</c:v>
                </c:pt>
                <c:pt idx="29">
                  <c:v>-35.5</c:v>
                </c:pt>
                <c:pt idx="30">
                  <c:v>-35</c:v>
                </c:pt>
                <c:pt idx="31">
                  <c:v>-34.5</c:v>
                </c:pt>
                <c:pt idx="32">
                  <c:v>-34</c:v>
                </c:pt>
                <c:pt idx="33">
                  <c:v>-33.5</c:v>
                </c:pt>
                <c:pt idx="34">
                  <c:v>-33</c:v>
                </c:pt>
                <c:pt idx="35">
                  <c:v>-32.5</c:v>
                </c:pt>
                <c:pt idx="36">
                  <c:v>-32</c:v>
                </c:pt>
                <c:pt idx="37">
                  <c:v>-31.5</c:v>
                </c:pt>
                <c:pt idx="38">
                  <c:v>-31</c:v>
                </c:pt>
                <c:pt idx="39">
                  <c:v>-30.5</c:v>
                </c:pt>
                <c:pt idx="40">
                  <c:v>-30</c:v>
                </c:pt>
                <c:pt idx="41">
                  <c:v>-29.5</c:v>
                </c:pt>
                <c:pt idx="42">
                  <c:v>-29</c:v>
                </c:pt>
                <c:pt idx="43">
                  <c:v>-28.5</c:v>
                </c:pt>
                <c:pt idx="44">
                  <c:v>-28</c:v>
                </c:pt>
                <c:pt idx="45">
                  <c:v>-27.5</c:v>
                </c:pt>
                <c:pt idx="46">
                  <c:v>-27</c:v>
                </c:pt>
                <c:pt idx="47">
                  <c:v>-26.5</c:v>
                </c:pt>
                <c:pt idx="48">
                  <c:v>-26</c:v>
                </c:pt>
                <c:pt idx="49">
                  <c:v>-25.5</c:v>
                </c:pt>
                <c:pt idx="50">
                  <c:v>-25</c:v>
                </c:pt>
                <c:pt idx="51">
                  <c:v>-24.5</c:v>
                </c:pt>
                <c:pt idx="52">
                  <c:v>-24</c:v>
                </c:pt>
                <c:pt idx="53">
                  <c:v>-23.5</c:v>
                </c:pt>
                <c:pt idx="54">
                  <c:v>-23</c:v>
                </c:pt>
                <c:pt idx="55">
                  <c:v>-22.5</c:v>
                </c:pt>
                <c:pt idx="56">
                  <c:v>-22</c:v>
                </c:pt>
                <c:pt idx="57">
                  <c:v>-21.5</c:v>
                </c:pt>
                <c:pt idx="58">
                  <c:v>-21</c:v>
                </c:pt>
                <c:pt idx="59">
                  <c:v>-20.5</c:v>
                </c:pt>
                <c:pt idx="60">
                  <c:v>-20</c:v>
                </c:pt>
                <c:pt idx="61">
                  <c:v>-19.5</c:v>
                </c:pt>
                <c:pt idx="62">
                  <c:v>-19</c:v>
                </c:pt>
                <c:pt idx="63">
                  <c:v>-18.5</c:v>
                </c:pt>
                <c:pt idx="64">
                  <c:v>-18</c:v>
                </c:pt>
                <c:pt idx="65">
                  <c:v>-17.5</c:v>
                </c:pt>
                <c:pt idx="66">
                  <c:v>-17</c:v>
                </c:pt>
                <c:pt idx="67">
                  <c:v>-16.5</c:v>
                </c:pt>
                <c:pt idx="68">
                  <c:v>-16</c:v>
                </c:pt>
                <c:pt idx="69">
                  <c:v>-15.5</c:v>
                </c:pt>
                <c:pt idx="70">
                  <c:v>-15</c:v>
                </c:pt>
                <c:pt idx="71">
                  <c:v>-14.5</c:v>
                </c:pt>
                <c:pt idx="72">
                  <c:v>-14</c:v>
                </c:pt>
                <c:pt idx="73">
                  <c:v>-13.5</c:v>
                </c:pt>
                <c:pt idx="74">
                  <c:v>-13</c:v>
                </c:pt>
                <c:pt idx="75">
                  <c:v>-12.5</c:v>
                </c:pt>
                <c:pt idx="76">
                  <c:v>-12</c:v>
                </c:pt>
                <c:pt idx="77">
                  <c:v>-11.5</c:v>
                </c:pt>
                <c:pt idx="78">
                  <c:v>-11</c:v>
                </c:pt>
                <c:pt idx="79">
                  <c:v>-10.5</c:v>
                </c:pt>
                <c:pt idx="80">
                  <c:v>-10</c:v>
                </c:pt>
                <c:pt idx="81">
                  <c:v>-9.5</c:v>
                </c:pt>
                <c:pt idx="82">
                  <c:v>-9</c:v>
                </c:pt>
                <c:pt idx="83">
                  <c:v>-8.5</c:v>
                </c:pt>
                <c:pt idx="84">
                  <c:v>-8</c:v>
                </c:pt>
                <c:pt idx="85">
                  <c:v>-7.5</c:v>
                </c:pt>
                <c:pt idx="86">
                  <c:v>-7</c:v>
                </c:pt>
                <c:pt idx="87">
                  <c:v>-6.5</c:v>
                </c:pt>
                <c:pt idx="88">
                  <c:v>-6</c:v>
                </c:pt>
                <c:pt idx="89">
                  <c:v>-5.5</c:v>
                </c:pt>
                <c:pt idx="90">
                  <c:v>-5</c:v>
                </c:pt>
                <c:pt idx="91">
                  <c:v>-4.5</c:v>
                </c:pt>
                <c:pt idx="92">
                  <c:v>-4</c:v>
                </c:pt>
                <c:pt idx="93">
                  <c:v>-3.5</c:v>
                </c:pt>
                <c:pt idx="94">
                  <c:v>-3</c:v>
                </c:pt>
                <c:pt idx="95">
                  <c:v>-2.5</c:v>
                </c:pt>
                <c:pt idx="96">
                  <c:v>-2</c:v>
                </c:pt>
                <c:pt idx="97">
                  <c:v>-1.5</c:v>
                </c:pt>
                <c:pt idx="98">
                  <c:v>-1</c:v>
                </c:pt>
                <c:pt idx="99">
                  <c:v>-0.5</c:v>
                </c:pt>
                <c:pt idx="100">
                  <c:v>0</c:v>
                </c:pt>
                <c:pt idx="101">
                  <c:v>0.5</c:v>
                </c:pt>
                <c:pt idx="102">
                  <c:v>1</c:v>
                </c:pt>
                <c:pt idx="103">
                  <c:v>1.5</c:v>
                </c:pt>
                <c:pt idx="104">
                  <c:v>2</c:v>
                </c:pt>
                <c:pt idx="105">
                  <c:v>2.5</c:v>
                </c:pt>
                <c:pt idx="106">
                  <c:v>3</c:v>
                </c:pt>
                <c:pt idx="107">
                  <c:v>3.5</c:v>
                </c:pt>
                <c:pt idx="108">
                  <c:v>4</c:v>
                </c:pt>
                <c:pt idx="109">
                  <c:v>4.5</c:v>
                </c:pt>
                <c:pt idx="110">
                  <c:v>5</c:v>
                </c:pt>
                <c:pt idx="111">
                  <c:v>5.5</c:v>
                </c:pt>
                <c:pt idx="112">
                  <c:v>6</c:v>
                </c:pt>
                <c:pt idx="113">
                  <c:v>6.5</c:v>
                </c:pt>
                <c:pt idx="114">
                  <c:v>7</c:v>
                </c:pt>
                <c:pt idx="115">
                  <c:v>7.5</c:v>
                </c:pt>
                <c:pt idx="116">
                  <c:v>8</c:v>
                </c:pt>
                <c:pt idx="117">
                  <c:v>8.5</c:v>
                </c:pt>
                <c:pt idx="118">
                  <c:v>9</c:v>
                </c:pt>
                <c:pt idx="119">
                  <c:v>9.5</c:v>
                </c:pt>
                <c:pt idx="120">
                  <c:v>10</c:v>
                </c:pt>
                <c:pt idx="121">
                  <c:v>10.5</c:v>
                </c:pt>
                <c:pt idx="122">
                  <c:v>11</c:v>
                </c:pt>
                <c:pt idx="123">
                  <c:v>11.5</c:v>
                </c:pt>
                <c:pt idx="124">
                  <c:v>12</c:v>
                </c:pt>
                <c:pt idx="125">
                  <c:v>12.5</c:v>
                </c:pt>
                <c:pt idx="126">
                  <c:v>13</c:v>
                </c:pt>
                <c:pt idx="127">
                  <c:v>13.5</c:v>
                </c:pt>
                <c:pt idx="128">
                  <c:v>14</c:v>
                </c:pt>
                <c:pt idx="129">
                  <c:v>14.5</c:v>
                </c:pt>
                <c:pt idx="130">
                  <c:v>15</c:v>
                </c:pt>
                <c:pt idx="131">
                  <c:v>15.5</c:v>
                </c:pt>
                <c:pt idx="132">
                  <c:v>16</c:v>
                </c:pt>
                <c:pt idx="133">
                  <c:v>16.5</c:v>
                </c:pt>
                <c:pt idx="134">
                  <c:v>17</c:v>
                </c:pt>
                <c:pt idx="135">
                  <c:v>17.5</c:v>
                </c:pt>
                <c:pt idx="136">
                  <c:v>18</c:v>
                </c:pt>
                <c:pt idx="137">
                  <c:v>18.5</c:v>
                </c:pt>
                <c:pt idx="138">
                  <c:v>19</c:v>
                </c:pt>
                <c:pt idx="139">
                  <c:v>19.5</c:v>
                </c:pt>
                <c:pt idx="140">
                  <c:v>20</c:v>
                </c:pt>
                <c:pt idx="141">
                  <c:v>20.5</c:v>
                </c:pt>
                <c:pt idx="142">
                  <c:v>21</c:v>
                </c:pt>
                <c:pt idx="143">
                  <c:v>21.5</c:v>
                </c:pt>
                <c:pt idx="144">
                  <c:v>22</c:v>
                </c:pt>
                <c:pt idx="145">
                  <c:v>22.5</c:v>
                </c:pt>
                <c:pt idx="146">
                  <c:v>23</c:v>
                </c:pt>
                <c:pt idx="147">
                  <c:v>23.5</c:v>
                </c:pt>
                <c:pt idx="148">
                  <c:v>24</c:v>
                </c:pt>
                <c:pt idx="149">
                  <c:v>24.5</c:v>
                </c:pt>
                <c:pt idx="150">
                  <c:v>25</c:v>
                </c:pt>
                <c:pt idx="151">
                  <c:v>25.5</c:v>
                </c:pt>
                <c:pt idx="152">
                  <c:v>26</c:v>
                </c:pt>
                <c:pt idx="153">
                  <c:v>26.5</c:v>
                </c:pt>
                <c:pt idx="154">
                  <c:v>27</c:v>
                </c:pt>
                <c:pt idx="155">
                  <c:v>27.5</c:v>
                </c:pt>
                <c:pt idx="156">
                  <c:v>28</c:v>
                </c:pt>
                <c:pt idx="157">
                  <c:v>28.5</c:v>
                </c:pt>
                <c:pt idx="158">
                  <c:v>29</c:v>
                </c:pt>
                <c:pt idx="159">
                  <c:v>29.5</c:v>
                </c:pt>
                <c:pt idx="160">
                  <c:v>30</c:v>
                </c:pt>
                <c:pt idx="161">
                  <c:v>30.5</c:v>
                </c:pt>
                <c:pt idx="162">
                  <c:v>31</c:v>
                </c:pt>
                <c:pt idx="163">
                  <c:v>31.5</c:v>
                </c:pt>
                <c:pt idx="164">
                  <c:v>32</c:v>
                </c:pt>
                <c:pt idx="165">
                  <c:v>32.5</c:v>
                </c:pt>
                <c:pt idx="166">
                  <c:v>33</c:v>
                </c:pt>
                <c:pt idx="167">
                  <c:v>33.5</c:v>
                </c:pt>
                <c:pt idx="168">
                  <c:v>34</c:v>
                </c:pt>
                <c:pt idx="169">
                  <c:v>34.5</c:v>
                </c:pt>
                <c:pt idx="170">
                  <c:v>35</c:v>
                </c:pt>
                <c:pt idx="171">
                  <c:v>35.5</c:v>
                </c:pt>
                <c:pt idx="172">
                  <c:v>36</c:v>
                </c:pt>
                <c:pt idx="173">
                  <c:v>36.5</c:v>
                </c:pt>
                <c:pt idx="174">
                  <c:v>37</c:v>
                </c:pt>
                <c:pt idx="175">
                  <c:v>37.5</c:v>
                </c:pt>
                <c:pt idx="176">
                  <c:v>38</c:v>
                </c:pt>
                <c:pt idx="177">
                  <c:v>38.5</c:v>
                </c:pt>
                <c:pt idx="178">
                  <c:v>39</c:v>
                </c:pt>
                <c:pt idx="179">
                  <c:v>39.5</c:v>
                </c:pt>
                <c:pt idx="180">
                  <c:v>40</c:v>
                </c:pt>
                <c:pt idx="181">
                  <c:v>40.5</c:v>
                </c:pt>
                <c:pt idx="182">
                  <c:v>41</c:v>
                </c:pt>
                <c:pt idx="183">
                  <c:v>41.5</c:v>
                </c:pt>
                <c:pt idx="184">
                  <c:v>42</c:v>
                </c:pt>
                <c:pt idx="185">
                  <c:v>42.5</c:v>
                </c:pt>
                <c:pt idx="186">
                  <c:v>43</c:v>
                </c:pt>
                <c:pt idx="187">
                  <c:v>43.5</c:v>
                </c:pt>
                <c:pt idx="188">
                  <c:v>44</c:v>
                </c:pt>
                <c:pt idx="189">
                  <c:v>44.5</c:v>
                </c:pt>
                <c:pt idx="190">
                  <c:v>45</c:v>
                </c:pt>
                <c:pt idx="191">
                  <c:v>45.5</c:v>
                </c:pt>
                <c:pt idx="192">
                  <c:v>46</c:v>
                </c:pt>
                <c:pt idx="193">
                  <c:v>46.5</c:v>
                </c:pt>
                <c:pt idx="194">
                  <c:v>47</c:v>
                </c:pt>
                <c:pt idx="195">
                  <c:v>47.5</c:v>
                </c:pt>
                <c:pt idx="196">
                  <c:v>48</c:v>
                </c:pt>
                <c:pt idx="197">
                  <c:v>48.5</c:v>
                </c:pt>
                <c:pt idx="198">
                  <c:v>49</c:v>
                </c:pt>
                <c:pt idx="199">
                  <c:v>49.5</c:v>
                </c:pt>
                <c:pt idx="200">
                  <c:v>50</c:v>
                </c:pt>
              </c:numCache>
            </c:numRef>
          </c:xVal>
          <c:yVal>
            <c:numRef>
              <c:f>'subsidence profile with z_0'!$E$16:$E$216</c:f>
              <c:numCache>
                <c:formatCode>0.000</c:formatCode>
                <c:ptCount val="201"/>
                <c:pt idx="0">
                  <c:v>-2.2902859179500746E-20</c:v>
                </c:pt>
                <c:pt idx="1">
                  <c:v>-6.0451749036181212E-20</c:v>
                </c:pt>
                <c:pt idx="2">
                  <c:v>-1.5801258032103983E-19</c:v>
                </c:pt>
                <c:pt idx="3">
                  <c:v>-4.0901391745196983E-19</c:v>
                </c:pt>
                <c:pt idx="4">
                  <c:v>-1.0484509878236641E-18</c:v>
                </c:pt>
                <c:pt idx="5">
                  <c:v>-2.6614714203300807E-18</c:v>
                </c:pt>
                <c:pt idx="6">
                  <c:v>-6.6905081973203257E-18</c:v>
                </c:pt>
                <c:pt idx="7">
                  <c:v>-1.6655590469276557E-17</c:v>
                </c:pt>
                <c:pt idx="8">
                  <c:v>-4.1060533407078138E-17</c:v>
                </c:pt>
                <c:pt idx="9">
                  <c:v>-1.0024270247592855E-16</c:v>
                </c:pt>
                <c:pt idx="10">
                  <c:v>-2.4235086404376054E-16</c:v>
                </c:pt>
                <c:pt idx="11">
                  <c:v>-5.8022976651483097E-16</c:v>
                </c:pt>
                <c:pt idx="12">
                  <c:v>-1.3756851960525325E-15</c:v>
                </c:pt>
                <c:pt idx="13">
                  <c:v>-3.2299942496630162E-15</c:v>
                </c:pt>
                <c:pt idx="14">
                  <c:v>-7.51014048438088E-15</c:v>
                </c:pt>
                <c:pt idx="15">
                  <c:v>-1.7292508556453812E-14</c:v>
                </c:pt>
                <c:pt idx="16">
                  <c:v>-3.9430434608611798E-14</c:v>
                </c:pt>
                <c:pt idx="17">
                  <c:v>-8.9036638481005114E-14</c:v>
                </c:pt>
                <c:pt idx="18">
                  <c:v>-1.990992264845315E-13</c:v>
                </c:pt>
                <c:pt idx="19">
                  <c:v>-4.4089382555510129E-13</c:v>
                </c:pt>
                <c:pt idx="20">
                  <c:v>-9.6685664719987778E-13</c:v>
                </c:pt>
                <c:pt idx="21">
                  <c:v>-2.0996832531593655E-12</c:v>
                </c:pt>
                <c:pt idx="22">
                  <c:v>-4.5155339077460929E-12</c:v>
                </c:pt>
                <c:pt idx="23">
                  <c:v>-9.616744055685071E-12</c:v>
                </c:pt>
                <c:pt idx="24">
                  <c:v>-2.0281993259063779E-11</c:v>
                </c:pt>
                <c:pt idx="25">
                  <c:v>-4.2360086359802726E-11</c:v>
                </c:pt>
                <c:pt idx="26">
                  <c:v>-8.7612619648193657E-11</c:v>
                </c:pt>
                <c:pt idx="27">
                  <c:v>-1.7944861955777556E-10</c:v>
                </c:pt>
                <c:pt idx="28">
                  <c:v>-3.6397973456516777E-10</c:v>
                </c:pt>
                <c:pt idx="29">
                  <c:v>-7.3110189999865529E-10</c:v>
                </c:pt>
                <c:pt idx="30">
                  <c:v>-1.4542606321356737E-9</c:v>
                </c:pt>
                <c:pt idx="31">
                  <c:v>-2.8646410375331706E-9</c:v>
                </c:pt>
                <c:pt idx="32">
                  <c:v>-5.5880694770536888E-9</c:v>
                </c:pt>
                <c:pt idx="33">
                  <c:v>-1.0794859931485709E-8</c:v>
                </c:pt>
                <c:pt idx="34">
                  <c:v>-2.0650751107347808E-8</c:v>
                </c:pt>
                <c:pt idx="35">
                  <c:v>-3.9121754166536616E-8</c:v>
                </c:pt>
                <c:pt idx="36">
                  <c:v>-7.3394651643848121E-8</c:v>
                </c:pt>
                <c:pt idx="37">
                  <c:v>-1.3635596264327012E-7</c:v>
                </c:pt>
                <c:pt idx="38">
                  <c:v>-2.5086927829543355E-7</c:v>
                </c:pt>
                <c:pt idx="39">
                  <c:v>-4.5707182753291931E-7</c:v>
                </c:pt>
                <c:pt idx="40">
                  <c:v>-8.246792231800731E-7</c:v>
                </c:pt>
                <c:pt idx="41">
                  <c:v>-1.4734970788324906E-6</c:v>
                </c:pt>
                <c:pt idx="42">
                  <c:v>-2.6072167147519811E-6</c:v>
                </c:pt>
                <c:pt idx="43">
                  <c:v>-4.5684472079825379E-6</c:v>
                </c:pt>
                <c:pt idx="44">
                  <c:v>-7.9272711993235595E-6</c:v>
                </c:pt>
                <c:pt idx="45">
                  <c:v>-1.362204930643622E-5</c:v>
                </c:pt>
                <c:pt idx="46">
                  <c:v>-2.3180607115358304E-5</c:v>
                </c:pt>
                <c:pt idx="47">
                  <c:v>-3.9063467485448717E-5</c:v>
                </c:pt>
                <c:pt idx="48">
                  <c:v>-6.5189913115339419E-5</c:v>
                </c:pt>
                <c:pt idx="49">
                  <c:v>-1.0773421210853546E-4</c:v>
                </c:pt>
                <c:pt idx="50">
                  <c:v>-1.7631550444402227E-4</c:v>
                </c:pt>
                <c:pt idx="51">
                  <c:v>-2.8575312897513507E-4</c:v>
                </c:pt>
                <c:pt idx="52">
                  <c:v>-4.5862224046169998E-4</c:v>
                </c:pt>
                <c:pt idx="53">
                  <c:v>-7.2892501607753682E-4</c:v>
                </c:pt>
                <c:pt idx="54">
                  <c:v>-1.1472926861809082E-3</c:v>
                </c:pt>
                <c:pt idx="55">
                  <c:v>-1.7882540669679394E-3</c:v>
                </c:pt>
                <c:pt idx="56">
                  <c:v>-2.7602463499718142E-3</c:v>
                </c:pt>
                <c:pt idx="57">
                  <c:v>-4.2191998164360159E-3</c:v>
                </c:pt>
                <c:pt idx="58">
                  <c:v>-6.3866919501622196E-3</c:v>
                </c:pt>
                <c:pt idx="59">
                  <c:v>-9.5738247080107471E-3</c:v>
                </c:pt>
                <c:pt idx="60">
                  <c:v>-1.4212111306964273E-2</c:v>
                </c:pt>
                <c:pt idx="61">
                  <c:v>-2.089273786146718E-2</c:v>
                </c:pt>
                <c:pt idx="62">
                  <c:v>-3.0415554388768348E-2</c:v>
                </c:pt>
                <c:pt idx="63">
                  <c:v>-4.3849005183233446E-2</c:v>
                </c:pt>
                <c:pt idx="64">
                  <c:v>-6.2601880515083239E-2</c:v>
                </c:pt>
                <c:pt idx="65">
                  <c:v>-8.8507207850749531E-2</c:v>
                </c:pt>
                <c:pt idx="66">
                  <c:v>-0.12391775237915163</c:v>
                </c:pt>
                <c:pt idx="67">
                  <c:v>-0.17181142560719104</c:v>
                </c:pt>
                <c:pt idx="68">
                  <c:v>-0.23590338990251322</c:v>
                </c:pt>
                <c:pt idx="69">
                  <c:v>-0.32075981063952785</c:v>
                </c:pt>
                <c:pt idx="70">
                  <c:v>-0.43190610375806343</c:v>
                </c:pt>
                <c:pt idx="71">
                  <c:v>-0.5759202661255296</c:v>
                </c:pt>
                <c:pt idx="72">
                  <c:v>-0.76049963040656021</c:v>
                </c:pt>
                <c:pt idx="73">
                  <c:v>-0.99448738813261139</c:v>
                </c:pt>
                <c:pt idx="74">
                  <c:v>-1.2878437625070589</c:v>
                </c:pt>
                <c:pt idx="75">
                  <c:v>-1.6515461135040732</c:v>
                </c:pt>
                <c:pt idx="76">
                  <c:v>-2.0974028616687219</c:v>
                </c:pt>
                <c:pt idx="77">
                  <c:v>-2.6377682383652852</c:v>
                </c:pt>
                <c:pt idx="78">
                  <c:v>-3.2851487529030639</c:v>
                </c:pt>
                <c:pt idx="79">
                  <c:v>-4.0516980335664501</c:v>
                </c:pt>
                <c:pt idx="80">
                  <c:v>-4.9486043020439059</c:v>
                </c:pt>
                <c:pt idx="81">
                  <c:v>-5.9853839195033265</c:v>
                </c:pt>
                <c:pt idx="82">
                  <c:v>-7.1691047020006202</c:v>
                </c:pt>
                <c:pt idx="83">
                  <c:v>-8.5035733111081964</c:v>
                </c:pt>
                <c:pt idx="84">
                  <c:v>-9.9885310442478765</c:v>
                </c:pt>
                <c:pt idx="85">
                  <c:v>-11.618910696520354</c:v>
                </c:pt>
                <c:pt idx="86">
                  <c:v>-13.384212711942133</c:v>
                </c:pt>
                <c:pt idx="87">
                  <c:v>-15.2680605297373</c:v>
                </c:pt>
                <c:pt idx="88">
                  <c:v>-17.247992011641482</c:v>
                </c:pt>
                <c:pt idx="89">
                  <c:v>-19.295535602539275</c:v>
                </c:pt>
                <c:pt idx="90">
                  <c:v>-21.376606380175883</c:v>
                </c:pt>
                <c:pt idx="91">
                  <c:v>-23.452238875636738</c:v>
                </c:pt>
                <c:pt idx="92">
                  <c:v>-25.479651537439185</c:v>
                </c:pt>
                <c:pt idx="93">
                  <c:v>-27.413613525881665</c:v>
                </c:pt>
                <c:pt idx="94">
                  <c:v>-29.208060122381955</c:v>
                </c:pt>
                <c:pt idx="95">
                  <c:v>-30.817880614085034</c:v>
                </c:pt>
                <c:pt idx="96">
                  <c:v>-32.200784272723311</c:v>
                </c:pt>
                <c:pt idx="97">
                  <c:v>-33.31913796519629</c:v>
                </c:pt>
                <c:pt idx="98">
                  <c:v>-34.141664524298243</c:v>
                </c:pt>
                <c:pt idx="99">
                  <c:v>-34.644895122904202</c:v>
                </c:pt>
                <c:pt idx="100">
                  <c:v>-34.814281592097238</c:v>
                </c:pt>
                <c:pt idx="101">
                  <c:v>-34.644895122904202</c:v>
                </c:pt>
                <c:pt idx="102">
                  <c:v>-34.141664524298243</c:v>
                </c:pt>
                <c:pt idx="103">
                  <c:v>-33.31913796519629</c:v>
                </c:pt>
                <c:pt idx="104">
                  <c:v>-32.200784272723311</c:v>
                </c:pt>
                <c:pt idx="105">
                  <c:v>-30.817880614085034</c:v>
                </c:pt>
                <c:pt idx="106">
                  <c:v>-29.208060122381955</c:v>
                </c:pt>
                <c:pt idx="107">
                  <c:v>-27.413613525881665</c:v>
                </c:pt>
                <c:pt idx="108">
                  <c:v>-25.479651537439185</c:v>
                </c:pt>
                <c:pt idx="109">
                  <c:v>-23.452238875636738</c:v>
                </c:pt>
                <c:pt idx="110">
                  <c:v>-21.376606380175883</c:v>
                </c:pt>
                <c:pt idx="111">
                  <c:v>-19.295535602539275</c:v>
                </c:pt>
                <c:pt idx="112">
                  <c:v>-17.247992011641482</c:v>
                </c:pt>
                <c:pt idx="113">
                  <c:v>-15.2680605297373</c:v>
                </c:pt>
                <c:pt idx="114">
                  <c:v>-13.384212711942133</c:v>
                </c:pt>
                <c:pt idx="115">
                  <c:v>-11.618910696520354</c:v>
                </c:pt>
                <c:pt idx="116">
                  <c:v>-9.9885310442478765</c:v>
                </c:pt>
                <c:pt idx="117">
                  <c:v>-8.5035733111081964</c:v>
                </c:pt>
                <c:pt idx="118">
                  <c:v>-7.1691047020006202</c:v>
                </c:pt>
                <c:pt idx="119">
                  <c:v>-5.9853839195033265</c:v>
                </c:pt>
                <c:pt idx="120">
                  <c:v>-4.9486043020439059</c:v>
                </c:pt>
                <c:pt idx="121">
                  <c:v>-4.0516980335664501</c:v>
                </c:pt>
                <c:pt idx="122">
                  <c:v>-3.2851487529030639</c:v>
                </c:pt>
                <c:pt idx="123">
                  <c:v>-2.6377682383652852</c:v>
                </c:pt>
                <c:pt idx="124">
                  <c:v>-2.0974028616687219</c:v>
                </c:pt>
                <c:pt idx="125">
                  <c:v>-1.6515461135040732</c:v>
                </c:pt>
                <c:pt idx="126">
                  <c:v>-1.2878437625070589</c:v>
                </c:pt>
                <c:pt idx="127">
                  <c:v>-0.99448738813261139</c:v>
                </c:pt>
                <c:pt idx="128">
                  <c:v>-0.76049963040656021</c:v>
                </c:pt>
                <c:pt idx="129">
                  <c:v>-0.5759202661255296</c:v>
                </c:pt>
                <c:pt idx="130">
                  <c:v>-0.43190610375806343</c:v>
                </c:pt>
                <c:pt idx="131">
                  <c:v>-0.32075981063952785</c:v>
                </c:pt>
                <c:pt idx="132">
                  <c:v>-0.23590338990251322</c:v>
                </c:pt>
                <c:pt idx="133">
                  <c:v>-0.17181142560719104</c:v>
                </c:pt>
                <c:pt idx="134">
                  <c:v>-0.12391775237915163</c:v>
                </c:pt>
                <c:pt idx="135">
                  <c:v>-8.8507207850749531E-2</c:v>
                </c:pt>
                <c:pt idx="136">
                  <c:v>-6.2601880515083239E-2</c:v>
                </c:pt>
                <c:pt idx="137">
                  <c:v>-4.3849005183233446E-2</c:v>
                </c:pt>
                <c:pt idx="138">
                  <c:v>-3.0415554388768348E-2</c:v>
                </c:pt>
                <c:pt idx="139">
                  <c:v>-2.089273786146718E-2</c:v>
                </c:pt>
                <c:pt idx="140">
                  <c:v>-1.4212111306964273E-2</c:v>
                </c:pt>
                <c:pt idx="141">
                  <c:v>-9.5738247080107471E-3</c:v>
                </c:pt>
                <c:pt idx="142">
                  <c:v>-6.3866919501622196E-3</c:v>
                </c:pt>
                <c:pt idx="143">
                  <c:v>-4.2191998164360159E-3</c:v>
                </c:pt>
                <c:pt idx="144">
                  <c:v>-2.7602463499718142E-3</c:v>
                </c:pt>
                <c:pt idx="145">
                  <c:v>-1.7882540669679394E-3</c:v>
                </c:pt>
                <c:pt idx="146">
                  <c:v>-1.1472926861809082E-3</c:v>
                </c:pt>
                <c:pt idx="147">
                  <c:v>-7.2892501607753682E-4</c:v>
                </c:pt>
                <c:pt idx="148">
                  <c:v>-4.5862224046169998E-4</c:v>
                </c:pt>
                <c:pt idx="149">
                  <c:v>-2.8575312897513507E-4</c:v>
                </c:pt>
                <c:pt idx="150">
                  <c:v>-1.7631550444402227E-4</c:v>
                </c:pt>
                <c:pt idx="151">
                  <c:v>-1.0773421210853546E-4</c:v>
                </c:pt>
                <c:pt idx="152">
                  <c:v>-6.5189913115339419E-5</c:v>
                </c:pt>
                <c:pt idx="153">
                  <c:v>-3.9063467485448717E-5</c:v>
                </c:pt>
                <c:pt idx="154">
                  <c:v>-2.3180607115358304E-5</c:v>
                </c:pt>
                <c:pt idx="155">
                  <c:v>-1.362204930643622E-5</c:v>
                </c:pt>
                <c:pt idx="156">
                  <c:v>-7.9272711993235595E-6</c:v>
                </c:pt>
                <c:pt idx="157">
                  <c:v>-4.5684472079825379E-6</c:v>
                </c:pt>
                <c:pt idx="158">
                  <c:v>-2.6072167147519811E-6</c:v>
                </c:pt>
                <c:pt idx="159">
                  <c:v>-1.4734970788324906E-6</c:v>
                </c:pt>
                <c:pt idx="160">
                  <c:v>-8.246792231800731E-7</c:v>
                </c:pt>
                <c:pt idx="161">
                  <c:v>-4.5707182753291931E-7</c:v>
                </c:pt>
                <c:pt idx="162">
                  <c:v>-2.5086927829543355E-7</c:v>
                </c:pt>
                <c:pt idx="163">
                  <c:v>-1.3635596264327012E-7</c:v>
                </c:pt>
                <c:pt idx="164">
                  <c:v>-7.3394651643848121E-8</c:v>
                </c:pt>
                <c:pt idx="165">
                  <c:v>-3.9121754166536616E-8</c:v>
                </c:pt>
                <c:pt idx="166">
                  <c:v>-2.0650751107347808E-8</c:v>
                </c:pt>
                <c:pt idx="167">
                  <c:v>-1.0794859931485709E-8</c:v>
                </c:pt>
                <c:pt idx="168">
                  <c:v>-5.5880694770536888E-9</c:v>
                </c:pt>
                <c:pt idx="169">
                  <c:v>-2.8646410375331706E-9</c:v>
                </c:pt>
                <c:pt idx="170">
                  <c:v>-1.4542606321356737E-9</c:v>
                </c:pt>
                <c:pt idx="171">
                  <c:v>-7.3110189999865529E-10</c:v>
                </c:pt>
                <c:pt idx="172">
                  <c:v>-3.6397973456516777E-10</c:v>
                </c:pt>
                <c:pt idx="173">
                  <c:v>-1.7944861955777556E-10</c:v>
                </c:pt>
                <c:pt idx="174">
                  <c:v>-8.7612619648193657E-11</c:v>
                </c:pt>
                <c:pt idx="175">
                  <c:v>-4.2360086359802726E-11</c:v>
                </c:pt>
                <c:pt idx="176">
                  <c:v>-2.0281993259063779E-11</c:v>
                </c:pt>
                <c:pt idx="177">
                  <c:v>-9.616744055685071E-12</c:v>
                </c:pt>
                <c:pt idx="178">
                  <c:v>-4.5155339077460929E-12</c:v>
                </c:pt>
                <c:pt idx="179">
                  <c:v>-2.0996832531593655E-12</c:v>
                </c:pt>
                <c:pt idx="180">
                  <c:v>-9.6685664719987778E-13</c:v>
                </c:pt>
                <c:pt idx="181">
                  <c:v>-4.4089382555510129E-13</c:v>
                </c:pt>
                <c:pt idx="182">
                  <c:v>-1.990992264845315E-13</c:v>
                </c:pt>
                <c:pt idx="183">
                  <c:v>-8.9036638481005114E-14</c:v>
                </c:pt>
                <c:pt idx="184">
                  <c:v>-3.9430434608611798E-14</c:v>
                </c:pt>
                <c:pt idx="185">
                  <c:v>-1.7292508556453812E-14</c:v>
                </c:pt>
                <c:pt idx="186">
                  <c:v>-7.51014048438088E-15</c:v>
                </c:pt>
                <c:pt idx="187">
                  <c:v>-3.2299942496630162E-15</c:v>
                </c:pt>
                <c:pt idx="188">
                  <c:v>-1.3756851960525325E-15</c:v>
                </c:pt>
                <c:pt idx="189">
                  <c:v>-5.8022976651483097E-16</c:v>
                </c:pt>
                <c:pt idx="190">
                  <c:v>-2.4235086404376054E-16</c:v>
                </c:pt>
                <c:pt idx="191">
                  <c:v>-1.0024270247592855E-16</c:v>
                </c:pt>
                <c:pt idx="192">
                  <c:v>-4.1060533407078138E-17</c:v>
                </c:pt>
                <c:pt idx="193">
                  <c:v>-1.6655590469276557E-17</c:v>
                </c:pt>
                <c:pt idx="194">
                  <c:v>-6.6905081973203257E-18</c:v>
                </c:pt>
                <c:pt idx="195">
                  <c:v>-2.6614714203300807E-18</c:v>
                </c:pt>
                <c:pt idx="196">
                  <c:v>-1.0484509878236641E-18</c:v>
                </c:pt>
                <c:pt idx="197">
                  <c:v>-4.0901391745196983E-19</c:v>
                </c:pt>
                <c:pt idx="198">
                  <c:v>-1.5801258032103983E-19</c:v>
                </c:pt>
                <c:pt idx="199">
                  <c:v>-6.0451749036181212E-20</c:v>
                </c:pt>
                <c:pt idx="200">
                  <c:v>-2.2902859179500746E-20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17-4584-944C-2924456285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825792"/>
        <c:axId val="295827712"/>
      </c:scatterChart>
      <c:valAx>
        <c:axId val="295825792"/>
        <c:scaling>
          <c:orientation val="minMax"/>
          <c:max val="30"/>
          <c:min val="-3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it-IT"/>
                  <a:t>ASCISSA TRASVERSALE all'ASSE della GALLERIA (m)</a:t>
                </a:r>
              </a:p>
            </c:rich>
          </c:tx>
          <c:layout>
            <c:manualLayout>
              <c:xMode val="edge"/>
              <c:yMode val="edge"/>
              <c:x val="0.15594059405940594"/>
              <c:y val="0.147982062780269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295827712"/>
        <c:crosses val="autoZero"/>
        <c:crossBetween val="midCat"/>
      </c:valAx>
      <c:valAx>
        <c:axId val="295827712"/>
        <c:scaling>
          <c:orientation val="minMax"/>
          <c:max val="2.5"/>
          <c:min val="-30"/>
        </c:scaling>
        <c:delete val="0"/>
        <c:axPos val="l"/>
        <c:title>
          <c:tx>
            <c:rich>
              <a:bodyPr/>
              <a:lstStyle/>
              <a:p>
                <a:pPr>
                  <a:defRPr sz="1525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it-IT"/>
                  <a:t>W (mm)</a:t>
                </a:r>
              </a:p>
            </c:rich>
          </c:tx>
          <c:layout>
            <c:manualLayout>
              <c:xMode val="edge"/>
              <c:yMode val="edge"/>
              <c:x val="1.2376237623762377E-2"/>
              <c:y val="0.5179372197309417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295825792"/>
        <c:crossesAt val="0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25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it-IT"/>
              <a:t>CONCHE DI SUBSIDENZA CON L'ALTEZZA DI COPERTURA</a:t>
            </a:r>
          </a:p>
        </c:rich>
      </c:tx>
      <c:layout>
        <c:manualLayout>
          <c:xMode val="edge"/>
          <c:yMode val="edge"/>
          <c:x val="0.22807070168860469"/>
          <c:y val="1.103752759381898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779477452120174"/>
          <c:y val="0.24944866137352842"/>
          <c:w val="0.75438781129535581"/>
          <c:h val="0.6777056552360462"/>
        </c:manualLayout>
      </c:layout>
      <c:scatterChart>
        <c:scatterStyle val="lineMarker"/>
        <c:varyColors val="0"/>
        <c:ser>
          <c:idx val="3"/>
          <c:order val="0"/>
          <c:tx>
            <c:v>NUMERICO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363F-4D9E-90D9-171EDEDA2751}"/>
            </c:ext>
          </c:extLst>
        </c:ser>
        <c:ser>
          <c:idx val="0"/>
          <c:order val="1"/>
          <c:tx>
            <c:v>EMPIRICO</c:v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'subsidence profile with z_0'!$B$16:$B$216</c:f>
              <c:numCache>
                <c:formatCode>0.000</c:formatCode>
                <c:ptCount val="201"/>
                <c:pt idx="0">
                  <c:v>-50</c:v>
                </c:pt>
                <c:pt idx="1">
                  <c:v>-49.5</c:v>
                </c:pt>
                <c:pt idx="2">
                  <c:v>-49</c:v>
                </c:pt>
                <c:pt idx="3">
                  <c:v>-48.5</c:v>
                </c:pt>
                <c:pt idx="4">
                  <c:v>-48</c:v>
                </c:pt>
                <c:pt idx="5">
                  <c:v>-47.5</c:v>
                </c:pt>
                <c:pt idx="6">
                  <c:v>-47</c:v>
                </c:pt>
                <c:pt idx="7">
                  <c:v>-46.5</c:v>
                </c:pt>
                <c:pt idx="8">
                  <c:v>-46</c:v>
                </c:pt>
                <c:pt idx="9">
                  <c:v>-45.5</c:v>
                </c:pt>
                <c:pt idx="10">
                  <c:v>-45</c:v>
                </c:pt>
                <c:pt idx="11">
                  <c:v>-44.5</c:v>
                </c:pt>
                <c:pt idx="12">
                  <c:v>-44</c:v>
                </c:pt>
                <c:pt idx="13">
                  <c:v>-43.5</c:v>
                </c:pt>
                <c:pt idx="14">
                  <c:v>-43</c:v>
                </c:pt>
                <c:pt idx="15">
                  <c:v>-42.5</c:v>
                </c:pt>
                <c:pt idx="16">
                  <c:v>-42</c:v>
                </c:pt>
                <c:pt idx="17">
                  <c:v>-41.5</c:v>
                </c:pt>
                <c:pt idx="18">
                  <c:v>-41</c:v>
                </c:pt>
                <c:pt idx="19">
                  <c:v>-40.5</c:v>
                </c:pt>
                <c:pt idx="20">
                  <c:v>-40</c:v>
                </c:pt>
                <c:pt idx="21">
                  <c:v>-39.5</c:v>
                </c:pt>
                <c:pt idx="22">
                  <c:v>-39</c:v>
                </c:pt>
                <c:pt idx="23">
                  <c:v>-38.5</c:v>
                </c:pt>
                <c:pt idx="24">
                  <c:v>-38</c:v>
                </c:pt>
                <c:pt idx="25">
                  <c:v>-37.5</c:v>
                </c:pt>
                <c:pt idx="26">
                  <c:v>-37</c:v>
                </c:pt>
                <c:pt idx="27">
                  <c:v>-36.5</c:v>
                </c:pt>
                <c:pt idx="28">
                  <c:v>-36</c:v>
                </c:pt>
                <c:pt idx="29">
                  <c:v>-35.5</c:v>
                </c:pt>
                <c:pt idx="30">
                  <c:v>-35</c:v>
                </c:pt>
                <c:pt idx="31">
                  <c:v>-34.5</c:v>
                </c:pt>
                <c:pt idx="32">
                  <c:v>-34</c:v>
                </c:pt>
                <c:pt idx="33">
                  <c:v>-33.5</c:v>
                </c:pt>
                <c:pt idx="34">
                  <c:v>-33</c:v>
                </c:pt>
                <c:pt idx="35">
                  <c:v>-32.5</c:v>
                </c:pt>
                <c:pt idx="36">
                  <c:v>-32</c:v>
                </c:pt>
                <c:pt idx="37">
                  <c:v>-31.5</c:v>
                </c:pt>
                <c:pt idx="38">
                  <c:v>-31</c:v>
                </c:pt>
                <c:pt idx="39">
                  <c:v>-30.5</c:v>
                </c:pt>
                <c:pt idx="40">
                  <c:v>-30</c:v>
                </c:pt>
                <c:pt idx="41">
                  <c:v>-29.5</c:v>
                </c:pt>
                <c:pt idx="42">
                  <c:v>-29</c:v>
                </c:pt>
                <c:pt idx="43">
                  <c:v>-28.5</c:v>
                </c:pt>
                <c:pt idx="44">
                  <c:v>-28</c:v>
                </c:pt>
                <c:pt idx="45">
                  <c:v>-27.5</c:v>
                </c:pt>
                <c:pt idx="46">
                  <c:v>-27</c:v>
                </c:pt>
                <c:pt idx="47">
                  <c:v>-26.5</c:v>
                </c:pt>
                <c:pt idx="48">
                  <c:v>-26</c:v>
                </c:pt>
                <c:pt idx="49">
                  <c:v>-25.5</c:v>
                </c:pt>
                <c:pt idx="50">
                  <c:v>-25</c:v>
                </c:pt>
                <c:pt idx="51">
                  <c:v>-24.5</c:v>
                </c:pt>
                <c:pt idx="52">
                  <c:v>-24</c:v>
                </c:pt>
                <c:pt idx="53">
                  <c:v>-23.5</c:v>
                </c:pt>
                <c:pt idx="54">
                  <c:v>-23</c:v>
                </c:pt>
                <c:pt idx="55">
                  <c:v>-22.5</c:v>
                </c:pt>
                <c:pt idx="56">
                  <c:v>-22</c:v>
                </c:pt>
                <c:pt idx="57">
                  <c:v>-21.5</c:v>
                </c:pt>
                <c:pt idx="58">
                  <c:v>-21</c:v>
                </c:pt>
                <c:pt idx="59">
                  <c:v>-20.5</c:v>
                </c:pt>
                <c:pt idx="60">
                  <c:v>-20</c:v>
                </c:pt>
                <c:pt idx="61">
                  <c:v>-19.5</c:v>
                </c:pt>
                <c:pt idx="62">
                  <c:v>-19</c:v>
                </c:pt>
                <c:pt idx="63">
                  <c:v>-18.5</c:v>
                </c:pt>
                <c:pt idx="64">
                  <c:v>-18</c:v>
                </c:pt>
                <c:pt idx="65">
                  <c:v>-17.5</c:v>
                </c:pt>
                <c:pt idx="66">
                  <c:v>-17</c:v>
                </c:pt>
                <c:pt idx="67">
                  <c:v>-16.5</c:v>
                </c:pt>
                <c:pt idx="68">
                  <c:v>-16</c:v>
                </c:pt>
                <c:pt idx="69">
                  <c:v>-15.5</c:v>
                </c:pt>
                <c:pt idx="70">
                  <c:v>-15</c:v>
                </c:pt>
                <c:pt idx="71">
                  <c:v>-14.5</c:v>
                </c:pt>
                <c:pt idx="72">
                  <c:v>-14</c:v>
                </c:pt>
                <c:pt idx="73">
                  <c:v>-13.5</c:v>
                </c:pt>
                <c:pt idx="74">
                  <c:v>-13</c:v>
                </c:pt>
                <c:pt idx="75">
                  <c:v>-12.5</c:v>
                </c:pt>
                <c:pt idx="76">
                  <c:v>-12</c:v>
                </c:pt>
                <c:pt idx="77">
                  <c:v>-11.5</c:v>
                </c:pt>
                <c:pt idx="78">
                  <c:v>-11</c:v>
                </c:pt>
                <c:pt idx="79">
                  <c:v>-10.5</c:v>
                </c:pt>
                <c:pt idx="80">
                  <c:v>-10</c:v>
                </c:pt>
                <c:pt idx="81">
                  <c:v>-9.5</c:v>
                </c:pt>
                <c:pt idx="82">
                  <c:v>-9</c:v>
                </c:pt>
                <c:pt idx="83">
                  <c:v>-8.5</c:v>
                </c:pt>
                <c:pt idx="84">
                  <c:v>-8</c:v>
                </c:pt>
                <c:pt idx="85">
                  <c:v>-7.5</c:v>
                </c:pt>
                <c:pt idx="86">
                  <c:v>-7</c:v>
                </c:pt>
                <c:pt idx="87">
                  <c:v>-6.5</c:v>
                </c:pt>
                <c:pt idx="88">
                  <c:v>-6</c:v>
                </c:pt>
                <c:pt idx="89">
                  <c:v>-5.5</c:v>
                </c:pt>
                <c:pt idx="90">
                  <c:v>-5</c:v>
                </c:pt>
                <c:pt idx="91">
                  <c:v>-4.5</c:v>
                </c:pt>
                <c:pt idx="92">
                  <c:v>-4</c:v>
                </c:pt>
                <c:pt idx="93">
                  <c:v>-3.5</c:v>
                </c:pt>
                <c:pt idx="94">
                  <c:v>-3</c:v>
                </c:pt>
                <c:pt idx="95">
                  <c:v>-2.5</c:v>
                </c:pt>
                <c:pt idx="96">
                  <c:v>-2</c:v>
                </c:pt>
                <c:pt idx="97">
                  <c:v>-1.5</c:v>
                </c:pt>
                <c:pt idx="98">
                  <c:v>-1</c:v>
                </c:pt>
                <c:pt idx="99">
                  <c:v>-0.5</c:v>
                </c:pt>
                <c:pt idx="100">
                  <c:v>0</c:v>
                </c:pt>
                <c:pt idx="101">
                  <c:v>0.5</c:v>
                </c:pt>
                <c:pt idx="102">
                  <c:v>1</c:v>
                </c:pt>
                <c:pt idx="103">
                  <c:v>1.5</c:v>
                </c:pt>
                <c:pt idx="104">
                  <c:v>2</c:v>
                </c:pt>
                <c:pt idx="105">
                  <c:v>2.5</c:v>
                </c:pt>
                <c:pt idx="106">
                  <c:v>3</c:v>
                </c:pt>
                <c:pt idx="107">
                  <c:v>3.5</c:v>
                </c:pt>
                <c:pt idx="108">
                  <c:v>4</c:v>
                </c:pt>
                <c:pt idx="109">
                  <c:v>4.5</c:v>
                </c:pt>
                <c:pt idx="110">
                  <c:v>5</c:v>
                </c:pt>
                <c:pt idx="111">
                  <c:v>5.5</c:v>
                </c:pt>
                <c:pt idx="112">
                  <c:v>6</c:v>
                </c:pt>
                <c:pt idx="113">
                  <c:v>6.5</c:v>
                </c:pt>
                <c:pt idx="114">
                  <c:v>7</c:v>
                </c:pt>
                <c:pt idx="115">
                  <c:v>7.5</c:v>
                </c:pt>
                <c:pt idx="116">
                  <c:v>8</c:v>
                </c:pt>
                <c:pt idx="117">
                  <c:v>8.5</c:v>
                </c:pt>
                <c:pt idx="118">
                  <c:v>9</c:v>
                </c:pt>
                <c:pt idx="119">
                  <c:v>9.5</c:v>
                </c:pt>
                <c:pt idx="120">
                  <c:v>10</c:v>
                </c:pt>
                <c:pt idx="121">
                  <c:v>10.5</c:v>
                </c:pt>
                <c:pt idx="122">
                  <c:v>11</c:v>
                </c:pt>
                <c:pt idx="123">
                  <c:v>11.5</c:v>
                </c:pt>
                <c:pt idx="124">
                  <c:v>12</c:v>
                </c:pt>
                <c:pt idx="125">
                  <c:v>12.5</c:v>
                </c:pt>
                <c:pt idx="126">
                  <c:v>13</c:v>
                </c:pt>
                <c:pt idx="127">
                  <c:v>13.5</c:v>
                </c:pt>
                <c:pt idx="128">
                  <c:v>14</c:v>
                </c:pt>
                <c:pt idx="129">
                  <c:v>14.5</c:v>
                </c:pt>
                <c:pt idx="130">
                  <c:v>15</c:v>
                </c:pt>
                <c:pt idx="131">
                  <c:v>15.5</c:v>
                </c:pt>
                <c:pt idx="132">
                  <c:v>16</c:v>
                </c:pt>
                <c:pt idx="133">
                  <c:v>16.5</c:v>
                </c:pt>
                <c:pt idx="134">
                  <c:v>17</c:v>
                </c:pt>
                <c:pt idx="135">
                  <c:v>17.5</c:v>
                </c:pt>
                <c:pt idx="136">
                  <c:v>18</c:v>
                </c:pt>
                <c:pt idx="137">
                  <c:v>18.5</c:v>
                </c:pt>
                <c:pt idx="138">
                  <c:v>19</c:v>
                </c:pt>
                <c:pt idx="139">
                  <c:v>19.5</c:v>
                </c:pt>
                <c:pt idx="140">
                  <c:v>20</c:v>
                </c:pt>
                <c:pt idx="141">
                  <c:v>20.5</c:v>
                </c:pt>
                <c:pt idx="142">
                  <c:v>21</c:v>
                </c:pt>
                <c:pt idx="143">
                  <c:v>21.5</c:v>
                </c:pt>
                <c:pt idx="144">
                  <c:v>22</c:v>
                </c:pt>
                <c:pt idx="145">
                  <c:v>22.5</c:v>
                </c:pt>
                <c:pt idx="146">
                  <c:v>23</c:v>
                </c:pt>
                <c:pt idx="147">
                  <c:v>23.5</c:v>
                </c:pt>
                <c:pt idx="148">
                  <c:v>24</c:v>
                </c:pt>
                <c:pt idx="149">
                  <c:v>24.5</c:v>
                </c:pt>
                <c:pt idx="150">
                  <c:v>25</c:v>
                </c:pt>
                <c:pt idx="151">
                  <c:v>25.5</c:v>
                </c:pt>
                <c:pt idx="152">
                  <c:v>26</c:v>
                </c:pt>
                <c:pt idx="153">
                  <c:v>26.5</c:v>
                </c:pt>
                <c:pt idx="154">
                  <c:v>27</c:v>
                </c:pt>
                <c:pt idx="155">
                  <c:v>27.5</c:v>
                </c:pt>
                <c:pt idx="156">
                  <c:v>28</c:v>
                </c:pt>
                <c:pt idx="157">
                  <c:v>28.5</c:v>
                </c:pt>
                <c:pt idx="158">
                  <c:v>29</c:v>
                </c:pt>
                <c:pt idx="159">
                  <c:v>29.5</c:v>
                </c:pt>
                <c:pt idx="160">
                  <c:v>30</c:v>
                </c:pt>
                <c:pt idx="161">
                  <c:v>30.5</c:v>
                </c:pt>
                <c:pt idx="162">
                  <c:v>31</c:v>
                </c:pt>
                <c:pt idx="163">
                  <c:v>31.5</c:v>
                </c:pt>
                <c:pt idx="164">
                  <c:v>32</c:v>
                </c:pt>
                <c:pt idx="165">
                  <c:v>32.5</c:v>
                </c:pt>
                <c:pt idx="166">
                  <c:v>33</c:v>
                </c:pt>
                <c:pt idx="167">
                  <c:v>33.5</c:v>
                </c:pt>
                <c:pt idx="168">
                  <c:v>34</c:v>
                </c:pt>
                <c:pt idx="169">
                  <c:v>34.5</c:v>
                </c:pt>
                <c:pt idx="170">
                  <c:v>35</c:v>
                </c:pt>
                <c:pt idx="171">
                  <c:v>35.5</c:v>
                </c:pt>
                <c:pt idx="172">
                  <c:v>36</c:v>
                </c:pt>
                <c:pt idx="173">
                  <c:v>36.5</c:v>
                </c:pt>
                <c:pt idx="174">
                  <c:v>37</c:v>
                </c:pt>
                <c:pt idx="175">
                  <c:v>37.5</c:v>
                </c:pt>
                <c:pt idx="176">
                  <c:v>38</c:v>
                </c:pt>
                <c:pt idx="177">
                  <c:v>38.5</c:v>
                </c:pt>
                <c:pt idx="178">
                  <c:v>39</c:v>
                </c:pt>
                <c:pt idx="179">
                  <c:v>39.5</c:v>
                </c:pt>
                <c:pt idx="180">
                  <c:v>40</c:v>
                </c:pt>
                <c:pt idx="181">
                  <c:v>40.5</c:v>
                </c:pt>
                <c:pt idx="182">
                  <c:v>41</c:v>
                </c:pt>
                <c:pt idx="183">
                  <c:v>41.5</c:v>
                </c:pt>
                <c:pt idx="184">
                  <c:v>42</c:v>
                </c:pt>
                <c:pt idx="185">
                  <c:v>42.5</c:v>
                </c:pt>
                <c:pt idx="186">
                  <c:v>43</c:v>
                </c:pt>
                <c:pt idx="187">
                  <c:v>43.5</c:v>
                </c:pt>
                <c:pt idx="188">
                  <c:v>44</c:v>
                </c:pt>
                <c:pt idx="189">
                  <c:v>44.5</c:v>
                </c:pt>
                <c:pt idx="190">
                  <c:v>45</c:v>
                </c:pt>
                <c:pt idx="191">
                  <c:v>45.5</c:v>
                </c:pt>
                <c:pt idx="192">
                  <c:v>46</c:v>
                </c:pt>
                <c:pt idx="193">
                  <c:v>46.5</c:v>
                </c:pt>
                <c:pt idx="194">
                  <c:v>47</c:v>
                </c:pt>
                <c:pt idx="195">
                  <c:v>47.5</c:v>
                </c:pt>
                <c:pt idx="196">
                  <c:v>48</c:v>
                </c:pt>
                <c:pt idx="197">
                  <c:v>48.5</c:v>
                </c:pt>
                <c:pt idx="198">
                  <c:v>49</c:v>
                </c:pt>
                <c:pt idx="199">
                  <c:v>49.5</c:v>
                </c:pt>
                <c:pt idx="200">
                  <c:v>50</c:v>
                </c:pt>
              </c:numCache>
            </c:numRef>
          </c:xVal>
          <c:yVal>
            <c:numRef>
              <c:f>'subsidence profile with z_0'!$F$16:$F$216</c:f>
              <c:numCache>
                <c:formatCode>0.000</c:formatCode>
                <c:ptCount val="201"/>
                <c:pt idx="0">
                  <c:v>-3.1770064769852054E-11</c:v>
                </c:pt>
                <c:pt idx="1">
                  <c:v>-5.4843180431878832E-11</c:v>
                </c:pt>
                <c:pt idx="2">
                  <c:v>-9.415517697760198E-11</c:v>
                </c:pt>
                <c:pt idx="3">
                  <c:v>-1.6076178353988096E-10</c:v>
                </c:pt>
                <c:pt idx="4">
                  <c:v>-2.7298480092387586E-10</c:v>
                </c:pt>
                <c:pt idx="5">
                  <c:v>-4.6101086282558854E-10</c:v>
                </c:pt>
                <c:pt idx="6">
                  <c:v>-7.7428507896299171E-10</c:v>
                </c:pt>
                <c:pt idx="7">
                  <c:v>-1.2933249667481545E-9</c:v>
                </c:pt>
                <c:pt idx="8">
                  <c:v>-2.1484807781498784E-9</c:v>
                </c:pt>
                <c:pt idx="9">
                  <c:v>-3.5495420342338597E-9</c:v>
                </c:pt>
                <c:pt idx="10">
                  <c:v>-5.8321705344703196E-9</c:v>
                </c:pt>
                <c:pt idx="11">
                  <c:v>-9.5302686930453132E-9</c:v>
                </c:pt>
                <c:pt idx="12">
                  <c:v>-1.5488063330510856E-8</c:v>
                </c:pt>
                <c:pt idx="13">
                  <c:v>-2.5032609600037952E-8</c:v>
                </c:pt>
                <c:pt idx="14">
                  <c:v>-4.0237609977047645E-8</c:v>
                </c:pt>
                <c:pt idx="15">
                  <c:v>-6.432432935878745E-8</c:v>
                </c:pt>
                <c:pt idx="16">
                  <c:v>-1.0226697198245262E-7</c:v>
                </c:pt>
                <c:pt idx="17">
                  <c:v>-1.6170094842075199E-7</c:v>
                </c:pt>
                <c:pt idx="18">
                  <c:v>-2.5427682328143579E-7</c:v>
                </c:pt>
                <c:pt idx="19">
                  <c:v>-3.9766560260577204E-7</c:v>
                </c:pt>
                <c:pt idx="20">
                  <c:v>-6.1850941738505488E-7</c:v>
                </c:pt>
                <c:pt idx="21">
                  <c:v>-9.5673496512540744E-7</c:v>
                </c:pt>
                <c:pt idx="22">
                  <c:v>-1.4718176800765047E-6</c:v>
                </c:pt>
                <c:pt idx="23">
                  <c:v>-2.2518187181082814E-6</c:v>
                </c:pt>
                <c:pt idx="24">
                  <c:v>-3.4263354059869045E-6</c:v>
                </c:pt>
                <c:pt idx="25">
                  <c:v>-5.1849355589891343E-6</c:v>
                </c:pt>
                <c:pt idx="26">
                  <c:v>-7.8032207315489172E-6</c:v>
                </c:pt>
                <c:pt idx="27">
                  <c:v>-1.167942496618551E-5</c:v>
                </c:pt>
                <c:pt idx="28">
                  <c:v>-1.7385455336518728E-5</c:v>
                </c:pt>
                <c:pt idx="29">
                  <c:v>-2.573758051416073E-5</c:v>
                </c:pt>
                <c:pt idx="30">
                  <c:v>-3.7893647138062326E-5</c:v>
                </c:pt>
                <c:pt idx="31">
                  <c:v>-5.5485836146884297E-5</c:v>
                </c:pt>
                <c:pt idx="32">
                  <c:v>-8.0800659081401609E-5</c:v>
                </c:pt>
                <c:pt idx="33">
                  <c:v>-1.1702124421615948E-4</c:v>
                </c:pt>
                <c:pt idx="34">
                  <c:v>-1.6855108766551855E-4</c:v>
                </c:pt>
                <c:pt idx="35">
                  <c:v>-2.414434606286492E-4</c:v>
                </c:pt>
                <c:pt idx="36">
                  <c:v>-3.43966680346275E-4</c:v>
                </c:pt>
                <c:pt idx="37">
                  <c:v>-4.8734256261383007E-4</c:v>
                </c:pt>
                <c:pt idx="38">
                  <c:v>-6.8670364109112625E-4</c:v>
                </c:pt>
                <c:pt idx="39">
                  <c:v>-9.6232417830631413E-4</c:v>
                </c:pt>
                <c:pt idx="40">
                  <c:v>-1.3411905502259548E-3</c:v>
                </c:pt>
                <c:pt idx="41">
                  <c:v>-1.8589881096066645E-3</c:v>
                </c:pt>
                <c:pt idx="42">
                  <c:v>-2.5625938467515545E-3</c:v>
                </c:pt>
                <c:pt idx="43">
                  <c:v>-3.5131766363375467E-3</c:v>
                </c:pt>
                <c:pt idx="44">
                  <c:v>-4.7900189626216656E-3</c:v>
                </c:pt>
                <c:pt idx="45">
                  <c:v>-6.4951849091591527E-3</c:v>
                </c:pt>
                <c:pt idx="46">
                  <c:v>-8.759167793567238E-3</c:v>
                </c:pt>
                <c:pt idx="47">
                  <c:v>-1.174765577027018E-2</c:v>
                </c:pt>
                <c:pt idx="48">
                  <c:v>-1.5669553396100388E-2</c:v>
                </c:pt>
                <c:pt idx="49">
                  <c:v>-2.0786389687090047E-2</c:v>
                </c:pt>
                <c:pt idx="50">
                  <c:v>-2.7423226513463551E-2</c:v>
                </c:pt>
                <c:pt idx="51">
                  <c:v>-3.5981153070833681E-2</c:v>
                </c:pt>
                <c:pt idx="52">
                  <c:v>-4.6951410386312439E-2</c:v>
                </c:pt>
                <c:pt idx="53">
                  <c:v>-6.0931132241724709E-2</c:v>
                </c:pt>
                <c:pt idx="54">
                  <c:v>-7.864061369596051E-2</c:v>
                </c:pt>
                <c:pt idx="55">
                  <c:v>-0.10094192426112462</c:v>
                </c:pt>
                <c:pt idx="56">
                  <c:v>-0.12885856920539329</c:v>
                </c:pt>
                <c:pt idx="57">
                  <c:v>-0.16359576994288216</c:v>
                </c:pt>
                <c:pt idx="58">
                  <c:v>-0.20656078488059271</c:v>
                </c:pt>
                <c:pt idx="59">
                  <c:v>-0.25938252887036178</c:v>
                </c:pt>
                <c:pt idx="60">
                  <c:v>-0.32392957781854759</c:v>
                </c:pt>
                <c:pt idx="61">
                  <c:v>-0.40232547225890247</c:v>
                </c:pt>
                <c:pt idx="62">
                  <c:v>-0.49696006902293249</c:v>
                </c:pt>
                <c:pt idx="63">
                  <c:v>-0.61049554469244571</c:v>
                </c:pt>
                <c:pt idx="64">
                  <c:v>-0.74586554109945857</c:v>
                </c:pt>
                <c:pt idx="65">
                  <c:v>-0.90626587578055007</c:v>
                </c:pt>
                <c:pt idx="66">
                  <c:v>-1.0951352336122744</c:v>
                </c:pt>
                <c:pt idx="67">
                  <c:v>-1.3161243242180682</c:v>
                </c:pt>
                <c:pt idx="68">
                  <c:v>-1.5730521462515419</c:v>
                </c:pt>
                <c:pt idx="69">
                  <c:v>-1.8698482550221744</c:v>
                </c:pt>
                <c:pt idx="70">
                  <c:v>-2.210480291193992</c:v>
                </c:pt>
                <c:pt idx="71">
                  <c:v>-2.5988664976420495</c:v>
                </c:pt>
                <c:pt idx="72">
                  <c:v>-3.0387735251748382</c:v>
                </c:pt>
                <c:pt idx="73">
                  <c:v>-3.5337004949592541</c:v>
                </c:pt>
                <c:pt idx="74">
                  <c:v>-4.0867510277890489</c:v>
                </c:pt>
                <c:pt idx="75">
                  <c:v>-4.7004957417199815</c:v>
                </c:pt>
                <c:pt idx="76">
                  <c:v>-5.3768285265004661</c:v>
                </c:pt>
                <c:pt idx="77">
                  <c:v>-6.1168206855362461</c:v>
                </c:pt>
                <c:pt idx="78">
                  <c:v>-6.9205777486621622</c:v>
                </c:pt>
                <c:pt idx="79">
                  <c:v>-7.7871043536184663</c:v>
                </c:pt>
                <c:pt idx="80">
                  <c:v>-8.7141830223902659</c:v>
                </c:pt>
                <c:pt idx="81">
                  <c:v>-9.6982728747502236</c:v>
                </c:pt>
                <c:pt idx="82">
                  <c:v>-10.734434285766982</c:v>
                </c:pt>
                <c:pt idx="83">
                  <c:v>-11.816285176395587</c:v>
                </c:pt>
                <c:pt idx="84">
                  <c:v>-12.935994008731114</c:v>
                </c:pt>
                <c:pt idx="85">
                  <c:v>-14.084313637396473</c:v>
                </c:pt>
                <c:pt idx="86">
                  <c:v>-15.25065896021378</c:v>
                </c:pt>
                <c:pt idx="87">
                  <c:v>-16.42322984714858</c:v>
                </c:pt>
                <c:pt idx="88">
                  <c:v>-17.589179156727553</c:v>
                </c:pt>
                <c:pt idx="89">
                  <c:v>-18.734823840353268</c:v>
                </c:pt>
                <c:pt idx="90">
                  <c:v>-19.845895267582943</c:v>
                </c:pt>
                <c:pt idx="91">
                  <c:v>-20.907823069852785</c:v>
                </c:pt>
                <c:pt idx="92">
                  <c:v>-21.906045091786471</c:v>
                </c:pt>
                <c:pt idx="93">
                  <c:v>-22.826334553187174</c:v>
                </c:pt>
                <c:pt idx="94">
                  <c:v>-23.655134349831552</c:v>
                </c:pt>
                <c:pt idx="95">
                  <c:v>-24.379887633855731</c:v>
                </c:pt>
                <c:pt idx="96">
                  <c:v>-24.989353473897218</c:v>
                </c:pt>
                <c:pt idx="97">
                  <c:v>-25.473896538239632</c:v>
                </c:pt>
                <c:pt idx="98">
                  <c:v>-25.825740382719179</c:v>
                </c:pt>
                <c:pt idx="99">
                  <c:v>-26.0391750438285</c:v>
                </c:pt>
                <c:pt idx="100">
                  <c:v>-26.11071119407293</c:v>
                </c:pt>
                <c:pt idx="101">
                  <c:v>-26.0391750438285</c:v>
                </c:pt>
                <c:pt idx="102">
                  <c:v>-25.825740382719179</c:v>
                </c:pt>
                <c:pt idx="103">
                  <c:v>-25.473896538239632</c:v>
                </c:pt>
                <c:pt idx="104">
                  <c:v>-24.989353473897218</c:v>
                </c:pt>
                <c:pt idx="105">
                  <c:v>-24.379887633855731</c:v>
                </c:pt>
                <c:pt idx="106">
                  <c:v>-23.655134349831552</c:v>
                </c:pt>
                <c:pt idx="107">
                  <c:v>-22.826334553187174</c:v>
                </c:pt>
                <c:pt idx="108">
                  <c:v>-21.906045091786471</c:v>
                </c:pt>
                <c:pt idx="109">
                  <c:v>-20.907823069852785</c:v>
                </c:pt>
                <c:pt idx="110">
                  <c:v>-19.845895267582943</c:v>
                </c:pt>
                <c:pt idx="111">
                  <c:v>-18.734823840353268</c:v>
                </c:pt>
                <c:pt idx="112">
                  <c:v>-17.589179156727553</c:v>
                </c:pt>
                <c:pt idx="113">
                  <c:v>-16.42322984714858</c:v>
                </c:pt>
                <c:pt idx="114">
                  <c:v>-15.25065896021378</c:v>
                </c:pt>
                <c:pt idx="115">
                  <c:v>-14.084313637396473</c:v>
                </c:pt>
                <c:pt idx="116">
                  <c:v>-12.935994008731114</c:v>
                </c:pt>
                <c:pt idx="117">
                  <c:v>-11.816285176395587</c:v>
                </c:pt>
                <c:pt idx="118">
                  <c:v>-10.734434285766982</c:v>
                </c:pt>
                <c:pt idx="119">
                  <c:v>-9.6982728747502236</c:v>
                </c:pt>
                <c:pt idx="120">
                  <c:v>-8.7141830223902659</c:v>
                </c:pt>
                <c:pt idx="121">
                  <c:v>-7.7871043536184663</c:v>
                </c:pt>
                <c:pt idx="122">
                  <c:v>-6.9205777486621622</c:v>
                </c:pt>
                <c:pt idx="123">
                  <c:v>-6.1168206855362461</c:v>
                </c:pt>
                <c:pt idx="124">
                  <c:v>-5.3768285265004661</c:v>
                </c:pt>
                <c:pt idx="125">
                  <c:v>-4.7004957417199815</c:v>
                </c:pt>
                <c:pt idx="126">
                  <c:v>-4.0867510277890489</c:v>
                </c:pt>
                <c:pt idx="127">
                  <c:v>-3.5337004949592541</c:v>
                </c:pt>
                <c:pt idx="128">
                  <c:v>-3.0387735251748382</c:v>
                </c:pt>
                <c:pt idx="129">
                  <c:v>-2.5988664976420495</c:v>
                </c:pt>
                <c:pt idx="130">
                  <c:v>-2.210480291193992</c:v>
                </c:pt>
                <c:pt idx="131">
                  <c:v>-1.8698482550221744</c:v>
                </c:pt>
                <c:pt idx="132">
                  <c:v>-1.5730521462515419</c:v>
                </c:pt>
                <c:pt idx="133">
                  <c:v>-1.3161243242180682</c:v>
                </c:pt>
                <c:pt idx="134">
                  <c:v>-1.0951352336122744</c:v>
                </c:pt>
                <c:pt idx="135">
                  <c:v>-0.90626587578055007</c:v>
                </c:pt>
                <c:pt idx="136">
                  <c:v>-0.74586554109945857</c:v>
                </c:pt>
                <c:pt idx="137">
                  <c:v>-0.61049554469244571</c:v>
                </c:pt>
                <c:pt idx="138">
                  <c:v>-0.49696006902293249</c:v>
                </c:pt>
                <c:pt idx="139">
                  <c:v>-0.40232547225890247</c:v>
                </c:pt>
                <c:pt idx="140">
                  <c:v>-0.32392957781854759</c:v>
                </c:pt>
                <c:pt idx="141">
                  <c:v>-0.25938252887036178</c:v>
                </c:pt>
                <c:pt idx="142">
                  <c:v>-0.20656078488059271</c:v>
                </c:pt>
                <c:pt idx="143">
                  <c:v>-0.16359576994288216</c:v>
                </c:pt>
                <c:pt idx="144">
                  <c:v>-0.12885856920539329</c:v>
                </c:pt>
                <c:pt idx="145">
                  <c:v>-0.10094192426112462</c:v>
                </c:pt>
                <c:pt idx="146">
                  <c:v>-7.864061369596051E-2</c:v>
                </c:pt>
                <c:pt idx="147">
                  <c:v>-6.0931132241724709E-2</c:v>
                </c:pt>
                <c:pt idx="148">
                  <c:v>-4.6951410386312439E-2</c:v>
                </c:pt>
                <c:pt idx="149">
                  <c:v>-3.5981153070833681E-2</c:v>
                </c:pt>
                <c:pt idx="150">
                  <c:v>-2.7423226513463551E-2</c:v>
                </c:pt>
                <c:pt idx="151">
                  <c:v>-2.0786389687090047E-2</c:v>
                </c:pt>
                <c:pt idx="152">
                  <c:v>-1.5669553396100388E-2</c:v>
                </c:pt>
                <c:pt idx="153">
                  <c:v>-1.174765577027018E-2</c:v>
                </c:pt>
                <c:pt idx="154">
                  <c:v>-8.759167793567238E-3</c:v>
                </c:pt>
                <c:pt idx="155">
                  <c:v>-6.4951849091591527E-3</c:v>
                </c:pt>
                <c:pt idx="156">
                  <c:v>-4.7900189626216656E-3</c:v>
                </c:pt>
                <c:pt idx="157">
                  <c:v>-3.5131766363375467E-3</c:v>
                </c:pt>
                <c:pt idx="158">
                  <c:v>-2.5625938467515545E-3</c:v>
                </c:pt>
                <c:pt idx="159">
                  <c:v>-1.8589881096066645E-3</c:v>
                </c:pt>
                <c:pt idx="160">
                  <c:v>-1.3411905502259548E-3</c:v>
                </c:pt>
                <c:pt idx="161">
                  <c:v>-9.6232417830631413E-4</c:v>
                </c:pt>
                <c:pt idx="162">
                  <c:v>-6.8670364109112625E-4</c:v>
                </c:pt>
                <c:pt idx="163">
                  <c:v>-4.8734256261383007E-4</c:v>
                </c:pt>
                <c:pt idx="164">
                  <c:v>-3.43966680346275E-4</c:v>
                </c:pt>
                <c:pt idx="165">
                  <c:v>-2.414434606286492E-4</c:v>
                </c:pt>
                <c:pt idx="166">
                  <c:v>-1.6855108766551855E-4</c:v>
                </c:pt>
                <c:pt idx="167">
                  <c:v>-1.1702124421615948E-4</c:v>
                </c:pt>
                <c:pt idx="168">
                  <c:v>-8.0800659081401609E-5</c:v>
                </c:pt>
                <c:pt idx="169">
                  <c:v>-5.5485836146884297E-5</c:v>
                </c:pt>
                <c:pt idx="170">
                  <c:v>-3.7893647138062326E-5</c:v>
                </c:pt>
                <c:pt idx="171">
                  <c:v>-2.573758051416073E-5</c:v>
                </c:pt>
                <c:pt idx="172">
                  <c:v>-1.7385455336518728E-5</c:v>
                </c:pt>
                <c:pt idx="173">
                  <c:v>-1.167942496618551E-5</c:v>
                </c:pt>
                <c:pt idx="174">
                  <c:v>-7.8032207315489172E-6</c:v>
                </c:pt>
                <c:pt idx="175">
                  <c:v>-5.1849355589891343E-6</c:v>
                </c:pt>
                <c:pt idx="176">
                  <c:v>-3.4263354059869045E-6</c:v>
                </c:pt>
                <c:pt idx="177">
                  <c:v>-2.2518187181082814E-6</c:v>
                </c:pt>
                <c:pt idx="178">
                  <c:v>-1.4718176800765047E-6</c:v>
                </c:pt>
                <c:pt idx="179">
                  <c:v>-9.5673496512540744E-7</c:v>
                </c:pt>
                <c:pt idx="180">
                  <c:v>-6.1850941738505488E-7</c:v>
                </c:pt>
                <c:pt idx="181">
                  <c:v>-3.9766560260577204E-7</c:v>
                </c:pt>
                <c:pt idx="182">
                  <c:v>-2.5427682328143579E-7</c:v>
                </c:pt>
                <c:pt idx="183">
                  <c:v>-1.6170094842075199E-7</c:v>
                </c:pt>
                <c:pt idx="184">
                  <c:v>-1.0226697198245262E-7</c:v>
                </c:pt>
                <c:pt idx="185">
                  <c:v>-6.432432935878745E-8</c:v>
                </c:pt>
                <c:pt idx="186">
                  <c:v>-4.0237609977047645E-8</c:v>
                </c:pt>
                <c:pt idx="187">
                  <c:v>-2.5032609600037952E-8</c:v>
                </c:pt>
                <c:pt idx="188">
                  <c:v>-1.5488063330510856E-8</c:v>
                </c:pt>
                <c:pt idx="189">
                  <c:v>-9.5302686930453132E-9</c:v>
                </c:pt>
                <c:pt idx="190">
                  <c:v>-5.8321705344703196E-9</c:v>
                </c:pt>
                <c:pt idx="191">
                  <c:v>-3.5495420342338597E-9</c:v>
                </c:pt>
                <c:pt idx="192">
                  <c:v>-2.1484807781498784E-9</c:v>
                </c:pt>
                <c:pt idx="193">
                  <c:v>-1.2933249667481545E-9</c:v>
                </c:pt>
                <c:pt idx="194">
                  <c:v>-7.7428507896299171E-10</c:v>
                </c:pt>
                <c:pt idx="195">
                  <c:v>-4.6101086282558854E-10</c:v>
                </c:pt>
                <c:pt idx="196">
                  <c:v>-2.7298480092387586E-10</c:v>
                </c:pt>
                <c:pt idx="197">
                  <c:v>-1.6076178353988096E-10</c:v>
                </c:pt>
                <c:pt idx="198">
                  <c:v>-9.415517697760198E-11</c:v>
                </c:pt>
                <c:pt idx="199">
                  <c:v>-5.4843180431878832E-11</c:v>
                </c:pt>
                <c:pt idx="200">
                  <c:v>-3.1770064769852054E-11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3F-4D9E-90D9-171EDEDA27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735296"/>
        <c:axId val="295737216"/>
      </c:scatterChart>
      <c:valAx>
        <c:axId val="295735296"/>
        <c:scaling>
          <c:orientation val="minMax"/>
          <c:max val="30"/>
          <c:min val="-3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it-IT"/>
                  <a:t>ASCISSA TRASVERSALE all'ASSE della GALLERIA (m)</a:t>
                </a:r>
              </a:p>
            </c:rich>
          </c:tx>
          <c:layout>
            <c:manualLayout>
              <c:xMode val="edge"/>
              <c:yMode val="edge"/>
              <c:x val="0.13533860898966577"/>
              <c:y val="0.165563377425503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295737216"/>
        <c:crosses val="autoZero"/>
        <c:crossBetween val="midCat"/>
      </c:valAx>
      <c:valAx>
        <c:axId val="295737216"/>
        <c:scaling>
          <c:orientation val="minMax"/>
          <c:max val="2.5"/>
          <c:min val="-30"/>
        </c:scaling>
        <c:delete val="0"/>
        <c:axPos val="l"/>
        <c:title>
          <c:tx>
            <c:rich>
              <a:bodyPr/>
              <a:lstStyle/>
              <a:p>
                <a:pPr>
                  <a:defRPr sz="1525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it-IT"/>
                  <a:t>W (mm)</a:t>
                </a:r>
              </a:p>
            </c:rich>
          </c:tx>
          <c:layout>
            <c:manualLayout>
              <c:xMode val="edge"/>
              <c:yMode val="edge"/>
              <c:x val="1.2531328320802004E-2"/>
              <c:y val="0.52317996674256784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295735296"/>
        <c:crossesAt val="0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25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it-IT"/>
              <a:t>CONCHE DI SUBSIDENZA CON L'ALTEZZA DI COPERTURA</a:t>
            </a:r>
          </a:p>
        </c:rich>
      </c:tx>
      <c:layout>
        <c:manualLayout>
          <c:xMode val="edge"/>
          <c:yMode val="edge"/>
          <c:x val="0.22335052027126051"/>
          <c:y val="1.126126126126126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928948793609208"/>
          <c:y val="0.24549603545545523"/>
          <c:w val="0.78680300553592653"/>
          <c:h val="0.69369521945211199"/>
        </c:manualLayout>
      </c:layout>
      <c:scatterChart>
        <c:scatterStyle val="lineMarker"/>
        <c:varyColors val="0"/>
        <c:ser>
          <c:idx val="3"/>
          <c:order val="0"/>
          <c:tx>
            <c:v>NUMERICO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BEC-4B4A-BC59-BCBB0F7FBDD9}"/>
            </c:ext>
          </c:extLst>
        </c:ser>
        <c:ser>
          <c:idx val="0"/>
          <c:order val="1"/>
          <c:tx>
            <c:v>EMPIRICO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'subsidence profile with z_0'!$B$16:$B$216</c:f>
              <c:numCache>
                <c:formatCode>0.000</c:formatCode>
                <c:ptCount val="201"/>
                <c:pt idx="0">
                  <c:v>-50</c:v>
                </c:pt>
                <c:pt idx="1">
                  <c:v>-49.5</c:v>
                </c:pt>
                <c:pt idx="2">
                  <c:v>-49</c:v>
                </c:pt>
                <c:pt idx="3">
                  <c:v>-48.5</c:v>
                </c:pt>
                <c:pt idx="4">
                  <c:v>-48</c:v>
                </c:pt>
                <c:pt idx="5">
                  <c:v>-47.5</c:v>
                </c:pt>
                <c:pt idx="6">
                  <c:v>-47</c:v>
                </c:pt>
                <c:pt idx="7">
                  <c:v>-46.5</c:v>
                </c:pt>
                <c:pt idx="8">
                  <c:v>-46</c:v>
                </c:pt>
                <c:pt idx="9">
                  <c:v>-45.5</c:v>
                </c:pt>
                <c:pt idx="10">
                  <c:v>-45</c:v>
                </c:pt>
                <c:pt idx="11">
                  <c:v>-44.5</c:v>
                </c:pt>
                <c:pt idx="12">
                  <c:v>-44</c:v>
                </c:pt>
                <c:pt idx="13">
                  <c:v>-43.5</c:v>
                </c:pt>
                <c:pt idx="14">
                  <c:v>-43</c:v>
                </c:pt>
                <c:pt idx="15">
                  <c:v>-42.5</c:v>
                </c:pt>
                <c:pt idx="16">
                  <c:v>-42</c:v>
                </c:pt>
                <c:pt idx="17">
                  <c:v>-41.5</c:v>
                </c:pt>
                <c:pt idx="18">
                  <c:v>-41</c:v>
                </c:pt>
                <c:pt idx="19">
                  <c:v>-40.5</c:v>
                </c:pt>
                <c:pt idx="20">
                  <c:v>-40</c:v>
                </c:pt>
                <c:pt idx="21">
                  <c:v>-39.5</c:v>
                </c:pt>
                <c:pt idx="22">
                  <c:v>-39</c:v>
                </c:pt>
                <c:pt idx="23">
                  <c:v>-38.5</c:v>
                </c:pt>
                <c:pt idx="24">
                  <c:v>-38</c:v>
                </c:pt>
                <c:pt idx="25">
                  <c:v>-37.5</c:v>
                </c:pt>
                <c:pt idx="26">
                  <c:v>-37</c:v>
                </c:pt>
                <c:pt idx="27">
                  <c:v>-36.5</c:v>
                </c:pt>
                <c:pt idx="28">
                  <c:v>-36</c:v>
                </c:pt>
                <c:pt idx="29">
                  <c:v>-35.5</c:v>
                </c:pt>
                <c:pt idx="30">
                  <c:v>-35</c:v>
                </c:pt>
                <c:pt idx="31">
                  <c:v>-34.5</c:v>
                </c:pt>
                <c:pt idx="32">
                  <c:v>-34</c:v>
                </c:pt>
                <c:pt idx="33">
                  <c:v>-33.5</c:v>
                </c:pt>
                <c:pt idx="34">
                  <c:v>-33</c:v>
                </c:pt>
                <c:pt idx="35">
                  <c:v>-32.5</c:v>
                </c:pt>
                <c:pt idx="36">
                  <c:v>-32</c:v>
                </c:pt>
                <c:pt idx="37">
                  <c:v>-31.5</c:v>
                </c:pt>
                <c:pt idx="38">
                  <c:v>-31</c:v>
                </c:pt>
                <c:pt idx="39">
                  <c:v>-30.5</c:v>
                </c:pt>
                <c:pt idx="40">
                  <c:v>-30</c:v>
                </c:pt>
                <c:pt idx="41">
                  <c:v>-29.5</c:v>
                </c:pt>
                <c:pt idx="42">
                  <c:v>-29</c:v>
                </c:pt>
                <c:pt idx="43">
                  <c:v>-28.5</c:v>
                </c:pt>
                <c:pt idx="44">
                  <c:v>-28</c:v>
                </c:pt>
                <c:pt idx="45">
                  <c:v>-27.5</c:v>
                </c:pt>
                <c:pt idx="46">
                  <c:v>-27</c:v>
                </c:pt>
                <c:pt idx="47">
                  <c:v>-26.5</c:v>
                </c:pt>
                <c:pt idx="48">
                  <c:v>-26</c:v>
                </c:pt>
                <c:pt idx="49">
                  <c:v>-25.5</c:v>
                </c:pt>
                <c:pt idx="50">
                  <c:v>-25</c:v>
                </c:pt>
                <c:pt idx="51">
                  <c:v>-24.5</c:v>
                </c:pt>
                <c:pt idx="52">
                  <c:v>-24</c:v>
                </c:pt>
                <c:pt idx="53">
                  <c:v>-23.5</c:v>
                </c:pt>
                <c:pt idx="54">
                  <c:v>-23</c:v>
                </c:pt>
                <c:pt idx="55">
                  <c:v>-22.5</c:v>
                </c:pt>
                <c:pt idx="56">
                  <c:v>-22</c:v>
                </c:pt>
                <c:pt idx="57">
                  <c:v>-21.5</c:v>
                </c:pt>
                <c:pt idx="58">
                  <c:v>-21</c:v>
                </c:pt>
                <c:pt idx="59">
                  <c:v>-20.5</c:v>
                </c:pt>
                <c:pt idx="60">
                  <c:v>-20</c:v>
                </c:pt>
                <c:pt idx="61">
                  <c:v>-19.5</c:v>
                </c:pt>
                <c:pt idx="62">
                  <c:v>-19</c:v>
                </c:pt>
                <c:pt idx="63">
                  <c:v>-18.5</c:v>
                </c:pt>
                <c:pt idx="64">
                  <c:v>-18</c:v>
                </c:pt>
                <c:pt idx="65">
                  <c:v>-17.5</c:v>
                </c:pt>
                <c:pt idx="66">
                  <c:v>-17</c:v>
                </c:pt>
                <c:pt idx="67">
                  <c:v>-16.5</c:v>
                </c:pt>
                <c:pt idx="68">
                  <c:v>-16</c:v>
                </c:pt>
                <c:pt idx="69">
                  <c:v>-15.5</c:v>
                </c:pt>
                <c:pt idx="70">
                  <c:v>-15</c:v>
                </c:pt>
                <c:pt idx="71">
                  <c:v>-14.5</c:v>
                </c:pt>
                <c:pt idx="72">
                  <c:v>-14</c:v>
                </c:pt>
                <c:pt idx="73">
                  <c:v>-13.5</c:v>
                </c:pt>
                <c:pt idx="74">
                  <c:v>-13</c:v>
                </c:pt>
                <c:pt idx="75">
                  <c:v>-12.5</c:v>
                </c:pt>
                <c:pt idx="76">
                  <c:v>-12</c:v>
                </c:pt>
                <c:pt idx="77">
                  <c:v>-11.5</c:v>
                </c:pt>
                <c:pt idx="78">
                  <c:v>-11</c:v>
                </c:pt>
                <c:pt idx="79">
                  <c:v>-10.5</c:v>
                </c:pt>
                <c:pt idx="80">
                  <c:v>-10</c:v>
                </c:pt>
                <c:pt idx="81">
                  <c:v>-9.5</c:v>
                </c:pt>
                <c:pt idx="82">
                  <c:v>-9</c:v>
                </c:pt>
                <c:pt idx="83">
                  <c:v>-8.5</c:v>
                </c:pt>
                <c:pt idx="84">
                  <c:v>-8</c:v>
                </c:pt>
                <c:pt idx="85">
                  <c:v>-7.5</c:v>
                </c:pt>
                <c:pt idx="86">
                  <c:v>-7</c:v>
                </c:pt>
                <c:pt idx="87">
                  <c:v>-6.5</c:v>
                </c:pt>
                <c:pt idx="88">
                  <c:v>-6</c:v>
                </c:pt>
                <c:pt idx="89">
                  <c:v>-5.5</c:v>
                </c:pt>
                <c:pt idx="90">
                  <c:v>-5</c:v>
                </c:pt>
                <c:pt idx="91">
                  <c:v>-4.5</c:v>
                </c:pt>
                <c:pt idx="92">
                  <c:v>-4</c:v>
                </c:pt>
                <c:pt idx="93">
                  <c:v>-3.5</c:v>
                </c:pt>
                <c:pt idx="94">
                  <c:v>-3</c:v>
                </c:pt>
                <c:pt idx="95">
                  <c:v>-2.5</c:v>
                </c:pt>
                <c:pt idx="96">
                  <c:v>-2</c:v>
                </c:pt>
                <c:pt idx="97">
                  <c:v>-1.5</c:v>
                </c:pt>
                <c:pt idx="98">
                  <c:v>-1</c:v>
                </c:pt>
                <c:pt idx="99">
                  <c:v>-0.5</c:v>
                </c:pt>
                <c:pt idx="100">
                  <c:v>0</c:v>
                </c:pt>
                <c:pt idx="101">
                  <c:v>0.5</c:v>
                </c:pt>
                <c:pt idx="102">
                  <c:v>1</c:v>
                </c:pt>
                <c:pt idx="103">
                  <c:v>1.5</c:v>
                </c:pt>
                <c:pt idx="104">
                  <c:v>2</c:v>
                </c:pt>
                <c:pt idx="105">
                  <c:v>2.5</c:v>
                </c:pt>
                <c:pt idx="106">
                  <c:v>3</c:v>
                </c:pt>
                <c:pt idx="107">
                  <c:v>3.5</c:v>
                </c:pt>
                <c:pt idx="108">
                  <c:v>4</c:v>
                </c:pt>
                <c:pt idx="109">
                  <c:v>4.5</c:v>
                </c:pt>
                <c:pt idx="110">
                  <c:v>5</c:v>
                </c:pt>
                <c:pt idx="111">
                  <c:v>5.5</c:v>
                </c:pt>
                <c:pt idx="112">
                  <c:v>6</c:v>
                </c:pt>
                <c:pt idx="113">
                  <c:v>6.5</c:v>
                </c:pt>
                <c:pt idx="114">
                  <c:v>7</c:v>
                </c:pt>
                <c:pt idx="115">
                  <c:v>7.5</c:v>
                </c:pt>
                <c:pt idx="116">
                  <c:v>8</c:v>
                </c:pt>
                <c:pt idx="117">
                  <c:v>8.5</c:v>
                </c:pt>
                <c:pt idx="118">
                  <c:v>9</c:v>
                </c:pt>
                <c:pt idx="119">
                  <c:v>9.5</c:v>
                </c:pt>
                <c:pt idx="120">
                  <c:v>10</c:v>
                </c:pt>
                <c:pt idx="121">
                  <c:v>10.5</c:v>
                </c:pt>
                <c:pt idx="122">
                  <c:v>11</c:v>
                </c:pt>
                <c:pt idx="123">
                  <c:v>11.5</c:v>
                </c:pt>
                <c:pt idx="124">
                  <c:v>12</c:v>
                </c:pt>
                <c:pt idx="125">
                  <c:v>12.5</c:v>
                </c:pt>
                <c:pt idx="126">
                  <c:v>13</c:v>
                </c:pt>
                <c:pt idx="127">
                  <c:v>13.5</c:v>
                </c:pt>
                <c:pt idx="128">
                  <c:v>14</c:v>
                </c:pt>
                <c:pt idx="129">
                  <c:v>14.5</c:v>
                </c:pt>
                <c:pt idx="130">
                  <c:v>15</c:v>
                </c:pt>
                <c:pt idx="131">
                  <c:v>15.5</c:v>
                </c:pt>
                <c:pt idx="132">
                  <c:v>16</c:v>
                </c:pt>
                <c:pt idx="133">
                  <c:v>16.5</c:v>
                </c:pt>
                <c:pt idx="134">
                  <c:v>17</c:v>
                </c:pt>
                <c:pt idx="135">
                  <c:v>17.5</c:v>
                </c:pt>
                <c:pt idx="136">
                  <c:v>18</c:v>
                </c:pt>
                <c:pt idx="137">
                  <c:v>18.5</c:v>
                </c:pt>
                <c:pt idx="138">
                  <c:v>19</c:v>
                </c:pt>
                <c:pt idx="139">
                  <c:v>19.5</c:v>
                </c:pt>
                <c:pt idx="140">
                  <c:v>20</c:v>
                </c:pt>
                <c:pt idx="141">
                  <c:v>20.5</c:v>
                </c:pt>
                <c:pt idx="142">
                  <c:v>21</c:v>
                </c:pt>
                <c:pt idx="143">
                  <c:v>21.5</c:v>
                </c:pt>
                <c:pt idx="144">
                  <c:v>22</c:v>
                </c:pt>
                <c:pt idx="145">
                  <c:v>22.5</c:v>
                </c:pt>
                <c:pt idx="146">
                  <c:v>23</c:v>
                </c:pt>
                <c:pt idx="147">
                  <c:v>23.5</c:v>
                </c:pt>
                <c:pt idx="148">
                  <c:v>24</c:v>
                </c:pt>
                <c:pt idx="149">
                  <c:v>24.5</c:v>
                </c:pt>
                <c:pt idx="150">
                  <c:v>25</c:v>
                </c:pt>
                <c:pt idx="151">
                  <c:v>25.5</c:v>
                </c:pt>
                <c:pt idx="152">
                  <c:v>26</c:v>
                </c:pt>
                <c:pt idx="153">
                  <c:v>26.5</c:v>
                </c:pt>
                <c:pt idx="154">
                  <c:v>27</c:v>
                </c:pt>
                <c:pt idx="155">
                  <c:v>27.5</c:v>
                </c:pt>
                <c:pt idx="156">
                  <c:v>28</c:v>
                </c:pt>
                <c:pt idx="157">
                  <c:v>28.5</c:v>
                </c:pt>
                <c:pt idx="158">
                  <c:v>29</c:v>
                </c:pt>
                <c:pt idx="159">
                  <c:v>29.5</c:v>
                </c:pt>
                <c:pt idx="160">
                  <c:v>30</c:v>
                </c:pt>
                <c:pt idx="161">
                  <c:v>30.5</c:v>
                </c:pt>
                <c:pt idx="162">
                  <c:v>31</c:v>
                </c:pt>
                <c:pt idx="163">
                  <c:v>31.5</c:v>
                </c:pt>
                <c:pt idx="164">
                  <c:v>32</c:v>
                </c:pt>
                <c:pt idx="165">
                  <c:v>32.5</c:v>
                </c:pt>
                <c:pt idx="166">
                  <c:v>33</c:v>
                </c:pt>
                <c:pt idx="167">
                  <c:v>33.5</c:v>
                </c:pt>
                <c:pt idx="168">
                  <c:v>34</c:v>
                </c:pt>
                <c:pt idx="169">
                  <c:v>34.5</c:v>
                </c:pt>
                <c:pt idx="170">
                  <c:v>35</c:v>
                </c:pt>
                <c:pt idx="171">
                  <c:v>35.5</c:v>
                </c:pt>
                <c:pt idx="172">
                  <c:v>36</c:v>
                </c:pt>
                <c:pt idx="173">
                  <c:v>36.5</c:v>
                </c:pt>
                <c:pt idx="174">
                  <c:v>37</c:v>
                </c:pt>
                <c:pt idx="175">
                  <c:v>37.5</c:v>
                </c:pt>
                <c:pt idx="176">
                  <c:v>38</c:v>
                </c:pt>
                <c:pt idx="177">
                  <c:v>38.5</c:v>
                </c:pt>
                <c:pt idx="178">
                  <c:v>39</c:v>
                </c:pt>
                <c:pt idx="179">
                  <c:v>39.5</c:v>
                </c:pt>
                <c:pt idx="180">
                  <c:v>40</c:v>
                </c:pt>
                <c:pt idx="181">
                  <c:v>40.5</c:v>
                </c:pt>
                <c:pt idx="182">
                  <c:v>41</c:v>
                </c:pt>
                <c:pt idx="183">
                  <c:v>41.5</c:v>
                </c:pt>
                <c:pt idx="184">
                  <c:v>42</c:v>
                </c:pt>
                <c:pt idx="185">
                  <c:v>42.5</c:v>
                </c:pt>
                <c:pt idx="186">
                  <c:v>43</c:v>
                </c:pt>
                <c:pt idx="187">
                  <c:v>43.5</c:v>
                </c:pt>
                <c:pt idx="188">
                  <c:v>44</c:v>
                </c:pt>
                <c:pt idx="189">
                  <c:v>44.5</c:v>
                </c:pt>
                <c:pt idx="190">
                  <c:v>45</c:v>
                </c:pt>
                <c:pt idx="191">
                  <c:v>45.5</c:v>
                </c:pt>
                <c:pt idx="192">
                  <c:v>46</c:v>
                </c:pt>
                <c:pt idx="193">
                  <c:v>46.5</c:v>
                </c:pt>
                <c:pt idx="194">
                  <c:v>47</c:v>
                </c:pt>
                <c:pt idx="195">
                  <c:v>47.5</c:v>
                </c:pt>
                <c:pt idx="196">
                  <c:v>48</c:v>
                </c:pt>
                <c:pt idx="197">
                  <c:v>48.5</c:v>
                </c:pt>
                <c:pt idx="198">
                  <c:v>49</c:v>
                </c:pt>
                <c:pt idx="199">
                  <c:v>49.5</c:v>
                </c:pt>
                <c:pt idx="200">
                  <c:v>50</c:v>
                </c:pt>
              </c:numCache>
            </c:numRef>
          </c:xVal>
          <c:yVal>
            <c:numRef>
              <c:f>'subsidence profile with z_0'!$G$16:$G$216</c:f>
              <c:numCache>
                <c:formatCode>0.000</c:formatCode>
                <c:ptCount val="201"/>
                <c:pt idx="0">
                  <c:v>-4.948075339080439E-7</c:v>
                </c:pt>
                <c:pt idx="1">
                  <c:v>-7.0175126470923077E-7</c:v>
                </c:pt>
                <c:pt idx="2">
                  <c:v>-9.91756395966647E-7</c:v>
                </c:pt>
                <c:pt idx="3">
                  <c:v>-1.3966954600479371E-6</c:v>
                </c:pt>
                <c:pt idx="4">
                  <c:v>-1.9600779293163596E-6</c:v>
                </c:pt>
                <c:pt idx="5">
                  <c:v>-2.741068324789523E-6</c:v>
                </c:pt>
                <c:pt idx="6">
                  <c:v>-3.8198058465599969E-6</c:v>
                </c:pt>
                <c:pt idx="7">
                  <c:v>-5.3044165658875138E-6</c:v>
                </c:pt>
                <c:pt idx="8">
                  <c:v>-7.3402163678362471E-6</c:v>
                </c:pt>
                <c:pt idx="9">
                  <c:v>-1.0121736018999041E-5</c:v>
                </c:pt>
                <c:pt idx="10">
                  <c:v>-1.3908364269214981E-5</c:v>
                </c:pt>
                <c:pt idx="11">
                  <c:v>-1.9044606877706782E-5</c:v>
                </c:pt>
                <c:pt idx="12">
                  <c:v>-2.5986205797005788E-5</c:v>
                </c:pt>
                <c:pt idx="13">
                  <c:v>-3.533366118279155E-5</c:v>
                </c:pt>
                <c:pt idx="14">
                  <c:v>-4.7875057931013832E-5</c:v>
                </c:pt>
                <c:pt idx="15">
                  <c:v>-6.4640527265121271E-5</c:v>
                </c:pt>
                <c:pt idx="16">
                  <c:v>-8.6971182217182022E-5</c:v>
                </c:pt>
                <c:pt idx="17">
                  <c:v>-1.1660596365342278E-4</c:v>
                </c:pt>
                <c:pt idx="18">
                  <c:v>-1.5579053069895925E-4</c:v>
                </c:pt>
                <c:pt idx="19">
                  <c:v>-2.0741313538430494E-4</c:v>
                </c:pt>
                <c:pt idx="20">
                  <c:v>-2.7517334427701995E-4</c:v>
                </c:pt>
                <c:pt idx="21">
                  <c:v>-3.6379051606061895E-4</c:v>
                </c:pt>
                <c:pt idx="22">
                  <c:v>-4.7926011690214233E-4</c:v>
                </c:pt>
                <c:pt idx="23">
                  <c:v>-6.2916725445211934E-4</c:v>
                </c:pt>
                <c:pt idx="24">
                  <c:v>-8.2306823061019515E-4</c:v>
                </c:pt>
                <c:pt idx="25">
                  <c:v>-1.0729524401807636E-3</c:v>
                </c:pt>
                <c:pt idx="26">
                  <c:v>-1.3937985562759549E-3</c:v>
                </c:pt>
                <c:pt idx="27">
                  <c:v>-1.8042406127238776E-3</c:v>
                </c:pt>
                <c:pt idx="28">
                  <c:v>-2.3273612758140444E-3</c:v>
                </c:pt>
                <c:pt idx="29">
                  <c:v>-2.9916312357523354E-3</c:v>
                </c:pt>
                <c:pt idx="30">
                  <c:v>-3.8320151700973323E-3</c:v>
                </c:pt>
                <c:pt idx="31">
                  <c:v>-4.891266048241593E-3</c:v>
                </c:pt>
                <c:pt idx="32">
                  <c:v>-6.2214305507713435E-3</c:v>
                </c:pt>
                <c:pt idx="33">
                  <c:v>-7.8855889448723113E-3</c:v>
                </c:pt>
                <c:pt idx="34">
                  <c:v>-9.9598527431061113E-3</c:v>
                </c:pt>
                <c:pt idx="35">
                  <c:v>-1.2535642716880308E-2</c:v>
                </c:pt>
                <c:pt idx="36">
                  <c:v>-1.5722268161769373E-2</c:v>
                </c:pt>
                <c:pt idx="37">
                  <c:v>-1.9649825532015421E-2</c:v>
                </c:pt>
                <c:pt idx="38">
                  <c:v>-2.4472430482091429E-2</c:v>
                </c:pt>
                <c:pt idx="39">
                  <c:v>-3.0371791780413274E-2</c:v>
                </c:pt>
                <c:pt idx="40">
                  <c:v>-3.7561128309049951E-2</c:v>
                </c:pt>
                <c:pt idx="41">
                  <c:v>-4.6289421267342291E-2</c:v>
                </c:pt>
                <c:pt idx="42">
                  <c:v>-5.6845982621138859E-2</c:v>
                </c:pt>
                <c:pt idx="43">
                  <c:v>-6.9565307691431613E-2</c:v>
                </c:pt>
                <c:pt idx="44">
                  <c:v>-8.483216452377422E-2</c:v>
                </c:pt>
                <c:pt idx="45">
                  <c:v>-0.10308685536431463</c:v>
                </c:pt>
                <c:pt idx="46">
                  <c:v>-0.1248305663205342</c:v>
                </c:pt>
                <c:pt idx="47">
                  <c:v>-0.150630700340423</c:v>
                </c:pt>
                <c:pt idx="48">
                  <c:v>-0.18112606635654435</c:v>
                </c:pt>
                <c:pt idx="49">
                  <c:v>-0.21703177429415116</c:v>
                </c:pt>
                <c:pt idx="50">
                  <c:v>-0.25914366225483804</c:v>
                </c:pt>
                <c:pt idx="51">
                  <c:v>-0.30834205931828457</c:v>
                </c:pt>
                <c:pt idx="52">
                  <c:v>-0.36559466595007473</c:v>
                </c:pt>
                <c:pt idx="53">
                  <c:v>-0.43195831498556542</c:v>
                </c:pt>
                <c:pt idx="54">
                  <c:v>-0.50857936070924981</c:v>
                </c:pt>
                <c:pt idx="55">
                  <c:v>-0.59669243287956675</c:v>
                </c:pt>
                <c:pt idx="56">
                  <c:v>-0.69761728792158928</c:v>
                </c:pt>
                <c:pt idx="57">
                  <c:v>-0.81275349218900705</c:v>
                </c:pt>
                <c:pt idx="58">
                  <c:v>-0.94357268339818767</c:v>
                </c:pt>
                <c:pt idx="59">
                  <c:v>-1.0916081771686896</c:v>
                </c:pt>
                <c:pt idx="60">
                  <c:v>-1.2584417170012332</c:v>
                </c:pt>
                <c:pt idx="61">
                  <c:v>-1.4456872086792001</c:v>
                </c:pt>
                <c:pt idx="62">
                  <c:v>-1.6549713343762738</c:v>
                </c:pt>
                <c:pt idx="63">
                  <c:v>-1.8879110076972525</c:v>
                </c:pt>
                <c:pt idx="64">
                  <c:v>-2.1460877080412315</c:v>
                </c:pt>
                <c:pt idx="65">
                  <c:v>-2.4310188201398701</c:v>
                </c:pt>
                <c:pt idx="66">
                  <c:v>-2.744126200950614</c:v>
                </c:pt>
                <c:pt idx="67">
                  <c:v>-3.0867022992988979</c:v>
                </c:pt>
                <c:pt idx="68">
                  <c:v>-3.4598742612539271</c:v>
                </c:pt>
                <c:pt idx="69">
                  <c:v>-3.8645665631736499</c:v>
                </c:pt>
                <c:pt idx="70">
                  <c:v>-4.3014628212003725</c:v>
                </c:pt>
                <c:pt idx="71">
                  <c:v>-4.770967526896591</c:v>
                </c:pt>
                <c:pt idx="72">
                  <c:v>-5.2731685495915244</c:v>
                </c:pt>
                <c:pt idx="73">
                  <c:v>-5.8078013226504268</c:v>
                </c:pt>
                <c:pt idx="74">
                  <c:v>-6.3742156891038446</c:v>
                </c:pt>
                <c:pt idx="75">
                  <c:v>-6.971346417912212</c:v>
                </c:pt>
                <c:pt idx="76">
                  <c:v>-7.5976884120138557</c:v>
                </c:pt>
                <c:pt idx="77">
                  <c:v>-8.2512776102100496</c:v>
                </c:pt>
                <c:pt idx="78">
                  <c:v>-8.9296785346356948</c:v>
                </c:pt>
                <c:pt idx="79">
                  <c:v>-9.6299793527282702</c:v>
                </c:pt>
                <c:pt idx="80">
                  <c:v>-10.348795206984891</c:v>
                </c:pt>
                <c:pt idx="81">
                  <c:v>-11.082280418303736</c:v>
                </c:pt>
                <c:pt idx="82">
                  <c:v>-11.826149991495621</c:v>
                </c:pt>
                <c:pt idx="83">
                  <c:v>-12.575710648033583</c:v>
                </c:pt>
                <c:pt idx="84">
                  <c:v>-13.325901385913172</c:v>
                </c:pt>
                <c:pt idx="85">
                  <c:v>-14.071343325382042</c:v>
                </c:pt>
                <c:pt idx="86">
                  <c:v>-14.806398349005388</c:v>
                </c:pt>
                <c:pt idx="87">
                  <c:v>-15.525235792586331</c:v>
                </c:pt>
                <c:pt idx="88">
                  <c:v>-16.221906197915143</c:v>
                </c:pt>
                <c:pt idx="89">
                  <c:v>-16.890420907485208</c:v>
                </c:pt>
                <c:pt idx="90">
                  <c:v>-17.524836073429174</c:v>
                </c:pt>
                <c:pt idx="91">
                  <c:v>-18.119339475846136</c:v>
                </c:pt>
                <c:pt idx="92">
                  <c:v>-18.668338406539021</c:v>
                </c:pt>
                <c:pt idx="93">
                  <c:v>-19.166546779055633</c:v>
                </c:pt>
                <c:pt idx="94">
                  <c:v>-19.609069579604363</c:v>
                </c:pt>
                <c:pt idx="95">
                  <c:v>-19.991482779117774</c:v>
                </c:pt>
                <c:pt idx="96">
                  <c:v>-20.309906885948021</c:v>
                </c:pt>
                <c:pt idx="97">
                  <c:v>-20.56107243103045</c:v>
                </c:pt>
                <c:pt idx="98">
                  <c:v>-20.742375840590231</c:v>
                </c:pt>
                <c:pt idx="99">
                  <c:v>-20.851924361486592</c:v>
                </c:pt>
                <c:pt idx="100">
                  <c:v>-20.888568955258339</c:v>
                </c:pt>
                <c:pt idx="101">
                  <c:v>-20.851924361486592</c:v>
                </c:pt>
                <c:pt idx="102">
                  <c:v>-20.742375840590231</c:v>
                </c:pt>
                <c:pt idx="103">
                  <c:v>-20.56107243103045</c:v>
                </c:pt>
                <c:pt idx="104">
                  <c:v>-20.309906885948021</c:v>
                </c:pt>
                <c:pt idx="105">
                  <c:v>-19.991482779117774</c:v>
                </c:pt>
                <c:pt idx="106">
                  <c:v>-19.609069579604363</c:v>
                </c:pt>
                <c:pt idx="107">
                  <c:v>-19.166546779055633</c:v>
                </c:pt>
                <c:pt idx="108">
                  <c:v>-18.668338406539021</c:v>
                </c:pt>
                <c:pt idx="109">
                  <c:v>-18.119339475846136</c:v>
                </c:pt>
                <c:pt idx="110">
                  <c:v>-17.524836073429174</c:v>
                </c:pt>
                <c:pt idx="111">
                  <c:v>-16.890420907485208</c:v>
                </c:pt>
                <c:pt idx="112">
                  <c:v>-16.221906197915143</c:v>
                </c:pt>
                <c:pt idx="113">
                  <c:v>-15.525235792586331</c:v>
                </c:pt>
                <c:pt idx="114">
                  <c:v>-14.806398349005388</c:v>
                </c:pt>
                <c:pt idx="115">
                  <c:v>-14.071343325382042</c:v>
                </c:pt>
                <c:pt idx="116">
                  <c:v>-13.325901385913172</c:v>
                </c:pt>
                <c:pt idx="117">
                  <c:v>-12.575710648033583</c:v>
                </c:pt>
                <c:pt idx="118">
                  <c:v>-11.826149991495621</c:v>
                </c:pt>
                <c:pt idx="119">
                  <c:v>-11.082280418303736</c:v>
                </c:pt>
                <c:pt idx="120">
                  <c:v>-10.348795206984891</c:v>
                </c:pt>
                <c:pt idx="121">
                  <c:v>-9.6299793527282702</c:v>
                </c:pt>
                <c:pt idx="122">
                  <c:v>-8.9296785346356948</c:v>
                </c:pt>
                <c:pt idx="123">
                  <c:v>-8.2512776102100496</c:v>
                </c:pt>
                <c:pt idx="124">
                  <c:v>-7.5976884120138557</c:v>
                </c:pt>
                <c:pt idx="125">
                  <c:v>-6.971346417912212</c:v>
                </c:pt>
                <c:pt idx="126">
                  <c:v>-6.3742156891038446</c:v>
                </c:pt>
                <c:pt idx="127">
                  <c:v>-5.8078013226504268</c:v>
                </c:pt>
                <c:pt idx="128">
                  <c:v>-5.2731685495915244</c:v>
                </c:pt>
                <c:pt idx="129">
                  <c:v>-4.770967526896591</c:v>
                </c:pt>
                <c:pt idx="130">
                  <c:v>-4.3014628212003725</c:v>
                </c:pt>
                <c:pt idx="131">
                  <c:v>-3.8645665631736499</c:v>
                </c:pt>
                <c:pt idx="132">
                  <c:v>-3.4598742612539271</c:v>
                </c:pt>
                <c:pt idx="133">
                  <c:v>-3.0867022992988979</c:v>
                </c:pt>
                <c:pt idx="134">
                  <c:v>-2.744126200950614</c:v>
                </c:pt>
                <c:pt idx="135">
                  <c:v>-2.4310188201398701</c:v>
                </c:pt>
                <c:pt idx="136">
                  <c:v>-2.1460877080412315</c:v>
                </c:pt>
                <c:pt idx="137">
                  <c:v>-1.8879110076972525</c:v>
                </c:pt>
                <c:pt idx="138">
                  <c:v>-1.6549713343762738</c:v>
                </c:pt>
                <c:pt idx="139">
                  <c:v>-1.4456872086792001</c:v>
                </c:pt>
                <c:pt idx="140">
                  <c:v>-1.2584417170012332</c:v>
                </c:pt>
                <c:pt idx="141">
                  <c:v>-1.0916081771686896</c:v>
                </c:pt>
                <c:pt idx="142">
                  <c:v>-0.94357268339818767</c:v>
                </c:pt>
                <c:pt idx="143">
                  <c:v>-0.81275349218900705</c:v>
                </c:pt>
                <c:pt idx="144">
                  <c:v>-0.69761728792158928</c:v>
                </c:pt>
                <c:pt idx="145">
                  <c:v>-0.59669243287956675</c:v>
                </c:pt>
                <c:pt idx="146">
                  <c:v>-0.50857936070924981</c:v>
                </c:pt>
                <c:pt idx="147">
                  <c:v>-0.43195831498556542</c:v>
                </c:pt>
                <c:pt idx="148">
                  <c:v>-0.36559466595007473</c:v>
                </c:pt>
                <c:pt idx="149">
                  <c:v>-0.30834205931828457</c:v>
                </c:pt>
                <c:pt idx="150">
                  <c:v>-0.25914366225483804</c:v>
                </c:pt>
                <c:pt idx="151">
                  <c:v>-0.21703177429415116</c:v>
                </c:pt>
                <c:pt idx="152">
                  <c:v>-0.18112606635654435</c:v>
                </c:pt>
                <c:pt idx="153">
                  <c:v>-0.150630700340423</c:v>
                </c:pt>
                <c:pt idx="154">
                  <c:v>-0.1248305663205342</c:v>
                </c:pt>
                <c:pt idx="155">
                  <c:v>-0.10308685536431463</c:v>
                </c:pt>
                <c:pt idx="156">
                  <c:v>-8.483216452377422E-2</c:v>
                </c:pt>
                <c:pt idx="157">
                  <c:v>-6.9565307691431613E-2</c:v>
                </c:pt>
                <c:pt idx="158">
                  <c:v>-5.6845982621138859E-2</c:v>
                </c:pt>
                <c:pt idx="159">
                  <c:v>-4.6289421267342291E-2</c:v>
                </c:pt>
                <c:pt idx="160">
                  <c:v>-3.7561128309049951E-2</c:v>
                </c:pt>
                <c:pt idx="161">
                  <c:v>-3.0371791780413274E-2</c:v>
                </c:pt>
                <c:pt idx="162">
                  <c:v>-2.4472430482091429E-2</c:v>
                </c:pt>
                <c:pt idx="163">
                  <c:v>-1.9649825532015421E-2</c:v>
                </c:pt>
                <c:pt idx="164">
                  <c:v>-1.5722268161769373E-2</c:v>
                </c:pt>
                <c:pt idx="165">
                  <c:v>-1.2535642716880308E-2</c:v>
                </c:pt>
                <c:pt idx="166">
                  <c:v>-9.9598527431061113E-3</c:v>
                </c:pt>
                <c:pt idx="167">
                  <c:v>-7.8855889448723113E-3</c:v>
                </c:pt>
                <c:pt idx="168">
                  <c:v>-6.2214305507713435E-3</c:v>
                </c:pt>
                <c:pt idx="169">
                  <c:v>-4.891266048241593E-3</c:v>
                </c:pt>
                <c:pt idx="170">
                  <c:v>-3.8320151700973323E-3</c:v>
                </c:pt>
                <c:pt idx="171">
                  <c:v>-2.9916312357523354E-3</c:v>
                </c:pt>
                <c:pt idx="172">
                  <c:v>-2.3273612758140444E-3</c:v>
                </c:pt>
                <c:pt idx="173">
                  <c:v>-1.8042406127238776E-3</c:v>
                </c:pt>
                <c:pt idx="174">
                  <c:v>-1.3937985562759549E-3</c:v>
                </c:pt>
                <c:pt idx="175">
                  <c:v>-1.0729524401807636E-3</c:v>
                </c:pt>
                <c:pt idx="176">
                  <c:v>-8.2306823061019515E-4</c:v>
                </c:pt>
                <c:pt idx="177">
                  <c:v>-6.2916725445211934E-4</c:v>
                </c:pt>
                <c:pt idx="178">
                  <c:v>-4.7926011690214233E-4</c:v>
                </c:pt>
                <c:pt idx="179">
                  <c:v>-3.6379051606061895E-4</c:v>
                </c:pt>
                <c:pt idx="180">
                  <c:v>-2.7517334427701995E-4</c:v>
                </c:pt>
                <c:pt idx="181">
                  <c:v>-2.0741313538430494E-4</c:v>
                </c:pt>
                <c:pt idx="182">
                  <c:v>-1.5579053069895925E-4</c:v>
                </c:pt>
                <c:pt idx="183">
                  <c:v>-1.1660596365342278E-4</c:v>
                </c:pt>
                <c:pt idx="184">
                  <c:v>-8.6971182217182022E-5</c:v>
                </c:pt>
                <c:pt idx="185">
                  <c:v>-6.4640527265121271E-5</c:v>
                </c:pt>
                <c:pt idx="186">
                  <c:v>-4.7875057931013832E-5</c:v>
                </c:pt>
                <c:pt idx="187">
                  <c:v>-3.533366118279155E-5</c:v>
                </c:pt>
                <c:pt idx="188">
                  <c:v>-2.5986205797005788E-5</c:v>
                </c:pt>
                <c:pt idx="189">
                  <c:v>-1.9044606877706782E-5</c:v>
                </c:pt>
                <c:pt idx="190">
                  <c:v>-1.3908364269214981E-5</c:v>
                </c:pt>
                <c:pt idx="191">
                  <c:v>-1.0121736018999041E-5</c:v>
                </c:pt>
                <c:pt idx="192">
                  <c:v>-7.3402163678362471E-6</c:v>
                </c:pt>
                <c:pt idx="193">
                  <c:v>-5.3044165658875138E-6</c:v>
                </c:pt>
                <c:pt idx="194">
                  <c:v>-3.8198058465599969E-6</c:v>
                </c:pt>
                <c:pt idx="195">
                  <c:v>-2.741068324789523E-6</c:v>
                </c:pt>
                <c:pt idx="196">
                  <c:v>-1.9600779293163596E-6</c:v>
                </c:pt>
                <c:pt idx="197">
                  <c:v>-1.3966954600479371E-6</c:v>
                </c:pt>
                <c:pt idx="198">
                  <c:v>-9.91756395966647E-7</c:v>
                </c:pt>
                <c:pt idx="199">
                  <c:v>-7.0175126470923077E-7</c:v>
                </c:pt>
                <c:pt idx="200">
                  <c:v>-4.948075339080439E-7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EC-4B4A-BC59-BCBB0F7FB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763328"/>
        <c:axId val="295900672"/>
      </c:scatterChart>
      <c:valAx>
        <c:axId val="295763328"/>
        <c:scaling>
          <c:orientation val="minMax"/>
          <c:max val="30"/>
          <c:min val="-3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it-IT"/>
                  <a:t>ASCISSA TRASVERSALE all'ASSE della GALLERIA (m)</a:t>
                </a:r>
              </a:p>
            </c:rich>
          </c:tx>
          <c:layout>
            <c:manualLayout>
              <c:xMode val="edge"/>
              <c:yMode val="edge"/>
              <c:x val="0.1497464593575549"/>
              <c:y val="0.1509011373578302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295900672"/>
        <c:crosses val="autoZero"/>
        <c:crossBetween val="midCat"/>
      </c:valAx>
      <c:valAx>
        <c:axId val="295900672"/>
        <c:scaling>
          <c:orientation val="minMax"/>
          <c:max val="2.5"/>
          <c:min val="-30"/>
        </c:scaling>
        <c:delete val="0"/>
        <c:axPos val="l"/>
        <c:title>
          <c:tx>
            <c:rich>
              <a:bodyPr/>
              <a:lstStyle/>
              <a:p>
                <a:pPr>
                  <a:defRPr sz="1525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it-IT"/>
                  <a:t>W (mm)</a:t>
                </a:r>
              </a:p>
            </c:rich>
          </c:tx>
          <c:layout>
            <c:manualLayout>
              <c:xMode val="edge"/>
              <c:yMode val="edge"/>
              <c:x val="1.2690355329949238E-2"/>
              <c:y val="0.522523704807169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295763328"/>
        <c:crossesAt val="0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25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it-IT"/>
              <a:t>CONCHE DI SUBSIDENZA CON L'ALTEZZA DI COPERTURA</a:t>
            </a:r>
          </a:p>
        </c:rich>
      </c:tx>
      <c:layout>
        <c:manualLayout>
          <c:xMode val="edge"/>
          <c:yMode val="edge"/>
          <c:x val="0.22670051633973964"/>
          <c:y val="1.126126126126126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94473928578018"/>
          <c:y val="0.27027086472160211"/>
          <c:w val="0.76826290964325905"/>
          <c:h val="0.66666813297995187"/>
        </c:manualLayout>
      </c:layout>
      <c:scatterChart>
        <c:scatterStyle val="lineMarker"/>
        <c:varyColors val="0"/>
        <c:ser>
          <c:idx val="3"/>
          <c:order val="0"/>
          <c:tx>
            <c:v>NUMERICO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9ED5-47C2-A271-CF1E757BF85B}"/>
            </c:ext>
          </c:extLst>
        </c:ser>
        <c:ser>
          <c:idx val="0"/>
          <c:order val="1"/>
          <c:tx>
            <c:v>EMPIRICO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none"/>
          </c:marker>
          <c:xVal>
            <c:numRef>
              <c:f>'subsidence profile with z_0'!$B$16:$B$216</c:f>
              <c:numCache>
                <c:formatCode>0.000</c:formatCode>
                <c:ptCount val="201"/>
                <c:pt idx="0">
                  <c:v>-50</c:v>
                </c:pt>
                <c:pt idx="1">
                  <c:v>-49.5</c:v>
                </c:pt>
                <c:pt idx="2">
                  <c:v>-49</c:v>
                </c:pt>
                <c:pt idx="3">
                  <c:v>-48.5</c:v>
                </c:pt>
                <c:pt idx="4">
                  <c:v>-48</c:v>
                </c:pt>
                <c:pt idx="5">
                  <c:v>-47.5</c:v>
                </c:pt>
                <c:pt idx="6">
                  <c:v>-47</c:v>
                </c:pt>
                <c:pt idx="7">
                  <c:v>-46.5</c:v>
                </c:pt>
                <c:pt idx="8">
                  <c:v>-46</c:v>
                </c:pt>
                <c:pt idx="9">
                  <c:v>-45.5</c:v>
                </c:pt>
                <c:pt idx="10">
                  <c:v>-45</c:v>
                </c:pt>
                <c:pt idx="11">
                  <c:v>-44.5</c:v>
                </c:pt>
                <c:pt idx="12">
                  <c:v>-44</c:v>
                </c:pt>
                <c:pt idx="13">
                  <c:v>-43.5</c:v>
                </c:pt>
                <c:pt idx="14">
                  <c:v>-43</c:v>
                </c:pt>
                <c:pt idx="15">
                  <c:v>-42.5</c:v>
                </c:pt>
                <c:pt idx="16">
                  <c:v>-42</c:v>
                </c:pt>
                <c:pt idx="17">
                  <c:v>-41.5</c:v>
                </c:pt>
                <c:pt idx="18">
                  <c:v>-41</c:v>
                </c:pt>
                <c:pt idx="19">
                  <c:v>-40.5</c:v>
                </c:pt>
                <c:pt idx="20">
                  <c:v>-40</c:v>
                </c:pt>
                <c:pt idx="21">
                  <c:v>-39.5</c:v>
                </c:pt>
                <c:pt idx="22">
                  <c:v>-39</c:v>
                </c:pt>
                <c:pt idx="23">
                  <c:v>-38.5</c:v>
                </c:pt>
                <c:pt idx="24">
                  <c:v>-38</c:v>
                </c:pt>
                <c:pt idx="25">
                  <c:v>-37.5</c:v>
                </c:pt>
                <c:pt idx="26">
                  <c:v>-37</c:v>
                </c:pt>
                <c:pt idx="27">
                  <c:v>-36.5</c:v>
                </c:pt>
                <c:pt idx="28">
                  <c:v>-36</c:v>
                </c:pt>
                <c:pt idx="29">
                  <c:v>-35.5</c:v>
                </c:pt>
                <c:pt idx="30">
                  <c:v>-35</c:v>
                </c:pt>
                <c:pt idx="31">
                  <c:v>-34.5</c:v>
                </c:pt>
                <c:pt idx="32">
                  <c:v>-34</c:v>
                </c:pt>
                <c:pt idx="33">
                  <c:v>-33.5</c:v>
                </c:pt>
                <c:pt idx="34">
                  <c:v>-33</c:v>
                </c:pt>
                <c:pt idx="35">
                  <c:v>-32.5</c:v>
                </c:pt>
                <c:pt idx="36">
                  <c:v>-32</c:v>
                </c:pt>
                <c:pt idx="37">
                  <c:v>-31.5</c:v>
                </c:pt>
                <c:pt idx="38">
                  <c:v>-31</c:v>
                </c:pt>
                <c:pt idx="39">
                  <c:v>-30.5</c:v>
                </c:pt>
                <c:pt idx="40">
                  <c:v>-30</c:v>
                </c:pt>
                <c:pt idx="41">
                  <c:v>-29.5</c:v>
                </c:pt>
                <c:pt idx="42">
                  <c:v>-29</c:v>
                </c:pt>
                <c:pt idx="43">
                  <c:v>-28.5</c:v>
                </c:pt>
                <c:pt idx="44">
                  <c:v>-28</c:v>
                </c:pt>
                <c:pt idx="45">
                  <c:v>-27.5</c:v>
                </c:pt>
                <c:pt idx="46">
                  <c:v>-27</c:v>
                </c:pt>
                <c:pt idx="47">
                  <c:v>-26.5</c:v>
                </c:pt>
                <c:pt idx="48">
                  <c:v>-26</c:v>
                </c:pt>
                <c:pt idx="49">
                  <c:v>-25.5</c:v>
                </c:pt>
                <c:pt idx="50">
                  <c:v>-25</c:v>
                </c:pt>
                <c:pt idx="51">
                  <c:v>-24.5</c:v>
                </c:pt>
                <c:pt idx="52">
                  <c:v>-24</c:v>
                </c:pt>
                <c:pt idx="53">
                  <c:v>-23.5</c:v>
                </c:pt>
                <c:pt idx="54">
                  <c:v>-23</c:v>
                </c:pt>
                <c:pt idx="55">
                  <c:v>-22.5</c:v>
                </c:pt>
                <c:pt idx="56">
                  <c:v>-22</c:v>
                </c:pt>
                <c:pt idx="57">
                  <c:v>-21.5</c:v>
                </c:pt>
                <c:pt idx="58">
                  <c:v>-21</c:v>
                </c:pt>
                <c:pt idx="59">
                  <c:v>-20.5</c:v>
                </c:pt>
                <c:pt idx="60">
                  <c:v>-20</c:v>
                </c:pt>
                <c:pt idx="61">
                  <c:v>-19.5</c:v>
                </c:pt>
                <c:pt idx="62">
                  <c:v>-19</c:v>
                </c:pt>
                <c:pt idx="63">
                  <c:v>-18.5</c:v>
                </c:pt>
                <c:pt idx="64">
                  <c:v>-18</c:v>
                </c:pt>
                <c:pt idx="65">
                  <c:v>-17.5</c:v>
                </c:pt>
                <c:pt idx="66">
                  <c:v>-17</c:v>
                </c:pt>
                <c:pt idx="67">
                  <c:v>-16.5</c:v>
                </c:pt>
                <c:pt idx="68">
                  <c:v>-16</c:v>
                </c:pt>
                <c:pt idx="69">
                  <c:v>-15.5</c:v>
                </c:pt>
                <c:pt idx="70">
                  <c:v>-15</c:v>
                </c:pt>
                <c:pt idx="71">
                  <c:v>-14.5</c:v>
                </c:pt>
                <c:pt idx="72">
                  <c:v>-14</c:v>
                </c:pt>
                <c:pt idx="73">
                  <c:v>-13.5</c:v>
                </c:pt>
                <c:pt idx="74">
                  <c:v>-13</c:v>
                </c:pt>
                <c:pt idx="75">
                  <c:v>-12.5</c:v>
                </c:pt>
                <c:pt idx="76">
                  <c:v>-12</c:v>
                </c:pt>
                <c:pt idx="77">
                  <c:v>-11.5</c:v>
                </c:pt>
                <c:pt idx="78">
                  <c:v>-11</c:v>
                </c:pt>
                <c:pt idx="79">
                  <c:v>-10.5</c:v>
                </c:pt>
                <c:pt idx="80">
                  <c:v>-10</c:v>
                </c:pt>
                <c:pt idx="81">
                  <c:v>-9.5</c:v>
                </c:pt>
                <c:pt idx="82">
                  <c:v>-9</c:v>
                </c:pt>
                <c:pt idx="83">
                  <c:v>-8.5</c:v>
                </c:pt>
                <c:pt idx="84">
                  <c:v>-8</c:v>
                </c:pt>
                <c:pt idx="85">
                  <c:v>-7.5</c:v>
                </c:pt>
                <c:pt idx="86">
                  <c:v>-7</c:v>
                </c:pt>
                <c:pt idx="87">
                  <c:v>-6.5</c:v>
                </c:pt>
                <c:pt idx="88">
                  <c:v>-6</c:v>
                </c:pt>
                <c:pt idx="89">
                  <c:v>-5.5</c:v>
                </c:pt>
                <c:pt idx="90">
                  <c:v>-5</c:v>
                </c:pt>
                <c:pt idx="91">
                  <c:v>-4.5</c:v>
                </c:pt>
                <c:pt idx="92">
                  <c:v>-4</c:v>
                </c:pt>
                <c:pt idx="93">
                  <c:v>-3.5</c:v>
                </c:pt>
                <c:pt idx="94">
                  <c:v>-3</c:v>
                </c:pt>
                <c:pt idx="95">
                  <c:v>-2.5</c:v>
                </c:pt>
                <c:pt idx="96">
                  <c:v>-2</c:v>
                </c:pt>
                <c:pt idx="97">
                  <c:v>-1.5</c:v>
                </c:pt>
                <c:pt idx="98">
                  <c:v>-1</c:v>
                </c:pt>
                <c:pt idx="99">
                  <c:v>-0.5</c:v>
                </c:pt>
                <c:pt idx="100">
                  <c:v>0</c:v>
                </c:pt>
                <c:pt idx="101">
                  <c:v>0.5</c:v>
                </c:pt>
                <c:pt idx="102">
                  <c:v>1</c:v>
                </c:pt>
                <c:pt idx="103">
                  <c:v>1.5</c:v>
                </c:pt>
                <c:pt idx="104">
                  <c:v>2</c:v>
                </c:pt>
                <c:pt idx="105">
                  <c:v>2.5</c:v>
                </c:pt>
                <c:pt idx="106">
                  <c:v>3</c:v>
                </c:pt>
                <c:pt idx="107">
                  <c:v>3.5</c:v>
                </c:pt>
                <c:pt idx="108">
                  <c:v>4</c:v>
                </c:pt>
                <c:pt idx="109">
                  <c:v>4.5</c:v>
                </c:pt>
                <c:pt idx="110">
                  <c:v>5</c:v>
                </c:pt>
                <c:pt idx="111">
                  <c:v>5.5</c:v>
                </c:pt>
                <c:pt idx="112">
                  <c:v>6</c:v>
                </c:pt>
                <c:pt idx="113">
                  <c:v>6.5</c:v>
                </c:pt>
                <c:pt idx="114">
                  <c:v>7</c:v>
                </c:pt>
                <c:pt idx="115">
                  <c:v>7.5</c:v>
                </c:pt>
                <c:pt idx="116">
                  <c:v>8</c:v>
                </c:pt>
                <c:pt idx="117">
                  <c:v>8.5</c:v>
                </c:pt>
                <c:pt idx="118">
                  <c:v>9</c:v>
                </c:pt>
                <c:pt idx="119">
                  <c:v>9.5</c:v>
                </c:pt>
                <c:pt idx="120">
                  <c:v>10</c:v>
                </c:pt>
                <c:pt idx="121">
                  <c:v>10.5</c:v>
                </c:pt>
                <c:pt idx="122">
                  <c:v>11</c:v>
                </c:pt>
                <c:pt idx="123">
                  <c:v>11.5</c:v>
                </c:pt>
                <c:pt idx="124">
                  <c:v>12</c:v>
                </c:pt>
                <c:pt idx="125">
                  <c:v>12.5</c:v>
                </c:pt>
                <c:pt idx="126">
                  <c:v>13</c:v>
                </c:pt>
                <c:pt idx="127">
                  <c:v>13.5</c:v>
                </c:pt>
                <c:pt idx="128">
                  <c:v>14</c:v>
                </c:pt>
                <c:pt idx="129">
                  <c:v>14.5</c:v>
                </c:pt>
                <c:pt idx="130">
                  <c:v>15</c:v>
                </c:pt>
                <c:pt idx="131">
                  <c:v>15.5</c:v>
                </c:pt>
                <c:pt idx="132">
                  <c:v>16</c:v>
                </c:pt>
                <c:pt idx="133">
                  <c:v>16.5</c:v>
                </c:pt>
                <c:pt idx="134">
                  <c:v>17</c:v>
                </c:pt>
                <c:pt idx="135">
                  <c:v>17.5</c:v>
                </c:pt>
                <c:pt idx="136">
                  <c:v>18</c:v>
                </c:pt>
                <c:pt idx="137">
                  <c:v>18.5</c:v>
                </c:pt>
                <c:pt idx="138">
                  <c:v>19</c:v>
                </c:pt>
                <c:pt idx="139">
                  <c:v>19.5</c:v>
                </c:pt>
                <c:pt idx="140">
                  <c:v>20</c:v>
                </c:pt>
                <c:pt idx="141">
                  <c:v>20.5</c:v>
                </c:pt>
                <c:pt idx="142">
                  <c:v>21</c:v>
                </c:pt>
                <c:pt idx="143">
                  <c:v>21.5</c:v>
                </c:pt>
                <c:pt idx="144">
                  <c:v>22</c:v>
                </c:pt>
                <c:pt idx="145">
                  <c:v>22.5</c:v>
                </c:pt>
                <c:pt idx="146">
                  <c:v>23</c:v>
                </c:pt>
                <c:pt idx="147">
                  <c:v>23.5</c:v>
                </c:pt>
                <c:pt idx="148">
                  <c:v>24</c:v>
                </c:pt>
                <c:pt idx="149">
                  <c:v>24.5</c:v>
                </c:pt>
                <c:pt idx="150">
                  <c:v>25</c:v>
                </c:pt>
                <c:pt idx="151">
                  <c:v>25.5</c:v>
                </c:pt>
                <c:pt idx="152">
                  <c:v>26</c:v>
                </c:pt>
                <c:pt idx="153">
                  <c:v>26.5</c:v>
                </c:pt>
                <c:pt idx="154">
                  <c:v>27</c:v>
                </c:pt>
                <c:pt idx="155">
                  <c:v>27.5</c:v>
                </c:pt>
                <c:pt idx="156">
                  <c:v>28</c:v>
                </c:pt>
                <c:pt idx="157">
                  <c:v>28.5</c:v>
                </c:pt>
                <c:pt idx="158">
                  <c:v>29</c:v>
                </c:pt>
                <c:pt idx="159">
                  <c:v>29.5</c:v>
                </c:pt>
                <c:pt idx="160">
                  <c:v>30</c:v>
                </c:pt>
                <c:pt idx="161">
                  <c:v>30.5</c:v>
                </c:pt>
                <c:pt idx="162">
                  <c:v>31</c:v>
                </c:pt>
                <c:pt idx="163">
                  <c:v>31.5</c:v>
                </c:pt>
                <c:pt idx="164">
                  <c:v>32</c:v>
                </c:pt>
                <c:pt idx="165">
                  <c:v>32.5</c:v>
                </c:pt>
                <c:pt idx="166">
                  <c:v>33</c:v>
                </c:pt>
                <c:pt idx="167">
                  <c:v>33.5</c:v>
                </c:pt>
                <c:pt idx="168">
                  <c:v>34</c:v>
                </c:pt>
                <c:pt idx="169">
                  <c:v>34.5</c:v>
                </c:pt>
                <c:pt idx="170">
                  <c:v>35</c:v>
                </c:pt>
                <c:pt idx="171">
                  <c:v>35.5</c:v>
                </c:pt>
                <c:pt idx="172">
                  <c:v>36</c:v>
                </c:pt>
                <c:pt idx="173">
                  <c:v>36.5</c:v>
                </c:pt>
                <c:pt idx="174">
                  <c:v>37</c:v>
                </c:pt>
                <c:pt idx="175">
                  <c:v>37.5</c:v>
                </c:pt>
                <c:pt idx="176">
                  <c:v>38</c:v>
                </c:pt>
                <c:pt idx="177">
                  <c:v>38.5</c:v>
                </c:pt>
                <c:pt idx="178">
                  <c:v>39</c:v>
                </c:pt>
                <c:pt idx="179">
                  <c:v>39.5</c:v>
                </c:pt>
                <c:pt idx="180">
                  <c:v>40</c:v>
                </c:pt>
                <c:pt idx="181">
                  <c:v>40.5</c:v>
                </c:pt>
                <c:pt idx="182">
                  <c:v>41</c:v>
                </c:pt>
                <c:pt idx="183">
                  <c:v>41.5</c:v>
                </c:pt>
                <c:pt idx="184">
                  <c:v>42</c:v>
                </c:pt>
                <c:pt idx="185">
                  <c:v>42.5</c:v>
                </c:pt>
                <c:pt idx="186">
                  <c:v>43</c:v>
                </c:pt>
                <c:pt idx="187">
                  <c:v>43.5</c:v>
                </c:pt>
                <c:pt idx="188">
                  <c:v>44</c:v>
                </c:pt>
                <c:pt idx="189">
                  <c:v>44.5</c:v>
                </c:pt>
                <c:pt idx="190">
                  <c:v>45</c:v>
                </c:pt>
                <c:pt idx="191">
                  <c:v>45.5</c:v>
                </c:pt>
                <c:pt idx="192">
                  <c:v>46</c:v>
                </c:pt>
                <c:pt idx="193">
                  <c:v>46.5</c:v>
                </c:pt>
                <c:pt idx="194">
                  <c:v>47</c:v>
                </c:pt>
                <c:pt idx="195">
                  <c:v>47.5</c:v>
                </c:pt>
                <c:pt idx="196">
                  <c:v>48</c:v>
                </c:pt>
                <c:pt idx="197">
                  <c:v>48.5</c:v>
                </c:pt>
                <c:pt idx="198">
                  <c:v>49</c:v>
                </c:pt>
                <c:pt idx="199">
                  <c:v>49.5</c:v>
                </c:pt>
                <c:pt idx="200">
                  <c:v>50</c:v>
                </c:pt>
              </c:numCache>
            </c:numRef>
          </c:xVal>
          <c:yVal>
            <c:numRef>
              <c:f>'subsidence profile with z_0'!$H$16:$H$216</c:f>
              <c:numCache>
                <c:formatCode>0.000</c:formatCode>
                <c:ptCount val="201"/>
                <c:pt idx="0">
                  <c:v>-8.8157752222011137E-5</c:v>
                </c:pt>
                <c:pt idx="1">
                  <c:v>-1.1236739177701235E-4</c:v>
                </c:pt>
                <c:pt idx="2">
                  <c:v>-1.4287656448756753E-4</c:v>
                </c:pt>
                <c:pt idx="3">
                  <c:v>-1.8122687600427364E-4</c:v>
                </c:pt>
                <c:pt idx="4">
                  <c:v>-2.2931112023084999E-4</c:v>
                </c:pt>
                <c:pt idx="5">
                  <c:v>-2.8944665459446035E-4</c:v>
                </c:pt>
                <c:pt idx="6">
                  <c:v>-3.6446250803876841E-4</c:v>
                </c:pt>
                <c:pt idx="7">
                  <c:v>-4.5780242739408409E-4</c:v>
                </c:pt>
                <c:pt idx="8">
                  <c:v>-5.7364634309045408E-4</c:v>
                </c:pt>
                <c:pt idx="9">
                  <c:v>-7.1705302825471893E-4</c:v>
                </c:pt>
                <c:pt idx="10">
                  <c:v>-8.9412703348396971E-4</c:v>
                </c:pt>
                <c:pt idx="11">
                  <c:v>-1.1122132993446187E-3</c:v>
                </c:pt>
                <c:pt idx="12">
                  <c:v>-1.3801231749859071E-3</c:v>
                </c:pt>
                <c:pt idx="13">
                  <c:v>-1.7083958978343693E-3</c:v>
                </c:pt>
                <c:pt idx="14">
                  <c:v>-2.1095999082180079E-3</c:v>
                </c:pt>
                <c:pt idx="15">
                  <c:v>-2.5986786742763107E-3</c:v>
                </c:pt>
                <c:pt idx="16">
                  <c:v>-3.1933459750811098E-3</c:v>
                </c:pt>
                <c:pt idx="17">
                  <c:v>-3.9145358199653415E-3</c:v>
                </c:pt>
                <c:pt idx="18">
                  <c:v>-4.7869123540053736E-3</c:v>
                </c:pt>
                <c:pt idx="19">
                  <c:v>-5.8394451957114917E-3</c:v>
                </c:pt>
                <c:pt idx="20">
                  <c:v>-7.1060556534821365E-3</c:v>
                </c:pt>
                <c:pt idx="21">
                  <c:v>-8.62633915056772E-3</c:v>
                </c:pt>
                <c:pt idx="22">
                  <c:v>-1.044636893073359E-2</c:v>
                </c:pt>
                <c:pt idx="23">
                  <c:v>-1.2619585693648249E-2</c:v>
                </c:pt>
                <c:pt idx="24">
                  <c:v>-1.5207777194384174E-2</c:v>
                </c:pt>
                <c:pt idx="25">
                  <c:v>-1.8282151008975699E-2</c:v>
                </c:pt>
                <c:pt idx="26">
                  <c:v>-2.1924502591616723E-2</c:v>
                </c:pt>
                <c:pt idx="27">
                  <c:v>-2.622847940371454E-2</c:v>
                </c:pt>
                <c:pt idx="28">
                  <c:v>-3.1300940257541619E-2</c:v>
                </c:pt>
                <c:pt idx="29">
                  <c:v>-3.7263407067609736E-2</c:v>
                </c:pt>
                <c:pt idx="30">
                  <c:v>-4.4253603925374765E-2</c:v>
                </c:pt>
                <c:pt idx="31">
                  <c:v>-5.2427075797307002E-2</c:v>
                </c:pt>
                <c:pt idx="32">
                  <c:v>-6.1958876189575816E-2</c:v>
                </c:pt>
                <c:pt idx="33">
                  <c:v>-7.3045309829887356E-2</c:v>
                </c:pt>
                <c:pt idx="34">
                  <c:v>-8.5905712803595519E-2</c:v>
                </c:pt>
                <c:pt idx="35">
                  <c:v>-0.10078424867362769</c:v>
                </c:pt>
                <c:pt idx="36">
                  <c:v>-0.11795169495125661</c:v>
                </c:pt>
                <c:pt idx="37">
                  <c:v>-0.13770718992039513</c:v>
                </c:pt>
                <c:pt idx="38">
                  <c:v>-0.16037990531976393</c:v>
                </c:pt>
                <c:pt idx="39">
                  <c:v>-0.18633060583834379</c:v>
                </c:pt>
                <c:pt idx="40">
                  <c:v>-0.21595305187903172</c:v>
                </c:pt>
                <c:pt idx="41">
                  <c:v>-0.24967519770803537</c:v>
                </c:pt>
                <c:pt idx="42">
                  <c:v>-0.2879601330627648</c:v>
                </c:pt>
                <c:pt idx="43">
                  <c:v>-0.331306712681955</c:v>
                </c:pt>
                <c:pt idx="44">
                  <c:v>-0.38024981520328011</c:v>
                </c:pt>
                <c:pt idx="45">
                  <c:v>-0.4353601706097347</c:v>
                </c:pt>
                <c:pt idx="46">
                  <c:v>-0.4972436940663057</c:v>
                </c:pt>
                <c:pt idx="47">
                  <c:v>-0.56654026374455901</c:v>
                </c:pt>
                <c:pt idx="48">
                  <c:v>-0.64392188125352945</c:v>
                </c:pt>
                <c:pt idx="49">
                  <c:v>-0.73009015574151626</c:v>
                </c:pt>
                <c:pt idx="50">
                  <c:v>-0.8257730567520366</c:v>
                </c:pt>
                <c:pt idx="51">
                  <c:v>-0.93172088663526631</c:v>
                </c:pt>
                <c:pt idx="52">
                  <c:v>-1.048701430834361</c:v>
                </c:pt>
                <c:pt idx="53">
                  <c:v>-1.1774942537517938</c:v>
                </c:pt>
                <c:pt idx="54">
                  <c:v>-1.3188841191826426</c:v>
                </c:pt>
                <c:pt idx="55">
                  <c:v>-1.4736535274626614</c:v>
                </c:pt>
                <c:pt idx="56">
                  <c:v>-1.6425743764515319</c:v>
                </c:pt>
                <c:pt idx="57">
                  <c:v>-1.8263987701330695</c:v>
                </c:pt>
                <c:pt idx="58">
                  <c:v>-2.025849016783225</c:v>
                </c:pt>
                <c:pt idx="59">
                  <c:v>-2.2416068780917642</c:v>
                </c:pt>
                <c:pt idx="60">
                  <c:v>-2.4743021510219529</c:v>
                </c:pt>
                <c:pt idx="61">
                  <c:v>-2.7245006851926989</c:v>
                </c:pt>
                <c:pt idx="62">
                  <c:v>-2.9926919597516632</c:v>
                </c:pt>
                <c:pt idx="63">
                  <c:v>-3.2792763646081142</c:v>
                </c:pt>
                <c:pt idx="64">
                  <c:v>-3.5845523510003101</c:v>
                </c:pt>
                <c:pt idx="65">
                  <c:v>-3.908703635141157</c:v>
                </c:pt>
                <c:pt idx="66">
                  <c:v>-4.2517866555540982</c:v>
                </c:pt>
                <c:pt idx="67">
                  <c:v>-4.6137184991081082</c:v>
                </c:pt>
                <c:pt idx="68">
                  <c:v>-4.9942655221239383</c:v>
                </c:pt>
                <c:pt idx="69">
                  <c:v>-5.3930329007160323</c:v>
                </c:pt>
                <c:pt idx="70">
                  <c:v>-5.809455348260177</c:v>
                </c:pt>
                <c:pt idx="71">
                  <c:v>-6.2427892371004301</c:v>
                </c:pt>
                <c:pt idx="72">
                  <c:v>-6.6921063559710667</c:v>
                </c:pt>
                <c:pt idx="73">
                  <c:v>-7.1562895238446531</c:v>
                </c:pt>
                <c:pt idx="74">
                  <c:v>-7.6340302648686498</c:v>
                </c:pt>
                <c:pt idx="75">
                  <c:v>-8.123828727683545</c:v>
                </c:pt>
                <c:pt idx="76">
                  <c:v>-8.6239960058207412</c:v>
                </c:pt>
                <c:pt idx="77">
                  <c:v>-9.1326589842910497</c:v>
                </c:pt>
                <c:pt idx="78">
                  <c:v>-9.6477678012696373</c:v>
                </c:pt>
                <c:pt idx="79">
                  <c:v>-10.167105973475852</c:v>
                </c:pt>
                <c:pt idx="80">
                  <c:v>-10.688303190087941</c:v>
                </c:pt>
                <c:pt idx="81">
                  <c:v>-11.208850733600638</c:v>
                </c:pt>
                <c:pt idx="82">
                  <c:v>-11.726119437818369</c:v>
                </c:pt>
                <c:pt idx="83">
                  <c:v>-12.23738004416292</c:v>
                </c:pt>
                <c:pt idx="84">
                  <c:v>-12.739825768719593</c:v>
                </c:pt>
                <c:pt idx="85">
                  <c:v>-13.230596845055295</c:v>
                </c:pt>
                <c:pt idx="86">
                  <c:v>-13.706806762940833</c:v>
                </c:pt>
                <c:pt idx="87">
                  <c:v>-14.165569881812674</c:v>
                </c:pt>
                <c:pt idx="88">
                  <c:v>-14.604030061190977</c:v>
                </c:pt>
                <c:pt idx="89">
                  <c:v>-15.019389919332825</c:v>
                </c:pt>
                <c:pt idx="90">
                  <c:v>-15.408940307042517</c:v>
                </c:pt>
                <c:pt idx="91">
                  <c:v>-15.770089566554367</c:v>
                </c:pt>
                <c:pt idx="92">
                  <c:v>-16.100392136361656</c:v>
                </c:pt>
                <c:pt idx="93">
                  <c:v>-16.397576062225205</c:v>
                </c:pt>
                <c:pt idx="94">
                  <c:v>-16.659568982598145</c:v>
                </c:pt>
                <c:pt idx="95">
                  <c:v>-16.884522173386291</c:v>
                </c:pt>
                <c:pt idx="96">
                  <c:v>-17.070832262149121</c:v>
                </c:pt>
                <c:pt idx="97">
                  <c:v>-17.217160255146116</c:v>
                </c:pt>
                <c:pt idx="98">
                  <c:v>-17.322447561452101</c:v>
                </c:pt>
                <c:pt idx="99">
                  <c:v>-17.385928745915265</c:v>
                </c:pt>
                <c:pt idx="100">
                  <c:v>-17.407140796048619</c:v>
                </c:pt>
                <c:pt idx="101">
                  <c:v>-17.385928745915265</c:v>
                </c:pt>
                <c:pt idx="102">
                  <c:v>-17.322447561452101</c:v>
                </c:pt>
                <c:pt idx="103">
                  <c:v>-17.217160255146116</c:v>
                </c:pt>
                <c:pt idx="104">
                  <c:v>-17.070832262149121</c:v>
                </c:pt>
                <c:pt idx="105">
                  <c:v>-16.884522173386291</c:v>
                </c:pt>
                <c:pt idx="106">
                  <c:v>-16.659568982598145</c:v>
                </c:pt>
                <c:pt idx="107">
                  <c:v>-16.397576062225205</c:v>
                </c:pt>
                <c:pt idx="108">
                  <c:v>-16.100392136361656</c:v>
                </c:pt>
                <c:pt idx="109">
                  <c:v>-15.770089566554367</c:v>
                </c:pt>
                <c:pt idx="110">
                  <c:v>-15.408940307042517</c:v>
                </c:pt>
                <c:pt idx="111">
                  <c:v>-15.019389919332825</c:v>
                </c:pt>
                <c:pt idx="112">
                  <c:v>-14.604030061190977</c:v>
                </c:pt>
                <c:pt idx="113">
                  <c:v>-14.165569881812674</c:v>
                </c:pt>
                <c:pt idx="114">
                  <c:v>-13.706806762940833</c:v>
                </c:pt>
                <c:pt idx="115">
                  <c:v>-13.230596845055295</c:v>
                </c:pt>
                <c:pt idx="116">
                  <c:v>-12.739825768719593</c:v>
                </c:pt>
                <c:pt idx="117">
                  <c:v>-12.23738004416292</c:v>
                </c:pt>
                <c:pt idx="118">
                  <c:v>-11.726119437818369</c:v>
                </c:pt>
                <c:pt idx="119">
                  <c:v>-11.208850733600638</c:v>
                </c:pt>
                <c:pt idx="120">
                  <c:v>-10.688303190087941</c:v>
                </c:pt>
                <c:pt idx="121">
                  <c:v>-10.167105973475852</c:v>
                </c:pt>
                <c:pt idx="122">
                  <c:v>-9.6477678012696373</c:v>
                </c:pt>
                <c:pt idx="123">
                  <c:v>-9.1326589842910497</c:v>
                </c:pt>
                <c:pt idx="124">
                  <c:v>-8.6239960058207412</c:v>
                </c:pt>
                <c:pt idx="125">
                  <c:v>-8.123828727683545</c:v>
                </c:pt>
                <c:pt idx="126">
                  <c:v>-7.6340302648686498</c:v>
                </c:pt>
                <c:pt idx="127">
                  <c:v>-7.1562895238446531</c:v>
                </c:pt>
                <c:pt idx="128">
                  <c:v>-6.6921063559710667</c:v>
                </c:pt>
                <c:pt idx="129">
                  <c:v>-6.2427892371004301</c:v>
                </c:pt>
                <c:pt idx="130">
                  <c:v>-5.809455348260177</c:v>
                </c:pt>
                <c:pt idx="131">
                  <c:v>-5.3930329007160323</c:v>
                </c:pt>
                <c:pt idx="132">
                  <c:v>-4.9942655221239383</c:v>
                </c:pt>
                <c:pt idx="133">
                  <c:v>-4.6137184991081082</c:v>
                </c:pt>
                <c:pt idx="134">
                  <c:v>-4.2517866555540982</c:v>
                </c:pt>
                <c:pt idx="135">
                  <c:v>-3.908703635141157</c:v>
                </c:pt>
                <c:pt idx="136">
                  <c:v>-3.5845523510003101</c:v>
                </c:pt>
                <c:pt idx="137">
                  <c:v>-3.2792763646081142</c:v>
                </c:pt>
                <c:pt idx="138">
                  <c:v>-2.9926919597516632</c:v>
                </c:pt>
                <c:pt idx="139">
                  <c:v>-2.7245006851926989</c:v>
                </c:pt>
                <c:pt idx="140">
                  <c:v>-2.4743021510219529</c:v>
                </c:pt>
                <c:pt idx="141">
                  <c:v>-2.2416068780917642</c:v>
                </c:pt>
                <c:pt idx="142">
                  <c:v>-2.025849016783225</c:v>
                </c:pt>
                <c:pt idx="143">
                  <c:v>-1.8263987701330695</c:v>
                </c:pt>
                <c:pt idx="144">
                  <c:v>-1.6425743764515319</c:v>
                </c:pt>
                <c:pt idx="145">
                  <c:v>-1.4736535274626614</c:v>
                </c:pt>
                <c:pt idx="146">
                  <c:v>-1.3188841191826426</c:v>
                </c:pt>
                <c:pt idx="147">
                  <c:v>-1.1774942537517938</c:v>
                </c:pt>
                <c:pt idx="148">
                  <c:v>-1.048701430834361</c:v>
                </c:pt>
                <c:pt idx="149">
                  <c:v>-0.93172088663526631</c:v>
                </c:pt>
                <c:pt idx="150">
                  <c:v>-0.8257730567520366</c:v>
                </c:pt>
                <c:pt idx="151">
                  <c:v>-0.73009015574151626</c:v>
                </c:pt>
                <c:pt idx="152">
                  <c:v>-0.64392188125352945</c:v>
                </c:pt>
                <c:pt idx="153">
                  <c:v>-0.56654026374455901</c:v>
                </c:pt>
                <c:pt idx="154">
                  <c:v>-0.4972436940663057</c:v>
                </c:pt>
                <c:pt idx="155">
                  <c:v>-0.4353601706097347</c:v>
                </c:pt>
                <c:pt idx="156">
                  <c:v>-0.38024981520328011</c:v>
                </c:pt>
                <c:pt idx="157">
                  <c:v>-0.331306712681955</c:v>
                </c:pt>
                <c:pt idx="158">
                  <c:v>-0.2879601330627648</c:v>
                </c:pt>
                <c:pt idx="159">
                  <c:v>-0.24967519770803537</c:v>
                </c:pt>
                <c:pt idx="160">
                  <c:v>-0.21595305187903172</c:v>
                </c:pt>
                <c:pt idx="161">
                  <c:v>-0.18633060583834379</c:v>
                </c:pt>
                <c:pt idx="162">
                  <c:v>-0.16037990531976393</c:v>
                </c:pt>
                <c:pt idx="163">
                  <c:v>-0.13770718992039513</c:v>
                </c:pt>
                <c:pt idx="164">
                  <c:v>-0.11795169495125661</c:v>
                </c:pt>
                <c:pt idx="165">
                  <c:v>-0.10078424867362769</c:v>
                </c:pt>
                <c:pt idx="166">
                  <c:v>-8.5905712803595519E-2</c:v>
                </c:pt>
                <c:pt idx="167">
                  <c:v>-7.3045309829887356E-2</c:v>
                </c:pt>
                <c:pt idx="168">
                  <c:v>-6.1958876189575816E-2</c:v>
                </c:pt>
                <c:pt idx="169">
                  <c:v>-5.2427075797307002E-2</c:v>
                </c:pt>
                <c:pt idx="170">
                  <c:v>-4.4253603925374765E-2</c:v>
                </c:pt>
                <c:pt idx="171">
                  <c:v>-3.7263407067609736E-2</c:v>
                </c:pt>
                <c:pt idx="172">
                  <c:v>-3.1300940257541619E-2</c:v>
                </c:pt>
                <c:pt idx="173">
                  <c:v>-2.622847940371454E-2</c:v>
                </c:pt>
                <c:pt idx="174">
                  <c:v>-2.1924502591616723E-2</c:v>
                </c:pt>
                <c:pt idx="175">
                  <c:v>-1.8282151008975699E-2</c:v>
                </c:pt>
                <c:pt idx="176">
                  <c:v>-1.5207777194384174E-2</c:v>
                </c:pt>
                <c:pt idx="177">
                  <c:v>-1.2619585693648249E-2</c:v>
                </c:pt>
                <c:pt idx="178">
                  <c:v>-1.044636893073359E-2</c:v>
                </c:pt>
                <c:pt idx="179">
                  <c:v>-8.62633915056772E-3</c:v>
                </c:pt>
                <c:pt idx="180">
                  <c:v>-7.1060556534821365E-3</c:v>
                </c:pt>
                <c:pt idx="181">
                  <c:v>-5.8394451957114917E-3</c:v>
                </c:pt>
                <c:pt idx="182">
                  <c:v>-4.7869123540053736E-3</c:v>
                </c:pt>
                <c:pt idx="183">
                  <c:v>-3.9145358199653415E-3</c:v>
                </c:pt>
                <c:pt idx="184">
                  <c:v>-3.1933459750811098E-3</c:v>
                </c:pt>
                <c:pt idx="185">
                  <c:v>-2.5986786742763107E-3</c:v>
                </c:pt>
                <c:pt idx="186">
                  <c:v>-2.1095999082180079E-3</c:v>
                </c:pt>
                <c:pt idx="187">
                  <c:v>-1.7083958978343693E-3</c:v>
                </c:pt>
                <c:pt idx="188">
                  <c:v>-1.3801231749859071E-3</c:v>
                </c:pt>
                <c:pt idx="189">
                  <c:v>-1.1122132993446187E-3</c:v>
                </c:pt>
                <c:pt idx="190">
                  <c:v>-8.9412703348396971E-4</c:v>
                </c:pt>
                <c:pt idx="191">
                  <c:v>-7.1705302825471893E-4</c:v>
                </c:pt>
                <c:pt idx="192">
                  <c:v>-5.7364634309045408E-4</c:v>
                </c:pt>
                <c:pt idx="193">
                  <c:v>-4.5780242739408409E-4</c:v>
                </c:pt>
                <c:pt idx="194">
                  <c:v>-3.6446250803876841E-4</c:v>
                </c:pt>
                <c:pt idx="195">
                  <c:v>-2.8944665459446035E-4</c:v>
                </c:pt>
                <c:pt idx="196">
                  <c:v>-2.2931112023084999E-4</c:v>
                </c:pt>
                <c:pt idx="197">
                  <c:v>-1.8122687600427364E-4</c:v>
                </c:pt>
                <c:pt idx="198">
                  <c:v>-1.4287656448756753E-4</c:v>
                </c:pt>
                <c:pt idx="199">
                  <c:v>-1.1236739177701235E-4</c:v>
                </c:pt>
                <c:pt idx="200">
                  <c:v>-8.8157752222011137E-5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D5-47C2-A271-CF1E757BF8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43168"/>
        <c:axId val="295945344"/>
      </c:scatterChart>
      <c:valAx>
        <c:axId val="295943168"/>
        <c:scaling>
          <c:orientation val="minMax"/>
          <c:max val="30"/>
          <c:min val="-3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it-IT"/>
                  <a:t>ASCISSA TRASVERSALE all'ASSE della GALLERIA (m)</a:t>
                </a:r>
              </a:p>
            </c:rich>
          </c:tx>
          <c:layout>
            <c:manualLayout>
              <c:xMode val="edge"/>
              <c:yMode val="edge"/>
              <c:x val="0.14861487402235929"/>
              <c:y val="0.1779284008417866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295945344"/>
        <c:crosses val="autoZero"/>
        <c:crossBetween val="midCat"/>
      </c:valAx>
      <c:valAx>
        <c:axId val="295945344"/>
        <c:scaling>
          <c:orientation val="minMax"/>
          <c:max val="2.5"/>
          <c:min val="-30"/>
        </c:scaling>
        <c:delete val="0"/>
        <c:axPos val="l"/>
        <c:title>
          <c:tx>
            <c:rich>
              <a:bodyPr/>
              <a:lstStyle/>
              <a:p>
                <a:pPr>
                  <a:defRPr sz="1525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it-IT"/>
                  <a:t>W (mm)</a:t>
                </a:r>
              </a:p>
            </c:rich>
          </c:tx>
          <c:layout>
            <c:manualLayout>
              <c:xMode val="edge"/>
              <c:yMode val="edge"/>
              <c:x val="1.2594458438287154E-2"/>
              <c:y val="0.5337849660684306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295943168"/>
        <c:crossesAt val="0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25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it-IT"/>
              <a:t>CONCHE DI SUBSIDENZA CON L'ALTEZZA DI COPERTURA</a:t>
            </a:r>
          </a:p>
        </c:rich>
      </c:tx>
      <c:layout>
        <c:manualLayout>
          <c:xMode val="edge"/>
          <c:yMode val="edge"/>
          <c:x val="0.22335052027126051"/>
          <c:y val="1.11607142857142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436563635890452"/>
          <c:y val="0.27455387066854275"/>
          <c:w val="0.81218374764998869"/>
          <c:h val="0.65848286054650507"/>
        </c:manualLayout>
      </c:layout>
      <c:scatterChart>
        <c:scatterStyle val="lineMarker"/>
        <c:varyColors val="0"/>
        <c:ser>
          <c:idx val="3"/>
          <c:order val="0"/>
          <c:tx>
            <c:v>NUMERICO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4C0-4948-AA0E-8F327CBF5C78}"/>
            </c:ext>
          </c:extLst>
        </c:ser>
        <c:ser>
          <c:idx val="0"/>
          <c:order val="1"/>
          <c:tx>
            <c:v>EMPIRICO</c:v>
          </c:tx>
          <c:spPr>
            <a:ln w="381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'subsidence profile with z_0'!$B$16:$B$216</c:f>
              <c:numCache>
                <c:formatCode>0.000</c:formatCode>
                <c:ptCount val="201"/>
                <c:pt idx="0">
                  <c:v>-50</c:v>
                </c:pt>
                <c:pt idx="1">
                  <c:v>-49.5</c:v>
                </c:pt>
                <c:pt idx="2">
                  <c:v>-49</c:v>
                </c:pt>
                <c:pt idx="3">
                  <c:v>-48.5</c:v>
                </c:pt>
                <c:pt idx="4">
                  <c:v>-48</c:v>
                </c:pt>
                <c:pt idx="5">
                  <c:v>-47.5</c:v>
                </c:pt>
                <c:pt idx="6">
                  <c:v>-47</c:v>
                </c:pt>
                <c:pt idx="7">
                  <c:v>-46.5</c:v>
                </c:pt>
                <c:pt idx="8">
                  <c:v>-46</c:v>
                </c:pt>
                <c:pt idx="9">
                  <c:v>-45.5</c:v>
                </c:pt>
                <c:pt idx="10">
                  <c:v>-45</c:v>
                </c:pt>
                <c:pt idx="11">
                  <c:v>-44.5</c:v>
                </c:pt>
                <c:pt idx="12">
                  <c:v>-44</c:v>
                </c:pt>
                <c:pt idx="13">
                  <c:v>-43.5</c:v>
                </c:pt>
                <c:pt idx="14">
                  <c:v>-43</c:v>
                </c:pt>
                <c:pt idx="15">
                  <c:v>-42.5</c:v>
                </c:pt>
                <c:pt idx="16">
                  <c:v>-42</c:v>
                </c:pt>
                <c:pt idx="17">
                  <c:v>-41.5</c:v>
                </c:pt>
                <c:pt idx="18">
                  <c:v>-41</c:v>
                </c:pt>
                <c:pt idx="19">
                  <c:v>-40.5</c:v>
                </c:pt>
                <c:pt idx="20">
                  <c:v>-40</c:v>
                </c:pt>
                <c:pt idx="21">
                  <c:v>-39.5</c:v>
                </c:pt>
                <c:pt idx="22">
                  <c:v>-39</c:v>
                </c:pt>
                <c:pt idx="23">
                  <c:v>-38.5</c:v>
                </c:pt>
                <c:pt idx="24">
                  <c:v>-38</c:v>
                </c:pt>
                <c:pt idx="25">
                  <c:v>-37.5</c:v>
                </c:pt>
                <c:pt idx="26">
                  <c:v>-37</c:v>
                </c:pt>
                <c:pt idx="27">
                  <c:v>-36.5</c:v>
                </c:pt>
                <c:pt idx="28">
                  <c:v>-36</c:v>
                </c:pt>
                <c:pt idx="29">
                  <c:v>-35.5</c:v>
                </c:pt>
                <c:pt idx="30">
                  <c:v>-35</c:v>
                </c:pt>
                <c:pt idx="31">
                  <c:v>-34.5</c:v>
                </c:pt>
                <c:pt idx="32">
                  <c:v>-34</c:v>
                </c:pt>
                <c:pt idx="33">
                  <c:v>-33.5</c:v>
                </c:pt>
                <c:pt idx="34">
                  <c:v>-33</c:v>
                </c:pt>
                <c:pt idx="35">
                  <c:v>-32.5</c:v>
                </c:pt>
                <c:pt idx="36">
                  <c:v>-32</c:v>
                </c:pt>
                <c:pt idx="37">
                  <c:v>-31.5</c:v>
                </c:pt>
                <c:pt idx="38">
                  <c:v>-31</c:v>
                </c:pt>
                <c:pt idx="39">
                  <c:v>-30.5</c:v>
                </c:pt>
                <c:pt idx="40">
                  <c:v>-30</c:v>
                </c:pt>
                <c:pt idx="41">
                  <c:v>-29.5</c:v>
                </c:pt>
                <c:pt idx="42">
                  <c:v>-29</c:v>
                </c:pt>
                <c:pt idx="43">
                  <c:v>-28.5</c:v>
                </c:pt>
                <c:pt idx="44">
                  <c:v>-28</c:v>
                </c:pt>
                <c:pt idx="45">
                  <c:v>-27.5</c:v>
                </c:pt>
                <c:pt idx="46">
                  <c:v>-27</c:v>
                </c:pt>
                <c:pt idx="47">
                  <c:v>-26.5</c:v>
                </c:pt>
                <c:pt idx="48">
                  <c:v>-26</c:v>
                </c:pt>
                <c:pt idx="49">
                  <c:v>-25.5</c:v>
                </c:pt>
                <c:pt idx="50">
                  <c:v>-25</c:v>
                </c:pt>
                <c:pt idx="51">
                  <c:v>-24.5</c:v>
                </c:pt>
                <c:pt idx="52">
                  <c:v>-24</c:v>
                </c:pt>
                <c:pt idx="53">
                  <c:v>-23.5</c:v>
                </c:pt>
                <c:pt idx="54">
                  <c:v>-23</c:v>
                </c:pt>
                <c:pt idx="55">
                  <c:v>-22.5</c:v>
                </c:pt>
                <c:pt idx="56">
                  <c:v>-22</c:v>
                </c:pt>
                <c:pt idx="57">
                  <c:v>-21.5</c:v>
                </c:pt>
                <c:pt idx="58">
                  <c:v>-21</c:v>
                </c:pt>
                <c:pt idx="59">
                  <c:v>-20.5</c:v>
                </c:pt>
                <c:pt idx="60">
                  <c:v>-20</c:v>
                </c:pt>
                <c:pt idx="61">
                  <c:v>-19.5</c:v>
                </c:pt>
                <c:pt idx="62">
                  <c:v>-19</c:v>
                </c:pt>
                <c:pt idx="63">
                  <c:v>-18.5</c:v>
                </c:pt>
                <c:pt idx="64">
                  <c:v>-18</c:v>
                </c:pt>
                <c:pt idx="65">
                  <c:v>-17.5</c:v>
                </c:pt>
                <c:pt idx="66">
                  <c:v>-17</c:v>
                </c:pt>
                <c:pt idx="67">
                  <c:v>-16.5</c:v>
                </c:pt>
                <c:pt idx="68">
                  <c:v>-16</c:v>
                </c:pt>
                <c:pt idx="69">
                  <c:v>-15.5</c:v>
                </c:pt>
                <c:pt idx="70">
                  <c:v>-15</c:v>
                </c:pt>
                <c:pt idx="71">
                  <c:v>-14.5</c:v>
                </c:pt>
                <c:pt idx="72">
                  <c:v>-14</c:v>
                </c:pt>
                <c:pt idx="73">
                  <c:v>-13.5</c:v>
                </c:pt>
                <c:pt idx="74">
                  <c:v>-13</c:v>
                </c:pt>
                <c:pt idx="75">
                  <c:v>-12.5</c:v>
                </c:pt>
                <c:pt idx="76">
                  <c:v>-12</c:v>
                </c:pt>
                <c:pt idx="77">
                  <c:v>-11.5</c:v>
                </c:pt>
                <c:pt idx="78">
                  <c:v>-11</c:v>
                </c:pt>
                <c:pt idx="79">
                  <c:v>-10.5</c:v>
                </c:pt>
                <c:pt idx="80">
                  <c:v>-10</c:v>
                </c:pt>
                <c:pt idx="81">
                  <c:v>-9.5</c:v>
                </c:pt>
                <c:pt idx="82">
                  <c:v>-9</c:v>
                </c:pt>
                <c:pt idx="83">
                  <c:v>-8.5</c:v>
                </c:pt>
                <c:pt idx="84">
                  <c:v>-8</c:v>
                </c:pt>
                <c:pt idx="85">
                  <c:v>-7.5</c:v>
                </c:pt>
                <c:pt idx="86">
                  <c:v>-7</c:v>
                </c:pt>
                <c:pt idx="87">
                  <c:v>-6.5</c:v>
                </c:pt>
                <c:pt idx="88">
                  <c:v>-6</c:v>
                </c:pt>
                <c:pt idx="89">
                  <c:v>-5.5</c:v>
                </c:pt>
                <c:pt idx="90">
                  <c:v>-5</c:v>
                </c:pt>
                <c:pt idx="91">
                  <c:v>-4.5</c:v>
                </c:pt>
                <c:pt idx="92">
                  <c:v>-4</c:v>
                </c:pt>
                <c:pt idx="93">
                  <c:v>-3.5</c:v>
                </c:pt>
                <c:pt idx="94">
                  <c:v>-3</c:v>
                </c:pt>
                <c:pt idx="95">
                  <c:v>-2.5</c:v>
                </c:pt>
                <c:pt idx="96">
                  <c:v>-2</c:v>
                </c:pt>
                <c:pt idx="97">
                  <c:v>-1.5</c:v>
                </c:pt>
                <c:pt idx="98">
                  <c:v>-1</c:v>
                </c:pt>
                <c:pt idx="99">
                  <c:v>-0.5</c:v>
                </c:pt>
                <c:pt idx="100">
                  <c:v>0</c:v>
                </c:pt>
                <c:pt idx="101">
                  <c:v>0.5</c:v>
                </c:pt>
                <c:pt idx="102">
                  <c:v>1</c:v>
                </c:pt>
                <c:pt idx="103">
                  <c:v>1.5</c:v>
                </c:pt>
                <c:pt idx="104">
                  <c:v>2</c:v>
                </c:pt>
                <c:pt idx="105">
                  <c:v>2.5</c:v>
                </c:pt>
                <c:pt idx="106">
                  <c:v>3</c:v>
                </c:pt>
                <c:pt idx="107">
                  <c:v>3.5</c:v>
                </c:pt>
                <c:pt idx="108">
                  <c:v>4</c:v>
                </c:pt>
                <c:pt idx="109">
                  <c:v>4.5</c:v>
                </c:pt>
                <c:pt idx="110">
                  <c:v>5</c:v>
                </c:pt>
                <c:pt idx="111">
                  <c:v>5.5</c:v>
                </c:pt>
                <c:pt idx="112">
                  <c:v>6</c:v>
                </c:pt>
                <c:pt idx="113">
                  <c:v>6.5</c:v>
                </c:pt>
                <c:pt idx="114">
                  <c:v>7</c:v>
                </c:pt>
                <c:pt idx="115">
                  <c:v>7.5</c:v>
                </c:pt>
                <c:pt idx="116">
                  <c:v>8</c:v>
                </c:pt>
                <c:pt idx="117">
                  <c:v>8.5</c:v>
                </c:pt>
                <c:pt idx="118">
                  <c:v>9</c:v>
                </c:pt>
                <c:pt idx="119">
                  <c:v>9.5</c:v>
                </c:pt>
                <c:pt idx="120">
                  <c:v>10</c:v>
                </c:pt>
                <c:pt idx="121">
                  <c:v>10.5</c:v>
                </c:pt>
                <c:pt idx="122">
                  <c:v>11</c:v>
                </c:pt>
                <c:pt idx="123">
                  <c:v>11.5</c:v>
                </c:pt>
                <c:pt idx="124">
                  <c:v>12</c:v>
                </c:pt>
                <c:pt idx="125">
                  <c:v>12.5</c:v>
                </c:pt>
                <c:pt idx="126">
                  <c:v>13</c:v>
                </c:pt>
                <c:pt idx="127">
                  <c:v>13.5</c:v>
                </c:pt>
                <c:pt idx="128">
                  <c:v>14</c:v>
                </c:pt>
                <c:pt idx="129">
                  <c:v>14.5</c:v>
                </c:pt>
                <c:pt idx="130">
                  <c:v>15</c:v>
                </c:pt>
                <c:pt idx="131">
                  <c:v>15.5</c:v>
                </c:pt>
                <c:pt idx="132">
                  <c:v>16</c:v>
                </c:pt>
                <c:pt idx="133">
                  <c:v>16.5</c:v>
                </c:pt>
                <c:pt idx="134">
                  <c:v>17</c:v>
                </c:pt>
                <c:pt idx="135">
                  <c:v>17.5</c:v>
                </c:pt>
                <c:pt idx="136">
                  <c:v>18</c:v>
                </c:pt>
                <c:pt idx="137">
                  <c:v>18.5</c:v>
                </c:pt>
                <c:pt idx="138">
                  <c:v>19</c:v>
                </c:pt>
                <c:pt idx="139">
                  <c:v>19.5</c:v>
                </c:pt>
                <c:pt idx="140">
                  <c:v>20</c:v>
                </c:pt>
                <c:pt idx="141">
                  <c:v>20.5</c:v>
                </c:pt>
                <c:pt idx="142">
                  <c:v>21</c:v>
                </c:pt>
                <c:pt idx="143">
                  <c:v>21.5</c:v>
                </c:pt>
                <c:pt idx="144">
                  <c:v>22</c:v>
                </c:pt>
                <c:pt idx="145">
                  <c:v>22.5</c:v>
                </c:pt>
                <c:pt idx="146">
                  <c:v>23</c:v>
                </c:pt>
                <c:pt idx="147">
                  <c:v>23.5</c:v>
                </c:pt>
                <c:pt idx="148">
                  <c:v>24</c:v>
                </c:pt>
                <c:pt idx="149">
                  <c:v>24.5</c:v>
                </c:pt>
                <c:pt idx="150">
                  <c:v>25</c:v>
                </c:pt>
                <c:pt idx="151">
                  <c:v>25.5</c:v>
                </c:pt>
                <c:pt idx="152">
                  <c:v>26</c:v>
                </c:pt>
                <c:pt idx="153">
                  <c:v>26.5</c:v>
                </c:pt>
                <c:pt idx="154">
                  <c:v>27</c:v>
                </c:pt>
                <c:pt idx="155">
                  <c:v>27.5</c:v>
                </c:pt>
                <c:pt idx="156">
                  <c:v>28</c:v>
                </c:pt>
                <c:pt idx="157">
                  <c:v>28.5</c:v>
                </c:pt>
                <c:pt idx="158">
                  <c:v>29</c:v>
                </c:pt>
                <c:pt idx="159">
                  <c:v>29.5</c:v>
                </c:pt>
                <c:pt idx="160">
                  <c:v>30</c:v>
                </c:pt>
                <c:pt idx="161">
                  <c:v>30.5</c:v>
                </c:pt>
                <c:pt idx="162">
                  <c:v>31</c:v>
                </c:pt>
                <c:pt idx="163">
                  <c:v>31.5</c:v>
                </c:pt>
                <c:pt idx="164">
                  <c:v>32</c:v>
                </c:pt>
                <c:pt idx="165">
                  <c:v>32.5</c:v>
                </c:pt>
                <c:pt idx="166">
                  <c:v>33</c:v>
                </c:pt>
                <c:pt idx="167">
                  <c:v>33.5</c:v>
                </c:pt>
                <c:pt idx="168">
                  <c:v>34</c:v>
                </c:pt>
                <c:pt idx="169">
                  <c:v>34.5</c:v>
                </c:pt>
                <c:pt idx="170">
                  <c:v>35</c:v>
                </c:pt>
                <c:pt idx="171">
                  <c:v>35.5</c:v>
                </c:pt>
                <c:pt idx="172">
                  <c:v>36</c:v>
                </c:pt>
                <c:pt idx="173">
                  <c:v>36.5</c:v>
                </c:pt>
                <c:pt idx="174">
                  <c:v>37</c:v>
                </c:pt>
                <c:pt idx="175">
                  <c:v>37.5</c:v>
                </c:pt>
                <c:pt idx="176">
                  <c:v>38</c:v>
                </c:pt>
                <c:pt idx="177">
                  <c:v>38.5</c:v>
                </c:pt>
                <c:pt idx="178">
                  <c:v>39</c:v>
                </c:pt>
                <c:pt idx="179">
                  <c:v>39.5</c:v>
                </c:pt>
                <c:pt idx="180">
                  <c:v>40</c:v>
                </c:pt>
                <c:pt idx="181">
                  <c:v>40.5</c:v>
                </c:pt>
                <c:pt idx="182">
                  <c:v>41</c:v>
                </c:pt>
                <c:pt idx="183">
                  <c:v>41.5</c:v>
                </c:pt>
                <c:pt idx="184">
                  <c:v>42</c:v>
                </c:pt>
                <c:pt idx="185">
                  <c:v>42.5</c:v>
                </c:pt>
                <c:pt idx="186">
                  <c:v>43</c:v>
                </c:pt>
                <c:pt idx="187">
                  <c:v>43.5</c:v>
                </c:pt>
                <c:pt idx="188">
                  <c:v>44</c:v>
                </c:pt>
                <c:pt idx="189">
                  <c:v>44.5</c:v>
                </c:pt>
                <c:pt idx="190">
                  <c:v>45</c:v>
                </c:pt>
                <c:pt idx="191">
                  <c:v>45.5</c:v>
                </c:pt>
                <c:pt idx="192">
                  <c:v>46</c:v>
                </c:pt>
                <c:pt idx="193">
                  <c:v>46.5</c:v>
                </c:pt>
                <c:pt idx="194">
                  <c:v>47</c:v>
                </c:pt>
                <c:pt idx="195">
                  <c:v>47.5</c:v>
                </c:pt>
                <c:pt idx="196">
                  <c:v>48</c:v>
                </c:pt>
                <c:pt idx="197">
                  <c:v>48.5</c:v>
                </c:pt>
                <c:pt idx="198">
                  <c:v>49</c:v>
                </c:pt>
                <c:pt idx="199">
                  <c:v>49.5</c:v>
                </c:pt>
                <c:pt idx="200">
                  <c:v>50</c:v>
                </c:pt>
              </c:numCache>
            </c:numRef>
          </c:xVal>
          <c:yVal>
            <c:numRef>
              <c:f>'subsidence profile with z_0'!$I$16:$I$216</c:f>
              <c:numCache>
                <c:formatCode>0.000</c:formatCode>
                <c:ptCount val="201"/>
                <c:pt idx="0">
                  <c:v>-1.9197006744129702E-3</c:v>
                </c:pt>
                <c:pt idx="1">
                  <c:v>-2.2943274725664609E-3</c:v>
                </c:pt>
                <c:pt idx="2">
                  <c:v>-2.7371536929266657E-3</c:v>
                </c:pt>
                <c:pt idx="3">
                  <c:v>-3.2596040830539462E-3</c:v>
                </c:pt>
                <c:pt idx="4">
                  <c:v>-3.8748278527983618E-3</c:v>
                </c:pt>
                <c:pt idx="5">
                  <c:v>-4.59792479054377E-3</c:v>
                </c:pt>
                <c:pt idx="6">
                  <c:v>-5.4461952114163653E-3</c:v>
                </c:pt>
                <c:pt idx="7">
                  <c:v>-6.4394153038748667E-3</c:v>
                </c:pt>
                <c:pt idx="8">
                  <c:v>-7.60013938798333E-3</c:v>
                </c:pt>
                <c:pt idx="9">
                  <c:v>-8.9540305120573635E-3</c:v>
                </c:pt>
                <c:pt idx="10">
                  <c:v>-1.0530220689583005E-2</c:v>
                </c:pt>
                <c:pt idx="11">
                  <c:v>-1.2361701910526067E-2</c:v>
                </c:pt>
                <c:pt idx="12">
                  <c:v>-1.4485748845530578E-2</c:v>
                </c:pt>
                <c:pt idx="13">
                  <c:v>-1.694437389325721E-2</c:v>
                </c:pt>
                <c:pt idx="14">
                  <c:v>-1.9784814895613859E-2</c:v>
                </c:pt>
                <c:pt idx="15">
                  <c:v>-2.3060055458556442E-2</c:v>
                </c:pt>
                <c:pt idx="16">
                  <c:v>-2.6829377363607108E-2</c:v>
                </c:pt>
                <c:pt idx="17">
                  <c:v>-3.1158944033965491E-2</c:v>
                </c:pt>
                <c:pt idx="18">
                  <c:v>-3.6122413426570306E-2</c:v>
                </c:pt>
                <c:pt idx="19">
                  <c:v>-4.1801578056147884E-2</c:v>
                </c:pt>
                <c:pt idx="20">
                  <c:v>-4.8287029118760205E-2</c:v>
                </c:pt>
                <c:pt idx="21">
                  <c:v>-5.5678840871576429E-2</c:v>
                </c:pt>
                <c:pt idx="22">
                  <c:v>-6.4087270545025582E-2</c:v>
                </c:pt>
                <c:pt idx="23">
                  <c:v>-7.3633468117367595E-2</c:v>
                </c:pt>
                <c:pt idx="24">
                  <c:v>-8.445018927618976E-2</c:v>
                </c:pt>
                <c:pt idx="25">
                  <c:v>-9.6682503834638639E-2</c:v>
                </c:pt>
                <c:pt idx="26">
                  <c:v>-0.11048849077281626</c:v>
                </c:pt>
                <c:pt idx="27">
                  <c:v>-0.12603990994954037</c:v>
                </c:pt>
                <c:pt idx="28">
                  <c:v>-0.1435228393918849</c:v>
                </c:pt>
                <c:pt idx="29">
                  <c:v>-0.1631382659373414</c:v>
                </c:pt>
                <c:pt idx="30">
                  <c:v>-0.18510261589631291</c:v>
                </c:pt>
                <c:pt idx="31">
                  <c:v>-0.20964821134361053</c:v>
                </c:pt>
                <c:pt idx="32">
                  <c:v>-0.23702363666155893</c:v>
                </c:pt>
                <c:pt idx="33">
                  <c:v>-0.26749399907120364</c:v>
                </c:pt>
                <c:pt idx="34">
                  <c:v>-0.30134106613065931</c:v>
                </c:pt>
                <c:pt idx="35">
                  <c:v>-0.33886326258100918</c:v>
                </c:pt>
                <c:pt idx="36">
                  <c:v>-0.38037550851146312</c:v>
                </c:pt>
                <c:pt idx="37">
                  <c:v>-0.42620888062826201</c:v>
                </c:pt>
                <c:pt idx="38">
                  <c:v>-0.47671007847750613</c:v>
                </c:pt>
                <c:pt idx="39">
                  <c:v>-0.53224067782124118</c:v>
                </c:pt>
                <c:pt idx="40">
                  <c:v>-0.59317615402778312</c:v>
                </c:pt>
                <c:pt idx="41">
                  <c:v>-0.65990465933802811</c:v>
                </c:pt>
                <c:pt idx="42">
                  <c:v>-0.73282553923283245</c:v>
                </c:pt>
                <c:pt idx="43">
                  <c:v>-0.81234757487177622</c:v>
                </c:pt>
                <c:pt idx="44">
                  <c:v>-0.89888694071516684</c:v>
                </c:pt>
                <c:pt idx="45">
                  <c:v>-0.99286486898754078</c:v>
                </c:pt>
                <c:pt idx="46">
                  <c:v>-1.0947050155940936</c:v>
                </c:pt>
                <c:pt idx="47">
                  <c:v>-1.2048305254558052</c:v>
                </c:pt>
                <c:pt idx="48">
                  <c:v>-1.3236607989709201</c:v>
                </c:pt>
                <c:pt idx="49">
                  <c:v>-1.4516079654173155</c:v>
                </c:pt>
                <c:pt idx="50">
                  <c:v>-1.5890730735506333</c:v>
                </c:pt>
                <c:pt idx="51">
                  <c:v>-1.7364420143856218</c:v>
                </c:pt>
                <c:pt idx="52">
                  <c:v>-1.8940811961222284</c:v>
                </c:pt>
                <c:pt idx="53">
                  <c:v>-2.0623329963333514</c:v>
                </c:pt>
                <c:pt idx="54">
                  <c:v>-2.2415110217982628</c:v>
                </c:pt>
                <c:pt idx="55">
                  <c:v>-2.4318952116664954</c:v>
                </c:pt>
                <c:pt idx="56">
                  <c:v>-2.6337268248853589</c:v>
                </c:pt>
                <c:pt idx="57">
                  <c:v>-2.8472033579274929</c:v>
                </c:pt>
                <c:pt idx="58">
                  <c:v>-3.0724734437145518</c:v>
                </c:pt>
                <c:pt idx="59">
                  <c:v>-3.3096317871469654</c:v>
                </c:pt>
                <c:pt idx="60">
                  <c:v>-3.5587141967131117</c:v>
                </c:pt>
                <c:pt idx="61">
                  <c:v>-3.8196927751593495</c:v>
                </c:pt>
                <c:pt idx="62">
                  <c:v>-4.0924713350520676</c:v>
                </c:pt>
                <c:pt idx="63">
                  <c:v>-4.3768811071553611</c:v>
                </c:pt>
                <c:pt idx="64">
                  <c:v>-4.6726768107904055</c:v>
                </c:pt>
                <c:pt idx="65">
                  <c:v>-4.9795331556515805</c:v>
                </c:pt>
                <c:pt idx="66">
                  <c:v>-5.2970418438569018</c:v>
                </c:pt>
                <c:pt idx="67">
                  <c:v>-5.6247091392475594</c:v>
                </c:pt>
                <c:pt idx="68">
                  <c:v>-5.9619540680793808</c:v>
                </c:pt>
                <c:pt idx="69">
                  <c:v>-6.3081073112419341</c:v>
                </c:pt>
                <c:pt idx="70">
                  <c:v>-6.6624108429918625</c:v>
                </c:pt>
                <c:pt idx="71">
                  <c:v>-7.0240183649095433</c:v>
                </c:pt>
                <c:pt idx="72">
                  <c:v>-7.3919965764177782</c:v>
                </c:pt>
                <c:pt idx="73">
                  <c:v>-7.7653273147953463</c:v>
                </c:pt>
                <c:pt idx="74">
                  <c:v>-8.1429105882570028</c:v>
                </c:pt>
                <c:pt idx="75">
                  <c:v>-8.523568515456649</c:v>
                </c:pt>
                <c:pt idx="76">
                  <c:v>-8.9060501738251912</c:v>
                </c:pt>
                <c:pt idx="77">
                  <c:v>-9.2890373476219317</c:v>
                </c:pt>
                <c:pt idx="78">
                  <c:v>-9.6711511546191069</c:v>
                </c:pt>
                <c:pt idx="79">
                  <c:v>-10.050959518130032</c:v>
                </c:pt>
                <c:pt idx="80">
                  <c:v>-10.426985438821308</c:v>
                </c:pt>
                <c:pt idx="81">
                  <c:v>-10.797716008618092</c:v>
                </c:pt>
                <c:pt idx="82">
                  <c:v>-11.161612097222775</c:v>
                </c:pt>
                <c:pt idx="83">
                  <c:v>-11.517118630529504</c:v>
                </c:pt>
                <c:pt idx="84">
                  <c:v>-11.86267536973422</c:v>
                </c:pt>
                <c:pt idx="85">
                  <c:v>-12.196728090412064</c:v>
                </c:pt>
                <c:pt idx="86">
                  <c:v>-12.51774005244941</c:v>
                </c:pt>
                <c:pt idx="87">
                  <c:v>-12.824203644651421</c:v>
                </c:pt>
                <c:pt idx="88">
                  <c:v>-13.114652082253411</c:v>
                </c:pt>
                <c:pt idx="89">
                  <c:v>-13.387671031579924</c:v>
                </c:pt>
                <c:pt idx="90">
                  <c:v>-13.641910033827648</c:v>
                </c:pt>
                <c:pt idx="91">
                  <c:v>-13.876093599477812</c:v>
                </c:pt>
                <c:pt idx="92">
                  <c:v>-14.089031846220223</c:v>
                </c:pt>
                <c:pt idx="93">
                  <c:v>-14.279630556512696</c:v>
                </c:pt>
                <c:pt idx="94">
                  <c:v>-14.44690053599024</c:v>
                </c:pt>
                <c:pt idx="95">
                  <c:v>-14.589966160829251</c:v>
                </c:pt>
                <c:pt idx="96">
                  <c:v>-14.708073010780421</c:v>
                </c:pt>
                <c:pt idx="97">
                  <c:v>-14.800594494795398</c:v>
                </c:pt>
                <c:pt idx="98">
                  <c:v>-14.867037387841584</c:v>
                </c:pt>
                <c:pt idx="99">
                  <c:v>-14.907046210453782</c:v>
                </c:pt>
                <c:pt idx="100">
                  <c:v>-14.920406396613103</c:v>
                </c:pt>
                <c:pt idx="101">
                  <c:v>-14.907046210453782</c:v>
                </c:pt>
                <c:pt idx="102">
                  <c:v>-14.867037387841584</c:v>
                </c:pt>
                <c:pt idx="103">
                  <c:v>-14.800594494795398</c:v>
                </c:pt>
                <c:pt idx="104">
                  <c:v>-14.708073010780421</c:v>
                </c:pt>
                <c:pt idx="105">
                  <c:v>-14.589966160829251</c:v>
                </c:pt>
                <c:pt idx="106">
                  <c:v>-14.44690053599024</c:v>
                </c:pt>
                <c:pt idx="107">
                  <c:v>-14.279630556512696</c:v>
                </c:pt>
                <c:pt idx="108">
                  <c:v>-14.089031846220223</c:v>
                </c:pt>
                <c:pt idx="109">
                  <c:v>-13.876093599477812</c:v>
                </c:pt>
                <c:pt idx="110">
                  <c:v>-13.641910033827648</c:v>
                </c:pt>
                <c:pt idx="111">
                  <c:v>-13.387671031579924</c:v>
                </c:pt>
                <c:pt idx="112">
                  <c:v>-13.114652082253411</c:v>
                </c:pt>
                <c:pt idx="113">
                  <c:v>-12.824203644651421</c:v>
                </c:pt>
                <c:pt idx="114">
                  <c:v>-12.51774005244941</c:v>
                </c:pt>
                <c:pt idx="115">
                  <c:v>-12.196728090412064</c:v>
                </c:pt>
                <c:pt idx="116">
                  <c:v>-11.86267536973422</c:v>
                </c:pt>
                <c:pt idx="117">
                  <c:v>-11.517118630529504</c:v>
                </c:pt>
                <c:pt idx="118">
                  <c:v>-11.161612097222775</c:v>
                </c:pt>
                <c:pt idx="119">
                  <c:v>-10.797716008618092</c:v>
                </c:pt>
                <c:pt idx="120">
                  <c:v>-10.426985438821308</c:v>
                </c:pt>
                <c:pt idx="121">
                  <c:v>-10.050959518130032</c:v>
                </c:pt>
                <c:pt idx="122">
                  <c:v>-9.6711511546191069</c:v>
                </c:pt>
                <c:pt idx="123">
                  <c:v>-9.2890373476219317</c:v>
                </c:pt>
                <c:pt idx="124">
                  <c:v>-8.9060501738251912</c:v>
                </c:pt>
                <c:pt idx="125">
                  <c:v>-8.523568515456649</c:v>
                </c:pt>
                <c:pt idx="126">
                  <c:v>-8.1429105882570028</c:v>
                </c:pt>
                <c:pt idx="127">
                  <c:v>-7.7653273147953463</c:v>
                </c:pt>
                <c:pt idx="128">
                  <c:v>-7.3919965764177782</c:v>
                </c:pt>
                <c:pt idx="129">
                  <c:v>-7.0240183649095433</c:v>
                </c:pt>
                <c:pt idx="130">
                  <c:v>-6.6624108429918625</c:v>
                </c:pt>
                <c:pt idx="131">
                  <c:v>-6.3081073112419341</c:v>
                </c:pt>
                <c:pt idx="132">
                  <c:v>-5.9619540680793808</c:v>
                </c:pt>
                <c:pt idx="133">
                  <c:v>-5.6247091392475594</c:v>
                </c:pt>
                <c:pt idx="134">
                  <c:v>-5.2970418438569018</c:v>
                </c:pt>
                <c:pt idx="135">
                  <c:v>-4.9795331556515805</c:v>
                </c:pt>
                <c:pt idx="136">
                  <c:v>-4.6726768107904055</c:v>
                </c:pt>
                <c:pt idx="137">
                  <c:v>-4.3768811071553611</c:v>
                </c:pt>
                <c:pt idx="138">
                  <c:v>-4.0924713350520676</c:v>
                </c:pt>
                <c:pt idx="139">
                  <c:v>-3.8196927751593495</c:v>
                </c:pt>
                <c:pt idx="140">
                  <c:v>-3.5587141967131117</c:v>
                </c:pt>
                <c:pt idx="141">
                  <c:v>-3.3096317871469654</c:v>
                </c:pt>
                <c:pt idx="142">
                  <c:v>-3.0724734437145518</c:v>
                </c:pt>
                <c:pt idx="143">
                  <c:v>-2.8472033579274929</c:v>
                </c:pt>
                <c:pt idx="144">
                  <c:v>-2.6337268248853589</c:v>
                </c:pt>
                <c:pt idx="145">
                  <c:v>-2.4318952116664954</c:v>
                </c:pt>
                <c:pt idx="146">
                  <c:v>-2.2415110217982628</c:v>
                </c:pt>
                <c:pt idx="147">
                  <c:v>-2.0623329963333514</c:v>
                </c:pt>
                <c:pt idx="148">
                  <c:v>-1.8940811961222284</c:v>
                </c:pt>
                <c:pt idx="149">
                  <c:v>-1.7364420143856218</c:v>
                </c:pt>
                <c:pt idx="150">
                  <c:v>-1.5890730735506333</c:v>
                </c:pt>
                <c:pt idx="151">
                  <c:v>-1.4516079654173155</c:v>
                </c:pt>
                <c:pt idx="152">
                  <c:v>-1.3236607989709201</c:v>
                </c:pt>
                <c:pt idx="153">
                  <c:v>-1.2048305254558052</c:v>
                </c:pt>
                <c:pt idx="154">
                  <c:v>-1.0947050155940936</c:v>
                </c:pt>
                <c:pt idx="155">
                  <c:v>-0.99286486898754078</c:v>
                </c:pt>
                <c:pt idx="156">
                  <c:v>-0.89888694071516684</c:v>
                </c:pt>
                <c:pt idx="157">
                  <c:v>-0.81234757487177622</c:v>
                </c:pt>
                <c:pt idx="158">
                  <c:v>-0.73282553923283245</c:v>
                </c:pt>
                <c:pt idx="159">
                  <c:v>-0.65990465933802811</c:v>
                </c:pt>
                <c:pt idx="160">
                  <c:v>-0.59317615402778312</c:v>
                </c:pt>
                <c:pt idx="161">
                  <c:v>-0.53224067782124118</c:v>
                </c:pt>
                <c:pt idx="162">
                  <c:v>-0.47671007847750613</c:v>
                </c:pt>
                <c:pt idx="163">
                  <c:v>-0.42620888062826201</c:v>
                </c:pt>
                <c:pt idx="164">
                  <c:v>-0.38037550851146312</c:v>
                </c:pt>
                <c:pt idx="165">
                  <c:v>-0.33886326258100918</c:v>
                </c:pt>
                <c:pt idx="166">
                  <c:v>-0.30134106613065931</c:v>
                </c:pt>
                <c:pt idx="167">
                  <c:v>-0.26749399907120364</c:v>
                </c:pt>
                <c:pt idx="168">
                  <c:v>-0.23702363666155893</c:v>
                </c:pt>
                <c:pt idx="169">
                  <c:v>-0.20964821134361053</c:v>
                </c:pt>
                <c:pt idx="170">
                  <c:v>-0.18510261589631291</c:v>
                </c:pt>
                <c:pt idx="171">
                  <c:v>-0.1631382659373414</c:v>
                </c:pt>
                <c:pt idx="172">
                  <c:v>-0.1435228393918849</c:v>
                </c:pt>
                <c:pt idx="173">
                  <c:v>-0.12603990994954037</c:v>
                </c:pt>
                <c:pt idx="174">
                  <c:v>-0.11048849077281626</c:v>
                </c:pt>
                <c:pt idx="175">
                  <c:v>-9.6682503834638639E-2</c:v>
                </c:pt>
                <c:pt idx="176">
                  <c:v>-8.445018927618976E-2</c:v>
                </c:pt>
                <c:pt idx="177">
                  <c:v>-7.3633468117367595E-2</c:v>
                </c:pt>
                <c:pt idx="178">
                  <c:v>-6.4087270545025582E-2</c:v>
                </c:pt>
                <c:pt idx="179">
                  <c:v>-5.5678840871576429E-2</c:v>
                </c:pt>
                <c:pt idx="180">
                  <c:v>-4.8287029118760205E-2</c:v>
                </c:pt>
                <c:pt idx="181">
                  <c:v>-4.1801578056147884E-2</c:v>
                </c:pt>
                <c:pt idx="182">
                  <c:v>-3.6122413426570306E-2</c:v>
                </c:pt>
                <c:pt idx="183">
                  <c:v>-3.1158944033965491E-2</c:v>
                </c:pt>
                <c:pt idx="184">
                  <c:v>-2.6829377363607108E-2</c:v>
                </c:pt>
                <c:pt idx="185">
                  <c:v>-2.3060055458556442E-2</c:v>
                </c:pt>
                <c:pt idx="186">
                  <c:v>-1.9784814895613859E-2</c:v>
                </c:pt>
                <c:pt idx="187">
                  <c:v>-1.694437389325721E-2</c:v>
                </c:pt>
                <c:pt idx="188">
                  <c:v>-1.4485748845530578E-2</c:v>
                </c:pt>
                <c:pt idx="189">
                  <c:v>-1.2361701910526067E-2</c:v>
                </c:pt>
                <c:pt idx="190">
                  <c:v>-1.0530220689583005E-2</c:v>
                </c:pt>
                <c:pt idx="191">
                  <c:v>-8.9540305120573635E-3</c:v>
                </c:pt>
                <c:pt idx="192">
                  <c:v>-7.60013938798333E-3</c:v>
                </c:pt>
                <c:pt idx="193">
                  <c:v>-6.4394153038748667E-3</c:v>
                </c:pt>
                <c:pt idx="194">
                  <c:v>-5.4461952114163653E-3</c:v>
                </c:pt>
                <c:pt idx="195">
                  <c:v>-4.59792479054377E-3</c:v>
                </c:pt>
                <c:pt idx="196">
                  <c:v>-3.8748278527983618E-3</c:v>
                </c:pt>
                <c:pt idx="197">
                  <c:v>-3.2596040830539462E-3</c:v>
                </c:pt>
                <c:pt idx="198">
                  <c:v>-2.7371536929266657E-3</c:v>
                </c:pt>
                <c:pt idx="199">
                  <c:v>-2.2943274725664609E-3</c:v>
                </c:pt>
                <c:pt idx="200">
                  <c:v>-1.9197006744129702E-3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C0-4948-AA0E-8F327CBF5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87840"/>
        <c:axId val="295994112"/>
      </c:scatterChart>
      <c:valAx>
        <c:axId val="295987840"/>
        <c:scaling>
          <c:orientation val="minMax"/>
          <c:max val="30"/>
          <c:min val="-3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it-IT"/>
                  <a:t>ASCISSA TRASVERSALE all'ASSE della GALLERIA (m)</a:t>
                </a:r>
              </a:p>
            </c:rich>
          </c:tx>
          <c:layout>
            <c:manualLayout>
              <c:xMode val="edge"/>
              <c:yMode val="edge"/>
              <c:x val="0.16751295681948386"/>
              <c:y val="0.1919645200599924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295994112"/>
        <c:crosses val="autoZero"/>
        <c:crossBetween val="midCat"/>
      </c:valAx>
      <c:valAx>
        <c:axId val="295994112"/>
        <c:scaling>
          <c:orientation val="minMax"/>
          <c:max val="2.5"/>
          <c:min val="-30"/>
        </c:scaling>
        <c:delete val="0"/>
        <c:axPos val="l"/>
        <c:title>
          <c:tx>
            <c:rich>
              <a:bodyPr/>
              <a:lstStyle/>
              <a:p>
                <a:pPr>
                  <a:defRPr sz="1525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it-IT"/>
                  <a:t>W (mm)</a:t>
                </a:r>
              </a:p>
            </c:rich>
          </c:tx>
          <c:layout>
            <c:manualLayout>
              <c:xMode val="edge"/>
              <c:yMode val="edge"/>
              <c:x val="1.2690355329949238E-2"/>
              <c:y val="0.5379471316085489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295987840"/>
        <c:crossesAt val="0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25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it-IT"/>
              <a:t>CONCHE DI SUBSIDENZA CON L'ALTEZZA DI COPERTURA</a:t>
            </a:r>
          </a:p>
        </c:rich>
      </c:tx>
      <c:layout>
        <c:manualLayout>
          <c:xMode val="edge"/>
          <c:yMode val="edge"/>
          <c:x val="0.21994911761349523"/>
          <c:y val="1.11111111111111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08965779059327"/>
          <c:y val="0.22888938561064587"/>
          <c:w val="0.82864553609227154"/>
          <c:h val="0.72222378954815436"/>
        </c:manualLayout>
      </c:layout>
      <c:scatterChart>
        <c:scatterStyle val="lineMarker"/>
        <c:varyColors val="0"/>
        <c:ser>
          <c:idx val="3"/>
          <c:order val="0"/>
          <c:tx>
            <c:v>NUMERICO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3A79-4052-921A-50ADFF31DC66}"/>
            </c:ext>
          </c:extLst>
        </c:ser>
        <c:ser>
          <c:idx val="0"/>
          <c:order val="1"/>
          <c:tx>
            <c:v>EMPIRICO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'subsidence profile with z_0'!$B$16:$B$216</c:f>
              <c:numCache>
                <c:formatCode>0.000</c:formatCode>
                <c:ptCount val="201"/>
                <c:pt idx="0">
                  <c:v>-50</c:v>
                </c:pt>
                <c:pt idx="1">
                  <c:v>-49.5</c:v>
                </c:pt>
                <c:pt idx="2">
                  <c:v>-49</c:v>
                </c:pt>
                <c:pt idx="3">
                  <c:v>-48.5</c:v>
                </c:pt>
                <c:pt idx="4">
                  <c:v>-48</c:v>
                </c:pt>
                <c:pt idx="5">
                  <c:v>-47.5</c:v>
                </c:pt>
                <c:pt idx="6">
                  <c:v>-47</c:v>
                </c:pt>
                <c:pt idx="7">
                  <c:v>-46.5</c:v>
                </c:pt>
                <c:pt idx="8">
                  <c:v>-46</c:v>
                </c:pt>
                <c:pt idx="9">
                  <c:v>-45.5</c:v>
                </c:pt>
                <c:pt idx="10">
                  <c:v>-45</c:v>
                </c:pt>
                <c:pt idx="11">
                  <c:v>-44.5</c:v>
                </c:pt>
                <c:pt idx="12">
                  <c:v>-44</c:v>
                </c:pt>
                <c:pt idx="13">
                  <c:v>-43.5</c:v>
                </c:pt>
                <c:pt idx="14">
                  <c:v>-43</c:v>
                </c:pt>
                <c:pt idx="15">
                  <c:v>-42.5</c:v>
                </c:pt>
                <c:pt idx="16">
                  <c:v>-42</c:v>
                </c:pt>
                <c:pt idx="17">
                  <c:v>-41.5</c:v>
                </c:pt>
                <c:pt idx="18">
                  <c:v>-41</c:v>
                </c:pt>
                <c:pt idx="19">
                  <c:v>-40.5</c:v>
                </c:pt>
                <c:pt idx="20">
                  <c:v>-40</c:v>
                </c:pt>
                <c:pt idx="21">
                  <c:v>-39.5</c:v>
                </c:pt>
                <c:pt idx="22">
                  <c:v>-39</c:v>
                </c:pt>
                <c:pt idx="23">
                  <c:v>-38.5</c:v>
                </c:pt>
                <c:pt idx="24">
                  <c:v>-38</c:v>
                </c:pt>
                <c:pt idx="25">
                  <c:v>-37.5</c:v>
                </c:pt>
                <c:pt idx="26">
                  <c:v>-37</c:v>
                </c:pt>
                <c:pt idx="27">
                  <c:v>-36.5</c:v>
                </c:pt>
                <c:pt idx="28">
                  <c:v>-36</c:v>
                </c:pt>
                <c:pt idx="29">
                  <c:v>-35.5</c:v>
                </c:pt>
                <c:pt idx="30">
                  <c:v>-35</c:v>
                </c:pt>
                <c:pt idx="31">
                  <c:v>-34.5</c:v>
                </c:pt>
                <c:pt idx="32">
                  <c:v>-34</c:v>
                </c:pt>
                <c:pt idx="33">
                  <c:v>-33.5</c:v>
                </c:pt>
                <c:pt idx="34">
                  <c:v>-33</c:v>
                </c:pt>
                <c:pt idx="35">
                  <c:v>-32.5</c:v>
                </c:pt>
                <c:pt idx="36">
                  <c:v>-32</c:v>
                </c:pt>
                <c:pt idx="37">
                  <c:v>-31.5</c:v>
                </c:pt>
                <c:pt idx="38">
                  <c:v>-31</c:v>
                </c:pt>
                <c:pt idx="39">
                  <c:v>-30.5</c:v>
                </c:pt>
                <c:pt idx="40">
                  <c:v>-30</c:v>
                </c:pt>
                <c:pt idx="41">
                  <c:v>-29.5</c:v>
                </c:pt>
                <c:pt idx="42">
                  <c:v>-29</c:v>
                </c:pt>
                <c:pt idx="43">
                  <c:v>-28.5</c:v>
                </c:pt>
                <c:pt idx="44">
                  <c:v>-28</c:v>
                </c:pt>
                <c:pt idx="45">
                  <c:v>-27.5</c:v>
                </c:pt>
                <c:pt idx="46">
                  <c:v>-27</c:v>
                </c:pt>
                <c:pt idx="47">
                  <c:v>-26.5</c:v>
                </c:pt>
                <c:pt idx="48">
                  <c:v>-26</c:v>
                </c:pt>
                <c:pt idx="49">
                  <c:v>-25.5</c:v>
                </c:pt>
                <c:pt idx="50">
                  <c:v>-25</c:v>
                </c:pt>
                <c:pt idx="51">
                  <c:v>-24.5</c:v>
                </c:pt>
                <c:pt idx="52">
                  <c:v>-24</c:v>
                </c:pt>
                <c:pt idx="53">
                  <c:v>-23.5</c:v>
                </c:pt>
                <c:pt idx="54">
                  <c:v>-23</c:v>
                </c:pt>
                <c:pt idx="55">
                  <c:v>-22.5</c:v>
                </c:pt>
                <c:pt idx="56">
                  <c:v>-22</c:v>
                </c:pt>
                <c:pt idx="57">
                  <c:v>-21.5</c:v>
                </c:pt>
                <c:pt idx="58">
                  <c:v>-21</c:v>
                </c:pt>
                <c:pt idx="59">
                  <c:v>-20.5</c:v>
                </c:pt>
                <c:pt idx="60">
                  <c:v>-20</c:v>
                </c:pt>
                <c:pt idx="61">
                  <c:v>-19.5</c:v>
                </c:pt>
                <c:pt idx="62">
                  <c:v>-19</c:v>
                </c:pt>
                <c:pt idx="63">
                  <c:v>-18.5</c:v>
                </c:pt>
                <c:pt idx="64">
                  <c:v>-18</c:v>
                </c:pt>
                <c:pt idx="65">
                  <c:v>-17.5</c:v>
                </c:pt>
                <c:pt idx="66">
                  <c:v>-17</c:v>
                </c:pt>
                <c:pt idx="67">
                  <c:v>-16.5</c:v>
                </c:pt>
                <c:pt idx="68">
                  <c:v>-16</c:v>
                </c:pt>
                <c:pt idx="69">
                  <c:v>-15.5</c:v>
                </c:pt>
                <c:pt idx="70">
                  <c:v>-15</c:v>
                </c:pt>
                <c:pt idx="71">
                  <c:v>-14.5</c:v>
                </c:pt>
                <c:pt idx="72">
                  <c:v>-14</c:v>
                </c:pt>
                <c:pt idx="73">
                  <c:v>-13.5</c:v>
                </c:pt>
                <c:pt idx="74">
                  <c:v>-13</c:v>
                </c:pt>
                <c:pt idx="75">
                  <c:v>-12.5</c:v>
                </c:pt>
                <c:pt idx="76">
                  <c:v>-12</c:v>
                </c:pt>
                <c:pt idx="77">
                  <c:v>-11.5</c:v>
                </c:pt>
                <c:pt idx="78">
                  <c:v>-11</c:v>
                </c:pt>
                <c:pt idx="79">
                  <c:v>-10.5</c:v>
                </c:pt>
                <c:pt idx="80">
                  <c:v>-10</c:v>
                </c:pt>
                <c:pt idx="81">
                  <c:v>-9.5</c:v>
                </c:pt>
                <c:pt idx="82">
                  <c:v>-9</c:v>
                </c:pt>
                <c:pt idx="83">
                  <c:v>-8.5</c:v>
                </c:pt>
                <c:pt idx="84">
                  <c:v>-8</c:v>
                </c:pt>
                <c:pt idx="85">
                  <c:v>-7.5</c:v>
                </c:pt>
                <c:pt idx="86">
                  <c:v>-7</c:v>
                </c:pt>
                <c:pt idx="87">
                  <c:v>-6.5</c:v>
                </c:pt>
                <c:pt idx="88">
                  <c:v>-6</c:v>
                </c:pt>
                <c:pt idx="89">
                  <c:v>-5.5</c:v>
                </c:pt>
                <c:pt idx="90">
                  <c:v>-5</c:v>
                </c:pt>
                <c:pt idx="91">
                  <c:v>-4.5</c:v>
                </c:pt>
                <c:pt idx="92">
                  <c:v>-4</c:v>
                </c:pt>
                <c:pt idx="93">
                  <c:v>-3.5</c:v>
                </c:pt>
                <c:pt idx="94">
                  <c:v>-3</c:v>
                </c:pt>
                <c:pt idx="95">
                  <c:v>-2.5</c:v>
                </c:pt>
                <c:pt idx="96">
                  <c:v>-2</c:v>
                </c:pt>
                <c:pt idx="97">
                  <c:v>-1.5</c:v>
                </c:pt>
                <c:pt idx="98">
                  <c:v>-1</c:v>
                </c:pt>
                <c:pt idx="99">
                  <c:v>-0.5</c:v>
                </c:pt>
                <c:pt idx="100">
                  <c:v>0</c:v>
                </c:pt>
                <c:pt idx="101">
                  <c:v>0.5</c:v>
                </c:pt>
                <c:pt idx="102">
                  <c:v>1</c:v>
                </c:pt>
                <c:pt idx="103">
                  <c:v>1.5</c:v>
                </c:pt>
                <c:pt idx="104">
                  <c:v>2</c:v>
                </c:pt>
                <c:pt idx="105">
                  <c:v>2.5</c:v>
                </c:pt>
                <c:pt idx="106">
                  <c:v>3</c:v>
                </c:pt>
                <c:pt idx="107">
                  <c:v>3.5</c:v>
                </c:pt>
                <c:pt idx="108">
                  <c:v>4</c:v>
                </c:pt>
                <c:pt idx="109">
                  <c:v>4.5</c:v>
                </c:pt>
                <c:pt idx="110">
                  <c:v>5</c:v>
                </c:pt>
                <c:pt idx="111">
                  <c:v>5.5</c:v>
                </c:pt>
                <c:pt idx="112">
                  <c:v>6</c:v>
                </c:pt>
                <c:pt idx="113">
                  <c:v>6.5</c:v>
                </c:pt>
                <c:pt idx="114">
                  <c:v>7</c:v>
                </c:pt>
                <c:pt idx="115">
                  <c:v>7.5</c:v>
                </c:pt>
                <c:pt idx="116">
                  <c:v>8</c:v>
                </c:pt>
                <c:pt idx="117">
                  <c:v>8.5</c:v>
                </c:pt>
                <c:pt idx="118">
                  <c:v>9</c:v>
                </c:pt>
                <c:pt idx="119">
                  <c:v>9.5</c:v>
                </c:pt>
                <c:pt idx="120">
                  <c:v>10</c:v>
                </c:pt>
                <c:pt idx="121">
                  <c:v>10.5</c:v>
                </c:pt>
                <c:pt idx="122">
                  <c:v>11</c:v>
                </c:pt>
                <c:pt idx="123">
                  <c:v>11.5</c:v>
                </c:pt>
                <c:pt idx="124">
                  <c:v>12</c:v>
                </c:pt>
                <c:pt idx="125">
                  <c:v>12.5</c:v>
                </c:pt>
                <c:pt idx="126">
                  <c:v>13</c:v>
                </c:pt>
                <c:pt idx="127">
                  <c:v>13.5</c:v>
                </c:pt>
                <c:pt idx="128">
                  <c:v>14</c:v>
                </c:pt>
                <c:pt idx="129">
                  <c:v>14.5</c:v>
                </c:pt>
                <c:pt idx="130">
                  <c:v>15</c:v>
                </c:pt>
                <c:pt idx="131">
                  <c:v>15.5</c:v>
                </c:pt>
                <c:pt idx="132">
                  <c:v>16</c:v>
                </c:pt>
                <c:pt idx="133">
                  <c:v>16.5</c:v>
                </c:pt>
                <c:pt idx="134">
                  <c:v>17</c:v>
                </c:pt>
                <c:pt idx="135">
                  <c:v>17.5</c:v>
                </c:pt>
                <c:pt idx="136">
                  <c:v>18</c:v>
                </c:pt>
                <c:pt idx="137">
                  <c:v>18.5</c:v>
                </c:pt>
                <c:pt idx="138">
                  <c:v>19</c:v>
                </c:pt>
                <c:pt idx="139">
                  <c:v>19.5</c:v>
                </c:pt>
                <c:pt idx="140">
                  <c:v>20</c:v>
                </c:pt>
                <c:pt idx="141">
                  <c:v>20.5</c:v>
                </c:pt>
                <c:pt idx="142">
                  <c:v>21</c:v>
                </c:pt>
                <c:pt idx="143">
                  <c:v>21.5</c:v>
                </c:pt>
                <c:pt idx="144">
                  <c:v>22</c:v>
                </c:pt>
                <c:pt idx="145">
                  <c:v>22.5</c:v>
                </c:pt>
                <c:pt idx="146">
                  <c:v>23</c:v>
                </c:pt>
                <c:pt idx="147">
                  <c:v>23.5</c:v>
                </c:pt>
                <c:pt idx="148">
                  <c:v>24</c:v>
                </c:pt>
                <c:pt idx="149">
                  <c:v>24.5</c:v>
                </c:pt>
                <c:pt idx="150">
                  <c:v>25</c:v>
                </c:pt>
                <c:pt idx="151">
                  <c:v>25.5</c:v>
                </c:pt>
                <c:pt idx="152">
                  <c:v>26</c:v>
                </c:pt>
                <c:pt idx="153">
                  <c:v>26.5</c:v>
                </c:pt>
                <c:pt idx="154">
                  <c:v>27</c:v>
                </c:pt>
                <c:pt idx="155">
                  <c:v>27.5</c:v>
                </c:pt>
                <c:pt idx="156">
                  <c:v>28</c:v>
                </c:pt>
                <c:pt idx="157">
                  <c:v>28.5</c:v>
                </c:pt>
                <c:pt idx="158">
                  <c:v>29</c:v>
                </c:pt>
                <c:pt idx="159">
                  <c:v>29.5</c:v>
                </c:pt>
                <c:pt idx="160">
                  <c:v>30</c:v>
                </c:pt>
                <c:pt idx="161">
                  <c:v>30.5</c:v>
                </c:pt>
                <c:pt idx="162">
                  <c:v>31</c:v>
                </c:pt>
                <c:pt idx="163">
                  <c:v>31.5</c:v>
                </c:pt>
                <c:pt idx="164">
                  <c:v>32</c:v>
                </c:pt>
                <c:pt idx="165">
                  <c:v>32.5</c:v>
                </c:pt>
                <c:pt idx="166">
                  <c:v>33</c:v>
                </c:pt>
                <c:pt idx="167">
                  <c:v>33.5</c:v>
                </c:pt>
                <c:pt idx="168">
                  <c:v>34</c:v>
                </c:pt>
                <c:pt idx="169">
                  <c:v>34.5</c:v>
                </c:pt>
                <c:pt idx="170">
                  <c:v>35</c:v>
                </c:pt>
                <c:pt idx="171">
                  <c:v>35.5</c:v>
                </c:pt>
                <c:pt idx="172">
                  <c:v>36</c:v>
                </c:pt>
                <c:pt idx="173">
                  <c:v>36.5</c:v>
                </c:pt>
                <c:pt idx="174">
                  <c:v>37</c:v>
                </c:pt>
                <c:pt idx="175">
                  <c:v>37.5</c:v>
                </c:pt>
                <c:pt idx="176">
                  <c:v>38</c:v>
                </c:pt>
                <c:pt idx="177">
                  <c:v>38.5</c:v>
                </c:pt>
                <c:pt idx="178">
                  <c:v>39</c:v>
                </c:pt>
                <c:pt idx="179">
                  <c:v>39.5</c:v>
                </c:pt>
                <c:pt idx="180">
                  <c:v>40</c:v>
                </c:pt>
                <c:pt idx="181">
                  <c:v>40.5</c:v>
                </c:pt>
                <c:pt idx="182">
                  <c:v>41</c:v>
                </c:pt>
                <c:pt idx="183">
                  <c:v>41.5</c:v>
                </c:pt>
                <c:pt idx="184">
                  <c:v>42</c:v>
                </c:pt>
                <c:pt idx="185">
                  <c:v>42.5</c:v>
                </c:pt>
                <c:pt idx="186">
                  <c:v>43</c:v>
                </c:pt>
                <c:pt idx="187">
                  <c:v>43.5</c:v>
                </c:pt>
                <c:pt idx="188">
                  <c:v>44</c:v>
                </c:pt>
                <c:pt idx="189">
                  <c:v>44.5</c:v>
                </c:pt>
                <c:pt idx="190">
                  <c:v>45</c:v>
                </c:pt>
                <c:pt idx="191">
                  <c:v>45.5</c:v>
                </c:pt>
                <c:pt idx="192">
                  <c:v>46</c:v>
                </c:pt>
                <c:pt idx="193">
                  <c:v>46.5</c:v>
                </c:pt>
                <c:pt idx="194">
                  <c:v>47</c:v>
                </c:pt>
                <c:pt idx="195">
                  <c:v>47.5</c:v>
                </c:pt>
                <c:pt idx="196">
                  <c:v>48</c:v>
                </c:pt>
                <c:pt idx="197">
                  <c:v>48.5</c:v>
                </c:pt>
                <c:pt idx="198">
                  <c:v>49</c:v>
                </c:pt>
                <c:pt idx="199">
                  <c:v>49.5</c:v>
                </c:pt>
                <c:pt idx="200">
                  <c:v>50</c:v>
                </c:pt>
              </c:numCache>
            </c:numRef>
          </c:xVal>
          <c:yVal>
            <c:numRef>
              <c:f>'subsidence profile with z_0'!$J$16:$J$216</c:f>
              <c:numCache>
                <c:formatCode>0.000</c:formatCode>
                <c:ptCount val="201"/>
                <c:pt idx="0">
                  <c:v>-1.3711613256731776E-2</c:v>
                </c:pt>
                <c:pt idx="1">
                  <c:v>-1.5716820321528668E-2</c:v>
                </c:pt>
                <c:pt idx="2">
                  <c:v>-1.7990576535416841E-2</c:v>
                </c:pt>
                <c:pt idx="3">
                  <c:v>-2.0565048313065666E-2</c:v>
                </c:pt>
                <c:pt idx="4">
                  <c:v>-2.347570519315622E-2</c:v>
                </c:pt>
                <c:pt idx="5">
                  <c:v>-2.676158427374362E-2</c:v>
                </c:pt>
                <c:pt idx="6">
                  <c:v>-3.0465566120862354E-2</c:v>
                </c:pt>
                <c:pt idx="7">
                  <c:v>-3.4634661348747479E-2</c:v>
                </c:pt>
                <c:pt idx="8">
                  <c:v>-3.9320306847980255E-2</c:v>
                </c:pt>
                <c:pt idx="9">
                  <c:v>-4.4578670396728429E-2</c:v>
                </c:pt>
                <c:pt idx="10">
                  <c:v>-5.0470962130562312E-2</c:v>
                </c:pt>
                <c:pt idx="11">
                  <c:v>-5.7063751068948343E-2</c:v>
                </c:pt>
                <c:pt idx="12">
                  <c:v>-6.4429284602696646E-2</c:v>
                </c:pt>
                <c:pt idx="13">
                  <c:v>-7.264580853801042E-2</c:v>
                </c:pt>
                <c:pt idx="14">
                  <c:v>-8.1797884971441082E-2</c:v>
                </c:pt>
                <c:pt idx="15">
                  <c:v>-9.1976704938535728E-2</c:v>
                </c:pt>
                <c:pt idx="16">
                  <c:v>-0.10328039244029635</c:v>
                </c:pt>
                <c:pt idx="17">
                  <c:v>-0.1158142961092703</c:v>
                </c:pt>
                <c:pt idx="18">
                  <c:v>-0.12969126443518089</c:v>
                </c:pt>
                <c:pt idx="19">
                  <c:v>-0.14503190013300038</c:v>
                </c:pt>
                <c:pt idx="20">
                  <c:v>-0.16196478890927379</c:v>
                </c:pt>
                <c:pt idx="21">
                  <c:v>-0.18062669757080754</c:v>
                </c:pt>
                <c:pt idx="22">
                  <c:v>-0.20116273612945124</c:v>
                </c:pt>
                <c:pt idx="23">
                  <c:v>-0.22372647829395814</c:v>
                </c:pt>
                <c:pt idx="24">
                  <c:v>-0.24848003451146625</c:v>
                </c:pt>
                <c:pt idx="25">
                  <c:v>-0.27559407153395138</c:v>
                </c:pt>
                <c:pt idx="26">
                  <c:v>-0.30524777234622286</c:v>
                </c:pt>
                <c:pt idx="27">
                  <c:v>-0.33762873020891143</c:v>
                </c:pt>
                <c:pt idx="28">
                  <c:v>-0.37293277054972929</c:v>
                </c:pt>
                <c:pt idx="29">
                  <c:v>-0.411363694486228</c:v>
                </c:pt>
                <c:pt idx="30">
                  <c:v>-0.45313293789027503</c:v>
                </c:pt>
                <c:pt idx="31">
                  <c:v>-0.49845914011510489</c:v>
                </c:pt>
                <c:pt idx="32">
                  <c:v>-0.54756761680613719</c:v>
                </c:pt>
                <c:pt idx="33">
                  <c:v>-0.60068973161220873</c:v>
                </c:pt>
                <c:pt idx="34">
                  <c:v>-0.65806216210903412</c:v>
                </c:pt>
                <c:pt idx="35">
                  <c:v>-0.71992605584524716</c:v>
                </c:pt>
                <c:pt idx="36">
                  <c:v>-0.78652607312577094</c:v>
                </c:pt>
                <c:pt idx="37">
                  <c:v>-0.85810931395879253</c:v>
                </c:pt>
                <c:pt idx="38">
                  <c:v>-0.93492412751108722</c:v>
                </c:pt>
                <c:pt idx="39">
                  <c:v>-1.0172188034401299</c:v>
                </c:pt>
                <c:pt idx="40">
                  <c:v>-1.105240145596996</c:v>
                </c:pt>
                <c:pt idx="41">
                  <c:v>-1.1992319298162579</c:v>
                </c:pt>
                <c:pt idx="42">
                  <c:v>-1.2994332488210247</c:v>
                </c:pt>
                <c:pt idx="43">
                  <c:v>-1.4060767486639227</c:v>
                </c:pt>
                <c:pt idx="44">
                  <c:v>-1.5193867625874191</c:v>
                </c:pt>
                <c:pt idx="45">
                  <c:v>-1.6395773497065955</c:v>
                </c:pt>
                <c:pt idx="46">
                  <c:v>-1.766850247479627</c:v>
                </c:pt>
                <c:pt idx="47">
                  <c:v>-1.9013927485192847</c:v>
                </c:pt>
                <c:pt idx="48">
                  <c:v>-2.0433755138945244</c:v>
                </c:pt>
                <c:pt idx="49">
                  <c:v>-2.1929503366547975</c:v>
                </c:pt>
                <c:pt idx="50">
                  <c:v>-2.3502478708599908</c:v>
                </c:pt>
                <c:pt idx="51">
                  <c:v>-2.5153753428933472</c:v>
                </c:pt>
                <c:pt idx="52">
                  <c:v>-2.688414263250233</c:v>
                </c:pt>
                <c:pt idx="53">
                  <c:v>-2.8694181583080618</c:v>
                </c:pt>
                <c:pt idx="54">
                  <c:v>-3.0584103427681231</c:v>
                </c:pt>
                <c:pt idx="55">
                  <c:v>-3.2553817544940791</c:v>
                </c:pt>
                <c:pt idx="56">
                  <c:v>-3.4602888743310811</c:v>
                </c:pt>
                <c:pt idx="57">
                  <c:v>-3.6730517541507477</c:v>
                </c:pt>
                <c:pt idx="58">
                  <c:v>-3.8935521768092332</c:v>
                </c:pt>
                <c:pt idx="59">
                  <c:v>-4.1216319719083243</c:v>
                </c:pt>
                <c:pt idx="60">
                  <c:v>-4.3570915111951329</c:v>
                </c:pt>
                <c:pt idx="61">
                  <c:v>-4.5996884071092907</c:v>
                </c:pt>
                <c:pt idx="62">
                  <c:v>-4.8491364373751118</c:v>
                </c:pt>
                <c:pt idx="63">
                  <c:v>-5.1051047176309705</c:v>
                </c:pt>
                <c:pt idx="64">
                  <c:v>-5.3672171428834909</c:v>
                </c:pt>
                <c:pt idx="65">
                  <c:v>-5.6350521170686445</c:v>
                </c:pt>
                <c:pt idx="66">
                  <c:v>-5.9081425881977934</c:v>
                </c:pt>
                <c:pt idx="67">
                  <c:v>-6.1859764044711811</c:v>
                </c:pt>
                <c:pt idx="68">
                  <c:v>-6.4679970043655572</c:v>
                </c:pt>
                <c:pt idx="69">
                  <c:v>-6.753604451062313</c:v>
                </c:pt>
                <c:pt idx="70">
                  <c:v>-7.0421568186982366</c:v>
                </c:pt>
                <c:pt idx="71">
                  <c:v>-7.3329719348171825</c:v>
                </c:pt>
                <c:pt idx="72">
                  <c:v>-7.62532948010689</c:v>
                </c:pt>
                <c:pt idx="73">
                  <c:v>-7.9184734430535473</c:v>
                </c:pt>
                <c:pt idx="74">
                  <c:v>-8.2116149235742899</c:v>
                </c:pt>
                <c:pt idx="75">
                  <c:v>-8.5039352760343494</c:v>
                </c:pt>
                <c:pt idx="76">
                  <c:v>-8.7945895783637766</c:v>
                </c:pt>
                <c:pt idx="77">
                  <c:v>-9.0827104103033118</c:v>
                </c:pt>
                <c:pt idx="78">
                  <c:v>-9.3674119201766342</c:v>
                </c:pt>
                <c:pt idx="79">
                  <c:v>-9.6477941560543616</c:v>
                </c:pt>
                <c:pt idx="80">
                  <c:v>-9.9229476337914715</c:v>
                </c:pt>
                <c:pt idx="81">
                  <c:v>-10.191958111231745</c:v>
                </c:pt>
                <c:pt idx="82">
                  <c:v>-10.453911534926393</c:v>
                </c:pt>
                <c:pt idx="83">
                  <c:v>-10.707899123053654</c:v>
                </c:pt>
                <c:pt idx="84">
                  <c:v>-10.953022545893235</c:v>
                </c:pt>
                <c:pt idx="85">
                  <c:v>-11.188399163242419</c:v>
                </c:pt>
                <c:pt idx="86">
                  <c:v>-11.413167276593587</c:v>
                </c:pt>
                <c:pt idx="87">
                  <c:v>-11.626491352755341</c:v>
                </c:pt>
                <c:pt idx="88">
                  <c:v>-11.827567174915776</c:v>
                </c:pt>
                <c:pt idx="89">
                  <c:v>-12.01562687693502</c:v>
                </c:pt>
                <c:pt idx="90">
                  <c:v>-12.189943816927865</c:v>
                </c:pt>
                <c:pt idx="91">
                  <c:v>-12.349837246961583</c:v>
                </c:pt>
                <c:pt idx="92">
                  <c:v>-12.494676736948609</c:v>
                </c:pt>
                <c:pt idx="93">
                  <c:v>-12.623886312551081</c:v>
                </c:pt>
                <c:pt idx="94">
                  <c:v>-12.736948269119816</c:v>
                </c:pt>
                <c:pt idx="95">
                  <c:v>-12.833406626343798</c:v>
                </c:pt>
                <c:pt idx="96">
                  <c:v>-12.912870191359589</c:v>
                </c:pt>
                <c:pt idx="97">
                  <c:v>-12.975015201530626</c:v>
                </c:pt>
                <c:pt idx="98">
                  <c:v>-13.01958752191425</c:v>
                </c:pt>
                <c:pt idx="99">
                  <c:v>-13.046404376545947</c:v>
                </c:pt>
                <c:pt idx="100">
                  <c:v>-13.055355597036465</c:v>
                </c:pt>
                <c:pt idx="101">
                  <c:v>-13.046404376545947</c:v>
                </c:pt>
                <c:pt idx="102">
                  <c:v>-13.01958752191425</c:v>
                </c:pt>
                <c:pt idx="103">
                  <c:v>-12.975015201530626</c:v>
                </c:pt>
                <c:pt idx="104">
                  <c:v>-12.912870191359589</c:v>
                </c:pt>
                <c:pt idx="105">
                  <c:v>-12.833406626343798</c:v>
                </c:pt>
                <c:pt idx="106">
                  <c:v>-12.736948269119816</c:v>
                </c:pt>
                <c:pt idx="107">
                  <c:v>-12.623886312551081</c:v>
                </c:pt>
                <c:pt idx="108">
                  <c:v>-12.494676736948609</c:v>
                </c:pt>
                <c:pt idx="109">
                  <c:v>-12.349837246961583</c:v>
                </c:pt>
                <c:pt idx="110">
                  <c:v>-12.189943816927865</c:v>
                </c:pt>
                <c:pt idx="111">
                  <c:v>-12.01562687693502</c:v>
                </c:pt>
                <c:pt idx="112">
                  <c:v>-11.827567174915776</c:v>
                </c:pt>
                <c:pt idx="113">
                  <c:v>-11.626491352755341</c:v>
                </c:pt>
                <c:pt idx="114">
                  <c:v>-11.413167276593587</c:v>
                </c:pt>
                <c:pt idx="115">
                  <c:v>-11.188399163242419</c:v>
                </c:pt>
                <c:pt idx="116">
                  <c:v>-10.953022545893235</c:v>
                </c:pt>
                <c:pt idx="117">
                  <c:v>-10.707899123053654</c:v>
                </c:pt>
                <c:pt idx="118">
                  <c:v>-10.453911534926393</c:v>
                </c:pt>
                <c:pt idx="119">
                  <c:v>-10.191958111231745</c:v>
                </c:pt>
                <c:pt idx="120">
                  <c:v>-9.9229476337914715</c:v>
                </c:pt>
                <c:pt idx="121">
                  <c:v>-9.6477941560543616</c:v>
                </c:pt>
                <c:pt idx="122">
                  <c:v>-9.3674119201766342</c:v>
                </c:pt>
                <c:pt idx="123">
                  <c:v>-9.0827104103033118</c:v>
                </c:pt>
                <c:pt idx="124">
                  <c:v>-8.7945895783637766</c:v>
                </c:pt>
                <c:pt idx="125">
                  <c:v>-8.5039352760343494</c:v>
                </c:pt>
                <c:pt idx="126">
                  <c:v>-8.2116149235742899</c:v>
                </c:pt>
                <c:pt idx="127">
                  <c:v>-7.9184734430535473</c:v>
                </c:pt>
                <c:pt idx="128">
                  <c:v>-7.62532948010689</c:v>
                </c:pt>
                <c:pt idx="129">
                  <c:v>-7.3329719348171825</c:v>
                </c:pt>
                <c:pt idx="130">
                  <c:v>-7.0421568186982366</c:v>
                </c:pt>
                <c:pt idx="131">
                  <c:v>-6.753604451062313</c:v>
                </c:pt>
                <c:pt idx="132">
                  <c:v>-6.4679970043655572</c:v>
                </c:pt>
                <c:pt idx="133">
                  <c:v>-6.1859764044711811</c:v>
                </c:pt>
                <c:pt idx="134">
                  <c:v>-5.9081425881977934</c:v>
                </c:pt>
                <c:pt idx="135">
                  <c:v>-5.6350521170686445</c:v>
                </c:pt>
                <c:pt idx="136">
                  <c:v>-5.3672171428834909</c:v>
                </c:pt>
                <c:pt idx="137">
                  <c:v>-5.1051047176309705</c:v>
                </c:pt>
                <c:pt idx="138">
                  <c:v>-4.8491364373751118</c:v>
                </c:pt>
                <c:pt idx="139">
                  <c:v>-4.5996884071092907</c:v>
                </c:pt>
                <c:pt idx="140">
                  <c:v>-4.3570915111951329</c:v>
                </c:pt>
                <c:pt idx="141">
                  <c:v>-4.1216319719083243</c:v>
                </c:pt>
                <c:pt idx="142">
                  <c:v>-3.8935521768092332</c:v>
                </c:pt>
                <c:pt idx="143">
                  <c:v>-3.6730517541507477</c:v>
                </c:pt>
                <c:pt idx="144">
                  <c:v>-3.4602888743310811</c:v>
                </c:pt>
                <c:pt idx="145">
                  <c:v>-3.2553817544940791</c:v>
                </c:pt>
                <c:pt idx="146">
                  <c:v>-3.0584103427681231</c:v>
                </c:pt>
                <c:pt idx="147">
                  <c:v>-2.8694181583080618</c:v>
                </c:pt>
                <c:pt idx="148">
                  <c:v>-2.688414263250233</c:v>
                </c:pt>
                <c:pt idx="149">
                  <c:v>-2.5153753428933472</c:v>
                </c:pt>
                <c:pt idx="150">
                  <c:v>-2.3502478708599908</c:v>
                </c:pt>
                <c:pt idx="151">
                  <c:v>-2.1929503366547975</c:v>
                </c:pt>
                <c:pt idx="152">
                  <c:v>-2.0433755138945244</c:v>
                </c:pt>
                <c:pt idx="153">
                  <c:v>-1.9013927485192847</c:v>
                </c:pt>
                <c:pt idx="154">
                  <c:v>-1.766850247479627</c:v>
                </c:pt>
                <c:pt idx="155">
                  <c:v>-1.6395773497065955</c:v>
                </c:pt>
                <c:pt idx="156">
                  <c:v>-1.5193867625874191</c:v>
                </c:pt>
                <c:pt idx="157">
                  <c:v>-1.4060767486639227</c:v>
                </c:pt>
                <c:pt idx="158">
                  <c:v>-1.2994332488210247</c:v>
                </c:pt>
                <c:pt idx="159">
                  <c:v>-1.1992319298162579</c:v>
                </c:pt>
                <c:pt idx="160">
                  <c:v>-1.105240145596996</c:v>
                </c:pt>
                <c:pt idx="161">
                  <c:v>-1.0172188034401299</c:v>
                </c:pt>
                <c:pt idx="162">
                  <c:v>-0.93492412751108722</c:v>
                </c:pt>
                <c:pt idx="163">
                  <c:v>-0.85810931395879253</c:v>
                </c:pt>
                <c:pt idx="164">
                  <c:v>-0.78652607312577094</c:v>
                </c:pt>
                <c:pt idx="165">
                  <c:v>-0.71992605584524716</c:v>
                </c:pt>
                <c:pt idx="166">
                  <c:v>-0.65806216210903412</c:v>
                </c:pt>
                <c:pt idx="167">
                  <c:v>-0.60068973161220873</c:v>
                </c:pt>
                <c:pt idx="168">
                  <c:v>-0.54756761680613719</c:v>
                </c:pt>
                <c:pt idx="169">
                  <c:v>-0.49845914011510489</c:v>
                </c:pt>
                <c:pt idx="170">
                  <c:v>-0.45313293789027503</c:v>
                </c:pt>
                <c:pt idx="171">
                  <c:v>-0.411363694486228</c:v>
                </c:pt>
                <c:pt idx="172">
                  <c:v>-0.37293277054972929</c:v>
                </c:pt>
                <c:pt idx="173">
                  <c:v>-0.33762873020891143</c:v>
                </c:pt>
                <c:pt idx="174">
                  <c:v>-0.30524777234622286</c:v>
                </c:pt>
                <c:pt idx="175">
                  <c:v>-0.27559407153395138</c:v>
                </c:pt>
                <c:pt idx="176">
                  <c:v>-0.24848003451146625</c:v>
                </c:pt>
                <c:pt idx="177">
                  <c:v>-0.22372647829395814</c:v>
                </c:pt>
                <c:pt idx="178">
                  <c:v>-0.20116273612945124</c:v>
                </c:pt>
                <c:pt idx="179">
                  <c:v>-0.18062669757080754</c:v>
                </c:pt>
                <c:pt idx="180">
                  <c:v>-0.16196478890927379</c:v>
                </c:pt>
                <c:pt idx="181">
                  <c:v>-0.14503190013300038</c:v>
                </c:pt>
                <c:pt idx="182">
                  <c:v>-0.12969126443518089</c:v>
                </c:pt>
                <c:pt idx="183">
                  <c:v>-0.1158142961092703</c:v>
                </c:pt>
                <c:pt idx="184">
                  <c:v>-0.10328039244029635</c:v>
                </c:pt>
                <c:pt idx="185">
                  <c:v>-9.1976704938535728E-2</c:v>
                </c:pt>
                <c:pt idx="186">
                  <c:v>-8.1797884971441082E-2</c:v>
                </c:pt>
                <c:pt idx="187">
                  <c:v>-7.264580853801042E-2</c:v>
                </c:pt>
                <c:pt idx="188">
                  <c:v>-6.4429284602696646E-2</c:v>
                </c:pt>
                <c:pt idx="189">
                  <c:v>-5.7063751068948343E-2</c:v>
                </c:pt>
                <c:pt idx="190">
                  <c:v>-5.0470962130562312E-2</c:v>
                </c:pt>
                <c:pt idx="191">
                  <c:v>-4.4578670396728429E-2</c:v>
                </c:pt>
                <c:pt idx="192">
                  <c:v>-3.9320306847980255E-2</c:v>
                </c:pt>
                <c:pt idx="193">
                  <c:v>-3.4634661348747479E-2</c:v>
                </c:pt>
                <c:pt idx="194">
                  <c:v>-3.0465566120862354E-2</c:v>
                </c:pt>
                <c:pt idx="195">
                  <c:v>-2.676158427374362E-2</c:v>
                </c:pt>
                <c:pt idx="196">
                  <c:v>-2.347570519315622E-2</c:v>
                </c:pt>
                <c:pt idx="197">
                  <c:v>-2.0565048313065666E-2</c:v>
                </c:pt>
                <c:pt idx="198">
                  <c:v>-1.7990576535416841E-2</c:v>
                </c:pt>
                <c:pt idx="199">
                  <c:v>-1.5716820321528668E-2</c:v>
                </c:pt>
                <c:pt idx="200">
                  <c:v>-1.3711613256731776E-2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79-4052-921A-50ADFF31DC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016128"/>
        <c:axId val="296096128"/>
      </c:scatterChart>
      <c:valAx>
        <c:axId val="296016128"/>
        <c:scaling>
          <c:orientation val="minMax"/>
          <c:max val="30"/>
          <c:min val="-3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it-IT"/>
                  <a:t>ASCISSA TRASVERSALE all'ASSE della GALLERIA (m)</a:t>
                </a:r>
              </a:p>
            </c:rich>
          </c:tx>
          <c:layout>
            <c:manualLayout>
              <c:xMode val="edge"/>
              <c:yMode val="edge"/>
              <c:x val="0.16368313295876377"/>
              <c:y val="0.142222455526392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296096128"/>
        <c:crosses val="autoZero"/>
        <c:crossBetween val="midCat"/>
      </c:valAx>
      <c:valAx>
        <c:axId val="296096128"/>
        <c:scaling>
          <c:orientation val="minMax"/>
          <c:max val="2.5"/>
          <c:min val="-30"/>
        </c:scaling>
        <c:delete val="0"/>
        <c:axPos val="l"/>
        <c:title>
          <c:tx>
            <c:rich>
              <a:bodyPr/>
              <a:lstStyle/>
              <a:p>
                <a:pPr>
                  <a:defRPr sz="1525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it-IT"/>
                  <a:t>W (mm)</a:t>
                </a:r>
              </a:p>
            </c:rich>
          </c:tx>
          <c:layout>
            <c:manualLayout>
              <c:xMode val="edge"/>
              <c:yMode val="edge"/>
              <c:x val="1.278772378516624E-2"/>
              <c:y val="0.52444561096529607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296016128"/>
        <c:crossesAt val="0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25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'subsidence profile with z_0'!$B$8</c:f>
              <c:strCache>
                <c:ptCount val="1"/>
                <c:pt idx="0">
                  <c:v>k</c:v>
                </c:pt>
              </c:strCache>
            </c:strRef>
          </c:tx>
          <c:spPr>
            <a:ln w="38100">
              <a:solidFill>
                <a:srgbClr val="3366FF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'subsidence profile with z_0'!$C$7:$S$7</c:f>
              <c:numCache>
                <c:formatCode>General</c:formatCode>
                <c:ptCount val="1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3D-435E-ABF1-3A9B71CC2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137088"/>
        <c:axId val="296139392"/>
      </c:scatterChart>
      <c:valAx>
        <c:axId val="296137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distanza della sezione dallorigine dello scavo 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6139392"/>
        <c:crosses val="autoZero"/>
        <c:crossBetween val="midCat"/>
      </c:valAx>
      <c:valAx>
        <c:axId val="2961393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613708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'subsidence profile with z_0'!$B$9</c:f>
              <c:strCache>
                <c:ptCount val="1"/>
                <c:pt idx="0">
                  <c:v>Zo</c:v>
                </c:pt>
              </c:strCache>
            </c:strRef>
          </c:tx>
          <c:spPr>
            <a:ln w="38100">
              <a:solidFill>
                <a:srgbClr val="3366FF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'subsidence profile with z_0'!$C$8:$S$8</c:f>
              <c:numCache>
                <c:formatCode>0.000</c:formatCode>
                <c:ptCount val="17"/>
                <c:pt idx="0">
                  <c:v>0.45</c:v>
                </c:pt>
                <c:pt idx="1">
                  <c:v>0.45</c:v>
                </c:pt>
                <c:pt idx="2">
                  <c:v>0.45</c:v>
                </c:pt>
                <c:pt idx="3">
                  <c:v>0.45</c:v>
                </c:pt>
                <c:pt idx="4">
                  <c:v>0.45</c:v>
                </c:pt>
                <c:pt idx="5">
                  <c:v>0.45</c:v>
                </c:pt>
                <c:pt idx="6">
                  <c:v>0.45</c:v>
                </c:pt>
                <c:pt idx="7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3-4ABD-A010-ACA412E17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332096"/>
        <c:axId val="295342848"/>
      </c:scatterChart>
      <c:valAx>
        <c:axId val="295332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distanza della sezione dallorigine dello scavo 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5342848"/>
        <c:crosses val="autoZero"/>
        <c:crossBetween val="midCat"/>
      </c:valAx>
      <c:valAx>
        <c:axId val="295342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533209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91826923076923073"/>
          <c:y val="0"/>
          <c:w val="6.8910256410256415E-2"/>
          <c:h val="0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t>CONCHE DI SUBSIDENZA CON LA PROGRESSIVA DI SCAVO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NUMERICO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2DC0-44DB-9CC0-524FE3743773}"/>
            </c:ext>
          </c:extLst>
        </c:ser>
        <c:ser>
          <c:idx val="0"/>
          <c:order val="1"/>
          <c:tx>
            <c:v>EMPIRICO</c:v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'subsidence profile with z_0'!$B$16:$B$216</c:f>
              <c:numCache>
                <c:formatCode>0.000</c:formatCode>
                <c:ptCount val="201"/>
                <c:pt idx="0">
                  <c:v>-50</c:v>
                </c:pt>
                <c:pt idx="1">
                  <c:v>-49.5</c:v>
                </c:pt>
                <c:pt idx="2">
                  <c:v>-49</c:v>
                </c:pt>
                <c:pt idx="3">
                  <c:v>-48.5</c:v>
                </c:pt>
                <c:pt idx="4">
                  <c:v>-48</c:v>
                </c:pt>
                <c:pt idx="5">
                  <c:v>-47.5</c:v>
                </c:pt>
                <c:pt idx="6">
                  <c:v>-47</c:v>
                </c:pt>
                <c:pt idx="7">
                  <c:v>-46.5</c:v>
                </c:pt>
                <c:pt idx="8">
                  <c:v>-46</c:v>
                </c:pt>
                <c:pt idx="9">
                  <c:v>-45.5</c:v>
                </c:pt>
                <c:pt idx="10">
                  <c:v>-45</c:v>
                </c:pt>
                <c:pt idx="11">
                  <c:v>-44.5</c:v>
                </c:pt>
                <c:pt idx="12">
                  <c:v>-44</c:v>
                </c:pt>
                <c:pt idx="13">
                  <c:v>-43.5</c:v>
                </c:pt>
                <c:pt idx="14">
                  <c:v>-43</c:v>
                </c:pt>
                <c:pt idx="15">
                  <c:v>-42.5</c:v>
                </c:pt>
                <c:pt idx="16">
                  <c:v>-42</c:v>
                </c:pt>
                <c:pt idx="17">
                  <c:v>-41.5</c:v>
                </c:pt>
                <c:pt idx="18">
                  <c:v>-41</c:v>
                </c:pt>
                <c:pt idx="19">
                  <c:v>-40.5</c:v>
                </c:pt>
                <c:pt idx="20">
                  <c:v>-40</c:v>
                </c:pt>
                <c:pt idx="21">
                  <c:v>-39.5</c:v>
                </c:pt>
                <c:pt idx="22">
                  <c:v>-39</c:v>
                </c:pt>
                <c:pt idx="23">
                  <c:v>-38.5</c:v>
                </c:pt>
                <c:pt idx="24">
                  <c:v>-38</c:v>
                </c:pt>
                <c:pt idx="25">
                  <c:v>-37.5</c:v>
                </c:pt>
                <c:pt idx="26">
                  <c:v>-37</c:v>
                </c:pt>
                <c:pt idx="27">
                  <c:v>-36.5</c:v>
                </c:pt>
                <c:pt idx="28">
                  <c:v>-36</c:v>
                </c:pt>
                <c:pt idx="29">
                  <c:v>-35.5</c:v>
                </c:pt>
                <c:pt idx="30">
                  <c:v>-35</c:v>
                </c:pt>
                <c:pt idx="31">
                  <c:v>-34.5</c:v>
                </c:pt>
                <c:pt idx="32">
                  <c:v>-34</c:v>
                </c:pt>
                <c:pt idx="33">
                  <c:v>-33.5</c:v>
                </c:pt>
                <c:pt idx="34">
                  <c:v>-33</c:v>
                </c:pt>
                <c:pt idx="35">
                  <c:v>-32.5</c:v>
                </c:pt>
                <c:pt idx="36">
                  <c:v>-32</c:v>
                </c:pt>
                <c:pt idx="37">
                  <c:v>-31.5</c:v>
                </c:pt>
                <c:pt idx="38">
                  <c:v>-31</c:v>
                </c:pt>
                <c:pt idx="39">
                  <c:v>-30.5</c:v>
                </c:pt>
                <c:pt idx="40">
                  <c:v>-30</c:v>
                </c:pt>
                <c:pt idx="41">
                  <c:v>-29.5</c:v>
                </c:pt>
                <c:pt idx="42">
                  <c:v>-29</c:v>
                </c:pt>
                <c:pt idx="43">
                  <c:v>-28.5</c:v>
                </c:pt>
                <c:pt idx="44">
                  <c:v>-28</c:v>
                </c:pt>
                <c:pt idx="45">
                  <c:v>-27.5</c:v>
                </c:pt>
                <c:pt idx="46">
                  <c:v>-27</c:v>
                </c:pt>
                <c:pt idx="47">
                  <c:v>-26.5</c:v>
                </c:pt>
                <c:pt idx="48">
                  <c:v>-26</c:v>
                </c:pt>
                <c:pt idx="49">
                  <c:v>-25.5</c:v>
                </c:pt>
                <c:pt idx="50">
                  <c:v>-25</c:v>
                </c:pt>
                <c:pt idx="51">
                  <c:v>-24.5</c:v>
                </c:pt>
                <c:pt idx="52">
                  <c:v>-24</c:v>
                </c:pt>
                <c:pt idx="53">
                  <c:v>-23.5</c:v>
                </c:pt>
                <c:pt idx="54">
                  <c:v>-23</c:v>
                </c:pt>
                <c:pt idx="55">
                  <c:v>-22.5</c:v>
                </c:pt>
                <c:pt idx="56">
                  <c:v>-22</c:v>
                </c:pt>
                <c:pt idx="57">
                  <c:v>-21.5</c:v>
                </c:pt>
                <c:pt idx="58">
                  <c:v>-21</c:v>
                </c:pt>
                <c:pt idx="59">
                  <c:v>-20.5</c:v>
                </c:pt>
                <c:pt idx="60">
                  <c:v>-20</c:v>
                </c:pt>
                <c:pt idx="61">
                  <c:v>-19.5</c:v>
                </c:pt>
                <c:pt idx="62">
                  <c:v>-19</c:v>
                </c:pt>
                <c:pt idx="63">
                  <c:v>-18.5</c:v>
                </c:pt>
                <c:pt idx="64">
                  <c:v>-18</c:v>
                </c:pt>
                <c:pt idx="65">
                  <c:v>-17.5</c:v>
                </c:pt>
                <c:pt idx="66">
                  <c:v>-17</c:v>
                </c:pt>
                <c:pt idx="67">
                  <c:v>-16.5</c:v>
                </c:pt>
                <c:pt idx="68">
                  <c:v>-16</c:v>
                </c:pt>
                <c:pt idx="69">
                  <c:v>-15.5</c:v>
                </c:pt>
                <c:pt idx="70">
                  <c:v>-15</c:v>
                </c:pt>
                <c:pt idx="71">
                  <c:v>-14.5</c:v>
                </c:pt>
                <c:pt idx="72">
                  <c:v>-14</c:v>
                </c:pt>
                <c:pt idx="73">
                  <c:v>-13.5</c:v>
                </c:pt>
                <c:pt idx="74">
                  <c:v>-13</c:v>
                </c:pt>
                <c:pt idx="75">
                  <c:v>-12.5</c:v>
                </c:pt>
                <c:pt idx="76">
                  <c:v>-12</c:v>
                </c:pt>
                <c:pt idx="77">
                  <c:v>-11.5</c:v>
                </c:pt>
                <c:pt idx="78">
                  <c:v>-11</c:v>
                </c:pt>
                <c:pt idx="79">
                  <c:v>-10.5</c:v>
                </c:pt>
                <c:pt idx="80">
                  <c:v>-10</c:v>
                </c:pt>
                <c:pt idx="81">
                  <c:v>-9.5</c:v>
                </c:pt>
                <c:pt idx="82">
                  <c:v>-9</c:v>
                </c:pt>
                <c:pt idx="83">
                  <c:v>-8.5</c:v>
                </c:pt>
                <c:pt idx="84">
                  <c:v>-8</c:v>
                </c:pt>
                <c:pt idx="85">
                  <c:v>-7.5</c:v>
                </c:pt>
                <c:pt idx="86">
                  <c:v>-7</c:v>
                </c:pt>
                <c:pt idx="87">
                  <c:v>-6.5</c:v>
                </c:pt>
                <c:pt idx="88">
                  <c:v>-6</c:v>
                </c:pt>
                <c:pt idx="89">
                  <c:v>-5.5</c:v>
                </c:pt>
                <c:pt idx="90">
                  <c:v>-5</c:v>
                </c:pt>
                <c:pt idx="91">
                  <c:v>-4.5</c:v>
                </c:pt>
                <c:pt idx="92">
                  <c:v>-4</c:v>
                </c:pt>
                <c:pt idx="93">
                  <c:v>-3.5</c:v>
                </c:pt>
                <c:pt idx="94">
                  <c:v>-3</c:v>
                </c:pt>
                <c:pt idx="95">
                  <c:v>-2.5</c:v>
                </c:pt>
                <c:pt idx="96">
                  <c:v>-2</c:v>
                </c:pt>
                <c:pt idx="97">
                  <c:v>-1.5</c:v>
                </c:pt>
                <c:pt idx="98">
                  <c:v>-1</c:v>
                </c:pt>
                <c:pt idx="99">
                  <c:v>-0.5</c:v>
                </c:pt>
                <c:pt idx="100">
                  <c:v>0</c:v>
                </c:pt>
                <c:pt idx="101">
                  <c:v>0.5</c:v>
                </c:pt>
                <c:pt idx="102">
                  <c:v>1</c:v>
                </c:pt>
                <c:pt idx="103">
                  <c:v>1.5</c:v>
                </c:pt>
                <c:pt idx="104">
                  <c:v>2</c:v>
                </c:pt>
                <c:pt idx="105">
                  <c:v>2.5</c:v>
                </c:pt>
                <c:pt idx="106">
                  <c:v>3</c:v>
                </c:pt>
                <c:pt idx="107">
                  <c:v>3.5</c:v>
                </c:pt>
                <c:pt idx="108">
                  <c:v>4</c:v>
                </c:pt>
                <c:pt idx="109">
                  <c:v>4.5</c:v>
                </c:pt>
                <c:pt idx="110">
                  <c:v>5</c:v>
                </c:pt>
                <c:pt idx="111">
                  <c:v>5.5</c:v>
                </c:pt>
                <c:pt idx="112">
                  <c:v>6</c:v>
                </c:pt>
                <c:pt idx="113">
                  <c:v>6.5</c:v>
                </c:pt>
                <c:pt idx="114">
                  <c:v>7</c:v>
                </c:pt>
                <c:pt idx="115">
                  <c:v>7.5</c:v>
                </c:pt>
                <c:pt idx="116">
                  <c:v>8</c:v>
                </c:pt>
                <c:pt idx="117">
                  <c:v>8.5</c:v>
                </c:pt>
                <c:pt idx="118">
                  <c:v>9</c:v>
                </c:pt>
                <c:pt idx="119">
                  <c:v>9.5</c:v>
                </c:pt>
                <c:pt idx="120">
                  <c:v>10</c:v>
                </c:pt>
                <c:pt idx="121">
                  <c:v>10.5</c:v>
                </c:pt>
                <c:pt idx="122">
                  <c:v>11</c:v>
                </c:pt>
                <c:pt idx="123">
                  <c:v>11.5</c:v>
                </c:pt>
                <c:pt idx="124">
                  <c:v>12</c:v>
                </c:pt>
                <c:pt idx="125">
                  <c:v>12.5</c:v>
                </c:pt>
                <c:pt idx="126">
                  <c:v>13</c:v>
                </c:pt>
                <c:pt idx="127">
                  <c:v>13.5</c:v>
                </c:pt>
                <c:pt idx="128">
                  <c:v>14</c:v>
                </c:pt>
                <c:pt idx="129">
                  <c:v>14.5</c:v>
                </c:pt>
                <c:pt idx="130">
                  <c:v>15</c:v>
                </c:pt>
                <c:pt idx="131">
                  <c:v>15.5</c:v>
                </c:pt>
                <c:pt idx="132">
                  <c:v>16</c:v>
                </c:pt>
                <c:pt idx="133">
                  <c:v>16.5</c:v>
                </c:pt>
                <c:pt idx="134">
                  <c:v>17</c:v>
                </c:pt>
                <c:pt idx="135">
                  <c:v>17.5</c:v>
                </c:pt>
                <c:pt idx="136">
                  <c:v>18</c:v>
                </c:pt>
                <c:pt idx="137">
                  <c:v>18.5</c:v>
                </c:pt>
                <c:pt idx="138">
                  <c:v>19</c:v>
                </c:pt>
                <c:pt idx="139">
                  <c:v>19.5</c:v>
                </c:pt>
                <c:pt idx="140">
                  <c:v>20</c:v>
                </c:pt>
                <c:pt idx="141">
                  <c:v>20.5</c:v>
                </c:pt>
                <c:pt idx="142">
                  <c:v>21</c:v>
                </c:pt>
                <c:pt idx="143">
                  <c:v>21.5</c:v>
                </c:pt>
                <c:pt idx="144">
                  <c:v>22</c:v>
                </c:pt>
                <c:pt idx="145">
                  <c:v>22.5</c:v>
                </c:pt>
                <c:pt idx="146">
                  <c:v>23</c:v>
                </c:pt>
                <c:pt idx="147">
                  <c:v>23.5</c:v>
                </c:pt>
                <c:pt idx="148">
                  <c:v>24</c:v>
                </c:pt>
                <c:pt idx="149">
                  <c:v>24.5</c:v>
                </c:pt>
                <c:pt idx="150">
                  <c:v>25</c:v>
                </c:pt>
                <c:pt idx="151">
                  <c:v>25.5</c:v>
                </c:pt>
                <c:pt idx="152">
                  <c:v>26</c:v>
                </c:pt>
                <c:pt idx="153">
                  <c:v>26.5</c:v>
                </c:pt>
                <c:pt idx="154">
                  <c:v>27</c:v>
                </c:pt>
                <c:pt idx="155">
                  <c:v>27.5</c:v>
                </c:pt>
                <c:pt idx="156">
                  <c:v>28</c:v>
                </c:pt>
                <c:pt idx="157">
                  <c:v>28.5</c:v>
                </c:pt>
                <c:pt idx="158">
                  <c:v>29</c:v>
                </c:pt>
                <c:pt idx="159">
                  <c:v>29.5</c:v>
                </c:pt>
                <c:pt idx="160">
                  <c:v>30</c:v>
                </c:pt>
                <c:pt idx="161">
                  <c:v>30.5</c:v>
                </c:pt>
                <c:pt idx="162">
                  <c:v>31</c:v>
                </c:pt>
                <c:pt idx="163">
                  <c:v>31.5</c:v>
                </c:pt>
                <c:pt idx="164">
                  <c:v>32</c:v>
                </c:pt>
                <c:pt idx="165">
                  <c:v>32.5</c:v>
                </c:pt>
                <c:pt idx="166">
                  <c:v>33</c:v>
                </c:pt>
                <c:pt idx="167">
                  <c:v>33.5</c:v>
                </c:pt>
                <c:pt idx="168">
                  <c:v>34</c:v>
                </c:pt>
                <c:pt idx="169">
                  <c:v>34.5</c:v>
                </c:pt>
                <c:pt idx="170">
                  <c:v>35</c:v>
                </c:pt>
                <c:pt idx="171">
                  <c:v>35.5</c:v>
                </c:pt>
                <c:pt idx="172">
                  <c:v>36</c:v>
                </c:pt>
                <c:pt idx="173">
                  <c:v>36.5</c:v>
                </c:pt>
                <c:pt idx="174">
                  <c:v>37</c:v>
                </c:pt>
                <c:pt idx="175">
                  <c:v>37.5</c:v>
                </c:pt>
                <c:pt idx="176">
                  <c:v>38</c:v>
                </c:pt>
                <c:pt idx="177">
                  <c:v>38.5</c:v>
                </c:pt>
                <c:pt idx="178">
                  <c:v>39</c:v>
                </c:pt>
                <c:pt idx="179">
                  <c:v>39.5</c:v>
                </c:pt>
                <c:pt idx="180">
                  <c:v>40</c:v>
                </c:pt>
                <c:pt idx="181">
                  <c:v>40.5</c:v>
                </c:pt>
                <c:pt idx="182">
                  <c:v>41</c:v>
                </c:pt>
                <c:pt idx="183">
                  <c:v>41.5</c:v>
                </c:pt>
                <c:pt idx="184">
                  <c:v>42</c:v>
                </c:pt>
                <c:pt idx="185">
                  <c:v>42.5</c:v>
                </c:pt>
                <c:pt idx="186">
                  <c:v>43</c:v>
                </c:pt>
                <c:pt idx="187">
                  <c:v>43.5</c:v>
                </c:pt>
                <c:pt idx="188">
                  <c:v>44</c:v>
                </c:pt>
                <c:pt idx="189">
                  <c:v>44.5</c:v>
                </c:pt>
                <c:pt idx="190">
                  <c:v>45</c:v>
                </c:pt>
                <c:pt idx="191">
                  <c:v>45.5</c:v>
                </c:pt>
                <c:pt idx="192">
                  <c:v>46</c:v>
                </c:pt>
                <c:pt idx="193">
                  <c:v>46.5</c:v>
                </c:pt>
                <c:pt idx="194">
                  <c:v>47</c:v>
                </c:pt>
                <c:pt idx="195">
                  <c:v>47.5</c:v>
                </c:pt>
                <c:pt idx="196">
                  <c:v>48</c:v>
                </c:pt>
                <c:pt idx="197">
                  <c:v>48.5</c:v>
                </c:pt>
                <c:pt idx="198">
                  <c:v>49</c:v>
                </c:pt>
                <c:pt idx="199">
                  <c:v>49.5</c:v>
                </c:pt>
                <c:pt idx="200">
                  <c:v>50</c:v>
                </c:pt>
              </c:numCache>
            </c:numRef>
          </c:xVal>
          <c:yVal>
            <c:numRef>
              <c:f>'subsidence profile with z_0'!$G$16:$G$216</c:f>
              <c:numCache>
                <c:formatCode>0.000</c:formatCode>
                <c:ptCount val="201"/>
                <c:pt idx="0">
                  <c:v>-4.948075339080439E-7</c:v>
                </c:pt>
                <c:pt idx="1">
                  <c:v>-7.0175126470923077E-7</c:v>
                </c:pt>
                <c:pt idx="2">
                  <c:v>-9.91756395966647E-7</c:v>
                </c:pt>
                <c:pt idx="3">
                  <c:v>-1.3966954600479371E-6</c:v>
                </c:pt>
                <c:pt idx="4">
                  <c:v>-1.9600779293163596E-6</c:v>
                </c:pt>
                <c:pt idx="5">
                  <c:v>-2.741068324789523E-6</c:v>
                </c:pt>
                <c:pt idx="6">
                  <c:v>-3.8198058465599969E-6</c:v>
                </c:pt>
                <c:pt idx="7">
                  <c:v>-5.3044165658875138E-6</c:v>
                </c:pt>
                <c:pt idx="8">
                  <c:v>-7.3402163678362471E-6</c:v>
                </c:pt>
                <c:pt idx="9">
                  <c:v>-1.0121736018999041E-5</c:v>
                </c:pt>
                <c:pt idx="10">
                  <c:v>-1.3908364269214981E-5</c:v>
                </c:pt>
                <c:pt idx="11">
                  <c:v>-1.9044606877706782E-5</c:v>
                </c:pt>
                <c:pt idx="12">
                  <c:v>-2.5986205797005788E-5</c:v>
                </c:pt>
                <c:pt idx="13">
                  <c:v>-3.533366118279155E-5</c:v>
                </c:pt>
                <c:pt idx="14">
                  <c:v>-4.7875057931013832E-5</c:v>
                </c:pt>
                <c:pt idx="15">
                  <c:v>-6.4640527265121271E-5</c:v>
                </c:pt>
                <c:pt idx="16">
                  <c:v>-8.6971182217182022E-5</c:v>
                </c:pt>
                <c:pt idx="17">
                  <c:v>-1.1660596365342278E-4</c:v>
                </c:pt>
                <c:pt idx="18">
                  <c:v>-1.5579053069895925E-4</c:v>
                </c:pt>
                <c:pt idx="19">
                  <c:v>-2.0741313538430494E-4</c:v>
                </c:pt>
                <c:pt idx="20">
                  <c:v>-2.7517334427701995E-4</c:v>
                </c:pt>
                <c:pt idx="21">
                  <c:v>-3.6379051606061895E-4</c:v>
                </c:pt>
                <c:pt idx="22">
                  <c:v>-4.7926011690214233E-4</c:v>
                </c:pt>
                <c:pt idx="23">
                  <c:v>-6.2916725445211934E-4</c:v>
                </c:pt>
                <c:pt idx="24">
                  <c:v>-8.2306823061019515E-4</c:v>
                </c:pt>
                <c:pt idx="25">
                  <c:v>-1.0729524401807636E-3</c:v>
                </c:pt>
                <c:pt idx="26">
                  <c:v>-1.3937985562759549E-3</c:v>
                </c:pt>
                <c:pt idx="27">
                  <c:v>-1.8042406127238776E-3</c:v>
                </c:pt>
                <c:pt idx="28">
                  <c:v>-2.3273612758140444E-3</c:v>
                </c:pt>
                <c:pt idx="29">
                  <c:v>-2.9916312357523354E-3</c:v>
                </c:pt>
                <c:pt idx="30">
                  <c:v>-3.8320151700973323E-3</c:v>
                </c:pt>
                <c:pt idx="31">
                  <c:v>-4.891266048241593E-3</c:v>
                </c:pt>
                <c:pt idx="32">
                  <c:v>-6.2214305507713435E-3</c:v>
                </c:pt>
                <c:pt idx="33">
                  <c:v>-7.8855889448723113E-3</c:v>
                </c:pt>
                <c:pt idx="34">
                  <c:v>-9.9598527431061113E-3</c:v>
                </c:pt>
                <c:pt idx="35">
                  <c:v>-1.2535642716880308E-2</c:v>
                </c:pt>
                <c:pt idx="36">
                  <c:v>-1.5722268161769373E-2</c:v>
                </c:pt>
                <c:pt idx="37">
                  <c:v>-1.9649825532015421E-2</c:v>
                </c:pt>
                <c:pt idx="38">
                  <c:v>-2.4472430482091429E-2</c:v>
                </c:pt>
                <c:pt idx="39">
                  <c:v>-3.0371791780413274E-2</c:v>
                </c:pt>
                <c:pt idx="40">
                  <c:v>-3.7561128309049951E-2</c:v>
                </c:pt>
                <c:pt idx="41">
                  <c:v>-4.6289421267342291E-2</c:v>
                </c:pt>
                <c:pt idx="42">
                  <c:v>-5.6845982621138859E-2</c:v>
                </c:pt>
                <c:pt idx="43">
                  <c:v>-6.9565307691431613E-2</c:v>
                </c:pt>
                <c:pt idx="44">
                  <c:v>-8.483216452377422E-2</c:v>
                </c:pt>
                <c:pt idx="45">
                  <c:v>-0.10308685536431463</c:v>
                </c:pt>
                <c:pt idx="46">
                  <c:v>-0.1248305663205342</c:v>
                </c:pt>
                <c:pt idx="47">
                  <c:v>-0.150630700340423</c:v>
                </c:pt>
                <c:pt idx="48">
                  <c:v>-0.18112606635654435</c:v>
                </c:pt>
                <c:pt idx="49">
                  <c:v>-0.21703177429415116</c:v>
                </c:pt>
                <c:pt idx="50">
                  <c:v>-0.25914366225483804</c:v>
                </c:pt>
                <c:pt idx="51">
                  <c:v>-0.30834205931828457</c:v>
                </c:pt>
                <c:pt idx="52">
                  <c:v>-0.36559466595007473</c:v>
                </c:pt>
                <c:pt idx="53">
                  <c:v>-0.43195831498556542</c:v>
                </c:pt>
                <c:pt idx="54">
                  <c:v>-0.50857936070924981</c:v>
                </c:pt>
                <c:pt idx="55">
                  <c:v>-0.59669243287956675</c:v>
                </c:pt>
                <c:pt idx="56">
                  <c:v>-0.69761728792158928</c:v>
                </c:pt>
                <c:pt idx="57">
                  <c:v>-0.81275349218900705</c:v>
                </c:pt>
                <c:pt idx="58">
                  <c:v>-0.94357268339818767</c:v>
                </c:pt>
                <c:pt idx="59">
                  <c:v>-1.0916081771686896</c:v>
                </c:pt>
                <c:pt idx="60">
                  <c:v>-1.2584417170012332</c:v>
                </c:pt>
                <c:pt idx="61">
                  <c:v>-1.4456872086792001</c:v>
                </c:pt>
                <c:pt idx="62">
                  <c:v>-1.6549713343762738</c:v>
                </c:pt>
                <c:pt idx="63">
                  <c:v>-1.8879110076972525</c:v>
                </c:pt>
                <c:pt idx="64">
                  <c:v>-2.1460877080412315</c:v>
                </c:pt>
                <c:pt idx="65">
                  <c:v>-2.4310188201398701</c:v>
                </c:pt>
                <c:pt idx="66">
                  <c:v>-2.744126200950614</c:v>
                </c:pt>
                <c:pt idx="67">
                  <c:v>-3.0867022992988979</c:v>
                </c:pt>
                <c:pt idx="68">
                  <c:v>-3.4598742612539271</c:v>
                </c:pt>
                <c:pt idx="69">
                  <c:v>-3.8645665631736499</c:v>
                </c:pt>
                <c:pt idx="70">
                  <c:v>-4.3014628212003725</c:v>
                </c:pt>
                <c:pt idx="71">
                  <c:v>-4.770967526896591</c:v>
                </c:pt>
                <c:pt idx="72">
                  <c:v>-5.2731685495915244</c:v>
                </c:pt>
                <c:pt idx="73">
                  <c:v>-5.8078013226504268</c:v>
                </c:pt>
                <c:pt idx="74">
                  <c:v>-6.3742156891038446</c:v>
                </c:pt>
                <c:pt idx="75">
                  <c:v>-6.971346417912212</c:v>
                </c:pt>
                <c:pt idx="76">
                  <c:v>-7.5976884120138557</c:v>
                </c:pt>
                <c:pt idx="77">
                  <c:v>-8.2512776102100496</c:v>
                </c:pt>
                <c:pt idx="78">
                  <c:v>-8.9296785346356948</c:v>
                </c:pt>
                <c:pt idx="79">
                  <c:v>-9.6299793527282702</c:v>
                </c:pt>
                <c:pt idx="80">
                  <c:v>-10.348795206984891</c:v>
                </c:pt>
                <c:pt idx="81">
                  <c:v>-11.082280418303736</c:v>
                </c:pt>
                <c:pt idx="82">
                  <c:v>-11.826149991495621</c:v>
                </c:pt>
                <c:pt idx="83">
                  <c:v>-12.575710648033583</c:v>
                </c:pt>
                <c:pt idx="84">
                  <c:v>-13.325901385913172</c:v>
                </c:pt>
                <c:pt idx="85">
                  <c:v>-14.071343325382042</c:v>
                </c:pt>
                <c:pt idx="86">
                  <c:v>-14.806398349005388</c:v>
                </c:pt>
                <c:pt idx="87">
                  <c:v>-15.525235792586331</c:v>
                </c:pt>
                <c:pt idx="88">
                  <c:v>-16.221906197915143</c:v>
                </c:pt>
                <c:pt idx="89">
                  <c:v>-16.890420907485208</c:v>
                </c:pt>
                <c:pt idx="90">
                  <c:v>-17.524836073429174</c:v>
                </c:pt>
                <c:pt idx="91">
                  <c:v>-18.119339475846136</c:v>
                </c:pt>
                <c:pt idx="92">
                  <c:v>-18.668338406539021</c:v>
                </c:pt>
                <c:pt idx="93">
                  <c:v>-19.166546779055633</c:v>
                </c:pt>
                <c:pt idx="94">
                  <c:v>-19.609069579604363</c:v>
                </c:pt>
                <c:pt idx="95">
                  <c:v>-19.991482779117774</c:v>
                </c:pt>
                <c:pt idx="96">
                  <c:v>-20.309906885948021</c:v>
                </c:pt>
                <c:pt idx="97">
                  <c:v>-20.56107243103045</c:v>
                </c:pt>
                <c:pt idx="98">
                  <c:v>-20.742375840590231</c:v>
                </c:pt>
                <c:pt idx="99">
                  <c:v>-20.851924361486592</c:v>
                </c:pt>
                <c:pt idx="100">
                  <c:v>-20.888568955258339</c:v>
                </c:pt>
                <c:pt idx="101">
                  <c:v>-20.851924361486592</c:v>
                </c:pt>
                <c:pt idx="102">
                  <c:v>-20.742375840590231</c:v>
                </c:pt>
                <c:pt idx="103">
                  <c:v>-20.56107243103045</c:v>
                </c:pt>
                <c:pt idx="104">
                  <c:v>-20.309906885948021</c:v>
                </c:pt>
                <c:pt idx="105">
                  <c:v>-19.991482779117774</c:v>
                </c:pt>
                <c:pt idx="106">
                  <c:v>-19.609069579604363</c:v>
                </c:pt>
                <c:pt idx="107">
                  <c:v>-19.166546779055633</c:v>
                </c:pt>
                <c:pt idx="108">
                  <c:v>-18.668338406539021</c:v>
                </c:pt>
                <c:pt idx="109">
                  <c:v>-18.119339475846136</c:v>
                </c:pt>
                <c:pt idx="110">
                  <c:v>-17.524836073429174</c:v>
                </c:pt>
                <c:pt idx="111">
                  <c:v>-16.890420907485208</c:v>
                </c:pt>
                <c:pt idx="112">
                  <c:v>-16.221906197915143</c:v>
                </c:pt>
                <c:pt idx="113">
                  <c:v>-15.525235792586331</c:v>
                </c:pt>
                <c:pt idx="114">
                  <c:v>-14.806398349005388</c:v>
                </c:pt>
                <c:pt idx="115">
                  <c:v>-14.071343325382042</c:v>
                </c:pt>
                <c:pt idx="116">
                  <c:v>-13.325901385913172</c:v>
                </c:pt>
                <c:pt idx="117">
                  <c:v>-12.575710648033583</c:v>
                </c:pt>
                <c:pt idx="118">
                  <c:v>-11.826149991495621</c:v>
                </c:pt>
                <c:pt idx="119">
                  <c:v>-11.082280418303736</c:v>
                </c:pt>
                <c:pt idx="120">
                  <c:v>-10.348795206984891</c:v>
                </c:pt>
                <c:pt idx="121">
                  <c:v>-9.6299793527282702</c:v>
                </c:pt>
                <c:pt idx="122">
                  <c:v>-8.9296785346356948</c:v>
                </c:pt>
                <c:pt idx="123">
                  <c:v>-8.2512776102100496</c:v>
                </c:pt>
                <c:pt idx="124">
                  <c:v>-7.5976884120138557</c:v>
                </c:pt>
                <c:pt idx="125">
                  <c:v>-6.971346417912212</c:v>
                </c:pt>
                <c:pt idx="126">
                  <c:v>-6.3742156891038446</c:v>
                </c:pt>
                <c:pt idx="127">
                  <c:v>-5.8078013226504268</c:v>
                </c:pt>
                <c:pt idx="128">
                  <c:v>-5.2731685495915244</c:v>
                </c:pt>
                <c:pt idx="129">
                  <c:v>-4.770967526896591</c:v>
                </c:pt>
                <c:pt idx="130">
                  <c:v>-4.3014628212003725</c:v>
                </c:pt>
                <c:pt idx="131">
                  <c:v>-3.8645665631736499</c:v>
                </c:pt>
                <c:pt idx="132">
                  <c:v>-3.4598742612539271</c:v>
                </c:pt>
                <c:pt idx="133">
                  <c:v>-3.0867022992988979</c:v>
                </c:pt>
                <c:pt idx="134">
                  <c:v>-2.744126200950614</c:v>
                </c:pt>
                <c:pt idx="135">
                  <c:v>-2.4310188201398701</c:v>
                </c:pt>
                <c:pt idx="136">
                  <c:v>-2.1460877080412315</c:v>
                </c:pt>
                <c:pt idx="137">
                  <c:v>-1.8879110076972525</c:v>
                </c:pt>
                <c:pt idx="138">
                  <c:v>-1.6549713343762738</c:v>
                </c:pt>
                <c:pt idx="139">
                  <c:v>-1.4456872086792001</c:v>
                </c:pt>
                <c:pt idx="140">
                  <c:v>-1.2584417170012332</c:v>
                </c:pt>
                <c:pt idx="141">
                  <c:v>-1.0916081771686896</c:v>
                </c:pt>
                <c:pt idx="142">
                  <c:v>-0.94357268339818767</c:v>
                </c:pt>
                <c:pt idx="143">
                  <c:v>-0.81275349218900705</c:v>
                </c:pt>
                <c:pt idx="144">
                  <c:v>-0.69761728792158928</c:v>
                </c:pt>
                <c:pt idx="145">
                  <c:v>-0.59669243287956675</c:v>
                </c:pt>
                <c:pt idx="146">
                  <c:v>-0.50857936070924981</c:v>
                </c:pt>
                <c:pt idx="147">
                  <c:v>-0.43195831498556542</c:v>
                </c:pt>
                <c:pt idx="148">
                  <c:v>-0.36559466595007473</c:v>
                </c:pt>
                <c:pt idx="149">
                  <c:v>-0.30834205931828457</c:v>
                </c:pt>
                <c:pt idx="150">
                  <c:v>-0.25914366225483804</c:v>
                </c:pt>
                <c:pt idx="151">
                  <c:v>-0.21703177429415116</c:v>
                </c:pt>
                <c:pt idx="152">
                  <c:v>-0.18112606635654435</c:v>
                </c:pt>
                <c:pt idx="153">
                  <c:v>-0.150630700340423</c:v>
                </c:pt>
                <c:pt idx="154">
                  <c:v>-0.1248305663205342</c:v>
                </c:pt>
                <c:pt idx="155">
                  <c:v>-0.10308685536431463</c:v>
                </c:pt>
                <c:pt idx="156">
                  <c:v>-8.483216452377422E-2</c:v>
                </c:pt>
                <c:pt idx="157">
                  <c:v>-6.9565307691431613E-2</c:v>
                </c:pt>
                <c:pt idx="158">
                  <c:v>-5.6845982621138859E-2</c:v>
                </c:pt>
                <c:pt idx="159">
                  <c:v>-4.6289421267342291E-2</c:v>
                </c:pt>
                <c:pt idx="160">
                  <c:v>-3.7561128309049951E-2</c:v>
                </c:pt>
                <c:pt idx="161">
                  <c:v>-3.0371791780413274E-2</c:v>
                </c:pt>
                <c:pt idx="162">
                  <c:v>-2.4472430482091429E-2</c:v>
                </c:pt>
                <c:pt idx="163">
                  <c:v>-1.9649825532015421E-2</c:v>
                </c:pt>
                <c:pt idx="164">
                  <c:v>-1.5722268161769373E-2</c:v>
                </c:pt>
                <c:pt idx="165">
                  <c:v>-1.2535642716880308E-2</c:v>
                </c:pt>
                <c:pt idx="166">
                  <c:v>-9.9598527431061113E-3</c:v>
                </c:pt>
                <c:pt idx="167">
                  <c:v>-7.8855889448723113E-3</c:v>
                </c:pt>
                <c:pt idx="168">
                  <c:v>-6.2214305507713435E-3</c:v>
                </c:pt>
                <c:pt idx="169">
                  <c:v>-4.891266048241593E-3</c:v>
                </c:pt>
                <c:pt idx="170">
                  <c:v>-3.8320151700973323E-3</c:v>
                </c:pt>
                <c:pt idx="171">
                  <c:v>-2.9916312357523354E-3</c:v>
                </c:pt>
                <c:pt idx="172">
                  <c:v>-2.3273612758140444E-3</c:v>
                </c:pt>
                <c:pt idx="173">
                  <c:v>-1.8042406127238776E-3</c:v>
                </c:pt>
                <c:pt idx="174">
                  <c:v>-1.3937985562759549E-3</c:v>
                </c:pt>
                <c:pt idx="175">
                  <c:v>-1.0729524401807636E-3</c:v>
                </c:pt>
                <c:pt idx="176">
                  <c:v>-8.2306823061019515E-4</c:v>
                </c:pt>
                <c:pt idx="177">
                  <c:v>-6.2916725445211934E-4</c:v>
                </c:pt>
                <c:pt idx="178">
                  <c:v>-4.7926011690214233E-4</c:v>
                </c:pt>
                <c:pt idx="179">
                  <c:v>-3.6379051606061895E-4</c:v>
                </c:pt>
                <c:pt idx="180">
                  <c:v>-2.7517334427701995E-4</c:v>
                </c:pt>
                <c:pt idx="181">
                  <c:v>-2.0741313538430494E-4</c:v>
                </c:pt>
                <c:pt idx="182">
                  <c:v>-1.5579053069895925E-4</c:v>
                </c:pt>
                <c:pt idx="183">
                  <c:v>-1.1660596365342278E-4</c:v>
                </c:pt>
                <c:pt idx="184">
                  <c:v>-8.6971182217182022E-5</c:v>
                </c:pt>
                <c:pt idx="185">
                  <c:v>-6.4640527265121271E-5</c:v>
                </c:pt>
                <c:pt idx="186">
                  <c:v>-4.7875057931013832E-5</c:v>
                </c:pt>
                <c:pt idx="187">
                  <c:v>-3.533366118279155E-5</c:v>
                </c:pt>
                <c:pt idx="188">
                  <c:v>-2.5986205797005788E-5</c:v>
                </c:pt>
                <c:pt idx="189">
                  <c:v>-1.9044606877706782E-5</c:v>
                </c:pt>
                <c:pt idx="190">
                  <c:v>-1.3908364269214981E-5</c:v>
                </c:pt>
                <c:pt idx="191">
                  <c:v>-1.0121736018999041E-5</c:v>
                </c:pt>
                <c:pt idx="192">
                  <c:v>-7.3402163678362471E-6</c:v>
                </c:pt>
                <c:pt idx="193">
                  <c:v>-5.3044165658875138E-6</c:v>
                </c:pt>
                <c:pt idx="194">
                  <c:v>-3.8198058465599969E-6</c:v>
                </c:pt>
                <c:pt idx="195">
                  <c:v>-2.741068324789523E-6</c:v>
                </c:pt>
                <c:pt idx="196">
                  <c:v>-1.9600779293163596E-6</c:v>
                </c:pt>
                <c:pt idx="197">
                  <c:v>-1.3966954600479371E-6</c:v>
                </c:pt>
                <c:pt idx="198">
                  <c:v>-9.91756395966647E-7</c:v>
                </c:pt>
                <c:pt idx="199">
                  <c:v>-7.0175126470923077E-7</c:v>
                </c:pt>
                <c:pt idx="200">
                  <c:v>-4.948075339080439E-7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C0-44DB-9CC0-524FE3743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368576"/>
        <c:axId val="295251968"/>
      </c:scatterChart>
      <c:valAx>
        <c:axId val="295368576"/>
        <c:scaling>
          <c:orientation val="minMax"/>
          <c:max val="20"/>
          <c:min val="-2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t>ASCISSA TRASVERSALE all'ASSE della GALLERIA (m)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295251968"/>
        <c:crosses val="autoZero"/>
        <c:crossBetween val="midCat"/>
      </c:valAx>
      <c:valAx>
        <c:axId val="295251968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1525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t>W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295368576"/>
        <c:crossesAt val="0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25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t>CONCHE DI SUBSIDENZA CON LA PROGRESSIVA DI SCAVO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NUMERICO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84C3-49C3-B51F-285139E4E133}"/>
            </c:ext>
          </c:extLst>
        </c:ser>
        <c:ser>
          <c:idx val="0"/>
          <c:order val="1"/>
          <c:tx>
            <c:v>EMPIRICO</c:v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'subsidence profile with z_0'!$B$16:$B$216</c:f>
              <c:numCache>
                <c:formatCode>0.000</c:formatCode>
                <c:ptCount val="201"/>
                <c:pt idx="0">
                  <c:v>-50</c:v>
                </c:pt>
                <c:pt idx="1">
                  <c:v>-49.5</c:v>
                </c:pt>
                <c:pt idx="2">
                  <c:v>-49</c:v>
                </c:pt>
                <c:pt idx="3">
                  <c:v>-48.5</c:v>
                </c:pt>
                <c:pt idx="4">
                  <c:v>-48</c:v>
                </c:pt>
                <c:pt idx="5">
                  <c:v>-47.5</c:v>
                </c:pt>
                <c:pt idx="6">
                  <c:v>-47</c:v>
                </c:pt>
                <c:pt idx="7">
                  <c:v>-46.5</c:v>
                </c:pt>
                <c:pt idx="8">
                  <c:v>-46</c:v>
                </c:pt>
                <c:pt idx="9">
                  <c:v>-45.5</c:v>
                </c:pt>
                <c:pt idx="10">
                  <c:v>-45</c:v>
                </c:pt>
                <c:pt idx="11">
                  <c:v>-44.5</c:v>
                </c:pt>
                <c:pt idx="12">
                  <c:v>-44</c:v>
                </c:pt>
                <c:pt idx="13">
                  <c:v>-43.5</c:v>
                </c:pt>
                <c:pt idx="14">
                  <c:v>-43</c:v>
                </c:pt>
                <c:pt idx="15">
                  <c:v>-42.5</c:v>
                </c:pt>
                <c:pt idx="16">
                  <c:v>-42</c:v>
                </c:pt>
                <c:pt idx="17">
                  <c:v>-41.5</c:v>
                </c:pt>
                <c:pt idx="18">
                  <c:v>-41</c:v>
                </c:pt>
                <c:pt idx="19">
                  <c:v>-40.5</c:v>
                </c:pt>
                <c:pt idx="20">
                  <c:v>-40</c:v>
                </c:pt>
                <c:pt idx="21">
                  <c:v>-39.5</c:v>
                </c:pt>
                <c:pt idx="22">
                  <c:v>-39</c:v>
                </c:pt>
                <c:pt idx="23">
                  <c:v>-38.5</c:v>
                </c:pt>
                <c:pt idx="24">
                  <c:v>-38</c:v>
                </c:pt>
                <c:pt idx="25">
                  <c:v>-37.5</c:v>
                </c:pt>
                <c:pt idx="26">
                  <c:v>-37</c:v>
                </c:pt>
                <c:pt idx="27">
                  <c:v>-36.5</c:v>
                </c:pt>
                <c:pt idx="28">
                  <c:v>-36</c:v>
                </c:pt>
                <c:pt idx="29">
                  <c:v>-35.5</c:v>
                </c:pt>
                <c:pt idx="30">
                  <c:v>-35</c:v>
                </c:pt>
                <c:pt idx="31">
                  <c:v>-34.5</c:v>
                </c:pt>
                <c:pt idx="32">
                  <c:v>-34</c:v>
                </c:pt>
                <c:pt idx="33">
                  <c:v>-33.5</c:v>
                </c:pt>
                <c:pt idx="34">
                  <c:v>-33</c:v>
                </c:pt>
                <c:pt idx="35">
                  <c:v>-32.5</c:v>
                </c:pt>
                <c:pt idx="36">
                  <c:v>-32</c:v>
                </c:pt>
                <c:pt idx="37">
                  <c:v>-31.5</c:v>
                </c:pt>
                <c:pt idx="38">
                  <c:v>-31</c:v>
                </c:pt>
                <c:pt idx="39">
                  <c:v>-30.5</c:v>
                </c:pt>
                <c:pt idx="40">
                  <c:v>-30</c:v>
                </c:pt>
                <c:pt idx="41">
                  <c:v>-29.5</c:v>
                </c:pt>
                <c:pt idx="42">
                  <c:v>-29</c:v>
                </c:pt>
                <c:pt idx="43">
                  <c:v>-28.5</c:v>
                </c:pt>
                <c:pt idx="44">
                  <c:v>-28</c:v>
                </c:pt>
                <c:pt idx="45">
                  <c:v>-27.5</c:v>
                </c:pt>
                <c:pt idx="46">
                  <c:v>-27</c:v>
                </c:pt>
                <c:pt idx="47">
                  <c:v>-26.5</c:v>
                </c:pt>
                <c:pt idx="48">
                  <c:v>-26</c:v>
                </c:pt>
                <c:pt idx="49">
                  <c:v>-25.5</c:v>
                </c:pt>
                <c:pt idx="50">
                  <c:v>-25</c:v>
                </c:pt>
                <c:pt idx="51">
                  <c:v>-24.5</c:v>
                </c:pt>
                <c:pt idx="52">
                  <c:v>-24</c:v>
                </c:pt>
                <c:pt idx="53">
                  <c:v>-23.5</c:v>
                </c:pt>
                <c:pt idx="54">
                  <c:v>-23</c:v>
                </c:pt>
                <c:pt idx="55">
                  <c:v>-22.5</c:v>
                </c:pt>
                <c:pt idx="56">
                  <c:v>-22</c:v>
                </c:pt>
                <c:pt idx="57">
                  <c:v>-21.5</c:v>
                </c:pt>
                <c:pt idx="58">
                  <c:v>-21</c:v>
                </c:pt>
                <c:pt idx="59">
                  <c:v>-20.5</c:v>
                </c:pt>
                <c:pt idx="60">
                  <c:v>-20</c:v>
                </c:pt>
                <c:pt idx="61">
                  <c:v>-19.5</c:v>
                </c:pt>
                <c:pt idx="62">
                  <c:v>-19</c:v>
                </c:pt>
                <c:pt idx="63">
                  <c:v>-18.5</c:v>
                </c:pt>
                <c:pt idx="64">
                  <c:v>-18</c:v>
                </c:pt>
                <c:pt idx="65">
                  <c:v>-17.5</c:v>
                </c:pt>
                <c:pt idx="66">
                  <c:v>-17</c:v>
                </c:pt>
                <c:pt idx="67">
                  <c:v>-16.5</c:v>
                </c:pt>
                <c:pt idx="68">
                  <c:v>-16</c:v>
                </c:pt>
                <c:pt idx="69">
                  <c:v>-15.5</c:v>
                </c:pt>
                <c:pt idx="70">
                  <c:v>-15</c:v>
                </c:pt>
                <c:pt idx="71">
                  <c:v>-14.5</c:v>
                </c:pt>
                <c:pt idx="72">
                  <c:v>-14</c:v>
                </c:pt>
                <c:pt idx="73">
                  <c:v>-13.5</c:v>
                </c:pt>
                <c:pt idx="74">
                  <c:v>-13</c:v>
                </c:pt>
                <c:pt idx="75">
                  <c:v>-12.5</c:v>
                </c:pt>
                <c:pt idx="76">
                  <c:v>-12</c:v>
                </c:pt>
                <c:pt idx="77">
                  <c:v>-11.5</c:v>
                </c:pt>
                <c:pt idx="78">
                  <c:v>-11</c:v>
                </c:pt>
                <c:pt idx="79">
                  <c:v>-10.5</c:v>
                </c:pt>
                <c:pt idx="80">
                  <c:v>-10</c:v>
                </c:pt>
                <c:pt idx="81">
                  <c:v>-9.5</c:v>
                </c:pt>
                <c:pt idx="82">
                  <c:v>-9</c:v>
                </c:pt>
                <c:pt idx="83">
                  <c:v>-8.5</c:v>
                </c:pt>
                <c:pt idx="84">
                  <c:v>-8</c:v>
                </c:pt>
                <c:pt idx="85">
                  <c:v>-7.5</c:v>
                </c:pt>
                <c:pt idx="86">
                  <c:v>-7</c:v>
                </c:pt>
                <c:pt idx="87">
                  <c:v>-6.5</c:v>
                </c:pt>
                <c:pt idx="88">
                  <c:v>-6</c:v>
                </c:pt>
                <c:pt idx="89">
                  <c:v>-5.5</c:v>
                </c:pt>
                <c:pt idx="90">
                  <c:v>-5</c:v>
                </c:pt>
                <c:pt idx="91">
                  <c:v>-4.5</c:v>
                </c:pt>
                <c:pt idx="92">
                  <c:v>-4</c:v>
                </c:pt>
                <c:pt idx="93">
                  <c:v>-3.5</c:v>
                </c:pt>
                <c:pt idx="94">
                  <c:v>-3</c:v>
                </c:pt>
                <c:pt idx="95">
                  <c:v>-2.5</c:v>
                </c:pt>
                <c:pt idx="96">
                  <c:v>-2</c:v>
                </c:pt>
                <c:pt idx="97">
                  <c:v>-1.5</c:v>
                </c:pt>
                <c:pt idx="98">
                  <c:v>-1</c:v>
                </c:pt>
                <c:pt idx="99">
                  <c:v>-0.5</c:v>
                </c:pt>
                <c:pt idx="100">
                  <c:v>0</c:v>
                </c:pt>
                <c:pt idx="101">
                  <c:v>0.5</c:v>
                </c:pt>
                <c:pt idx="102">
                  <c:v>1</c:v>
                </c:pt>
                <c:pt idx="103">
                  <c:v>1.5</c:v>
                </c:pt>
                <c:pt idx="104">
                  <c:v>2</c:v>
                </c:pt>
                <c:pt idx="105">
                  <c:v>2.5</c:v>
                </c:pt>
                <c:pt idx="106">
                  <c:v>3</c:v>
                </c:pt>
                <c:pt idx="107">
                  <c:v>3.5</c:v>
                </c:pt>
                <c:pt idx="108">
                  <c:v>4</c:v>
                </c:pt>
                <c:pt idx="109">
                  <c:v>4.5</c:v>
                </c:pt>
                <c:pt idx="110">
                  <c:v>5</c:v>
                </c:pt>
                <c:pt idx="111">
                  <c:v>5.5</c:v>
                </c:pt>
                <c:pt idx="112">
                  <c:v>6</c:v>
                </c:pt>
                <c:pt idx="113">
                  <c:v>6.5</c:v>
                </c:pt>
                <c:pt idx="114">
                  <c:v>7</c:v>
                </c:pt>
                <c:pt idx="115">
                  <c:v>7.5</c:v>
                </c:pt>
                <c:pt idx="116">
                  <c:v>8</c:v>
                </c:pt>
                <c:pt idx="117">
                  <c:v>8.5</c:v>
                </c:pt>
                <c:pt idx="118">
                  <c:v>9</c:v>
                </c:pt>
                <c:pt idx="119">
                  <c:v>9.5</c:v>
                </c:pt>
                <c:pt idx="120">
                  <c:v>10</c:v>
                </c:pt>
                <c:pt idx="121">
                  <c:v>10.5</c:v>
                </c:pt>
                <c:pt idx="122">
                  <c:v>11</c:v>
                </c:pt>
                <c:pt idx="123">
                  <c:v>11.5</c:v>
                </c:pt>
                <c:pt idx="124">
                  <c:v>12</c:v>
                </c:pt>
                <c:pt idx="125">
                  <c:v>12.5</c:v>
                </c:pt>
                <c:pt idx="126">
                  <c:v>13</c:v>
                </c:pt>
                <c:pt idx="127">
                  <c:v>13.5</c:v>
                </c:pt>
                <c:pt idx="128">
                  <c:v>14</c:v>
                </c:pt>
                <c:pt idx="129">
                  <c:v>14.5</c:v>
                </c:pt>
                <c:pt idx="130">
                  <c:v>15</c:v>
                </c:pt>
                <c:pt idx="131">
                  <c:v>15.5</c:v>
                </c:pt>
                <c:pt idx="132">
                  <c:v>16</c:v>
                </c:pt>
                <c:pt idx="133">
                  <c:v>16.5</c:v>
                </c:pt>
                <c:pt idx="134">
                  <c:v>17</c:v>
                </c:pt>
                <c:pt idx="135">
                  <c:v>17.5</c:v>
                </c:pt>
                <c:pt idx="136">
                  <c:v>18</c:v>
                </c:pt>
                <c:pt idx="137">
                  <c:v>18.5</c:v>
                </c:pt>
                <c:pt idx="138">
                  <c:v>19</c:v>
                </c:pt>
                <c:pt idx="139">
                  <c:v>19.5</c:v>
                </c:pt>
                <c:pt idx="140">
                  <c:v>20</c:v>
                </c:pt>
                <c:pt idx="141">
                  <c:v>20.5</c:v>
                </c:pt>
                <c:pt idx="142">
                  <c:v>21</c:v>
                </c:pt>
                <c:pt idx="143">
                  <c:v>21.5</c:v>
                </c:pt>
                <c:pt idx="144">
                  <c:v>22</c:v>
                </c:pt>
                <c:pt idx="145">
                  <c:v>22.5</c:v>
                </c:pt>
                <c:pt idx="146">
                  <c:v>23</c:v>
                </c:pt>
                <c:pt idx="147">
                  <c:v>23.5</c:v>
                </c:pt>
                <c:pt idx="148">
                  <c:v>24</c:v>
                </c:pt>
                <c:pt idx="149">
                  <c:v>24.5</c:v>
                </c:pt>
                <c:pt idx="150">
                  <c:v>25</c:v>
                </c:pt>
                <c:pt idx="151">
                  <c:v>25.5</c:v>
                </c:pt>
                <c:pt idx="152">
                  <c:v>26</c:v>
                </c:pt>
                <c:pt idx="153">
                  <c:v>26.5</c:v>
                </c:pt>
                <c:pt idx="154">
                  <c:v>27</c:v>
                </c:pt>
                <c:pt idx="155">
                  <c:v>27.5</c:v>
                </c:pt>
                <c:pt idx="156">
                  <c:v>28</c:v>
                </c:pt>
                <c:pt idx="157">
                  <c:v>28.5</c:v>
                </c:pt>
                <c:pt idx="158">
                  <c:v>29</c:v>
                </c:pt>
                <c:pt idx="159">
                  <c:v>29.5</c:v>
                </c:pt>
                <c:pt idx="160">
                  <c:v>30</c:v>
                </c:pt>
                <c:pt idx="161">
                  <c:v>30.5</c:v>
                </c:pt>
                <c:pt idx="162">
                  <c:v>31</c:v>
                </c:pt>
                <c:pt idx="163">
                  <c:v>31.5</c:v>
                </c:pt>
                <c:pt idx="164">
                  <c:v>32</c:v>
                </c:pt>
                <c:pt idx="165">
                  <c:v>32.5</c:v>
                </c:pt>
                <c:pt idx="166">
                  <c:v>33</c:v>
                </c:pt>
                <c:pt idx="167">
                  <c:v>33.5</c:v>
                </c:pt>
                <c:pt idx="168">
                  <c:v>34</c:v>
                </c:pt>
                <c:pt idx="169">
                  <c:v>34.5</c:v>
                </c:pt>
                <c:pt idx="170">
                  <c:v>35</c:v>
                </c:pt>
                <c:pt idx="171">
                  <c:v>35.5</c:v>
                </c:pt>
                <c:pt idx="172">
                  <c:v>36</c:v>
                </c:pt>
                <c:pt idx="173">
                  <c:v>36.5</c:v>
                </c:pt>
                <c:pt idx="174">
                  <c:v>37</c:v>
                </c:pt>
                <c:pt idx="175">
                  <c:v>37.5</c:v>
                </c:pt>
                <c:pt idx="176">
                  <c:v>38</c:v>
                </c:pt>
                <c:pt idx="177">
                  <c:v>38.5</c:v>
                </c:pt>
                <c:pt idx="178">
                  <c:v>39</c:v>
                </c:pt>
                <c:pt idx="179">
                  <c:v>39.5</c:v>
                </c:pt>
                <c:pt idx="180">
                  <c:v>40</c:v>
                </c:pt>
                <c:pt idx="181">
                  <c:v>40.5</c:v>
                </c:pt>
                <c:pt idx="182">
                  <c:v>41</c:v>
                </c:pt>
                <c:pt idx="183">
                  <c:v>41.5</c:v>
                </c:pt>
                <c:pt idx="184">
                  <c:v>42</c:v>
                </c:pt>
                <c:pt idx="185">
                  <c:v>42.5</c:v>
                </c:pt>
                <c:pt idx="186">
                  <c:v>43</c:v>
                </c:pt>
                <c:pt idx="187">
                  <c:v>43.5</c:v>
                </c:pt>
                <c:pt idx="188">
                  <c:v>44</c:v>
                </c:pt>
                <c:pt idx="189">
                  <c:v>44.5</c:v>
                </c:pt>
                <c:pt idx="190">
                  <c:v>45</c:v>
                </c:pt>
                <c:pt idx="191">
                  <c:v>45.5</c:v>
                </c:pt>
                <c:pt idx="192">
                  <c:v>46</c:v>
                </c:pt>
                <c:pt idx="193">
                  <c:v>46.5</c:v>
                </c:pt>
                <c:pt idx="194">
                  <c:v>47</c:v>
                </c:pt>
                <c:pt idx="195">
                  <c:v>47.5</c:v>
                </c:pt>
                <c:pt idx="196">
                  <c:v>48</c:v>
                </c:pt>
                <c:pt idx="197">
                  <c:v>48.5</c:v>
                </c:pt>
                <c:pt idx="198">
                  <c:v>49</c:v>
                </c:pt>
                <c:pt idx="199">
                  <c:v>49.5</c:v>
                </c:pt>
                <c:pt idx="200">
                  <c:v>50</c:v>
                </c:pt>
              </c:numCache>
            </c:numRef>
          </c:xVal>
          <c:yVal>
            <c:numRef>
              <c:f>'subsidence profile with z_0'!$C$16:$C$216</c:f>
              <c:numCache>
                <c:formatCode>0.000</c:formatCode>
                <c:ptCount val="201"/>
                <c:pt idx="0">
                  <c:v>-1.1445803695731549E-46</c:v>
                </c:pt>
                <c:pt idx="1">
                  <c:v>-1.0163994491027566E-45</c:v>
                </c:pt>
                <c:pt idx="2">
                  <c:v>-8.8297967808821387E-45</c:v>
                </c:pt>
                <c:pt idx="3">
                  <c:v>-7.5042130453638544E-44</c:v>
                </c:pt>
                <c:pt idx="4">
                  <c:v>-6.2391835400945462E-43</c:v>
                </c:pt>
                <c:pt idx="5">
                  <c:v>-5.0747952828869297E-42</c:v>
                </c:pt>
                <c:pt idx="6">
                  <c:v>-4.0381035637372569E-41</c:v>
                </c:pt>
                <c:pt idx="7">
                  <c:v>-3.1434353869211774E-40</c:v>
                </c:pt>
                <c:pt idx="8">
                  <c:v>-2.3938657014969563E-39</c:v>
                </c:pt>
                <c:pt idx="9">
                  <c:v>-1.7834592322808737E-38</c:v>
                </c:pt>
                <c:pt idx="10">
                  <c:v>-1.2998545234532888E-37</c:v>
                </c:pt>
                <c:pt idx="11">
                  <c:v>-9.2681802798776205E-37</c:v>
                </c:pt>
                <c:pt idx="12">
                  <c:v>-6.4649080961722239E-36</c:v>
                </c:pt>
                <c:pt idx="13">
                  <c:v>-4.4116230531360012E-35</c:v>
                </c:pt>
                <c:pt idx="14">
                  <c:v>-2.9451173151966675E-34</c:v>
                </c:pt>
                <c:pt idx="15">
                  <c:v>-1.9234236873501562E-33</c:v>
                </c:pt>
                <c:pt idx="16">
                  <c:v>-1.2288969908550753E-32</c:v>
                </c:pt>
                <c:pt idx="17">
                  <c:v>-7.6811131182811037E-32</c:v>
                </c:pt>
                <c:pt idx="18">
                  <c:v>-4.6967884630240959E-31</c:v>
                </c:pt>
                <c:pt idx="19">
                  <c:v>-2.8096097398932037E-30</c:v>
                </c:pt>
                <c:pt idx="20">
                  <c:v>-1.6442170919560271E-29</c:v>
                </c:pt>
                <c:pt idx="21">
                  <c:v>-9.4132691544377995E-29</c:v>
                </c:pt>
                <c:pt idx="22">
                  <c:v>-5.2721766631805745E-28</c:v>
                </c:pt>
                <c:pt idx="23">
                  <c:v>-2.8887342570053657E-27</c:v>
                </c:pt>
                <c:pt idx="24">
                  <c:v>-1.5484364587383116E-26</c:v>
                </c:pt>
                <c:pt idx="25">
                  <c:v>-8.1198376277871484E-26</c:v>
                </c:pt>
                <c:pt idx="26">
                  <c:v>-4.1655222690241279E-25</c:v>
                </c:pt>
                <c:pt idx="27">
                  <c:v>-2.0905460373986879E-24</c:v>
                </c:pt>
                <c:pt idx="28">
                  <c:v>-1.0264036097871945E-23</c:v>
                </c:pt>
                <c:pt idx="29">
                  <c:v>-4.9299755466634562E-23</c:v>
                </c:pt>
                <c:pt idx="30">
                  <c:v>-2.3165384818914007E-22</c:v>
                </c:pt>
                <c:pt idx="31">
                  <c:v>-1.064884320387019E-21</c:v>
                </c:pt>
                <c:pt idx="32">
                  <c:v>-4.7888750462170246E-21</c:v>
                </c:pt>
                <c:pt idx="33">
                  <c:v>-2.1068457371198567E-20</c:v>
                </c:pt>
                <c:pt idx="34">
                  <c:v>-9.067762355427183E-20</c:v>
                </c:pt>
                <c:pt idx="35">
                  <c:v>-3.8179978655163661E-19</c:v>
                </c:pt>
                <c:pt idx="36">
                  <c:v>-1.5726764817354964E-18</c:v>
                </c:pt>
                <c:pt idx="37">
                  <c:v>-6.3374020908104854E-18</c:v>
                </c:pt>
                <c:pt idx="38">
                  <c:v>-2.4983385703914836E-17</c:v>
                </c:pt>
                <c:pt idx="39">
                  <c:v>-9.6351722360458728E-17</c:v>
                </c:pt>
                <c:pt idx="40">
                  <c:v>-3.6352629606564088E-16</c:v>
                </c:pt>
                <c:pt idx="41">
                  <c:v>-1.3417769905016181E-15</c:v>
                </c:pt>
                <c:pt idx="42">
                  <c:v>-4.8449913744945252E-15</c:v>
                </c:pt>
                <c:pt idx="43">
                  <c:v>-1.7114879109533817E-14</c:v>
                </c:pt>
                <c:pt idx="44">
                  <c:v>-5.9145651912917713E-14</c:v>
                </c:pt>
                <c:pt idx="45">
                  <c:v>-1.9995854580802249E-13</c:v>
                </c:pt>
                <c:pt idx="46">
                  <c:v>-6.6134073833265201E-13</c:v>
                </c:pt>
                <c:pt idx="47">
                  <c:v>-2.1398273869842023E-12</c:v>
                </c:pt>
                <c:pt idx="48">
                  <c:v>-6.7733008616191406E-12</c:v>
                </c:pt>
                <c:pt idx="49">
                  <c:v>-2.0974429242588661E-11</c:v>
                </c:pt>
                <c:pt idx="50">
                  <c:v>-6.3540129539704109E-11</c:v>
                </c:pt>
                <c:pt idx="51">
                  <c:v>-1.8831035395520396E-10</c:v>
                </c:pt>
                <c:pt idx="52">
                  <c:v>-5.4596960184775171E-10</c:v>
                </c:pt>
                <c:pt idx="53">
                  <c:v>-1.5485701579259834E-9</c:v>
                </c:pt>
                <c:pt idx="54">
                  <c:v>-4.2969615562997568E-9</c:v>
                </c:pt>
                <c:pt idx="55">
                  <c:v>-1.1664341068940639E-8</c:v>
                </c:pt>
                <c:pt idx="56">
                  <c:v>-3.0976126661021712E-8</c:v>
                </c:pt>
                <c:pt idx="57">
                  <c:v>-8.0475219954095289E-8</c:v>
                </c:pt>
                <c:pt idx="58">
                  <c:v>-2.0453394396490523E-7</c:v>
                </c:pt>
                <c:pt idx="59">
                  <c:v>-5.0855364656287158E-7</c:v>
                </c:pt>
                <c:pt idx="60">
                  <c:v>-1.2370188347701098E-6</c:v>
                </c:pt>
                <c:pt idx="61">
                  <c:v>-2.9436353601530093E-6</c:v>
                </c:pt>
                <c:pt idx="62">
                  <c:v>-6.8526708119738089E-6</c:v>
                </c:pt>
                <c:pt idx="63">
                  <c:v>-1.5606441463097834E-5</c:v>
                </c:pt>
                <c:pt idx="64">
                  <c:v>-3.4770910673037455E-5</c:v>
                </c:pt>
                <c:pt idx="65">
                  <c:v>-7.5787294276124652E-5</c:v>
                </c:pt>
                <c:pt idx="66">
                  <c:v>-1.6160131816280322E-4</c:v>
                </c:pt>
                <c:pt idx="67">
                  <c:v>-3.3710217533103711E-4</c:v>
                </c:pt>
                <c:pt idx="68">
                  <c:v>-6.8793336069254999E-4</c:v>
                </c:pt>
                <c:pt idx="69">
                  <c:v>-1.3734072821822525E-3</c:v>
                </c:pt>
                <c:pt idx="70">
                  <c:v>-2.6823811004519096E-3</c:v>
                </c:pt>
                <c:pt idx="71">
                  <c:v>-5.1251876935031089E-3</c:v>
                </c:pt>
                <c:pt idx="72">
                  <c:v>-9.5800379252433312E-3</c:v>
                </c:pt>
                <c:pt idx="73">
                  <c:v>-1.7518335587134476E-2</c:v>
                </c:pt>
                <c:pt idx="74">
                  <c:v>-3.1339106792200776E-2</c:v>
                </c:pt>
                <c:pt idx="75">
                  <c:v>-5.4846453026927103E-2</c:v>
                </c:pt>
                <c:pt idx="76">
                  <c:v>-9.3902820772624879E-2</c:v>
                </c:pt>
                <c:pt idx="77">
                  <c:v>-0.15728122739192102</c:v>
                </c:pt>
                <c:pt idx="78">
                  <c:v>-0.25771713841078658</c:v>
                </c:pt>
                <c:pt idx="79">
                  <c:v>-0.41312156976118541</c:v>
                </c:pt>
                <c:pt idx="80">
                  <c:v>-0.64785915563709517</c:v>
                </c:pt>
                <c:pt idx="81">
                  <c:v>-0.99392013804586499</c:v>
                </c:pt>
                <c:pt idx="82">
                  <c:v>-1.4917310821989171</c:v>
                </c:pt>
                <c:pt idx="83">
                  <c:v>-2.1902704672245488</c:v>
                </c:pt>
                <c:pt idx="84">
                  <c:v>-3.1461042925030838</c:v>
                </c:pt>
                <c:pt idx="85">
                  <c:v>-4.4209605823879841</c:v>
                </c:pt>
                <c:pt idx="86">
                  <c:v>-6.0775470503496765</c:v>
                </c:pt>
                <c:pt idx="87">
                  <c:v>-8.1735020555780977</c:v>
                </c:pt>
                <c:pt idx="88">
                  <c:v>-10.753657053000932</c:v>
                </c:pt>
                <c:pt idx="89">
                  <c:v>-13.841155497324324</c:v>
                </c:pt>
                <c:pt idx="90">
                  <c:v>-17.428366044780532</c:v>
                </c:pt>
                <c:pt idx="91">
                  <c:v>-21.468868571533964</c:v>
                </c:pt>
                <c:pt idx="92">
                  <c:v>-25.871988017462229</c:v>
                </c:pt>
                <c:pt idx="93">
                  <c:v>-30.50131792042756</c:v>
                </c:pt>
                <c:pt idx="94">
                  <c:v>-35.178358313455107</c:v>
                </c:pt>
                <c:pt idx="95">
                  <c:v>-39.691790535165886</c:v>
                </c:pt>
                <c:pt idx="96">
                  <c:v>-43.812090183572941</c:v>
                </c:pt>
                <c:pt idx="97">
                  <c:v>-47.310268699663105</c:v>
                </c:pt>
                <c:pt idx="98">
                  <c:v>-49.978706947794436</c:v>
                </c:pt>
                <c:pt idx="99">
                  <c:v>-51.651480765438357</c:v>
                </c:pt>
                <c:pt idx="100">
                  <c:v>-52.221422388145861</c:v>
                </c:pt>
                <c:pt idx="101">
                  <c:v>-51.651480765438357</c:v>
                </c:pt>
                <c:pt idx="102">
                  <c:v>-49.978706947794436</c:v>
                </c:pt>
                <c:pt idx="103">
                  <c:v>-47.310268699663105</c:v>
                </c:pt>
                <c:pt idx="104">
                  <c:v>-43.812090183572941</c:v>
                </c:pt>
                <c:pt idx="105">
                  <c:v>-39.691790535165886</c:v>
                </c:pt>
                <c:pt idx="106">
                  <c:v>-35.178358313455107</c:v>
                </c:pt>
                <c:pt idx="107">
                  <c:v>-30.50131792042756</c:v>
                </c:pt>
                <c:pt idx="108">
                  <c:v>-25.871988017462229</c:v>
                </c:pt>
                <c:pt idx="109">
                  <c:v>-21.468868571533964</c:v>
                </c:pt>
                <c:pt idx="110">
                  <c:v>-17.428366044780532</c:v>
                </c:pt>
                <c:pt idx="111">
                  <c:v>-13.841155497324324</c:v>
                </c:pt>
                <c:pt idx="112">
                  <c:v>-10.753657053000932</c:v>
                </c:pt>
                <c:pt idx="113">
                  <c:v>-8.1735020555780977</c:v>
                </c:pt>
                <c:pt idx="114">
                  <c:v>-6.0775470503496765</c:v>
                </c:pt>
                <c:pt idx="115">
                  <c:v>-4.4209605823879841</c:v>
                </c:pt>
                <c:pt idx="116">
                  <c:v>-3.1461042925030838</c:v>
                </c:pt>
                <c:pt idx="117">
                  <c:v>-2.1902704672245488</c:v>
                </c:pt>
                <c:pt idx="118">
                  <c:v>-1.4917310821989171</c:v>
                </c:pt>
                <c:pt idx="119">
                  <c:v>-0.99392013804586499</c:v>
                </c:pt>
                <c:pt idx="120">
                  <c:v>-0.64785915563709517</c:v>
                </c:pt>
                <c:pt idx="121">
                  <c:v>-0.41312156976118541</c:v>
                </c:pt>
                <c:pt idx="122">
                  <c:v>-0.25771713841078658</c:v>
                </c:pt>
                <c:pt idx="123">
                  <c:v>-0.15728122739192102</c:v>
                </c:pt>
                <c:pt idx="124">
                  <c:v>-9.3902820772624879E-2</c:v>
                </c:pt>
                <c:pt idx="125">
                  <c:v>-5.4846453026927103E-2</c:v>
                </c:pt>
                <c:pt idx="126">
                  <c:v>-3.1339106792200776E-2</c:v>
                </c:pt>
                <c:pt idx="127">
                  <c:v>-1.7518335587134476E-2</c:v>
                </c:pt>
                <c:pt idx="128">
                  <c:v>-9.5800379252433312E-3</c:v>
                </c:pt>
                <c:pt idx="129">
                  <c:v>-5.1251876935031089E-3</c:v>
                </c:pt>
                <c:pt idx="130">
                  <c:v>-2.6823811004519096E-3</c:v>
                </c:pt>
                <c:pt idx="131">
                  <c:v>-1.3734072821822525E-3</c:v>
                </c:pt>
                <c:pt idx="132">
                  <c:v>-6.8793336069254999E-4</c:v>
                </c:pt>
                <c:pt idx="133">
                  <c:v>-3.3710217533103711E-4</c:v>
                </c:pt>
                <c:pt idx="134">
                  <c:v>-1.6160131816280322E-4</c:v>
                </c:pt>
                <c:pt idx="135">
                  <c:v>-7.5787294276124652E-5</c:v>
                </c:pt>
                <c:pt idx="136">
                  <c:v>-3.4770910673037455E-5</c:v>
                </c:pt>
                <c:pt idx="137">
                  <c:v>-1.5606441463097834E-5</c:v>
                </c:pt>
                <c:pt idx="138">
                  <c:v>-6.8526708119738089E-6</c:v>
                </c:pt>
                <c:pt idx="139">
                  <c:v>-2.9436353601530093E-6</c:v>
                </c:pt>
                <c:pt idx="140">
                  <c:v>-1.2370188347701098E-6</c:v>
                </c:pt>
                <c:pt idx="141">
                  <c:v>-5.0855364656287158E-7</c:v>
                </c:pt>
                <c:pt idx="142">
                  <c:v>-2.0453394396490523E-7</c:v>
                </c:pt>
                <c:pt idx="143">
                  <c:v>-8.0475219954095289E-8</c:v>
                </c:pt>
                <c:pt idx="144">
                  <c:v>-3.0976126661021712E-8</c:v>
                </c:pt>
                <c:pt idx="145">
                  <c:v>-1.1664341068940639E-8</c:v>
                </c:pt>
                <c:pt idx="146">
                  <c:v>-4.2969615562997568E-9</c:v>
                </c:pt>
                <c:pt idx="147">
                  <c:v>-1.5485701579259834E-9</c:v>
                </c:pt>
                <c:pt idx="148">
                  <c:v>-5.4596960184775171E-10</c:v>
                </c:pt>
                <c:pt idx="149">
                  <c:v>-1.8831035395520396E-10</c:v>
                </c:pt>
                <c:pt idx="150">
                  <c:v>-6.3540129539704109E-11</c:v>
                </c:pt>
                <c:pt idx="151">
                  <c:v>-2.0974429242588661E-11</c:v>
                </c:pt>
                <c:pt idx="152">
                  <c:v>-6.7733008616191406E-12</c:v>
                </c:pt>
                <c:pt idx="153">
                  <c:v>-2.1398273869842023E-12</c:v>
                </c:pt>
                <c:pt idx="154">
                  <c:v>-6.6134073833265201E-13</c:v>
                </c:pt>
                <c:pt idx="155">
                  <c:v>-1.9995854580802249E-13</c:v>
                </c:pt>
                <c:pt idx="156">
                  <c:v>-5.9145651912917713E-14</c:v>
                </c:pt>
                <c:pt idx="157">
                  <c:v>-1.7114879109533817E-14</c:v>
                </c:pt>
                <c:pt idx="158">
                  <c:v>-4.8449913744945252E-15</c:v>
                </c:pt>
                <c:pt idx="159">
                  <c:v>-1.3417769905016181E-15</c:v>
                </c:pt>
                <c:pt idx="160">
                  <c:v>-3.6352629606564088E-16</c:v>
                </c:pt>
                <c:pt idx="161">
                  <c:v>-9.6351722360458728E-17</c:v>
                </c:pt>
                <c:pt idx="162">
                  <c:v>-2.4983385703914836E-17</c:v>
                </c:pt>
                <c:pt idx="163">
                  <c:v>-6.3374020908104854E-18</c:v>
                </c:pt>
                <c:pt idx="164">
                  <c:v>-1.5726764817354964E-18</c:v>
                </c:pt>
                <c:pt idx="165">
                  <c:v>-3.8179978655163661E-19</c:v>
                </c:pt>
                <c:pt idx="166">
                  <c:v>-9.067762355427183E-20</c:v>
                </c:pt>
                <c:pt idx="167">
                  <c:v>-2.1068457371198567E-20</c:v>
                </c:pt>
                <c:pt idx="168">
                  <c:v>-4.7888750462170246E-21</c:v>
                </c:pt>
                <c:pt idx="169">
                  <c:v>-1.064884320387019E-21</c:v>
                </c:pt>
                <c:pt idx="170">
                  <c:v>-2.3165384818914007E-22</c:v>
                </c:pt>
                <c:pt idx="171">
                  <c:v>-4.9299755466634562E-23</c:v>
                </c:pt>
                <c:pt idx="172">
                  <c:v>-1.0264036097871945E-23</c:v>
                </c:pt>
                <c:pt idx="173">
                  <c:v>-2.0905460373986879E-24</c:v>
                </c:pt>
                <c:pt idx="174">
                  <c:v>-4.1655222690241279E-25</c:v>
                </c:pt>
                <c:pt idx="175">
                  <c:v>-8.1198376277871484E-26</c:v>
                </c:pt>
                <c:pt idx="176">
                  <c:v>-1.5484364587383116E-26</c:v>
                </c:pt>
                <c:pt idx="177">
                  <c:v>-2.8887342570053657E-27</c:v>
                </c:pt>
                <c:pt idx="178">
                  <c:v>-5.2721766631805745E-28</c:v>
                </c:pt>
                <c:pt idx="179">
                  <c:v>-9.4132691544377995E-29</c:v>
                </c:pt>
                <c:pt idx="180">
                  <c:v>-1.6442170919560271E-29</c:v>
                </c:pt>
                <c:pt idx="181">
                  <c:v>-2.8096097398932037E-30</c:v>
                </c:pt>
                <c:pt idx="182">
                  <c:v>-4.6967884630240959E-31</c:v>
                </c:pt>
                <c:pt idx="183">
                  <c:v>-7.6811131182811037E-32</c:v>
                </c:pt>
                <c:pt idx="184">
                  <c:v>-1.2288969908550753E-32</c:v>
                </c:pt>
                <c:pt idx="185">
                  <c:v>-1.9234236873501562E-33</c:v>
                </c:pt>
                <c:pt idx="186">
                  <c:v>-2.9451173151966675E-34</c:v>
                </c:pt>
                <c:pt idx="187">
                  <c:v>-4.4116230531360012E-35</c:v>
                </c:pt>
                <c:pt idx="188">
                  <c:v>-6.4649080961722239E-36</c:v>
                </c:pt>
                <c:pt idx="189">
                  <c:v>-9.2681802798776205E-37</c:v>
                </c:pt>
                <c:pt idx="190">
                  <c:v>-1.2998545234532888E-37</c:v>
                </c:pt>
                <c:pt idx="191">
                  <c:v>-1.7834592322808737E-38</c:v>
                </c:pt>
                <c:pt idx="192">
                  <c:v>-2.3938657014969563E-39</c:v>
                </c:pt>
                <c:pt idx="193">
                  <c:v>-3.1434353869211774E-40</c:v>
                </c:pt>
                <c:pt idx="194">
                  <c:v>-4.0381035637372569E-41</c:v>
                </c:pt>
                <c:pt idx="195">
                  <c:v>-5.0747952828869297E-42</c:v>
                </c:pt>
                <c:pt idx="196">
                  <c:v>-6.2391835400945462E-43</c:v>
                </c:pt>
                <c:pt idx="197">
                  <c:v>-7.5042130453638544E-44</c:v>
                </c:pt>
                <c:pt idx="198">
                  <c:v>-8.8297967808821387E-45</c:v>
                </c:pt>
                <c:pt idx="199">
                  <c:v>-1.0163994491027566E-45</c:v>
                </c:pt>
                <c:pt idx="200">
                  <c:v>-1.1445803695731549E-46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C3-49C3-B51F-285139E4E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269888"/>
        <c:axId val="295271808"/>
      </c:scatterChart>
      <c:valAx>
        <c:axId val="295269888"/>
        <c:scaling>
          <c:orientation val="minMax"/>
          <c:max val="20"/>
          <c:min val="-2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t>ASCISSA TRASVERSALE all'ASSE della GALLERIA (m)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295271808"/>
        <c:crosses val="autoZero"/>
        <c:crossBetween val="midCat"/>
      </c:valAx>
      <c:valAx>
        <c:axId val="295271808"/>
        <c:scaling>
          <c:orientation val="minMax"/>
          <c:max val="2.5"/>
          <c:min val="-10"/>
        </c:scaling>
        <c:delete val="0"/>
        <c:axPos val="l"/>
        <c:title>
          <c:tx>
            <c:rich>
              <a:bodyPr/>
              <a:lstStyle/>
              <a:p>
                <a:pPr>
                  <a:defRPr sz="1525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t>W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295269888"/>
        <c:crossesAt val="0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25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it-IT"/>
              <a:t>SUBSIDENCE along CROSS-SECTIONs with VARYING OVERBURDEN</a:t>
            </a:r>
          </a:p>
        </c:rich>
      </c:tx>
      <c:layout>
        <c:manualLayout>
          <c:xMode val="edge"/>
          <c:yMode val="edge"/>
          <c:x val="0.20877025738798857"/>
          <c:y val="2.080443828016643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1010486177311724E-2"/>
          <c:y val="0.13453545865623012"/>
          <c:w val="0.90562440419447088"/>
          <c:h val="0.76837777418094322"/>
        </c:manualLayout>
      </c:layout>
      <c:scatterChart>
        <c:scatterStyle val="lineMarker"/>
        <c:varyColors val="0"/>
        <c:ser>
          <c:idx val="0"/>
          <c:order val="0"/>
          <c:tx>
            <c:strRef>
              <c:f>'subsidence profile with z_0'!$C$6</c:f>
              <c:strCache>
                <c:ptCount val="1"/>
                <c:pt idx="0">
                  <c:v>0.5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'subsidence profile with z_0'!$B$16:$B$216</c:f>
              <c:numCache>
                <c:formatCode>0.000</c:formatCode>
                <c:ptCount val="201"/>
                <c:pt idx="0">
                  <c:v>-50</c:v>
                </c:pt>
                <c:pt idx="1">
                  <c:v>-49.5</c:v>
                </c:pt>
                <c:pt idx="2">
                  <c:v>-49</c:v>
                </c:pt>
                <c:pt idx="3">
                  <c:v>-48.5</c:v>
                </c:pt>
                <c:pt idx="4">
                  <c:v>-48</c:v>
                </c:pt>
                <c:pt idx="5">
                  <c:v>-47.5</c:v>
                </c:pt>
                <c:pt idx="6">
                  <c:v>-47</c:v>
                </c:pt>
                <c:pt idx="7">
                  <c:v>-46.5</c:v>
                </c:pt>
                <c:pt idx="8">
                  <c:v>-46</c:v>
                </c:pt>
                <c:pt idx="9">
                  <c:v>-45.5</c:v>
                </c:pt>
                <c:pt idx="10">
                  <c:v>-45</c:v>
                </c:pt>
                <c:pt idx="11">
                  <c:v>-44.5</c:v>
                </c:pt>
                <c:pt idx="12">
                  <c:v>-44</c:v>
                </c:pt>
                <c:pt idx="13">
                  <c:v>-43.5</c:v>
                </c:pt>
                <c:pt idx="14">
                  <c:v>-43</c:v>
                </c:pt>
                <c:pt idx="15">
                  <c:v>-42.5</c:v>
                </c:pt>
                <c:pt idx="16">
                  <c:v>-42</c:v>
                </c:pt>
                <c:pt idx="17">
                  <c:v>-41.5</c:v>
                </c:pt>
                <c:pt idx="18">
                  <c:v>-41</c:v>
                </c:pt>
                <c:pt idx="19">
                  <c:v>-40.5</c:v>
                </c:pt>
                <c:pt idx="20">
                  <c:v>-40</c:v>
                </c:pt>
                <c:pt idx="21">
                  <c:v>-39.5</c:v>
                </c:pt>
                <c:pt idx="22">
                  <c:v>-39</c:v>
                </c:pt>
                <c:pt idx="23">
                  <c:v>-38.5</c:v>
                </c:pt>
                <c:pt idx="24">
                  <c:v>-38</c:v>
                </c:pt>
                <c:pt idx="25">
                  <c:v>-37.5</c:v>
                </c:pt>
                <c:pt idx="26">
                  <c:v>-37</c:v>
                </c:pt>
                <c:pt idx="27">
                  <c:v>-36.5</c:v>
                </c:pt>
                <c:pt idx="28">
                  <c:v>-36</c:v>
                </c:pt>
                <c:pt idx="29">
                  <c:v>-35.5</c:v>
                </c:pt>
                <c:pt idx="30">
                  <c:v>-35</c:v>
                </c:pt>
                <c:pt idx="31">
                  <c:v>-34.5</c:v>
                </c:pt>
                <c:pt idx="32">
                  <c:v>-34</c:v>
                </c:pt>
                <c:pt idx="33">
                  <c:v>-33.5</c:v>
                </c:pt>
                <c:pt idx="34">
                  <c:v>-33</c:v>
                </c:pt>
                <c:pt idx="35">
                  <c:v>-32.5</c:v>
                </c:pt>
                <c:pt idx="36">
                  <c:v>-32</c:v>
                </c:pt>
                <c:pt idx="37">
                  <c:v>-31.5</c:v>
                </c:pt>
                <c:pt idx="38">
                  <c:v>-31</c:v>
                </c:pt>
                <c:pt idx="39">
                  <c:v>-30.5</c:v>
                </c:pt>
                <c:pt idx="40">
                  <c:v>-30</c:v>
                </c:pt>
                <c:pt idx="41">
                  <c:v>-29.5</c:v>
                </c:pt>
                <c:pt idx="42">
                  <c:v>-29</c:v>
                </c:pt>
                <c:pt idx="43">
                  <c:v>-28.5</c:v>
                </c:pt>
                <c:pt idx="44">
                  <c:v>-28</c:v>
                </c:pt>
                <c:pt idx="45">
                  <c:v>-27.5</c:v>
                </c:pt>
                <c:pt idx="46">
                  <c:v>-27</c:v>
                </c:pt>
                <c:pt idx="47">
                  <c:v>-26.5</c:v>
                </c:pt>
                <c:pt idx="48">
                  <c:v>-26</c:v>
                </c:pt>
                <c:pt idx="49">
                  <c:v>-25.5</c:v>
                </c:pt>
                <c:pt idx="50">
                  <c:v>-25</c:v>
                </c:pt>
                <c:pt idx="51">
                  <c:v>-24.5</c:v>
                </c:pt>
                <c:pt idx="52">
                  <c:v>-24</c:v>
                </c:pt>
                <c:pt idx="53">
                  <c:v>-23.5</c:v>
                </c:pt>
                <c:pt idx="54">
                  <c:v>-23</c:v>
                </c:pt>
                <c:pt idx="55">
                  <c:v>-22.5</c:v>
                </c:pt>
                <c:pt idx="56">
                  <c:v>-22</c:v>
                </c:pt>
                <c:pt idx="57">
                  <c:v>-21.5</c:v>
                </c:pt>
                <c:pt idx="58">
                  <c:v>-21</c:v>
                </c:pt>
                <c:pt idx="59">
                  <c:v>-20.5</c:v>
                </c:pt>
                <c:pt idx="60">
                  <c:v>-20</c:v>
                </c:pt>
                <c:pt idx="61">
                  <c:v>-19.5</c:v>
                </c:pt>
                <c:pt idx="62">
                  <c:v>-19</c:v>
                </c:pt>
                <c:pt idx="63">
                  <c:v>-18.5</c:v>
                </c:pt>
                <c:pt idx="64">
                  <c:v>-18</c:v>
                </c:pt>
                <c:pt idx="65">
                  <c:v>-17.5</c:v>
                </c:pt>
                <c:pt idx="66">
                  <c:v>-17</c:v>
                </c:pt>
                <c:pt idx="67">
                  <c:v>-16.5</c:v>
                </c:pt>
                <c:pt idx="68">
                  <c:v>-16</c:v>
                </c:pt>
                <c:pt idx="69">
                  <c:v>-15.5</c:v>
                </c:pt>
                <c:pt idx="70">
                  <c:v>-15</c:v>
                </c:pt>
                <c:pt idx="71">
                  <c:v>-14.5</c:v>
                </c:pt>
                <c:pt idx="72">
                  <c:v>-14</c:v>
                </c:pt>
                <c:pt idx="73">
                  <c:v>-13.5</c:v>
                </c:pt>
                <c:pt idx="74">
                  <c:v>-13</c:v>
                </c:pt>
                <c:pt idx="75">
                  <c:v>-12.5</c:v>
                </c:pt>
                <c:pt idx="76">
                  <c:v>-12</c:v>
                </c:pt>
                <c:pt idx="77">
                  <c:v>-11.5</c:v>
                </c:pt>
                <c:pt idx="78">
                  <c:v>-11</c:v>
                </c:pt>
                <c:pt idx="79">
                  <c:v>-10.5</c:v>
                </c:pt>
                <c:pt idx="80">
                  <c:v>-10</c:v>
                </c:pt>
                <c:pt idx="81">
                  <c:v>-9.5</c:v>
                </c:pt>
                <c:pt idx="82">
                  <c:v>-9</c:v>
                </c:pt>
                <c:pt idx="83">
                  <c:v>-8.5</c:v>
                </c:pt>
                <c:pt idx="84">
                  <c:v>-8</c:v>
                </c:pt>
                <c:pt idx="85">
                  <c:v>-7.5</c:v>
                </c:pt>
                <c:pt idx="86">
                  <c:v>-7</c:v>
                </c:pt>
                <c:pt idx="87">
                  <c:v>-6.5</c:v>
                </c:pt>
                <c:pt idx="88">
                  <c:v>-6</c:v>
                </c:pt>
                <c:pt idx="89">
                  <c:v>-5.5</c:v>
                </c:pt>
                <c:pt idx="90">
                  <c:v>-5</c:v>
                </c:pt>
                <c:pt idx="91">
                  <c:v>-4.5</c:v>
                </c:pt>
                <c:pt idx="92">
                  <c:v>-4</c:v>
                </c:pt>
                <c:pt idx="93">
                  <c:v>-3.5</c:v>
                </c:pt>
                <c:pt idx="94">
                  <c:v>-3</c:v>
                </c:pt>
                <c:pt idx="95">
                  <c:v>-2.5</c:v>
                </c:pt>
                <c:pt idx="96">
                  <c:v>-2</c:v>
                </c:pt>
                <c:pt idx="97">
                  <c:v>-1.5</c:v>
                </c:pt>
                <c:pt idx="98">
                  <c:v>-1</c:v>
                </c:pt>
                <c:pt idx="99">
                  <c:v>-0.5</c:v>
                </c:pt>
                <c:pt idx="100">
                  <c:v>0</c:v>
                </c:pt>
                <c:pt idx="101">
                  <c:v>0.5</c:v>
                </c:pt>
                <c:pt idx="102">
                  <c:v>1</c:v>
                </c:pt>
                <c:pt idx="103">
                  <c:v>1.5</c:v>
                </c:pt>
                <c:pt idx="104">
                  <c:v>2</c:v>
                </c:pt>
                <c:pt idx="105">
                  <c:v>2.5</c:v>
                </c:pt>
                <c:pt idx="106">
                  <c:v>3</c:v>
                </c:pt>
                <c:pt idx="107">
                  <c:v>3.5</c:v>
                </c:pt>
                <c:pt idx="108">
                  <c:v>4</c:v>
                </c:pt>
                <c:pt idx="109">
                  <c:v>4.5</c:v>
                </c:pt>
                <c:pt idx="110">
                  <c:v>5</c:v>
                </c:pt>
                <c:pt idx="111">
                  <c:v>5.5</c:v>
                </c:pt>
                <c:pt idx="112">
                  <c:v>6</c:v>
                </c:pt>
                <c:pt idx="113">
                  <c:v>6.5</c:v>
                </c:pt>
                <c:pt idx="114">
                  <c:v>7</c:v>
                </c:pt>
                <c:pt idx="115">
                  <c:v>7.5</c:v>
                </c:pt>
                <c:pt idx="116">
                  <c:v>8</c:v>
                </c:pt>
                <c:pt idx="117">
                  <c:v>8.5</c:v>
                </c:pt>
                <c:pt idx="118">
                  <c:v>9</c:v>
                </c:pt>
                <c:pt idx="119">
                  <c:v>9.5</c:v>
                </c:pt>
                <c:pt idx="120">
                  <c:v>10</c:v>
                </c:pt>
                <c:pt idx="121">
                  <c:v>10.5</c:v>
                </c:pt>
                <c:pt idx="122">
                  <c:v>11</c:v>
                </c:pt>
                <c:pt idx="123">
                  <c:v>11.5</c:v>
                </c:pt>
                <c:pt idx="124">
                  <c:v>12</c:v>
                </c:pt>
                <c:pt idx="125">
                  <c:v>12.5</c:v>
                </c:pt>
                <c:pt idx="126">
                  <c:v>13</c:v>
                </c:pt>
                <c:pt idx="127">
                  <c:v>13.5</c:v>
                </c:pt>
                <c:pt idx="128">
                  <c:v>14</c:v>
                </c:pt>
                <c:pt idx="129">
                  <c:v>14.5</c:v>
                </c:pt>
                <c:pt idx="130">
                  <c:v>15</c:v>
                </c:pt>
                <c:pt idx="131">
                  <c:v>15.5</c:v>
                </c:pt>
                <c:pt idx="132">
                  <c:v>16</c:v>
                </c:pt>
                <c:pt idx="133">
                  <c:v>16.5</c:v>
                </c:pt>
                <c:pt idx="134">
                  <c:v>17</c:v>
                </c:pt>
                <c:pt idx="135">
                  <c:v>17.5</c:v>
                </c:pt>
                <c:pt idx="136">
                  <c:v>18</c:v>
                </c:pt>
                <c:pt idx="137">
                  <c:v>18.5</c:v>
                </c:pt>
                <c:pt idx="138">
                  <c:v>19</c:v>
                </c:pt>
                <c:pt idx="139">
                  <c:v>19.5</c:v>
                </c:pt>
                <c:pt idx="140">
                  <c:v>20</c:v>
                </c:pt>
                <c:pt idx="141">
                  <c:v>20.5</c:v>
                </c:pt>
                <c:pt idx="142">
                  <c:v>21</c:v>
                </c:pt>
                <c:pt idx="143">
                  <c:v>21.5</c:v>
                </c:pt>
                <c:pt idx="144">
                  <c:v>22</c:v>
                </c:pt>
                <c:pt idx="145">
                  <c:v>22.5</c:v>
                </c:pt>
                <c:pt idx="146">
                  <c:v>23</c:v>
                </c:pt>
                <c:pt idx="147">
                  <c:v>23.5</c:v>
                </c:pt>
                <c:pt idx="148">
                  <c:v>24</c:v>
                </c:pt>
                <c:pt idx="149">
                  <c:v>24.5</c:v>
                </c:pt>
                <c:pt idx="150">
                  <c:v>25</c:v>
                </c:pt>
                <c:pt idx="151">
                  <c:v>25.5</c:v>
                </c:pt>
                <c:pt idx="152">
                  <c:v>26</c:v>
                </c:pt>
                <c:pt idx="153">
                  <c:v>26.5</c:v>
                </c:pt>
                <c:pt idx="154">
                  <c:v>27</c:v>
                </c:pt>
                <c:pt idx="155">
                  <c:v>27.5</c:v>
                </c:pt>
                <c:pt idx="156">
                  <c:v>28</c:v>
                </c:pt>
                <c:pt idx="157">
                  <c:v>28.5</c:v>
                </c:pt>
                <c:pt idx="158">
                  <c:v>29</c:v>
                </c:pt>
                <c:pt idx="159">
                  <c:v>29.5</c:v>
                </c:pt>
                <c:pt idx="160">
                  <c:v>30</c:v>
                </c:pt>
                <c:pt idx="161">
                  <c:v>30.5</c:v>
                </c:pt>
                <c:pt idx="162">
                  <c:v>31</c:v>
                </c:pt>
                <c:pt idx="163">
                  <c:v>31.5</c:v>
                </c:pt>
                <c:pt idx="164">
                  <c:v>32</c:v>
                </c:pt>
                <c:pt idx="165">
                  <c:v>32.5</c:v>
                </c:pt>
                <c:pt idx="166">
                  <c:v>33</c:v>
                </c:pt>
                <c:pt idx="167">
                  <c:v>33.5</c:v>
                </c:pt>
                <c:pt idx="168">
                  <c:v>34</c:v>
                </c:pt>
                <c:pt idx="169">
                  <c:v>34.5</c:v>
                </c:pt>
                <c:pt idx="170">
                  <c:v>35</c:v>
                </c:pt>
                <c:pt idx="171">
                  <c:v>35.5</c:v>
                </c:pt>
                <c:pt idx="172">
                  <c:v>36</c:v>
                </c:pt>
                <c:pt idx="173">
                  <c:v>36.5</c:v>
                </c:pt>
                <c:pt idx="174">
                  <c:v>37</c:v>
                </c:pt>
                <c:pt idx="175">
                  <c:v>37.5</c:v>
                </c:pt>
                <c:pt idx="176">
                  <c:v>38</c:v>
                </c:pt>
                <c:pt idx="177">
                  <c:v>38.5</c:v>
                </c:pt>
                <c:pt idx="178">
                  <c:v>39</c:v>
                </c:pt>
                <c:pt idx="179">
                  <c:v>39.5</c:v>
                </c:pt>
                <c:pt idx="180">
                  <c:v>40</c:v>
                </c:pt>
                <c:pt idx="181">
                  <c:v>40.5</c:v>
                </c:pt>
                <c:pt idx="182">
                  <c:v>41</c:v>
                </c:pt>
                <c:pt idx="183">
                  <c:v>41.5</c:v>
                </c:pt>
                <c:pt idx="184">
                  <c:v>42</c:v>
                </c:pt>
                <c:pt idx="185">
                  <c:v>42.5</c:v>
                </c:pt>
                <c:pt idx="186">
                  <c:v>43</c:v>
                </c:pt>
                <c:pt idx="187">
                  <c:v>43.5</c:v>
                </c:pt>
                <c:pt idx="188">
                  <c:v>44</c:v>
                </c:pt>
                <c:pt idx="189">
                  <c:v>44.5</c:v>
                </c:pt>
                <c:pt idx="190">
                  <c:v>45</c:v>
                </c:pt>
                <c:pt idx="191">
                  <c:v>45.5</c:v>
                </c:pt>
                <c:pt idx="192">
                  <c:v>46</c:v>
                </c:pt>
                <c:pt idx="193">
                  <c:v>46.5</c:v>
                </c:pt>
                <c:pt idx="194">
                  <c:v>47</c:v>
                </c:pt>
                <c:pt idx="195">
                  <c:v>47.5</c:v>
                </c:pt>
                <c:pt idx="196">
                  <c:v>48</c:v>
                </c:pt>
                <c:pt idx="197">
                  <c:v>48.5</c:v>
                </c:pt>
                <c:pt idx="198">
                  <c:v>49</c:v>
                </c:pt>
                <c:pt idx="199">
                  <c:v>49.5</c:v>
                </c:pt>
                <c:pt idx="200">
                  <c:v>50</c:v>
                </c:pt>
              </c:numCache>
            </c:numRef>
          </c:xVal>
          <c:yVal>
            <c:numRef>
              <c:f>'subsidence profile with z_0'!$C$16:$C$216</c:f>
              <c:numCache>
                <c:formatCode>0.000</c:formatCode>
                <c:ptCount val="201"/>
                <c:pt idx="0">
                  <c:v>-1.1445803695731549E-46</c:v>
                </c:pt>
                <c:pt idx="1">
                  <c:v>-1.0163994491027566E-45</c:v>
                </c:pt>
                <c:pt idx="2">
                  <c:v>-8.8297967808821387E-45</c:v>
                </c:pt>
                <c:pt idx="3">
                  <c:v>-7.5042130453638544E-44</c:v>
                </c:pt>
                <c:pt idx="4">
                  <c:v>-6.2391835400945462E-43</c:v>
                </c:pt>
                <c:pt idx="5">
                  <c:v>-5.0747952828869297E-42</c:v>
                </c:pt>
                <c:pt idx="6">
                  <c:v>-4.0381035637372569E-41</c:v>
                </c:pt>
                <c:pt idx="7">
                  <c:v>-3.1434353869211774E-40</c:v>
                </c:pt>
                <c:pt idx="8">
                  <c:v>-2.3938657014969563E-39</c:v>
                </c:pt>
                <c:pt idx="9">
                  <c:v>-1.7834592322808737E-38</c:v>
                </c:pt>
                <c:pt idx="10">
                  <c:v>-1.2998545234532888E-37</c:v>
                </c:pt>
                <c:pt idx="11">
                  <c:v>-9.2681802798776205E-37</c:v>
                </c:pt>
                <c:pt idx="12">
                  <c:v>-6.4649080961722239E-36</c:v>
                </c:pt>
                <c:pt idx="13">
                  <c:v>-4.4116230531360012E-35</c:v>
                </c:pt>
                <c:pt idx="14">
                  <c:v>-2.9451173151966675E-34</c:v>
                </c:pt>
                <c:pt idx="15">
                  <c:v>-1.9234236873501562E-33</c:v>
                </c:pt>
                <c:pt idx="16">
                  <c:v>-1.2288969908550753E-32</c:v>
                </c:pt>
                <c:pt idx="17">
                  <c:v>-7.6811131182811037E-32</c:v>
                </c:pt>
                <c:pt idx="18">
                  <c:v>-4.6967884630240959E-31</c:v>
                </c:pt>
                <c:pt idx="19">
                  <c:v>-2.8096097398932037E-30</c:v>
                </c:pt>
                <c:pt idx="20">
                  <c:v>-1.6442170919560271E-29</c:v>
                </c:pt>
                <c:pt idx="21">
                  <c:v>-9.4132691544377995E-29</c:v>
                </c:pt>
                <c:pt idx="22">
                  <c:v>-5.2721766631805745E-28</c:v>
                </c:pt>
                <c:pt idx="23">
                  <c:v>-2.8887342570053657E-27</c:v>
                </c:pt>
                <c:pt idx="24">
                  <c:v>-1.5484364587383116E-26</c:v>
                </c:pt>
                <c:pt idx="25">
                  <c:v>-8.1198376277871484E-26</c:v>
                </c:pt>
                <c:pt idx="26">
                  <c:v>-4.1655222690241279E-25</c:v>
                </c:pt>
                <c:pt idx="27">
                  <c:v>-2.0905460373986879E-24</c:v>
                </c:pt>
                <c:pt idx="28">
                  <c:v>-1.0264036097871945E-23</c:v>
                </c:pt>
                <c:pt idx="29">
                  <c:v>-4.9299755466634562E-23</c:v>
                </c:pt>
                <c:pt idx="30">
                  <c:v>-2.3165384818914007E-22</c:v>
                </c:pt>
                <c:pt idx="31">
                  <c:v>-1.064884320387019E-21</c:v>
                </c:pt>
                <c:pt idx="32">
                  <c:v>-4.7888750462170246E-21</c:v>
                </c:pt>
                <c:pt idx="33">
                  <c:v>-2.1068457371198567E-20</c:v>
                </c:pt>
                <c:pt idx="34">
                  <c:v>-9.067762355427183E-20</c:v>
                </c:pt>
                <c:pt idx="35">
                  <c:v>-3.8179978655163661E-19</c:v>
                </c:pt>
                <c:pt idx="36">
                  <c:v>-1.5726764817354964E-18</c:v>
                </c:pt>
                <c:pt idx="37">
                  <c:v>-6.3374020908104854E-18</c:v>
                </c:pt>
                <c:pt idx="38">
                  <c:v>-2.4983385703914836E-17</c:v>
                </c:pt>
                <c:pt idx="39">
                  <c:v>-9.6351722360458728E-17</c:v>
                </c:pt>
                <c:pt idx="40">
                  <c:v>-3.6352629606564088E-16</c:v>
                </c:pt>
                <c:pt idx="41">
                  <c:v>-1.3417769905016181E-15</c:v>
                </c:pt>
                <c:pt idx="42">
                  <c:v>-4.8449913744945252E-15</c:v>
                </c:pt>
                <c:pt idx="43">
                  <c:v>-1.7114879109533817E-14</c:v>
                </c:pt>
                <c:pt idx="44">
                  <c:v>-5.9145651912917713E-14</c:v>
                </c:pt>
                <c:pt idx="45">
                  <c:v>-1.9995854580802249E-13</c:v>
                </c:pt>
                <c:pt idx="46">
                  <c:v>-6.6134073833265201E-13</c:v>
                </c:pt>
                <c:pt idx="47">
                  <c:v>-2.1398273869842023E-12</c:v>
                </c:pt>
                <c:pt idx="48">
                  <c:v>-6.7733008616191406E-12</c:v>
                </c:pt>
                <c:pt idx="49">
                  <c:v>-2.0974429242588661E-11</c:v>
                </c:pt>
                <c:pt idx="50">
                  <c:v>-6.3540129539704109E-11</c:v>
                </c:pt>
                <c:pt idx="51">
                  <c:v>-1.8831035395520396E-10</c:v>
                </c:pt>
                <c:pt idx="52">
                  <c:v>-5.4596960184775171E-10</c:v>
                </c:pt>
                <c:pt idx="53">
                  <c:v>-1.5485701579259834E-9</c:v>
                </c:pt>
                <c:pt idx="54">
                  <c:v>-4.2969615562997568E-9</c:v>
                </c:pt>
                <c:pt idx="55">
                  <c:v>-1.1664341068940639E-8</c:v>
                </c:pt>
                <c:pt idx="56">
                  <c:v>-3.0976126661021712E-8</c:v>
                </c:pt>
                <c:pt idx="57">
                  <c:v>-8.0475219954095289E-8</c:v>
                </c:pt>
                <c:pt idx="58">
                  <c:v>-2.0453394396490523E-7</c:v>
                </c:pt>
                <c:pt idx="59">
                  <c:v>-5.0855364656287158E-7</c:v>
                </c:pt>
                <c:pt idx="60">
                  <c:v>-1.2370188347701098E-6</c:v>
                </c:pt>
                <c:pt idx="61">
                  <c:v>-2.9436353601530093E-6</c:v>
                </c:pt>
                <c:pt idx="62">
                  <c:v>-6.8526708119738089E-6</c:v>
                </c:pt>
                <c:pt idx="63">
                  <c:v>-1.5606441463097834E-5</c:v>
                </c:pt>
                <c:pt idx="64">
                  <c:v>-3.4770910673037455E-5</c:v>
                </c:pt>
                <c:pt idx="65">
                  <c:v>-7.5787294276124652E-5</c:v>
                </c:pt>
                <c:pt idx="66">
                  <c:v>-1.6160131816280322E-4</c:v>
                </c:pt>
                <c:pt idx="67">
                  <c:v>-3.3710217533103711E-4</c:v>
                </c:pt>
                <c:pt idx="68">
                  <c:v>-6.8793336069254999E-4</c:v>
                </c:pt>
                <c:pt idx="69">
                  <c:v>-1.3734072821822525E-3</c:v>
                </c:pt>
                <c:pt idx="70">
                  <c:v>-2.6823811004519096E-3</c:v>
                </c:pt>
                <c:pt idx="71">
                  <c:v>-5.1251876935031089E-3</c:v>
                </c:pt>
                <c:pt idx="72">
                  <c:v>-9.5800379252433312E-3</c:v>
                </c:pt>
                <c:pt idx="73">
                  <c:v>-1.7518335587134476E-2</c:v>
                </c:pt>
                <c:pt idx="74">
                  <c:v>-3.1339106792200776E-2</c:v>
                </c:pt>
                <c:pt idx="75">
                  <c:v>-5.4846453026927103E-2</c:v>
                </c:pt>
                <c:pt idx="76">
                  <c:v>-9.3902820772624879E-2</c:v>
                </c:pt>
                <c:pt idx="77">
                  <c:v>-0.15728122739192102</c:v>
                </c:pt>
                <c:pt idx="78">
                  <c:v>-0.25771713841078658</c:v>
                </c:pt>
                <c:pt idx="79">
                  <c:v>-0.41312156976118541</c:v>
                </c:pt>
                <c:pt idx="80">
                  <c:v>-0.64785915563709517</c:v>
                </c:pt>
                <c:pt idx="81">
                  <c:v>-0.99392013804586499</c:v>
                </c:pt>
                <c:pt idx="82">
                  <c:v>-1.4917310821989171</c:v>
                </c:pt>
                <c:pt idx="83">
                  <c:v>-2.1902704672245488</c:v>
                </c:pt>
                <c:pt idx="84">
                  <c:v>-3.1461042925030838</c:v>
                </c:pt>
                <c:pt idx="85">
                  <c:v>-4.4209605823879841</c:v>
                </c:pt>
                <c:pt idx="86">
                  <c:v>-6.0775470503496765</c:v>
                </c:pt>
                <c:pt idx="87">
                  <c:v>-8.1735020555780977</c:v>
                </c:pt>
                <c:pt idx="88">
                  <c:v>-10.753657053000932</c:v>
                </c:pt>
                <c:pt idx="89">
                  <c:v>-13.841155497324324</c:v>
                </c:pt>
                <c:pt idx="90">
                  <c:v>-17.428366044780532</c:v>
                </c:pt>
                <c:pt idx="91">
                  <c:v>-21.468868571533964</c:v>
                </c:pt>
                <c:pt idx="92">
                  <c:v>-25.871988017462229</c:v>
                </c:pt>
                <c:pt idx="93">
                  <c:v>-30.50131792042756</c:v>
                </c:pt>
                <c:pt idx="94">
                  <c:v>-35.178358313455107</c:v>
                </c:pt>
                <c:pt idx="95">
                  <c:v>-39.691790535165886</c:v>
                </c:pt>
                <c:pt idx="96">
                  <c:v>-43.812090183572941</c:v>
                </c:pt>
                <c:pt idx="97">
                  <c:v>-47.310268699663105</c:v>
                </c:pt>
                <c:pt idx="98">
                  <c:v>-49.978706947794436</c:v>
                </c:pt>
                <c:pt idx="99">
                  <c:v>-51.651480765438357</c:v>
                </c:pt>
                <c:pt idx="100">
                  <c:v>-52.221422388145861</c:v>
                </c:pt>
                <c:pt idx="101">
                  <c:v>-51.651480765438357</c:v>
                </c:pt>
                <c:pt idx="102">
                  <c:v>-49.978706947794436</c:v>
                </c:pt>
                <c:pt idx="103">
                  <c:v>-47.310268699663105</c:v>
                </c:pt>
                <c:pt idx="104">
                  <c:v>-43.812090183572941</c:v>
                </c:pt>
                <c:pt idx="105">
                  <c:v>-39.691790535165886</c:v>
                </c:pt>
                <c:pt idx="106">
                  <c:v>-35.178358313455107</c:v>
                </c:pt>
                <c:pt idx="107">
                  <c:v>-30.50131792042756</c:v>
                </c:pt>
                <c:pt idx="108">
                  <c:v>-25.871988017462229</c:v>
                </c:pt>
                <c:pt idx="109">
                  <c:v>-21.468868571533964</c:v>
                </c:pt>
                <c:pt idx="110">
                  <c:v>-17.428366044780532</c:v>
                </c:pt>
                <c:pt idx="111">
                  <c:v>-13.841155497324324</c:v>
                </c:pt>
                <c:pt idx="112">
                  <c:v>-10.753657053000932</c:v>
                </c:pt>
                <c:pt idx="113">
                  <c:v>-8.1735020555780977</c:v>
                </c:pt>
                <c:pt idx="114">
                  <c:v>-6.0775470503496765</c:v>
                </c:pt>
                <c:pt idx="115">
                  <c:v>-4.4209605823879841</c:v>
                </c:pt>
                <c:pt idx="116">
                  <c:v>-3.1461042925030838</c:v>
                </c:pt>
                <c:pt idx="117">
                  <c:v>-2.1902704672245488</c:v>
                </c:pt>
                <c:pt idx="118">
                  <c:v>-1.4917310821989171</c:v>
                </c:pt>
                <c:pt idx="119">
                  <c:v>-0.99392013804586499</c:v>
                </c:pt>
                <c:pt idx="120">
                  <c:v>-0.64785915563709517</c:v>
                </c:pt>
                <c:pt idx="121">
                  <c:v>-0.41312156976118541</c:v>
                </c:pt>
                <c:pt idx="122">
                  <c:v>-0.25771713841078658</c:v>
                </c:pt>
                <c:pt idx="123">
                  <c:v>-0.15728122739192102</c:v>
                </c:pt>
                <c:pt idx="124">
                  <c:v>-9.3902820772624879E-2</c:v>
                </c:pt>
                <c:pt idx="125">
                  <c:v>-5.4846453026927103E-2</c:v>
                </c:pt>
                <c:pt idx="126">
                  <c:v>-3.1339106792200776E-2</c:v>
                </c:pt>
                <c:pt idx="127">
                  <c:v>-1.7518335587134476E-2</c:v>
                </c:pt>
                <c:pt idx="128">
                  <c:v>-9.5800379252433312E-3</c:v>
                </c:pt>
                <c:pt idx="129">
                  <c:v>-5.1251876935031089E-3</c:v>
                </c:pt>
                <c:pt idx="130">
                  <c:v>-2.6823811004519096E-3</c:v>
                </c:pt>
                <c:pt idx="131">
                  <c:v>-1.3734072821822525E-3</c:v>
                </c:pt>
                <c:pt idx="132">
                  <c:v>-6.8793336069254999E-4</c:v>
                </c:pt>
                <c:pt idx="133">
                  <c:v>-3.3710217533103711E-4</c:v>
                </c:pt>
                <c:pt idx="134">
                  <c:v>-1.6160131816280322E-4</c:v>
                </c:pt>
                <c:pt idx="135">
                  <c:v>-7.5787294276124652E-5</c:v>
                </c:pt>
                <c:pt idx="136">
                  <c:v>-3.4770910673037455E-5</c:v>
                </c:pt>
                <c:pt idx="137">
                  <c:v>-1.5606441463097834E-5</c:v>
                </c:pt>
                <c:pt idx="138">
                  <c:v>-6.8526708119738089E-6</c:v>
                </c:pt>
                <c:pt idx="139">
                  <c:v>-2.9436353601530093E-6</c:v>
                </c:pt>
                <c:pt idx="140">
                  <c:v>-1.2370188347701098E-6</c:v>
                </c:pt>
                <c:pt idx="141">
                  <c:v>-5.0855364656287158E-7</c:v>
                </c:pt>
                <c:pt idx="142">
                  <c:v>-2.0453394396490523E-7</c:v>
                </c:pt>
                <c:pt idx="143">
                  <c:v>-8.0475219954095289E-8</c:v>
                </c:pt>
                <c:pt idx="144">
                  <c:v>-3.0976126661021712E-8</c:v>
                </c:pt>
                <c:pt idx="145">
                  <c:v>-1.1664341068940639E-8</c:v>
                </c:pt>
                <c:pt idx="146">
                  <c:v>-4.2969615562997568E-9</c:v>
                </c:pt>
                <c:pt idx="147">
                  <c:v>-1.5485701579259834E-9</c:v>
                </c:pt>
                <c:pt idx="148">
                  <c:v>-5.4596960184775171E-10</c:v>
                </c:pt>
                <c:pt idx="149">
                  <c:v>-1.8831035395520396E-10</c:v>
                </c:pt>
                <c:pt idx="150">
                  <c:v>-6.3540129539704109E-11</c:v>
                </c:pt>
                <c:pt idx="151">
                  <c:v>-2.0974429242588661E-11</c:v>
                </c:pt>
                <c:pt idx="152">
                  <c:v>-6.7733008616191406E-12</c:v>
                </c:pt>
                <c:pt idx="153">
                  <c:v>-2.1398273869842023E-12</c:v>
                </c:pt>
                <c:pt idx="154">
                  <c:v>-6.6134073833265201E-13</c:v>
                </c:pt>
                <c:pt idx="155">
                  <c:v>-1.9995854580802249E-13</c:v>
                </c:pt>
                <c:pt idx="156">
                  <c:v>-5.9145651912917713E-14</c:v>
                </c:pt>
                <c:pt idx="157">
                  <c:v>-1.7114879109533817E-14</c:v>
                </c:pt>
                <c:pt idx="158">
                  <c:v>-4.8449913744945252E-15</c:v>
                </c:pt>
                <c:pt idx="159">
                  <c:v>-1.3417769905016181E-15</c:v>
                </c:pt>
                <c:pt idx="160">
                  <c:v>-3.6352629606564088E-16</c:v>
                </c:pt>
                <c:pt idx="161">
                  <c:v>-9.6351722360458728E-17</c:v>
                </c:pt>
                <c:pt idx="162">
                  <c:v>-2.4983385703914836E-17</c:v>
                </c:pt>
                <c:pt idx="163">
                  <c:v>-6.3374020908104854E-18</c:v>
                </c:pt>
                <c:pt idx="164">
                  <c:v>-1.5726764817354964E-18</c:v>
                </c:pt>
                <c:pt idx="165">
                  <c:v>-3.8179978655163661E-19</c:v>
                </c:pt>
                <c:pt idx="166">
                  <c:v>-9.067762355427183E-20</c:v>
                </c:pt>
                <c:pt idx="167">
                  <c:v>-2.1068457371198567E-20</c:v>
                </c:pt>
                <c:pt idx="168">
                  <c:v>-4.7888750462170246E-21</c:v>
                </c:pt>
                <c:pt idx="169">
                  <c:v>-1.064884320387019E-21</c:v>
                </c:pt>
                <c:pt idx="170">
                  <c:v>-2.3165384818914007E-22</c:v>
                </c:pt>
                <c:pt idx="171">
                  <c:v>-4.9299755466634562E-23</c:v>
                </c:pt>
                <c:pt idx="172">
                  <c:v>-1.0264036097871945E-23</c:v>
                </c:pt>
                <c:pt idx="173">
                  <c:v>-2.0905460373986879E-24</c:v>
                </c:pt>
                <c:pt idx="174">
                  <c:v>-4.1655222690241279E-25</c:v>
                </c:pt>
                <c:pt idx="175">
                  <c:v>-8.1198376277871484E-26</c:v>
                </c:pt>
                <c:pt idx="176">
                  <c:v>-1.5484364587383116E-26</c:v>
                </c:pt>
                <c:pt idx="177">
                  <c:v>-2.8887342570053657E-27</c:v>
                </c:pt>
                <c:pt idx="178">
                  <c:v>-5.2721766631805745E-28</c:v>
                </c:pt>
                <c:pt idx="179">
                  <c:v>-9.4132691544377995E-29</c:v>
                </c:pt>
                <c:pt idx="180">
                  <c:v>-1.6442170919560271E-29</c:v>
                </c:pt>
                <c:pt idx="181">
                  <c:v>-2.8096097398932037E-30</c:v>
                </c:pt>
                <c:pt idx="182">
                  <c:v>-4.6967884630240959E-31</c:v>
                </c:pt>
                <c:pt idx="183">
                  <c:v>-7.6811131182811037E-32</c:v>
                </c:pt>
                <c:pt idx="184">
                  <c:v>-1.2288969908550753E-32</c:v>
                </c:pt>
                <c:pt idx="185">
                  <c:v>-1.9234236873501562E-33</c:v>
                </c:pt>
                <c:pt idx="186">
                  <c:v>-2.9451173151966675E-34</c:v>
                </c:pt>
                <c:pt idx="187">
                  <c:v>-4.4116230531360012E-35</c:v>
                </c:pt>
                <c:pt idx="188">
                  <c:v>-6.4649080961722239E-36</c:v>
                </c:pt>
                <c:pt idx="189">
                  <c:v>-9.2681802798776205E-37</c:v>
                </c:pt>
                <c:pt idx="190">
                  <c:v>-1.2998545234532888E-37</c:v>
                </c:pt>
                <c:pt idx="191">
                  <c:v>-1.7834592322808737E-38</c:v>
                </c:pt>
                <c:pt idx="192">
                  <c:v>-2.3938657014969563E-39</c:v>
                </c:pt>
                <c:pt idx="193">
                  <c:v>-3.1434353869211774E-40</c:v>
                </c:pt>
                <c:pt idx="194">
                  <c:v>-4.0381035637372569E-41</c:v>
                </c:pt>
                <c:pt idx="195">
                  <c:v>-5.0747952828869297E-42</c:v>
                </c:pt>
                <c:pt idx="196">
                  <c:v>-6.2391835400945462E-43</c:v>
                </c:pt>
                <c:pt idx="197">
                  <c:v>-7.5042130453638544E-44</c:v>
                </c:pt>
                <c:pt idx="198">
                  <c:v>-8.8297967808821387E-45</c:v>
                </c:pt>
                <c:pt idx="199">
                  <c:v>-1.0163994491027566E-45</c:v>
                </c:pt>
                <c:pt idx="200">
                  <c:v>-1.1445803695731549E-46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AF-4759-B6F8-8BF78F795330}"/>
            </c:ext>
          </c:extLst>
        </c:ser>
        <c:ser>
          <c:idx val="0"/>
          <c:order val="1"/>
          <c:tx>
            <c:strRef>
              <c:f>'subsidence profile with z_0'!$D$6</c:f>
              <c:strCache>
                <c:ptCount val="1"/>
                <c:pt idx="0">
                  <c:v>0.7</c:v>
                </c:pt>
              </c:strCache>
            </c:strRef>
          </c:tx>
          <c:spPr>
            <a:ln w="381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'subsidence profile with z_0'!$B$16:$B$216</c:f>
              <c:numCache>
                <c:formatCode>0.000</c:formatCode>
                <c:ptCount val="201"/>
                <c:pt idx="0">
                  <c:v>-50</c:v>
                </c:pt>
                <c:pt idx="1">
                  <c:v>-49.5</c:v>
                </c:pt>
                <c:pt idx="2">
                  <c:v>-49</c:v>
                </c:pt>
                <c:pt idx="3">
                  <c:v>-48.5</c:v>
                </c:pt>
                <c:pt idx="4">
                  <c:v>-48</c:v>
                </c:pt>
                <c:pt idx="5">
                  <c:v>-47.5</c:v>
                </c:pt>
                <c:pt idx="6">
                  <c:v>-47</c:v>
                </c:pt>
                <c:pt idx="7">
                  <c:v>-46.5</c:v>
                </c:pt>
                <c:pt idx="8">
                  <c:v>-46</c:v>
                </c:pt>
                <c:pt idx="9">
                  <c:v>-45.5</c:v>
                </c:pt>
                <c:pt idx="10">
                  <c:v>-45</c:v>
                </c:pt>
                <c:pt idx="11">
                  <c:v>-44.5</c:v>
                </c:pt>
                <c:pt idx="12">
                  <c:v>-44</c:v>
                </c:pt>
                <c:pt idx="13">
                  <c:v>-43.5</c:v>
                </c:pt>
                <c:pt idx="14">
                  <c:v>-43</c:v>
                </c:pt>
                <c:pt idx="15">
                  <c:v>-42.5</c:v>
                </c:pt>
                <c:pt idx="16">
                  <c:v>-42</c:v>
                </c:pt>
                <c:pt idx="17">
                  <c:v>-41.5</c:v>
                </c:pt>
                <c:pt idx="18">
                  <c:v>-41</c:v>
                </c:pt>
                <c:pt idx="19">
                  <c:v>-40.5</c:v>
                </c:pt>
                <c:pt idx="20">
                  <c:v>-40</c:v>
                </c:pt>
                <c:pt idx="21">
                  <c:v>-39.5</c:v>
                </c:pt>
                <c:pt idx="22">
                  <c:v>-39</c:v>
                </c:pt>
                <c:pt idx="23">
                  <c:v>-38.5</c:v>
                </c:pt>
                <c:pt idx="24">
                  <c:v>-38</c:v>
                </c:pt>
                <c:pt idx="25">
                  <c:v>-37.5</c:v>
                </c:pt>
                <c:pt idx="26">
                  <c:v>-37</c:v>
                </c:pt>
                <c:pt idx="27">
                  <c:v>-36.5</c:v>
                </c:pt>
                <c:pt idx="28">
                  <c:v>-36</c:v>
                </c:pt>
                <c:pt idx="29">
                  <c:v>-35.5</c:v>
                </c:pt>
                <c:pt idx="30">
                  <c:v>-35</c:v>
                </c:pt>
                <c:pt idx="31">
                  <c:v>-34.5</c:v>
                </c:pt>
                <c:pt idx="32">
                  <c:v>-34</c:v>
                </c:pt>
                <c:pt idx="33">
                  <c:v>-33.5</c:v>
                </c:pt>
                <c:pt idx="34">
                  <c:v>-33</c:v>
                </c:pt>
                <c:pt idx="35">
                  <c:v>-32.5</c:v>
                </c:pt>
                <c:pt idx="36">
                  <c:v>-32</c:v>
                </c:pt>
                <c:pt idx="37">
                  <c:v>-31.5</c:v>
                </c:pt>
                <c:pt idx="38">
                  <c:v>-31</c:v>
                </c:pt>
                <c:pt idx="39">
                  <c:v>-30.5</c:v>
                </c:pt>
                <c:pt idx="40">
                  <c:v>-30</c:v>
                </c:pt>
                <c:pt idx="41">
                  <c:v>-29.5</c:v>
                </c:pt>
                <c:pt idx="42">
                  <c:v>-29</c:v>
                </c:pt>
                <c:pt idx="43">
                  <c:v>-28.5</c:v>
                </c:pt>
                <c:pt idx="44">
                  <c:v>-28</c:v>
                </c:pt>
                <c:pt idx="45">
                  <c:v>-27.5</c:v>
                </c:pt>
                <c:pt idx="46">
                  <c:v>-27</c:v>
                </c:pt>
                <c:pt idx="47">
                  <c:v>-26.5</c:v>
                </c:pt>
                <c:pt idx="48">
                  <c:v>-26</c:v>
                </c:pt>
                <c:pt idx="49">
                  <c:v>-25.5</c:v>
                </c:pt>
                <c:pt idx="50">
                  <c:v>-25</c:v>
                </c:pt>
                <c:pt idx="51">
                  <c:v>-24.5</c:v>
                </c:pt>
                <c:pt idx="52">
                  <c:v>-24</c:v>
                </c:pt>
                <c:pt idx="53">
                  <c:v>-23.5</c:v>
                </c:pt>
                <c:pt idx="54">
                  <c:v>-23</c:v>
                </c:pt>
                <c:pt idx="55">
                  <c:v>-22.5</c:v>
                </c:pt>
                <c:pt idx="56">
                  <c:v>-22</c:v>
                </c:pt>
                <c:pt idx="57">
                  <c:v>-21.5</c:v>
                </c:pt>
                <c:pt idx="58">
                  <c:v>-21</c:v>
                </c:pt>
                <c:pt idx="59">
                  <c:v>-20.5</c:v>
                </c:pt>
                <c:pt idx="60">
                  <c:v>-20</c:v>
                </c:pt>
                <c:pt idx="61">
                  <c:v>-19.5</c:v>
                </c:pt>
                <c:pt idx="62">
                  <c:v>-19</c:v>
                </c:pt>
                <c:pt idx="63">
                  <c:v>-18.5</c:v>
                </c:pt>
                <c:pt idx="64">
                  <c:v>-18</c:v>
                </c:pt>
                <c:pt idx="65">
                  <c:v>-17.5</c:v>
                </c:pt>
                <c:pt idx="66">
                  <c:v>-17</c:v>
                </c:pt>
                <c:pt idx="67">
                  <c:v>-16.5</c:v>
                </c:pt>
                <c:pt idx="68">
                  <c:v>-16</c:v>
                </c:pt>
                <c:pt idx="69">
                  <c:v>-15.5</c:v>
                </c:pt>
                <c:pt idx="70">
                  <c:v>-15</c:v>
                </c:pt>
                <c:pt idx="71">
                  <c:v>-14.5</c:v>
                </c:pt>
                <c:pt idx="72">
                  <c:v>-14</c:v>
                </c:pt>
                <c:pt idx="73">
                  <c:v>-13.5</c:v>
                </c:pt>
                <c:pt idx="74">
                  <c:v>-13</c:v>
                </c:pt>
                <c:pt idx="75">
                  <c:v>-12.5</c:v>
                </c:pt>
                <c:pt idx="76">
                  <c:v>-12</c:v>
                </c:pt>
                <c:pt idx="77">
                  <c:v>-11.5</c:v>
                </c:pt>
                <c:pt idx="78">
                  <c:v>-11</c:v>
                </c:pt>
                <c:pt idx="79">
                  <c:v>-10.5</c:v>
                </c:pt>
                <c:pt idx="80">
                  <c:v>-10</c:v>
                </c:pt>
                <c:pt idx="81">
                  <c:v>-9.5</c:v>
                </c:pt>
                <c:pt idx="82">
                  <c:v>-9</c:v>
                </c:pt>
                <c:pt idx="83">
                  <c:v>-8.5</c:v>
                </c:pt>
                <c:pt idx="84">
                  <c:v>-8</c:v>
                </c:pt>
                <c:pt idx="85">
                  <c:v>-7.5</c:v>
                </c:pt>
                <c:pt idx="86">
                  <c:v>-7</c:v>
                </c:pt>
                <c:pt idx="87">
                  <c:v>-6.5</c:v>
                </c:pt>
                <c:pt idx="88">
                  <c:v>-6</c:v>
                </c:pt>
                <c:pt idx="89">
                  <c:v>-5.5</c:v>
                </c:pt>
                <c:pt idx="90">
                  <c:v>-5</c:v>
                </c:pt>
                <c:pt idx="91">
                  <c:v>-4.5</c:v>
                </c:pt>
                <c:pt idx="92">
                  <c:v>-4</c:v>
                </c:pt>
                <c:pt idx="93">
                  <c:v>-3.5</c:v>
                </c:pt>
                <c:pt idx="94">
                  <c:v>-3</c:v>
                </c:pt>
                <c:pt idx="95">
                  <c:v>-2.5</c:v>
                </c:pt>
                <c:pt idx="96">
                  <c:v>-2</c:v>
                </c:pt>
                <c:pt idx="97">
                  <c:v>-1.5</c:v>
                </c:pt>
                <c:pt idx="98">
                  <c:v>-1</c:v>
                </c:pt>
                <c:pt idx="99">
                  <c:v>-0.5</c:v>
                </c:pt>
                <c:pt idx="100">
                  <c:v>0</c:v>
                </c:pt>
                <c:pt idx="101">
                  <c:v>0.5</c:v>
                </c:pt>
                <c:pt idx="102">
                  <c:v>1</c:v>
                </c:pt>
                <c:pt idx="103">
                  <c:v>1.5</c:v>
                </c:pt>
                <c:pt idx="104">
                  <c:v>2</c:v>
                </c:pt>
                <c:pt idx="105">
                  <c:v>2.5</c:v>
                </c:pt>
                <c:pt idx="106">
                  <c:v>3</c:v>
                </c:pt>
                <c:pt idx="107">
                  <c:v>3.5</c:v>
                </c:pt>
                <c:pt idx="108">
                  <c:v>4</c:v>
                </c:pt>
                <c:pt idx="109">
                  <c:v>4.5</c:v>
                </c:pt>
                <c:pt idx="110">
                  <c:v>5</c:v>
                </c:pt>
                <c:pt idx="111">
                  <c:v>5.5</c:v>
                </c:pt>
                <c:pt idx="112">
                  <c:v>6</c:v>
                </c:pt>
                <c:pt idx="113">
                  <c:v>6.5</c:v>
                </c:pt>
                <c:pt idx="114">
                  <c:v>7</c:v>
                </c:pt>
                <c:pt idx="115">
                  <c:v>7.5</c:v>
                </c:pt>
                <c:pt idx="116">
                  <c:v>8</c:v>
                </c:pt>
                <c:pt idx="117">
                  <c:v>8.5</c:v>
                </c:pt>
                <c:pt idx="118">
                  <c:v>9</c:v>
                </c:pt>
                <c:pt idx="119">
                  <c:v>9.5</c:v>
                </c:pt>
                <c:pt idx="120">
                  <c:v>10</c:v>
                </c:pt>
                <c:pt idx="121">
                  <c:v>10.5</c:v>
                </c:pt>
                <c:pt idx="122">
                  <c:v>11</c:v>
                </c:pt>
                <c:pt idx="123">
                  <c:v>11.5</c:v>
                </c:pt>
                <c:pt idx="124">
                  <c:v>12</c:v>
                </c:pt>
                <c:pt idx="125">
                  <c:v>12.5</c:v>
                </c:pt>
                <c:pt idx="126">
                  <c:v>13</c:v>
                </c:pt>
                <c:pt idx="127">
                  <c:v>13.5</c:v>
                </c:pt>
                <c:pt idx="128">
                  <c:v>14</c:v>
                </c:pt>
                <c:pt idx="129">
                  <c:v>14.5</c:v>
                </c:pt>
                <c:pt idx="130">
                  <c:v>15</c:v>
                </c:pt>
                <c:pt idx="131">
                  <c:v>15.5</c:v>
                </c:pt>
                <c:pt idx="132">
                  <c:v>16</c:v>
                </c:pt>
                <c:pt idx="133">
                  <c:v>16.5</c:v>
                </c:pt>
                <c:pt idx="134">
                  <c:v>17</c:v>
                </c:pt>
                <c:pt idx="135">
                  <c:v>17.5</c:v>
                </c:pt>
                <c:pt idx="136">
                  <c:v>18</c:v>
                </c:pt>
                <c:pt idx="137">
                  <c:v>18.5</c:v>
                </c:pt>
                <c:pt idx="138">
                  <c:v>19</c:v>
                </c:pt>
                <c:pt idx="139">
                  <c:v>19.5</c:v>
                </c:pt>
                <c:pt idx="140">
                  <c:v>20</c:v>
                </c:pt>
                <c:pt idx="141">
                  <c:v>20.5</c:v>
                </c:pt>
                <c:pt idx="142">
                  <c:v>21</c:v>
                </c:pt>
                <c:pt idx="143">
                  <c:v>21.5</c:v>
                </c:pt>
                <c:pt idx="144">
                  <c:v>22</c:v>
                </c:pt>
                <c:pt idx="145">
                  <c:v>22.5</c:v>
                </c:pt>
                <c:pt idx="146">
                  <c:v>23</c:v>
                </c:pt>
                <c:pt idx="147">
                  <c:v>23.5</c:v>
                </c:pt>
                <c:pt idx="148">
                  <c:v>24</c:v>
                </c:pt>
                <c:pt idx="149">
                  <c:v>24.5</c:v>
                </c:pt>
                <c:pt idx="150">
                  <c:v>25</c:v>
                </c:pt>
                <c:pt idx="151">
                  <c:v>25.5</c:v>
                </c:pt>
                <c:pt idx="152">
                  <c:v>26</c:v>
                </c:pt>
                <c:pt idx="153">
                  <c:v>26.5</c:v>
                </c:pt>
                <c:pt idx="154">
                  <c:v>27</c:v>
                </c:pt>
                <c:pt idx="155">
                  <c:v>27.5</c:v>
                </c:pt>
                <c:pt idx="156">
                  <c:v>28</c:v>
                </c:pt>
                <c:pt idx="157">
                  <c:v>28.5</c:v>
                </c:pt>
                <c:pt idx="158">
                  <c:v>29</c:v>
                </c:pt>
                <c:pt idx="159">
                  <c:v>29.5</c:v>
                </c:pt>
                <c:pt idx="160">
                  <c:v>30</c:v>
                </c:pt>
                <c:pt idx="161">
                  <c:v>30.5</c:v>
                </c:pt>
                <c:pt idx="162">
                  <c:v>31</c:v>
                </c:pt>
                <c:pt idx="163">
                  <c:v>31.5</c:v>
                </c:pt>
                <c:pt idx="164">
                  <c:v>32</c:v>
                </c:pt>
                <c:pt idx="165">
                  <c:v>32.5</c:v>
                </c:pt>
                <c:pt idx="166">
                  <c:v>33</c:v>
                </c:pt>
                <c:pt idx="167">
                  <c:v>33.5</c:v>
                </c:pt>
                <c:pt idx="168">
                  <c:v>34</c:v>
                </c:pt>
                <c:pt idx="169">
                  <c:v>34.5</c:v>
                </c:pt>
                <c:pt idx="170">
                  <c:v>35</c:v>
                </c:pt>
                <c:pt idx="171">
                  <c:v>35.5</c:v>
                </c:pt>
                <c:pt idx="172">
                  <c:v>36</c:v>
                </c:pt>
                <c:pt idx="173">
                  <c:v>36.5</c:v>
                </c:pt>
                <c:pt idx="174">
                  <c:v>37</c:v>
                </c:pt>
                <c:pt idx="175">
                  <c:v>37.5</c:v>
                </c:pt>
                <c:pt idx="176">
                  <c:v>38</c:v>
                </c:pt>
                <c:pt idx="177">
                  <c:v>38.5</c:v>
                </c:pt>
                <c:pt idx="178">
                  <c:v>39</c:v>
                </c:pt>
                <c:pt idx="179">
                  <c:v>39.5</c:v>
                </c:pt>
                <c:pt idx="180">
                  <c:v>40</c:v>
                </c:pt>
                <c:pt idx="181">
                  <c:v>40.5</c:v>
                </c:pt>
                <c:pt idx="182">
                  <c:v>41</c:v>
                </c:pt>
                <c:pt idx="183">
                  <c:v>41.5</c:v>
                </c:pt>
                <c:pt idx="184">
                  <c:v>42</c:v>
                </c:pt>
                <c:pt idx="185">
                  <c:v>42.5</c:v>
                </c:pt>
                <c:pt idx="186">
                  <c:v>43</c:v>
                </c:pt>
                <c:pt idx="187">
                  <c:v>43.5</c:v>
                </c:pt>
                <c:pt idx="188">
                  <c:v>44</c:v>
                </c:pt>
                <c:pt idx="189">
                  <c:v>44.5</c:v>
                </c:pt>
                <c:pt idx="190">
                  <c:v>45</c:v>
                </c:pt>
                <c:pt idx="191">
                  <c:v>45.5</c:v>
                </c:pt>
                <c:pt idx="192">
                  <c:v>46</c:v>
                </c:pt>
                <c:pt idx="193">
                  <c:v>46.5</c:v>
                </c:pt>
                <c:pt idx="194">
                  <c:v>47</c:v>
                </c:pt>
                <c:pt idx="195">
                  <c:v>47.5</c:v>
                </c:pt>
                <c:pt idx="196">
                  <c:v>48</c:v>
                </c:pt>
                <c:pt idx="197">
                  <c:v>48.5</c:v>
                </c:pt>
                <c:pt idx="198">
                  <c:v>49</c:v>
                </c:pt>
                <c:pt idx="199">
                  <c:v>49.5</c:v>
                </c:pt>
                <c:pt idx="200">
                  <c:v>50</c:v>
                </c:pt>
              </c:numCache>
            </c:numRef>
          </c:xVal>
          <c:yVal>
            <c:numRef>
              <c:f>'subsidence profile with z_0'!$D$16:$D$216</c:f>
              <c:numCache>
                <c:formatCode>0.000</c:formatCode>
                <c:ptCount val="201"/>
                <c:pt idx="0">
                  <c:v>-3.4833660510973849E-32</c:v>
                </c:pt>
                <c:pt idx="1">
                  <c:v>-1.5871676929689183E-31</c:v>
                </c:pt>
                <c:pt idx="2">
                  <c:v>-7.1224134581367714E-31</c:v>
                </c:pt>
                <c:pt idx="3">
                  <c:v>-3.1478368385623495E-30</c:v>
                </c:pt>
                <c:pt idx="4">
                  <c:v>-1.370180909963356E-29</c:v>
                </c:pt>
                <c:pt idx="5">
                  <c:v>-5.8738692846794903E-29</c:v>
                </c:pt>
                <c:pt idx="6">
                  <c:v>-2.4799978777678035E-28</c:v>
                </c:pt>
                <c:pt idx="7">
                  <c:v>-1.0312382354189609E-27</c:v>
                </c:pt>
                <c:pt idx="8">
                  <c:v>-4.2232556454510187E-27</c:v>
                </c:pt>
                <c:pt idx="9">
                  <c:v>-1.7033990544093081E-26</c:v>
                </c:pt>
                <c:pt idx="10">
                  <c:v>-6.7665313564892894E-26</c:v>
                </c:pt>
                <c:pt idx="11">
                  <c:v>-2.6472591733945689E-25</c:v>
                </c:pt>
                <c:pt idx="12">
                  <c:v>-1.0200171914574522E-24</c:v>
                </c:pt>
                <c:pt idx="13">
                  <c:v>-3.8707862293184113E-24</c:v>
                </c:pt>
                <c:pt idx="14">
                  <c:v>-1.446676908938194E-23</c:v>
                </c:pt>
                <c:pt idx="15">
                  <c:v>-5.325060889558809E-23</c:v>
                </c:pt>
                <c:pt idx="16">
                  <c:v>-1.9304487349095002E-22</c:v>
                </c:pt>
                <c:pt idx="17">
                  <c:v>-6.8924342866244404E-22</c:v>
                </c:pt>
                <c:pt idx="18">
                  <c:v>-2.4236374898019662E-21</c:v>
                </c:pt>
                <c:pt idx="19">
                  <c:v>-8.3935050409663202E-21</c:v>
                </c:pt>
                <c:pt idx="20">
                  <c:v>-2.8628573974375935E-20</c:v>
                </c:pt>
                <c:pt idx="21">
                  <c:v>-9.6169363649975455E-20</c:v>
                </c:pt>
                <c:pt idx="22">
                  <c:v>-3.1816648879303046E-19</c:v>
                </c:pt>
                <c:pt idx="23">
                  <c:v>-1.0366992740494532E-18</c:v>
                </c:pt>
                <c:pt idx="24">
                  <c:v>-3.3268392754126009E-18</c:v>
                </c:pt>
                <c:pt idx="25">
                  <c:v>-1.0514569883615821E-17</c:v>
                </c:pt>
                <c:pt idx="26">
                  <c:v>-3.272893473212263E-17</c:v>
                </c:pt>
                <c:pt idx="27">
                  <c:v>-1.0033510155242171E-16</c:v>
                </c:pt>
                <c:pt idx="28">
                  <c:v>-3.0293858005470071E-16</c:v>
                </c:pt>
                <c:pt idx="29">
                  <c:v>-9.008177657155652E-16</c:v>
                </c:pt>
                <c:pt idx="30">
                  <c:v>-2.6381529227282202E-15</c:v>
                </c:pt>
                <c:pt idx="31">
                  <c:v>-7.6092815917001311E-15</c:v>
                </c:pt>
                <c:pt idx="32">
                  <c:v>-2.1615635695567265E-14</c:v>
                </c:pt>
                <c:pt idx="33">
                  <c:v>-6.0474604221445724E-14</c:v>
                </c:pt>
                <c:pt idx="34">
                  <c:v>-1.6663212150668539E-13</c:v>
                </c:pt>
                <c:pt idx="35">
                  <c:v>-4.5219429497845441E-13</c:v>
                </c:pt>
                <c:pt idx="36">
                  <c:v>-1.2085708089998471E-12</c:v>
                </c:pt>
                <c:pt idx="37">
                  <c:v>-3.1812645664995999E-12</c:v>
                </c:pt>
                <c:pt idx="38">
                  <c:v>-8.2472306845132222E-12</c:v>
                </c:pt>
                <c:pt idx="39">
                  <c:v>-2.105703228400703E-11</c:v>
                </c:pt>
                <c:pt idx="40">
                  <c:v>-5.2950107949753217E-11</c:v>
                </c:pt>
                <c:pt idx="41">
                  <c:v>-1.3113457197364416E-10</c:v>
                </c:pt>
                <c:pt idx="42">
                  <c:v>-3.198513753949316E-10</c:v>
                </c:pt>
                <c:pt idx="43">
                  <c:v>-7.6835143804264752E-10</c:v>
                </c:pt>
                <c:pt idx="44">
                  <c:v>-1.8178257901695921E-9</c:v>
                </c:pt>
                <c:pt idx="45">
                  <c:v>-4.2357008408043122E-9</c:v>
                </c:pt>
                <c:pt idx="46">
                  <c:v>-9.7202842241172001E-9</c:v>
                </c:pt>
                <c:pt idx="47">
                  <c:v>-2.1969153090148448E-8</c:v>
                </c:pt>
                <c:pt idx="48">
                  <c:v>-4.8902192708170768E-8</c:v>
                </c:pt>
                <c:pt idx="49">
                  <c:v>-1.0720721559797906E-7</c:v>
                </c:pt>
                <c:pt idx="50">
                  <c:v>-2.314730140949576E-7</c:v>
                </c:pt>
                <c:pt idx="51">
                  <c:v>-4.9221787744994165E-7</c:v>
                </c:pt>
                <c:pt idx="52">
                  <c:v>-1.0308490289750913E-6</c:v>
                </c:pt>
                <c:pt idx="53">
                  <c:v>-2.1262455386031208E-6</c:v>
                </c:pt>
                <c:pt idx="54">
                  <c:v>-4.319290666747239E-6</c:v>
                </c:pt>
                <c:pt idx="55">
                  <c:v>-8.6415592649818908E-6</c:v>
                </c:pt>
                <c:pt idx="56">
                  <c:v>-1.7027561633045275E-5</c:v>
                </c:pt>
                <c:pt idx="57">
                  <c:v>-3.3044065583964309E-5</c:v>
                </c:pt>
                <c:pt idx="58">
                  <c:v>-6.3156078563437199E-5</c:v>
                </c:pt>
                <c:pt idx="59">
                  <c:v>-1.188823834243683E-4</c:v>
                </c:pt>
                <c:pt idx="60">
                  <c:v>-2.2039438055502784E-4</c:v>
                </c:pt>
                <c:pt idx="61">
                  <c:v>-4.0240576771441531E-4</c:v>
                </c:pt>
                <c:pt idx="62">
                  <c:v>-7.2361663648615084E-4</c:v>
                </c:pt>
                <c:pt idx="63">
                  <c:v>-1.2815441000720714E-3</c:v>
                </c:pt>
                <c:pt idx="64">
                  <c:v>-2.2353175837099247E-3</c:v>
                </c:pt>
                <c:pt idx="65">
                  <c:v>-3.8399500898101957E-3</c:v>
                </c:pt>
                <c:pt idx="66">
                  <c:v>-6.4966966856907773E-3</c:v>
                </c:pt>
                <c:pt idx="67">
                  <c:v>-1.082530818193192E-2</c:v>
                </c:pt>
                <c:pt idx="68">
                  <c:v>-1.7765139133705345E-2</c:v>
                </c:pt>
                <c:pt idx="69">
                  <c:v>-2.8712937372121008E-2</c:v>
                </c:pt>
                <c:pt idx="70">
                  <c:v>-4.5705377522439201E-2</c:v>
                </c:pt>
                <c:pt idx="71">
                  <c:v>-7.1653538744211306E-2</c:v>
                </c:pt>
                <c:pt idx="72">
                  <c:v>-0.11063400981343692</c:v>
                </c:pt>
                <c:pt idx="73">
                  <c:v>-0.16823654043520767</c:v>
                </c:pt>
                <c:pt idx="74">
                  <c:v>-0.25196062168406919</c:v>
                </c:pt>
                <c:pt idx="75">
                  <c:v>-0.37164276262332724</c:v>
                </c:pt>
                <c:pt idx="76">
                  <c:v>-0.53988262969757927</c:v>
                </c:pt>
                <c:pt idx="77">
                  <c:v>-0.77242032992507226</c:v>
                </c:pt>
                <c:pt idx="78">
                  <c:v>-1.088400426524337</c:v>
                </c:pt>
                <c:pt idx="79">
                  <c:v>-1.5104431263009166</c:v>
                </c:pt>
                <c:pt idx="80">
                  <c:v>-2.0644326418800913</c:v>
                </c:pt>
                <c:pt idx="81">
                  <c:v>-2.7789307460850594</c:v>
                </c:pt>
                <c:pt idx="82">
                  <c:v>-3.6841338186566528</c:v>
                </c:pt>
                <c:pt idx="83">
                  <c:v>-4.8103174266108164</c:v>
                </c:pt>
                <c:pt idx="84">
                  <c:v>-6.1857553775548828</c:v>
                </c:pt>
                <c:pt idx="85">
                  <c:v>-7.8341595695332993</c:v>
                </c:pt>
                <c:pt idx="86">
                  <c:v>-9.7717590878528924</c:v>
                </c:pt>
                <c:pt idx="87">
                  <c:v>-12.004214742385715</c:v>
                </c:pt>
                <c:pt idx="88">
                  <c:v>-14.523638370650442</c:v>
                </c:pt>
                <c:pt idx="89">
                  <c:v>-17.306042419331792</c:v>
                </c:pt>
                <c:pt idx="90">
                  <c:v>-20.309571819208863</c:v>
                </c:pt>
                <c:pt idx="91">
                  <c:v>-23.473856062327449</c:v>
                </c:pt>
                <c:pt idx="92">
                  <c:v>-26.720757975219854</c:v>
                </c:pt>
                <c:pt idx="93">
                  <c:v>-29.956686597050457</c:v>
                </c:pt>
                <c:pt idx="94">
                  <c:v>-33.076492112638235</c:v>
                </c:pt>
                <c:pt idx="95">
                  <c:v>-35.968785994592402</c:v>
                </c:pt>
                <c:pt idx="96">
                  <c:v>-38.522350767606298</c:v>
                </c:pt>
                <c:pt idx="97">
                  <c:v>-40.633146056426213</c:v>
                </c:pt>
                <c:pt idx="98">
                  <c:v>-42.211305433465725</c:v>
                </c:pt>
                <c:pt idx="99">
                  <c:v>-43.187472076840777</c:v>
                </c:pt>
                <c:pt idx="100">
                  <c:v>-43.517851990121542</c:v>
                </c:pt>
                <c:pt idx="101">
                  <c:v>-43.187472076840777</c:v>
                </c:pt>
                <c:pt idx="102">
                  <c:v>-42.211305433465725</c:v>
                </c:pt>
                <c:pt idx="103">
                  <c:v>-40.633146056426213</c:v>
                </c:pt>
                <c:pt idx="104">
                  <c:v>-38.522350767606298</c:v>
                </c:pt>
                <c:pt idx="105">
                  <c:v>-35.968785994592402</c:v>
                </c:pt>
                <c:pt idx="106">
                  <c:v>-33.076492112638235</c:v>
                </c:pt>
                <c:pt idx="107">
                  <c:v>-29.956686597050457</c:v>
                </c:pt>
                <c:pt idx="108">
                  <c:v>-26.720757975219854</c:v>
                </c:pt>
                <c:pt idx="109">
                  <c:v>-23.473856062327449</c:v>
                </c:pt>
                <c:pt idx="110">
                  <c:v>-20.309571819208863</c:v>
                </c:pt>
                <c:pt idx="111">
                  <c:v>-17.306042419331792</c:v>
                </c:pt>
                <c:pt idx="112">
                  <c:v>-14.523638370650442</c:v>
                </c:pt>
                <c:pt idx="113">
                  <c:v>-12.004214742385715</c:v>
                </c:pt>
                <c:pt idx="114">
                  <c:v>-9.7717590878528924</c:v>
                </c:pt>
                <c:pt idx="115">
                  <c:v>-7.8341595695332993</c:v>
                </c:pt>
                <c:pt idx="116">
                  <c:v>-6.1857553775548828</c:v>
                </c:pt>
                <c:pt idx="117">
                  <c:v>-4.8103174266108164</c:v>
                </c:pt>
                <c:pt idx="118">
                  <c:v>-3.6841338186566528</c:v>
                </c:pt>
                <c:pt idx="119">
                  <c:v>-2.7789307460850594</c:v>
                </c:pt>
                <c:pt idx="120">
                  <c:v>-2.0644326418800913</c:v>
                </c:pt>
                <c:pt idx="121">
                  <c:v>-1.5104431263009166</c:v>
                </c:pt>
                <c:pt idx="122">
                  <c:v>-1.088400426524337</c:v>
                </c:pt>
                <c:pt idx="123">
                  <c:v>-0.77242032992507226</c:v>
                </c:pt>
                <c:pt idx="124">
                  <c:v>-0.53988262969757927</c:v>
                </c:pt>
                <c:pt idx="125">
                  <c:v>-0.37164276262332724</c:v>
                </c:pt>
                <c:pt idx="126">
                  <c:v>-0.25196062168406919</c:v>
                </c:pt>
                <c:pt idx="127">
                  <c:v>-0.16823654043520767</c:v>
                </c:pt>
                <c:pt idx="128">
                  <c:v>-0.11063400981343692</c:v>
                </c:pt>
                <c:pt idx="129">
                  <c:v>-7.1653538744211306E-2</c:v>
                </c:pt>
                <c:pt idx="130">
                  <c:v>-4.5705377522439201E-2</c:v>
                </c:pt>
                <c:pt idx="131">
                  <c:v>-2.8712937372121008E-2</c:v>
                </c:pt>
                <c:pt idx="132">
                  <c:v>-1.7765139133705345E-2</c:v>
                </c:pt>
                <c:pt idx="133">
                  <c:v>-1.082530818193192E-2</c:v>
                </c:pt>
                <c:pt idx="134">
                  <c:v>-6.4966966856907773E-3</c:v>
                </c:pt>
                <c:pt idx="135">
                  <c:v>-3.8399500898101957E-3</c:v>
                </c:pt>
                <c:pt idx="136">
                  <c:v>-2.2353175837099247E-3</c:v>
                </c:pt>
                <c:pt idx="137">
                  <c:v>-1.2815441000720714E-3</c:v>
                </c:pt>
                <c:pt idx="138">
                  <c:v>-7.2361663648615084E-4</c:v>
                </c:pt>
                <c:pt idx="139">
                  <c:v>-4.0240576771441531E-4</c:v>
                </c:pt>
                <c:pt idx="140">
                  <c:v>-2.2039438055502784E-4</c:v>
                </c:pt>
                <c:pt idx="141">
                  <c:v>-1.188823834243683E-4</c:v>
                </c:pt>
                <c:pt idx="142">
                  <c:v>-6.3156078563437199E-5</c:v>
                </c:pt>
                <c:pt idx="143">
                  <c:v>-3.3044065583964309E-5</c:v>
                </c:pt>
                <c:pt idx="144">
                  <c:v>-1.7027561633045275E-5</c:v>
                </c:pt>
                <c:pt idx="145">
                  <c:v>-8.6415592649818908E-6</c:v>
                </c:pt>
                <c:pt idx="146">
                  <c:v>-4.319290666747239E-6</c:v>
                </c:pt>
                <c:pt idx="147">
                  <c:v>-2.1262455386031208E-6</c:v>
                </c:pt>
                <c:pt idx="148">
                  <c:v>-1.0308490289750913E-6</c:v>
                </c:pt>
                <c:pt idx="149">
                  <c:v>-4.9221787744994165E-7</c:v>
                </c:pt>
                <c:pt idx="150">
                  <c:v>-2.314730140949576E-7</c:v>
                </c:pt>
                <c:pt idx="151">
                  <c:v>-1.0720721559797906E-7</c:v>
                </c:pt>
                <c:pt idx="152">
                  <c:v>-4.8902192708170768E-8</c:v>
                </c:pt>
                <c:pt idx="153">
                  <c:v>-2.1969153090148448E-8</c:v>
                </c:pt>
                <c:pt idx="154">
                  <c:v>-9.7202842241172001E-9</c:v>
                </c:pt>
                <c:pt idx="155">
                  <c:v>-4.2357008408043122E-9</c:v>
                </c:pt>
                <c:pt idx="156">
                  <c:v>-1.8178257901695921E-9</c:v>
                </c:pt>
                <c:pt idx="157">
                  <c:v>-7.6835143804264752E-10</c:v>
                </c:pt>
                <c:pt idx="158">
                  <c:v>-3.198513753949316E-10</c:v>
                </c:pt>
                <c:pt idx="159">
                  <c:v>-1.3113457197364416E-10</c:v>
                </c:pt>
                <c:pt idx="160">
                  <c:v>-5.2950107949753217E-11</c:v>
                </c:pt>
                <c:pt idx="161">
                  <c:v>-2.105703228400703E-11</c:v>
                </c:pt>
                <c:pt idx="162">
                  <c:v>-8.2472306845132222E-12</c:v>
                </c:pt>
                <c:pt idx="163">
                  <c:v>-3.1812645664995999E-12</c:v>
                </c:pt>
                <c:pt idx="164">
                  <c:v>-1.2085708089998471E-12</c:v>
                </c:pt>
                <c:pt idx="165">
                  <c:v>-4.5219429497845441E-13</c:v>
                </c:pt>
                <c:pt idx="166">
                  <c:v>-1.6663212150668539E-13</c:v>
                </c:pt>
                <c:pt idx="167">
                  <c:v>-6.0474604221445724E-14</c:v>
                </c:pt>
                <c:pt idx="168">
                  <c:v>-2.1615635695567265E-14</c:v>
                </c:pt>
                <c:pt idx="169">
                  <c:v>-7.6092815917001311E-15</c:v>
                </c:pt>
                <c:pt idx="170">
                  <c:v>-2.6381529227282202E-15</c:v>
                </c:pt>
                <c:pt idx="171">
                  <c:v>-9.008177657155652E-16</c:v>
                </c:pt>
                <c:pt idx="172">
                  <c:v>-3.0293858005470071E-16</c:v>
                </c:pt>
                <c:pt idx="173">
                  <c:v>-1.0033510155242171E-16</c:v>
                </c:pt>
                <c:pt idx="174">
                  <c:v>-3.272893473212263E-17</c:v>
                </c:pt>
                <c:pt idx="175">
                  <c:v>-1.0514569883615821E-17</c:v>
                </c:pt>
                <c:pt idx="176">
                  <c:v>-3.3268392754126009E-18</c:v>
                </c:pt>
                <c:pt idx="177">
                  <c:v>-1.0366992740494532E-18</c:v>
                </c:pt>
                <c:pt idx="178">
                  <c:v>-3.1816648879303046E-19</c:v>
                </c:pt>
                <c:pt idx="179">
                  <c:v>-9.6169363649975455E-20</c:v>
                </c:pt>
                <c:pt idx="180">
                  <c:v>-2.8628573974375935E-20</c:v>
                </c:pt>
                <c:pt idx="181">
                  <c:v>-8.3935050409663202E-21</c:v>
                </c:pt>
                <c:pt idx="182">
                  <c:v>-2.4236374898019662E-21</c:v>
                </c:pt>
                <c:pt idx="183">
                  <c:v>-6.8924342866244404E-22</c:v>
                </c:pt>
                <c:pt idx="184">
                  <c:v>-1.9304487349095002E-22</c:v>
                </c:pt>
                <c:pt idx="185">
                  <c:v>-5.325060889558809E-23</c:v>
                </c:pt>
                <c:pt idx="186">
                  <c:v>-1.446676908938194E-23</c:v>
                </c:pt>
                <c:pt idx="187">
                  <c:v>-3.8707862293184113E-24</c:v>
                </c:pt>
                <c:pt idx="188">
                  <c:v>-1.0200171914574522E-24</c:v>
                </c:pt>
                <c:pt idx="189">
                  <c:v>-2.6472591733945689E-25</c:v>
                </c:pt>
                <c:pt idx="190">
                  <c:v>-6.7665313564892894E-26</c:v>
                </c:pt>
                <c:pt idx="191">
                  <c:v>-1.7033990544093081E-26</c:v>
                </c:pt>
                <c:pt idx="192">
                  <c:v>-4.2232556454510187E-27</c:v>
                </c:pt>
                <c:pt idx="193">
                  <c:v>-1.0312382354189609E-27</c:v>
                </c:pt>
                <c:pt idx="194">
                  <c:v>-2.4799978777678035E-28</c:v>
                </c:pt>
                <c:pt idx="195">
                  <c:v>-5.8738692846794903E-29</c:v>
                </c:pt>
                <c:pt idx="196">
                  <c:v>-1.370180909963356E-29</c:v>
                </c:pt>
                <c:pt idx="197">
                  <c:v>-3.1478368385623495E-30</c:v>
                </c:pt>
                <c:pt idx="198">
                  <c:v>-7.1224134581367714E-31</c:v>
                </c:pt>
                <c:pt idx="199">
                  <c:v>-1.5871676929689183E-31</c:v>
                </c:pt>
                <c:pt idx="200">
                  <c:v>-3.4833660510973849E-32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AF-4759-B6F8-8BF78F795330}"/>
            </c:ext>
          </c:extLst>
        </c:ser>
        <c:ser>
          <c:idx val="0"/>
          <c:order val="2"/>
          <c:tx>
            <c:strRef>
              <c:f>'subsidence profile with z_0'!$E$6</c:f>
              <c:strCache>
                <c:ptCount val="1"/>
                <c:pt idx="0">
                  <c:v>1</c:v>
                </c:pt>
              </c:strCache>
            </c:strRef>
          </c:tx>
          <c:spPr>
            <a:ln w="38100">
              <a:solidFill>
                <a:srgbClr val="FF9900"/>
              </a:solidFill>
              <a:prstDash val="solid"/>
            </a:ln>
          </c:spPr>
          <c:marker>
            <c:symbol val="none"/>
          </c:marker>
          <c:xVal>
            <c:numRef>
              <c:f>'subsidence profile with z_0'!$B$16:$B$216</c:f>
              <c:numCache>
                <c:formatCode>0.000</c:formatCode>
                <c:ptCount val="201"/>
                <c:pt idx="0">
                  <c:v>-50</c:v>
                </c:pt>
                <c:pt idx="1">
                  <c:v>-49.5</c:v>
                </c:pt>
                <c:pt idx="2">
                  <c:v>-49</c:v>
                </c:pt>
                <c:pt idx="3">
                  <c:v>-48.5</c:v>
                </c:pt>
                <c:pt idx="4">
                  <c:v>-48</c:v>
                </c:pt>
                <c:pt idx="5">
                  <c:v>-47.5</c:v>
                </c:pt>
                <c:pt idx="6">
                  <c:v>-47</c:v>
                </c:pt>
                <c:pt idx="7">
                  <c:v>-46.5</c:v>
                </c:pt>
                <c:pt idx="8">
                  <c:v>-46</c:v>
                </c:pt>
                <c:pt idx="9">
                  <c:v>-45.5</c:v>
                </c:pt>
                <c:pt idx="10">
                  <c:v>-45</c:v>
                </c:pt>
                <c:pt idx="11">
                  <c:v>-44.5</c:v>
                </c:pt>
                <c:pt idx="12">
                  <c:v>-44</c:v>
                </c:pt>
                <c:pt idx="13">
                  <c:v>-43.5</c:v>
                </c:pt>
                <c:pt idx="14">
                  <c:v>-43</c:v>
                </c:pt>
                <c:pt idx="15">
                  <c:v>-42.5</c:v>
                </c:pt>
                <c:pt idx="16">
                  <c:v>-42</c:v>
                </c:pt>
                <c:pt idx="17">
                  <c:v>-41.5</c:v>
                </c:pt>
                <c:pt idx="18">
                  <c:v>-41</c:v>
                </c:pt>
                <c:pt idx="19">
                  <c:v>-40.5</c:v>
                </c:pt>
                <c:pt idx="20">
                  <c:v>-40</c:v>
                </c:pt>
                <c:pt idx="21">
                  <c:v>-39.5</c:v>
                </c:pt>
                <c:pt idx="22">
                  <c:v>-39</c:v>
                </c:pt>
                <c:pt idx="23">
                  <c:v>-38.5</c:v>
                </c:pt>
                <c:pt idx="24">
                  <c:v>-38</c:v>
                </c:pt>
                <c:pt idx="25">
                  <c:v>-37.5</c:v>
                </c:pt>
                <c:pt idx="26">
                  <c:v>-37</c:v>
                </c:pt>
                <c:pt idx="27">
                  <c:v>-36.5</c:v>
                </c:pt>
                <c:pt idx="28">
                  <c:v>-36</c:v>
                </c:pt>
                <c:pt idx="29">
                  <c:v>-35.5</c:v>
                </c:pt>
                <c:pt idx="30">
                  <c:v>-35</c:v>
                </c:pt>
                <c:pt idx="31">
                  <c:v>-34.5</c:v>
                </c:pt>
                <c:pt idx="32">
                  <c:v>-34</c:v>
                </c:pt>
                <c:pt idx="33">
                  <c:v>-33.5</c:v>
                </c:pt>
                <c:pt idx="34">
                  <c:v>-33</c:v>
                </c:pt>
                <c:pt idx="35">
                  <c:v>-32.5</c:v>
                </c:pt>
                <c:pt idx="36">
                  <c:v>-32</c:v>
                </c:pt>
                <c:pt idx="37">
                  <c:v>-31.5</c:v>
                </c:pt>
                <c:pt idx="38">
                  <c:v>-31</c:v>
                </c:pt>
                <c:pt idx="39">
                  <c:v>-30.5</c:v>
                </c:pt>
                <c:pt idx="40">
                  <c:v>-30</c:v>
                </c:pt>
                <c:pt idx="41">
                  <c:v>-29.5</c:v>
                </c:pt>
                <c:pt idx="42">
                  <c:v>-29</c:v>
                </c:pt>
                <c:pt idx="43">
                  <c:v>-28.5</c:v>
                </c:pt>
                <c:pt idx="44">
                  <c:v>-28</c:v>
                </c:pt>
                <c:pt idx="45">
                  <c:v>-27.5</c:v>
                </c:pt>
                <c:pt idx="46">
                  <c:v>-27</c:v>
                </c:pt>
                <c:pt idx="47">
                  <c:v>-26.5</c:v>
                </c:pt>
                <c:pt idx="48">
                  <c:v>-26</c:v>
                </c:pt>
                <c:pt idx="49">
                  <c:v>-25.5</c:v>
                </c:pt>
                <c:pt idx="50">
                  <c:v>-25</c:v>
                </c:pt>
                <c:pt idx="51">
                  <c:v>-24.5</c:v>
                </c:pt>
                <c:pt idx="52">
                  <c:v>-24</c:v>
                </c:pt>
                <c:pt idx="53">
                  <c:v>-23.5</c:v>
                </c:pt>
                <c:pt idx="54">
                  <c:v>-23</c:v>
                </c:pt>
                <c:pt idx="55">
                  <c:v>-22.5</c:v>
                </c:pt>
                <c:pt idx="56">
                  <c:v>-22</c:v>
                </c:pt>
                <c:pt idx="57">
                  <c:v>-21.5</c:v>
                </c:pt>
                <c:pt idx="58">
                  <c:v>-21</c:v>
                </c:pt>
                <c:pt idx="59">
                  <c:v>-20.5</c:v>
                </c:pt>
                <c:pt idx="60">
                  <c:v>-20</c:v>
                </c:pt>
                <c:pt idx="61">
                  <c:v>-19.5</c:v>
                </c:pt>
                <c:pt idx="62">
                  <c:v>-19</c:v>
                </c:pt>
                <c:pt idx="63">
                  <c:v>-18.5</c:v>
                </c:pt>
                <c:pt idx="64">
                  <c:v>-18</c:v>
                </c:pt>
                <c:pt idx="65">
                  <c:v>-17.5</c:v>
                </c:pt>
                <c:pt idx="66">
                  <c:v>-17</c:v>
                </c:pt>
                <c:pt idx="67">
                  <c:v>-16.5</c:v>
                </c:pt>
                <c:pt idx="68">
                  <c:v>-16</c:v>
                </c:pt>
                <c:pt idx="69">
                  <c:v>-15.5</c:v>
                </c:pt>
                <c:pt idx="70">
                  <c:v>-15</c:v>
                </c:pt>
                <c:pt idx="71">
                  <c:v>-14.5</c:v>
                </c:pt>
                <c:pt idx="72">
                  <c:v>-14</c:v>
                </c:pt>
                <c:pt idx="73">
                  <c:v>-13.5</c:v>
                </c:pt>
                <c:pt idx="74">
                  <c:v>-13</c:v>
                </c:pt>
                <c:pt idx="75">
                  <c:v>-12.5</c:v>
                </c:pt>
                <c:pt idx="76">
                  <c:v>-12</c:v>
                </c:pt>
                <c:pt idx="77">
                  <c:v>-11.5</c:v>
                </c:pt>
                <c:pt idx="78">
                  <c:v>-11</c:v>
                </c:pt>
                <c:pt idx="79">
                  <c:v>-10.5</c:v>
                </c:pt>
                <c:pt idx="80">
                  <c:v>-10</c:v>
                </c:pt>
                <c:pt idx="81">
                  <c:v>-9.5</c:v>
                </c:pt>
                <c:pt idx="82">
                  <c:v>-9</c:v>
                </c:pt>
                <c:pt idx="83">
                  <c:v>-8.5</c:v>
                </c:pt>
                <c:pt idx="84">
                  <c:v>-8</c:v>
                </c:pt>
                <c:pt idx="85">
                  <c:v>-7.5</c:v>
                </c:pt>
                <c:pt idx="86">
                  <c:v>-7</c:v>
                </c:pt>
                <c:pt idx="87">
                  <c:v>-6.5</c:v>
                </c:pt>
                <c:pt idx="88">
                  <c:v>-6</c:v>
                </c:pt>
                <c:pt idx="89">
                  <c:v>-5.5</c:v>
                </c:pt>
                <c:pt idx="90">
                  <c:v>-5</c:v>
                </c:pt>
                <c:pt idx="91">
                  <c:v>-4.5</c:v>
                </c:pt>
                <c:pt idx="92">
                  <c:v>-4</c:v>
                </c:pt>
                <c:pt idx="93">
                  <c:v>-3.5</c:v>
                </c:pt>
                <c:pt idx="94">
                  <c:v>-3</c:v>
                </c:pt>
                <c:pt idx="95">
                  <c:v>-2.5</c:v>
                </c:pt>
                <c:pt idx="96">
                  <c:v>-2</c:v>
                </c:pt>
                <c:pt idx="97">
                  <c:v>-1.5</c:v>
                </c:pt>
                <c:pt idx="98">
                  <c:v>-1</c:v>
                </c:pt>
                <c:pt idx="99">
                  <c:v>-0.5</c:v>
                </c:pt>
                <c:pt idx="100">
                  <c:v>0</c:v>
                </c:pt>
                <c:pt idx="101">
                  <c:v>0.5</c:v>
                </c:pt>
                <c:pt idx="102">
                  <c:v>1</c:v>
                </c:pt>
                <c:pt idx="103">
                  <c:v>1.5</c:v>
                </c:pt>
                <c:pt idx="104">
                  <c:v>2</c:v>
                </c:pt>
                <c:pt idx="105">
                  <c:v>2.5</c:v>
                </c:pt>
                <c:pt idx="106">
                  <c:v>3</c:v>
                </c:pt>
                <c:pt idx="107">
                  <c:v>3.5</c:v>
                </c:pt>
                <c:pt idx="108">
                  <c:v>4</c:v>
                </c:pt>
                <c:pt idx="109">
                  <c:v>4.5</c:v>
                </c:pt>
                <c:pt idx="110">
                  <c:v>5</c:v>
                </c:pt>
                <c:pt idx="111">
                  <c:v>5.5</c:v>
                </c:pt>
                <c:pt idx="112">
                  <c:v>6</c:v>
                </c:pt>
                <c:pt idx="113">
                  <c:v>6.5</c:v>
                </c:pt>
                <c:pt idx="114">
                  <c:v>7</c:v>
                </c:pt>
                <c:pt idx="115">
                  <c:v>7.5</c:v>
                </c:pt>
                <c:pt idx="116">
                  <c:v>8</c:v>
                </c:pt>
                <c:pt idx="117">
                  <c:v>8.5</c:v>
                </c:pt>
                <c:pt idx="118">
                  <c:v>9</c:v>
                </c:pt>
                <c:pt idx="119">
                  <c:v>9.5</c:v>
                </c:pt>
                <c:pt idx="120">
                  <c:v>10</c:v>
                </c:pt>
                <c:pt idx="121">
                  <c:v>10.5</c:v>
                </c:pt>
                <c:pt idx="122">
                  <c:v>11</c:v>
                </c:pt>
                <c:pt idx="123">
                  <c:v>11.5</c:v>
                </c:pt>
                <c:pt idx="124">
                  <c:v>12</c:v>
                </c:pt>
                <c:pt idx="125">
                  <c:v>12.5</c:v>
                </c:pt>
                <c:pt idx="126">
                  <c:v>13</c:v>
                </c:pt>
                <c:pt idx="127">
                  <c:v>13.5</c:v>
                </c:pt>
                <c:pt idx="128">
                  <c:v>14</c:v>
                </c:pt>
                <c:pt idx="129">
                  <c:v>14.5</c:v>
                </c:pt>
                <c:pt idx="130">
                  <c:v>15</c:v>
                </c:pt>
                <c:pt idx="131">
                  <c:v>15.5</c:v>
                </c:pt>
                <c:pt idx="132">
                  <c:v>16</c:v>
                </c:pt>
                <c:pt idx="133">
                  <c:v>16.5</c:v>
                </c:pt>
                <c:pt idx="134">
                  <c:v>17</c:v>
                </c:pt>
                <c:pt idx="135">
                  <c:v>17.5</c:v>
                </c:pt>
                <c:pt idx="136">
                  <c:v>18</c:v>
                </c:pt>
                <c:pt idx="137">
                  <c:v>18.5</c:v>
                </c:pt>
                <c:pt idx="138">
                  <c:v>19</c:v>
                </c:pt>
                <c:pt idx="139">
                  <c:v>19.5</c:v>
                </c:pt>
                <c:pt idx="140">
                  <c:v>20</c:v>
                </c:pt>
                <c:pt idx="141">
                  <c:v>20.5</c:v>
                </c:pt>
                <c:pt idx="142">
                  <c:v>21</c:v>
                </c:pt>
                <c:pt idx="143">
                  <c:v>21.5</c:v>
                </c:pt>
                <c:pt idx="144">
                  <c:v>22</c:v>
                </c:pt>
                <c:pt idx="145">
                  <c:v>22.5</c:v>
                </c:pt>
                <c:pt idx="146">
                  <c:v>23</c:v>
                </c:pt>
                <c:pt idx="147">
                  <c:v>23.5</c:v>
                </c:pt>
                <c:pt idx="148">
                  <c:v>24</c:v>
                </c:pt>
                <c:pt idx="149">
                  <c:v>24.5</c:v>
                </c:pt>
                <c:pt idx="150">
                  <c:v>25</c:v>
                </c:pt>
                <c:pt idx="151">
                  <c:v>25.5</c:v>
                </c:pt>
                <c:pt idx="152">
                  <c:v>26</c:v>
                </c:pt>
                <c:pt idx="153">
                  <c:v>26.5</c:v>
                </c:pt>
                <c:pt idx="154">
                  <c:v>27</c:v>
                </c:pt>
                <c:pt idx="155">
                  <c:v>27.5</c:v>
                </c:pt>
                <c:pt idx="156">
                  <c:v>28</c:v>
                </c:pt>
                <c:pt idx="157">
                  <c:v>28.5</c:v>
                </c:pt>
                <c:pt idx="158">
                  <c:v>29</c:v>
                </c:pt>
                <c:pt idx="159">
                  <c:v>29.5</c:v>
                </c:pt>
                <c:pt idx="160">
                  <c:v>30</c:v>
                </c:pt>
                <c:pt idx="161">
                  <c:v>30.5</c:v>
                </c:pt>
                <c:pt idx="162">
                  <c:v>31</c:v>
                </c:pt>
                <c:pt idx="163">
                  <c:v>31.5</c:v>
                </c:pt>
                <c:pt idx="164">
                  <c:v>32</c:v>
                </c:pt>
                <c:pt idx="165">
                  <c:v>32.5</c:v>
                </c:pt>
                <c:pt idx="166">
                  <c:v>33</c:v>
                </c:pt>
                <c:pt idx="167">
                  <c:v>33.5</c:v>
                </c:pt>
                <c:pt idx="168">
                  <c:v>34</c:v>
                </c:pt>
                <c:pt idx="169">
                  <c:v>34.5</c:v>
                </c:pt>
                <c:pt idx="170">
                  <c:v>35</c:v>
                </c:pt>
                <c:pt idx="171">
                  <c:v>35.5</c:v>
                </c:pt>
                <c:pt idx="172">
                  <c:v>36</c:v>
                </c:pt>
                <c:pt idx="173">
                  <c:v>36.5</c:v>
                </c:pt>
                <c:pt idx="174">
                  <c:v>37</c:v>
                </c:pt>
                <c:pt idx="175">
                  <c:v>37.5</c:v>
                </c:pt>
                <c:pt idx="176">
                  <c:v>38</c:v>
                </c:pt>
                <c:pt idx="177">
                  <c:v>38.5</c:v>
                </c:pt>
                <c:pt idx="178">
                  <c:v>39</c:v>
                </c:pt>
                <c:pt idx="179">
                  <c:v>39.5</c:v>
                </c:pt>
                <c:pt idx="180">
                  <c:v>40</c:v>
                </c:pt>
                <c:pt idx="181">
                  <c:v>40.5</c:v>
                </c:pt>
                <c:pt idx="182">
                  <c:v>41</c:v>
                </c:pt>
                <c:pt idx="183">
                  <c:v>41.5</c:v>
                </c:pt>
                <c:pt idx="184">
                  <c:v>42</c:v>
                </c:pt>
                <c:pt idx="185">
                  <c:v>42.5</c:v>
                </c:pt>
                <c:pt idx="186">
                  <c:v>43</c:v>
                </c:pt>
                <c:pt idx="187">
                  <c:v>43.5</c:v>
                </c:pt>
                <c:pt idx="188">
                  <c:v>44</c:v>
                </c:pt>
                <c:pt idx="189">
                  <c:v>44.5</c:v>
                </c:pt>
                <c:pt idx="190">
                  <c:v>45</c:v>
                </c:pt>
                <c:pt idx="191">
                  <c:v>45.5</c:v>
                </c:pt>
                <c:pt idx="192">
                  <c:v>46</c:v>
                </c:pt>
                <c:pt idx="193">
                  <c:v>46.5</c:v>
                </c:pt>
                <c:pt idx="194">
                  <c:v>47</c:v>
                </c:pt>
                <c:pt idx="195">
                  <c:v>47.5</c:v>
                </c:pt>
                <c:pt idx="196">
                  <c:v>48</c:v>
                </c:pt>
                <c:pt idx="197">
                  <c:v>48.5</c:v>
                </c:pt>
                <c:pt idx="198">
                  <c:v>49</c:v>
                </c:pt>
                <c:pt idx="199">
                  <c:v>49.5</c:v>
                </c:pt>
                <c:pt idx="200">
                  <c:v>50</c:v>
                </c:pt>
              </c:numCache>
            </c:numRef>
          </c:xVal>
          <c:yVal>
            <c:numRef>
              <c:f>'subsidence profile with z_0'!$E$16:$E$216</c:f>
              <c:numCache>
                <c:formatCode>0.000</c:formatCode>
                <c:ptCount val="201"/>
                <c:pt idx="0">
                  <c:v>-2.2902859179500746E-20</c:v>
                </c:pt>
                <c:pt idx="1">
                  <c:v>-6.0451749036181212E-20</c:v>
                </c:pt>
                <c:pt idx="2">
                  <c:v>-1.5801258032103983E-19</c:v>
                </c:pt>
                <c:pt idx="3">
                  <c:v>-4.0901391745196983E-19</c:v>
                </c:pt>
                <c:pt idx="4">
                  <c:v>-1.0484509878236641E-18</c:v>
                </c:pt>
                <c:pt idx="5">
                  <c:v>-2.6614714203300807E-18</c:v>
                </c:pt>
                <c:pt idx="6">
                  <c:v>-6.6905081973203257E-18</c:v>
                </c:pt>
                <c:pt idx="7">
                  <c:v>-1.6655590469276557E-17</c:v>
                </c:pt>
                <c:pt idx="8">
                  <c:v>-4.1060533407078138E-17</c:v>
                </c:pt>
                <c:pt idx="9">
                  <c:v>-1.0024270247592855E-16</c:v>
                </c:pt>
                <c:pt idx="10">
                  <c:v>-2.4235086404376054E-16</c:v>
                </c:pt>
                <c:pt idx="11">
                  <c:v>-5.8022976651483097E-16</c:v>
                </c:pt>
                <c:pt idx="12">
                  <c:v>-1.3756851960525325E-15</c:v>
                </c:pt>
                <c:pt idx="13">
                  <c:v>-3.2299942496630162E-15</c:v>
                </c:pt>
                <c:pt idx="14">
                  <c:v>-7.51014048438088E-15</c:v>
                </c:pt>
                <c:pt idx="15">
                  <c:v>-1.7292508556453812E-14</c:v>
                </c:pt>
                <c:pt idx="16">
                  <c:v>-3.9430434608611798E-14</c:v>
                </c:pt>
                <c:pt idx="17">
                  <c:v>-8.9036638481005114E-14</c:v>
                </c:pt>
                <c:pt idx="18">
                  <c:v>-1.990992264845315E-13</c:v>
                </c:pt>
                <c:pt idx="19">
                  <c:v>-4.4089382555510129E-13</c:v>
                </c:pt>
                <c:pt idx="20">
                  <c:v>-9.6685664719987778E-13</c:v>
                </c:pt>
                <c:pt idx="21">
                  <c:v>-2.0996832531593655E-12</c:v>
                </c:pt>
                <c:pt idx="22">
                  <c:v>-4.5155339077460929E-12</c:v>
                </c:pt>
                <c:pt idx="23">
                  <c:v>-9.616744055685071E-12</c:v>
                </c:pt>
                <c:pt idx="24">
                  <c:v>-2.0281993259063779E-11</c:v>
                </c:pt>
                <c:pt idx="25">
                  <c:v>-4.2360086359802726E-11</c:v>
                </c:pt>
                <c:pt idx="26">
                  <c:v>-8.7612619648193657E-11</c:v>
                </c:pt>
                <c:pt idx="27">
                  <c:v>-1.7944861955777556E-10</c:v>
                </c:pt>
                <c:pt idx="28">
                  <c:v>-3.6397973456516777E-10</c:v>
                </c:pt>
                <c:pt idx="29">
                  <c:v>-7.3110189999865529E-10</c:v>
                </c:pt>
                <c:pt idx="30">
                  <c:v>-1.4542606321356737E-9</c:v>
                </c:pt>
                <c:pt idx="31">
                  <c:v>-2.8646410375331706E-9</c:v>
                </c:pt>
                <c:pt idx="32">
                  <c:v>-5.5880694770536888E-9</c:v>
                </c:pt>
                <c:pt idx="33">
                  <c:v>-1.0794859931485709E-8</c:v>
                </c:pt>
                <c:pt idx="34">
                  <c:v>-2.0650751107347808E-8</c:v>
                </c:pt>
                <c:pt idx="35">
                  <c:v>-3.9121754166536616E-8</c:v>
                </c:pt>
                <c:pt idx="36">
                  <c:v>-7.3394651643848121E-8</c:v>
                </c:pt>
                <c:pt idx="37">
                  <c:v>-1.3635596264327012E-7</c:v>
                </c:pt>
                <c:pt idx="38">
                  <c:v>-2.5086927829543355E-7</c:v>
                </c:pt>
                <c:pt idx="39">
                  <c:v>-4.5707182753291931E-7</c:v>
                </c:pt>
                <c:pt idx="40">
                  <c:v>-8.246792231800731E-7</c:v>
                </c:pt>
                <c:pt idx="41">
                  <c:v>-1.4734970788324906E-6</c:v>
                </c:pt>
                <c:pt idx="42">
                  <c:v>-2.6072167147519811E-6</c:v>
                </c:pt>
                <c:pt idx="43">
                  <c:v>-4.5684472079825379E-6</c:v>
                </c:pt>
                <c:pt idx="44">
                  <c:v>-7.9272711993235595E-6</c:v>
                </c:pt>
                <c:pt idx="45">
                  <c:v>-1.362204930643622E-5</c:v>
                </c:pt>
                <c:pt idx="46">
                  <c:v>-2.3180607115358304E-5</c:v>
                </c:pt>
                <c:pt idx="47">
                  <c:v>-3.9063467485448717E-5</c:v>
                </c:pt>
                <c:pt idx="48">
                  <c:v>-6.5189913115339419E-5</c:v>
                </c:pt>
                <c:pt idx="49">
                  <c:v>-1.0773421210853546E-4</c:v>
                </c:pt>
                <c:pt idx="50">
                  <c:v>-1.7631550444402227E-4</c:v>
                </c:pt>
                <c:pt idx="51">
                  <c:v>-2.8575312897513507E-4</c:v>
                </c:pt>
                <c:pt idx="52">
                  <c:v>-4.5862224046169998E-4</c:v>
                </c:pt>
                <c:pt idx="53">
                  <c:v>-7.2892501607753682E-4</c:v>
                </c:pt>
                <c:pt idx="54">
                  <c:v>-1.1472926861809082E-3</c:v>
                </c:pt>
                <c:pt idx="55">
                  <c:v>-1.7882540669679394E-3</c:v>
                </c:pt>
                <c:pt idx="56">
                  <c:v>-2.7602463499718142E-3</c:v>
                </c:pt>
                <c:pt idx="57">
                  <c:v>-4.2191998164360159E-3</c:v>
                </c:pt>
                <c:pt idx="58">
                  <c:v>-6.3866919501622196E-3</c:v>
                </c:pt>
                <c:pt idx="59">
                  <c:v>-9.5738247080107471E-3</c:v>
                </c:pt>
                <c:pt idx="60">
                  <c:v>-1.4212111306964273E-2</c:v>
                </c:pt>
                <c:pt idx="61">
                  <c:v>-2.089273786146718E-2</c:v>
                </c:pt>
                <c:pt idx="62">
                  <c:v>-3.0415554388768348E-2</c:v>
                </c:pt>
                <c:pt idx="63">
                  <c:v>-4.3849005183233446E-2</c:v>
                </c:pt>
                <c:pt idx="64">
                  <c:v>-6.2601880515083239E-2</c:v>
                </c:pt>
                <c:pt idx="65">
                  <c:v>-8.8507207850749531E-2</c:v>
                </c:pt>
                <c:pt idx="66">
                  <c:v>-0.12391775237915163</c:v>
                </c:pt>
                <c:pt idx="67">
                  <c:v>-0.17181142560719104</c:v>
                </c:pt>
                <c:pt idx="68">
                  <c:v>-0.23590338990251322</c:v>
                </c:pt>
                <c:pt idx="69">
                  <c:v>-0.32075981063952785</c:v>
                </c:pt>
                <c:pt idx="70">
                  <c:v>-0.43190610375806343</c:v>
                </c:pt>
                <c:pt idx="71">
                  <c:v>-0.5759202661255296</c:v>
                </c:pt>
                <c:pt idx="72">
                  <c:v>-0.76049963040656021</c:v>
                </c:pt>
                <c:pt idx="73">
                  <c:v>-0.99448738813261139</c:v>
                </c:pt>
                <c:pt idx="74">
                  <c:v>-1.2878437625070589</c:v>
                </c:pt>
                <c:pt idx="75">
                  <c:v>-1.6515461135040732</c:v>
                </c:pt>
                <c:pt idx="76">
                  <c:v>-2.0974028616687219</c:v>
                </c:pt>
                <c:pt idx="77">
                  <c:v>-2.6377682383652852</c:v>
                </c:pt>
                <c:pt idx="78">
                  <c:v>-3.2851487529030639</c:v>
                </c:pt>
                <c:pt idx="79">
                  <c:v>-4.0516980335664501</c:v>
                </c:pt>
                <c:pt idx="80">
                  <c:v>-4.9486043020439059</c:v>
                </c:pt>
                <c:pt idx="81">
                  <c:v>-5.9853839195033265</c:v>
                </c:pt>
                <c:pt idx="82">
                  <c:v>-7.1691047020006202</c:v>
                </c:pt>
                <c:pt idx="83">
                  <c:v>-8.5035733111081964</c:v>
                </c:pt>
                <c:pt idx="84">
                  <c:v>-9.9885310442478765</c:v>
                </c:pt>
                <c:pt idx="85">
                  <c:v>-11.618910696520354</c:v>
                </c:pt>
                <c:pt idx="86">
                  <c:v>-13.384212711942133</c:v>
                </c:pt>
                <c:pt idx="87">
                  <c:v>-15.2680605297373</c:v>
                </c:pt>
                <c:pt idx="88">
                  <c:v>-17.247992011641482</c:v>
                </c:pt>
                <c:pt idx="89">
                  <c:v>-19.295535602539275</c:v>
                </c:pt>
                <c:pt idx="90">
                  <c:v>-21.376606380175883</c:v>
                </c:pt>
                <c:pt idx="91">
                  <c:v>-23.452238875636738</c:v>
                </c:pt>
                <c:pt idx="92">
                  <c:v>-25.479651537439185</c:v>
                </c:pt>
                <c:pt idx="93">
                  <c:v>-27.413613525881665</c:v>
                </c:pt>
                <c:pt idx="94">
                  <c:v>-29.208060122381955</c:v>
                </c:pt>
                <c:pt idx="95">
                  <c:v>-30.817880614085034</c:v>
                </c:pt>
                <c:pt idx="96">
                  <c:v>-32.200784272723311</c:v>
                </c:pt>
                <c:pt idx="97">
                  <c:v>-33.31913796519629</c:v>
                </c:pt>
                <c:pt idx="98">
                  <c:v>-34.141664524298243</c:v>
                </c:pt>
                <c:pt idx="99">
                  <c:v>-34.644895122904202</c:v>
                </c:pt>
                <c:pt idx="100">
                  <c:v>-34.814281592097238</c:v>
                </c:pt>
                <c:pt idx="101">
                  <c:v>-34.644895122904202</c:v>
                </c:pt>
                <c:pt idx="102">
                  <c:v>-34.141664524298243</c:v>
                </c:pt>
                <c:pt idx="103">
                  <c:v>-33.31913796519629</c:v>
                </c:pt>
                <c:pt idx="104">
                  <c:v>-32.200784272723311</c:v>
                </c:pt>
                <c:pt idx="105">
                  <c:v>-30.817880614085034</c:v>
                </c:pt>
                <c:pt idx="106">
                  <c:v>-29.208060122381955</c:v>
                </c:pt>
                <c:pt idx="107">
                  <c:v>-27.413613525881665</c:v>
                </c:pt>
                <c:pt idx="108">
                  <c:v>-25.479651537439185</c:v>
                </c:pt>
                <c:pt idx="109">
                  <c:v>-23.452238875636738</c:v>
                </c:pt>
                <c:pt idx="110">
                  <c:v>-21.376606380175883</c:v>
                </c:pt>
                <c:pt idx="111">
                  <c:v>-19.295535602539275</c:v>
                </c:pt>
                <c:pt idx="112">
                  <c:v>-17.247992011641482</c:v>
                </c:pt>
                <c:pt idx="113">
                  <c:v>-15.2680605297373</c:v>
                </c:pt>
                <c:pt idx="114">
                  <c:v>-13.384212711942133</c:v>
                </c:pt>
                <c:pt idx="115">
                  <c:v>-11.618910696520354</c:v>
                </c:pt>
                <c:pt idx="116">
                  <c:v>-9.9885310442478765</c:v>
                </c:pt>
                <c:pt idx="117">
                  <c:v>-8.5035733111081964</c:v>
                </c:pt>
                <c:pt idx="118">
                  <c:v>-7.1691047020006202</c:v>
                </c:pt>
                <c:pt idx="119">
                  <c:v>-5.9853839195033265</c:v>
                </c:pt>
                <c:pt idx="120">
                  <c:v>-4.9486043020439059</c:v>
                </c:pt>
                <c:pt idx="121">
                  <c:v>-4.0516980335664501</c:v>
                </c:pt>
                <c:pt idx="122">
                  <c:v>-3.2851487529030639</c:v>
                </c:pt>
                <c:pt idx="123">
                  <c:v>-2.6377682383652852</c:v>
                </c:pt>
                <c:pt idx="124">
                  <c:v>-2.0974028616687219</c:v>
                </c:pt>
                <c:pt idx="125">
                  <c:v>-1.6515461135040732</c:v>
                </c:pt>
                <c:pt idx="126">
                  <c:v>-1.2878437625070589</c:v>
                </c:pt>
                <c:pt idx="127">
                  <c:v>-0.99448738813261139</c:v>
                </c:pt>
                <c:pt idx="128">
                  <c:v>-0.76049963040656021</c:v>
                </c:pt>
                <c:pt idx="129">
                  <c:v>-0.5759202661255296</c:v>
                </c:pt>
                <c:pt idx="130">
                  <c:v>-0.43190610375806343</c:v>
                </c:pt>
                <c:pt idx="131">
                  <c:v>-0.32075981063952785</c:v>
                </c:pt>
                <c:pt idx="132">
                  <c:v>-0.23590338990251322</c:v>
                </c:pt>
                <c:pt idx="133">
                  <c:v>-0.17181142560719104</c:v>
                </c:pt>
                <c:pt idx="134">
                  <c:v>-0.12391775237915163</c:v>
                </c:pt>
                <c:pt idx="135">
                  <c:v>-8.8507207850749531E-2</c:v>
                </c:pt>
                <c:pt idx="136">
                  <c:v>-6.2601880515083239E-2</c:v>
                </c:pt>
                <c:pt idx="137">
                  <c:v>-4.3849005183233446E-2</c:v>
                </c:pt>
                <c:pt idx="138">
                  <c:v>-3.0415554388768348E-2</c:v>
                </c:pt>
                <c:pt idx="139">
                  <c:v>-2.089273786146718E-2</c:v>
                </c:pt>
                <c:pt idx="140">
                  <c:v>-1.4212111306964273E-2</c:v>
                </c:pt>
                <c:pt idx="141">
                  <c:v>-9.5738247080107471E-3</c:v>
                </c:pt>
                <c:pt idx="142">
                  <c:v>-6.3866919501622196E-3</c:v>
                </c:pt>
                <c:pt idx="143">
                  <c:v>-4.2191998164360159E-3</c:v>
                </c:pt>
                <c:pt idx="144">
                  <c:v>-2.7602463499718142E-3</c:v>
                </c:pt>
                <c:pt idx="145">
                  <c:v>-1.7882540669679394E-3</c:v>
                </c:pt>
                <c:pt idx="146">
                  <c:v>-1.1472926861809082E-3</c:v>
                </c:pt>
                <c:pt idx="147">
                  <c:v>-7.2892501607753682E-4</c:v>
                </c:pt>
                <c:pt idx="148">
                  <c:v>-4.5862224046169998E-4</c:v>
                </c:pt>
                <c:pt idx="149">
                  <c:v>-2.8575312897513507E-4</c:v>
                </c:pt>
                <c:pt idx="150">
                  <c:v>-1.7631550444402227E-4</c:v>
                </c:pt>
                <c:pt idx="151">
                  <c:v>-1.0773421210853546E-4</c:v>
                </c:pt>
                <c:pt idx="152">
                  <c:v>-6.5189913115339419E-5</c:v>
                </c:pt>
                <c:pt idx="153">
                  <c:v>-3.9063467485448717E-5</c:v>
                </c:pt>
                <c:pt idx="154">
                  <c:v>-2.3180607115358304E-5</c:v>
                </c:pt>
                <c:pt idx="155">
                  <c:v>-1.362204930643622E-5</c:v>
                </c:pt>
                <c:pt idx="156">
                  <c:v>-7.9272711993235595E-6</c:v>
                </c:pt>
                <c:pt idx="157">
                  <c:v>-4.5684472079825379E-6</c:v>
                </c:pt>
                <c:pt idx="158">
                  <c:v>-2.6072167147519811E-6</c:v>
                </c:pt>
                <c:pt idx="159">
                  <c:v>-1.4734970788324906E-6</c:v>
                </c:pt>
                <c:pt idx="160">
                  <c:v>-8.246792231800731E-7</c:v>
                </c:pt>
                <c:pt idx="161">
                  <c:v>-4.5707182753291931E-7</c:v>
                </c:pt>
                <c:pt idx="162">
                  <c:v>-2.5086927829543355E-7</c:v>
                </c:pt>
                <c:pt idx="163">
                  <c:v>-1.3635596264327012E-7</c:v>
                </c:pt>
                <c:pt idx="164">
                  <c:v>-7.3394651643848121E-8</c:v>
                </c:pt>
                <c:pt idx="165">
                  <c:v>-3.9121754166536616E-8</c:v>
                </c:pt>
                <c:pt idx="166">
                  <c:v>-2.0650751107347808E-8</c:v>
                </c:pt>
                <c:pt idx="167">
                  <c:v>-1.0794859931485709E-8</c:v>
                </c:pt>
                <c:pt idx="168">
                  <c:v>-5.5880694770536888E-9</c:v>
                </c:pt>
                <c:pt idx="169">
                  <c:v>-2.8646410375331706E-9</c:v>
                </c:pt>
                <c:pt idx="170">
                  <c:v>-1.4542606321356737E-9</c:v>
                </c:pt>
                <c:pt idx="171">
                  <c:v>-7.3110189999865529E-10</c:v>
                </c:pt>
                <c:pt idx="172">
                  <c:v>-3.6397973456516777E-10</c:v>
                </c:pt>
                <c:pt idx="173">
                  <c:v>-1.7944861955777556E-10</c:v>
                </c:pt>
                <c:pt idx="174">
                  <c:v>-8.7612619648193657E-11</c:v>
                </c:pt>
                <c:pt idx="175">
                  <c:v>-4.2360086359802726E-11</c:v>
                </c:pt>
                <c:pt idx="176">
                  <c:v>-2.0281993259063779E-11</c:v>
                </c:pt>
                <c:pt idx="177">
                  <c:v>-9.616744055685071E-12</c:v>
                </c:pt>
                <c:pt idx="178">
                  <c:v>-4.5155339077460929E-12</c:v>
                </c:pt>
                <c:pt idx="179">
                  <c:v>-2.0996832531593655E-12</c:v>
                </c:pt>
                <c:pt idx="180">
                  <c:v>-9.6685664719987778E-13</c:v>
                </c:pt>
                <c:pt idx="181">
                  <c:v>-4.4089382555510129E-13</c:v>
                </c:pt>
                <c:pt idx="182">
                  <c:v>-1.990992264845315E-13</c:v>
                </c:pt>
                <c:pt idx="183">
                  <c:v>-8.9036638481005114E-14</c:v>
                </c:pt>
                <c:pt idx="184">
                  <c:v>-3.9430434608611798E-14</c:v>
                </c:pt>
                <c:pt idx="185">
                  <c:v>-1.7292508556453812E-14</c:v>
                </c:pt>
                <c:pt idx="186">
                  <c:v>-7.51014048438088E-15</c:v>
                </c:pt>
                <c:pt idx="187">
                  <c:v>-3.2299942496630162E-15</c:v>
                </c:pt>
                <c:pt idx="188">
                  <c:v>-1.3756851960525325E-15</c:v>
                </c:pt>
                <c:pt idx="189">
                  <c:v>-5.8022976651483097E-16</c:v>
                </c:pt>
                <c:pt idx="190">
                  <c:v>-2.4235086404376054E-16</c:v>
                </c:pt>
                <c:pt idx="191">
                  <c:v>-1.0024270247592855E-16</c:v>
                </c:pt>
                <c:pt idx="192">
                  <c:v>-4.1060533407078138E-17</c:v>
                </c:pt>
                <c:pt idx="193">
                  <c:v>-1.6655590469276557E-17</c:v>
                </c:pt>
                <c:pt idx="194">
                  <c:v>-6.6905081973203257E-18</c:v>
                </c:pt>
                <c:pt idx="195">
                  <c:v>-2.6614714203300807E-18</c:v>
                </c:pt>
                <c:pt idx="196">
                  <c:v>-1.0484509878236641E-18</c:v>
                </c:pt>
                <c:pt idx="197">
                  <c:v>-4.0901391745196983E-19</c:v>
                </c:pt>
                <c:pt idx="198">
                  <c:v>-1.5801258032103983E-19</c:v>
                </c:pt>
                <c:pt idx="199">
                  <c:v>-6.0451749036181212E-20</c:v>
                </c:pt>
                <c:pt idx="200">
                  <c:v>-2.2902859179500746E-20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0AF-4759-B6F8-8BF78F795330}"/>
            </c:ext>
          </c:extLst>
        </c:ser>
        <c:ser>
          <c:idx val="0"/>
          <c:order val="3"/>
          <c:tx>
            <c:strRef>
              <c:f>'subsidence profile with z_0'!$F$6</c:f>
              <c:strCache>
                <c:ptCount val="1"/>
                <c:pt idx="0">
                  <c:v>1.5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'subsidence profile with z_0'!$B$16:$B$216</c:f>
              <c:numCache>
                <c:formatCode>0.000</c:formatCode>
                <c:ptCount val="201"/>
                <c:pt idx="0">
                  <c:v>-50</c:v>
                </c:pt>
                <c:pt idx="1">
                  <c:v>-49.5</c:v>
                </c:pt>
                <c:pt idx="2">
                  <c:v>-49</c:v>
                </c:pt>
                <c:pt idx="3">
                  <c:v>-48.5</c:v>
                </c:pt>
                <c:pt idx="4">
                  <c:v>-48</c:v>
                </c:pt>
                <c:pt idx="5">
                  <c:v>-47.5</c:v>
                </c:pt>
                <c:pt idx="6">
                  <c:v>-47</c:v>
                </c:pt>
                <c:pt idx="7">
                  <c:v>-46.5</c:v>
                </c:pt>
                <c:pt idx="8">
                  <c:v>-46</c:v>
                </c:pt>
                <c:pt idx="9">
                  <c:v>-45.5</c:v>
                </c:pt>
                <c:pt idx="10">
                  <c:v>-45</c:v>
                </c:pt>
                <c:pt idx="11">
                  <c:v>-44.5</c:v>
                </c:pt>
                <c:pt idx="12">
                  <c:v>-44</c:v>
                </c:pt>
                <c:pt idx="13">
                  <c:v>-43.5</c:v>
                </c:pt>
                <c:pt idx="14">
                  <c:v>-43</c:v>
                </c:pt>
                <c:pt idx="15">
                  <c:v>-42.5</c:v>
                </c:pt>
                <c:pt idx="16">
                  <c:v>-42</c:v>
                </c:pt>
                <c:pt idx="17">
                  <c:v>-41.5</c:v>
                </c:pt>
                <c:pt idx="18">
                  <c:v>-41</c:v>
                </c:pt>
                <c:pt idx="19">
                  <c:v>-40.5</c:v>
                </c:pt>
                <c:pt idx="20">
                  <c:v>-40</c:v>
                </c:pt>
                <c:pt idx="21">
                  <c:v>-39.5</c:v>
                </c:pt>
                <c:pt idx="22">
                  <c:v>-39</c:v>
                </c:pt>
                <c:pt idx="23">
                  <c:v>-38.5</c:v>
                </c:pt>
                <c:pt idx="24">
                  <c:v>-38</c:v>
                </c:pt>
                <c:pt idx="25">
                  <c:v>-37.5</c:v>
                </c:pt>
                <c:pt idx="26">
                  <c:v>-37</c:v>
                </c:pt>
                <c:pt idx="27">
                  <c:v>-36.5</c:v>
                </c:pt>
                <c:pt idx="28">
                  <c:v>-36</c:v>
                </c:pt>
                <c:pt idx="29">
                  <c:v>-35.5</c:v>
                </c:pt>
                <c:pt idx="30">
                  <c:v>-35</c:v>
                </c:pt>
                <c:pt idx="31">
                  <c:v>-34.5</c:v>
                </c:pt>
                <c:pt idx="32">
                  <c:v>-34</c:v>
                </c:pt>
                <c:pt idx="33">
                  <c:v>-33.5</c:v>
                </c:pt>
                <c:pt idx="34">
                  <c:v>-33</c:v>
                </c:pt>
                <c:pt idx="35">
                  <c:v>-32.5</c:v>
                </c:pt>
                <c:pt idx="36">
                  <c:v>-32</c:v>
                </c:pt>
                <c:pt idx="37">
                  <c:v>-31.5</c:v>
                </c:pt>
                <c:pt idx="38">
                  <c:v>-31</c:v>
                </c:pt>
                <c:pt idx="39">
                  <c:v>-30.5</c:v>
                </c:pt>
                <c:pt idx="40">
                  <c:v>-30</c:v>
                </c:pt>
                <c:pt idx="41">
                  <c:v>-29.5</c:v>
                </c:pt>
                <c:pt idx="42">
                  <c:v>-29</c:v>
                </c:pt>
                <c:pt idx="43">
                  <c:v>-28.5</c:v>
                </c:pt>
                <c:pt idx="44">
                  <c:v>-28</c:v>
                </c:pt>
                <c:pt idx="45">
                  <c:v>-27.5</c:v>
                </c:pt>
                <c:pt idx="46">
                  <c:v>-27</c:v>
                </c:pt>
                <c:pt idx="47">
                  <c:v>-26.5</c:v>
                </c:pt>
                <c:pt idx="48">
                  <c:v>-26</c:v>
                </c:pt>
                <c:pt idx="49">
                  <c:v>-25.5</c:v>
                </c:pt>
                <c:pt idx="50">
                  <c:v>-25</c:v>
                </c:pt>
                <c:pt idx="51">
                  <c:v>-24.5</c:v>
                </c:pt>
                <c:pt idx="52">
                  <c:v>-24</c:v>
                </c:pt>
                <c:pt idx="53">
                  <c:v>-23.5</c:v>
                </c:pt>
                <c:pt idx="54">
                  <c:v>-23</c:v>
                </c:pt>
                <c:pt idx="55">
                  <c:v>-22.5</c:v>
                </c:pt>
                <c:pt idx="56">
                  <c:v>-22</c:v>
                </c:pt>
                <c:pt idx="57">
                  <c:v>-21.5</c:v>
                </c:pt>
                <c:pt idx="58">
                  <c:v>-21</c:v>
                </c:pt>
                <c:pt idx="59">
                  <c:v>-20.5</c:v>
                </c:pt>
                <c:pt idx="60">
                  <c:v>-20</c:v>
                </c:pt>
                <c:pt idx="61">
                  <c:v>-19.5</c:v>
                </c:pt>
                <c:pt idx="62">
                  <c:v>-19</c:v>
                </c:pt>
                <c:pt idx="63">
                  <c:v>-18.5</c:v>
                </c:pt>
                <c:pt idx="64">
                  <c:v>-18</c:v>
                </c:pt>
                <c:pt idx="65">
                  <c:v>-17.5</c:v>
                </c:pt>
                <c:pt idx="66">
                  <c:v>-17</c:v>
                </c:pt>
                <c:pt idx="67">
                  <c:v>-16.5</c:v>
                </c:pt>
                <c:pt idx="68">
                  <c:v>-16</c:v>
                </c:pt>
                <c:pt idx="69">
                  <c:v>-15.5</c:v>
                </c:pt>
                <c:pt idx="70">
                  <c:v>-15</c:v>
                </c:pt>
                <c:pt idx="71">
                  <c:v>-14.5</c:v>
                </c:pt>
                <c:pt idx="72">
                  <c:v>-14</c:v>
                </c:pt>
                <c:pt idx="73">
                  <c:v>-13.5</c:v>
                </c:pt>
                <c:pt idx="74">
                  <c:v>-13</c:v>
                </c:pt>
                <c:pt idx="75">
                  <c:v>-12.5</c:v>
                </c:pt>
                <c:pt idx="76">
                  <c:v>-12</c:v>
                </c:pt>
                <c:pt idx="77">
                  <c:v>-11.5</c:v>
                </c:pt>
                <c:pt idx="78">
                  <c:v>-11</c:v>
                </c:pt>
                <c:pt idx="79">
                  <c:v>-10.5</c:v>
                </c:pt>
                <c:pt idx="80">
                  <c:v>-10</c:v>
                </c:pt>
                <c:pt idx="81">
                  <c:v>-9.5</c:v>
                </c:pt>
                <c:pt idx="82">
                  <c:v>-9</c:v>
                </c:pt>
                <c:pt idx="83">
                  <c:v>-8.5</c:v>
                </c:pt>
                <c:pt idx="84">
                  <c:v>-8</c:v>
                </c:pt>
                <c:pt idx="85">
                  <c:v>-7.5</c:v>
                </c:pt>
                <c:pt idx="86">
                  <c:v>-7</c:v>
                </c:pt>
                <c:pt idx="87">
                  <c:v>-6.5</c:v>
                </c:pt>
                <c:pt idx="88">
                  <c:v>-6</c:v>
                </c:pt>
                <c:pt idx="89">
                  <c:v>-5.5</c:v>
                </c:pt>
                <c:pt idx="90">
                  <c:v>-5</c:v>
                </c:pt>
                <c:pt idx="91">
                  <c:v>-4.5</c:v>
                </c:pt>
                <c:pt idx="92">
                  <c:v>-4</c:v>
                </c:pt>
                <c:pt idx="93">
                  <c:v>-3.5</c:v>
                </c:pt>
                <c:pt idx="94">
                  <c:v>-3</c:v>
                </c:pt>
                <c:pt idx="95">
                  <c:v>-2.5</c:v>
                </c:pt>
                <c:pt idx="96">
                  <c:v>-2</c:v>
                </c:pt>
                <c:pt idx="97">
                  <c:v>-1.5</c:v>
                </c:pt>
                <c:pt idx="98">
                  <c:v>-1</c:v>
                </c:pt>
                <c:pt idx="99">
                  <c:v>-0.5</c:v>
                </c:pt>
                <c:pt idx="100">
                  <c:v>0</c:v>
                </c:pt>
                <c:pt idx="101">
                  <c:v>0.5</c:v>
                </c:pt>
                <c:pt idx="102">
                  <c:v>1</c:v>
                </c:pt>
                <c:pt idx="103">
                  <c:v>1.5</c:v>
                </c:pt>
                <c:pt idx="104">
                  <c:v>2</c:v>
                </c:pt>
                <c:pt idx="105">
                  <c:v>2.5</c:v>
                </c:pt>
                <c:pt idx="106">
                  <c:v>3</c:v>
                </c:pt>
                <c:pt idx="107">
                  <c:v>3.5</c:v>
                </c:pt>
                <c:pt idx="108">
                  <c:v>4</c:v>
                </c:pt>
                <c:pt idx="109">
                  <c:v>4.5</c:v>
                </c:pt>
                <c:pt idx="110">
                  <c:v>5</c:v>
                </c:pt>
                <c:pt idx="111">
                  <c:v>5.5</c:v>
                </c:pt>
                <c:pt idx="112">
                  <c:v>6</c:v>
                </c:pt>
                <c:pt idx="113">
                  <c:v>6.5</c:v>
                </c:pt>
                <c:pt idx="114">
                  <c:v>7</c:v>
                </c:pt>
                <c:pt idx="115">
                  <c:v>7.5</c:v>
                </c:pt>
                <c:pt idx="116">
                  <c:v>8</c:v>
                </c:pt>
                <c:pt idx="117">
                  <c:v>8.5</c:v>
                </c:pt>
                <c:pt idx="118">
                  <c:v>9</c:v>
                </c:pt>
                <c:pt idx="119">
                  <c:v>9.5</c:v>
                </c:pt>
                <c:pt idx="120">
                  <c:v>10</c:v>
                </c:pt>
                <c:pt idx="121">
                  <c:v>10.5</c:v>
                </c:pt>
                <c:pt idx="122">
                  <c:v>11</c:v>
                </c:pt>
                <c:pt idx="123">
                  <c:v>11.5</c:v>
                </c:pt>
                <c:pt idx="124">
                  <c:v>12</c:v>
                </c:pt>
                <c:pt idx="125">
                  <c:v>12.5</c:v>
                </c:pt>
                <c:pt idx="126">
                  <c:v>13</c:v>
                </c:pt>
                <c:pt idx="127">
                  <c:v>13.5</c:v>
                </c:pt>
                <c:pt idx="128">
                  <c:v>14</c:v>
                </c:pt>
                <c:pt idx="129">
                  <c:v>14.5</c:v>
                </c:pt>
                <c:pt idx="130">
                  <c:v>15</c:v>
                </c:pt>
                <c:pt idx="131">
                  <c:v>15.5</c:v>
                </c:pt>
                <c:pt idx="132">
                  <c:v>16</c:v>
                </c:pt>
                <c:pt idx="133">
                  <c:v>16.5</c:v>
                </c:pt>
                <c:pt idx="134">
                  <c:v>17</c:v>
                </c:pt>
                <c:pt idx="135">
                  <c:v>17.5</c:v>
                </c:pt>
                <c:pt idx="136">
                  <c:v>18</c:v>
                </c:pt>
                <c:pt idx="137">
                  <c:v>18.5</c:v>
                </c:pt>
                <c:pt idx="138">
                  <c:v>19</c:v>
                </c:pt>
                <c:pt idx="139">
                  <c:v>19.5</c:v>
                </c:pt>
                <c:pt idx="140">
                  <c:v>20</c:v>
                </c:pt>
                <c:pt idx="141">
                  <c:v>20.5</c:v>
                </c:pt>
                <c:pt idx="142">
                  <c:v>21</c:v>
                </c:pt>
                <c:pt idx="143">
                  <c:v>21.5</c:v>
                </c:pt>
                <c:pt idx="144">
                  <c:v>22</c:v>
                </c:pt>
                <c:pt idx="145">
                  <c:v>22.5</c:v>
                </c:pt>
                <c:pt idx="146">
                  <c:v>23</c:v>
                </c:pt>
                <c:pt idx="147">
                  <c:v>23.5</c:v>
                </c:pt>
                <c:pt idx="148">
                  <c:v>24</c:v>
                </c:pt>
                <c:pt idx="149">
                  <c:v>24.5</c:v>
                </c:pt>
                <c:pt idx="150">
                  <c:v>25</c:v>
                </c:pt>
                <c:pt idx="151">
                  <c:v>25.5</c:v>
                </c:pt>
                <c:pt idx="152">
                  <c:v>26</c:v>
                </c:pt>
                <c:pt idx="153">
                  <c:v>26.5</c:v>
                </c:pt>
                <c:pt idx="154">
                  <c:v>27</c:v>
                </c:pt>
                <c:pt idx="155">
                  <c:v>27.5</c:v>
                </c:pt>
                <c:pt idx="156">
                  <c:v>28</c:v>
                </c:pt>
                <c:pt idx="157">
                  <c:v>28.5</c:v>
                </c:pt>
                <c:pt idx="158">
                  <c:v>29</c:v>
                </c:pt>
                <c:pt idx="159">
                  <c:v>29.5</c:v>
                </c:pt>
                <c:pt idx="160">
                  <c:v>30</c:v>
                </c:pt>
                <c:pt idx="161">
                  <c:v>30.5</c:v>
                </c:pt>
                <c:pt idx="162">
                  <c:v>31</c:v>
                </c:pt>
                <c:pt idx="163">
                  <c:v>31.5</c:v>
                </c:pt>
                <c:pt idx="164">
                  <c:v>32</c:v>
                </c:pt>
                <c:pt idx="165">
                  <c:v>32.5</c:v>
                </c:pt>
                <c:pt idx="166">
                  <c:v>33</c:v>
                </c:pt>
                <c:pt idx="167">
                  <c:v>33.5</c:v>
                </c:pt>
                <c:pt idx="168">
                  <c:v>34</c:v>
                </c:pt>
                <c:pt idx="169">
                  <c:v>34.5</c:v>
                </c:pt>
                <c:pt idx="170">
                  <c:v>35</c:v>
                </c:pt>
                <c:pt idx="171">
                  <c:v>35.5</c:v>
                </c:pt>
                <c:pt idx="172">
                  <c:v>36</c:v>
                </c:pt>
                <c:pt idx="173">
                  <c:v>36.5</c:v>
                </c:pt>
                <c:pt idx="174">
                  <c:v>37</c:v>
                </c:pt>
                <c:pt idx="175">
                  <c:v>37.5</c:v>
                </c:pt>
                <c:pt idx="176">
                  <c:v>38</c:v>
                </c:pt>
                <c:pt idx="177">
                  <c:v>38.5</c:v>
                </c:pt>
                <c:pt idx="178">
                  <c:v>39</c:v>
                </c:pt>
                <c:pt idx="179">
                  <c:v>39.5</c:v>
                </c:pt>
                <c:pt idx="180">
                  <c:v>40</c:v>
                </c:pt>
                <c:pt idx="181">
                  <c:v>40.5</c:v>
                </c:pt>
                <c:pt idx="182">
                  <c:v>41</c:v>
                </c:pt>
                <c:pt idx="183">
                  <c:v>41.5</c:v>
                </c:pt>
                <c:pt idx="184">
                  <c:v>42</c:v>
                </c:pt>
                <c:pt idx="185">
                  <c:v>42.5</c:v>
                </c:pt>
                <c:pt idx="186">
                  <c:v>43</c:v>
                </c:pt>
                <c:pt idx="187">
                  <c:v>43.5</c:v>
                </c:pt>
                <c:pt idx="188">
                  <c:v>44</c:v>
                </c:pt>
                <c:pt idx="189">
                  <c:v>44.5</c:v>
                </c:pt>
                <c:pt idx="190">
                  <c:v>45</c:v>
                </c:pt>
                <c:pt idx="191">
                  <c:v>45.5</c:v>
                </c:pt>
                <c:pt idx="192">
                  <c:v>46</c:v>
                </c:pt>
                <c:pt idx="193">
                  <c:v>46.5</c:v>
                </c:pt>
                <c:pt idx="194">
                  <c:v>47</c:v>
                </c:pt>
                <c:pt idx="195">
                  <c:v>47.5</c:v>
                </c:pt>
                <c:pt idx="196">
                  <c:v>48</c:v>
                </c:pt>
                <c:pt idx="197">
                  <c:v>48.5</c:v>
                </c:pt>
                <c:pt idx="198">
                  <c:v>49</c:v>
                </c:pt>
                <c:pt idx="199">
                  <c:v>49.5</c:v>
                </c:pt>
                <c:pt idx="200">
                  <c:v>50</c:v>
                </c:pt>
              </c:numCache>
            </c:numRef>
          </c:xVal>
          <c:yVal>
            <c:numRef>
              <c:f>'subsidence profile with z_0'!$F$16:$F$216</c:f>
              <c:numCache>
                <c:formatCode>0.000</c:formatCode>
                <c:ptCount val="201"/>
                <c:pt idx="0">
                  <c:v>-3.1770064769852054E-11</c:v>
                </c:pt>
                <c:pt idx="1">
                  <c:v>-5.4843180431878832E-11</c:v>
                </c:pt>
                <c:pt idx="2">
                  <c:v>-9.415517697760198E-11</c:v>
                </c:pt>
                <c:pt idx="3">
                  <c:v>-1.6076178353988096E-10</c:v>
                </c:pt>
                <c:pt idx="4">
                  <c:v>-2.7298480092387586E-10</c:v>
                </c:pt>
                <c:pt idx="5">
                  <c:v>-4.6101086282558854E-10</c:v>
                </c:pt>
                <c:pt idx="6">
                  <c:v>-7.7428507896299171E-10</c:v>
                </c:pt>
                <c:pt idx="7">
                  <c:v>-1.2933249667481545E-9</c:v>
                </c:pt>
                <c:pt idx="8">
                  <c:v>-2.1484807781498784E-9</c:v>
                </c:pt>
                <c:pt idx="9">
                  <c:v>-3.5495420342338597E-9</c:v>
                </c:pt>
                <c:pt idx="10">
                  <c:v>-5.8321705344703196E-9</c:v>
                </c:pt>
                <c:pt idx="11">
                  <c:v>-9.5302686930453132E-9</c:v>
                </c:pt>
                <c:pt idx="12">
                  <c:v>-1.5488063330510856E-8</c:v>
                </c:pt>
                <c:pt idx="13">
                  <c:v>-2.5032609600037952E-8</c:v>
                </c:pt>
                <c:pt idx="14">
                  <c:v>-4.0237609977047645E-8</c:v>
                </c:pt>
                <c:pt idx="15">
                  <c:v>-6.432432935878745E-8</c:v>
                </c:pt>
                <c:pt idx="16">
                  <c:v>-1.0226697198245262E-7</c:v>
                </c:pt>
                <c:pt idx="17">
                  <c:v>-1.6170094842075199E-7</c:v>
                </c:pt>
                <c:pt idx="18">
                  <c:v>-2.5427682328143579E-7</c:v>
                </c:pt>
                <c:pt idx="19">
                  <c:v>-3.9766560260577204E-7</c:v>
                </c:pt>
                <c:pt idx="20">
                  <c:v>-6.1850941738505488E-7</c:v>
                </c:pt>
                <c:pt idx="21">
                  <c:v>-9.5673496512540744E-7</c:v>
                </c:pt>
                <c:pt idx="22">
                  <c:v>-1.4718176800765047E-6</c:v>
                </c:pt>
                <c:pt idx="23">
                  <c:v>-2.2518187181082814E-6</c:v>
                </c:pt>
                <c:pt idx="24">
                  <c:v>-3.4263354059869045E-6</c:v>
                </c:pt>
                <c:pt idx="25">
                  <c:v>-5.1849355589891343E-6</c:v>
                </c:pt>
                <c:pt idx="26">
                  <c:v>-7.8032207315489172E-6</c:v>
                </c:pt>
                <c:pt idx="27">
                  <c:v>-1.167942496618551E-5</c:v>
                </c:pt>
                <c:pt idx="28">
                  <c:v>-1.7385455336518728E-5</c:v>
                </c:pt>
                <c:pt idx="29">
                  <c:v>-2.573758051416073E-5</c:v>
                </c:pt>
                <c:pt idx="30">
                  <c:v>-3.7893647138062326E-5</c:v>
                </c:pt>
                <c:pt idx="31">
                  <c:v>-5.5485836146884297E-5</c:v>
                </c:pt>
                <c:pt idx="32">
                  <c:v>-8.0800659081401609E-5</c:v>
                </c:pt>
                <c:pt idx="33">
                  <c:v>-1.1702124421615948E-4</c:v>
                </c:pt>
                <c:pt idx="34">
                  <c:v>-1.6855108766551855E-4</c:v>
                </c:pt>
                <c:pt idx="35">
                  <c:v>-2.414434606286492E-4</c:v>
                </c:pt>
                <c:pt idx="36">
                  <c:v>-3.43966680346275E-4</c:v>
                </c:pt>
                <c:pt idx="37">
                  <c:v>-4.8734256261383007E-4</c:v>
                </c:pt>
                <c:pt idx="38">
                  <c:v>-6.8670364109112625E-4</c:v>
                </c:pt>
                <c:pt idx="39">
                  <c:v>-9.6232417830631413E-4</c:v>
                </c:pt>
                <c:pt idx="40">
                  <c:v>-1.3411905502259548E-3</c:v>
                </c:pt>
                <c:pt idx="41">
                  <c:v>-1.8589881096066645E-3</c:v>
                </c:pt>
                <c:pt idx="42">
                  <c:v>-2.5625938467515545E-3</c:v>
                </c:pt>
                <c:pt idx="43">
                  <c:v>-3.5131766363375467E-3</c:v>
                </c:pt>
                <c:pt idx="44">
                  <c:v>-4.7900189626216656E-3</c:v>
                </c:pt>
                <c:pt idx="45">
                  <c:v>-6.4951849091591527E-3</c:v>
                </c:pt>
                <c:pt idx="46">
                  <c:v>-8.759167793567238E-3</c:v>
                </c:pt>
                <c:pt idx="47">
                  <c:v>-1.174765577027018E-2</c:v>
                </c:pt>
                <c:pt idx="48">
                  <c:v>-1.5669553396100388E-2</c:v>
                </c:pt>
                <c:pt idx="49">
                  <c:v>-2.0786389687090047E-2</c:v>
                </c:pt>
                <c:pt idx="50">
                  <c:v>-2.7423226513463551E-2</c:v>
                </c:pt>
                <c:pt idx="51">
                  <c:v>-3.5981153070833681E-2</c:v>
                </c:pt>
                <c:pt idx="52">
                  <c:v>-4.6951410386312439E-2</c:v>
                </c:pt>
                <c:pt idx="53">
                  <c:v>-6.0931132241724709E-2</c:v>
                </c:pt>
                <c:pt idx="54">
                  <c:v>-7.864061369596051E-2</c:v>
                </c:pt>
                <c:pt idx="55">
                  <c:v>-0.10094192426112462</c:v>
                </c:pt>
                <c:pt idx="56">
                  <c:v>-0.12885856920539329</c:v>
                </c:pt>
                <c:pt idx="57">
                  <c:v>-0.16359576994288216</c:v>
                </c:pt>
                <c:pt idx="58">
                  <c:v>-0.20656078488059271</c:v>
                </c:pt>
                <c:pt idx="59">
                  <c:v>-0.25938252887036178</c:v>
                </c:pt>
                <c:pt idx="60">
                  <c:v>-0.32392957781854759</c:v>
                </c:pt>
                <c:pt idx="61">
                  <c:v>-0.40232547225890247</c:v>
                </c:pt>
                <c:pt idx="62">
                  <c:v>-0.49696006902293249</c:v>
                </c:pt>
                <c:pt idx="63">
                  <c:v>-0.61049554469244571</c:v>
                </c:pt>
                <c:pt idx="64">
                  <c:v>-0.74586554109945857</c:v>
                </c:pt>
                <c:pt idx="65">
                  <c:v>-0.90626587578055007</c:v>
                </c:pt>
                <c:pt idx="66">
                  <c:v>-1.0951352336122744</c:v>
                </c:pt>
                <c:pt idx="67">
                  <c:v>-1.3161243242180682</c:v>
                </c:pt>
                <c:pt idx="68">
                  <c:v>-1.5730521462515419</c:v>
                </c:pt>
                <c:pt idx="69">
                  <c:v>-1.8698482550221744</c:v>
                </c:pt>
                <c:pt idx="70">
                  <c:v>-2.210480291193992</c:v>
                </c:pt>
                <c:pt idx="71">
                  <c:v>-2.5988664976420495</c:v>
                </c:pt>
                <c:pt idx="72">
                  <c:v>-3.0387735251748382</c:v>
                </c:pt>
                <c:pt idx="73">
                  <c:v>-3.5337004949592541</c:v>
                </c:pt>
                <c:pt idx="74">
                  <c:v>-4.0867510277890489</c:v>
                </c:pt>
                <c:pt idx="75">
                  <c:v>-4.7004957417199815</c:v>
                </c:pt>
                <c:pt idx="76">
                  <c:v>-5.3768285265004661</c:v>
                </c:pt>
                <c:pt idx="77">
                  <c:v>-6.1168206855362461</c:v>
                </c:pt>
                <c:pt idx="78">
                  <c:v>-6.9205777486621622</c:v>
                </c:pt>
                <c:pt idx="79">
                  <c:v>-7.7871043536184663</c:v>
                </c:pt>
                <c:pt idx="80">
                  <c:v>-8.7141830223902659</c:v>
                </c:pt>
                <c:pt idx="81">
                  <c:v>-9.6982728747502236</c:v>
                </c:pt>
                <c:pt idx="82">
                  <c:v>-10.734434285766982</c:v>
                </c:pt>
                <c:pt idx="83">
                  <c:v>-11.816285176395587</c:v>
                </c:pt>
                <c:pt idx="84">
                  <c:v>-12.935994008731114</c:v>
                </c:pt>
                <c:pt idx="85">
                  <c:v>-14.084313637396473</c:v>
                </c:pt>
                <c:pt idx="86">
                  <c:v>-15.25065896021378</c:v>
                </c:pt>
                <c:pt idx="87">
                  <c:v>-16.42322984714858</c:v>
                </c:pt>
                <c:pt idx="88">
                  <c:v>-17.589179156727553</c:v>
                </c:pt>
                <c:pt idx="89">
                  <c:v>-18.734823840353268</c:v>
                </c:pt>
                <c:pt idx="90">
                  <c:v>-19.845895267582943</c:v>
                </c:pt>
                <c:pt idx="91">
                  <c:v>-20.907823069852785</c:v>
                </c:pt>
                <c:pt idx="92">
                  <c:v>-21.906045091786471</c:v>
                </c:pt>
                <c:pt idx="93">
                  <c:v>-22.826334553187174</c:v>
                </c:pt>
                <c:pt idx="94">
                  <c:v>-23.655134349831552</c:v>
                </c:pt>
                <c:pt idx="95">
                  <c:v>-24.379887633855731</c:v>
                </c:pt>
                <c:pt idx="96">
                  <c:v>-24.989353473897218</c:v>
                </c:pt>
                <c:pt idx="97">
                  <c:v>-25.473896538239632</c:v>
                </c:pt>
                <c:pt idx="98">
                  <c:v>-25.825740382719179</c:v>
                </c:pt>
                <c:pt idx="99">
                  <c:v>-26.0391750438285</c:v>
                </c:pt>
                <c:pt idx="100">
                  <c:v>-26.11071119407293</c:v>
                </c:pt>
                <c:pt idx="101">
                  <c:v>-26.0391750438285</c:v>
                </c:pt>
                <c:pt idx="102">
                  <c:v>-25.825740382719179</c:v>
                </c:pt>
                <c:pt idx="103">
                  <c:v>-25.473896538239632</c:v>
                </c:pt>
                <c:pt idx="104">
                  <c:v>-24.989353473897218</c:v>
                </c:pt>
                <c:pt idx="105">
                  <c:v>-24.379887633855731</c:v>
                </c:pt>
                <c:pt idx="106">
                  <c:v>-23.655134349831552</c:v>
                </c:pt>
                <c:pt idx="107">
                  <c:v>-22.826334553187174</c:v>
                </c:pt>
                <c:pt idx="108">
                  <c:v>-21.906045091786471</c:v>
                </c:pt>
                <c:pt idx="109">
                  <c:v>-20.907823069852785</c:v>
                </c:pt>
                <c:pt idx="110">
                  <c:v>-19.845895267582943</c:v>
                </c:pt>
                <c:pt idx="111">
                  <c:v>-18.734823840353268</c:v>
                </c:pt>
                <c:pt idx="112">
                  <c:v>-17.589179156727553</c:v>
                </c:pt>
                <c:pt idx="113">
                  <c:v>-16.42322984714858</c:v>
                </c:pt>
                <c:pt idx="114">
                  <c:v>-15.25065896021378</c:v>
                </c:pt>
                <c:pt idx="115">
                  <c:v>-14.084313637396473</c:v>
                </c:pt>
                <c:pt idx="116">
                  <c:v>-12.935994008731114</c:v>
                </c:pt>
                <c:pt idx="117">
                  <c:v>-11.816285176395587</c:v>
                </c:pt>
                <c:pt idx="118">
                  <c:v>-10.734434285766982</c:v>
                </c:pt>
                <c:pt idx="119">
                  <c:v>-9.6982728747502236</c:v>
                </c:pt>
                <c:pt idx="120">
                  <c:v>-8.7141830223902659</c:v>
                </c:pt>
                <c:pt idx="121">
                  <c:v>-7.7871043536184663</c:v>
                </c:pt>
                <c:pt idx="122">
                  <c:v>-6.9205777486621622</c:v>
                </c:pt>
                <c:pt idx="123">
                  <c:v>-6.1168206855362461</c:v>
                </c:pt>
                <c:pt idx="124">
                  <c:v>-5.3768285265004661</c:v>
                </c:pt>
                <c:pt idx="125">
                  <c:v>-4.7004957417199815</c:v>
                </c:pt>
                <c:pt idx="126">
                  <c:v>-4.0867510277890489</c:v>
                </c:pt>
                <c:pt idx="127">
                  <c:v>-3.5337004949592541</c:v>
                </c:pt>
                <c:pt idx="128">
                  <c:v>-3.0387735251748382</c:v>
                </c:pt>
                <c:pt idx="129">
                  <c:v>-2.5988664976420495</c:v>
                </c:pt>
                <c:pt idx="130">
                  <c:v>-2.210480291193992</c:v>
                </c:pt>
                <c:pt idx="131">
                  <c:v>-1.8698482550221744</c:v>
                </c:pt>
                <c:pt idx="132">
                  <c:v>-1.5730521462515419</c:v>
                </c:pt>
                <c:pt idx="133">
                  <c:v>-1.3161243242180682</c:v>
                </c:pt>
                <c:pt idx="134">
                  <c:v>-1.0951352336122744</c:v>
                </c:pt>
                <c:pt idx="135">
                  <c:v>-0.90626587578055007</c:v>
                </c:pt>
                <c:pt idx="136">
                  <c:v>-0.74586554109945857</c:v>
                </c:pt>
                <c:pt idx="137">
                  <c:v>-0.61049554469244571</c:v>
                </c:pt>
                <c:pt idx="138">
                  <c:v>-0.49696006902293249</c:v>
                </c:pt>
                <c:pt idx="139">
                  <c:v>-0.40232547225890247</c:v>
                </c:pt>
                <c:pt idx="140">
                  <c:v>-0.32392957781854759</c:v>
                </c:pt>
                <c:pt idx="141">
                  <c:v>-0.25938252887036178</c:v>
                </c:pt>
                <c:pt idx="142">
                  <c:v>-0.20656078488059271</c:v>
                </c:pt>
                <c:pt idx="143">
                  <c:v>-0.16359576994288216</c:v>
                </c:pt>
                <c:pt idx="144">
                  <c:v>-0.12885856920539329</c:v>
                </c:pt>
                <c:pt idx="145">
                  <c:v>-0.10094192426112462</c:v>
                </c:pt>
                <c:pt idx="146">
                  <c:v>-7.864061369596051E-2</c:v>
                </c:pt>
                <c:pt idx="147">
                  <c:v>-6.0931132241724709E-2</c:v>
                </c:pt>
                <c:pt idx="148">
                  <c:v>-4.6951410386312439E-2</c:v>
                </c:pt>
                <c:pt idx="149">
                  <c:v>-3.5981153070833681E-2</c:v>
                </c:pt>
                <c:pt idx="150">
                  <c:v>-2.7423226513463551E-2</c:v>
                </c:pt>
                <c:pt idx="151">
                  <c:v>-2.0786389687090047E-2</c:v>
                </c:pt>
                <c:pt idx="152">
                  <c:v>-1.5669553396100388E-2</c:v>
                </c:pt>
                <c:pt idx="153">
                  <c:v>-1.174765577027018E-2</c:v>
                </c:pt>
                <c:pt idx="154">
                  <c:v>-8.759167793567238E-3</c:v>
                </c:pt>
                <c:pt idx="155">
                  <c:v>-6.4951849091591527E-3</c:v>
                </c:pt>
                <c:pt idx="156">
                  <c:v>-4.7900189626216656E-3</c:v>
                </c:pt>
                <c:pt idx="157">
                  <c:v>-3.5131766363375467E-3</c:v>
                </c:pt>
                <c:pt idx="158">
                  <c:v>-2.5625938467515545E-3</c:v>
                </c:pt>
                <c:pt idx="159">
                  <c:v>-1.8589881096066645E-3</c:v>
                </c:pt>
                <c:pt idx="160">
                  <c:v>-1.3411905502259548E-3</c:v>
                </c:pt>
                <c:pt idx="161">
                  <c:v>-9.6232417830631413E-4</c:v>
                </c:pt>
                <c:pt idx="162">
                  <c:v>-6.8670364109112625E-4</c:v>
                </c:pt>
                <c:pt idx="163">
                  <c:v>-4.8734256261383007E-4</c:v>
                </c:pt>
                <c:pt idx="164">
                  <c:v>-3.43966680346275E-4</c:v>
                </c:pt>
                <c:pt idx="165">
                  <c:v>-2.414434606286492E-4</c:v>
                </c:pt>
                <c:pt idx="166">
                  <c:v>-1.6855108766551855E-4</c:v>
                </c:pt>
                <c:pt idx="167">
                  <c:v>-1.1702124421615948E-4</c:v>
                </c:pt>
                <c:pt idx="168">
                  <c:v>-8.0800659081401609E-5</c:v>
                </c:pt>
                <c:pt idx="169">
                  <c:v>-5.5485836146884297E-5</c:v>
                </c:pt>
                <c:pt idx="170">
                  <c:v>-3.7893647138062326E-5</c:v>
                </c:pt>
                <c:pt idx="171">
                  <c:v>-2.573758051416073E-5</c:v>
                </c:pt>
                <c:pt idx="172">
                  <c:v>-1.7385455336518728E-5</c:v>
                </c:pt>
                <c:pt idx="173">
                  <c:v>-1.167942496618551E-5</c:v>
                </c:pt>
                <c:pt idx="174">
                  <c:v>-7.8032207315489172E-6</c:v>
                </c:pt>
                <c:pt idx="175">
                  <c:v>-5.1849355589891343E-6</c:v>
                </c:pt>
                <c:pt idx="176">
                  <c:v>-3.4263354059869045E-6</c:v>
                </c:pt>
                <c:pt idx="177">
                  <c:v>-2.2518187181082814E-6</c:v>
                </c:pt>
                <c:pt idx="178">
                  <c:v>-1.4718176800765047E-6</c:v>
                </c:pt>
                <c:pt idx="179">
                  <c:v>-9.5673496512540744E-7</c:v>
                </c:pt>
                <c:pt idx="180">
                  <c:v>-6.1850941738505488E-7</c:v>
                </c:pt>
                <c:pt idx="181">
                  <c:v>-3.9766560260577204E-7</c:v>
                </c:pt>
                <c:pt idx="182">
                  <c:v>-2.5427682328143579E-7</c:v>
                </c:pt>
                <c:pt idx="183">
                  <c:v>-1.6170094842075199E-7</c:v>
                </c:pt>
                <c:pt idx="184">
                  <c:v>-1.0226697198245262E-7</c:v>
                </c:pt>
                <c:pt idx="185">
                  <c:v>-6.432432935878745E-8</c:v>
                </c:pt>
                <c:pt idx="186">
                  <c:v>-4.0237609977047645E-8</c:v>
                </c:pt>
                <c:pt idx="187">
                  <c:v>-2.5032609600037952E-8</c:v>
                </c:pt>
                <c:pt idx="188">
                  <c:v>-1.5488063330510856E-8</c:v>
                </c:pt>
                <c:pt idx="189">
                  <c:v>-9.5302686930453132E-9</c:v>
                </c:pt>
                <c:pt idx="190">
                  <c:v>-5.8321705344703196E-9</c:v>
                </c:pt>
                <c:pt idx="191">
                  <c:v>-3.5495420342338597E-9</c:v>
                </c:pt>
                <c:pt idx="192">
                  <c:v>-2.1484807781498784E-9</c:v>
                </c:pt>
                <c:pt idx="193">
                  <c:v>-1.2933249667481545E-9</c:v>
                </c:pt>
                <c:pt idx="194">
                  <c:v>-7.7428507896299171E-10</c:v>
                </c:pt>
                <c:pt idx="195">
                  <c:v>-4.6101086282558854E-10</c:v>
                </c:pt>
                <c:pt idx="196">
                  <c:v>-2.7298480092387586E-10</c:v>
                </c:pt>
                <c:pt idx="197">
                  <c:v>-1.6076178353988096E-10</c:v>
                </c:pt>
                <c:pt idx="198">
                  <c:v>-9.415517697760198E-11</c:v>
                </c:pt>
                <c:pt idx="199">
                  <c:v>-5.4843180431878832E-11</c:v>
                </c:pt>
                <c:pt idx="200">
                  <c:v>-3.1770064769852054E-11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0AF-4759-B6F8-8BF78F795330}"/>
            </c:ext>
          </c:extLst>
        </c:ser>
        <c:ser>
          <c:idx val="0"/>
          <c:order val="4"/>
          <c:tx>
            <c:strRef>
              <c:f>'subsidence profile with z_0'!$G$6</c:f>
              <c:strCache>
                <c:ptCount val="1"/>
                <c:pt idx="0">
                  <c:v>2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'subsidence profile with z_0'!$B$16:$B$216</c:f>
              <c:numCache>
                <c:formatCode>0.000</c:formatCode>
                <c:ptCount val="201"/>
                <c:pt idx="0">
                  <c:v>-50</c:v>
                </c:pt>
                <c:pt idx="1">
                  <c:v>-49.5</c:v>
                </c:pt>
                <c:pt idx="2">
                  <c:v>-49</c:v>
                </c:pt>
                <c:pt idx="3">
                  <c:v>-48.5</c:v>
                </c:pt>
                <c:pt idx="4">
                  <c:v>-48</c:v>
                </c:pt>
                <c:pt idx="5">
                  <c:v>-47.5</c:v>
                </c:pt>
                <c:pt idx="6">
                  <c:v>-47</c:v>
                </c:pt>
                <c:pt idx="7">
                  <c:v>-46.5</c:v>
                </c:pt>
                <c:pt idx="8">
                  <c:v>-46</c:v>
                </c:pt>
                <c:pt idx="9">
                  <c:v>-45.5</c:v>
                </c:pt>
                <c:pt idx="10">
                  <c:v>-45</c:v>
                </c:pt>
                <c:pt idx="11">
                  <c:v>-44.5</c:v>
                </c:pt>
                <c:pt idx="12">
                  <c:v>-44</c:v>
                </c:pt>
                <c:pt idx="13">
                  <c:v>-43.5</c:v>
                </c:pt>
                <c:pt idx="14">
                  <c:v>-43</c:v>
                </c:pt>
                <c:pt idx="15">
                  <c:v>-42.5</c:v>
                </c:pt>
                <c:pt idx="16">
                  <c:v>-42</c:v>
                </c:pt>
                <c:pt idx="17">
                  <c:v>-41.5</c:v>
                </c:pt>
                <c:pt idx="18">
                  <c:v>-41</c:v>
                </c:pt>
                <c:pt idx="19">
                  <c:v>-40.5</c:v>
                </c:pt>
                <c:pt idx="20">
                  <c:v>-40</c:v>
                </c:pt>
                <c:pt idx="21">
                  <c:v>-39.5</c:v>
                </c:pt>
                <c:pt idx="22">
                  <c:v>-39</c:v>
                </c:pt>
                <c:pt idx="23">
                  <c:v>-38.5</c:v>
                </c:pt>
                <c:pt idx="24">
                  <c:v>-38</c:v>
                </c:pt>
                <c:pt idx="25">
                  <c:v>-37.5</c:v>
                </c:pt>
                <c:pt idx="26">
                  <c:v>-37</c:v>
                </c:pt>
                <c:pt idx="27">
                  <c:v>-36.5</c:v>
                </c:pt>
                <c:pt idx="28">
                  <c:v>-36</c:v>
                </c:pt>
                <c:pt idx="29">
                  <c:v>-35.5</c:v>
                </c:pt>
                <c:pt idx="30">
                  <c:v>-35</c:v>
                </c:pt>
                <c:pt idx="31">
                  <c:v>-34.5</c:v>
                </c:pt>
                <c:pt idx="32">
                  <c:v>-34</c:v>
                </c:pt>
                <c:pt idx="33">
                  <c:v>-33.5</c:v>
                </c:pt>
                <c:pt idx="34">
                  <c:v>-33</c:v>
                </c:pt>
                <c:pt idx="35">
                  <c:v>-32.5</c:v>
                </c:pt>
                <c:pt idx="36">
                  <c:v>-32</c:v>
                </c:pt>
                <c:pt idx="37">
                  <c:v>-31.5</c:v>
                </c:pt>
                <c:pt idx="38">
                  <c:v>-31</c:v>
                </c:pt>
                <c:pt idx="39">
                  <c:v>-30.5</c:v>
                </c:pt>
                <c:pt idx="40">
                  <c:v>-30</c:v>
                </c:pt>
                <c:pt idx="41">
                  <c:v>-29.5</c:v>
                </c:pt>
                <c:pt idx="42">
                  <c:v>-29</c:v>
                </c:pt>
                <c:pt idx="43">
                  <c:v>-28.5</c:v>
                </c:pt>
                <c:pt idx="44">
                  <c:v>-28</c:v>
                </c:pt>
                <c:pt idx="45">
                  <c:v>-27.5</c:v>
                </c:pt>
                <c:pt idx="46">
                  <c:v>-27</c:v>
                </c:pt>
                <c:pt idx="47">
                  <c:v>-26.5</c:v>
                </c:pt>
                <c:pt idx="48">
                  <c:v>-26</c:v>
                </c:pt>
                <c:pt idx="49">
                  <c:v>-25.5</c:v>
                </c:pt>
                <c:pt idx="50">
                  <c:v>-25</c:v>
                </c:pt>
                <c:pt idx="51">
                  <c:v>-24.5</c:v>
                </c:pt>
                <c:pt idx="52">
                  <c:v>-24</c:v>
                </c:pt>
                <c:pt idx="53">
                  <c:v>-23.5</c:v>
                </c:pt>
                <c:pt idx="54">
                  <c:v>-23</c:v>
                </c:pt>
                <c:pt idx="55">
                  <c:v>-22.5</c:v>
                </c:pt>
                <c:pt idx="56">
                  <c:v>-22</c:v>
                </c:pt>
                <c:pt idx="57">
                  <c:v>-21.5</c:v>
                </c:pt>
                <c:pt idx="58">
                  <c:v>-21</c:v>
                </c:pt>
                <c:pt idx="59">
                  <c:v>-20.5</c:v>
                </c:pt>
                <c:pt idx="60">
                  <c:v>-20</c:v>
                </c:pt>
                <c:pt idx="61">
                  <c:v>-19.5</c:v>
                </c:pt>
                <c:pt idx="62">
                  <c:v>-19</c:v>
                </c:pt>
                <c:pt idx="63">
                  <c:v>-18.5</c:v>
                </c:pt>
                <c:pt idx="64">
                  <c:v>-18</c:v>
                </c:pt>
                <c:pt idx="65">
                  <c:v>-17.5</c:v>
                </c:pt>
                <c:pt idx="66">
                  <c:v>-17</c:v>
                </c:pt>
                <c:pt idx="67">
                  <c:v>-16.5</c:v>
                </c:pt>
                <c:pt idx="68">
                  <c:v>-16</c:v>
                </c:pt>
                <c:pt idx="69">
                  <c:v>-15.5</c:v>
                </c:pt>
                <c:pt idx="70">
                  <c:v>-15</c:v>
                </c:pt>
                <c:pt idx="71">
                  <c:v>-14.5</c:v>
                </c:pt>
                <c:pt idx="72">
                  <c:v>-14</c:v>
                </c:pt>
                <c:pt idx="73">
                  <c:v>-13.5</c:v>
                </c:pt>
                <c:pt idx="74">
                  <c:v>-13</c:v>
                </c:pt>
                <c:pt idx="75">
                  <c:v>-12.5</c:v>
                </c:pt>
                <c:pt idx="76">
                  <c:v>-12</c:v>
                </c:pt>
                <c:pt idx="77">
                  <c:v>-11.5</c:v>
                </c:pt>
                <c:pt idx="78">
                  <c:v>-11</c:v>
                </c:pt>
                <c:pt idx="79">
                  <c:v>-10.5</c:v>
                </c:pt>
                <c:pt idx="80">
                  <c:v>-10</c:v>
                </c:pt>
                <c:pt idx="81">
                  <c:v>-9.5</c:v>
                </c:pt>
                <c:pt idx="82">
                  <c:v>-9</c:v>
                </c:pt>
                <c:pt idx="83">
                  <c:v>-8.5</c:v>
                </c:pt>
                <c:pt idx="84">
                  <c:v>-8</c:v>
                </c:pt>
                <c:pt idx="85">
                  <c:v>-7.5</c:v>
                </c:pt>
                <c:pt idx="86">
                  <c:v>-7</c:v>
                </c:pt>
                <c:pt idx="87">
                  <c:v>-6.5</c:v>
                </c:pt>
                <c:pt idx="88">
                  <c:v>-6</c:v>
                </c:pt>
                <c:pt idx="89">
                  <c:v>-5.5</c:v>
                </c:pt>
                <c:pt idx="90">
                  <c:v>-5</c:v>
                </c:pt>
                <c:pt idx="91">
                  <c:v>-4.5</c:v>
                </c:pt>
                <c:pt idx="92">
                  <c:v>-4</c:v>
                </c:pt>
                <c:pt idx="93">
                  <c:v>-3.5</c:v>
                </c:pt>
                <c:pt idx="94">
                  <c:v>-3</c:v>
                </c:pt>
                <c:pt idx="95">
                  <c:v>-2.5</c:v>
                </c:pt>
                <c:pt idx="96">
                  <c:v>-2</c:v>
                </c:pt>
                <c:pt idx="97">
                  <c:v>-1.5</c:v>
                </c:pt>
                <c:pt idx="98">
                  <c:v>-1</c:v>
                </c:pt>
                <c:pt idx="99">
                  <c:v>-0.5</c:v>
                </c:pt>
                <c:pt idx="100">
                  <c:v>0</c:v>
                </c:pt>
                <c:pt idx="101">
                  <c:v>0.5</c:v>
                </c:pt>
                <c:pt idx="102">
                  <c:v>1</c:v>
                </c:pt>
                <c:pt idx="103">
                  <c:v>1.5</c:v>
                </c:pt>
                <c:pt idx="104">
                  <c:v>2</c:v>
                </c:pt>
                <c:pt idx="105">
                  <c:v>2.5</c:v>
                </c:pt>
                <c:pt idx="106">
                  <c:v>3</c:v>
                </c:pt>
                <c:pt idx="107">
                  <c:v>3.5</c:v>
                </c:pt>
                <c:pt idx="108">
                  <c:v>4</c:v>
                </c:pt>
                <c:pt idx="109">
                  <c:v>4.5</c:v>
                </c:pt>
                <c:pt idx="110">
                  <c:v>5</c:v>
                </c:pt>
                <c:pt idx="111">
                  <c:v>5.5</c:v>
                </c:pt>
                <c:pt idx="112">
                  <c:v>6</c:v>
                </c:pt>
                <c:pt idx="113">
                  <c:v>6.5</c:v>
                </c:pt>
                <c:pt idx="114">
                  <c:v>7</c:v>
                </c:pt>
                <c:pt idx="115">
                  <c:v>7.5</c:v>
                </c:pt>
                <c:pt idx="116">
                  <c:v>8</c:v>
                </c:pt>
                <c:pt idx="117">
                  <c:v>8.5</c:v>
                </c:pt>
                <c:pt idx="118">
                  <c:v>9</c:v>
                </c:pt>
                <c:pt idx="119">
                  <c:v>9.5</c:v>
                </c:pt>
                <c:pt idx="120">
                  <c:v>10</c:v>
                </c:pt>
                <c:pt idx="121">
                  <c:v>10.5</c:v>
                </c:pt>
                <c:pt idx="122">
                  <c:v>11</c:v>
                </c:pt>
                <c:pt idx="123">
                  <c:v>11.5</c:v>
                </c:pt>
                <c:pt idx="124">
                  <c:v>12</c:v>
                </c:pt>
                <c:pt idx="125">
                  <c:v>12.5</c:v>
                </c:pt>
                <c:pt idx="126">
                  <c:v>13</c:v>
                </c:pt>
                <c:pt idx="127">
                  <c:v>13.5</c:v>
                </c:pt>
                <c:pt idx="128">
                  <c:v>14</c:v>
                </c:pt>
                <c:pt idx="129">
                  <c:v>14.5</c:v>
                </c:pt>
                <c:pt idx="130">
                  <c:v>15</c:v>
                </c:pt>
                <c:pt idx="131">
                  <c:v>15.5</c:v>
                </c:pt>
                <c:pt idx="132">
                  <c:v>16</c:v>
                </c:pt>
                <c:pt idx="133">
                  <c:v>16.5</c:v>
                </c:pt>
                <c:pt idx="134">
                  <c:v>17</c:v>
                </c:pt>
                <c:pt idx="135">
                  <c:v>17.5</c:v>
                </c:pt>
                <c:pt idx="136">
                  <c:v>18</c:v>
                </c:pt>
                <c:pt idx="137">
                  <c:v>18.5</c:v>
                </c:pt>
                <c:pt idx="138">
                  <c:v>19</c:v>
                </c:pt>
                <c:pt idx="139">
                  <c:v>19.5</c:v>
                </c:pt>
                <c:pt idx="140">
                  <c:v>20</c:v>
                </c:pt>
                <c:pt idx="141">
                  <c:v>20.5</c:v>
                </c:pt>
                <c:pt idx="142">
                  <c:v>21</c:v>
                </c:pt>
                <c:pt idx="143">
                  <c:v>21.5</c:v>
                </c:pt>
                <c:pt idx="144">
                  <c:v>22</c:v>
                </c:pt>
                <c:pt idx="145">
                  <c:v>22.5</c:v>
                </c:pt>
                <c:pt idx="146">
                  <c:v>23</c:v>
                </c:pt>
                <c:pt idx="147">
                  <c:v>23.5</c:v>
                </c:pt>
                <c:pt idx="148">
                  <c:v>24</c:v>
                </c:pt>
                <c:pt idx="149">
                  <c:v>24.5</c:v>
                </c:pt>
                <c:pt idx="150">
                  <c:v>25</c:v>
                </c:pt>
                <c:pt idx="151">
                  <c:v>25.5</c:v>
                </c:pt>
                <c:pt idx="152">
                  <c:v>26</c:v>
                </c:pt>
                <c:pt idx="153">
                  <c:v>26.5</c:v>
                </c:pt>
                <c:pt idx="154">
                  <c:v>27</c:v>
                </c:pt>
                <c:pt idx="155">
                  <c:v>27.5</c:v>
                </c:pt>
                <c:pt idx="156">
                  <c:v>28</c:v>
                </c:pt>
                <c:pt idx="157">
                  <c:v>28.5</c:v>
                </c:pt>
                <c:pt idx="158">
                  <c:v>29</c:v>
                </c:pt>
                <c:pt idx="159">
                  <c:v>29.5</c:v>
                </c:pt>
                <c:pt idx="160">
                  <c:v>30</c:v>
                </c:pt>
                <c:pt idx="161">
                  <c:v>30.5</c:v>
                </c:pt>
                <c:pt idx="162">
                  <c:v>31</c:v>
                </c:pt>
                <c:pt idx="163">
                  <c:v>31.5</c:v>
                </c:pt>
                <c:pt idx="164">
                  <c:v>32</c:v>
                </c:pt>
                <c:pt idx="165">
                  <c:v>32.5</c:v>
                </c:pt>
                <c:pt idx="166">
                  <c:v>33</c:v>
                </c:pt>
                <c:pt idx="167">
                  <c:v>33.5</c:v>
                </c:pt>
                <c:pt idx="168">
                  <c:v>34</c:v>
                </c:pt>
                <c:pt idx="169">
                  <c:v>34.5</c:v>
                </c:pt>
                <c:pt idx="170">
                  <c:v>35</c:v>
                </c:pt>
                <c:pt idx="171">
                  <c:v>35.5</c:v>
                </c:pt>
                <c:pt idx="172">
                  <c:v>36</c:v>
                </c:pt>
                <c:pt idx="173">
                  <c:v>36.5</c:v>
                </c:pt>
                <c:pt idx="174">
                  <c:v>37</c:v>
                </c:pt>
                <c:pt idx="175">
                  <c:v>37.5</c:v>
                </c:pt>
                <c:pt idx="176">
                  <c:v>38</c:v>
                </c:pt>
                <c:pt idx="177">
                  <c:v>38.5</c:v>
                </c:pt>
                <c:pt idx="178">
                  <c:v>39</c:v>
                </c:pt>
                <c:pt idx="179">
                  <c:v>39.5</c:v>
                </c:pt>
                <c:pt idx="180">
                  <c:v>40</c:v>
                </c:pt>
                <c:pt idx="181">
                  <c:v>40.5</c:v>
                </c:pt>
                <c:pt idx="182">
                  <c:v>41</c:v>
                </c:pt>
                <c:pt idx="183">
                  <c:v>41.5</c:v>
                </c:pt>
                <c:pt idx="184">
                  <c:v>42</c:v>
                </c:pt>
                <c:pt idx="185">
                  <c:v>42.5</c:v>
                </c:pt>
                <c:pt idx="186">
                  <c:v>43</c:v>
                </c:pt>
                <c:pt idx="187">
                  <c:v>43.5</c:v>
                </c:pt>
                <c:pt idx="188">
                  <c:v>44</c:v>
                </c:pt>
                <c:pt idx="189">
                  <c:v>44.5</c:v>
                </c:pt>
                <c:pt idx="190">
                  <c:v>45</c:v>
                </c:pt>
                <c:pt idx="191">
                  <c:v>45.5</c:v>
                </c:pt>
                <c:pt idx="192">
                  <c:v>46</c:v>
                </c:pt>
                <c:pt idx="193">
                  <c:v>46.5</c:v>
                </c:pt>
                <c:pt idx="194">
                  <c:v>47</c:v>
                </c:pt>
                <c:pt idx="195">
                  <c:v>47.5</c:v>
                </c:pt>
                <c:pt idx="196">
                  <c:v>48</c:v>
                </c:pt>
                <c:pt idx="197">
                  <c:v>48.5</c:v>
                </c:pt>
                <c:pt idx="198">
                  <c:v>49</c:v>
                </c:pt>
                <c:pt idx="199">
                  <c:v>49.5</c:v>
                </c:pt>
                <c:pt idx="200">
                  <c:v>50</c:v>
                </c:pt>
              </c:numCache>
            </c:numRef>
          </c:xVal>
          <c:yVal>
            <c:numRef>
              <c:f>'subsidence profile with z_0'!$G$16:$G$216</c:f>
              <c:numCache>
                <c:formatCode>0.000</c:formatCode>
                <c:ptCount val="201"/>
                <c:pt idx="0">
                  <c:v>-4.948075339080439E-7</c:v>
                </c:pt>
                <c:pt idx="1">
                  <c:v>-7.0175126470923077E-7</c:v>
                </c:pt>
                <c:pt idx="2">
                  <c:v>-9.91756395966647E-7</c:v>
                </c:pt>
                <c:pt idx="3">
                  <c:v>-1.3966954600479371E-6</c:v>
                </c:pt>
                <c:pt idx="4">
                  <c:v>-1.9600779293163596E-6</c:v>
                </c:pt>
                <c:pt idx="5">
                  <c:v>-2.741068324789523E-6</c:v>
                </c:pt>
                <c:pt idx="6">
                  <c:v>-3.8198058465599969E-6</c:v>
                </c:pt>
                <c:pt idx="7">
                  <c:v>-5.3044165658875138E-6</c:v>
                </c:pt>
                <c:pt idx="8">
                  <c:v>-7.3402163678362471E-6</c:v>
                </c:pt>
                <c:pt idx="9">
                  <c:v>-1.0121736018999041E-5</c:v>
                </c:pt>
                <c:pt idx="10">
                  <c:v>-1.3908364269214981E-5</c:v>
                </c:pt>
                <c:pt idx="11">
                  <c:v>-1.9044606877706782E-5</c:v>
                </c:pt>
                <c:pt idx="12">
                  <c:v>-2.5986205797005788E-5</c:v>
                </c:pt>
                <c:pt idx="13">
                  <c:v>-3.533366118279155E-5</c:v>
                </c:pt>
                <c:pt idx="14">
                  <c:v>-4.7875057931013832E-5</c:v>
                </c:pt>
                <c:pt idx="15">
                  <c:v>-6.4640527265121271E-5</c:v>
                </c:pt>
                <c:pt idx="16">
                  <c:v>-8.6971182217182022E-5</c:v>
                </c:pt>
                <c:pt idx="17">
                  <c:v>-1.1660596365342278E-4</c:v>
                </c:pt>
                <c:pt idx="18">
                  <c:v>-1.5579053069895925E-4</c:v>
                </c:pt>
                <c:pt idx="19">
                  <c:v>-2.0741313538430494E-4</c:v>
                </c:pt>
                <c:pt idx="20">
                  <c:v>-2.7517334427701995E-4</c:v>
                </c:pt>
                <c:pt idx="21">
                  <c:v>-3.6379051606061895E-4</c:v>
                </c:pt>
                <c:pt idx="22">
                  <c:v>-4.7926011690214233E-4</c:v>
                </c:pt>
                <c:pt idx="23">
                  <c:v>-6.2916725445211934E-4</c:v>
                </c:pt>
                <c:pt idx="24">
                  <c:v>-8.2306823061019515E-4</c:v>
                </c:pt>
                <c:pt idx="25">
                  <c:v>-1.0729524401807636E-3</c:v>
                </c:pt>
                <c:pt idx="26">
                  <c:v>-1.3937985562759549E-3</c:v>
                </c:pt>
                <c:pt idx="27">
                  <c:v>-1.8042406127238776E-3</c:v>
                </c:pt>
                <c:pt idx="28">
                  <c:v>-2.3273612758140444E-3</c:v>
                </c:pt>
                <c:pt idx="29">
                  <c:v>-2.9916312357523354E-3</c:v>
                </c:pt>
                <c:pt idx="30">
                  <c:v>-3.8320151700973323E-3</c:v>
                </c:pt>
                <c:pt idx="31">
                  <c:v>-4.891266048241593E-3</c:v>
                </c:pt>
                <c:pt idx="32">
                  <c:v>-6.2214305507713435E-3</c:v>
                </c:pt>
                <c:pt idx="33">
                  <c:v>-7.8855889448723113E-3</c:v>
                </c:pt>
                <c:pt idx="34">
                  <c:v>-9.9598527431061113E-3</c:v>
                </c:pt>
                <c:pt idx="35">
                  <c:v>-1.2535642716880308E-2</c:v>
                </c:pt>
                <c:pt idx="36">
                  <c:v>-1.5722268161769373E-2</c:v>
                </c:pt>
                <c:pt idx="37">
                  <c:v>-1.9649825532015421E-2</c:v>
                </c:pt>
                <c:pt idx="38">
                  <c:v>-2.4472430482091429E-2</c:v>
                </c:pt>
                <c:pt idx="39">
                  <c:v>-3.0371791780413274E-2</c:v>
                </c:pt>
                <c:pt idx="40">
                  <c:v>-3.7561128309049951E-2</c:v>
                </c:pt>
                <c:pt idx="41">
                  <c:v>-4.6289421267342291E-2</c:v>
                </c:pt>
                <c:pt idx="42">
                  <c:v>-5.6845982621138859E-2</c:v>
                </c:pt>
                <c:pt idx="43">
                  <c:v>-6.9565307691431613E-2</c:v>
                </c:pt>
                <c:pt idx="44">
                  <c:v>-8.483216452377422E-2</c:v>
                </c:pt>
                <c:pt idx="45">
                  <c:v>-0.10308685536431463</c:v>
                </c:pt>
                <c:pt idx="46">
                  <c:v>-0.1248305663205342</c:v>
                </c:pt>
                <c:pt idx="47">
                  <c:v>-0.150630700340423</c:v>
                </c:pt>
                <c:pt idx="48">
                  <c:v>-0.18112606635654435</c:v>
                </c:pt>
                <c:pt idx="49">
                  <c:v>-0.21703177429415116</c:v>
                </c:pt>
                <c:pt idx="50">
                  <c:v>-0.25914366225483804</c:v>
                </c:pt>
                <c:pt idx="51">
                  <c:v>-0.30834205931828457</c:v>
                </c:pt>
                <c:pt idx="52">
                  <c:v>-0.36559466595007473</c:v>
                </c:pt>
                <c:pt idx="53">
                  <c:v>-0.43195831498556542</c:v>
                </c:pt>
                <c:pt idx="54">
                  <c:v>-0.50857936070924981</c:v>
                </c:pt>
                <c:pt idx="55">
                  <c:v>-0.59669243287956675</c:v>
                </c:pt>
                <c:pt idx="56">
                  <c:v>-0.69761728792158928</c:v>
                </c:pt>
                <c:pt idx="57">
                  <c:v>-0.81275349218900705</c:v>
                </c:pt>
                <c:pt idx="58">
                  <c:v>-0.94357268339818767</c:v>
                </c:pt>
                <c:pt idx="59">
                  <c:v>-1.0916081771686896</c:v>
                </c:pt>
                <c:pt idx="60">
                  <c:v>-1.2584417170012332</c:v>
                </c:pt>
                <c:pt idx="61">
                  <c:v>-1.4456872086792001</c:v>
                </c:pt>
                <c:pt idx="62">
                  <c:v>-1.6549713343762738</c:v>
                </c:pt>
                <c:pt idx="63">
                  <c:v>-1.8879110076972525</c:v>
                </c:pt>
                <c:pt idx="64">
                  <c:v>-2.1460877080412315</c:v>
                </c:pt>
                <c:pt idx="65">
                  <c:v>-2.4310188201398701</c:v>
                </c:pt>
                <c:pt idx="66">
                  <c:v>-2.744126200950614</c:v>
                </c:pt>
                <c:pt idx="67">
                  <c:v>-3.0867022992988979</c:v>
                </c:pt>
                <c:pt idx="68">
                  <c:v>-3.4598742612539271</c:v>
                </c:pt>
                <c:pt idx="69">
                  <c:v>-3.8645665631736499</c:v>
                </c:pt>
                <c:pt idx="70">
                  <c:v>-4.3014628212003725</c:v>
                </c:pt>
                <c:pt idx="71">
                  <c:v>-4.770967526896591</c:v>
                </c:pt>
                <c:pt idx="72">
                  <c:v>-5.2731685495915244</c:v>
                </c:pt>
                <c:pt idx="73">
                  <c:v>-5.8078013226504268</c:v>
                </c:pt>
                <c:pt idx="74">
                  <c:v>-6.3742156891038446</c:v>
                </c:pt>
                <c:pt idx="75">
                  <c:v>-6.971346417912212</c:v>
                </c:pt>
                <c:pt idx="76">
                  <c:v>-7.5976884120138557</c:v>
                </c:pt>
                <c:pt idx="77">
                  <c:v>-8.2512776102100496</c:v>
                </c:pt>
                <c:pt idx="78">
                  <c:v>-8.9296785346356948</c:v>
                </c:pt>
                <c:pt idx="79">
                  <c:v>-9.6299793527282702</c:v>
                </c:pt>
                <c:pt idx="80">
                  <c:v>-10.348795206984891</c:v>
                </c:pt>
                <c:pt idx="81">
                  <c:v>-11.082280418303736</c:v>
                </c:pt>
                <c:pt idx="82">
                  <c:v>-11.826149991495621</c:v>
                </c:pt>
                <c:pt idx="83">
                  <c:v>-12.575710648033583</c:v>
                </c:pt>
                <c:pt idx="84">
                  <c:v>-13.325901385913172</c:v>
                </c:pt>
                <c:pt idx="85">
                  <c:v>-14.071343325382042</c:v>
                </c:pt>
                <c:pt idx="86">
                  <c:v>-14.806398349005388</c:v>
                </c:pt>
                <c:pt idx="87">
                  <c:v>-15.525235792586331</c:v>
                </c:pt>
                <c:pt idx="88">
                  <c:v>-16.221906197915143</c:v>
                </c:pt>
                <c:pt idx="89">
                  <c:v>-16.890420907485208</c:v>
                </c:pt>
                <c:pt idx="90">
                  <c:v>-17.524836073429174</c:v>
                </c:pt>
                <c:pt idx="91">
                  <c:v>-18.119339475846136</c:v>
                </c:pt>
                <c:pt idx="92">
                  <c:v>-18.668338406539021</c:v>
                </c:pt>
                <c:pt idx="93">
                  <c:v>-19.166546779055633</c:v>
                </c:pt>
                <c:pt idx="94">
                  <c:v>-19.609069579604363</c:v>
                </c:pt>
                <c:pt idx="95">
                  <c:v>-19.991482779117774</c:v>
                </c:pt>
                <c:pt idx="96">
                  <c:v>-20.309906885948021</c:v>
                </c:pt>
                <c:pt idx="97">
                  <c:v>-20.56107243103045</c:v>
                </c:pt>
                <c:pt idx="98">
                  <c:v>-20.742375840590231</c:v>
                </c:pt>
                <c:pt idx="99">
                  <c:v>-20.851924361486592</c:v>
                </c:pt>
                <c:pt idx="100">
                  <c:v>-20.888568955258339</c:v>
                </c:pt>
                <c:pt idx="101">
                  <c:v>-20.851924361486592</c:v>
                </c:pt>
                <c:pt idx="102">
                  <c:v>-20.742375840590231</c:v>
                </c:pt>
                <c:pt idx="103">
                  <c:v>-20.56107243103045</c:v>
                </c:pt>
                <c:pt idx="104">
                  <c:v>-20.309906885948021</c:v>
                </c:pt>
                <c:pt idx="105">
                  <c:v>-19.991482779117774</c:v>
                </c:pt>
                <c:pt idx="106">
                  <c:v>-19.609069579604363</c:v>
                </c:pt>
                <c:pt idx="107">
                  <c:v>-19.166546779055633</c:v>
                </c:pt>
                <c:pt idx="108">
                  <c:v>-18.668338406539021</c:v>
                </c:pt>
                <c:pt idx="109">
                  <c:v>-18.119339475846136</c:v>
                </c:pt>
                <c:pt idx="110">
                  <c:v>-17.524836073429174</c:v>
                </c:pt>
                <c:pt idx="111">
                  <c:v>-16.890420907485208</c:v>
                </c:pt>
                <c:pt idx="112">
                  <c:v>-16.221906197915143</c:v>
                </c:pt>
                <c:pt idx="113">
                  <c:v>-15.525235792586331</c:v>
                </c:pt>
                <c:pt idx="114">
                  <c:v>-14.806398349005388</c:v>
                </c:pt>
                <c:pt idx="115">
                  <c:v>-14.071343325382042</c:v>
                </c:pt>
                <c:pt idx="116">
                  <c:v>-13.325901385913172</c:v>
                </c:pt>
                <c:pt idx="117">
                  <c:v>-12.575710648033583</c:v>
                </c:pt>
                <c:pt idx="118">
                  <c:v>-11.826149991495621</c:v>
                </c:pt>
                <c:pt idx="119">
                  <c:v>-11.082280418303736</c:v>
                </c:pt>
                <c:pt idx="120">
                  <c:v>-10.348795206984891</c:v>
                </c:pt>
                <c:pt idx="121">
                  <c:v>-9.6299793527282702</c:v>
                </c:pt>
                <c:pt idx="122">
                  <c:v>-8.9296785346356948</c:v>
                </c:pt>
                <c:pt idx="123">
                  <c:v>-8.2512776102100496</c:v>
                </c:pt>
                <c:pt idx="124">
                  <c:v>-7.5976884120138557</c:v>
                </c:pt>
                <c:pt idx="125">
                  <c:v>-6.971346417912212</c:v>
                </c:pt>
                <c:pt idx="126">
                  <c:v>-6.3742156891038446</c:v>
                </c:pt>
                <c:pt idx="127">
                  <c:v>-5.8078013226504268</c:v>
                </c:pt>
                <c:pt idx="128">
                  <c:v>-5.2731685495915244</c:v>
                </c:pt>
                <c:pt idx="129">
                  <c:v>-4.770967526896591</c:v>
                </c:pt>
                <c:pt idx="130">
                  <c:v>-4.3014628212003725</c:v>
                </c:pt>
                <c:pt idx="131">
                  <c:v>-3.8645665631736499</c:v>
                </c:pt>
                <c:pt idx="132">
                  <c:v>-3.4598742612539271</c:v>
                </c:pt>
                <c:pt idx="133">
                  <c:v>-3.0867022992988979</c:v>
                </c:pt>
                <c:pt idx="134">
                  <c:v>-2.744126200950614</c:v>
                </c:pt>
                <c:pt idx="135">
                  <c:v>-2.4310188201398701</c:v>
                </c:pt>
                <c:pt idx="136">
                  <c:v>-2.1460877080412315</c:v>
                </c:pt>
                <c:pt idx="137">
                  <c:v>-1.8879110076972525</c:v>
                </c:pt>
                <c:pt idx="138">
                  <c:v>-1.6549713343762738</c:v>
                </c:pt>
                <c:pt idx="139">
                  <c:v>-1.4456872086792001</c:v>
                </c:pt>
                <c:pt idx="140">
                  <c:v>-1.2584417170012332</c:v>
                </c:pt>
                <c:pt idx="141">
                  <c:v>-1.0916081771686896</c:v>
                </c:pt>
                <c:pt idx="142">
                  <c:v>-0.94357268339818767</c:v>
                </c:pt>
                <c:pt idx="143">
                  <c:v>-0.81275349218900705</c:v>
                </c:pt>
                <c:pt idx="144">
                  <c:v>-0.69761728792158928</c:v>
                </c:pt>
                <c:pt idx="145">
                  <c:v>-0.59669243287956675</c:v>
                </c:pt>
                <c:pt idx="146">
                  <c:v>-0.50857936070924981</c:v>
                </c:pt>
                <c:pt idx="147">
                  <c:v>-0.43195831498556542</c:v>
                </c:pt>
                <c:pt idx="148">
                  <c:v>-0.36559466595007473</c:v>
                </c:pt>
                <c:pt idx="149">
                  <c:v>-0.30834205931828457</c:v>
                </c:pt>
                <c:pt idx="150">
                  <c:v>-0.25914366225483804</c:v>
                </c:pt>
                <c:pt idx="151">
                  <c:v>-0.21703177429415116</c:v>
                </c:pt>
                <c:pt idx="152">
                  <c:v>-0.18112606635654435</c:v>
                </c:pt>
                <c:pt idx="153">
                  <c:v>-0.150630700340423</c:v>
                </c:pt>
                <c:pt idx="154">
                  <c:v>-0.1248305663205342</c:v>
                </c:pt>
                <c:pt idx="155">
                  <c:v>-0.10308685536431463</c:v>
                </c:pt>
                <c:pt idx="156">
                  <c:v>-8.483216452377422E-2</c:v>
                </c:pt>
                <c:pt idx="157">
                  <c:v>-6.9565307691431613E-2</c:v>
                </c:pt>
                <c:pt idx="158">
                  <c:v>-5.6845982621138859E-2</c:v>
                </c:pt>
                <c:pt idx="159">
                  <c:v>-4.6289421267342291E-2</c:v>
                </c:pt>
                <c:pt idx="160">
                  <c:v>-3.7561128309049951E-2</c:v>
                </c:pt>
                <c:pt idx="161">
                  <c:v>-3.0371791780413274E-2</c:v>
                </c:pt>
                <c:pt idx="162">
                  <c:v>-2.4472430482091429E-2</c:v>
                </c:pt>
                <c:pt idx="163">
                  <c:v>-1.9649825532015421E-2</c:v>
                </c:pt>
                <c:pt idx="164">
                  <c:v>-1.5722268161769373E-2</c:v>
                </c:pt>
                <c:pt idx="165">
                  <c:v>-1.2535642716880308E-2</c:v>
                </c:pt>
                <c:pt idx="166">
                  <c:v>-9.9598527431061113E-3</c:v>
                </c:pt>
                <c:pt idx="167">
                  <c:v>-7.8855889448723113E-3</c:v>
                </c:pt>
                <c:pt idx="168">
                  <c:v>-6.2214305507713435E-3</c:v>
                </c:pt>
                <c:pt idx="169">
                  <c:v>-4.891266048241593E-3</c:v>
                </c:pt>
                <c:pt idx="170">
                  <c:v>-3.8320151700973323E-3</c:v>
                </c:pt>
                <c:pt idx="171">
                  <c:v>-2.9916312357523354E-3</c:v>
                </c:pt>
                <c:pt idx="172">
                  <c:v>-2.3273612758140444E-3</c:v>
                </c:pt>
                <c:pt idx="173">
                  <c:v>-1.8042406127238776E-3</c:v>
                </c:pt>
                <c:pt idx="174">
                  <c:v>-1.3937985562759549E-3</c:v>
                </c:pt>
                <c:pt idx="175">
                  <c:v>-1.0729524401807636E-3</c:v>
                </c:pt>
                <c:pt idx="176">
                  <c:v>-8.2306823061019515E-4</c:v>
                </c:pt>
                <c:pt idx="177">
                  <c:v>-6.2916725445211934E-4</c:v>
                </c:pt>
                <c:pt idx="178">
                  <c:v>-4.7926011690214233E-4</c:v>
                </c:pt>
                <c:pt idx="179">
                  <c:v>-3.6379051606061895E-4</c:v>
                </c:pt>
                <c:pt idx="180">
                  <c:v>-2.7517334427701995E-4</c:v>
                </c:pt>
                <c:pt idx="181">
                  <c:v>-2.0741313538430494E-4</c:v>
                </c:pt>
                <c:pt idx="182">
                  <c:v>-1.5579053069895925E-4</c:v>
                </c:pt>
                <c:pt idx="183">
                  <c:v>-1.1660596365342278E-4</c:v>
                </c:pt>
                <c:pt idx="184">
                  <c:v>-8.6971182217182022E-5</c:v>
                </c:pt>
                <c:pt idx="185">
                  <c:v>-6.4640527265121271E-5</c:v>
                </c:pt>
                <c:pt idx="186">
                  <c:v>-4.7875057931013832E-5</c:v>
                </c:pt>
                <c:pt idx="187">
                  <c:v>-3.533366118279155E-5</c:v>
                </c:pt>
                <c:pt idx="188">
                  <c:v>-2.5986205797005788E-5</c:v>
                </c:pt>
                <c:pt idx="189">
                  <c:v>-1.9044606877706782E-5</c:v>
                </c:pt>
                <c:pt idx="190">
                  <c:v>-1.3908364269214981E-5</c:v>
                </c:pt>
                <c:pt idx="191">
                  <c:v>-1.0121736018999041E-5</c:v>
                </c:pt>
                <c:pt idx="192">
                  <c:v>-7.3402163678362471E-6</c:v>
                </c:pt>
                <c:pt idx="193">
                  <c:v>-5.3044165658875138E-6</c:v>
                </c:pt>
                <c:pt idx="194">
                  <c:v>-3.8198058465599969E-6</c:v>
                </c:pt>
                <c:pt idx="195">
                  <c:v>-2.741068324789523E-6</c:v>
                </c:pt>
                <c:pt idx="196">
                  <c:v>-1.9600779293163596E-6</c:v>
                </c:pt>
                <c:pt idx="197">
                  <c:v>-1.3966954600479371E-6</c:v>
                </c:pt>
                <c:pt idx="198">
                  <c:v>-9.91756395966647E-7</c:v>
                </c:pt>
                <c:pt idx="199">
                  <c:v>-7.0175126470923077E-7</c:v>
                </c:pt>
                <c:pt idx="200">
                  <c:v>-4.948075339080439E-7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0AF-4759-B6F8-8BF78F795330}"/>
            </c:ext>
          </c:extLst>
        </c:ser>
        <c:ser>
          <c:idx val="0"/>
          <c:order val="5"/>
          <c:tx>
            <c:strRef>
              <c:f>'subsidence profile with z_0'!$H$6</c:f>
              <c:strCache>
                <c:ptCount val="1"/>
                <c:pt idx="0">
                  <c:v>2.5</c:v>
                </c:pt>
              </c:strCache>
            </c:strRef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none"/>
          </c:marker>
          <c:xVal>
            <c:numRef>
              <c:f>'subsidence profile with z_0'!$B$16:$B$216</c:f>
              <c:numCache>
                <c:formatCode>0.000</c:formatCode>
                <c:ptCount val="201"/>
                <c:pt idx="0">
                  <c:v>-50</c:v>
                </c:pt>
                <c:pt idx="1">
                  <c:v>-49.5</c:v>
                </c:pt>
                <c:pt idx="2">
                  <c:v>-49</c:v>
                </c:pt>
                <c:pt idx="3">
                  <c:v>-48.5</c:v>
                </c:pt>
                <c:pt idx="4">
                  <c:v>-48</c:v>
                </c:pt>
                <c:pt idx="5">
                  <c:v>-47.5</c:v>
                </c:pt>
                <c:pt idx="6">
                  <c:v>-47</c:v>
                </c:pt>
                <c:pt idx="7">
                  <c:v>-46.5</c:v>
                </c:pt>
                <c:pt idx="8">
                  <c:v>-46</c:v>
                </c:pt>
                <c:pt idx="9">
                  <c:v>-45.5</c:v>
                </c:pt>
                <c:pt idx="10">
                  <c:v>-45</c:v>
                </c:pt>
                <c:pt idx="11">
                  <c:v>-44.5</c:v>
                </c:pt>
                <c:pt idx="12">
                  <c:v>-44</c:v>
                </c:pt>
                <c:pt idx="13">
                  <c:v>-43.5</c:v>
                </c:pt>
                <c:pt idx="14">
                  <c:v>-43</c:v>
                </c:pt>
                <c:pt idx="15">
                  <c:v>-42.5</c:v>
                </c:pt>
                <c:pt idx="16">
                  <c:v>-42</c:v>
                </c:pt>
                <c:pt idx="17">
                  <c:v>-41.5</c:v>
                </c:pt>
                <c:pt idx="18">
                  <c:v>-41</c:v>
                </c:pt>
                <c:pt idx="19">
                  <c:v>-40.5</c:v>
                </c:pt>
                <c:pt idx="20">
                  <c:v>-40</c:v>
                </c:pt>
                <c:pt idx="21">
                  <c:v>-39.5</c:v>
                </c:pt>
                <c:pt idx="22">
                  <c:v>-39</c:v>
                </c:pt>
                <c:pt idx="23">
                  <c:v>-38.5</c:v>
                </c:pt>
                <c:pt idx="24">
                  <c:v>-38</c:v>
                </c:pt>
                <c:pt idx="25">
                  <c:v>-37.5</c:v>
                </c:pt>
                <c:pt idx="26">
                  <c:v>-37</c:v>
                </c:pt>
                <c:pt idx="27">
                  <c:v>-36.5</c:v>
                </c:pt>
                <c:pt idx="28">
                  <c:v>-36</c:v>
                </c:pt>
                <c:pt idx="29">
                  <c:v>-35.5</c:v>
                </c:pt>
                <c:pt idx="30">
                  <c:v>-35</c:v>
                </c:pt>
                <c:pt idx="31">
                  <c:v>-34.5</c:v>
                </c:pt>
                <c:pt idx="32">
                  <c:v>-34</c:v>
                </c:pt>
                <c:pt idx="33">
                  <c:v>-33.5</c:v>
                </c:pt>
                <c:pt idx="34">
                  <c:v>-33</c:v>
                </c:pt>
                <c:pt idx="35">
                  <c:v>-32.5</c:v>
                </c:pt>
                <c:pt idx="36">
                  <c:v>-32</c:v>
                </c:pt>
                <c:pt idx="37">
                  <c:v>-31.5</c:v>
                </c:pt>
                <c:pt idx="38">
                  <c:v>-31</c:v>
                </c:pt>
                <c:pt idx="39">
                  <c:v>-30.5</c:v>
                </c:pt>
                <c:pt idx="40">
                  <c:v>-30</c:v>
                </c:pt>
                <c:pt idx="41">
                  <c:v>-29.5</c:v>
                </c:pt>
                <c:pt idx="42">
                  <c:v>-29</c:v>
                </c:pt>
                <c:pt idx="43">
                  <c:v>-28.5</c:v>
                </c:pt>
                <c:pt idx="44">
                  <c:v>-28</c:v>
                </c:pt>
                <c:pt idx="45">
                  <c:v>-27.5</c:v>
                </c:pt>
                <c:pt idx="46">
                  <c:v>-27</c:v>
                </c:pt>
                <c:pt idx="47">
                  <c:v>-26.5</c:v>
                </c:pt>
                <c:pt idx="48">
                  <c:v>-26</c:v>
                </c:pt>
                <c:pt idx="49">
                  <c:v>-25.5</c:v>
                </c:pt>
                <c:pt idx="50">
                  <c:v>-25</c:v>
                </c:pt>
                <c:pt idx="51">
                  <c:v>-24.5</c:v>
                </c:pt>
                <c:pt idx="52">
                  <c:v>-24</c:v>
                </c:pt>
                <c:pt idx="53">
                  <c:v>-23.5</c:v>
                </c:pt>
                <c:pt idx="54">
                  <c:v>-23</c:v>
                </c:pt>
                <c:pt idx="55">
                  <c:v>-22.5</c:v>
                </c:pt>
                <c:pt idx="56">
                  <c:v>-22</c:v>
                </c:pt>
                <c:pt idx="57">
                  <c:v>-21.5</c:v>
                </c:pt>
                <c:pt idx="58">
                  <c:v>-21</c:v>
                </c:pt>
                <c:pt idx="59">
                  <c:v>-20.5</c:v>
                </c:pt>
                <c:pt idx="60">
                  <c:v>-20</c:v>
                </c:pt>
                <c:pt idx="61">
                  <c:v>-19.5</c:v>
                </c:pt>
                <c:pt idx="62">
                  <c:v>-19</c:v>
                </c:pt>
                <c:pt idx="63">
                  <c:v>-18.5</c:v>
                </c:pt>
                <c:pt idx="64">
                  <c:v>-18</c:v>
                </c:pt>
                <c:pt idx="65">
                  <c:v>-17.5</c:v>
                </c:pt>
                <c:pt idx="66">
                  <c:v>-17</c:v>
                </c:pt>
                <c:pt idx="67">
                  <c:v>-16.5</c:v>
                </c:pt>
                <c:pt idx="68">
                  <c:v>-16</c:v>
                </c:pt>
                <c:pt idx="69">
                  <c:v>-15.5</c:v>
                </c:pt>
                <c:pt idx="70">
                  <c:v>-15</c:v>
                </c:pt>
                <c:pt idx="71">
                  <c:v>-14.5</c:v>
                </c:pt>
                <c:pt idx="72">
                  <c:v>-14</c:v>
                </c:pt>
                <c:pt idx="73">
                  <c:v>-13.5</c:v>
                </c:pt>
                <c:pt idx="74">
                  <c:v>-13</c:v>
                </c:pt>
                <c:pt idx="75">
                  <c:v>-12.5</c:v>
                </c:pt>
                <c:pt idx="76">
                  <c:v>-12</c:v>
                </c:pt>
                <c:pt idx="77">
                  <c:v>-11.5</c:v>
                </c:pt>
                <c:pt idx="78">
                  <c:v>-11</c:v>
                </c:pt>
                <c:pt idx="79">
                  <c:v>-10.5</c:v>
                </c:pt>
                <c:pt idx="80">
                  <c:v>-10</c:v>
                </c:pt>
                <c:pt idx="81">
                  <c:v>-9.5</c:v>
                </c:pt>
                <c:pt idx="82">
                  <c:v>-9</c:v>
                </c:pt>
                <c:pt idx="83">
                  <c:v>-8.5</c:v>
                </c:pt>
                <c:pt idx="84">
                  <c:v>-8</c:v>
                </c:pt>
                <c:pt idx="85">
                  <c:v>-7.5</c:v>
                </c:pt>
                <c:pt idx="86">
                  <c:v>-7</c:v>
                </c:pt>
                <c:pt idx="87">
                  <c:v>-6.5</c:v>
                </c:pt>
                <c:pt idx="88">
                  <c:v>-6</c:v>
                </c:pt>
                <c:pt idx="89">
                  <c:v>-5.5</c:v>
                </c:pt>
                <c:pt idx="90">
                  <c:v>-5</c:v>
                </c:pt>
                <c:pt idx="91">
                  <c:v>-4.5</c:v>
                </c:pt>
                <c:pt idx="92">
                  <c:v>-4</c:v>
                </c:pt>
                <c:pt idx="93">
                  <c:v>-3.5</c:v>
                </c:pt>
                <c:pt idx="94">
                  <c:v>-3</c:v>
                </c:pt>
                <c:pt idx="95">
                  <c:v>-2.5</c:v>
                </c:pt>
                <c:pt idx="96">
                  <c:v>-2</c:v>
                </c:pt>
                <c:pt idx="97">
                  <c:v>-1.5</c:v>
                </c:pt>
                <c:pt idx="98">
                  <c:v>-1</c:v>
                </c:pt>
                <c:pt idx="99">
                  <c:v>-0.5</c:v>
                </c:pt>
                <c:pt idx="100">
                  <c:v>0</c:v>
                </c:pt>
                <c:pt idx="101">
                  <c:v>0.5</c:v>
                </c:pt>
                <c:pt idx="102">
                  <c:v>1</c:v>
                </c:pt>
                <c:pt idx="103">
                  <c:v>1.5</c:v>
                </c:pt>
                <c:pt idx="104">
                  <c:v>2</c:v>
                </c:pt>
                <c:pt idx="105">
                  <c:v>2.5</c:v>
                </c:pt>
                <c:pt idx="106">
                  <c:v>3</c:v>
                </c:pt>
                <c:pt idx="107">
                  <c:v>3.5</c:v>
                </c:pt>
                <c:pt idx="108">
                  <c:v>4</c:v>
                </c:pt>
                <c:pt idx="109">
                  <c:v>4.5</c:v>
                </c:pt>
                <c:pt idx="110">
                  <c:v>5</c:v>
                </c:pt>
                <c:pt idx="111">
                  <c:v>5.5</c:v>
                </c:pt>
                <c:pt idx="112">
                  <c:v>6</c:v>
                </c:pt>
                <c:pt idx="113">
                  <c:v>6.5</c:v>
                </c:pt>
                <c:pt idx="114">
                  <c:v>7</c:v>
                </c:pt>
                <c:pt idx="115">
                  <c:v>7.5</c:v>
                </c:pt>
                <c:pt idx="116">
                  <c:v>8</c:v>
                </c:pt>
                <c:pt idx="117">
                  <c:v>8.5</c:v>
                </c:pt>
                <c:pt idx="118">
                  <c:v>9</c:v>
                </c:pt>
                <c:pt idx="119">
                  <c:v>9.5</c:v>
                </c:pt>
                <c:pt idx="120">
                  <c:v>10</c:v>
                </c:pt>
                <c:pt idx="121">
                  <c:v>10.5</c:v>
                </c:pt>
                <c:pt idx="122">
                  <c:v>11</c:v>
                </c:pt>
                <c:pt idx="123">
                  <c:v>11.5</c:v>
                </c:pt>
                <c:pt idx="124">
                  <c:v>12</c:v>
                </c:pt>
                <c:pt idx="125">
                  <c:v>12.5</c:v>
                </c:pt>
                <c:pt idx="126">
                  <c:v>13</c:v>
                </c:pt>
                <c:pt idx="127">
                  <c:v>13.5</c:v>
                </c:pt>
                <c:pt idx="128">
                  <c:v>14</c:v>
                </c:pt>
                <c:pt idx="129">
                  <c:v>14.5</c:v>
                </c:pt>
                <c:pt idx="130">
                  <c:v>15</c:v>
                </c:pt>
                <c:pt idx="131">
                  <c:v>15.5</c:v>
                </c:pt>
                <c:pt idx="132">
                  <c:v>16</c:v>
                </c:pt>
                <c:pt idx="133">
                  <c:v>16.5</c:v>
                </c:pt>
                <c:pt idx="134">
                  <c:v>17</c:v>
                </c:pt>
                <c:pt idx="135">
                  <c:v>17.5</c:v>
                </c:pt>
                <c:pt idx="136">
                  <c:v>18</c:v>
                </c:pt>
                <c:pt idx="137">
                  <c:v>18.5</c:v>
                </c:pt>
                <c:pt idx="138">
                  <c:v>19</c:v>
                </c:pt>
                <c:pt idx="139">
                  <c:v>19.5</c:v>
                </c:pt>
                <c:pt idx="140">
                  <c:v>20</c:v>
                </c:pt>
                <c:pt idx="141">
                  <c:v>20.5</c:v>
                </c:pt>
                <c:pt idx="142">
                  <c:v>21</c:v>
                </c:pt>
                <c:pt idx="143">
                  <c:v>21.5</c:v>
                </c:pt>
                <c:pt idx="144">
                  <c:v>22</c:v>
                </c:pt>
                <c:pt idx="145">
                  <c:v>22.5</c:v>
                </c:pt>
                <c:pt idx="146">
                  <c:v>23</c:v>
                </c:pt>
                <c:pt idx="147">
                  <c:v>23.5</c:v>
                </c:pt>
                <c:pt idx="148">
                  <c:v>24</c:v>
                </c:pt>
                <c:pt idx="149">
                  <c:v>24.5</c:v>
                </c:pt>
                <c:pt idx="150">
                  <c:v>25</c:v>
                </c:pt>
                <c:pt idx="151">
                  <c:v>25.5</c:v>
                </c:pt>
                <c:pt idx="152">
                  <c:v>26</c:v>
                </c:pt>
                <c:pt idx="153">
                  <c:v>26.5</c:v>
                </c:pt>
                <c:pt idx="154">
                  <c:v>27</c:v>
                </c:pt>
                <c:pt idx="155">
                  <c:v>27.5</c:v>
                </c:pt>
                <c:pt idx="156">
                  <c:v>28</c:v>
                </c:pt>
                <c:pt idx="157">
                  <c:v>28.5</c:v>
                </c:pt>
                <c:pt idx="158">
                  <c:v>29</c:v>
                </c:pt>
                <c:pt idx="159">
                  <c:v>29.5</c:v>
                </c:pt>
                <c:pt idx="160">
                  <c:v>30</c:v>
                </c:pt>
                <c:pt idx="161">
                  <c:v>30.5</c:v>
                </c:pt>
                <c:pt idx="162">
                  <c:v>31</c:v>
                </c:pt>
                <c:pt idx="163">
                  <c:v>31.5</c:v>
                </c:pt>
                <c:pt idx="164">
                  <c:v>32</c:v>
                </c:pt>
                <c:pt idx="165">
                  <c:v>32.5</c:v>
                </c:pt>
                <c:pt idx="166">
                  <c:v>33</c:v>
                </c:pt>
                <c:pt idx="167">
                  <c:v>33.5</c:v>
                </c:pt>
                <c:pt idx="168">
                  <c:v>34</c:v>
                </c:pt>
                <c:pt idx="169">
                  <c:v>34.5</c:v>
                </c:pt>
                <c:pt idx="170">
                  <c:v>35</c:v>
                </c:pt>
                <c:pt idx="171">
                  <c:v>35.5</c:v>
                </c:pt>
                <c:pt idx="172">
                  <c:v>36</c:v>
                </c:pt>
                <c:pt idx="173">
                  <c:v>36.5</c:v>
                </c:pt>
                <c:pt idx="174">
                  <c:v>37</c:v>
                </c:pt>
                <c:pt idx="175">
                  <c:v>37.5</c:v>
                </c:pt>
                <c:pt idx="176">
                  <c:v>38</c:v>
                </c:pt>
                <c:pt idx="177">
                  <c:v>38.5</c:v>
                </c:pt>
                <c:pt idx="178">
                  <c:v>39</c:v>
                </c:pt>
                <c:pt idx="179">
                  <c:v>39.5</c:v>
                </c:pt>
                <c:pt idx="180">
                  <c:v>40</c:v>
                </c:pt>
                <c:pt idx="181">
                  <c:v>40.5</c:v>
                </c:pt>
                <c:pt idx="182">
                  <c:v>41</c:v>
                </c:pt>
                <c:pt idx="183">
                  <c:v>41.5</c:v>
                </c:pt>
                <c:pt idx="184">
                  <c:v>42</c:v>
                </c:pt>
                <c:pt idx="185">
                  <c:v>42.5</c:v>
                </c:pt>
                <c:pt idx="186">
                  <c:v>43</c:v>
                </c:pt>
                <c:pt idx="187">
                  <c:v>43.5</c:v>
                </c:pt>
                <c:pt idx="188">
                  <c:v>44</c:v>
                </c:pt>
                <c:pt idx="189">
                  <c:v>44.5</c:v>
                </c:pt>
                <c:pt idx="190">
                  <c:v>45</c:v>
                </c:pt>
                <c:pt idx="191">
                  <c:v>45.5</c:v>
                </c:pt>
                <c:pt idx="192">
                  <c:v>46</c:v>
                </c:pt>
                <c:pt idx="193">
                  <c:v>46.5</c:v>
                </c:pt>
                <c:pt idx="194">
                  <c:v>47</c:v>
                </c:pt>
                <c:pt idx="195">
                  <c:v>47.5</c:v>
                </c:pt>
                <c:pt idx="196">
                  <c:v>48</c:v>
                </c:pt>
                <c:pt idx="197">
                  <c:v>48.5</c:v>
                </c:pt>
                <c:pt idx="198">
                  <c:v>49</c:v>
                </c:pt>
                <c:pt idx="199">
                  <c:v>49.5</c:v>
                </c:pt>
                <c:pt idx="200">
                  <c:v>50</c:v>
                </c:pt>
              </c:numCache>
            </c:numRef>
          </c:xVal>
          <c:yVal>
            <c:numRef>
              <c:f>'subsidence profile with z_0'!$H$16:$H$216</c:f>
              <c:numCache>
                <c:formatCode>0.000</c:formatCode>
                <c:ptCount val="201"/>
                <c:pt idx="0">
                  <c:v>-8.8157752222011137E-5</c:v>
                </c:pt>
                <c:pt idx="1">
                  <c:v>-1.1236739177701235E-4</c:v>
                </c:pt>
                <c:pt idx="2">
                  <c:v>-1.4287656448756753E-4</c:v>
                </c:pt>
                <c:pt idx="3">
                  <c:v>-1.8122687600427364E-4</c:v>
                </c:pt>
                <c:pt idx="4">
                  <c:v>-2.2931112023084999E-4</c:v>
                </c:pt>
                <c:pt idx="5">
                  <c:v>-2.8944665459446035E-4</c:v>
                </c:pt>
                <c:pt idx="6">
                  <c:v>-3.6446250803876841E-4</c:v>
                </c:pt>
                <c:pt idx="7">
                  <c:v>-4.5780242739408409E-4</c:v>
                </c:pt>
                <c:pt idx="8">
                  <c:v>-5.7364634309045408E-4</c:v>
                </c:pt>
                <c:pt idx="9">
                  <c:v>-7.1705302825471893E-4</c:v>
                </c:pt>
                <c:pt idx="10">
                  <c:v>-8.9412703348396971E-4</c:v>
                </c:pt>
                <c:pt idx="11">
                  <c:v>-1.1122132993446187E-3</c:v>
                </c:pt>
                <c:pt idx="12">
                  <c:v>-1.3801231749859071E-3</c:v>
                </c:pt>
                <c:pt idx="13">
                  <c:v>-1.7083958978343693E-3</c:v>
                </c:pt>
                <c:pt idx="14">
                  <c:v>-2.1095999082180079E-3</c:v>
                </c:pt>
                <c:pt idx="15">
                  <c:v>-2.5986786742763107E-3</c:v>
                </c:pt>
                <c:pt idx="16">
                  <c:v>-3.1933459750811098E-3</c:v>
                </c:pt>
                <c:pt idx="17">
                  <c:v>-3.9145358199653415E-3</c:v>
                </c:pt>
                <c:pt idx="18">
                  <c:v>-4.7869123540053736E-3</c:v>
                </c:pt>
                <c:pt idx="19">
                  <c:v>-5.8394451957114917E-3</c:v>
                </c:pt>
                <c:pt idx="20">
                  <c:v>-7.1060556534821365E-3</c:v>
                </c:pt>
                <c:pt idx="21">
                  <c:v>-8.62633915056772E-3</c:v>
                </c:pt>
                <c:pt idx="22">
                  <c:v>-1.044636893073359E-2</c:v>
                </c:pt>
                <c:pt idx="23">
                  <c:v>-1.2619585693648249E-2</c:v>
                </c:pt>
                <c:pt idx="24">
                  <c:v>-1.5207777194384174E-2</c:v>
                </c:pt>
                <c:pt idx="25">
                  <c:v>-1.8282151008975699E-2</c:v>
                </c:pt>
                <c:pt idx="26">
                  <c:v>-2.1924502591616723E-2</c:v>
                </c:pt>
                <c:pt idx="27">
                  <c:v>-2.622847940371454E-2</c:v>
                </c:pt>
                <c:pt idx="28">
                  <c:v>-3.1300940257541619E-2</c:v>
                </c:pt>
                <c:pt idx="29">
                  <c:v>-3.7263407067609736E-2</c:v>
                </c:pt>
                <c:pt idx="30">
                  <c:v>-4.4253603925374765E-2</c:v>
                </c:pt>
                <c:pt idx="31">
                  <c:v>-5.2427075797307002E-2</c:v>
                </c:pt>
                <c:pt idx="32">
                  <c:v>-6.1958876189575816E-2</c:v>
                </c:pt>
                <c:pt idx="33">
                  <c:v>-7.3045309829887356E-2</c:v>
                </c:pt>
                <c:pt idx="34">
                  <c:v>-8.5905712803595519E-2</c:v>
                </c:pt>
                <c:pt idx="35">
                  <c:v>-0.10078424867362769</c:v>
                </c:pt>
                <c:pt idx="36">
                  <c:v>-0.11795169495125661</c:v>
                </c:pt>
                <c:pt idx="37">
                  <c:v>-0.13770718992039513</c:v>
                </c:pt>
                <c:pt idx="38">
                  <c:v>-0.16037990531976393</c:v>
                </c:pt>
                <c:pt idx="39">
                  <c:v>-0.18633060583834379</c:v>
                </c:pt>
                <c:pt idx="40">
                  <c:v>-0.21595305187903172</c:v>
                </c:pt>
                <c:pt idx="41">
                  <c:v>-0.24967519770803537</c:v>
                </c:pt>
                <c:pt idx="42">
                  <c:v>-0.2879601330627648</c:v>
                </c:pt>
                <c:pt idx="43">
                  <c:v>-0.331306712681955</c:v>
                </c:pt>
                <c:pt idx="44">
                  <c:v>-0.38024981520328011</c:v>
                </c:pt>
                <c:pt idx="45">
                  <c:v>-0.4353601706097347</c:v>
                </c:pt>
                <c:pt idx="46">
                  <c:v>-0.4972436940663057</c:v>
                </c:pt>
                <c:pt idx="47">
                  <c:v>-0.56654026374455901</c:v>
                </c:pt>
                <c:pt idx="48">
                  <c:v>-0.64392188125352945</c:v>
                </c:pt>
                <c:pt idx="49">
                  <c:v>-0.73009015574151626</c:v>
                </c:pt>
                <c:pt idx="50">
                  <c:v>-0.8257730567520366</c:v>
                </c:pt>
                <c:pt idx="51">
                  <c:v>-0.93172088663526631</c:v>
                </c:pt>
                <c:pt idx="52">
                  <c:v>-1.048701430834361</c:v>
                </c:pt>
                <c:pt idx="53">
                  <c:v>-1.1774942537517938</c:v>
                </c:pt>
                <c:pt idx="54">
                  <c:v>-1.3188841191826426</c:v>
                </c:pt>
                <c:pt idx="55">
                  <c:v>-1.4736535274626614</c:v>
                </c:pt>
                <c:pt idx="56">
                  <c:v>-1.6425743764515319</c:v>
                </c:pt>
                <c:pt idx="57">
                  <c:v>-1.8263987701330695</c:v>
                </c:pt>
                <c:pt idx="58">
                  <c:v>-2.025849016783225</c:v>
                </c:pt>
                <c:pt idx="59">
                  <c:v>-2.2416068780917642</c:v>
                </c:pt>
                <c:pt idx="60">
                  <c:v>-2.4743021510219529</c:v>
                </c:pt>
                <c:pt idx="61">
                  <c:v>-2.7245006851926989</c:v>
                </c:pt>
                <c:pt idx="62">
                  <c:v>-2.9926919597516632</c:v>
                </c:pt>
                <c:pt idx="63">
                  <c:v>-3.2792763646081142</c:v>
                </c:pt>
                <c:pt idx="64">
                  <c:v>-3.5845523510003101</c:v>
                </c:pt>
                <c:pt idx="65">
                  <c:v>-3.908703635141157</c:v>
                </c:pt>
                <c:pt idx="66">
                  <c:v>-4.2517866555540982</c:v>
                </c:pt>
                <c:pt idx="67">
                  <c:v>-4.6137184991081082</c:v>
                </c:pt>
                <c:pt idx="68">
                  <c:v>-4.9942655221239383</c:v>
                </c:pt>
                <c:pt idx="69">
                  <c:v>-5.3930329007160323</c:v>
                </c:pt>
                <c:pt idx="70">
                  <c:v>-5.809455348260177</c:v>
                </c:pt>
                <c:pt idx="71">
                  <c:v>-6.2427892371004301</c:v>
                </c:pt>
                <c:pt idx="72">
                  <c:v>-6.6921063559710667</c:v>
                </c:pt>
                <c:pt idx="73">
                  <c:v>-7.1562895238446531</c:v>
                </c:pt>
                <c:pt idx="74">
                  <c:v>-7.6340302648686498</c:v>
                </c:pt>
                <c:pt idx="75">
                  <c:v>-8.123828727683545</c:v>
                </c:pt>
                <c:pt idx="76">
                  <c:v>-8.6239960058207412</c:v>
                </c:pt>
                <c:pt idx="77">
                  <c:v>-9.1326589842910497</c:v>
                </c:pt>
                <c:pt idx="78">
                  <c:v>-9.6477678012696373</c:v>
                </c:pt>
                <c:pt idx="79">
                  <c:v>-10.167105973475852</c:v>
                </c:pt>
                <c:pt idx="80">
                  <c:v>-10.688303190087941</c:v>
                </c:pt>
                <c:pt idx="81">
                  <c:v>-11.208850733600638</c:v>
                </c:pt>
                <c:pt idx="82">
                  <c:v>-11.726119437818369</c:v>
                </c:pt>
                <c:pt idx="83">
                  <c:v>-12.23738004416292</c:v>
                </c:pt>
                <c:pt idx="84">
                  <c:v>-12.739825768719593</c:v>
                </c:pt>
                <c:pt idx="85">
                  <c:v>-13.230596845055295</c:v>
                </c:pt>
                <c:pt idx="86">
                  <c:v>-13.706806762940833</c:v>
                </c:pt>
                <c:pt idx="87">
                  <c:v>-14.165569881812674</c:v>
                </c:pt>
                <c:pt idx="88">
                  <c:v>-14.604030061190977</c:v>
                </c:pt>
                <c:pt idx="89">
                  <c:v>-15.019389919332825</c:v>
                </c:pt>
                <c:pt idx="90">
                  <c:v>-15.408940307042517</c:v>
                </c:pt>
                <c:pt idx="91">
                  <c:v>-15.770089566554367</c:v>
                </c:pt>
                <c:pt idx="92">
                  <c:v>-16.100392136361656</c:v>
                </c:pt>
                <c:pt idx="93">
                  <c:v>-16.397576062225205</c:v>
                </c:pt>
                <c:pt idx="94">
                  <c:v>-16.659568982598145</c:v>
                </c:pt>
                <c:pt idx="95">
                  <c:v>-16.884522173386291</c:v>
                </c:pt>
                <c:pt idx="96">
                  <c:v>-17.070832262149121</c:v>
                </c:pt>
                <c:pt idx="97">
                  <c:v>-17.217160255146116</c:v>
                </c:pt>
                <c:pt idx="98">
                  <c:v>-17.322447561452101</c:v>
                </c:pt>
                <c:pt idx="99">
                  <c:v>-17.385928745915265</c:v>
                </c:pt>
                <c:pt idx="100">
                  <c:v>-17.407140796048619</c:v>
                </c:pt>
                <c:pt idx="101">
                  <c:v>-17.385928745915265</c:v>
                </c:pt>
                <c:pt idx="102">
                  <c:v>-17.322447561452101</c:v>
                </c:pt>
                <c:pt idx="103">
                  <c:v>-17.217160255146116</c:v>
                </c:pt>
                <c:pt idx="104">
                  <c:v>-17.070832262149121</c:v>
                </c:pt>
                <c:pt idx="105">
                  <c:v>-16.884522173386291</c:v>
                </c:pt>
                <c:pt idx="106">
                  <c:v>-16.659568982598145</c:v>
                </c:pt>
                <c:pt idx="107">
                  <c:v>-16.397576062225205</c:v>
                </c:pt>
                <c:pt idx="108">
                  <c:v>-16.100392136361656</c:v>
                </c:pt>
                <c:pt idx="109">
                  <c:v>-15.770089566554367</c:v>
                </c:pt>
                <c:pt idx="110">
                  <c:v>-15.408940307042517</c:v>
                </c:pt>
                <c:pt idx="111">
                  <c:v>-15.019389919332825</c:v>
                </c:pt>
                <c:pt idx="112">
                  <c:v>-14.604030061190977</c:v>
                </c:pt>
                <c:pt idx="113">
                  <c:v>-14.165569881812674</c:v>
                </c:pt>
                <c:pt idx="114">
                  <c:v>-13.706806762940833</c:v>
                </c:pt>
                <c:pt idx="115">
                  <c:v>-13.230596845055295</c:v>
                </c:pt>
                <c:pt idx="116">
                  <c:v>-12.739825768719593</c:v>
                </c:pt>
                <c:pt idx="117">
                  <c:v>-12.23738004416292</c:v>
                </c:pt>
                <c:pt idx="118">
                  <c:v>-11.726119437818369</c:v>
                </c:pt>
                <c:pt idx="119">
                  <c:v>-11.208850733600638</c:v>
                </c:pt>
                <c:pt idx="120">
                  <c:v>-10.688303190087941</c:v>
                </c:pt>
                <c:pt idx="121">
                  <c:v>-10.167105973475852</c:v>
                </c:pt>
                <c:pt idx="122">
                  <c:v>-9.6477678012696373</c:v>
                </c:pt>
                <c:pt idx="123">
                  <c:v>-9.1326589842910497</c:v>
                </c:pt>
                <c:pt idx="124">
                  <c:v>-8.6239960058207412</c:v>
                </c:pt>
                <c:pt idx="125">
                  <c:v>-8.123828727683545</c:v>
                </c:pt>
                <c:pt idx="126">
                  <c:v>-7.6340302648686498</c:v>
                </c:pt>
                <c:pt idx="127">
                  <c:v>-7.1562895238446531</c:v>
                </c:pt>
                <c:pt idx="128">
                  <c:v>-6.6921063559710667</c:v>
                </c:pt>
                <c:pt idx="129">
                  <c:v>-6.2427892371004301</c:v>
                </c:pt>
                <c:pt idx="130">
                  <c:v>-5.809455348260177</c:v>
                </c:pt>
                <c:pt idx="131">
                  <c:v>-5.3930329007160323</c:v>
                </c:pt>
                <c:pt idx="132">
                  <c:v>-4.9942655221239383</c:v>
                </c:pt>
                <c:pt idx="133">
                  <c:v>-4.6137184991081082</c:v>
                </c:pt>
                <c:pt idx="134">
                  <c:v>-4.2517866555540982</c:v>
                </c:pt>
                <c:pt idx="135">
                  <c:v>-3.908703635141157</c:v>
                </c:pt>
                <c:pt idx="136">
                  <c:v>-3.5845523510003101</c:v>
                </c:pt>
                <c:pt idx="137">
                  <c:v>-3.2792763646081142</c:v>
                </c:pt>
                <c:pt idx="138">
                  <c:v>-2.9926919597516632</c:v>
                </c:pt>
                <c:pt idx="139">
                  <c:v>-2.7245006851926989</c:v>
                </c:pt>
                <c:pt idx="140">
                  <c:v>-2.4743021510219529</c:v>
                </c:pt>
                <c:pt idx="141">
                  <c:v>-2.2416068780917642</c:v>
                </c:pt>
                <c:pt idx="142">
                  <c:v>-2.025849016783225</c:v>
                </c:pt>
                <c:pt idx="143">
                  <c:v>-1.8263987701330695</c:v>
                </c:pt>
                <c:pt idx="144">
                  <c:v>-1.6425743764515319</c:v>
                </c:pt>
                <c:pt idx="145">
                  <c:v>-1.4736535274626614</c:v>
                </c:pt>
                <c:pt idx="146">
                  <c:v>-1.3188841191826426</c:v>
                </c:pt>
                <c:pt idx="147">
                  <c:v>-1.1774942537517938</c:v>
                </c:pt>
                <c:pt idx="148">
                  <c:v>-1.048701430834361</c:v>
                </c:pt>
                <c:pt idx="149">
                  <c:v>-0.93172088663526631</c:v>
                </c:pt>
                <c:pt idx="150">
                  <c:v>-0.8257730567520366</c:v>
                </c:pt>
                <c:pt idx="151">
                  <c:v>-0.73009015574151626</c:v>
                </c:pt>
                <c:pt idx="152">
                  <c:v>-0.64392188125352945</c:v>
                </c:pt>
                <c:pt idx="153">
                  <c:v>-0.56654026374455901</c:v>
                </c:pt>
                <c:pt idx="154">
                  <c:v>-0.4972436940663057</c:v>
                </c:pt>
                <c:pt idx="155">
                  <c:v>-0.4353601706097347</c:v>
                </c:pt>
                <c:pt idx="156">
                  <c:v>-0.38024981520328011</c:v>
                </c:pt>
                <c:pt idx="157">
                  <c:v>-0.331306712681955</c:v>
                </c:pt>
                <c:pt idx="158">
                  <c:v>-0.2879601330627648</c:v>
                </c:pt>
                <c:pt idx="159">
                  <c:v>-0.24967519770803537</c:v>
                </c:pt>
                <c:pt idx="160">
                  <c:v>-0.21595305187903172</c:v>
                </c:pt>
                <c:pt idx="161">
                  <c:v>-0.18633060583834379</c:v>
                </c:pt>
                <c:pt idx="162">
                  <c:v>-0.16037990531976393</c:v>
                </c:pt>
                <c:pt idx="163">
                  <c:v>-0.13770718992039513</c:v>
                </c:pt>
                <c:pt idx="164">
                  <c:v>-0.11795169495125661</c:v>
                </c:pt>
                <c:pt idx="165">
                  <c:v>-0.10078424867362769</c:v>
                </c:pt>
                <c:pt idx="166">
                  <c:v>-8.5905712803595519E-2</c:v>
                </c:pt>
                <c:pt idx="167">
                  <c:v>-7.3045309829887356E-2</c:v>
                </c:pt>
                <c:pt idx="168">
                  <c:v>-6.1958876189575816E-2</c:v>
                </c:pt>
                <c:pt idx="169">
                  <c:v>-5.2427075797307002E-2</c:v>
                </c:pt>
                <c:pt idx="170">
                  <c:v>-4.4253603925374765E-2</c:v>
                </c:pt>
                <c:pt idx="171">
                  <c:v>-3.7263407067609736E-2</c:v>
                </c:pt>
                <c:pt idx="172">
                  <c:v>-3.1300940257541619E-2</c:v>
                </c:pt>
                <c:pt idx="173">
                  <c:v>-2.622847940371454E-2</c:v>
                </c:pt>
                <c:pt idx="174">
                  <c:v>-2.1924502591616723E-2</c:v>
                </c:pt>
                <c:pt idx="175">
                  <c:v>-1.8282151008975699E-2</c:v>
                </c:pt>
                <c:pt idx="176">
                  <c:v>-1.5207777194384174E-2</c:v>
                </c:pt>
                <c:pt idx="177">
                  <c:v>-1.2619585693648249E-2</c:v>
                </c:pt>
                <c:pt idx="178">
                  <c:v>-1.044636893073359E-2</c:v>
                </c:pt>
                <c:pt idx="179">
                  <c:v>-8.62633915056772E-3</c:v>
                </c:pt>
                <c:pt idx="180">
                  <c:v>-7.1060556534821365E-3</c:v>
                </c:pt>
                <c:pt idx="181">
                  <c:v>-5.8394451957114917E-3</c:v>
                </c:pt>
                <c:pt idx="182">
                  <c:v>-4.7869123540053736E-3</c:v>
                </c:pt>
                <c:pt idx="183">
                  <c:v>-3.9145358199653415E-3</c:v>
                </c:pt>
                <c:pt idx="184">
                  <c:v>-3.1933459750811098E-3</c:v>
                </c:pt>
                <c:pt idx="185">
                  <c:v>-2.5986786742763107E-3</c:v>
                </c:pt>
                <c:pt idx="186">
                  <c:v>-2.1095999082180079E-3</c:v>
                </c:pt>
                <c:pt idx="187">
                  <c:v>-1.7083958978343693E-3</c:v>
                </c:pt>
                <c:pt idx="188">
                  <c:v>-1.3801231749859071E-3</c:v>
                </c:pt>
                <c:pt idx="189">
                  <c:v>-1.1122132993446187E-3</c:v>
                </c:pt>
                <c:pt idx="190">
                  <c:v>-8.9412703348396971E-4</c:v>
                </c:pt>
                <c:pt idx="191">
                  <c:v>-7.1705302825471893E-4</c:v>
                </c:pt>
                <c:pt idx="192">
                  <c:v>-5.7364634309045408E-4</c:v>
                </c:pt>
                <c:pt idx="193">
                  <c:v>-4.5780242739408409E-4</c:v>
                </c:pt>
                <c:pt idx="194">
                  <c:v>-3.6446250803876841E-4</c:v>
                </c:pt>
                <c:pt idx="195">
                  <c:v>-2.8944665459446035E-4</c:v>
                </c:pt>
                <c:pt idx="196">
                  <c:v>-2.2931112023084999E-4</c:v>
                </c:pt>
                <c:pt idx="197">
                  <c:v>-1.8122687600427364E-4</c:v>
                </c:pt>
                <c:pt idx="198">
                  <c:v>-1.4287656448756753E-4</c:v>
                </c:pt>
                <c:pt idx="199">
                  <c:v>-1.1236739177701235E-4</c:v>
                </c:pt>
                <c:pt idx="200">
                  <c:v>-8.8157752222011137E-5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0AF-4759-B6F8-8BF78F795330}"/>
            </c:ext>
          </c:extLst>
        </c:ser>
        <c:ser>
          <c:idx val="0"/>
          <c:order val="6"/>
          <c:tx>
            <c:strRef>
              <c:f>'subsidence profile with z_0'!$I$6</c:f>
              <c:strCache>
                <c:ptCount val="1"/>
                <c:pt idx="0">
                  <c:v>3</c:v>
                </c:pt>
              </c:strCache>
            </c:strRef>
          </c:tx>
          <c:spPr>
            <a:ln w="381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'subsidence profile with z_0'!$B$16:$B$216</c:f>
              <c:numCache>
                <c:formatCode>0.000</c:formatCode>
                <c:ptCount val="201"/>
                <c:pt idx="0">
                  <c:v>-50</c:v>
                </c:pt>
                <c:pt idx="1">
                  <c:v>-49.5</c:v>
                </c:pt>
                <c:pt idx="2">
                  <c:v>-49</c:v>
                </c:pt>
                <c:pt idx="3">
                  <c:v>-48.5</c:v>
                </c:pt>
                <c:pt idx="4">
                  <c:v>-48</c:v>
                </c:pt>
                <c:pt idx="5">
                  <c:v>-47.5</c:v>
                </c:pt>
                <c:pt idx="6">
                  <c:v>-47</c:v>
                </c:pt>
                <c:pt idx="7">
                  <c:v>-46.5</c:v>
                </c:pt>
                <c:pt idx="8">
                  <c:v>-46</c:v>
                </c:pt>
                <c:pt idx="9">
                  <c:v>-45.5</c:v>
                </c:pt>
                <c:pt idx="10">
                  <c:v>-45</c:v>
                </c:pt>
                <c:pt idx="11">
                  <c:v>-44.5</c:v>
                </c:pt>
                <c:pt idx="12">
                  <c:v>-44</c:v>
                </c:pt>
                <c:pt idx="13">
                  <c:v>-43.5</c:v>
                </c:pt>
                <c:pt idx="14">
                  <c:v>-43</c:v>
                </c:pt>
                <c:pt idx="15">
                  <c:v>-42.5</c:v>
                </c:pt>
                <c:pt idx="16">
                  <c:v>-42</c:v>
                </c:pt>
                <c:pt idx="17">
                  <c:v>-41.5</c:v>
                </c:pt>
                <c:pt idx="18">
                  <c:v>-41</c:v>
                </c:pt>
                <c:pt idx="19">
                  <c:v>-40.5</c:v>
                </c:pt>
                <c:pt idx="20">
                  <c:v>-40</c:v>
                </c:pt>
                <c:pt idx="21">
                  <c:v>-39.5</c:v>
                </c:pt>
                <c:pt idx="22">
                  <c:v>-39</c:v>
                </c:pt>
                <c:pt idx="23">
                  <c:v>-38.5</c:v>
                </c:pt>
                <c:pt idx="24">
                  <c:v>-38</c:v>
                </c:pt>
                <c:pt idx="25">
                  <c:v>-37.5</c:v>
                </c:pt>
                <c:pt idx="26">
                  <c:v>-37</c:v>
                </c:pt>
                <c:pt idx="27">
                  <c:v>-36.5</c:v>
                </c:pt>
                <c:pt idx="28">
                  <c:v>-36</c:v>
                </c:pt>
                <c:pt idx="29">
                  <c:v>-35.5</c:v>
                </c:pt>
                <c:pt idx="30">
                  <c:v>-35</c:v>
                </c:pt>
                <c:pt idx="31">
                  <c:v>-34.5</c:v>
                </c:pt>
                <c:pt idx="32">
                  <c:v>-34</c:v>
                </c:pt>
                <c:pt idx="33">
                  <c:v>-33.5</c:v>
                </c:pt>
                <c:pt idx="34">
                  <c:v>-33</c:v>
                </c:pt>
                <c:pt idx="35">
                  <c:v>-32.5</c:v>
                </c:pt>
                <c:pt idx="36">
                  <c:v>-32</c:v>
                </c:pt>
                <c:pt idx="37">
                  <c:v>-31.5</c:v>
                </c:pt>
                <c:pt idx="38">
                  <c:v>-31</c:v>
                </c:pt>
                <c:pt idx="39">
                  <c:v>-30.5</c:v>
                </c:pt>
                <c:pt idx="40">
                  <c:v>-30</c:v>
                </c:pt>
                <c:pt idx="41">
                  <c:v>-29.5</c:v>
                </c:pt>
                <c:pt idx="42">
                  <c:v>-29</c:v>
                </c:pt>
                <c:pt idx="43">
                  <c:v>-28.5</c:v>
                </c:pt>
                <c:pt idx="44">
                  <c:v>-28</c:v>
                </c:pt>
                <c:pt idx="45">
                  <c:v>-27.5</c:v>
                </c:pt>
                <c:pt idx="46">
                  <c:v>-27</c:v>
                </c:pt>
                <c:pt idx="47">
                  <c:v>-26.5</c:v>
                </c:pt>
                <c:pt idx="48">
                  <c:v>-26</c:v>
                </c:pt>
                <c:pt idx="49">
                  <c:v>-25.5</c:v>
                </c:pt>
                <c:pt idx="50">
                  <c:v>-25</c:v>
                </c:pt>
                <c:pt idx="51">
                  <c:v>-24.5</c:v>
                </c:pt>
                <c:pt idx="52">
                  <c:v>-24</c:v>
                </c:pt>
                <c:pt idx="53">
                  <c:v>-23.5</c:v>
                </c:pt>
                <c:pt idx="54">
                  <c:v>-23</c:v>
                </c:pt>
                <c:pt idx="55">
                  <c:v>-22.5</c:v>
                </c:pt>
                <c:pt idx="56">
                  <c:v>-22</c:v>
                </c:pt>
                <c:pt idx="57">
                  <c:v>-21.5</c:v>
                </c:pt>
                <c:pt idx="58">
                  <c:v>-21</c:v>
                </c:pt>
                <c:pt idx="59">
                  <c:v>-20.5</c:v>
                </c:pt>
                <c:pt idx="60">
                  <c:v>-20</c:v>
                </c:pt>
                <c:pt idx="61">
                  <c:v>-19.5</c:v>
                </c:pt>
                <c:pt idx="62">
                  <c:v>-19</c:v>
                </c:pt>
                <c:pt idx="63">
                  <c:v>-18.5</c:v>
                </c:pt>
                <c:pt idx="64">
                  <c:v>-18</c:v>
                </c:pt>
                <c:pt idx="65">
                  <c:v>-17.5</c:v>
                </c:pt>
                <c:pt idx="66">
                  <c:v>-17</c:v>
                </c:pt>
                <c:pt idx="67">
                  <c:v>-16.5</c:v>
                </c:pt>
                <c:pt idx="68">
                  <c:v>-16</c:v>
                </c:pt>
                <c:pt idx="69">
                  <c:v>-15.5</c:v>
                </c:pt>
                <c:pt idx="70">
                  <c:v>-15</c:v>
                </c:pt>
                <c:pt idx="71">
                  <c:v>-14.5</c:v>
                </c:pt>
                <c:pt idx="72">
                  <c:v>-14</c:v>
                </c:pt>
                <c:pt idx="73">
                  <c:v>-13.5</c:v>
                </c:pt>
                <c:pt idx="74">
                  <c:v>-13</c:v>
                </c:pt>
                <c:pt idx="75">
                  <c:v>-12.5</c:v>
                </c:pt>
                <c:pt idx="76">
                  <c:v>-12</c:v>
                </c:pt>
                <c:pt idx="77">
                  <c:v>-11.5</c:v>
                </c:pt>
                <c:pt idx="78">
                  <c:v>-11</c:v>
                </c:pt>
                <c:pt idx="79">
                  <c:v>-10.5</c:v>
                </c:pt>
                <c:pt idx="80">
                  <c:v>-10</c:v>
                </c:pt>
                <c:pt idx="81">
                  <c:v>-9.5</c:v>
                </c:pt>
                <c:pt idx="82">
                  <c:v>-9</c:v>
                </c:pt>
                <c:pt idx="83">
                  <c:v>-8.5</c:v>
                </c:pt>
                <c:pt idx="84">
                  <c:v>-8</c:v>
                </c:pt>
                <c:pt idx="85">
                  <c:v>-7.5</c:v>
                </c:pt>
                <c:pt idx="86">
                  <c:v>-7</c:v>
                </c:pt>
                <c:pt idx="87">
                  <c:v>-6.5</c:v>
                </c:pt>
                <c:pt idx="88">
                  <c:v>-6</c:v>
                </c:pt>
                <c:pt idx="89">
                  <c:v>-5.5</c:v>
                </c:pt>
                <c:pt idx="90">
                  <c:v>-5</c:v>
                </c:pt>
                <c:pt idx="91">
                  <c:v>-4.5</c:v>
                </c:pt>
                <c:pt idx="92">
                  <c:v>-4</c:v>
                </c:pt>
                <c:pt idx="93">
                  <c:v>-3.5</c:v>
                </c:pt>
                <c:pt idx="94">
                  <c:v>-3</c:v>
                </c:pt>
                <c:pt idx="95">
                  <c:v>-2.5</c:v>
                </c:pt>
                <c:pt idx="96">
                  <c:v>-2</c:v>
                </c:pt>
                <c:pt idx="97">
                  <c:v>-1.5</c:v>
                </c:pt>
                <c:pt idx="98">
                  <c:v>-1</c:v>
                </c:pt>
                <c:pt idx="99">
                  <c:v>-0.5</c:v>
                </c:pt>
                <c:pt idx="100">
                  <c:v>0</c:v>
                </c:pt>
                <c:pt idx="101">
                  <c:v>0.5</c:v>
                </c:pt>
                <c:pt idx="102">
                  <c:v>1</c:v>
                </c:pt>
                <c:pt idx="103">
                  <c:v>1.5</c:v>
                </c:pt>
                <c:pt idx="104">
                  <c:v>2</c:v>
                </c:pt>
                <c:pt idx="105">
                  <c:v>2.5</c:v>
                </c:pt>
                <c:pt idx="106">
                  <c:v>3</c:v>
                </c:pt>
                <c:pt idx="107">
                  <c:v>3.5</c:v>
                </c:pt>
                <c:pt idx="108">
                  <c:v>4</c:v>
                </c:pt>
                <c:pt idx="109">
                  <c:v>4.5</c:v>
                </c:pt>
                <c:pt idx="110">
                  <c:v>5</c:v>
                </c:pt>
                <c:pt idx="111">
                  <c:v>5.5</c:v>
                </c:pt>
                <c:pt idx="112">
                  <c:v>6</c:v>
                </c:pt>
                <c:pt idx="113">
                  <c:v>6.5</c:v>
                </c:pt>
                <c:pt idx="114">
                  <c:v>7</c:v>
                </c:pt>
                <c:pt idx="115">
                  <c:v>7.5</c:v>
                </c:pt>
                <c:pt idx="116">
                  <c:v>8</c:v>
                </c:pt>
                <c:pt idx="117">
                  <c:v>8.5</c:v>
                </c:pt>
                <c:pt idx="118">
                  <c:v>9</c:v>
                </c:pt>
                <c:pt idx="119">
                  <c:v>9.5</c:v>
                </c:pt>
                <c:pt idx="120">
                  <c:v>10</c:v>
                </c:pt>
                <c:pt idx="121">
                  <c:v>10.5</c:v>
                </c:pt>
                <c:pt idx="122">
                  <c:v>11</c:v>
                </c:pt>
                <c:pt idx="123">
                  <c:v>11.5</c:v>
                </c:pt>
                <c:pt idx="124">
                  <c:v>12</c:v>
                </c:pt>
                <c:pt idx="125">
                  <c:v>12.5</c:v>
                </c:pt>
                <c:pt idx="126">
                  <c:v>13</c:v>
                </c:pt>
                <c:pt idx="127">
                  <c:v>13.5</c:v>
                </c:pt>
                <c:pt idx="128">
                  <c:v>14</c:v>
                </c:pt>
                <c:pt idx="129">
                  <c:v>14.5</c:v>
                </c:pt>
                <c:pt idx="130">
                  <c:v>15</c:v>
                </c:pt>
                <c:pt idx="131">
                  <c:v>15.5</c:v>
                </c:pt>
                <c:pt idx="132">
                  <c:v>16</c:v>
                </c:pt>
                <c:pt idx="133">
                  <c:v>16.5</c:v>
                </c:pt>
                <c:pt idx="134">
                  <c:v>17</c:v>
                </c:pt>
                <c:pt idx="135">
                  <c:v>17.5</c:v>
                </c:pt>
                <c:pt idx="136">
                  <c:v>18</c:v>
                </c:pt>
                <c:pt idx="137">
                  <c:v>18.5</c:v>
                </c:pt>
                <c:pt idx="138">
                  <c:v>19</c:v>
                </c:pt>
                <c:pt idx="139">
                  <c:v>19.5</c:v>
                </c:pt>
                <c:pt idx="140">
                  <c:v>20</c:v>
                </c:pt>
                <c:pt idx="141">
                  <c:v>20.5</c:v>
                </c:pt>
                <c:pt idx="142">
                  <c:v>21</c:v>
                </c:pt>
                <c:pt idx="143">
                  <c:v>21.5</c:v>
                </c:pt>
                <c:pt idx="144">
                  <c:v>22</c:v>
                </c:pt>
                <c:pt idx="145">
                  <c:v>22.5</c:v>
                </c:pt>
                <c:pt idx="146">
                  <c:v>23</c:v>
                </c:pt>
                <c:pt idx="147">
                  <c:v>23.5</c:v>
                </c:pt>
                <c:pt idx="148">
                  <c:v>24</c:v>
                </c:pt>
                <c:pt idx="149">
                  <c:v>24.5</c:v>
                </c:pt>
                <c:pt idx="150">
                  <c:v>25</c:v>
                </c:pt>
                <c:pt idx="151">
                  <c:v>25.5</c:v>
                </c:pt>
                <c:pt idx="152">
                  <c:v>26</c:v>
                </c:pt>
                <c:pt idx="153">
                  <c:v>26.5</c:v>
                </c:pt>
                <c:pt idx="154">
                  <c:v>27</c:v>
                </c:pt>
                <c:pt idx="155">
                  <c:v>27.5</c:v>
                </c:pt>
                <c:pt idx="156">
                  <c:v>28</c:v>
                </c:pt>
                <c:pt idx="157">
                  <c:v>28.5</c:v>
                </c:pt>
                <c:pt idx="158">
                  <c:v>29</c:v>
                </c:pt>
                <c:pt idx="159">
                  <c:v>29.5</c:v>
                </c:pt>
                <c:pt idx="160">
                  <c:v>30</c:v>
                </c:pt>
                <c:pt idx="161">
                  <c:v>30.5</c:v>
                </c:pt>
                <c:pt idx="162">
                  <c:v>31</c:v>
                </c:pt>
                <c:pt idx="163">
                  <c:v>31.5</c:v>
                </c:pt>
                <c:pt idx="164">
                  <c:v>32</c:v>
                </c:pt>
                <c:pt idx="165">
                  <c:v>32.5</c:v>
                </c:pt>
                <c:pt idx="166">
                  <c:v>33</c:v>
                </c:pt>
                <c:pt idx="167">
                  <c:v>33.5</c:v>
                </c:pt>
                <c:pt idx="168">
                  <c:v>34</c:v>
                </c:pt>
                <c:pt idx="169">
                  <c:v>34.5</c:v>
                </c:pt>
                <c:pt idx="170">
                  <c:v>35</c:v>
                </c:pt>
                <c:pt idx="171">
                  <c:v>35.5</c:v>
                </c:pt>
                <c:pt idx="172">
                  <c:v>36</c:v>
                </c:pt>
                <c:pt idx="173">
                  <c:v>36.5</c:v>
                </c:pt>
                <c:pt idx="174">
                  <c:v>37</c:v>
                </c:pt>
                <c:pt idx="175">
                  <c:v>37.5</c:v>
                </c:pt>
                <c:pt idx="176">
                  <c:v>38</c:v>
                </c:pt>
                <c:pt idx="177">
                  <c:v>38.5</c:v>
                </c:pt>
                <c:pt idx="178">
                  <c:v>39</c:v>
                </c:pt>
                <c:pt idx="179">
                  <c:v>39.5</c:v>
                </c:pt>
                <c:pt idx="180">
                  <c:v>40</c:v>
                </c:pt>
                <c:pt idx="181">
                  <c:v>40.5</c:v>
                </c:pt>
                <c:pt idx="182">
                  <c:v>41</c:v>
                </c:pt>
                <c:pt idx="183">
                  <c:v>41.5</c:v>
                </c:pt>
                <c:pt idx="184">
                  <c:v>42</c:v>
                </c:pt>
                <c:pt idx="185">
                  <c:v>42.5</c:v>
                </c:pt>
                <c:pt idx="186">
                  <c:v>43</c:v>
                </c:pt>
                <c:pt idx="187">
                  <c:v>43.5</c:v>
                </c:pt>
                <c:pt idx="188">
                  <c:v>44</c:v>
                </c:pt>
                <c:pt idx="189">
                  <c:v>44.5</c:v>
                </c:pt>
                <c:pt idx="190">
                  <c:v>45</c:v>
                </c:pt>
                <c:pt idx="191">
                  <c:v>45.5</c:v>
                </c:pt>
                <c:pt idx="192">
                  <c:v>46</c:v>
                </c:pt>
                <c:pt idx="193">
                  <c:v>46.5</c:v>
                </c:pt>
                <c:pt idx="194">
                  <c:v>47</c:v>
                </c:pt>
                <c:pt idx="195">
                  <c:v>47.5</c:v>
                </c:pt>
                <c:pt idx="196">
                  <c:v>48</c:v>
                </c:pt>
                <c:pt idx="197">
                  <c:v>48.5</c:v>
                </c:pt>
                <c:pt idx="198">
                  <c:v>49</c:v>
                </c:pt>
                <c:pt idx="199">
                  <c:v>49.5</c:v>
                </c:pt>
                <c:pt idx="200">
                  <c:v>50</c:v>
                </c:pt>
              </c:numCache>
            </c:numRef>
          </c:xVal>
          <c:yVal>
            <c:numRef>
              <c:f>'subsidence profile with z_0'!$I$16:$I$216</c:f>
              <c:numCache>
                <c:formatCode>0.000</c:formatCode>
                <c:ptCount val="201"/>
                <c:pt idx="0">
                  <c:v>-1.9197006744129702E-3</c:v>
                </c:pt>
                <c:pt idx="1">
                  <c:v>-2.2943274725664609E-3</c:v>
                </c:pt>
                <c:pt idx="2">
                  <c:v>-2.7371536929266657E-3</c:v>
                </c:pt>
                <c:pt idx="3">
                  <c:v>-3.2596040830539462E-3</c:v>
                </c:pt>
                <c:pt idx="4">
                  <c:v>-3.8748278527983618E-3</c:v>
                </c:pt>
                <c:pt idx="5">
                  <c:v>-4.59792479054377E-3</c:v>
                </c:pt>
                <c:pt idx="6">
                  <c:v>-5.4461952114163653E-3</c:v>
                </c:pt>
                <c:pt idx="7">
                  <c:v>-6.4394153038748667E-3</c:v>
                </c:pt>
                <c:pt idx="8">
                  <c:v>-7.60013938798333E-3</c:v>
                </c:pt>
                <c:pt idx="9">
                  <c:v>-8.9540305120573635E-3</c:v>
                </c:pt>
                <c:pt idx="10">
                  <c:v>-1.0530220689583005E-2</c:v>
                </c:pt>
                <c:pt idx="11">
                  <c:v>-1.2361701910526067E-2</c:v>
                </c:pt>
                <c:pt idx="12">
                  <c:v>-1.4485748845530578E-2</c:v>
                </c:pt>
                <c:pt idx="13">
                  <c:v>-1.694437389325721E-2</c:v>
                </c:pt>
                <c:pt idx="14">
                  <c:v>-1.9784814895613859E-2</c:v>
                </c:pt>
                <c:pt idx="15">
                  <c:v>-2.3060055458556442E-2</c:v>
                </c:pt>
                <c:pt idx="16">
                  <c:v>-2.6829377363607108E-2</c:v>
                </c:pt>
                <c:pt idx="17">
                  <c:v>-3.1158944033965491E-2</c:v>
                </c:pt>
                <c:pt idx="18">
                  <c:v>-3.6122413426570306E-2</c:v>
                </c:pt>
                <c:pt idx="19">
                  <c:v>-4.1801578056147884E-2</c:v>
                </c:pt>
                <c:pt idx="20">
                  <c:v>-4.8287029118760205E-2</c:v>
                </c:pt>
                <c:pt idx="21">
                  <c:v>-5.5678840871576429E-2</c:v>
                </c:pt>
                <c:pt idx="22">
                  <c:v>-6.4087270545025582E-2</c:v>
                </c:pt>
                <c:pt idx="23">
                  <c:v>-7.3633468117367595E-2</c:v>
                </c:pt>
                <c:pt idx="24">
                  <c:v>-8.445018927618976E-2</c:v>
                </c:pt>
                <c:pt idx="25">
                  <c:v>-9.6682503834638639E-2</c:v>
                </c:pt>
                <c:pt idx="26">
                  <c:v>-0.11048849077281626</c:v>
                </c:pt>
                <c:pt idx="27">
                  <c:v>-0.12603990994954037</c:v>
                </c:pt>
                <c:pt idx="28">
                  <c:v>-0.1435228393918849</c:v>
                </c:pt>
                <c:pt idx="29">
                  <c:v>-0.1631382659373414</c:v>
                </c:pt>
                <c:pt idx="30">
                  <c:v>-0.18510261589631291</c:v>
                </c:pt>
                <c:pt idx="31">
                  <c:v>-0.20964821134361053</c:v>
                </c:pt>
                <c:pt idx="32">
                  <c:v>-0.23702363666155893</c:v>
                </c:pt>
                <c:pt idx="33">
                  <c:v>-0.26749399907120364</c:v>
                </c:pt>
                <c:pt idx="34">
                  <c:v>-0.30134106613065931</c:v>
                </c:pt>
                <c:pt idx="35">
                  <c:v>-0.33886326258100918</c:v>
                </c:pt>
                <c:pt idx="36">
                  <c:v>-0.38037550851146312</c:v>
                </c:pt>
                <c:pt idx="37">
                  <c:v>-0.42620888062826201</c:v>
                </c:pt>
                <c:pt idx="38">
                  <c:v>-0.47671007847750613</c:v>
                </c:pt>
                <c:pt idx="39">
                  <c:v>-0.53224067782124118</c:v>
                </c:pt>
                <c:pt idx="40">
                  <c:v>-0.59317615402778312</c:v>
                </c:pt>
                <c:pt idx="41">
                  <c:v>-0.65990465933802811</c:v>
                </c:pt>
                <c:pt idx="42">
                  <c:v>-0.73282553923283245</c:v>
                </c:pt>
                <c:pt idx="43">
                  <c:v>-0.81234757487177622</c:v>
                </c:pt>
                <c:pt idx="44">
                  <c:v>-0.89888694071516684</c:v>
                </c:pt>
                <c:pt idx="45">
                  <c:v>-0.99286486898754078</c:v>
                </c:pt>
                <c:pt idx="46">
                  <c:v>-1.0947050155940936</c:v>
                </c:pt>
                <c:pt idx="47">
                  <c:v>-1.2048305254558052</c:v>
                </c:pt>
                <c:pt idx="48">
                  <c:v>-1.3236607989709201</c:v>
                </c:pt>
                <c:pt idx="49">
                  <c:v>-1.4516079654173155</c:v>
                </c:pt>
                <c:pt idx="50">
                  <c:v>-1.5890730735506333</c:v>
                </c:pt>
                <c:pt idx="51">
                  <c:v>-1.7364420143856218</c:v>
                </c:pt>
                <c:pt idx="52">
                  <c:v>-1.8940811961222284</c:v>
                </c:pt>
                <c:pt idx="53">
                  <c:v>-2.0623329963333514</c:v>
                </c:pt>
                <c:pt idx="54">
                  <c:v>-2.2415110217982628</c:v>
                </c:pt>
                <c:pt idx="55">
                  <c:v>-2.4318952116664954</c:v>
                </c:pt>
                <c:pt idx="56">
                  <c:v>-2.6337268248853589</c:v>
                </c:pt>
                <c:pt idx="57">
                  <c:v>-2.8472033579274929</c:v>
                </c:pt>
                <c:pt idx="58">
                  <c:v>-3.0724734437145518</c:v>
                </c:pt>
                <c:pt idx="59">
                  <c:v>-3.3096317871469654</c:v>
                </c:pt>
                <c:pt idx="60">
                  <c:v>-3.5587141967131117</c:v>
                </c:pt>
                <c:pt idx="61">
                  <c:v>-3.8196927751593495</c:v>
                </c:pt>
                <c:pt idx="62">
                  <c:v>-4.0924713350520676</c:v>
                </c:pt>
                <c:pt idx="63">
                  <c:v>-4.3768811071553611</c:v>
                </c:pt>
                <c:pt idx="64">
                  <c:v>-4.6726768107904055</c:v>
                </c:pt>
                <c:pt idx="65">
                  <c:v>-4.9795331556515805</c:v>
                </c:pt>
                <c:pt idx="66">
                  <c:v>-5.2970418438569018</c:v>
                </c:pt>
                <c:pt idx="67">
                  <c:v>-5.6247091392475594</c:v>
                </c:pt>
                <c:pt idx="68">
                  <c:v>-5.9619540680793808</c:v>
                </c:pt>
                <c:pt idx="69">
                  <c:v>-6.3081073112419341</c:v>
                </c:pt>
                <c:pt idx="70">
                  <c:v>-6.6624108429918625</c:v>
                </c:pt>
                <c:pt idx="71">
                  <c:v>-7.0240183649095433</c:v>
                </c:pt>
                <c:pt idx="72">
                  <c:v>-7.3919965764177782</c:v>
                </c:pt>
                <c:pt idx="73">
                  <c:v>-7.7653273147953463</c:v>
                </c:pt>
                <c:pt idx="74">
                  <c:v>-8.1429105882570028</c:v>
                </c:pt>
                <c:pt idx="75">
                  <c:v>-8.523568515456649</c:v>
                </c:pt>
                <c:pt idx="76">
                  <c:v>-8.9060501738251912</c:v>
                </c:pt>
                <c:pt idx="77">
                  <c:v>-9.2890373476219317</c:v>
                </c:pt>
                <c:pt idx="78">
                  <c:v>-9.6711511546191069</c:v>
                </c:pt>
                <c:pt idx="79">
                  <c:v>-10.050959518130032</c:v>
                </c:pt>
                <c:pt idx="80">
                  <c:v>-10.426985438821308</c:v>
                </c:pt>
                <c:pt idx="81">
                  <c:v>-10.797716008618092</c:v>
                </c:pt>
                <c:pt idx="82">
                  <c:v>-11.161612097222775</c:v>
                </c:pt>
                <c:pt idx="83">
                  <c:v>-11.517118630529504</c:v>
                </c:pt>
                <c:pt idx="84">
                  <c:v>-11.86267536973422</c:v>
                </c:pt>
                <c:pt idx="85">
                  <c:v>-12.196728090412064</c:v>
                </c:pt>
                <c:pt idx="86">
                  <c:v>-12.51774005244941</c:v>
                </c:pt>
                <c:pt idx="87">
                  <c:v>-12.824203644651421</c:v>
                </c:pt>
                <c:pt idx="88">
                  <c:v>-13.114652082253411</c:v>
                </c:pt>
                <c:pt idx="89">
                  <c:v>-13.387671031579924</c:v>
                </c:pt>
                <c:pt idx="90">
                  <c:v>-13.641910033827648</c:v>
                </c:pt>
                <c:pt idx="91">
                  <c:v>-13.876093599477812</c:v>
                </c:pt>
                <c:pt idx="92">
                  <c:v>-14.089031846220223</c:v>
                </c:pt>
                <c:pt idx="93">
                  <c:v>-14.279630556512696</c:v>
                </c:pt>
                <c:pt idx="94">
                  <c:v>-14.44690053599024</c:v>
                </c:pt>
                <c:pt idx="95">
                  <c:v>-14.589966160829251</c:v>
                </c:pt>
                <c:pt idx="96">
                  <c:v>-14.708073010780421</c:v>
                </c:pt>
                <c:pt idx="97">
                  <c:v>-14.800594494795398</c:v>
                </c:pt>
                <c:pt idx="98">
                  <c:v>-14.867037387841584</c:v>
                </c:pt>
                <c:pt idx="99">
                  <c:v>-14.907046210453782</c:v>
                </c:pt>
                <c:pt idx="100">
                  <c:v>-14.920406396613103</c:v>
                </c:pt>
                <c:pt idx="101">
                  <c:v>-14.907046210453782</c:v>
                </c:pt>
                <c:pt idx="102">
                  <c:v>-14.867037387841584</c:v>
                </c:pt>
                <c:pt idx="103">
                  <c:v>-14.800594494795398</c:v>
                </c:pt>
                <c:pt idx="104">
                  <c:v>-14.708073010780421</c:v>
                </c:pt>
                <c:pt idx="105">
                  <c:v>-14.589966160829251</c:v>
                </c:pt>
                <c:pt idx="106">
                  <c:v>-14.44690053599024</c:v>
                </c:pt>
                <c:pt idx="107">
                  <c:v>-14.279630556512696</c:v>
                </c:pt>
                <c:pt idx="108">
                  <c:v>-14.089031846220223</c:v>
                </c:pt>
                <c:pt idx="109">
                  <c:v>-13.876093599477812</c:v>
                </c:pt>
                <c:pt idx="110">
                  <c:v>-13.641910033827648</c:v>
                </c:pt>
                <c:pt idx="111">
                  <c:v>-13.387671031579924</c:v>
                </c:pt>
                <c:pt idx="112">
                  <c:v>-13.114652082253411</c:v>
                </c:pt>
                <c:pt idx="113">
                  <c:v>-12.824203644651421</c:v>
                </c:pt>
                <c:pt idx="114">
                  <c:v>-12.51774005244941</c:v>
                </c:pt>
                <c:pt idx="115">
                  <c:v>-12.196728090412064</c:v>
                </c:pt>
                <c:pt idx="116">
                  <c:v>-11.86267536973422</c:v>
                </c:pt>
                <c:pt idx="117">
                  <c:v>-11.517118630529504</c:v>
                </c:pt>
                <c:pt idx="118">
                  <c:v>-11.161612097222775</c:v>
                </c:pt>
                <c:pt idx="119">
                  <c:v>-10.797716008618092</c:v>
                </c:pt>
                <c:pt idx="120">
                  <c:v>-10.426985438821308</c:v>
                </c:pt>
                <c:pt idx="121">
                  <c:v>-10.050959518130032</c:v>
                </c:pt>
                <c:pt idx="122">
                  <c:v>-9.6711511546191069</c:v>
                </c:pt>
                <c:pt idx="123">
                  <c:v>-9.2890373476219317</c:v>
                </c:pt>
                <c:pt idx="124">
                  <c:v>-8.9060501738251912</c:v>
                </c:pt>
                <c:pt idx="125">
                  <c:v>-8.523568515456649</c:v>
                </c:pt>
                <c:pt idx="126">
                  <c:v>-8.1429105882570028</c:v>
                </c:pt>
                <c:pt idx="127">
                  <c:v>-7.7653273147953463</c:v>
                </c:pt>
                <c:pt idx="128">
                  <c:v>-7.3919965764177782</c:v>
                </c:pt>
                <c:pt idx="129">
                  <c:v>-7.0240183649095433</c:v>
                </c:pt>
                <c:pt idx="130">
                  <c:v>-6.6624108429918625</c:v>
                </c:pt>
                <c:pt idx="131">
                  <c:v>-6.3081073112419341</c:v>
                </c:pt>
                <c:pt idx="132">
                  <c:v>-5.9619540680793808</c:v>
                </c:pt>
                <c:pt idx="133">
                  <c:v>-5.6247091392475594</c:v>
                </c:pt>
                <c:pt idx="134">
                  <c:v>-5.2970418438569018</c:v>
                </c:pt>
                <c:pt idx="135">
                  <c:v>-4.9795331556515805</c:v>
                </c:pt>
                <c:pt idx="136">
                  <c:v>-4.6726768107904055</c:v>
                </c:pt>
                <c:pt idx="137">
                  <c:v>-4.3768811071553611</c:v>
                </c:pt>
                <c:pt idx="138">
                  <c:v>-4.0924713350520676</c:v>
                </c:pt>
                <c:pt idx="139">
                  <c:v>-3.8196927751593495</c:v>
                </c:pt>
                <c:pt idx="140">
                  <c:v>-3.5587141967131117</c:v>
                </c:pt>
                <c:pt idx="141">
                  <c:v>-3.3096317871469654</c:v>
                </c:pt>
                <c:pt idx="142">
                  <c:v>-3.0724734437145518</c:v>
                </c:pt>
                <c:pt idx="143">
                  <c:v>-2.8472033579274929</c:v>
                </c:pt>
                <c:pt idx="144">
                  <c:v>-2.6337268248853589</c:v>
                </c:pt>
                <c:pt idx="145">
                  <c:v>-2.4318952116664954</c:v>
                </c:pt>
                <c:pt idx="146">
                  <c:v>-2.2415110217982628</c:v>
                </c:pt>
                <c:pt idx="147">
                  <c:v>-2.0623329963333514</c:v>
                </c:pt>
                <c:pt idx="148">
                  <c:v>-1.8940811961222284</c:v>
                </c:pt>
                <c:pt idx="149">
                  <c:v>-1.7364420143856218</c:v>
                </c:pt>
                <c:pt idx="150">
                  <c:v>-1.5890730735506333</c:v>
                </c:pt>
                <c:pt idx="151">
                  <c:v>-1.4516079654173155</c:v>
                </c:pt>
                <c:pt idx="152">
                  <c:v>-1.3236607989709201</c:v>
                </c:pt>
                <c:pt idx="153">
                  <c:v>-1.2048305254558052</c:v>
                </c:pt>
                <c:pt idx="154">
                  <c:v>-1.0947050155940936</c:v>
                </c:pt>
                <c:pt idx="155">
                  <c:v>-0.99286486898754078</c:v>
                </c:pt>
                <c:pt idx="156">
                  <c:v>-0.89888694071516684</c:v>
                </c:pt>
                <c:pt idx="157">
                  <c:v>-0.81234757487177622</c:v>
                </c:pt>
                <c:pt idx="158">
                  <c:v>-0.73282553923283245</c:v>
                </c:pt>
                <c:pt idx="159">
                  <c:v>-0.65990465933802811</c:v>
                </c:pt>
                <c:pt idx="160">
                  <c:v>-0.59317615402778312</c:v>
                </c:pt>
                <c:pt idx="161">
                  <c:v>-0.53224067782124118</c:v>
                </c:pt>
                <c:pt idx="162">
                  <c:v>-0.47671007847750613</c:v>
                </c:pt>
                <c:pt idx="163">
                  <c:v>-0.42620888062826201</c:v>
                </c:pt>
                <c:pt idx="164">
                  <c:v>-0.38037550851146312</c:v>
                </c:pt>
                <c:pt idx="165">
                  <c:v>-0.33886326258100918</c:v>
                </c:pt>
                <c:pt idx="166">
                  <c:v>-0.30134106613065931</c:v>
                </c:pt>
                <c:pt idx="167">
                  <c:v>-0.26749399907120364</c:v>
                </c:pt>
                <c:pt idx="168">
                  <c:v>-0.23702363666155893</c:v>
                </c:pt>
                <c:pt idx="169">
                  <c:v>-0.20964821134361053</c:v>
                </c:pt>
                <c:pt idx="170">
                  <c:v>-0.18510261589631291</c:v>
                </c:pt>
                <c:pt idx="171">
                  <c:v>-0.1631382659373414</c:v>
                </c:pt>
                <c:pt idx="172">
                  <c:v>-0.1435228393918849</c:v>
                </c:pt>
                <c:pt idx="173">
                  <c:v>-0.12603990994954037</c:v>
                </c:pt>
                <c:pt idx="174">
                  <c:v>-0.11048849077281626</c:v>
                </c:pt>
                <c:pt idx="175">
                  <c:v>-9.6682503834638639E-2</c:v>
                </c:pt>
                <c:pt idx="176">
                  <c:v>-8.445018927618976E-2</c:v>
                </c:pt>
                <c:pt idx="177">
                  <c:v>-7.3633468117367595E-2</c:v>
                </c:pt>
                <c:pt idx="178">
                  <c:v>-6.4087270545025582E-2</c:v>
                </c:pt>
                <c:pt idx="179">
                  <c:v>-5.5678840871576429E-2</c:v>
                </c:pt>
                <c:pt idx="180">
                  <c:v>-4.8287029118760205E-2</c:v>
                </c:pt>
                <c:pt idx="181">
                  <c:v>-4.1801578056147884E-2</c:v>
                </c:pt>
                <c:pt idx="182">
                  <c:v>-3.6122413426570306E-2</c:v>
                </c:pt>
                <c:pt idx="183">
                  <c:v>-3.1158944033965491E-2</c:v>
                </c:pt>
                <c:pt idx="184">
                  <c:v>-2.6829377363607108E-2</c:v>
                </c:pt>
                <c:pt idx="185">
                  <c:v>-2.3060055458556442E-2</c:v>
                </c:pt>
                <c:pt idx="186">
                  <c:v>-1.9784814895613859E-2</c:v>
                </c:pt>
                <c:pt idx="187">
                  <c:v>-1.694437389325721E-2</c:v>
                </c:pt>
                <c:pt idx="188">
                  <c:v>-1.4485748845530578E-2</c:v>
                </c:pt>
                <c:pt idx="189">
                  <c:v>-1.2361701910526067E-2</c:v>
                </c:pt>
                <c:pt idx="190">
                  <c:v>-1.0530220689583005E-2</c:v>
                </c:pt>
                <c:pt idx="191">
                  <c:v>-8.9540305120573635E-3</c:v>
                </c:pt>
                <c:pt idx="192">
                  <c:v>-7.60013938798333E-3</c:v>
                </c:pt>
                <c:pt idx="193">
                  <c:v>-6.4394153038748667E-3</c:v>
                </c:pt>
                <c:pt idx="194">
                  <c:v>-5.4461952114163653E-3</c:v>
                </c:pt>
                <c:pt idx="195">
                  <c:v>-4.59792479054377E-3</c:v>
                </c:pt>
                <c:pt idx="196">
                  <c:v>-3.8748278527983618E-3</c:v>
                </c:pt>
                <c:pt idx="197">
                  <c:v>-3.2596040830539462E-3</c:v>
                </c:pt>
                <c:pt idx="198">
                  <c:v>-2.7371536929266657E-3</c:v>
                </c:pt>
                <c:pt idx="199">
                  <c:v>-2.2943274725664609E-3</c:v>
                </c:pt>
                <c:pt idx="200">
                  <c:v>-1.9197006744129702E-3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0AF-4759-B6F8-8BF78F795330}"/>
            </c:ext>
          </c:extLst>
        </c:ser>
        <c:ser>
          <c:idx val="0"/>
          <c:order val="7"/>
          <c:tx>
            <c:strRef>
              <c:f>'subsidence profile with z_0'!$J$6</c:f>
              <c:strCache>
                <c:ptCount val="1"/>
                <c:pt idx="0">
                  <c:v>3.5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'subsidence profile with z_0'!$B$16:$B$216</c:f>
              <c:numCache>
                <c:formatCode>0.000</c:formatCode>
                <c:ptCount val="201"/>
                <c:pt idx="0">
                  <c:v>-50</c:v>
                </c:pt>
                <c:pt idx="1">
                  <c:v>-49.5</c:v>
                </c:pt>
                <c:pt idx="2">
                  <c:v>-49</c:v>
                </c:pt>
                <c:pt idx="3">
                  <c:v>-48.5</c:v>
                </c:pt>
                <c:pt idx="4">
                  <c:v>-48</c:v>
                </c:pt>
                <c:pt idx="5">
                  <c:v>-47.5</c:v>
                </c:pt>
                <c:pt idx="6">
                  <c:v>-47</c:v>
                </c:pt>
                <c:pt idx="7">
                  <c:v>-46.5</c:v>
                </c:pt>
                <c:pt idx="8">
                  <c:v>-46</c:v>
                </c:pt>
                <c:pt idx="9">
                  <c:v>-45.5</c:v>
                </c:pt>
                <c:pt idx="10">
                  <c:v>-45</c:v>
                </c:pt>
                <c:pt idx="11">
                  <c:v>-44.5</c:v>
                </c:pt>
                <c:pt idx="12">
                  <c:v>-44</c:v>
                </c:pt>
                <c:pt idx="13">
                  <c:v>-43.5</c:v>
                </c:pt>
                <c:pt idx="14">
                  <c:v>-43</c:v>
                </c:pt>
                <c:pt idx="15">
                  <c:v>-42.5</c:v>
                </c:pt>
                <c:pt idx="16">
                  <c:v>-42</c:v>
                </c:pt>
                <c:pt idx="17">
                  <c:v>-41.5</c:v>
                </c:pt>
                <c:pt idx="18">
                  <c:v>-41</c:v>
                </c:pt>
                <c:pt idx="19">
                  <c:v>-40.5</c:v>
                </c:pt>
                <c:pt idx="20">
                  <c:v>-40</c:v>
                </c:pt>
                <c:pt idx="21">
                  <c:v>-39.5</c:v>
                </c:pt>
                <c:pt idx="22">
                  <c:v>-39</c:v>
                </c:pt>
                <c:pt idx="23">
                  <c:v>-38.5</c:v>
                </c:pt>
                <c:pt idx="24">
                  <c:v>-38</c:v>
                </c:pt>
                <c:pt idx="25">
                  <c:v>-37.5</c:v>
                </c:pt>
                <c:pt idx="26">
                  <c:v>-37</c:v>
                </c:pt>
                <c:pt idx="27">
                  <c:v>-36.5</c:v>
                </c:pt>
                <c:pt idx="28">
                  <c:v>-36</c:v>
                </c:pt>
                <c:pt idx="29">
                  <c:v>-35.5</c:v>
                </c:pt>
                <c:pt idx="30">
                  <c:v>-35</c:v>
                </c:pt>
                <c:pt idx="31">
                  <c:v>-34.5</c:v>
                </c:pt>
                <c:pt idx="32">
                  <c:v>-34</c:v>
                </c:pt>
                <c:pt idx="33">
                  <c:v>-33.5</c:v>
                </c:pt>
                <c:pt idx="34">
                  <c:v>-33</c:v>
                </c:pt>
                <c:pt idx="35">
                  <c:v>-32.5</c:v>
                </c:pt>
                <c:pt idx="36">
                  <c:v>-32</c:v>
                </c:pt>
                <c:pt idx="37">
                  <c:v>-31.5</c:v>
                </c:pt>
                <c:pt idx="38">
                  <c:v>-31</c:v>
                </c:pt>
                <c:pt idx="39">
                  <c:v>-30.5</c:v>
                </c:pt>
                <c:pt idx="40">
                  <c:v>-30</c:v>
                </c:pt>
                <c:pt idx="41">
                  <c:v>-29.5</c:v>
                </c:pt>
                <c:pt idx="42">
                  <c:v>-29</c:v>
                </c:pt>
                <c:pt idx="43">
                  <c:v>-28.5</c:v>
                </c:pt>
                <c:pt idx="44">
                  <c:v>-28</c:v>
                </c:pt>
                <c:pt idx="45">
                  <c:v>-27.5</c:v>
                </c:pt>
                <c:pt idx="46">
                  <c:v>-27</c:v>
                </c:pt>
                <c:pt idx="47">
                  <c:v>-26.5</c:v>
                </c:pt>
                <c:pt idx="48">
                  <c:v>-26</c:v>
                </c:pt>
                <c:pt idx="49">
                  <c:v>-25.5</c:v>
                </c:pt>
                <c:pt idx="50">
                  <c:v>-25</c:v>
                </c:pt>
                <c:pt idx="51">
                  <c:v>-24.5</c:v>
                </c:pt>
                <c:pt idx="52">
                  <c:v>-24</c:v>
                </c:pt>
                <c:pt idx="53">
                  <c:v>-23.5</c:v>
                </c:pt>
                <c:pt idx="54">
                  <c:v>-23</c:v>
                </c:pt>
                <c:pt idx="55">
                  <c:v>-22.5</c:v>
                </c:pt>
                <c:pt idx="56">
                  <c:v>-22</c:v>
                </c:pt>
                <c:pt idx="57">
                  <c:v>-21.5</c:v>
                </c:pt>
                <c:pt idx="58">
                  <c:v>-21</c:v>
                </c:pt>
                <c:pt idx="59">
                  <c:v>-20.5</c:v>
                </c:pt>
                <c:pt idx="60">
                  <c:v>-20</c:v>
                </c:pt>
                <c:pt idx="61">
                  <c:v>-19.5</c:v>
                </c:pt>
                <c:pt idx="62">
                  <c:v>-19</c:v>
                </c:pt>
                <c:pt idx="63">
                  <c:v>-18.5</c:v>
                </c:pt>
                <c:pt idx="64">
                  <c:v>-18</c:v>
                </c:pt>
                <c:pt idx="65">
                  <c:v>-17.5</c:v>
                </c:pt>
                <c:pt idx="66">
                  <c:v>-17</c:v>
                </c:pt>
                <c:pt idx="67">
                  <c:v>-16.5</c:v>
                </c:pt>
                <c:pt idx="68">
                  <c:v>-16</c:v>
                </c:pt>
                <c:pt idx="69">
                  <c:v>-15.5</c:v>
                </c:pt>
                <c:pt idx="70">
                  <c:v>-15</c:v>
                </c:pt>
                <c:pt idx="71">
                  <c:v>-14.5</c:v>
                </c:pt>
                <c:pt idx="72">
                  <c:v>-14</c:v>
                </c:pt>
                <c:pt idx="73">
                  <c:v>-13.5</c:v>
                </c:pt>
                <c:pt idx="74">
                  <c:v>-13</c:v>
                </c:pt>
                <c:pt idx="75">
                  <c:v>-12.5</c:v>
                </c:pt>
                <c:pt idx="76">
                  <c:v>-12</c:v>
                </c:pt>
                <c:pt idx="77">
                  <c:v>-11.5</c:v>
                </c:pt>
                <c:pt idx="78">
                  <c:v>-11</c:v>
                </c:pt>
                <c:pt idx="79">
                  <c:v>-10.5</c:v>
                </c:pt>
                <c:pt idx="80">
                  <c:v>-10</c:v>
                </c:pt>
                <c:pt idx="81">
                  <c:v>-9.5</c:v>
                </c:pt>
                <c:pt idx="82">
                  <c:v>-9</c:v>
                </c:pt>
                <c:pt idx="83">
                  <c:v>-8.5</c:v>
                </c:pt>
                <c:pt idx="84">
                  <c:v>-8</c:v>
                </c:pt>
                <c:pt idx="85">
                  <c:v>-7.5</c:v>
                </c:pt>
                <c:pt idx="86">
                  <c:v>-7</c:v>
                </c:pt>
                <c:pt idx="87">
                  <c:v>-6.5</c:v>
                </c:pt>
                <c:pt idx="88">
                  <c:v>-6</c:v>
                </c:pt>
                <c:pt idx="89">
                  <c:v>-5.5</c:v>
                </c:pt>
                <c:pt idx="90">
                  <c:v>-5</c:v>
                </c:pt>
                <c:pt idx="91">
                  <c:v>-4.5</c:v>
                </c:pt>
                <c:pt idx="92">
                  <c:v>-4</c:v>
                </c:pt>
                <c:pt idx="93">
                  <c:v>-3.5</c:v>
                </c:pt>
                <c:pt idx="94">
                  <c:v>-3</c:v>
                </c:pt>
                <c:pt idx="95">
                  <c:v>-2.5</c:v>
                </c:pt>
                <c:pt idx="96">
                  <c:v>-2</c:v>
                </c:pt>
                <c:pt idx="97">
                  <c:v>-1.5</c:v>
                </c:pt>
                <c:pt idx="98">
                  <c:v>-1</c:v>
                </c:pt>
                <c:pt idx="99">
                  <c:v>-0.5</c:v>
                </c:pt>
                <c:pt idx="100">
                  <c:v>0</c:v>
                </c:pt>
                <c:pt idx="101">
                  <c:v>0.5</c:v>
                </c:pt>
                <c:pt idx="102">
                  <c:v>1</c:v>
                </c:pt>
                <c:pt idx="103">
                  <c:v>1.5</c:v>
                </c:pt>
                <c:pt idx="104">
                  <c:v>2</c:v>
                </c:pt>
                <c:pt idx="105">
                  <c:v>2.5</c:v>
                </c:pt>
                <c:pt idx="106">
                  <c:v>3</c:v>
                </c:pt>
                <c:pt idx="107">
                  <c:v>3.5</c:v>
                </c:pt>
                <c:pt idx="108">
                  <c:v>4</c:v>
                </c:pt>
                <c:pt idx="109">
                  <c:v>4.5</c:v>
                </c:pt>
                <c:pt idx="110">
                  <c:v>5</c:v>
                </c:pt>
                <c:pt idx="111">
                  <c:v>5.5</c:v>
                </c:pt>
                <c:pt idx="112">
                  <c:v>6</c:v>
                </c:pt>
                <c:pt idx="113">
                  <c:v>6.5</c:v>
                </c:pt>
                <c:pt idx="114">
                  <c:v>7</c:v>
                </c:pt>
                <c:pt idx="115">
                  <c:v>7.5</c:v>
                </c:pt>
                <c:pt idx="116">
                  <c:v>8</c:v>
                </c:pt>
                <c:pt idx="117">
                  <c:v>8.5</c:v>
                </c:pt>
                <c:pt idx="118">
                  <c:v>9</c:v>
                </c:pt>
                <c:pt idx="119">
                  <c:v>9.5</c:v>
                </c:pt>
                <c:pt idx="120">
                  <c:v>10</c:v>
                </c:pt>
                <c:pt idx="121">
                  <c:v>10.5</c:v>
                </c:pt>
                <c:pt idx="122">
                  <c:v>11</c:v>
                </c:pt>
                <c:pt idx="123">
                  <c:v>11.5</c:v>
                </c:pt>
                <c:pt idx="124">
                  <c:v>12</c:v>
                </c:pt>
                <c:pt idx="125">
                  <c:v>12.5</c:v>
                </c:pt>
                <c:pt idx="126">
                  <c:v>13</c:v>
                </c:pt>
                <c:pt idx="127">
                  <c:v>13.5</c:v>
                </c:pt>
                <c:pt idx="128">
                  <c:v>14</c:v>
                </c:pt>
                <c:pt idx="129">
                  <c:v>14.5</c:v>
                </c:pt>
                <c:pt idx="130">
                  <c:v>15</c:v>
                </c:pt>
                <c:pt idx="131">
                  <c:v>15.5</c:v>
                </c:pt>
                <c:pt idx="132">
                  <c:v>16</c:v>
                </c:pt>
                <c:pt idx="133">
                  <c:v>16.5</c:v>
                </c:pt>
                <c:pt idx="134">
                  <c:v>17</c:v>
                </c:pt>
                <c:pt idx="135">
                  <c:v>17.5</c:v>
                </c:pt>
                <c:pt idx="136">
                  <c:v>18</c:v>
                </c:pt>
                <c:pt idx="137">
                  <c:v>18.5</c:v>
                </c:pt>
                <c:pt idx="138">
                  <c:v>19</c:v>
                </c:pt>
                <c:pt idx="139">
                  <c:v>19.5</c:v>
                </c:pt>
                <c:pt idx="140">
                  <c:v>20</c:v>
                </c:pt>
                <c:pt idx="141">
                  <c:v>20.5</c:v>
                </c:pt>
                <c:pt idx="142">
                  <c:v>21</c:v>
                </c:pt>
                <c:pt idx="143">
                  <c:v>21.5</c:v>
                </c:pt>
                <c:pt idx="144">
                  <c:v>22</c:v>
                </c:pt>
                <c:pt idx="145">
                  <c:v>22.5</c:v>
                </c:pt>
                <c:pt idx="146">
                  <c:v>23</c:v>
                </c:pt>
                <c:pt idx="147">
                  <c:v>23.5</c:v>
                </c:pt>
                <c:pt idx="148">
                  <c:v>24</c:v>
                </c:pt>
                <c:pt idx="149">
                  <c:v>24.5</c:v>
                </c:pt>
                <c:pt idx="150">
                  <c:v>25</c:v>
                </c:pt>
                <c:pt idx="151">
                  <c:v>25.5</c:v>
                </c:pt>
                <c:pt idx="152">
                  <c:v>26</c:v>
                </c:pt>
                <c:pt idx="153">
                  <c:v>26.5</c:v>
                </c:pt>
                <c:pt idx="154">
                  <c:v>27</c:v>
                </c:pt>
                <c:pt idx="155">
                  <c:v>27.5</c:v>
                </c:pt>
                <c:pt idx="156">
                  <c:v>28</c:v>
                </c:pt>
                <c:pt idx="157">
                  <c:v>28.5</c:v>
                </c:pt>
                <c:pt idx="158">
                  <c:v>29</c:v>
                </c:pt>
                <c:pt idx="159">
                  <c:v>29.5</c:v>
                </c:pt>
                <c:pt idx="160">
                  <c:v>30</c:v>
                </c:pt>
                <c:pt idx="161">
                  <c:v>30.5</c:v>
                </c:pt>
                <c:pt idx="162">
                  <c:v>31</c:v>
                </c:pt>
                <c:pt idx="163">
                  <c:v>31.5</c:v>
                </c:pt>
                <c:pt idx="164">
                  <c:v>32</c:v>
                </c:pt>
                <c:pt idx="165">
                  <c:v>32.5</c:v>
                </c:pt>
                <c:pt idx="166">
                  <c:v>33</c:v>
                </c:pt>
                <c:pt idx="167">
                  <c:v>33.5</c:v>
                </c:pt>
                <c:pt idx="168">
                  <c:v>34</c:v>
                </c:pt>
                <c:pt idx="169">
                  <c:v>34.5</c:v>
                </c:pt>
                <c:pt idx="170">
                  <c:v>35</c:v>
                </c:pt>
                <c:pt idx="171">
                  <c:v>35.5</c:v>
                </c:pt>
                <c:pt idx="172">
                  <c:v>36</c:v>
                </c:pt>
                <c:pt idx="173">
                  <c:v>36.5</c:v>
                </c:pt>
                <c:pt idx="174">
                  <c:v>37</c:v>
                </c:pt>
                <c:pt idx="175">
                  <c:v>37.5</c:v>
                </c:pt>
                <c:pt idx="176">
                  <c:v>38</c:v>
                </c:pt>
                <c:pt idx="177">
                  <c:v>38.5</c:v>
                </c:pt>
                <c:pt idx="178">
                  <c:v>39</c:v>
                </c:pt>
                <c:pt idx="179">
                  <c:v>39.5</c:v>
                </c:pt>
                <c:pt idx="180">
                  <c:v>40</c:v>
                </c:pt>
                <c:pt idx="181">
                  <c:v>40.5</c:v>
                </c:pt>
                <c:pt idx="182">
                  <c:v>41</c:v>
                </c:pt>
                <c:pt idx="183">
                  <c:v>41.5</c:v>
                </c:pt>
                <c:pt idx="184">
                  <c:v>42</c:v>
                </c:pt>
                <c:pt idx="185">
                  <c:v>42.5</c:v>
                </c:pt>
                <c:pt idx="186">
                  <c:v>43</c:v>
                </c:pt>
                <c:pt idx="187">
                  <c:v>43.5</c:v>
                </c:pt>
                <c:pt idx="188">
                  <c:v>44</c:v>
                </c:pt>
                <c:pt idx="189">
                  <c:v>44.5</c:v>
                </c:pt>
                <c:pt idx="190">
                  <c:v>45</c:v>
                </c:pt>
                <c:pt idx="191">
                  <c:v>45.5</c:v>
                </c:pt>
                <c:pt idx="192">
                  <c:v>46</c:v>
                </c:pt>
                <c:pt idx="193">
                  <c:v>46.5</c:v>
                </c:pt>
                <c:pt idx="194">
                  <c:v>47</c:v>
                </c:pt>
                <c:pt idx="195">
                  <c:v>47.5</c:v>
                </c:pt>
                <c:pt idx="196">
                  <c:v>48</c:v>
                </c:pt>
                <c:pt idx="197">
                  <c:v>48.5</c:v>
                </c:pt>
                <c:pt idx="198">
                  <c:v>49</c:v>
                </c:pt>
                <c:pt idx="199">
                  <c:v>49.5</c:v>
                </c:pt>
                <c:pt idx="200">
                  <c:v>50</c:v>
                </c:pt>
              </c:numCache>
            </c:numRef>
          </c:xVal>
          <c:yVal>
            <c:numRef>
              <c:f>'subsidence profile with z_0'!$J$16:$J$216</c:f>
              <c:numCache>
                <c:formatCode>0.000</c:formatCode>
                <c:ptCount val="201"/>
                <c:pt idx="0">
                  <c:v>-1.3711613256731776E-2</c:v>
                </c:pt>
                <c:pt idx="1">
                  <c:v>-1.5716820321528668E-2</c:v>
                </c:pt>
                <c:pt idx="2">
                  <c:v>-1.7990576535416841E-2</c:v>
                </c:pt>
                <c:pt idx="3">
                  <c:v>-2.0565048313065666E-2</c:v>
                </c:pt>
                <c:pt idx="4">
                  <c:v>-2.347570519315622E-2</c:v>
                </c:pt>
                <c:pt idx="5">
                  <c:v>-2.676158427374362E-2</c:v>
                </c:pt>
                <c:pt idx="6">
                  <c:v>-3.0465566120862354E-2</c:v>
                </c:pt>
                <c:pt idx="7">
                  <c:v>-3.4634661348747479E-2</c:v>
                </c:pt>
                <c:pt idx="8">
                  <c:v>-3.9320306847980255E-2</c:v>
                </c:pt>
                <c:pt idx="9">
                  <c:v>-4.4578670396728429E-2</c:v>
                </c:pt>
                <c:pt idx="10">
                  <c:v>-5.0470962130562312E-2</c:v>
                </c:pt>
                <c:pt idx="11">
                  <c:v>-5.7063751068948343E-2</c:v>
                </c:pt>
                <c:pt idx="12">
                  <c:v>-6.4429284602696646E-2</c:v>
                </c:pt>
                <c:pt idx="13">
                  <c:v>-7.264580853801042E-2</c:v>
                </c:pt>
                <c:pt idx="14">
                  <c:v>-8.1797884971441082E-2</c:v>
                </c:pt>
                <c:pt idx="15">
                  <c:v>-9.1976704938535728E-2</c:v>
                </c:pt>
                <c:pt idx="16">
                  <c:v>-0.10328039244029635</c:v>
                </c:pt>
                <c:pt idx="17">
                  <c:v>-0.1158142961092703</c:v>
                </c:pt>
                <c:pt idx="18">
                  <c:v>-0.12969126443518089</c:v>
                </c:pt>
                <c:pt idx="19">
                  <c:v>-0.14503190013300038</c:v>
                </c:pt>
                <c:pt idx="20">
                  <c:v>-0.16196478890927379</c:v>
                </c:pt>
                <c:pt idx="21">
                  <c:v>-0.18062669757080754</c:v>
                </c:pt>
                <c:pt idx="22">
                  <c:v>-0.20116273612945124</c:v>
                </c:pt>
                <c:pt idx="23">
                  <c:v>-0.22372647829395814</c:v>
                </c:pt>
                <c:pt idx="24">
                  <c:v>-0.24848003451146625</c:v>
                </c:pt>
                <c:pt idx="25">
                  <c:v>-0.27559407153395138</c:v>
                </c:pt>
                <c:pt idx="26">
                  <c:v>-0.30524777234622286</c:v>
                </c:pt>
                <c:pt idx="27">
                  <c:v>-0.33762873020891143</c:v>
                </c:pt>
                <c:pt idx="28">
                  <c:v>-0.37293277054972929</c:v>
                </c:pt>
                <c:pt idx="29">
                  <c:v>-0.411363694486228</c:v>
                </c:pt>
                <c:pt idx="30">
                  <c:v>-0.45313293789027503</c:v>
                </c:pt>
                <c:pt idx="31">
                  <c:v>-0.49845914011510489</c:v>
                </c:pt>
                <c:pt idx="32">
                  <c:v>-0.54756761680613719</c:v>
                </c:pt>
                <c:pt idx="33">
                  <c:v>-0.60068973161220873</c:v>
                </c:pt>
                <c:pt idx="34">
                  <c:v>-0.65806216210903412</c:v>
                </c:pt>
                <c:pt idx="35">
                  <c:v>-0.71992605584524716</c:v>
                </c:pt>
                <c:pt idx="36">
                  <c:v>-0.78652607312577094</c:v>
                </c:pt>
                <c:pt idx="37">
                  <c:v>-0.85810931395879253</c:v>
                </c:pt>
                <c:pt idx="38">
                  <c:v>-0.93492412751108722</c:v>
                </c:pt>
                <c:pt idx="39">
                  <c:v>-1.0172188034401299</c:v>
                </c:pt>
                <c:pt idx="40">
                  <c:v>-1.105240145596996</c:v>
                </c:pt>
                <c:pt idx="41">
                  <c:v>-1.1992319298162579</c:v>
                </c:pt>
                <c:pt idx="42">
                  <c:v>-1.2994332488210247</c:v>
                </c:pt>
                <c:pt idx="43">
                  <c:v>-1.4060767486639227</c:v>
                </c:pt>
                <c:pt idx="44">
                  <c:v>-1.5193867625874191</c:v>
                </c:pt>
                <c:pt idx="45">
                  <c:v>-1.6395773497065955</c:v>
                </c:pt>
                <c:pt idx="46">
                  <c:v>-1.766850247479627</c:v>
                </c:pt>
                <c:pt idx="47">
                  <c:v>-1.9013927485192847</c:v>
                </c:pt>
                <c:pt idx="48">
                  <c:v>-2.0433755138945244</c:v>
                </c:pt>
                <c:pt idx="49">
                  <c:v>-2.1929503366547975</c:v>
                </c:pt>
                <c:pt idx="50">
                  <c:v>-2.3502478708599908</c:v>
                </c:pt>
                <c:pt idx="51">
                  <c:v>-2.5153753428933472</c:v>
                </c:pt>
                <c:pt idx="52">
                  <c:v>-2.688414263250233</c:v>
                </c:pt>
                <c:pt idx="53">
                  <c:v>-2.8694181583080618</c:v>
                </c:pt>
                <c:pt idx="54">
                  <c:v>-3.0584103427681231</c:v>
                </c:pt>
                <c:pt idx="55">
                  <c:v>-3.2553817544940791</c:v>
                </c:pt>
                <c:pt idx="56">
                  <c:v>-3.4602888743310811</c:v>
                </c:pt>
                <c:pt idx="57">
                  <c:v>-3.6730517541507477</c:v>
                </c:pt>
                <c:pt idx="58">
                  <c:v>-3.8935521768092332</c:v>
                </c:pt>
                <c:pt idx="59">
                  <c:v>-4.1216319719083243</c:v>
                </c:pt>
                <c:pt idx="60">
                  <c:v>-4.3570915111951329</c:v>
                </c:pt>
                <c:pt idx="61">
                  <c:v>-4.5996884071092907</c:v>
                </c:pt>
                <c:pt idx="62">
                  <c:v>-4.8491364373751118</c:v>
                </c:pt>
                <c:pt idx="63">
                  <c:v>-5.1051047176309705</c:v>
                </c:pt>
                <c:pt idx="64">
                  <c:v>-5.3672171428834909</c:v>
                </c:pt>
                <c:pt idx="65">
                  <c:v>-5.6350521170686445</c:v>
                </c:pt>
                <c:pt idx="66">
                  <c:v>-5.9081425881977934</c:v>
                </c:pt>
                <c:pt idx="67">
                  <c:v>-6.1859764044711811</c:v>
                </c:pt>
                <c:pt idx="68">
                  <c:v>-6.4679970043655572</c:v>
                </c:pt>
                <c:pt idx="69">
                  <c:v>-6.753604451062313</c:v>
                </c:pt>
                <c:pt idx="70">
                  <c:v>-7.0421568186982366</c:v>
                </c:pt>
                <c:pt idx="71">
                  <c:v>-7.3329719348171825</c:v>
                </c:pt>
                <c:pt idx="72">
                  <c:v>-7.62532948010689</c:v>
                </c:pt>
                <c:pt idx="73">
                  <c:v>-7.9184734430535473</c:v>
                </c:pt>
                <c:pt idx="74">
                  <c:v>-8.2116149235742899</c:v>
                </c:pt>
                <c:pt idx="75">
                  <c:v>-8.5039352760343494</c:v>
                </c:pt>
                <c:pt idx="76">
                  <c:v>-8.7945895783637766</c:v>
                </c:pt>
                <c:pt idx="77">
                  <c:v>-9.0827104103033118</c:v>
                </c:pt>
                <c:pt idx="78">
                  <c:v>-9.3674119201766342</c:v>
                </c:pt>
                <c:pt idx="79">
                  <c:v>-9.6477941560543616</c:v>
                </c:pt>
                <c:pt idx="80">
                  <c:v>-9.9229476337914715</c:v>
                </c:pt>
                <c:pt idx="81">
                  <c:v>-10.191958111231745</c:v>
                </c:pt>
                <c:pt idx="82">
                  <c:v>-10.453911534926393</c:v>
                </c:pt>
                <c:pt idx="83">
                  <c:v>-10.707899123053654</c:v>
                </c:pt>
                <c:pt idx="84">
                  <c:v>-10.953022545893235</c:v>
                </c:pt>
                <c:pt idx="85">
                  <c:v>-11.188399163242419</c:v>
                </c:pt>
                <c:pt idx="86">
                  <c:v>-11.413167276593587</c:v>
                </c:pt>
                <c:pt idx="87">
                  <c:v>-11.626491352755341</c:v>
                </c:pt>
                <c:pt idx="88">
                  <c:v>-11.827567174915776</c:v>
                </c:pt>
                <c:pt idx="89">
                  <c:v>-12.01562687693502</c:v>
                </c:pt>
                <c:pt idx="90">
                  <c:v>-12.189943816927865</c:v>
                </c:pt>
                <c:pt idx="91">
                  <c:v>-12.349837246961583</c:v>
                </c:pt>
                <c:pt idx="92">
                  <c:v>-12.494676736948609</c:v>
                </c:pt>
                <c:pt idx="93">
                  <c:v>-12.623886312551081</c:v>
                </c:pt>
                <c:pt idx="94">
                  <c:v>-12.736948269119816</c:v>
                </c:pt>
                <c:pt idx="95">
                  <c:v>-12.833406626343798</c:v>
                </c:pt>
                <c:pt idx="96">
                  <c:v>-12.912870191359589</c:v>
                </c:pt>
                <c:pt idx="97">
                  <c:v>-12.975015201530626</c:v>
                </c:pt>
                <c:pt idx="98">
                  <c:v>-13.01958752191425</c:v>
                </c:pt>
                <c:pt idx="99">
                  <c:v>-13.046404376545947</c:v>
                </c:pt>
                <c:pt idx="100">
                  <c:v>-13.055355597036465</c:v>
                </c:pt>
                <c:pt idx="101">
                  <c:v>-13.046404376545947</c:v>
                </c:pt>
                <c:pt idx="102">
                  <c:v>-13.01958752191425</c:v>
                </c:pt>
                <c:pt idx="103">
                  <c:v>-12.975015201530626</c:v>
                </c:pt>
                <c:pt idx="104">
                  <c:v>-12.912870191359589</c:v>
                </c:pt>
                <c:pt idx="105">
                  <c:v>-12.833406626343798</c:v>
                </c:pt>
                <c:pt idx="106">
                  <c:v>-12.736948269119816</c:v>
                </c:pt>
                <c:pt idx="107">
                  <c:v>-12.623886312551081</c:v>
                </c:pt>
                <c:pt idx="108">
                  <c:v>-12.494676736948609</c:v>
                </c:pt>
                <c:pt idx="109">
                  <c:v>-12.349837246961583</c:v>
                </c:pt>
                <c:pt idx="110">
                  <c:v>-12.189943816927865</c:v>
                </c:pt>
                <c:pt idx="111">
                  <c:v>-12.01562687693502</c:v>
                </c:pt>
                <c:pt idx="112">
                  <c:v>-11.827567174915776</c:v>
                </c:pt>
                <c:pt idx="113">
                  <c:v>-11.626491352755341</c:v>
                </c:pt>
                <c:pt idx="114">
                  <c:v>-11.413167276593587</c:v>
                </c:pt>
                <c:pt idx="115">
                  <c:v>-11.188399163242419</c:v>
                </c:pt>
                <c:pt idx="116">
                  <c:v>-10.953022545893235</c:v>
                </c:pt>
                <c:pt idx="117">
                  <c:v>-10.707899123053654</c:v>
                </c:pt>
                <c:pt idx="118">
                  <c:v>-10.453911534926393</c:v>
                </c:pt>
                <c:pt idx="119">
                  <c:v>-10.191958111231745</c:v>
                </c:pt>
                <c:pt idx="120">
                  <c:v>-9.9229476337914715</c:v>
                </c:pt>
                <c:pt idx="121">
                  <c:v>-9.6477941560543616</c:v>
                </c:pt>
                <c:pt idx="122">
                  <c:v>-9.3674119201766342</c:v>
                </c:pt>
                <c:pt idx="123">
                  <c:v>-9.0827104103033118</c:v>
                </c:pt>
                <c:pt idx="124">
                  <c:v>-8.7945895783637766</c:v>
                </c:pt>
                <c:pt idx="125">
                  <c:v>-8.5039352760343494</c:v>
                </c:pt>
                <c:pt idx="126">
                  <c:v>-8.2116149235742899</c:v>
                </c:pt>
                <c:pt idx="127">
                  <c:v>-7.9184734430535473</c:v>
                </c:pt>
                <c:pt idx="128">
                  <c:v>-7.62532948010689</c:v>
                </c:pt>
                <c:pt idx="129">
                  <c:v>-7.3329719348171825</c:v>
                </c:pt>
                <c:pt idx="130">
                  <c:v>-7.0421568186982366</c:v>
                </c:pt>
                <c:pt idx="131">
                  <c:v>-6.753604451062313</c:v>
                </c:pt>
                <c:pt idx="132">
                  <c:v>-6.4679970043655572</c:v>
                </c:pt>
                <c:pt idx="133">
                  <c:v>-6.1859764044711811</c:v>
                </c:pt>
                <c:pt idx="134">
                  <c:v>-5.9081425881977934</c:v>
                </c:pt>
                <c:pt idx="135">
                  <c:v>-5.6350521170686445</c:v>
                </c:pt>
                <c:pt idx="136">
                  <c:v>-5.3672171428834909</c:v>
                </c:pt>
                <c:pt idx="137">
                  <c:v>-5.1051047176309705</c:v>
                </c:pt>
                <c:pt idx="138">
                  <c:v>-4.8491364373751118</c:v>
                </c:pt>
                <c:pt idx="139">
                  <c:v>-4.5996884071092907</c:v>
                </c:pt>
                <c:pt idx="140">
                  <c:v>-4.3570915111951329</c:v>
                </c:pt>
                <c:pt idx="141">
                  <c:v>-4.1216319719083243</c:v>
                </c:pt>
                <c:pt idx="142">
                  <c:v>-3.8935521768092332</c:v>
                </c:pt>
                <c:pt idx="143">
                  <c:v>-3.6730517541507477</c:v>
                </c:pt>
                <c:pt idx="144">
                  <c:v>-3.4602888743310811</c:v>
                </c:pt>
                <c:pt idx="145">
                  <c:v>-3.2553817544940791</c:v>
                </c:pt>
                <c:pt idx="146">
                  <c:v>-3.0584103427681231</c:v>
                </c:pt>
                <c:pt idx="147">
                  <c:v>-2.8694181583080618</c:v>
                </c:pt>
                <c:pt idx="148">
                  <c:v>-2.688414263250233</c:v>
                </c:pt>
                <c:pt idx="149">
                  <c:v>-2.5153753428933472</c:v>
                </c:pt>
                <c:pt idx="150">
                  <c:v>-2.3502478708599908</c:v>
                </c:pt>
                <c:pt idx="151">
                  <c:v>-2.1929503366547975</c:v>
                </c:pt>
                <c:pt idx="152">
                  <c:v>-2.0433755138945244</c:v>
                </c:pt>
                <c:pt idx="153">
                  <c:v>-1.9013927485192847</c:v>
                </c:pt>
                <c:pt idx="154">
                  <c:v>-1.766850247479627</c:v>
                </c:pt>
                <c:pt idx="155">
                  <c:v>-1.6395773497065955</c:v>
                </c:pt>
                <c:pt idx="156">
                  <c:v>-1.5193867625874191</c:v>
                </c:pt>
                <c:pt idx="157">
                  <c:v>-1.4060767486639227</c:v>
                </c:pt>
                <c:pt idx="158">
                  <c:v>-1.2994332488210247</c:v>
                </c:pt>
                <c:pt idx="159">
                  <c:v>-1.1992319298162579</c:v>
                </c:pt>
                <c:pt idx="160">
                  <c:v>-1.105240145596996</c:v>
                </c:pt>
                <c:pt idx="161">
                  <c:v>-1.0172188034401299</c:v>
                </c:pt>
                <c:pt idx="162">
                  <c:v>-0.93492412751108722</c:v>
                </c:pt>
                <c:pt idx="163">
                  <c:v>-0.85810931395879253</c:v>
                </c:pt>
                <c:pt idx="164">
                  <c:v>-0.78652607312577094</c:v>
                </c:pt>
                <c:pt idx="165">
                  <c:v>-0.71992605584524716</c:v>
                </c:pt>
                <c:pt idx="166">
                  <c:v>-0.65806216210903412</c:v>
                </c:pt>
                <c:pt idx="167">
                  <c:v>-0.60068973161220873</c:v>
                </c:pt>
                <c:pt idx="168">
                  <c:v>-0.54756761680613719</c:v>
                </c:pt>
                <c:pt idx="169">
                  <c:v>-0.49845914011510489</c:v>
                </c:pt>
                <c:pt idx="170">
                  <c:v>-0.45313293789027503</c:v>
                </c:pt>
                <c:pt idx="171">
                  <c:v>-0.411363694486228</c:v>
                </c:pt>
                <c:pt idx="172">
                  <c:v>-0.37293277054972929</c:v>
                </c:pt>
                <c:pt idx="173">
                  <c:v>-0.33762873020891143</c:v>
                </c:pt>
                <c:pt idx="174">
                  <c:v>-0.30524777234622286</c:v>
                </c:pt>
                <c:pt idx="175">
                  <c:v>-0.27559407153395138</c:v>
                </c:pt>
                <c:pt idx="176">
                  <c:v>-0.24848003451146625</c:v>
                </c:pt>
                <c:pt idx="177">
                  <c:v>-0.22372647829395814</c:v>
                </c:pt>
                <c:pt idx="178">
                  <c:v>-0.20116273612945124</c:v>
                </c:pt>
                <c:pt idx="179">
                  <c:v>-0.18062669757080754</c:v>
                </c:pt>
                <c:pt idx="180">
                  <c:v>-0.16196478890927379</c:v>
                </c:pt>
                <c:pt idx="181">
                  <c:v>-0.14503190013300038</c:v>
                </c:pt>
                <c:pt idx="182">
                  <c:v>-0.12969126443518089</c:v>
                </c:pt>
                <c:pt idx="183">
                  <c:v>-0.1158142961092703</c:v>
                </c:pt>
                <c:pt idx="184">
                  <c:v>-0.10328039244029635</c:v>
                </c:pt>
                <c:pt idx="185">
                  <c:v>-9.1976704938535728E-2</c:v>
                </c:pt>
                <c:pt idx="186">
                  <c:v>-8.1797884971441082E-2</c:v>
                </c:pt>
                <c:pt idx="187">
                  <c:v>-7.264580853801042E-2</c:v>
                </c:pt>
                <c:pt idx="188">
                  <c:v>-6.4429284602696646E-2</c:v>
                </c:pt>
                <c:pt idx="189">
                  <c:v>-5.7063751068948343E-2</c:v>
                </c:pt>
                <c:pt idx="190">
                  <c:v>-5.0470962130562312E-2</c:v>
                </c:pt>
                <c:pt idx="191">
                  <c:v>-4.4578670396728429E-2</c:v>
                </c:pt>
                <c:pt idx="192">
                  <c:v>-3.9320306847980255E-2</c:v>
                </c:pt>
                <c:pt idx="193">
                  <c:v>-3.4634661348747479E-2</c:v>
                </c:pt>
                <c:pt idx="194">
                  <c:v>-3.0465566120862354E-2</c:v>
                </c:pt>
                <c:pt idx="195">
                  <c:v>-2.676158427374362E-2</c:v>
                </c:pt>
                <c:pt idx="196">
                  <c:v>-2.347570519315622E-2</c:v>
                </c:pt>
                <c:pt idx="197">
                  <c:v>-2.0565048313065666E-2</c:v>
                </c:pt>
                <c:pt idx="198">
                  <c:v>-1.7990576535416841E-2</c:v>
                </c:pt>
                <c:pt idx="199">
                  <c:v>-1.5716820321528668E-2</c:v>
                </c:pt>
                <c:pt idx="200">
                  <c:v>-1.3711613256731776E-2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0AF-4759-B6F8-8BF78F795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432000"/>
        <c:axId val="296433920"/>
      </c:scatterChart>
      <c:valAx>
        <c:axId val="296432000"/>
        <c:scaling>
          <c:orientation val="minMax"/>
          <c:max val="30"/>
          <c:min val="-3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it-IT"/>
                  <a:t>distance from the central axis y (m)</a:t>
                </a:r>
              </a:p>
            </c:rich>
          </c:tx>
          <c:layout>
            <c:manualLayout>
              <c:xMode val="edge"/>
              <c:yMode val="edge"/>
              <c:x val="0.37845567206863678"/>
              <c:y val="8.0443828016643557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296433920"/>
        <c:crosses val="autoZero"/>
        <c:crossBetween val="midCat"/>
      </c:valAx>
      <c:valAx>
        <c:axId val="296433920"/>
        <c:scaling>
          <c:orientation val="minMax"/>
          <c:max val="2.5"/>
        </c:scaling>
        <c:delete val="0"/>
        <c:axPos val="l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it-IT"/>
                  <a:t>settlement Sv (mm)</a:t>
                </a:r>
              </a:p>
            </c:rich>
          </c:tx>
          <c:layout>
            <c:manualLayout>
              <c:xMode val="edge"/>
              <c:yMode val="edge"/>
              <c:x val="2.0972354623450904E-2"/>
              <c:y val="0.4424413453172721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296432000"/>
        <c:crossesAt val="0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5014299332698"/>
          <c:y val="0.44382831721642929"/>
          <c:w val="0.11439466158245949"/>
          <c:h val="0.384188887090471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maximum subsidence at different distances from tunnel axis</a:t>
            </a:r>
          </a:p>
        </c:rich>
      </c:tx>
      <c:layout>
        <c:manualLayout>
          <c:xMode val="edge"/>
          <c:yMode val="edge"/>
          <c:x val="0.18000026246719159"/>
          <c:y val="3.529411764705882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50013122574613"/>
          <c:y val="0.1441178540295468"/>
          <c:w val="0.71750087585556133"/>
          <c:h val="0.75588343848150052"/>
        </c:manualLayout>
      </c:layout>
      <c:scatterChart>
        <c:scatterStyle val="lineMarker"/>
        <c:varyColors val="0"/>
        <c:ser>
          <c:idx val="0"/>
          <c:order val="0"/>
          <c:tx>
            <c:v>x=0m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'subsidence profile with z_0'!$C$6:$J$6</c:f>
              <c:numCache>
                <c:formatCode>General</c:formatCode>
                <c:ptCount val="8"/>
                <c:pt idx="0">
                  <c:v>0.5</c:v>
                </c:pt>
                <c:pt idx="1">
                  <c:v>0.7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</c:numCache>
            </c:numRef>
          </c:xVal>
          <c:yVal>
            <c:numRef>
              <c:f>'subsidence profile with z_0'!$C$116:$J$116</c:f>
              <c:numCache>
                <c:formatCode>0.000</c:formatCode>
                <c:ptCount val="8"/>
                <c:pt idx="0">
                  <c:v>-52.221422388145861</c:v>
                </c:pt>
                <c:pt idx="1">
                  <c:v>-43.517851990121542</c:v>
                </c:pt>
                <c:pt idx="2">
                  <c:v>-34.814281592097238</c:v>
                </c:pt>
                <c:pt idx="3">
                  <c:v>-26.11071119407293</c:v>
                </c:pt>
                <c:pt idx="4">
                  <c:v>-20.888568955258339</c:v>
                </c:pt>
                <c:pt idx="5">
                  <c:v>-17.407140796048619</c:v>
                </c:pt>
                <c:pt idx="6">
                  <c:v>-14.920406396613103</c:v>
                </c:pt>
                <c:pt idx="7">
                  <c:v>-13.055355597036465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EF-4EF6-82B9-BCB55FCFE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938432"/>
        <c:axId val="296461824"/>
      </c:scatterChart>
      <c:valAx>
        <c:axId val="289938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4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z/D</a:t>
                </a:r>
              </a:p>
            </c:rich>
          </c:tx>
          <c:layout>
            <c:manualLayout>
              <c:xMode val="edge"/>
              <c:yMode val="edge"/>
              <c:x val="0.44500052493438319"/>
              <c:y val="0.91764829396325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6461824"/>
        <c:crosses val="autoZero"/>
        <c:crossBetween val="midCat"/>
      </c:valAx>
      <c:valAx>
        <c:axId val="2964618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settlements w (mm)</a:t>
                </a:r>
              </a:p>
            </c:rich>
          </c:tx>
          <c:layout>
            <c:manualLayout>
              <c:xMode val="edge"/>
              <c:yMode val="edge"/>
              <c:x val="0.04"/>
              <c:y val="0.420588852863980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8993843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500105590949206"/>
          <c:y val="0.49117717597825133"/>
          <c:w val="0.11750014343279228"/>
          <c:h val="3.529416833376656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maximum subsidence at different distances from tunnel axis</a:t>
            </a:r>
          </a:p>
        </c:rich>
      </c:tx>
      <c:layout>
        <c:manualLayout>
          <c:xMode val="edge"/>
          <c:yMode val="edge"/>
          <c:x val="0.14583355205599299"/>
          <c:y val="3.468208092485548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00020345093476"/>
          <c:y val="0.16184993938812345"/>
          <c:w val="0.74166817559443277"/>
          <c:h val="0.73121490473562922"/>
        </c:manualLayout>
      </c:layout>
      <c:scatterChart>
        <c:scatterStyle val="lineMarker"/>
        <c:varyColors val="0"/>
        <c:ser>
          <c:idx val="0"/>
          <c:order val="0"/>
          <c:tx>
            <c:v>x=1m</c:v>
          </c:tx>
          <c:spPr>
            <a:ln w="38100">
              <a:solidFill>
                <a:srgbClr val="FF00FF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FF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'subsidence profile with z_0'!$C$6:$J$6</c:f>
              <c:numCache>
                <c:formatCode>General</c:formatCode>
                <c:ptCount val="8"/>
                <c:pt idx="0">
                  <c:v>0.5</c:v>
                </c:pt>
                <c:pt idx="1">
                  <c:v>0.7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</c:numCache>
            </c:numRef>
          </c:xVal>
          <c:yVal>
            <c:numRef>
              <c:f>'subsidence profile with z_0'!$C$114:$J$114</c:f>
              <c:numCache>
                <c:formatCode>0.000</c:formatCode>
                <c:ptCount val="8"/>
                <c:pt idx="0">
                  <c:v>-49.978706947794436</c:v>
                </c:pt>
                <c:pt idx="1">
                  <c:v>-42.211305433465725</c:v>
                </c:pt>
                <c:pt idx="2">
                  <c:v>-34.141664524298243</c:v>
                </c:pt>
                <c:pt idx="3">
                  <c:v>-25.825740382719179</c:v>
                </c:pt>
                <c:pt idx="4">
                  <c:v>-20.742375840590231</c:v>
                </c:pt>
                <c:pt idx="5">
                  <c:v>-17.322447561452101</c:v>
                </c:pt>
                <c:pt idx="6">
                  <c:v>-14.867037387841584</c:v>
                </c:pt>
                <c:pt idx="7">
                  <c:v>-13.01958752191425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FA-4E7F-83E6-7D836B3B9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228736"/>
        <c:axId val="296231296"/>
      </c:scatterChart>
      <c:valAx>
        <c:axId val="2962287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z/D</a:t>
                </a:r>
              </a:p>
            </c:rich>
          </c:tx>
          <c:layout>
            <c:manualLayout>
              <c:xMode val="edge"/>
              <c:yMode val="edge"/>
              <c:x val="0.45000087489063861"/>
              <c:y val="0.913296011408978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6231296"/>
        <c:crosses val="autoZero"/>
        <c:crossBetween val="midCat"/>
      </c:valAx>
      <c:valAx>
        <c:axId val="296231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settlements w (mm)</a:t>
                </a:r>
              </a:p>
            </c:rich>
          </c:tx>
          <c:layout>
            <c:manualLayout>
              <c:xMode val="edge"/>
              <c:yMode val="edge"/>
              <c:x val="3.3333333333333333E-2"/>
              <c:y val="0.401734710906801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62287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708511776757359"/>
          <c:y val="0.49133017314251765"/>
          <c:w val="0.10625021616661817"/>
          <c:h val="4.046248484703086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maximum subsidence at different distances from tunnel axis</a:t>
            </a:r>
          </a:p>
        </c:rich>
      </c:tx>
      <c:layout>
        <c:manualLayout>
          <c:xMode val="edge"/>
          <c:yMode val="edge"/>
          <c:x val="0.14583355205599299"/>
          <c:y val="3.468208092485548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00020345093476"/>
          <c:y val="0.16184993938812345"/>
          <c:w val="0.73958483802253827"/>
          <c:h val="0.73121490473562922"/>
        </c:manualLayout>
      </c:layout>
      <c:scatterChart>
        <c:scatterStyle val="lineMarker"/>
        <c:varyColors val="0"/>
        <c:ser>
          <c:idx val="0"/>
          <c:order val="0"/>
          <c:tx>
            <c:v>x=3m</c:v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'subsidence profile with z_0'!$C$6:$J$6</c:f>
              <c:numCache>
                <c:formatCode>General</c:formatCode>
                <c:ptCount val="8"/>
                <c:pt idx="0">
                  <c:v>0.5</c:v>
                </c:pt>
                <c:pt idx="1">
                  <c:v>0.7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</c:numCache>
            </c:numRef>
          </c:xVal>
          <c:yVal>
            <c:numRef>
              <c:f>'subsidence profile with z_0'!$C$110:$J$110</c:f>
              <c:numCache>
                <c:formatCode>0.000</c:formatCode>
                <c:ptCount val="8"/>
                <c:pt idx="0">
                  <c:v>-35.178358313455107</c:v>
                </c:pt>
                <c:pt idx="1">
                  <c:v>-33.076492112638235</c:v>
                </c:pt>
                <c:pt idx="2">
                  <c:v>-29.208060122381955</c:v>
                </c:pt>
                <c:pt idx="3">
                  <c:v>-23.655134349831552</c:v>
                </c:pt>
                <c:pt idx="4">
                  <c:v>-19.609069579604363</c:v>
                </c:pt>
                <c:pt idx="5">
                  <c:v>-16.659568982598145</c:v>
                </c:pt>
                <c:pt idx="6">
                  <c:v>-14.44690053599024</c:v>
                </c:pt>
                <c:pt idx="7">
                  <c:v>-12.736948269119816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C5-4B7F-92D3-DD077A332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264448"/>
        <c:axId val="296266752"/>
      </c:scatterChart>
      <c:valAx>
        <c:axId val="29626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z/D</a:t>
                </a:r>
              </a:p>
            </c:rich>
          </c:tx>
          <c:layout>
            <c:manualLayout>
              <c:xMode val="edge"/>
              <c:yMode val="edge"/>
              <c:x val="0.44791754155730529"/>
              <c:y val="0.913296011408978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6266752"/>
        <c:crosses val="autoZero"/>
        <c:crossBetween val="midCat"/>
      </c:valAx>
      <c:valAx>
        <c:axId val="2962667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settlements w (mm)</a:t>
                </a:r>
              </a:p>
            </c:rich>
          </c:tx>
          <c:layout>
            <c:manualLayout>
              <c:xMode val="edge"/>
              <c:yMode val="edge"/>
              <c:x val="3.3333333333333333E-2"/>
              <c:y val="0.401734710906801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62644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500178019567909"/>
          <c:y val="0.49133017314251765"/>
          <c:w val="0.10833355373851265"/>
          <c:h val="4.046248484703086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maximum subsidence at different distances from tunnel axis</a:t>
            </a:r>
          </a:p>
        </c:rich>
      </c:tx>
      <c:layout>
        <c:manualLayout>
          <c:xMode val="edge"/>
          <c:yMode val="edge"/>
          <c:x val="0.17721518987341772"/>
          <c:y val="3.343465045592704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86075949367088"/>
          <c:y val="0.1458966565349544"/>
          <c:w val="0.71392405063291142"/>
          <c:h val="0.75075987841945291"/>
        </c:manualLayout>
      </c:layout>
      <c:scatterChart>
        <c:scatterStyle val="lineMarker"/>
        <c:varyColors val="0"/>
        <c:ser>
          <c:idx val="0"/>
          <c:order val="0"/>
          <c:tx>
            <c:v>x=5m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'subsidence profile with z_0'!$C$6:$J$6</c:f>
              <c:numCache>
                <c:formatCode>General</c:formatCode>
                <c:ptCount val="8"/>
                <c:pt idx="0">
                  <c:v>0.5</c:v>
                </c:pt>
                <c:pt idx="1">
                  <c:v>0.7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</c:numCache>
            </c:numRef>
          </c:xVal>
          <c:yVal>
            <c:numRef>
              <c:f>'subsidence profile with z_0'!$C$106:$J$106</c:f>
              <c:numCache>
                <c:formatCode>0.000</c:formatCode>
                <c:ptCount val="8"/>
                <c:pt idx="0">
                  <c:v>-17.428366044780532</c:v>
                </c:pt>
                <c:pt idx="1">
                  <c:v>-20.309571819208863</c:v>
                </c:pt>
                <c:pt idx="2">
                  <c:v>-21.376606380175883</c:v>
                </c:pt>
                <c:pt idx="3">
                  <c:v>-19.845895267582943</c:v>
                </c:pt>
                <c:pt idx="4">
                  <c:v>-17.524836073429174</c:v>
                </c:pt>
                <c:pt idx="5">
                  <c:v>-15.408940307042517</c:v>
                </c:pt>
                <c:pt idx="6">
                  <c:v>-13.641910033827648</c:v>
                </c:pt>
                <c:pt idx="7">
                  <c:v>-12.189943816927865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F-42CE-8EAB-3775CB7F6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287616"/>
        <c:axId val="296314752"/>
      </c:scatterChart>
      <c:valAx>
        <c:axId val="296287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4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z/D</a:t>
                </a:r>
              </a:p>
            </c:rich>
          </c:tx>
          <c:layout>
            <c:manualLayout>
              <c:xMode val="edge"/>
              <c:yMode val="edge"/>
              <c:x val="0.44556962025316454"/>
              <c:y val="0.9148936170212765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6314752"/>
        <c:crosses val="autoZero"/>
        <c:crossBetween val="midCat"/>
      </c:valAx>
      <c:valAx>
        <c:axId val="2963147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settlements w (mm)</a:t>
                </a:r>
              </a:p>
            </c:rich>
          </c:tx>
          <c:layout>
            <c:manualLayout>
              <c:xMode val="edge"/>
              <c:yMode val="edge"/>
              <c:x val="4.0506329113924051E-2"/>
              <c:y val="0.4194528875379939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628761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582278481012653"/>
          <c:y val="0.48328267477203646"/>
          <c:w val="0.11898734177215189"/>
          <c:h val="3.6474164133738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maximum subsidence at different distances from tunnel axis</a:t>
            </a:r>
          </a:p>
        </c:rich>
      </c:tx>
      <c:layout>
        <c:manualLayout>
          <c:xMode val="edge"/>
          <c:yMode val="edge"/>
          <c:x val="0.16269882931300253"/>
          <c:y val="3.37423312883435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3254148945446091E-2"/>
          <c:y val="0.17177914110429449"/>
          <c:w val="0.75000145322082179"/>
          <c:h val="0.71472392638036808"/>
        </c:manualLayout>
      </c:layout>
      <c:scatterChart>
        <c:scatterStyle val="lineMarker"/>
        <c:varyColors val="0"/>
        <c:ser>
          <c:idx val="0"/>
          <c:order val="0"/>
          <c:tx>
            <c:v>x=7m</c:v>
          </c:tx>
          <c:spPr>
            <a:ln w="38100">
              <a:solidFill>
                <a:srgbClr val="33CCCC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33CC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'subsidence profile with z_0'!$C$6:$J$6</c:f>
              <c:numCache>
                <c:formatCode>General</c:formatCode>
                <c:ptCount val="8"/>
                <c:pt idx="0">
                  <c:v>0.5</c:v>
                </c:pt>
                <c:pt idx="1">
                  <c:v>0.7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</c:numCache>
            </c:numRef>
          </c:xVal>
          <c:yVal>
            <c:numRef>
              <c:f>'subsidence profile with z_0'!$C$102:$J$102</c:f>
              <c:numCache>
                <c:formatCode>0.000</c:formatCode>
                <c:ptCount val="8"/>
                <c:pt idx="0">
                  <c:v>-6.0775470503496765</c:v>
                </c:pt>
                <c:pt idx="1">
                  <c:v>-9.7717590878528924</c:v>
                </c:pt>
                <c:pt idx="2">
                  <c:v>-13.384212711942133</c:v>
                </c:pt>
                <c:pt idx="3">
                  <c:v>-15.25065896021378</c:v>
                </c:pt>
                <c:pt idx="4">
                  <c:v>-14.806398349005388</c:v>
                </c:pt>
                <c:pt idx="5">
                  <c:v>-13.706806762940833</c:v>
                </c:pt>
                <c:pt idx="6">
                  <c:v>-12.51774005244941</c:v>
                </c:pt>
                <c:pt idx="7">
                  <c:v>-11.413167276593587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F-4A0E-8608-2DDB66CD9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352000"/>
        <c:axId val="296821504"/>
      </c:scatterChart>
      <c:valAx>
        <c:axId val="296352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z/D</a:t>
                </a:r>
              </a:p>
            </c:rich>
          </c:tx>
          <c:layout>
            <c:manualLayout>
              <c:xMode val="edge"/>
              <c:yMode val="edge"/>
              <c:x val="0.44841353164187808"/>
              <c:y val="0.907975460122699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6821504"/>
        <c:crosses val="autoZero"/>
        <c:crossBetween val="midCat"/>
      </c:valAx>
      <c:valAx>
        <c:axId val="2968215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settlements w (mm)</a:t>
                </a:r>
              </a:p>
            </c:rich>
          </c:tx>
          <c:layout>
            <c:manualLayout>
              <c:xMode val="edge"/>
              <c:yMode val="edge"/>
              <c:x val="3.1746031746031744E-2"/>
              <c:y val="0.3865030674846625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635200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896995708154502"/>
          <c:y val="0.48773006134969327"/>
          <c:w val="0.10515893391720517"/>
          <c:h val="4.294478527607362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maximum subsidence at different distances from tunnel axis</a:t>
            </a:r>
          </a:p>
        </c:rich>
      </c:tx>
      <c:layout>
        <c:manualLayout>
          <c:xMode val="edge"/>
          <c:yMode val="edge"/>
          <c:x val="0.15895372233400401"/>
          <c:y val="3.395061728395061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249496981891348E-2"/>
          <c:y val="0.16358073995930977"/>
          <c:w val="0.75653923541247481"/>
          <c:h val="0.68518725039559947"/>
        </c:manualLayout>
      </c:layout>
      <c:scatterChart>
        <c:scatterStyle val="lineMarker"/>
        <c:varyColors val="0"/>
        <c:ser>
          <c:idx val="0"/>
          <c:order val="0"/>
          <c:tx>
            <c:v>x=10m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'subsidence profile with z_0'!$C$6:$J$6</c:f>
              <c:numCache>
                <c:formatCode>General</c:formatCode>
                <c:ptCount val="8"/>
                <c:pt idx="0">
                  <c:v>0.5</c:v>
                </c:pt>
                <c:pt idx="1">
                  <c:v>0.7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</c:numCache>
            </c:numRef>
          </c:xVal>
          <c:yVal>
            <c:numRef>
              <c:f>'subsidence profile with z_0'!$C$96:$J$96</c:f>
              <c:numCache>
                <c:formatCode>0.000</c:formatCode>
                <c:ptCount val="8"/>
                <c:pt idx="0">
                  <c:v>-0.64785915563709517</c:v>
                </c:pt>
                <c:pt idx="1">
                  <c:v>-2.0644326418800913</c:v>
                </c:pt>
                <c:pt idx="2">
                  <c:v>-4.9486043020439059</c:v>
                </c:pt>
                <c:pt idx="3">
                  <c:v>-8.7141830223902659</c:v>
                </c:pt>
                <c:pt idx="4">
                  <c:v>-10.348795206984891</c:v>
                </c:pt>
                <c:pt idx="5">
                  <c:v>-10.688303190087941</c:v>
                </c:pt>
                <c:pt idx="6">
                  <c:v>-10.426985438821308</c:v>
                </c:pt>
                <c:pt idx="7">
                  <c:v>-9.9229476337914715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97-4666-8EB1-A8869A857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858752"/>
        <c:axId val="296861056"/>
      </c:scatterChart>
      <c:valAx>
        <c:axId val="296858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z/D</a:t>
                </a:r>
              </a:p>
            </c:rich>
          </c:tx>
          <c:layout>
            <c:manualLayout>
              <c:xMode val="edge"/>
              <c:yMode val="edge"/>
              <c:x val="0.44265593561368211"/>
              <c:y val="0.907409999675966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6861056"/>
        <c:crosses val="autoZero"/>
        <c:crossBetween val="midCat"/>
      </c:valAx>
      <c:valAx>
        <c:axId val="2968610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settlements w (mm)</a:t>
                </a:r>
              </a:p>
            </c:rich>
          </c:tx>
          <c:layout>
            <c:manualLayout>
              <c:xMode val="edge"/>
              <c:yMode val="edge"/>
              <c:x val="3.2193158953722337E-2"/>
              <c:y val="0.395063024529341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685875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323943661971826"/>
          <c:y val="0.48765579082209326"/>
          <c:w val="0.11066398390342053"/>
          <c:h val="4.321000678170446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Maximum Subsidence at different distances from tunnel axis</a:t>
            </a:r>
          </a:p>
        </c:rich>
      </c:tx>
      <c:layout>
        <c:manualLayout>
          <c:xMode val="edge"/>
          <c:yMode val="edge"/>
          <c:x val="0.2335079633370436"/>
          <c:y val="2.698863636363636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71209542298728"/>
          <c:y val="0.25284090909090912"/>
          <c:w val="0.85130933578888646"/>
          <c:h val="0.69744318181818177"/>
        </c:manualLayout>
      </c:layout>
      <c:scatterChart>
        <c:scatterStyle val="lineMarker"/>
        <c:varyColors val="0"/>
        <c:ser>
          <c:idx val="0"/>
          <c:order val="0"/>
          <c:tx>
            <c:v>x=0m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'subsidence profile with z_0'!$C$6:$J$6</c:f>
              <c:numCache>
                <c:formatCode>General</c:formatCode>
                <c:ptCount val="8"/>
                <c:pt idx="0">
                  <c:v>0.5</c:v>
                </c:pt>
                <c:pt idx="1">
                  <c:v>0.7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</c:numCache>
            </c:numRef>
          </c:xVal>
          <c:yVal>
            <c:numRef>
              <c:f>'subsidence profile with z_0'!$C$116:$J$116</c:f>
              <c:numCache>
                <c:formatCode>0.000</c:formatCode>
                <c:ptCount val="8"/>
                <c:pt idx="0">
                  <c:v>-52.221422388145861</c:v>
                </c:pt>
                <c:pt idx="1">
                  <c:v>-43.517851990121542</c:v>
                </c:pt>
                <c:pt idx="2">
                  <c:v>-34.814281592097238</c:v>
                </c:pt>
                <c:pt idx="3">
                  <c:v>-26.11071119407293</c:v>
                </c:pt>
                <c:pt idx="4">
                  <c:v>-20.888568955258339</c:v>
                </c:pt>
                <c:pt idx="5">
                  <c:v>-17.407140796048619</c:v>
                </c:pt>
                <c:pt idx="6">
                  <c:v>-14.920406396613103</c:v>
                </c:pt>
                <c:pt idx="7">
                  <c:v>-13.055355597036465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25-4456-BA63-72824FA6461C}"/>
            </c:ext>
          </c:extLst>
        </c:ser>
        <c:ser>
          <c:idx val="0"/>
          <c:order val="1"/>
          <c:tx>
            <c:v>x=1m</c:v>
          </c:tx>
          <c:spPr>
            <a:ln w="38100">
              <a:solidFill>
                <a:srgbClr val="FF00FF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FF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'subsidence profile with z_0'!$C$6:$J$6</c:f>
              <c:numCache>
                <c:formatCode>General</c:formatCode>
                <c:ptCount val="8"/>
                <c:pt idx="0">
                  <c:v>0.5</c:v>
                </c:pt>
                <c:pt idx="1">
                  <c:v>0.7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</c:numCache>
            </c:numRef>
          </c:xVal>
          <c:yVal>
            <c:numRef>
              <c:f>'subsidence profile with z_0'!$C$114:$J$114</c:f>
              <c:numCache>
                <c:formatCode>0.000</c:formatCode>
                <c:ptCount val="8"/>
                <c:pt idx="0">
                  <c:v>-49.978706947794436</c:v>
                </c:pt>
                <c:pt idx="1">
                  <c:v>-42.211305433465725</c:v>
                </c:pt>
                <c:pt idx="2">
                  <c:v>-34.141664524298243</c:v>
                </c:pt>
                <c:pt idx="3">
                  <c:v>-25.825740382719179</c:v>
                </c:pt>
                <c:pt idx="4">
                  <c:v>-20.742375840590231</c:v>
                </c:pt>
                <c:pt idx="5">
                  <c:v>-17.322447561452101</c:v>
                </c:pt>
                <c:pt idx="6">
                  <c:v>-14.867037387841584</c:v>
                </c:pt>
                <c:pt idx="7">
                  <c:v>-13.01958752191425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25-4456-BA63-72824FA6461C}"/>
            </c:ext>
          </c:extLst>
        </c:ser>
        <c:ser>
          <c:idx val="0"/>
          <c:order val="2"/>
          <c:tx>
            <c:v>x=3m</c:v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'subsidence profile with z_0'!$C$6:$J$6</c:f>
              <c:numCache>
                <c:formatCode>General</c:formatCode>
                <c:ptCount val="8"/>
                <c:pt idx="0">
                  <c:v>0.5</c:v>
                </c:pt>
                <c:pt idx="1">
                  <c:v>0.7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</c:numCache>
            </c:numRef>
          </c:xVal>
          <c:yVal>
            <c:numRef>
              <c:f>'subsidence profile with z_0'!$C$110:$J$110</c:f>
              <c:numCache>
                <c:formatCode>0.000</c:formatCode>
                <c:ptCount val="8"/>
                <c:pt idx="0">
                  <c:v>-35.178358313455107</c:v>
                </c:pt>
                <c:pt idx="1">
                  <c:v>-33.076492112638235</c:v>
                </c:pt>
                <c:pt idx="2">
                  <c:v>-29.208060122381955</c:v>
                </c:pt>
                <c:pt idx="3">
                  <c:v>-23.655134349831552</c:v>
                </c:pt>
                <c:pt idx="4">
                  <c:v>-19.609069579604363</c:v>
                </c:pt>
                <c:pt idx="5">
                  <c:v>-16.659568982598145</c:v>
                </c:pt>
                <c:pt idx="6">
                  <c:v>-14.44690053599024</c:v>
                </c:pt>
                <c:pt idx="7">
                  <c:v>-12.736948269119816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25-4456-BA63-72824FA6461C}"/>
            </c:ext>
          </c:extLst>
        </c:ser>
        <c:ser>
          <c:idx val="0"/>
          <c:order val="3"/>
          <c:tx>
            <c:v>x=5m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'subsidence profile with z_0'!$C$6:$J$6</c:f>
              <c:numCache>
                <c:formatCode>General</c:formatCode>
                <c:ptCount val="8"/>
                <c:pt idx="0">
                  <c:v>0.5</c:v>
                </c:pt>
                <c:pt idx="1">
                  <c:v>0.7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</c:numCache>
            </c:numRef>
          </c:xVal>
          <c:yVal>
            <c:numRef>
              <c:f>'subsidence profile with z_0'!$C$106:$J$106</c:f>
              <c:numCache>
                <c:formatCode>0.000</c:formatCode>
                <c:ptCount val="8"/>
                <c:pt idx="0">
                  <c:v>-17.428366044780532</c:v>
                </c:pt>
                <c:pt idx="1">
                  <c:v>-20.309571819208863</c:v>
                </c:pt>
                <c:pt idx="2">
                  <c:v>-21.376606380175883</c:v>
                </c:pt>
                <c:pt idx="3">
                  <c:v>-19.845895267582943</c:v>
                </c:pt>
                <c:pt idx="4">
                  <c:v>-17.524836073429174</c:v>
                </c:pt>
                <c:pt idx="5">
                  <c:v>-15.408940307042517</c:v>
                </c:pt>
                <c:pt idx="6">
                  <c:v>-13.641910033827648</c:v>
                </c:pt>
                <c:pt idx="7">
                  <c:v>-12.189943816927865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B25-4456-BA63-72824FA6461C}"/>
            </c:ext>
          </c:extLst>
        </c:ser>
        <c:ser>
          <c:idx val="0"/>
          <c:order val="4"/>
          <c:tx>
            <c:v>x=7m</c:v>
          </c:tx>
          <c:spPr>
            <a:ln w="38100">
              <a:solidFill>
                <a:srgbClr val="33CCCC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33CC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'subsidence profile with z_0'!$C$6:$J$6</c:f>
              <c:numCache>
                <c:formatCode>General</c:formatCode>
                <c:ptCount val="8"/>
                <c:pt idx="0">
                  <c:v>0.5</c:v>
                </c:pt>
                <c:pt idx="1">
                  <c:v>0.7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</c:numCache>
            </c:numRef>
          </c:xVal>
          <c:yVal>
            <c:numRef>
              <c:f>'subsidence profile with z_0'!$C$102:$J$102</c:f>
              <c:numCache>
                <c:formatCode>0.000</c:formatCode>
                <c:ptCount val="8"/>
                <c:pt idx="0">
                  <c:v>-6.0775470503496765</c:v>
                </c:pt>
                <c:pt idx="1">
                  <c:v>-9.7717590878528924</c:v>
                </c:pt>
                <c:pt idx="2">
                  <c:v>-13.384212711942133</c:v>
                </c:pt>
                <c:pt idx="3">
                  <c:v>-15.25065896021378</c:v>
                </c:pt>
                <c:pt idx="4">
                  <c:v>-14.806398349005388</c:v>
                </c:pt>
                <c:pt idx="5">
                  <c:v>-13.706806762940833</c:v>
                </c:pt>
                <c:pt idx="6">
                  <c:v>-12.51774005244941</c:v>
                </c:pt>
                <c:pt idx="7">
                  <c:v>-11.413167276593587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25-4456-BA63-72824FA6461C}"/>
            </c:ext>
          </c:extLst>
        </c:ser>
        <c:ser>
          <c:idx val="0"/>
          <c:order val="5"/>
          <c:tx>
            <c:v>x=10m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'subsidence profile with z_0'!$C$6:$J$6</c:f>
              <c:numCache>
                <c:formatCode>General</c:formatCode>
                <c:ptCount val="8"/>
                <c:pt idx="0">
                  <c:v>0.5</c:v>
                </c:pt>
                <c:pt idx="1">
                  <c:v>0.7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</c:numCache>
            </c:numRef>
          </c:xVal>
          <c:yVal>
            <c:numRef>
              <c:f>'subsidence profile with z_0'!$C$96:$J$96</c:f>
              <c:numCache>
                <c:formatCode>0.000</c:formatCode>
                <c:ptCount val="8"/>
                <c:pt idx="0">
                  <c:v>-0.64785915563709517</c:v>
                </c:pt>
                <c:pt idx="1">
                  <c:v>-2.0644326418800913</c:v>
                </c:pt>
                <c:pt idx="2">
                  <c:v>-4.9486043020439059</c:v>
                </c:pt>
                <c:pt idx="3">
                  <c:v>-8.7141830223902659</c:v>
                </c:pt>
                <c:pt idx="4">
                  <c:v>-10.348795206984891</c:v>
                </c:pt>
                <c:pt idx="5">
                  <c:v>-10.688303190087941</c:v>
                </c:pt>
                <c:pt idx="6">
                  <c:v>-10.426985438821308</c:v>
                </c:pt>
                <c:pt idx="7">
                  <c:v>-9.9229476337914715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B25-4456-BA63-72824FA64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917248"/>
        <c:axId val="296944384"/>
      </c:scatterChart>
      <c:valAx>
        <c:axId val="296917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5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z/D</a:t>
                </a:r>
              </a:p>
            </c:rich>
          </c:tx>
          <c:layout>
            <c:manualLayout>
              <c:xMode val="edge"/>
              <c:yMode val="edge"/>
              <c:x val="0.4994766596583804"/>
              <c:y val="0.122159090909090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6944384"/>
        <c:crosses val="autoZero"/>
        <c:crossBetween val="midCat"/>
      </c:valAx>
      <c:valAx>
        <c:axId val="2969443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5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settlements w (mm)</a:t>
                </a:r>
              </a:p>
            </c:rich>
          </c:tx>
          <c:layout>
            <c:manualLayout>
              <c:xMode val="edge"/>
              <c:yMode val="edge"/>
              <c:x val="2.0942408376963352E-2"/>
              <c:y val="0.467329545454545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69172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020981277088762"/>
          <c:y val="0.52130681818181823"/>
          <c:w val="0.15916238504294064"/>
          <c:h val="0.3494318181818181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3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it-IT"/>
              <a:t>SUBSIDENCE along CROSS-SECTIONs with VARYING OVERBURDEN</a:t>
            </a:r>
          </a:p>
        </c:rich>
      </c:tx>
      <c:layout>
        <c:manualLayout>
          <c:xMode val="edge"/>
          <c:yMode val="edge"/>
          <c:x val="0.13216577227209655"/>
          <c:y val="2.67379679144385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8471390817350791E-2"/>
          <c:y val="0.1497326203208556"/>
          <c:w val="0.90445930195942437"/>
          <c:h val="0.807486631016042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'subsidence profile with z_0'!$C$6</c:f>
              <c:strCache>
                <c:ptCount val="1"/>
                <c:pt idx="0">
                  <c:v>0.5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'subsidence profile with z_0'!$B$16:$B$216</c:f>
              <c:numCache>
                <c:formatCode>0.000</c:formatCode>
                <c:ptCount val="201"/>
                <c:pt idx="0">
                  <c:v>-50</c:v>
                </c:pt>
                <c:pt idx="1">
                  <c:v>-49.5</c:v>
                </c:pt>
                <c:pt idx="2">
                  <c:v>-49</c:v>
                </c:pt>
                <c:pt idx="3">
                  <c:v>-48.5</c:v>
                </c:pt>
                <c:pt idx="4">
                  <c:v>-48</c:v>
                </c:pt>
                <c:pt idx="5">
                  <c:v>-47.5</c:v>
                </c:pt>
                <c:pt idx="6">
                  <c:v>-47</c:v>
                </c:pt>
                <c:pt idx="7">
                  <c:v>-46.5</c:v>
                </c:pt>
                <c:pt idx="8">
                  <c:v>-46</c:v>
                </c:pt>
                <c:pt idx="9">
                  <c:v>-45.5</c:v>
                </c:pt>
                <c:pt idx="10">
                  <c:v>-45</c:v>
                </c:pt>
                <c:pt idx="11">
                  <c:v>-44.5</c:v>
                </c:pt>
                <c:pt idx="12">
                  <c:v>-44</c:v>
                </c:pt>
                <c:pt idx="13">
                  <c:v>-43.5</c:v>
                </c:pt>
                <c:pt idx="14">
                  <c:v>-43</c:v>
                </c:pt>
                <c:pt idx="15">
                  <c:v>-42.5</c:v>
                </c:pt>
                <c:pt idx="16">
                  <c:v>-42</c:v>
                </c:pt>
                <c:pt idx="17">
                  <c:v>-41.5</c:v>
                </c:pt>
                <c:pt idx="18">
                  <c:v>-41</c:v>
                </c:pt>
                <c:pt idx="19">
                  <c:v>-40.5</c:v>
                </c:pt>
                <c:pt idx="20">
                  <c:v>-40</c:v>
                </c:pt>
                <c:pt idx="21">
                  <c:v>-39.5</c:v>
                </c:pt>
                <c:pt idx="22">
                  <c:v>-39</c:v>
                </c:pt>
                <c:pt idx="23">
                  <c:v>-38.5</c:v>
                </c:pt>
                <c:pt idx="24">
                  <c:v>-38</c:v>
                </c:pt>
                <c:pt idx="25">
                  <c:v>-37.5</c:v>
                </c:pt>
                <c:pt idx="26">
                  <c:v>-37</c:v>
                </c:pt>
                <c:pt idx="27">
                  <c:v>-36.5</c:v>
                </c:pt>
                <c:pt idx="28">
                  <c:v>-36</c:v>
                </c:pt>
                <c:pt idx="29">
                  <c:v>-35.5</c:v>
                </c:pt>
                <c:pt idx="30">
                  <c:v>-35</c:v>
                </c:pt>
                <c:pt idx="31">
                  <c:v>-34.5</c:v>
                </c:pt>
                <c:pt idx="32">
                  <c:v>-34</c:v>
                </c:pt>
                <c:pt idx="33">
                  <c:v>-33.5</c:v>
                </c:pt>
                <c:pt idx="34">
                  <c:v>-33</c:v>
                </c:pt>
                <c:pt idx="35">
                  <c:v>-32.5</c:v>
                </c:pt>
                <c:pt idx="36">
                  <c:v>-32</c:v>
                </c:pt>
                <c:pt idx="37">
                  <c:v>-31.5</c:v>
                </c:pt>
                <c:pt idx="38">
                  <c:v>-31</c:v>
                </c:pt>
                <c:pt idx="39">
                  <c:v>-30.5</c:v>
                </c:pt>
                <c:pt idx="40">
                  <c:v>-30</c:v>
                </c:pt>
                <c:pt idx="41">
                  <c:v>-29.5</c:v>
                </c:pt>
                <c:pt idx="42">
                  <c:v>-29</c:v>
                </c:pt>
                <c:pt idx="43">
                  <c:v>-28.5</c:v>
                </c:pt>
                <c:pt idx="44">
                  <c:v>-28</c:v>
                </c:pt>
                <c:pt idx="45">
                  <c:v>-27.5</c:v>
                </c:pt>
                <c:pt idx="46">
                  <c:v>-27</c:v>
                </c:pt>
                <c:pt idx="47">
                  <c:v>-26.5</c:v>
                </c:pt>
                <c:pt idx="48">
                  <c:v>-26</c:v>
                </c:pt>
                <c:pt idx="49">
                  <c:v>-25.5</c:v>
                </c:pt>
                <c:pt idx="50">
                  <c:v>-25</c:v>
                </c:pt>
                <c:pt idx="51">
                  <c:v>-24.5</c:v>
                </c:pt>
                <c:pt idx="52">
                  <c:v>-24</c:v>
                </c:pt>
                <c:pt idx="53">
                  <c:v>-23.5</c:v>
                </c:pt>
                <c:pt idx="54">
                  <c:v>-23</c:v>
                </c:pt>
                <c:pt idx="55">
                  <c:v>-22.5</c:v>
                </c:pt>
                <c:pt idx="56">
                  <c:v>-22</c:v>
                </c:pt>
                <c:pt idx="57">
                  <c:v>-21.5</c:v>
                </c:pt>
                <c:pt idx="58">
                  <c:v>-21</c:v>
                </c:pt>
                <c:pt idx="59">
                  <c:v>-20.5</c:v>
                </c:pt>
                <c:pt idx="60">
                  <c:v>-20</c:v>
                </c:pt>
                <c:pt idx="61">
                  <c:v>-19.5</c:v>
                </c:pt>
                <c:pt idx="62">
                  <c:v>-19</c:v>
                </c:pt>
                <c:pt idx="63">
                  <c:v>-18.5</c:v>
                </c:pt>
                <c:pt idx="64">
                  <c:v>-18</c:v>
                </c:pt>
                <c:pt idx="65">
                  <c:v>-17.5</c:v>
                </c:pt>
                <c:pt idx="66">
                  <c:v>-17</c:v>
                </c:pt>
                <c:pt idx="67">
                  <c:v>-16.5</c:v>
                </c:pt>
                <c:pt idx="68">
                  <c:v>-16</c:v>
                </c:pt>
                <c:pt idx="69">
                  <c:v>-15.5</c:v>
                </c:pt>
                <c:pt idx="70">
                  <c:v>-15</c:v>
                </c:pt>
                <c:pt idx="71">
                  <c:v>-14.5</c:v>
                </c:pt>
                <c:pt idx="72">
                  <c:v>-14</c:v>
                </c:pt>
                <c:pt idx="73">
                  <c:v>-13.5</c:v>
                </c:pt>
                <c:pt idx="74">
                  <c:v>-13</c:v>
                </c:pt>
                <c:pt idx="75">
                  <c:v>-12.5</c:v>
                </c:pt>
                <c:pt idx="76">
                  <c:v>-12</c:v>
                </c:pt>
                <c:pt idx="77">
                  <c:v>-11.5</c:v>
                </c:pt>
                <c:pt idx="78">
                  <c:v>-11</c:v>
                </c:pt>
                <c:pt idx="79">
                  <c:v>-10.5</c:v>
                </c:pt>
                <c:pt idx="80">
                  <c:v>-10</c:v>
                </c:pt>
                <c:pt idx="81">
                  <c:v>-9.5</c:v>
                </c:pt>
                <c:pt idx="82">
                  <c:v>-9</c:v>
                </c:pt>
                <c:pt idx="83">
                  <c:v>-8.5</c:v>
                </c:pt>
                <c:pt idx="84">
                  <c:v>-8</c:v>
                </c:pt>
                <c:pt idx="85">
                  <c:v>-7.5</c:v>
                </c:pt>
                <c:pt idx="86">
                  <c:v>-7</c:v>
                </c:pt>
                <c:pt idx="87">
                  <c:v>-6.5</c:v>
                </c:pt>
                <c:pt idx="88">
                  <c:v>-6</c:v>
                </c:pt>
                <c:pt idx="89">
                  <c:v>-5.5</c:v>
                </c:pt>
                <c:pt idx="90">
                  <c:v>-5</c:v>
                </c:pt>
                <c:pt idx="91">
                  <c:v>-4.5</c:v>
                </c:pt>
                <c:pt idx="92">
                  <c:v>-4</c:v>
                </c:pt>
                <c:pt idx="93">
                  <c:v>-3.5</c:v>
                </c:pt>
                <c:pt idx="94">
                  <c:v>-3</c:v>
                </c:pt>
                <c:pt idx="95">
                  <c:v>-2.5</c:v>
                </c:pt>
                <c:pt idx="96">
                  <c:v>-2</c:v>
                </c:pt>
                <c:pt idx="97">
                  <c:v>-1.5</c:v>
                </c:pt>
                <c:pt idx="98">
                  <c:v>-1</c:v>
                </c:pt>
                <c:pt idx="99">
                  <c:v>-0.5</c:v>
                </c:pt>
                <c:pt idx="100">
                  <c:v>0</c:v>
                </c:pt>
                <c:pt idx="101">
                  <c:v>0.5</c:v>
                </c:pt>
                <c:pt idx="102">
                  <c:v>1</c:v>
                </c:pt>
                <c:pt idx="103">
                  <c:v>1.5</c:v>
                </c:pt>
                <c:pt idx="104">
                  <c:v>2</c:v>
                </c:pt>
                <c:pt idx="105">
                  <c:v>2.5</c:v>
                </c:pt>
                <c:pt idx="106">
                  <c:v>3</c:v>
                </c:pt>
                <c:pt idx="107">
                  <c:v>3.5</c:v>
                </c:pt>
                <c:pt idx="108">
                  <c:v>4</c:v>
                </c:pt>
                <c:pt idx="109">
                  <c:v>4.5</c:v>
                </c:pt>
                <c:pt idx="110">
                  <c:v>5</c:v>
                </c:pt>
                <c:pt idx="111">
                  <c:v>5.5</c:v>
                </c:pt>
                <c:pt idx="112">
                  <c:v>6</c:v>
                </c:pt>
                <c:pt idx="113">
                  <c:v>6.5</c:v>
                </c:pt>
                <c:pt idx="114">
                  <c:v>7</c:v>
                </c:pt>
                <c:pt idx="115">
                  <c:v>7.5</c:v>
                </c:pt>
                <c:pt idx="116">
                  <c:v>8</c:v>
                </c:pt>
                <c:pt idx="117">
                  <c:v>8.5</c:v>
                </c:pt>
                <c:pt idx="118">
                  <c:v>9</c:v>
                </c:pt>
                <c:pt idx="119">
                  <c:v>9.5</c:v>
                </c:pt>
                <c:pt idx="120">
                  <c:v>10</c:v>
                </c:pt>
                <c:pt idx="121">
                  <c:v>10.5</c:v>
                </c:pt>
                <c:pt idx="122">
                  <c:v>11</c:v>
                </c:pt>
                <c:pt idx="123">
                  <c:v>11.5</c:v>
                </c:pt>
                <c:pt idx="124">
                  <c:v>12</c:v>
                </c:pt>
                <c:pt idx="125">
                  <c:v>12.5</c:v>
                </c:pt>
                <c:pt idx="126">
                  <c:v>13</c:v>
                </c:pt>
                <c:pt idx="127">
                  <c:v>13.5</c:v>
                </c:pt>
                <c:pt idx="128">
                  <c:v>14</c:v>
                </c:pt>
                <c:pt idx="129">
                  <c:v>14.5</c:v>
                </c:pt>
                <c:pt idx="130">
                  <c:v>15</c:v>
                </c:pt>
                <c:pt idx="131">
                  <c:v>15.5</c:v>
                </c:pt>
                <c:pt idx="132">
                  <c:v>16</c:v>
                </c:pt>
                <c:pt idx="133">
                  <c:v>16.5</c:v>
                </c:pt>
                <c:pt idx="134">
                  <c:v>17</c:v>
                </c:pt>
                <c:pt idx="135">
                  <c:v>17.5</c:v>
                </c:pt>
                <c:pt idx="136">
                  <c:v>18</c:v>
                </c:pt>
                <c:pt idx="137">
                  <c:v>18.5</c:v>
                </c:pt>
                <c:pt idx="138">
                  <c:v>19</c:v>
                </c:pt>
                <c:pt idx="139">
                  <c:v>19.5</c:v>
                </c:pt>
                <c:pt idx="140">
                  <c:v>20</c:v>
                </c:pt>
                <c:pt idx="141">
                  <c:v>20.5</c:v>
                </c:pt>
                <c:pt idx="142">
                  <c:v>21</c:v>
                </c:pt>
                <c:pt idx="143">
                  <c:v>21.5</c:v>
                </c:pt>
                <c:pt idx="144">
                  <c:v>22</c:v>
                </c:pt>
                <c:pt idx="145">
                  <c:v>22.5</c:v>
                </c:pt>
                <c:pt idx="146">
                  <c:v>23</c:v>
                </c:pt>
                <c:pt idx="147">
                  <c:v>23.5</c:v>
                </c:pt>
                <c:pt idx="148">
                  <c:v>24</c:v>
                </c:pt>
                <c:pt idx="149">
                  <c:v>24.5</c:v>
                </c:pt>
                <c:pt idx="150">
                  <c:v>25</c:v>
                </c:pt>
                <c:pt idx="151">
                  <c:v>25.5</c:v>
                </c:pt>
                <c:pt idx="152">
                  <c:v>26</c:v>
                </c:pt>
                <c:pt idx="153">
                  <c:v>26.5</c:v>
                </c:pt>
                <c:pt idx="154">
                  <c:v>27</c:v>
                </c:pt>
                <c:pt idx="155">
                  <c:v>27.5</c:v>
                </c:pt>
                <c:pt idx="156">
                  <c:v>28</c:v>
                </c:pt>
                <c:pt idx="157">
                  <c:v>28.5</c:v>
                </c:pt>
                <c:pt idx="158">
                  <c:v>29</c:v>
                </c:pt>
                <c:pt idx="159">
                  <c:v>29.5</c:v>
                </c:pt>
                <c:pt idx="160">
                  <c:v>30</c:v>
                </c:pt>
                <c:pt idx="161">
                  <c:v>30.5</c:v>
                </c:pt>
                <c:pt idx="162">
                  <c:v>31</c:v>
                </c:pt>
                <c:pt idx="163">
                  <c:v>31.5</c:v>
                </c:pt>
                <c:pt idx="164">
                  <c:v>32</c:v>
                </c:pt>
                <c:pt idx="165">
                  <c:v>32.5</c:v>
                </c:pt>
                <c:pt idx="166">
                  <c:v>33</c:v>
                </c:pt>
                <c:pt idx="167">
                  <c:v>33.5</c:v>
                </c:pt>
                <c:pt idx="168">
                  <c:v>34</c:v>
                </c:pt>
                <c:pt idx="169">
                  <c:v>34.5</c:v>
                </c:pt>
                <c:pt idx="170">
                  <c:v>35</c:v>
                </c:pt>
                <c:pt idx="171">
                  <c:v>35.5</c:v>
                </c:pt>
                <c:pt idx="172">
                  <c:v>36</c:v>
                </c:pt>
                <c:pt idx="173">
                  <c:v>36.5</c:v>
                </c:pt>
                <c:pt idx="174">
                  <c:v>37</c:v>
                </c:pt>
                <c:pt idx="175">
                  <c:v>37.5</c:v>
                </c:pt>
                <c:pt idx="176">
                  <c:v>38</c:v>
                </c:pt>
                <c:pt idx="177">
                  <c:v>38.5</c:v>
                </c:pt>
                <c:pt idx="178">
                  <c:v>39</c:v>
                </c:pt>
                <c:pt idx="179">
                  <c:v>39.5</c:v>
                </c:pt>
                <c:pt idx="180">
                  <c:v>40</c:v>
                </c:pt>
                <c:pt idx="181">
                  <c:v>40.5</c:v>
                </c:pt>
                <c:pt idx="182">
                  <c:v>41</c:v>
                </c:pt>
                <c:pt idx="183">
                  <c:v>41.5</c:v>
                </c:pt>
                <c:pt idx="184">
                  <c:v>42</c:v>
                </c:pt>
                <c:pt idx="185">
                  <c:v>42.5</c:v>
                </c:pt>
                <c:pt idx="186">
                  <c:v>43</c:v>
                </c:pt>
                <c:pt idx="187">
                  <c:v>43.5</c:v>
                </c:pt>
                <c:pt idx="188">
                  <c:v>44</c:v>
                </c:pt>
                <c:pt idx="189">
                  <c:v>44.5</c:v>
                </c:pt>
                <c:pt idx="190">
                  <c:v>45</c:v>
                </c:pt>
                <c:pt idx="191">
                  <c:v>45.5</c:v>
                </c:pt>
                <c:pt idx="192">
                  <c:v>46</c:v>
                </c:pt>
                <c:pt idx="193">
                  <c:v>46.5</c:v>
                </c:pt>
                <c:pt idx="194">
                  <c:v>47</c:v>
                </c:pt>
                <c:pt idx="195">
                  <c:v>47.5</c:v>
                </c:pt>
                <c:pt idx="196">
                  <c:v>48</c:v>
                </c:pt>
                <c:pt idx="197">
                  <c:v>48.5</c:v>
                </c:pt>
                <c:pt idx="198">
                  <c:v>49</c:v>
                </c:pt>
                <c:pt idx="199">
                  <c:v>49.5</c:v>
                </c:pt>
                <c:pt idx="200">
                  <c:v>50</c:v>
                </c:pt>
              </c:numCache>
            </c:numRef>
          </c:xVal>
          <c:yVal>
            <c:numRef>
              <c:f>'subsidence profile with z_0'!$C$16:$C$216</c:f>
              <c:numCache>
                <c:formatCode>0.000</c:formatCode>
                <c:ptCount val="201"/>
                <c:pt idx="0">
                  <c:v>-1.1445803695731549E-46</c:v>
                </c:pt>
                <c:pt idx="1">
                  <c:v>-1.0163994491027566E-45</c:v>
                </c:pt>
                <c:pt idx="2">
                  <c:v>-8.8297967808821387E-45</c:v>
                </c:pt>
                <c:pt idx="3">
                  <c:v>-7.5042130453638544E-44</c:v>
                </c:pt>
                <c:pt idx="4">
                  <c:v>-6.2391835400945462E-43</c:v>
                </c:pt>
                <c:pt idx="5">
                  <c:v>-5.0747952828869297E-42</c:v>
                </c:pt>
                <c:pt idx="6">
                  <c:v>-4.0381035637372569E-41</c:v>
                </c:pt>
                <c:pt idx="7">
                  <c:v>-3.1434353869211774E-40</c:v>
                </c:pt>
                <c:pt idx="8">
                  <c:v>-2.3938657014969563E-39</c:v>
                </c:pt>
                <c:pt idx="9">
                  <c:v>-1.7834592322808737E-38</c:v>
                </c:pt>
                <c:pt idx="10">
                  <c:v>-1.2998545234532888E-37</c:v>
                </c:pt>
                <c:pt idx="11">
                  <c:v>-9.2681802798776205E-37</c:v>
                </c:pt>
                <c:pt idx="12">
                  <c:v>-6.4649080961722239E-36</c:v>
                </c:pt>
                <c:pt idx="13">
                  <c:v>-4.4116230531360012E-35</c:v>
                </c:pt>
                <c:pt idx="14">
                  <c:v>-2.9451173151966675E-34</c:v>
                </c:pt>
                <c:pt idx="15">
                  <c:v>-1.9234236873501562E-33</c:v>
                </c:pt>
                <c:pt idx="16">
                  <c:v>-1.2288969908550753E-32</c:v>
                </c:pt>
                <c:pt idx="17">
                  <c:v>-7.6811131182811037E-32</c:v>
                </c:pt>
                <c:pt idx="18">
                  <c:v>-4.6967884630240959E-31</c:v>
                </c:pt>
                <c:pt idx="19">
                  <c:v>-2.8096097398932037E-30</c:v>
                </c:pt>
                <c:pt idx="20">
                  <c:v>-1.6442170919560271E-29</c:v>
                </c:pt>
                <c:pt idx="21">
                  <c:v>-9.4132691544377995E-29</c:v>
                </c:pt>
                <c:pt idx="22">
                  <c:v>-5.2721766631805745E-28</c:v>
                </c:pt>
                <c:pt idx="23">
                  <c:v>-2.8887342570053657E-27</c:v>
                </c:pt>
                <c:pt idx="24">
                  <c:v>-1.5484364587383116E-26</c:v>
                </c:pt>
                <c:pt idx="25">
                  <c:v>-8.1198376277871484E-26</c:v>
                </c:pt>
                <c:pt idx="26">
                  <c:v>-4.1655222690241279E-25</c:v>
                </c:pt>
                <c:pt idx="27">
                  <c:v>-2.0905460373986879E-24</c:v>
                </c:pt>
                <c:pt idx="28">
                  <c:v>-1.0264036097871945E-23</c:v>
                </c:pt>
                <c:pt idx="29">
                  <c:v>-4.9299755466634562E-23</c:v>
                </c:pt>
                <c:pt idx="30">
                  <c:v>-2.3165384818914007E-22</c:v>
                </c:pt>
                <c:pt idx="31">
                  <c:v>-1.064884320387019E-21</c:v>
                </c:pt>
                <c:pt idx="32">
                  <c:v>-4.7888750462170246E-21</c:v>
                </c:pt>
                <c:pt idx="33">
                  <c:v>-2.1068457371198567E-20</c:v>
                </c:pt>
                <c:pt idx="34">
                  <c:v>-9.067762355427183E-20</c:v>
                </c:pt>
                <c:pt idx="35">
                  <c:v>-3.8179978655163661E-19</c:v>
                </c:pt>
                <c:pt idx="36">
                  <c:v>-1.5726764817354964E-18</c:v>
                </c:pt>
                <c:pt idx="37">
                  <c:v>-6.3374020908104854E-18</c:v>
                </c:pt>
                <c:pt idx="38">
                  <c:v>-2.4983385703914836E-17</c:v>
                </c:pt>
                <c:pt idx="39">
                  <c:v>-9.6351722360458728E-17</c:v>
                </c:pt>
                <c:pt idx="40">
                  <c:v>-3.6352629606564088E-16</c:v>
                </c:pt>
                <c:pt idx="41">
                  <c:v>-1.3417769905016181E-15</c:v>
                </c:pt>
                <c:pt idx="42">
                  <c:v>-4.8449913744945252E-15</c:v>
                </c:pt>
                <c:pt idx="43">
                  <c:v>-1.7114879109533817E-14</c:v>
                </c:pt>
                <c:pt idx="44">
                  <c:v>-5.9145651912917713E-14</c:v>
                </c:pt>
                <c:pt idx="45">
                  <c:v>-1.9995854580802249E-13</c:v>
                </c:pt>
                <c:pt idx="46">
                  <c:v>-6.6134073833265201E-13</c:v>
                </c:pt>
                <c:pt idx="47">
                  <c:v>-2.1398273869842023E-12</c:v>
                </c:pt>
                <c:pt idx="48">
                  <c:v>-6.7733008616191406E-12</c:v>
                </c:pt>
                <c:pt idx="49">
                  <c:v>-2.0974429242588661E-11</c:v>
                </c:pt>
                <c:pt idx="50">
                  <c:v>-6.3540129539704109E-11</c:v>
                </c:pt>
                <c:pt idx="51">
                  <c:v>-1.8831035395520396E-10</c:v>
                </c:pt>
                <c:pt idx="52">
                  <c:v>-5.4596960184775171E-10</c:v>
                </c:pt>
                <c:pt idx="53">
                  <c:v>-1.5485701579259834E-9</c:v>
                </c:pt>
                <c:pt idx="54">
                  <c:v>-4.2969615562997568E-9</c:v>
                </c:pt>
                <c:pt idx="55">
                  <c:v>-1.1664341068940639E-8</c:v>
                </c:pt>
                <c:pt idx="56">
                  <c:v>-3.0976126661021712E-8</c:v>
                </c:pt>
                <c:pt idx="57">
                  <c:v>-8.0475219954095289E-8</c:v>
                </c:pt>
                <c:pt idx="58">
                  <c:v>-2.0453394396490523E-7</c:v>
                </c:pt>
                <c:pt idx="59">
                  <c:v>-5.0855364656287158E-7</c:v>
                </c:pt>
                <c:pt idx="60">
                  <c:v>-1.2370188347701098E-6</c:v>
                </c:pt>
                <c:pt idx="61">
                  <c:v>-2.9436353601530093E-6</c:v>
                </c:pt>
                <c:pt idx="62">
                  <c:v>-6.8526708119738089E-6</c:v>
                </c:pt>
                <c:pt idx="63">
                  <c:v>-1.5606441463097834E-5</c:v>
                </c:pt>
                <c:pt idx="64">
                  <c:v>-3.4770910673037455E-5</c:v>
                </c:pt>
                <c:pt idx="65">
                  <c:v>-7.5787294276124652E-5</c:v>
                </c:pt>
                <c:pt idx="66">
                  <c:v>-1.6160131816280322E-4</c:v>
                </c:pt>
                <c:pt idx="67">
                  <c:v>-3.3710217533103711E-4</c:v>
                </c:pt>
                <c:pt idx="68">
                  <c:v>-6.8793336069254999E-4</c:v>
                </c:pt>
                <c:pt idx="69">
                  <c:v>-1.3734072821822525E-3</c:v>
                </c:pt>
                <c:pt idx="70">
                  <c:v>-2.6823811004519096E-3</c:v>
                </c:pt>
                <c:pt idx="71">
                  <c:v>-5.1251876935031089E-3</c:v>
                </c:pt>
                <c:pt idx="72">
                  <c:v>-9.5800379252433312E-3</c:v>
                </c:pt>
                <c:pt idx="73">
                  <c:v>-1.7518335587134476E-2</c:v>
                </c:pt>
                <c:pt idx="74">
                  <c:v>-3.1339106792200776E-2</c:v>
                </c:pt>
                <c:pt idx="75">
                  <c:v>-5.4846453026927103E-2</c:v>
                </c:pt>
                <c:pt idx="76">
                  <c:v>-9.3902820772624879E-2</c:v>
                </c:pt>
                <c:pt idx="77">
                  <c:v>-0.15728122739192102</c:v>
                </c:pt>
                <c:pt idx="78">
                  <c:v>-0.25771713841078658</c:v>
                </c:pt>
                <c:pt idx="79">
                  <c:v>-0.41312156976118541</c:v>
                </c:pt>
                <c:pt idx="80">
                  <c:v>-0.64785915563709517</c:v>
                </c:pt>
                <c:pt idx="81">
                  <c:v>-0.99392013804586499</c:v>
                </c:pt>
                <c:pt idx="82">
                  <c:v>-1.4917310821989171</c:v>
                </c:pt>
                <c:pt idx="83">
                  <c:v>-2.1902704672245488</c:v>
                </c:pt>
                <c:pt idx="84">
                  <c:v>-3.1461042925030838</c:v>
                </c:pt>
                <c:pt idx="85">
                  <c:v>-4.4209605823879841</c:v>
                </c:pt>
                <c:pt idx="86">
                  <c:v>-6.0775470503496765</c:v>
                </c:pt>
                <c:pt idx="87">
                  <c:v>-8.1735020555780977</c:v>
                </c:pt>
                <c:pt idx="88">
                  <c:v>-10.753657053000932</c:v>
                </c:pt>
                <c:pt idx="89">
                  <c:v>-13.841155497324324</c:v>
                </c:pt>
                <c:pt idx="90">
                  <c:v>-17.428366044780532</c:v>
                </c:pt>
                <c:pt idx="91">
                  <c:v>-21.468868571533964</c:v>
                </c:pt>
                <c:pt idx="92">
                  <c:v>-25.871988017462229</c:v>
                </c:pt>
                <c:pt idx="93">
                  <c:v>-30.50131792042756</c:v>
                </c:pt>
                <c:pt idx="94">
                  <c:v>-35.178358313455107</c:v>
                </c:pt>
                <c:pt idx="95">
                  <c:v>-39.691790535165886</c:v>
                </c:pt>
                <c:pt idx="96">
                  <c:v>-43.812090183572941</c:v>
                </c:pt>
                <c:pt idx="97">
                  <c:v>-47.310268699663105</c:v>
                </c:pt>
                <c:pt idx="98">
                  <c:v>-49.978706947794436</c:v>
                </c:pt>
                <c:pt idx="99">
                  <c:v>-51.651480765438357</c:v>
                </c:pt>
                <c:pt idx="100">
                  <c:v>-52.221422388145861</c:v>
                </c:pt>
                <c:pt idx="101">
                  <c:v>-51.651480765438357</c:v>
                </c:pt>
                <c:pt idx="102">
                  <c:v>-49.978706947794436</c:v>
                </c:pt>
                <c:pt idx="103">
                  <c:v>-47.310268699663105</c:v>
                </c:pt>
                <c:pt idx="104">
                  <c:v>-43.812090183572941</c:v>
                </c:pt>
                <c:pt idx="105">
                  <c:v>-39.691790535165886</c:v>
                </c:pt>
                <c:pt idx="106">
                  <c:v>-35.178358313455107</c:v>
                </c:pt>
                <c:pt idx="107">
                  <c:v>-30.50131792042756</c:v>
                </c:pt>
                <c:pt idx="108">
                  <c:v>-25.871988017462229</c:v>
                </c:pt>
                <c:pt idx="109">
                  <c:v>-21.468868571533964</c:v>
                </c:pt>
                <c:pt idx="110">
                  <c:v>-17.428366044780532</c:v>
                </c:pt>
                <c:pt idx="111">
                  <c:v>-13.841155497324324</c:v>
                </c:pt>
                <c:pt idx="112">
                  <c:v>-10.753657053000932</c:v>
                </c:pt>
                <c:pt idx="113">
                  <c:v>-8.1735020555780977</c:v>
                </c:pt>
                <c:pt idx="114">
                  <c:v>-6.0775470503496765</c:v>
                </c:pt>
                <c:pt idx="115">
                  <c:v>-4.4209605823879841</c:v>
                </c:pt>
                <c:pt idx="116">
                  <c:v>-3.1461042925030838</c:v>
                </c:pt>
                <c:pt idx="117">
                  <c:v>-2.1902704672245488</c:v>
                </c:pt>
                <c:pt idx="118">
                  <c:v>-1.4917310821989171</c:v>
                </c:pt>
                <c:pt idx="119">
                  <c:v>-0.99392013804586499</c:v>
                </c:pt>
                <c:pt idx="120">
                  <c:v>-0.64785915563709517</c:v>
                </c:pt>
                <c:pt idx="121">
                  <c:v>-0.41312156976118541</c:v>
                </c:pt>
                <c:pt idx="122">
                  <c:v>-0.25771713841078658</c:v>
                </c:pt>
                <c:pt idx="123">
                  <c:v>-0.15728122739192102</c:v>
                </c:pt>
                <c:pt idx="124">
                  <c:v>-9.3902820772624879E-2</c:v>
                </c:pt>
                <c:pt idx="125">
                  <c:v>-5.4846453026927103E-2</c:v>
                </c:pt>
                <c:pt idx="126">
                  <c:v>-3.1339106792200776E-2</c:v>
                </c:pt>
                <c:pt idx="127">
                  <c:v>-1.7518335587134476E-2</c:v>
                </c:pt>
                <c:pt idx="128">
                  <c:v>-9.5800379252433312E-3</c:v>
                </c:pt>
                <c:pt idx="129">
                  <c:v>-5.1251876935031089E-3</c:v>
                </c:pt>
                <c:pt idx="130">
                  <c:v>-2.6823811004519096E-3</c:v>
                </c:pt>
                <c:pt idx="131">
                  <c:v>-1.3734072821822525E-3</c:v>
                </c:pt>
                <c:pt idx="132">
                  <c:v>-6.8793336069254999E-4</c:v>
                </c:pt>
                <c:pt idx="133">
                  <c:v>-3.3710217533103711E-4</c:v>
                </c:pt>
                <c:pt idx="134">
                  <c:v>-1.6160131816280322E-4</c:v>
                </c:pt>
                <c:pt idx="135">
                  <c:v>-7.5787294276124652E-5</c:v>
                </c:pt>
                <c:pt idx="136">
                  <c:v>-3.4770910673037455E-5</c:v>
                </c:pt>
                <c:pt idx="137">
                  <c:v>-1.5606441463097834E-5</c:v>
                </c:pt>
                <c:pt idx="138">
                  <c:v>-6.8526708119738089E-6</c:v>
                </c:pt>
                <c:pt idx="139">
                  <c:v>-2.9436353601530093E-6</c:v>
                </c:pt>
                <c:pt idx="140">
                  <c:v>-1.2370188347701098E-6</c:v>
                </c:pt>
                <c:pt idx="141">
                  <c:v>-5.0855364656287158E-7</c:v>
                </c:pt>
                <c:pt idx="142">
                  <c:v>-2.0453394396490523E-7</c:v>
                </c:pt>
                <c:pt idx="143">
                  <c:v>-8.0475219954095289E-8</c:v>
                </c:pt>
                <c:pt idx="144">
                  <c:v>-3.0976126661021712E-8</c:v>
                </c:pt>
                <c:pt idx="145">
                  <c:v>-1.1664341068940639E-8</c:v>
                </c:pt>
                <c:pt idx="146">
                  <c:v>-4.2969615562997568E-9</c:v>
                </c:pt>
                <c:pt idx="147">
                  <c:v>-1.5485701579259834E-9</c:v>
                </c:pt>
                <c:pt idx="148">
                  <c:v>-5.4596960184775171E-10</c:v>
                </c:pt>
                <c:pt idx="149">
                  <c:v>-1.8831035395520396E-10</c:v>
                </c:pt>
                <c:pt idx="150">
                  <c:v>-6.3540129539704109E-11</c:v>
                </c:pt>
                <c:pt idx="151">
                  <c:v>-2.0974429242588661E-11</c:v>
                </c:pt>
                <c:pt idx="152">
                  <c:v>-6.7733008616191406E-12</c:v>
                </c:pt>
                <c:pt idx="153">
                  <c:v>-2.1398273869842023E-12</c:v>
                </c:pt>
                <c:pt idx="154">
                  <c:v>-6.6134073833265201E-13</c:v>
                </c:pt>
                <c:pt idx="155">
                  <c:v>-1.9995854580802249E-13</c:v>
                </c:pt>
                <c:pt idx="156">
                  <c:v>-5.9145651912917713E-14</c:v>
                </c:pt>
                <c:pt idx="157">
                  <c:v>-1.7114879109533817E-14</c:v>
                </c:pt>
                <c:pt idx="158">
                  <c:v>-4.8449913744945252E-15</c:v>
                </c:pt>
                <c:pt idx="159">
                  <c:v>-1.3417769905016181E-15</c:v>
                </c:pt>
                <c:pt idx="160">
                  <c:v>-3.6352629606564088E-16</c:v>
                </c:pt>
                <c:pt idx="161">
                  <c:v>-9.6351722360458728E-17</c:v>
                </c:pt>
                <c:pt idx="162">
                  <c:v>-2.4983385703914836E-17</c:v>
                </c:pt>
                <c:pt idx="163">
                  <c:v>-6.3374020908104854E-18</c:v>
                </c:pt>
                <c:pt idx="164">
                  <c:v>-1.5726764817354964E-18</c:v>
                </c:pt>
                <c:pt idx="165">
                  <c:v>-3.8179978655163661E-19</c:v>
                </c:pt>
                <c:pt idx="166">
                  <c:v>-9.067762355427183E-20</c:v>
                </c:pt>
                <c:pt idx="167">
                  <c:v>-2.1068457371198567E-20</c:v>
                </c:pt>
                <c:pt idx="168">
                  <c:v>-4.7888750462170246E-21</c:v>
                </c:pt>
                <c:pt idx="169">
                  <c:v>-1.064884320387019E-21</c:v>
                </c:pt>
                <c:pt idx="170">
                  <c:v>-2.3165384818914007E-22</c:v>
                </c:pt>
                <c:pt idx="171">
                  <c:v>-4.9299755466634562E-23</c:v>
                </c:pt>
                <c:pt idx="172">
                  <c:v>-1.0264036097871945E-23</c:v>
                </c:pt>
                <c:pt idx="173">
                  <c:v>-2.0905460373986879E-24</c:v>
                </c:pt>
                <c:pt idx="174">
                  <c:v>-4.1655222690241279E-25</c:v>
                </c:pt>
                <c:pt idx="175">
                  <c:v>-8.1198376277871484E-26</c:v>
                </c:pt>
                <c:pt idx="176">
                  <c:v>-1.5484364587383116E-26</c:v>
                </c:pt>
                <c:pt idx="177">
                  <c:v>-2.8887342570053657E-27</c:v>
                </c:pt>
                <c:pt idx="178">
                  <c:v>-5.2721766631805745E-28</c:v>
                </c:pt>
                <c:pt idx="179">
                  <c:v>-9.4132691544377995E-29</c:v>
                </c:pt>
                <c:pt idx="180">
                  <c:v>-1.6442170919560271E-29</c:v>
                </c:pt>
                <c:pt idx="181">
                  <c:v>-2.8096097398932037E-30</c:v>
                </c:pt>
                <c:pt idx="182">
                  <c:v>-4.6967884630240959E-31</c:v>
                </c:pt>
                <c:pt idx="183">
                  <c:v>-7.6811131182811037E-32</c:v>
                </c:pt>
                <c:pt idx="184">
                  <c:v>-1.2288969908550753E-32</c:v>
                </c:pt>
                <c:pt idx="185">
                  <c:v>-1.9234236873501562E-33</c:v>
                </c:pt>
                <c:pt idx="186">
                  <c:v>-2.9451173151966675E-34</c:v>
                </c:pt>
                <c:pt idx="187">
                  <c:v>-4.4116230531360012E-35</c:v>
                </c:pt>
                <c:pt idx="188">
                  <c:v>-6.4649080961722239E-36</c:v>
                </c:pt>
                <c:pt idx="189">
                  <c:v>-9.2681802798776205E-37</c:v>
                </c:pt>
                <c:pt idx="190">
                  <c:v>-1.2998545234532888E-37</c:v>
                </c:pt>
                <c:pt idx="191">
                  <c:v>-1.7834592322808737E-38</c:v>
                </c:pt>
                <c:pt idx="192">
                  <c:v>-2.3938657014969563E-39</c:v>
                </c:pt>
                <c:pt idx="193">
                  <c:v>-3.1434353869211774E-40</c:v>
                </c:pt>
                <c:pt idx="194">
                  <c:v>-4.0381035637372569E-41</c:v>
                </c:pt>
                <c:pt idx="195">
                  <c:v>-5.0747952828869297E-42</c:v>
                </c:pt>
                <c:pt idx="196">
                  <c:v>-6.2391835400945462E-43</c:v>
                </c:pt>
                <c:pt idx="197">
                  <c:v>-7.5042130453638544E-44</c:v>
                </c:pt>
                <c:pt idx="198">
                  <c:v>-8.8297967808821387E-45</c:v>
                </c:pt>
                <c:pt idx="199">
                  <c:v>-1.0163994491027566E-45</c:v>
                </c:pt>
                <c:pt idx="200">
                  <c:v>-1.1445803695731549E-46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84-4680-A95E-69FF265357C3}"/>
            </c:ext>
          </c:extLst>
        </c:ser>
        <c:ser>
          <c:idx val="0"/>
          <c:order val="1"/>
          <c:tx>
            <c:strRef>
              <c:f>'subsidence profile with z_0'!$D$6</c:f>
              <c:strCache>
                <c:ptCount val="1"/>
                <c:pt idx="0">
                  <c:v>0.7</c:v>
                </c:pt>
              </c:strCache>
            </c:strRef>
          </c:tx>
          <c:spPr>
            <a:ln w="381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'subsidence profile with z_0'!$B$16:$B$216</c:f>
              <c:numCache>
                <c:formatCode>0.000</c:formatCode>
                <c:ptCount val="201"/>
                <c:pt idx="0">
                  <c:v>-50</c:v>
                </c:pt>
                <c:pt idx="1">
                  <c:v>-49.5</c:v>
                </c:pt>
                <c:pt idx="2">
                  <c:v>-49</c:v>
                </c:pt>
                <c:pt idx="3">
                  <c:v>-48.5</c:v>
                </c:pt>
                <c:pt idx="4">
                  <c:v>-48</c:v>
                </c:pt>
                <c:pt idx="5">
                  <c:v>-47.5</c:v>
                </c:pt>
                <c:pt idx="6">
                  <c:v>-47</c:v>
                </c:pt>
                <c:pt idx="7">
                  <c:v>-46.5</c:v>
                </c:pt>
                <c:pt idx="8">
                  <c:v>-46</c:v>
                </c:pt>
                <c:pt idx="9">
                  <c:v>-45.5</c:v>
                </c:pt>
                <c:pt idx="10">
                  <c:v>-45</c:v>
                </c:pt>
                <c:pt idx="11">
                  <c:v>-44.5</c:v>
                </c:pt>
                <c:pt idx="12">
                  <c:v>-44</c:v>
                </c:pt>
                <c:pt idx="13">
                  <c:v>-43.5</c:v>
                </c:pt>
                <c:pt idx="14">
                  <c:v>-43</c:v>
                </c:pt>
                <c:pt idx="15">
                  <c:v>-42.5</c:v>
                </c:pt>
                <c:pt idx="16">
                  <c:v>-42</c:v>
                </c:pt>
                <c:pt idx="17">
                  <c:v>-41.5</c:v>
                </c:pt>
                <c:pt idx="18">
                  <c:v>-41</c:v>
                </c:pt>
                <c:pt idx="19">
                  <c:v>-40.5</c:v>
                </c:pt>
                <c:pt idx="20">
                  <c:v>-40</c:v>
                </c:pt>
                <c:pt idx="21">
                  <c:v>-39.5</c:v>
                </c:pt>
                <c:pt idx="22">
                  <c:v>-39</c:v>
                </c:pt>
                <c:pt idx="23">
                  <c:v>-38.5</c:v>
                </c:pt>
                <c:pt idx="24">
                  <c:v>-38</c:v>
                </c:pt>
                <c:pt idx="25">
                  <c:v>-37.5</c:v>
                </c:pt>
                <c:pt idx="26">
                  <c:v>-37</c:v>
                </c:pt>
                <c:pt idx="27">
                  <c:v>-36.5</c:v>
                </c:pt>
                <c:pt idx="28">
                  <c:v>-36</c:v>
                </c:pt>
                <c:pt idx="29">
                  <c:v>-35.5</c:v>
                </c:pt>
                <c:pt idx="30">
                  <c:v>-35</c:v>
                </c:pt>
                <c:pt idx="31">
                  <c:v>-34.5</c:v>
                </c:pt>
                <c:pt idx="32">
                  <c:v>-34</c:v>
                </c:pt>
                <c:pt idx="33">
                  <c:v>-33.5</c:v>
                </c:pt>
                <c:pt idx="34">
                  <c:v>-33</c:v>
                </c:pt>
                <c:pt idx="35">
                  <c:v>-32.5</c:v>
                </c:pt>
                <c:pt idx="36">
                  <c:v>-32</c:v>
                </c:pt>
                <c:pt idx="37">
                  <c:v>-31.5</c:v>
                </c:pt>
                <c:pt idx="38">
                  <c:v>-31</c:v>
                </c:pt>
                <c:pt idx="39">
                  <c:v>-30.5</c:v>
                </c:pt>
                <c:pt idx="40">
                  <c:v>-30</c:v>
                </c:pt>
                <c:pt idx="41">
                  <c:v>-29.5</c:v>
                </c:pt>
                <c:pt idx="42">
                  <c:v>-29</c:v>
                </c:pt>
                <c:pt idx="43">
                  <c:v>-28.5</c:v>
                </c:pt>
                <c:pt idx="44">
                  <c:v>-28</c:v>
                </c:pt>
                <c:pt idx="45">
                  <c:v>-27.5</c:v>
                </c:pt>
                <c:pt idx="46">
                  <c:v>-27</c:v>
                </c:pt>
                <c:pt idx="47">
                  <c:v>-26.5</c:v>
                </c:pt>
                <c:pt idx="48">
                  <c:v>-26</c:v>
                </c:pt>
                <c:pt idx="49">
                  <c:v>-25.5</c:v>
                </c:pt>
                <c:pt idx="50">
                  <c:v>-25</c:v>
                </c:pt>
                <c:pt idx="51">
                  <c:v>-24.5</c:v>
                </c:pt>
                <c:pt idx="52">
                  <c:v>-24</c:v>
                </c:pt>
                <c:pt idx="53">
                  <c:v>-23.5</c:v>
                </c:pt>
                <c:pt idx="54">
                  <c:v>-23</c:v>
                </c:pt>
                <c:pt idx="55">
                  <c:v>-22.5</c:v>
                </c:pt>
                <c:pt idx="56">
                  <c:v>-22</c:v>
                </c:pt>
                <c:pt idx="57">
                  <c:v>-21.5</c:v>
                </c:pt>
                <c:pt idx="58">
                  <c:v>-21</c:v>
                </c:pt>
                <c:pt idx="59">
                  <c:v>-20.5</c:v>
                </c:pt>
                <c:pt idx="60">
                  <c:v>-20</c:v>
                </c:pt>
                <c:pt idx="61">
                  <c:v>-19.5</c:v>
                </c:pt>
                <c:pt idx="62">
                  <c:v>-19</c:v>
                </c:pt>
                <c:pt idx="63">
                  <c:v>-18.5</c:v>
                </c:pt>
                <c:pt idx="64">
                  <c:v>-18</c:v>
                </c:pt>
                <c:pt idx="65">
                  <c:v>-17.5</c:v>
                </c:pt>
                <c:pt idx="66">
                  <c:v>-17</c:v>
                </c:pt>
                <c:pt idx="67">
                  <c:v>-16.5</c:v>
                </c:pt>
                <c:pt idx="68">
                  <c:v>-16</c:v>
                </c:pt>
                <c:pt idx="69">
                  <c:v>-15.5</c:v>
                </c:pt>
                <c:pt idx="70">
                  <c:v>-15</c:v>
                </c:pt>
                <c:pt idx="71">
                  <c:v>-14.5</c:v>
                </c:pt>
                <c:pt idx="72">
                  <c:v>-14</c:v>
                </c:pt>
                <c:pt idx="73">
                  <c:v>-13.5</c:v>
                </c:pt>
                <c:pt idx="74">
                  <c:v>-13</c:v>
                </c:pt>
                <c:pt idx="75">
                  <c:v>-12.5</c:v>
                </c:pt>
                <c:pt idx="76">
                  <c:v>-12</c:v>
                </c:pt>
                <c:pt idx="77">
                  <c:v>-11.5</c:v>
                </c:pt>
                <c:pt idx="78">
                  <c:v>-11</c:v>
                </c:pt>
                <c:pt idx="79">
                  <c:v>-10.5</c:v>
                </c:pt>
                <c:pt idx="80">
                  <c:v>-10</c:v>
                </c:pt>
                <c:pt idx="81">
                  <c:v>-9.5</c:v>
                </c:pt>
                <c:pt idx="82">
                  <c:v>-9</c:v>
                </c:pt>
                <c:pt idx="83">
                  <c:v>-8.5</c:v>
                </c:pt>
                <c:pt idx="84">
                  <c:v>-8</c:v>
                </c:pt>
                <c:pt idx="85">
                  <c:v>-7.5</c:v>
                </c:pt>
                <c:pt idx="86">
                  <c:v>-7</c:v>
                </c:pt>
                <c:pt idx="87">
                  <c:v>-6.5</c:v>
                </c:pt>
                <c:pt idx="88">
                  <c:v>-6</c:v>
                </c:pt>
                <c:pt idx="89">
                  <c:v>-5.5</c:v>
                </c:pt>
                <c:pt idx="90">
                  <c:v>-5</c:v>
                </c:pt>
                <c:pt idx="91">
                  <c:v>-4.5</c:v>
                </c:pt>
                <c:pt idx="92">
                  <c:v>-4</c:v>
                </c:pt>
                <c:pt idx="93">
                  <c:v>-3.5</c:v>
                </c:pt>
                <c:pt idx="94">
                  <c:v>-3</c:v>
                </c:pt>
                <c:pt idx="95">
                  <c:v>-2.5</c:v>
                </c:pt>
                <c:pt idx="96">
                  <c:v>-2</c:v>
                </c:pt>
                <c:pt idx="97">
                  <c:v>-1.5</c:v>
                </c:pt>
                <c:pt idx="98">
                  <c:v>-1</c:v>
                </c:pt>
                <c:pt idx="99">
                  <c:v>-0.5</c:v>
                </c:pt>
                <c:pt idx="100">
                  <c:v>0</c:v>
                </c:pt>
                <c:pt idx="101">
                  <c:v>0.5</c:v>
                </c:pt>
                <c:pt idx="102">
                  <c:v>1</c:v>
                </c:pt>
                <c:pt idx="103">
                  <c:v>1.5</c:v>
                </c:pt>
                <c:pt idx="104">
                  <c:v>2</c:v>
                </c:pt>
                <c:pt idx="105">
                  <c:v>2.5</c:v>
                </c:pt>
                <c:pt idx="106">
                  <c:v>3</c:v>
                </c:pt>
                <c:pt idx="107">
                  <c:v>3.5</c:v>
                </c:pt>
                <c:pt idx="108">
                  <c:v>4</c:v>
                </c:pt>
                <c:pt idx="109">
                  <c:v>4.5</c:v>
                </c:pt>
                <c:pt idx="110">
                  <c:v>5</c:v>
                </c:pt>
                <c:pt idx="111">
                  <c:v>5.5</c:v>
                </c:pt>
                <c:pt idx="112">
                  <c:v>6</c:v>
                </c:pt>
                <c:pt idx="113">
                  <c:v>6.5</c:v>
                </c:pt>
                <c:pt idx="114">
                  <c:v>7</c:v>
                </c:pt>
                <c:pt idx="115">
                  <c:v>7.5</c:v>
                </c:pt>
                <c:pt idx="116">
                  <c:v>8</c:v>
                </c:pt>
                <c:pt idx="117">
                  <c:v>8.5</c:v>
                </c:pt>
                <c:pt idx="118">
                  <c:v>9</c:v>
                </c:pt>
                <c:pt idx="119">
                  <c:v>9.5</c:v>
                </c:pt>
                <c:pt idx="120">
                  <c:v>10</c:v>
                </c:pt>
                <c:pt idx="121">
                  <c:v>10.5</c:v>
                </c:pt>
                <c:pt idx="122">
                  <c:v>11</c:v>
                </c:pt>
                <c:pt idx="123">
                  <c:v>11.5</c:v>
                </c:pt>
                <c:pt idx="124">
                  <c:v>12</c:v>
                </c:pt>
                <c:pt idx="125">
                  <c:v>12.5</c:v>
                </c:pt>
                <c:pt idx="126">
                  <c:v>13</c:v>
                </c:pt>
                <c:pt idx="127">
                  <c:v>13.5</c:v>
                </c:pt>
                <c:pt idx="128">
                  <c:v>14</c:v>
                </c:pt>
                <c:pt idx="129">
                  <c:v>14.5</c:v>
                </c:pt>
                <c:pt idx="130">
                  <c:v>15</c:v>
                </c:pt>
                <c:pt idx="131">
                  <c:v>15.5</c:v>
                </c:pt>
                <c:pt idx="132">
                  <c:v>16</c:v>
                </c:pt>
                <c:pt idx="133">
                  <c:v>16.5</c:v>
                </c:pt>
                <c:pt idx="134">
                  <c:v>17</c:v>
                </c:pt>
                <c:pt idx="135">
                  <c:v>17.5</c:v>
                </c:pt>
                <c:pt idx="136">
                  <c:v>18</c:v>
                </c:pt>
                <c:pt idx="137">
                  <c:v>18.5</c:v>
                </c:pt>
                <c:pt idx="138">
                  <c:v>19</c:v>
                </c:pt>
                <c:pt idx="139">
                  <c:v>19.5</c:v>
                </c:pt>
                <c:pt idx="140">
                  <c:v>20</c:v>
                </c:pt>
                <c:pt idx="141">
                  <c:v>20.5</c:v>
                </c:pt>
                <c:pt idx="142">
                  <c:v>21</c:v>
                </c:pt>
                <c:pt idx="143">
                  <c:v>21.5</c:v>
                </c:pt>
                <c:pt idx="144">
                  <c:v>22</c:v>
                </c:pt>
                <c:pt idx="145">
                  <c:v>22.5</c:v>
                </c:pt>
                <c:pt idx="146">
                  <c:v>23</c:v>
                </c:pt>
                <c:pt idx="147">
                  <c:v>23.5</c:v>
                </c:pt>
                <c:pt idx="148">
                  <c:v>24</c:v>
                </c:pt>
                <c:pt idx="149">
                  <c:v>24.5</c:v>
                </c:pt>
                <c:pt idx="150">
                  <c:v>25</c:v>
                </c:pt>
                <c:pt idx="151">
                  <c:v>25.5</c:v>
                </c:pt>
                <c:pt idx="152">
                  <c:v>26</c:v>
                </c:pt>
                <c:pt idx="153">
                  <c:v>26.5</c:v>
                </c:pt>
                <c:pt idx="154">
                  <c:v>27</c:v>
                </c:pt>
                <c:pt idx="155">
                  <c:v>27.5</c:v>
                </c:pt>
                <c:pt idx="156">
                  <c:v>28</c:v>
                </c:pt>
                <c:pt idx="157">
                  <c:v>28.5</c:v>
                </c:pt>
                <c:pt idx="158">
                  <c:v>29</c:v>
                </c:pt>
                <c:pt idx="159">
                  <c:v>29.5</c:v>
                </c:pt>
                <c:pt idx="160">
                  <c:v>30</c:v>
                </c:pt>
                <c:pt idx="161">
                  <c:v>30.5</c:v>
                </c:pt>
                <c:pt idx="162">
                  <c:v>31</c:v>
                </c:pt>
                <c:pt idx="163">
                  <c:v>31.5</c:v>
                </c:pt>
                <c:pt idx="164">
                  <c:v>32</c:v>
                </c:pt>
                <c:pt idx="165">
                  <c:v>32.5</c:v>
                </c:pt>
                <c:pt idx="166">
                  <c:v>33</c:v>
                </c:pt>
                <c:pt idx="167">
                  <c:v>33.5</c:v>
                </c:pt>
                <c:pt idx="168">
                  <c:v>34</c:v>
                </c:pt>
                <c:pt idx="169">
                  <c:v>34.5</c:v>
                </c:pt>
                <c:pt idx="170">
                  <c:v>35</c:v>
                </c:pt>
                <c:pt idx="171">
                  <c:v>35.5</c:v>
                </c:pt>
                <c:pt idx="172">
                  <c:v>36</c:v>
                </c:pt>
                <c:pt idx="173">
                  <c:v>36.5</c:v>
                </c:pt>
                <c:pt idx="174">
                  <c:v>37</c:v>
                </c:pt>
                <c:pt idx="175">
                  <c:v>37.5</c:v>
                </c:pt>
                <c:pt idx="176">
                  <c:v>38</c:v>
                </c:pt>
                <c:pt idx="177">
                  <c:v>38.5</c:v>
                </c:pt>
                <c:pt idx="178">
                  <c:v>39</c:v>
                </c:pt>
                <c:pt idx="179">
                  <c:v>39.5</c:v>
                </c:pt>
                <c:pt idx="180">
                  <c:v>40</c:v>
                </c:pt>
                <c:pt idx="181">
                  <c:v>40.5</c:v>
                </c:pt>
                <c:pt idx="182">
                  <c:v>41</c:v>
                </c:pt>
                <c:pt idx="183">
                  <c:v>41.5</c:v>
                </c:pt>
                <c:pt idx="184">
                  <c:v>42</c:v>
                </c:pt>
                <c:pt idx="185">
                  <c:v>42.5</c:v>
                </c:pt>
                <c:pt idx="186">
                  <c:v>43</c:v>
                </c:pt>
                <c:pt idx="187">
                  <c:v>43.5</c:v>
                </c:pt>
                <c:pt idx="188">
                  <c:v>44</c:v>
                </c:pt>
                <c:pt idx="189">
                  <c:v>44.5</c:v>
                </c:pt>
                <c:pt idx="190">
                  <c:v>45</c:v>
                </c:pt>
                <c:pt idx="191">
                  <c:v>45.5</c:v>
                </c:pt>
                <c:pt idx="192">
                  <c:v>46</c:v>
                </c:pt>
                <c:pt idx="193">
                  <c:v>46.5</c:v>
                </c:pt>
                <c:pt idx="194">
                  <c:v>47</c:v>
                </c:pt>
                <c:pt idx="195">
                  <c:v>47.5</c:v>
                </c:pt>
                <c:pt idx="196">
                  <c:v>48</c:v>
                </c:pt>
                <c:pt idx="197">
                  <c:v>48.5</c:v>
                </c:pt>
                <c:pt idx="198">
                  <c:v>49</c:v>
                </c:pt>
                <c:pt idx="199">
                  <c:v>49.5</c:v>
                </c:pt>
                <c:pt idx="200">
                  <c:v>50</c:v>
                </c:pt>
              </c:numCache>
            </c:numRef>
          </c:xVal>
          <c:yVal>
            <c:numRef>
              <c:f>'subsidence profile with z_0'!$D$16:$D$216</c:f>
              <c:numCache>
                <c:formatCode>0.000</c:formatCode>
                <c:ptCount val="201"/>
                <c:pt idx="0">
                  <c:v>-3.4833660510973849E-32</c:v>
                </c:pt>
                <c:pt idx="1">
                  <c:v>-1.5871676929689183E-31</c:v>
                </c:pt>
                <c:pt idx="2">
                  <c:v>-7.1224134581367714E-31</c:v>
                </c:pt>
                <c:pt idx="3">
                  <c:v>-3.1478368385623495E-30</c:v>
                </c:pt>
                <c:pt idx="4">
                  <c:v>-1.370180909963356E-29</c:v>
                </c:pt>
                <c:pt idx="5">
                  <c:v>-5.8738692846794903E-29</c:v>
                </c:pt>
                <c:pt idx="6">
                  <c:v>-2.4799978777678035E-28</c:v>
                </c:pt>
                <c:pt idx="7">
                  <c:v>-1.0312382354189609E-27</c:v>
                </c:pt>
                <c:pt idx="8">
                  <c:v>-4.2232556454510187E-27</c:v>
                </c:pt>
                <c:pt idx="9">
                  <c:v>-1.7033990544093081E-26</c:v>
                </c:pt>
                <c:pt idx="10">
                  <c:v>-6.7665313564892894E-26</c:v>
                </c:pt>
                <c:pt idx="11">
                  <c:v>-2.6472591733945689E-25</c:v>
                </c:pt>
                <c:pt idx="12">
                  <c:v>-1.0200171914574522E-24</c:v>
                </c:pt>
                <c:pt idx="13">
                  <c:v>-3.8707862293184113E-24</c:v>
                </c:pt>
                <c:pt idx="14">
                  <c:v>-1.446676908938194E-23</c:v>
                </c:pt>
                <c:pt idx="15">
                  <c:v>-5.325060889558809E-23</c:v>
                </c:pt>
                <c:pt idx="16">
                  <c:v>-1.9304487349095002E-22</c:v>
                </c:pt>
                <c:pt idx="17">
                  <c:v>-6.8924342866244404E-22</c:v>
                </c:pt>
                <c:pt idx="18">
                  <c:v>-2.4236374898019662E-21</c:v>
                </c:pt>
                <c:pt idx="19">
                  <c:v>-8.3935050409663202E-21</c:v>
                </c:pt>
                <c:pt idx="20">
                  <c:v>-2.8628573974375935E-20</c:v>
                </c:pt>
                <c:pt idx="21">
                  <c:v>-9.6169363649975455E-20</c:v>
                </c:pt>
                <c:pt idx="22">
                  <c:v>-3.1816648879303046E-19</c:v>
                </c:pt>
                <c:pt idx="23">
                  <c:v>-1.0366992740494532E-18</c:v>
                </c:pt>
                <c:pt idx="24">
                  <c:v>-3.3268392754126009E-18</c:v>
                </c:pt>
                <c:pt idx="25">
                  <c:v>-1.0514569883615821E-17</c:v>
                </c:pt>
                <c:pt idx="26">
                  <c:v>-3.272893473212263E-17</c:v>
                </c:pt>
                <c:pt idx="27">
                  <c:v>-1.0033510155242171E-16</c:v>
                </c:pt>
                <c:pt idx="28">
                  <c:v>-3.0293858005470071E-16</c:v>
                </c:pt>
                <c:pt idx="29">
                  <c:v>-9.008177657155652E-16</c:v>
                </c:pt>
                <c:pt idx="30">
                  <c:v>-2.6381529227282202E-15</c:v>
                </c:pt>
                <c:pt idx="31">
                  <c:v>-7.6092815917001311E-15</c:v>
                </c:pt>
                <c:pt idx="32">
                  <c:v>-2.1615635695567265E-14</c:v>
                </c:pt>
                <c:pt idx="33">
                  <c:v>-6.0474604221445724E-14</c:v>
                </c:pt>
                <c:pt idx="34">
                  <c:v>-1.6663212150668539E-13</c:v>
                </c:pt>
                <c:pt idx="35">
                  <c:v>-4.5219429497845441E-13</c:v>
                </c:pt>
                <c:pt idx="36">
                  <c:v>-1.2085708089998471E-12</c:v>
                </c:pt>
                <c:pt idx="37">
                  <c:v>-3.1812645664995999E-12</c:v>
                </c:pt>
                <c:pt idx="38">
                  <c:v>-8.2472306845132222E-12</c:v>
                </c:pt>
                <c:pt idx="39">
                  <c:v>-2.105703228400703E-11</c:v>
                </c:pt>
                <c:pt idx="40">
                  <c:v>-5.2950107949753217E-11</c:v>
                </c:pt>
                <c:pt idx="41">
                  <c:v>-1.3113457197364416E-10</c:v>
                </c:pt>
                <c:pt idx="42">
                  <c:v>-3.198513753949316E-10</c:v>
                </c:pt>
                <c:pt idx="43">
                  <c:v>-7.6835143804264752E-10</c:v>
                </c:pt>
                <c:pt idx="44">
                  <c:v>-1.8178257901695921E-9</c:v>
                </c:pt>
                <c:pt idx="45">
                  <c:v>-4.2357008408043122E-9</c:v>
                </c:pt>
                <c:pt idx="46">
                  <c:v>-9.7202842241172001E-9</c:v>
                </c:pt>
                <c:pt idx="47">
                  <c:v>-2.1969153090148448E-8</c:v>
                </c:pt>
                <c:pt idx="48">
                  <c:v>-4.8902192708170768E-8</c:v>
                </c:pt>
                <c:pt idx="49">
                  <c:v>-1.0720721559797906E-7</c:v>
                </c:pt>
                <c:pt idx="50">
                  <c:v>-2.314730140949576E-7</c:v>
                </c:pt>
                <c:pt idx="51">
                  <c:v>-4.9221787744994165E-7</c:v>
                </c:pt>
                <c:pt idx="52">
                  <c:v>-1.0308490289750913E-6</c:v>
                </c:pt>
                <c:pt idx="53">
                  <c:v>-2.1262455386031208E-6</c:v>
                </c:pt>
                <c:pt idx="54">
                  <c:v>-4.319290666747239E-6</c:v>
                </c:pt>
                <c:pt idx="55">
                  <c:v>-8.6415592649818908E-6</c:v>
                </c:pt>
                <c:pt idx="56">
                  <c:v>-1.7027561633045275E-5</c:v>
                </c:pt>
                <c:pt idx="57">
                  <c:v>-3.3044065583964309E-5</c:v>
                </c:pt>
                <c:pt idx="58">
                  <c:v>-6.3156078563437199E-5</c:v>
                </c:pt>
                <c:pt idx="59">
                  <c:v>-1.188823834243683E-4</c:v>
                </c:pt>
                <c:pt idx="60">
                  <c:v>-2.2039438055502784E-4</c:v>
                </c:pt>
                <c:pt idx="61">
                  <c:v>-4.0240576771441531E-4</c:v>
                </c:pt>
                <c:pt idx="62">
                  <c:v>-7.2361663648615084E-4</c:v>
                </c:pt>
                <c:pt idx="63">
                  <c:v>-1.2815441000720714E-3</c:v>
                </c:pt>
                <c:pt idx="64">
                  <c:v>-2.2353175837099247E-3</c:v>
                </c:pt>
                <c:pt idx="65">
                  <c:v>-3.8399500898101957E-3</c:v>
                </c:pt>
                <c:pt idx="66">
                  <c:v>-6.4966966856907773E-3</c:v>
                </c:pt>
                <c:pt idx="67">
                  <c:v>-1.082530818193192E-2</c:v>
                </c:pt>
                <c:pt idx="68">
                  <c:v>-1.7765139133705345E-2</c:v>
                </c:pt>
                <c:pt idx="69">
                  <c:v>-2.8712937372121008E-2</c:v>
                </c:pt>
                <c:pt idx="70">
                  <c:v>-4.5705377522439201E-2</c:v>
                </c:pt>
                <c:pt idx="71">
                  <c:v>-7.1653538744211306E-2</c:v>
                </c:pt>
                <c:pt idx="72">
                  <c:v>-0.11063400981343692</c:v>
                </c:pt>
                <c:pt idx="73">
                  <c:v>-0.16823654043520767</c:v>
                </c:pt>
                <c:pt idx="74">
                  <c:v>-0.25196062168406919</c:v>
                </c:pt>
                <c:pt idx="75">
                  <c:v>-0.37164276262332724</c:v>
                </c:pt>
                <c:pt idx="76">
                  <c:v>-0.53988262969757927</c:v>
                </c:pt>
                <c:pt idx="77">
                  <c:v>-0.77242032992507226</c:v>
                </c:pt>
                <c:pt idx="78">
                  <c:v>-1.088400426524337</c:v>
                </c:pt>
                <c:pt idx="79">
                  <c:v>-1.5104431263009166</c:v>
                </c:pt>
                <c:pt idx="80">
                  <c:v>-2.0644326418800913</c:v>
                </c:pt>
                <c:pt idx="81">
                  <c:v>-2.7789307460850594</c:v>
                </c:pt>
                <c:pt idx="82">
                  <c:v>-3.6841338186566528</c:v>
                </c:pt>
                <c:pt idx="83">
                  <c:v>-4.8103174266108164</c:v>
                </c:pt>
                <c:pt idx="84">
                  <c:v>-6.1857553775548828</c:v>
                </c:pt>
                <c:pt idx="85">
                  <c:v>-7.8341595695332993</c:v>
                </c:pt>
                <c:pt idx="86">
                  <c:v>-9.7717590878528924</c:v>
                </c:pt>
                <c:pt idx="87">
                  <c:v>-12.004214742385715</c:v>
                </c:pt>
                <c:pt idx="88">
                  <c:v>-14.523638370650442</c:v>
                </c:pt>
                <c:pt idx="89">
                  <c:v>-17.306042419331792</c:v>
                </c:pt>
                <c:pt idx="90">
                  <c:v>-20.309571819208863</c:v>
                </c:pt>
                <c:pt idx="91">
                  <c:v>-23.473856062327449</c:v>
                </c:pt>
                <c:pt idx="92">
                  <c:v>-26.720757975219854</c:v>
                </c:pt>
                <c:pt idx="93">
                  <c:v>-29.956686597050457</c:v>
                </c:pt>
                <c:pt idx="94">
                  <c:v>-33.076492112638235</c:v>
                </c:pt>
                <c:pt idx="95">
                  <c:v>-35.968785994592402</c:v>
                </c:pt>
                <c:pt idx="96">
                  <c:v>-38.522350767606298</c:v>
                </c:pt>
                <c:pt idx="97">
                  <c:v>-40.633146056426213</c:v>
                </c:pt>
                <c:pt idx="98">
                  <c:v>-42.211305433465725</c:v>
                </c:pt>
                <c:pt idx="99">
                  <c:v>-43.187472076840777</c:v>
                </c:pt>
                <c:pt idx="100">
                  <c:v>-43.517851990121542</c:v>
                </c:pt>
                <c:pt idx="101">
                  <c:v>-43.187472076840777</c:v>
                </c:pt>
                <c:pt idx="102">
                  <c:v>-42.211305433465725</c:v>
                </c:pt>
                <c:pt idx="103">
                  <c:v>-40.633146056426213</c:v>
                </c:pt>
                <c:pt idx="104">
                  <c:v>-38.522350767606298</c:v>
                </c:pt>
                <c:pt idx="105">
                  <c:v>-35.968785994592402</c:v>
                </c:pt>
                <c:pt idx="106">
                  <c:v>-33.076492112638235</c:v>
                </c:pt>
                <c:pt idx="107">
                  <c:v>-29.956686597050457</c:v>
                </c:pt>
                <c:pt idx="108">
                  <c:v>-26.720757975219854</c:v>
                </c:pt>
                <c:pt idx="109">
                  <c:v>-23.473856062327449</c:v>
                </c:pt>
                <c:pt idx="110">
                  <c:v>-20.309571819208863</c:v>
                </c:pt>
                <c:pt idx="111">
                  <c:v>-17.306042419331792</c:v>
                </c:pt>
                <c:pt idx="112">
                  <c:v>-14.523638370650442</c:v>
                </c:pt>
                <c:pt idx="113">
                  <c:v>-12.004214742385715</c:v>
                </c:pt>
                <c:pt idx="114">
                  <c:v>-9.7717590878528924</c:v>
                </c:pt>
                <c:pt idx="115">
                  <c:v>-7.8341595695332993</c:v>
                </c:pt>
                <c:pt idx="116">
                  <c:v>-6.1857553775548828</c:v>
                </c:pt>
                <c:pt idx="117">
                  <c:v>-4.8103174266108164</c:v>
                </c:pt>
                <c:pt idx="118">
                  <c:v>-3.6841338186566528</c:v>
                </c:pt>
                <c:pt idx="119">
                  <c:v>-2.7789307460850594</c:v>
                </c:pt>
                <c:pt idx="120">
                  <c:v>-2.0644326418800913</c:v>
                </c:pt>
                <c:pt idx="121">
                  <c:v>-1.5104431263009166</c:v>
                </c:pt>
                <c:pt idx="122">
                  <c:v>-1.088400426524337</c:v>
                </c:pt>
                <c:pt idx="123">
                  <c:v>-0.77242032992507226</c:v>
                </c:pt>
                <c:pt idx="124">
                  <c:v>-0.53988262969757927</c:v>
                </c:pt>
                <c:pt idx="125">
                  <c:v>-0.37164276262332724</c:v>
                </c:pt>
                <c:pt idx="126">
                  <c:v>-0.25196062168406919</c:v>
                </c:pt>
                <c:pt idx="127">
                  <c:v>-0.16823654043520767</c:v>
                </c:pt>
                <c:pt idx="128">
                  <c:v>-0.11063400981343692</c:v>
                </c:pt>
                <c:pt idx="129">
                  <c:v>-7.1653538744211306E-2</c:v>
                </c:pt>
                <c:pt idx="130">
                  <c:v>-4.5705377522439201E-2</c:v>
                </c:pt>
                <c:pt idx="131">
                  <c:v>-2.8712937372121008E-2</c:v>
                </c:pt>
                <c:pt idx="132">
                  <c:v>-1.7765139133705345E-2</c:v>
                </c:pt>
                <c:pt idx="133">
                  <c:v>-1.082530818193192E-2</c:v>
                </c:pt>
                <c:pt idx="134">
                  <c:v>-6.4966966856907773E-3</c:v>
                </c:pt>
                <c:pt idx="135">
                  <c:v>-3.8399500898101957E-3</c:v>
                </c:pt>
                <c:pt idx="136">
                  <c:v>-2.2353175837099247E-3</c:v>
                </c:pt>
                <c:pt idx="137">
                  <c:v>-1.2815441000720714E-3</c:v>
                </c:pt>
                <c:pt idx="138">
                  <c:v>-7.2361663648615084E-4</c:v>
                </c:pt>
                <c:pt idx="139">
                  <c:v>-4.0240576771441531E-4</c:v>
                </c:pt>
                <c:pt idx="140">
                  <c:v>-2.2039438055502784E-4</c:v>
                </c:pt>
                <c:pt idx="141">
                  <c:v>-1.188823834243683E-4</c:v>
                </c:pt>
                <c:pt idx="142">
                  <c:v>-6.3156078563437199E-5</c:v>
                </c:pt>
                <c:pt idx="143">
                  <c:v>-3.3044065583964309E-5</c:v>
                </c:pt>
                <c:pt idx="144">
                  <c:v>-1.7027561633045275E-5</c:v>
                </c:pt>
                <c:pt idx="145">
                  <c:v>-8.6415592649818908E-6</c:v>
                </c:pt>
                <c:pt idx="146">
                  <c:v>-4.319290666747239E-6</c:v>
                </c:pt>
                <c:pt idx="147">
                  <c:v>-2.1262455386031208E-6</c:v>
                </c:pt>
                <c:pt idx="148">
                  <c:v>-1.0308490289750913E-6</c:v>
                </c:pt>
                <c:pt idx="149">
                  <c:v>-4.9221787744994165E-7</c:v>
                </c:pt>
                <c:pt idx="150">
                  <c:v>-2.314730140949576E-7</c:v>
                </c:pt>
                <c:pt idx="151">
                  <c:v>-1.0720721559797906E-7</c:v>
                </c:pt>
                <c:pt idx="152">
                  <c:v>-4.8902192708170768E-8</c:v>
                </c:pt>
                <c:pt idx="153">
                  <c:v>-2.1969153090148448E-8</c:v>
                </c:pt>
                <c:pt idx="154">
                  <c:v>-9.7202842241172001E-9</c:v>
                </c:pt>
                <c:pt idx="155">
                  <c:v>-4.2357008408043122E-9</c:v>
                </c:pt>
                <c:pt idx="156">
                  <c:v>-1.8178257901695921E-9</c:v>
                </c:pt>
                <c:pt idx="157">
                  <c:v>-7.6835143804264752E-10</c:v>
                </c:pt>
                <c:pt idx="158">
                  <c:v>-3.198513753949316E-10</c:v>
                </c:pt>
                <c:pt idx="159">
                  <c:v>-1.3113457197364416E-10</c:v>
                </c:pt>
                <c:pt idx="160">
                  <c:v>-5.2950107949753217E-11</c:v>
                </c:pt>
                <c:pt idx="161">
                  <c:v>-2.105703228400703E-11</c:v>
                </c:pt>
                <c:pt idx="162">
                  <c:v>-8.2472306845132222E-12</c:v>
                </c:pt>
                <c:pt idx="163">
                  <c:v>-3.1812645664995999E-12</c:v>
                </c:pt>
                <c:pt idx="164">
                  <c:v>-1.2085708089998471E-12</c:v>
                </c:pt>
                <c:pt idx="165">
                  <c:v>-4.5219429497845441E-13</c:v>
                </c:pt>
                <c:pt idx="166">
                  <c:v>-1.6663212150668539E-13</c:v>
                </c:pt>
                <c:pt idx="167">
                  <c:v>-6.0474604221445724E-14</c:v>
                </c:pt>
                <c:pt idx="168">
                  <c:v>-2.1615635695567265E-14</c:v>
                </c:pt>
                <c:pt idx="169">
                  <c:v>-7.6092815917001311E-15</c:v>
                </c:pt>
                <c:pt idx="170">
                  <c:v>-2.6381529227282202E-15</c:v>
                </c:pt>
                <c:pt idx="171">
                  <c:v>-9.008177657155652E-16</c:v>
                </c:pt>
                <c:pt idx="172">
                  <c:v>-3.0293858005470071E-16</c:v>
                </c:pt>
                <c:pt idx="173">
                  <c:v>-1.0033510155242171E-16</c:v>
                </c:pt>
                <c:pt idx="174">
                  <c:v>-3.272893473212263E-17</c:v>
                </c:pt>
                <c:pt idx="175">
                  <c:v>-1.0514569883615821E-17</c:v>
                </c:pt>
                <c:pt idx="176">
                  <c:v>-3.3268392754126009E-18</c:v>
                </c:pt>
                <c:pt idx="177">
                  <c:v>-1.0366992740494532E-18</c:v>
                </c:pt>
                <c:pt idx="178">
                  <c:v>-3.1816648879303046E-19</c:v>
                </c:pt>
                <c:pt idx="179">
                  <c:v>-9.6169363649975455E-20</c:v>
                </c:pt>
                <c:pt idx="180">
                  <c:v>-2.8628573974375935E-20</c:v>
                </c:pt>
                <c:pt idx="181">
                  <c:v>-8.3935050409663202E-21</c:v>
                </c:pt>
                <c:pt idx="182">
                  <c:v>-2.4236374898019662E-21</c:v>
                </c:pt>
                <c:pt idx="183">
                  <c:v>-6.8924342866244404E-22</c:v>
                </c:pt>
                <c:pt idx="184">
                  <c:v>-1.9304487349095002E-22</c:v>
                </c:pt>
                <c:pt idx="185">
                  <c:v>-5.325060889558809E-23</c:v>
                </c:pt>
                <c:pt idx="186">
                  <c:v>-1.446676908938194E-23</c:v>
                </c:pt>
                <c:pt idx="187">
                  <c:v>-3.8707862293184113E-24</c:v>
                </c:pt>
                <c:pt idx="188">
                  <c:v>-1.0200171914574522E-24</c:v>
                </c:pt>
                <c:pt idx="189">
                  <c:v>-2.6472591733945689E-25</c:v>
                </c:pt>
                <c:pt idx="190">
                  <c:v>-6.7665313564892894E-26</c:v>
                </c:pt>
                <c:pt idx="191">
                  <c:v>-1.7033990544093081E-26</c:v>
                </c:pt>
                <c:pt idx="192">
                  <c:v>-4.2232556454510187E-27</c:v>
                </c:pt>
                <c:pt idx="193">
                  <c:v>-1.0312382354189609E-27</c:v>
                </c:pt>
                <c:pt idx="194">
                  <c:v>-2.4799978777678035E-28</c:v>
                </c:pt>
                <c:pt idx="195">
                  <c:v>-5.8738692846794903E-29</c:v>
                </c:pt>
                <c:pt idx="196">
                  <c:v>-1.370180909963356E-29</c:v>
                </c:pt>
                <c:pt idx="197">
                  <c:v>-3.1478368385623495E-30</c:v>
                </c:pt>
                <c:pt idx="198">
                  <c:v>-7.1224134581367714E-31</c:v>
                </c:pt>
                <c:pt idx="199">
                  <c:v>-1.5871676929689183E-31</c:v>
                </c:pt>
                <c:pt idx="200">
                  <c:v>-3.4833660510973849E-32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84-4680-A95E-69FF265357C3}"/>
            </c:ext>
          </c:extLst>
        </c:ser>
        <c:ser>
          <c:idx val="0"/>
          <c:order val="2"/>
          <c:tx>
            <c:strRef>
              <c:f>'subsidence profile with z_0'!$E$6</c:f>
              <c:strCache>
                <c:ptCount val="1"/>
                <c:pt idx="0">
                  <c:v>1</c:v>
                </c:pt>
              </c:strCache>
            </c:strRef>
          </c:tx>
          <c:spPr>
            <a:ln w="38100">
              <a:solidFill>
                <a:srgbClr val="FF9900"/>
              </a:solidFill>
              <a:prstDash val="solid"/>
            </a:ln>
          </c:spPr>
          <c:marker>
            <c:symbol val="none"/>
          </c:marker>
          <c:xVal>
            <c:numRef>
              <c:f>'subsidence profile with z_0'!$B$16:$B$216</c:f>
              <c:numCache>
                <c:formatCode>0.000</c:formatCode>
                <c:ptCount val="201"/>
                <c:pt idx="0">
                  <c:v>-50</c:v>
                </c:pt>
                <c:pt idx="1">
                  <c:v>-49.5</c:v>
                </c:pt>
                <c:pt idx="2">
                  <c:v>-49</c:v>
                </c:pt>
                <c:pt idx="3">
                  <c:v>-48.5</c:v>
                </c:pt>
                <c:pt idx="4">
                  <c:v>-48</c:v>
                </c:pt>
                <c:pt idx="5">
                  <c:v>-47.5</c:v>
                </c:pt>
                <c:pt idx="6">
                  <c:v>-47</c:v>
                </c:pt>
                <c:pt idx="7">
                  <c:v>-46.5</c:v>
                </c:pt>
                <c:pt idx="8">
                  <c:v>-46</c:v>
                </c:pt>
                <c:pt idx="9">
                  <c:v>-45.5</c:v>
                </c:pt>
                <c:pt idx="10">
                  <c:v>-45</c:v>
                </c:pt>
                <c:pt idx="11">
                  <c:v>-44.5</c:v>
                </c:pt>
                <c:pt idx="12">
                  <c:v>-44</c:v>
                </c:pt>
                <c:pt idx="13">
                  <c:v>-43.5</c:v>
                </c:pt>
                <c:pt idx="14">
                  <c:v>-43</c:v>
                </c:pt>
                <c:pt idx="15">
                  <c:v>-42.5</c:v>
                </c:pt>
                <c:pt idx="16">
                  <c:v>-42</c:v>
                </c:pt>
                <c:pt idx="17">
                  <c:v>-41.5</c:v>
                </c:pt>
                <c:pt idx="18">
                  <c:v>-41</c:v>
                </c:pt>
                <c:pt idx="19">
                  <c:v>-40.5</c:v>
                </c:pt>
                <c:pt idx="20">
                  <c:v>-40</c:v>
                </c:pt>
                <c:pt idx="21">
                  <c:v>-39.5</c:v>
                </c:pt>
                <c:pt idx="22">
                  <c:v>-39</c:v>
                </c:pt>
                <c:pt idx="23">
                  <c:v>-38.5</c:v>
                </c:pt>
                <c:pt idx="24">
                  <c:v>-38</c:v>
                </c:pt>
                <c:pt idx="25">
                  <c:v>-37.5</c:v>
                </c:pt>
                <c:pt idx="26">
                  <c:v>-37</c:v>
                </c:pt>
                <c:pt idx="27">
                  <c:v>-36.5</c:v>
                </c:pt>
                <c:pt idx="28">
                  <c:v>-36</c:v>
                </c:pt>
                <c:pt idx="29">
                  <c:v>-35.5</c:v>
                </c:pt>
                <c:pt idx="30">
                  <c:v>-35</c:v>
                </c:pt>
                <c:pt idx="31">
                  <c:v>-34.5</c:v>
                </c:pt>
                <c:pt idx="32">
                  <c:v>-34</c:v>
                </c:pt>
                <c:pt idx="33">
                  <c:v>-33.5</c:v>
                </c:pt>
                <c:pt idx="34">
                  <c:v>-33</c:v>
                </c:pt>
                <c:pt idx="35">
                  <c:v>-32.5</c:v>
                </c:pt>
                <c:pt idx="36">
                  <c:v>-32</c:v>
                </c:pt>
                <c:pt idx="37">
                  <c:v>-31.5</c:v>
                </c:pt>
                <c:pt idx="38">
                  <c:v>-31</c:v>
                </c:pt>
                <c:pt idx="39">
                  <c:v>-30.5</c:v>
                </c:pt>
                <c:pt idx="40">
                  <c:v>-30</c:v>
                </c:pt>
                <c:pt idx="41">
                  <c:v>-29.5</c:v>
                </c:pt>
                <c:pt idx="42">
                  <c:v>-29</c:v>
                </c:pt>
                <c:pt idx="43">
                  <c:v>-28.5</c:v>
                </c:pt>
                <c:pt idx="44">
                  <c:v>-28</c:v>
                </c:pt>
                <c:pt idx="45">
                  <c:v>-27.5</c:v>
                </c:pt>
                <c:pt idx="46">
                  <c:v>-27</c:v>
                </c:pt>
                <c:pt idx="47">
                  <c:v>-26.5</c:v>
                </c:pt>
                <c:pt idx="48">
                  <c:v>-26</c:v>
                </c:pt>
                <c:pt idx="49">
                  <c:v>-25.5</c:v>
                </c:pt>
                <c:pt idx="50">
                  <c:v>-25</c:v>
                </c:pt>
                <c:pt idx="51">
                  <c:v>-24.5</c:v>
                </c:pt>
                <c:pt idx="52">
                  <c:v>-24</c:v>
                </c:pt>
                <c:pt idx="53">
                  <c:v>-23.5</c:v>
                </c:pt>
                <c:pt idx="54">
                  <c:v>-23</c:v>
                </c:pt>
                <c:pt idx="55">
                  <c:v>-22.5</c:v>
                </c:pt>
                <c:pt idx="56">
                  <c:v>-22</c:v>
                </c:pt>
                <c:pt idx="57">
                  <c:v>-21.5</c:v>
                </c:pt>
                <c:pt idx="58">
                  <c:v>-21</c:v>
                </c:pt>
                <c:pt idx="59">
                  <c:v>-20.5</c:v>
                </c:pt>
                <c:pt idx="60">
                  <c:v>-20</c:v>
                </c:pt>
                <c:pt idx="61">
                  <c:v>-19.5</c:v>
                </c:pt>
                <c:pt idx="62">
                  <c:v>-19</c:v>
                </c:pt>
                <c:pt idx="63">
                  <c:v>-18.5</c:v>
                </c:pt>
                <c:pt idx="64">
                  <c:v>-18</c:v>
                </c:pt>
                <c:pt idx="65">
                  <c:v>-17.5</c:v>
                </c:pt>
                <c:pt idx="66">
                  <c:v>-17</c:v>
                </c:pt>
                <c:pt idx="67">
                  <c:v>-16.5</c:v>
                </c:pt>
                <c:pt idx="68">
                  <c:v>-16</c:v>
                </c:pt>
                <c:pt idx="69">
                  <c:v>-15.5</c:v>
                </c:pt>
                <c:pt idx="70">
                  <c:v>-15</c:v>
                </c:pt>
                <c:pt idx="71">
                  <c:v>-14.5</c:v>
                </c:pt>
                <c:pt idx="72">
                  <c:v>-14</c:v>
                </c:pt>
                <c:pt idx="73">
                  <c:v>-13.5</c:v>
                </c:pt>
                <c:pt idx="74">
                  <c:v>-13</c:v>
                </c:pt>
                <c:pt idx="75">
                  <c:v>-12.5</c:v>
                </c:pt>
                <c:pt idx="76">
                  <c:v>-12</c:v>
                </c:pt>
                <c:pt idx="77">
                  <c:v>-11.5</c:v>
                </c:pt>
                <c:pt idx="78">
                  <c:v>-11</c:v>
                </c:pt>
                <c:pt idx="79">
                  <c:v>-10.5</c:v>
                </c:pt>
                <c:pt idx="80">
                  <c:v>-10</c:v>
                </c:pt>
                <c:pt idx="81">
                  <c:v>-9.5</c:v>
                </c:pt>
                <c:pt idx="82">
                  <c:v>-9</c:v>
                </c:pt>
                <c:pt idx="83">
                  <c:v>-8.5</c:v>
                </c:pt>
                <c:pt idx="84">
                  <c:v>-8</c:v>
                </c:pt>
                <c:pt idx="85">
                  <c:v>-7.5</c:v>
                </c:pt>
                <c:pt idx="86">
                  <c:v>-7</c:v>
                </c:pt>
                <c:pt idx="87">
                  <c:v>-6.5</c:v>
                </c:pt>
                <c:pt idx="88">
                  <c:v>-6</c:v>
                </c:pt>
                <c:pt idx="89">
                  <c:v>-5.5</c:v>
                </c:pt>
                <c:pt idx="90">
                  <c:v>-5</c:v>
                </c:pt>
                <c:pt idx="91">
                  <c:v>-4.5</c:v>
                </c:pt>
                <c:pt idx="92">
                  <c:v>-4</c:v>
                </c:pt>
                <c:pt idx="93">
                  <c:v>-3.5</c:v>
                </c:pt>
                <c:pt idx="94">
                  <c:v>-3</c:v>
                </c:pt>
                <c:pt idx="95">
                  <c:v>-2.5</c:v>
                </c:pt>
                <c:pt idx="96">
                  <c:v>-2</c:v>
                </c:pt>
                <c:pt idx="97">
                  <c:v>-1.5</c:v>
                </c:pt>
                <c:pt idx="98">
                  <c:v>-1</c:v>
                </c:pt>
                <c:pt idx="99">
                  <c:v>-0.5</c:v>
                </c:pt>
                <c:pt idx="100">
                  <c:v>0</c:v>
                </c:pt>
                <c:pt idx="101">
                  <c:v>0.5</c:v>
                </c:pt>
                <c:pt idx="102">
                  <c:v>1</c:v>
                </c:pt>
                <c:pt idx="103">
                  <c:v>1.5</c:v>
                </c:pt>
                <c:pt idx="104">
                  <c:v>2</c:v>
                </c:pt>
                <c:pt idx="105">
                  <c:v>2.5</c:v>
                </c:pt>
                <c:pt idx="106">
                  <c:v>3</c:v>
                </c:pt>
                <c:pt idx="107">
                  <c:v>3.5</c:v>
                </c:pt>
                <c:pt idx="108">
                  <c:v>4</c:v>
                </c:pt>
                <c:pt idx="109">
                  <c:v>4.5</c:v>
                </c:pt>
                <c:pt idx="110">
                  <c:v>5</c:v>
                </c:pt>
                <c:pt idx="111">
                  <c:v>5.5</c:v>
                </c:pt>
                <c:pt idx="112">
                  <c:v>6</c:v>
                </c:pt>
                <c:pt idx="113">
                  <c:v>6.5</c:v>
                </c:pt>
                <c:pt idx="114">
                  <c:v>7</c:v>
                </c:pt>
                <c:pt idx="115">
                  <c:v>7.5</c:v>
                </c:pt>
                <c:pt idx="116">
                  <c:v>8</c:v>
                </c:pt>
                <c:pt idx="117">
                  <c:v>8.5</c:v>
                </c:pt>
                <c:pt idx="118">
                  <c:v>9</c:v>
                </c:pt>
                <c:pt idx="119">
                  <c:v>9.5</c:v>
                </c:pt>
                <c:pt idx="120">
                  <c:v>10</c:v>
                </c:pt>
                <c:pt idx="121">
                  <c:v>10.5</c:v>
                </c:pt>
                <c:pt idx="122">
                  <c:v>11</c:v>
                </c:pt>
                <c:pt idx="123">
                  <c:v>11.5</c:v>
                </c:pt>
                <c:pt idx="124">
                  <c:v>12</c:v>
                </c:pt>
                <c:pt idx="125">
                  <c:v>12.5</c:v>
                </c:pt>
                <c:pt idx="126">
                  <c:v>13</c:v>
                </c:pt>
                <c:pt idx="127">
                  <c:v>13.5</c:v>
                </c:pt>
                <c:pt idx="128">
                  <c:v>14</c:v>
                </c:pt>
                <c:pt idx="129">
                  <c:v>14.5</c:v>
                </c:pt>
                <c:pt idx="130">
                  <c:v>15</c:v>
                </c:pt>
                <c:pt idx="131">
                  <c:v>15.5</c:v>
                </c:pt>
                <c:pt idx="132">
                  <c:v>16</c:v>
                </c:pt>
                <c:pt idx="133">
                  <c:v>16.5</c:v>
                </c:pt>
                <c:pt idx="134">
                  <c:v>17</c:v>
                </c:pt>
                <c:pt idx="135">
                  <c:v>17.5</c:v>
                </c:pt>
                <c:pt idx="136">
                  <c:v>18</c:v>
                </c:pt>
                <c:pt idx="137">
                  <c:v>18.5</c:v>
                </c:pt>
                <c:pt idx="138">
                  <c:v>19</c:v>
                </c:pt>
                <c:pt idx="139">
                  <c:v>19.5</c:v>
                </c:pt>
                <c:pt idx="140">
                  <c:v>20</c:v>
                </c:pt>
                <c:pt idx="141">
                  <c:v>20.5</c:v>
                </c:pt>
                <c:pt idx="142">
                  <c:v>21</c:v>
                </c:pt>
                <c:pt idx="143">
                  <c:v>21.5</c:v>
                </c:pt>
                <c:pt idx="144">
                  <c:v>22</c:v>
                </c:pt>
                <c:pt idx="145">
                  <c:v>22.5</c:v>
                </c:pt>
                <c:pt idx="146">
                  <c:v>23</c:v>
                </c:pt>
                <c:pt idx="147">
                  <c:v>23.5</c:v>
                </c:pt>
                <c:pt idx="148">
                  <c:v>24</c:v>
                </c:pt>
                <c:pt idx="149">
                  <c:v>24.5</c:v>
                </c:pt>
                <c:pt idx="150">
                  <c:v>25</c:v>
                </c:pt>
                <c:pt idx="151">
                  <c:v>25.5</c:v>
                </c:pt>
                <c:pt idx="152">
                  <c:v>26</c:v>
                </c:pt>
                <c:pt idx="153">
                  <c:v>26.5</c:v>
                </c:pt>
                <c:pt idx="154">
                  <c:v>27</c:v>
                </c:pt>
                <c:pt idx="155">
                  <c:v>27.5</c:v>
                </c:pt>
                <c:pt idx="156">
                  <c:v>28</c:v>
                </c:pt>
                <c:pt idx="157">
                  <c:v>28.5</c:v>
                </c:pt>
                <c:pt idx="158">
                  <c:v>29</c:v>
                </c:pt>
                <c:pt idx="159">
                  <c:v>29.5</c:v>
                </c:pt>
                <c:pt idx="160">
                  <c:v>30</c:v>
                </c:pt>
                <c:pt idx="161">
                  <c:v>30.5</c:v>
                </c:pt>
                <c:pt idx="162">
                  <c:v>31</c:v>
                </c:pt>
                <c:pt idx="163">
                  <c:v>31.5</c:v>
                </c:pt>
                <c:pt idx="164">
                  <c:v>32</c:v>
                </c:pt>
                <c:pt idx="165">
                  <c:v>32.5</c:v>
                </c:pt>
                <c:pt idx="166">
                  <c:v>33</c:v>
                </c:pt>
                <c:pt idx="167">
                  <c:v>33.5</c:v>
                </c:pt>
                <c:pt idx="168">
                  <c:v>34</c:v>
                </c:pt>
                <c:pt idx="169">
                  <c:v>34.5</c:v>
                </c:pt>
                <c:pt idx="170">
                  <c:v>35</c:v>
                </c:pt>
                <c:pt idx="171">
                  <c:v>35.5</c:v>
                </c:pt>
                <c:pt idx="172">
                  <c:v>36</c:v>
                </c:pt>
                <c:pt idx="173">
                  <c:v>36.5</c:v>
                </c:pt>
                <c:pt idx="174">
                  <c:v>37</c:v>
                </c:pt>
                <c:pt idx="175">
                  <c:v>37.5</c:v>
                </c:pt>
                <c:pt idx="176">
                  <c:v>38</c:v>
                </c:pt>
                <c:pt idx="177">
                  <c:v>38.5</c:v>
                </c:pt>
                <c:pt idx="178">
                  <c:v>39</c:v>
                </c:pt>
                <c:pt idx="179">
                  <c:v>39.5</c:v>
                </c:pt>
                <c:pt idx="180">
                  <c:v>40</c:v>
                </c:pt>
                <c:pt idx="181">
                  <c:v>40.5</c:v>
                </c:pt>
                <c:pt idx="182">
                  <c:v>41</c:v>
                </c:pt>
                <c:pt idx="183">
                  <c:v>41.5</c:v>
                </c:pt>
                <c:pt idx="184">
                  <c:v>42</c:v>
                </c:pt>
                <c:pt idx="185">
                  <c:v>42.5</c:v>
                </c:pt>
                <c:pt idx="186">
                  <c:v>43</c:v>
                </c:pt>
                <c:pt idx="187">
                  <c:v>43.5</c:v>
                </c:pt>
                <c:pt idx="188">
                  <c:v>44</c:v>
                </c:pt>
                <c:pt idx="189">
                  <c:v>44.5</c:v>
                </c:pt>
                <c:pt idx="190">
                  <c:v>45</c:v>
                </c:pt>
                <c:pt idx="191">
                  <c:v>45.5</c:v>
                </c:pt>
                <c:pt idx="192">
                  <c:v>46</c:v>
                </c:pt>
                <c:pt idx="193">
                  <c:v>46.5</c:v>
                </c:pt>
                <c:pt idx="194">
                  <c:v>47</c:v>
                </c:pt>
                <c:pt idx="195">
                  <c:v>47.5</c:v>
                </c:pt>
                <c:pt idx="196">
                  <c:v>48</c:v>
                </c:pt>
                <c:pt idx="197">
                  <c:v>48.5</c:v>
                </c:pt>
                <c:pt idx="198">
                  <c:v>49</c:v>
                </c:pt>
                <c:pt idx="199">
                  <c:v>49.5</c:v>
                </c:pt>
                <c:pt idx="200">
                  <c:v>50</c:v>
                </c:pt>
              </c:numCache>
            </c:numRef>
          </c:xVal>
          <c:yVal>
            <c:numRef>
              <c:f>'subsidence profile with z_0'!$E$16:$E$216</c:f>
              <c:numCache>
                <c:formatCode>0.000</c:formatCode>
                <c:ptCount val="201"/>
                <c:pt idx="0">
                  <c:v>-2.2902859179500746E-20</c:v>
                </c:pt>
                <c:pt idx="1">
                  <c:v>-6.0451749036181212E-20</c:v>
                </c:pt>
                <c:pt idx="2">
                  <c:v>-1.5801258032103983E-19</c:v>
                </c:pt>
                <c:pt idx="3">
                  <c:v>-4.0901391745196983E-19</c:v>
                </c:pt>
                <c:pt idx="4">
                  <c:v>-1.0484509878236641E-18</c:v>
                </c:pt>
                <c:pt idx="5">
                  <c:v>-2.6614714203300807E-18</c:v>
                </c:pt>
                <c:pt idx="6">
                  <c:v>-6.6905081973203257E-18</c:v>
                </c:pt>
                <c:pt idx="7">
                  <c:v>-1.6655590469276557E-17</c:v>
                </c:pt>
                <c:pt idx="8">
                  <c:v>-4.1060533407078138E-17</c:v>
                </c:pt>
                <c:pt idx="9">
                  <c:v>-1.0024270247592855E-16</c:v>
                </c:pt>
                <c:pt idx="10">
                  <c:v>-2.4235086404376054E-16</c:v>
                </c:pt>
                <c:pt idx="11">
                  <c:v>-5.8022976651483097E-16</c:v>
                </c:pt>
                <c:pt idx="12">
                  <c:v>-1.3756851960525325E-15</c:v>
                </c:pt>
                <c:pt idx="13">
                  <c:v>-3.2299942496630162E-15</c:v>
                </c:pt>
                <c:pt idx="14">
                  <c:v>-7.51014048438088E-15</c:v>
                </c:pt>
                <c:pt idx="15">
                  <c:v>-1.7292508556453812E-14</c:v>
                </c:pt>
                <c:pt idx="16">
                  <c:v>-3.9430434608611798E-14</c:v>
                </c:pt>
                <c:pt idx="17">
                  <c:v>-8.9036638481005114E-14</c:v>
                </c:pt>
                <c:pt idx="18">
                  <c:v>-1.990992264845315E-13</c:v>
                </c:pt>
                <c:pt idx="19">
                  <c:v>-4.4089382555510129E-13</c:v>
                </c:pt>
                <c:pt idx="20">
                  <c:v>-9.6685664719987778E-13</c:v>
                </c:pt>
                <c:pt idx="21">
                  <c:v>-2.0996832531593655E-12</c:v>
                </c:pt>
                <c:pt idx="22">
                  <c:v>-4.5155339077460929E-12</c:v>
                </c:pt>
                <c:pt idx="23">
                  <c:v>-9.616744055685071E-12</c:v>
                </c:pt>
                <c:pt idx="24">
                  <c:v>-2.0281993259063779E-11</c:v>
                </c:pt>
                <c:pt idx="25">
                  <c:v>-4.2360086359802726E-11</c:v>
                </c:pt>
                <c:pt idx="26">
                  <c:v>-8.7612619648193657E-11</c:v>
                </c:pt>
                <c:pt idx="27">
                  <c:v>-1.7944861955777556E-10</c:v>
                </c:pt>
                <c:pt idx="28">
                  <c:v>-3.6397973456516777E-10</c:v>
                </c:pt>
                <c:pt idx="29">
                  <c:v>-7.3110189999865529E-10</c:v>
                </c:pt>
                <c:pt idx="30">
                  <c:v>-1.4542606321356737E-9</c:v>
                </c:pt>
                <c:pt idx="31">
                  <c:v>-2.8646410375331706E-9</c:v>
                </c:pt>
                <c:pt idx="32">
                  <c:v>-5.5880694770536888E-9</c:v>
                </c:pt>
                <c:pt idx="33">
                  <c:v>-1.0794859931485709E-8</c:v>
                </c:pt>
                <c:pt idx="34">
                  <c:v>-2.0650751107347808E-8</c:v>
                </c:pt>
                <c:pt idx="35">
                  <c:v>-3.9121754166536616E-8</c:v>
                </c:pt>
                <c:pt idx="36">
                  <c:v>-7.3394651643848121E-8</c:v>
                </c:pt>
                <c:pt idx="37">
                  <c:v>-1.3635596264327012E-7</c:v>
                </c:pt>
                <c:pt idx="38">
                  <c:v>-2.5086927829543355E-7</c:v>
                </c:pt>
                <c:pt idx="39">
                  <c:v>-4.5707182753291931E-7</c:v>
                </c:pt>
                <c:pt idx="40">
                  <c:v>-8.246792231800731E-7</c:v>
                </c:pt>
                <c:pt idx="41">
                  <c:v>-1.4734970788324906E-6</c:v>
                </c:pt>
                <c:pt idx="42">
                  <c:v>-2.6072167147519811E-6</c:v>
                </c:pt>
                <c:pt idx="43">
                  <c:v>-4.5684472079825379E-6</c:v>
                </c:pt>
                <c:pt idx="44">
                  <c:v>-7.9272711993235595E-6</c:v>
                </c:pt>
                <c:pt idx="45">
                  <c:v>-1.362204930643622E-5</c:v>
                </c:pt>
                <c:pt idx="46">
                  <c:v>-2.3180607115358304E-5</c:v>
                </c:pt>
                <c:pt idx="47">
                  <c:v>-3.9063467485448717E-5</c:v>
                </c:pt>
                <c:pt idx="48">
                  <c:v>-6.5189913115339419E-5</c:v>
                </c:pt>
                <c:pt idx="49">
                  <c:v>-1.0773421210853546E-4</c:v>
                </c:pt>
                <c:pt idx="50">
                  <c:v>-1.7631550444402227E-4</c:v>
                </c:pt>
                <c:pt idx="51">
                  <c:v>-2.8575312897513507E-4</c:v>
                </c:pt>
                <c:pt idx="52">
                  <c:v>-4.5862224046169998E-4</c:v>
                </c:pt>
                <c:pt idx="53">
                  <c:v>-7.2892501607753682E-4</c:v>
                </c:pt>
                <c:pt idx="54">
                  <c:v>-1.1472926861809082E-3</c:v>
                </c:pt>
                <c:pt idx="55">
                  <c:v>-1.7882540669679394E-3</c:v>
                </c:pt>
                <c:pt idx="56">
                  <c:v>-2.7602463499718142E-3</c:v>
                </c:pt>
                <c:pt idx="57">
                  <c:v>-4.2191998164360159E-3</c:v>
                </c:pt>
                <c:pt idx="58">
                  <c:v>-6.3866919501622196E-3</c:v>
                </c:pt>
                <c:pt idx="59">
                  <c:v>-9.5738247080107471E-3</c:v>
                </c:pt>
                <c:pt idx="60">
                  <c:v>-1.4212111306964273E-2</c:v>
                </c:pt>
                <c:pt idx="61">
                  <c:v>-2.089273786146718E-2</c:v>
                </c:pt>
                <c:pt idx="62">
                  <c:v>-3.0415554388768348E-2</c:v>
                </c:pt>
                <c:pt idx="63">
                  <c:v>-4.3849005183233446E-2</c:v>
                </c:pt>
                <c:pt idx="64">
                  <c:v>-6.2601880515083239E-2</c:v>
                </c:pt>
                <c:pt idx="65">
                  <c:v>-8.8507207850749531E-2</c:v>
                </c:pt>
                <c:pt idx="66">
                  <c:v>-0.12391775237915163</c:v>
                </c:pt>
                <c:pt idx="67">
                  <c:v>-0.17181142560719104</c:v>
                </c:pt>
                <c:pt idx="68">
                  <c:v>-0.23590338990251322</c:v>
                </c:pt>
                <c:pt idx="69">
                  <c:v>-0.32075981063952785</c:v>
                </c:pt>
                <c:pt idx="70">
                  <c:v>-0.43190610375806343</c:v>
                </c:pt>
                <c:pt idx="71">
                  <c:v>-0.5759202661255296</c:v>
                </c:pt>
                <c:pt idx="72">
                  <c:v>-0.76049963040656021</c:v>
                </c:pt>
                <c:pt idx="73">
                  <c:v>-0.99448738813261139</c:v>
                </c:pt>
                <c:pt idx="74">
                  <c:v>-1.2878437625070589</c:v>
                </c:pt>
                <c:pt idx="75">
                  <c:v>-1.6515461135040732</c:v>
                </c:pt>
                <c:pt idx="76">
                  <c:v>-2.0974028616687219</c:v>
                </c:pt>
                <c:pt idx="77">
                  <c:v>-2.6377682383652852</c:v>
                </c:pt>
                <c:pt idx="78">
                  <c:v>-3.2851487529030639</c:v>
                </c:pt>
                <c:pt idx="79">
                  <c:v>-4.0516980335664501</c:v>
                </c:pt>
                <c:pt idx="80">
                  <c:v>-4.9486043020439059</c:v>
                </c:pt>
                <c:pt idx="81">
                  <c:v>-5.9853839195033265</c:v>
                </c:pt>
                <c:pt idx="82">
                  <c:v>-7.1691047020006202</c:v>
                </c:pt>
                <c:pt idx="83">
                  <c:v>-8.5035733111081964</c:v>
                </c:pt>
                <c:pt idx="84">
                  <c:v>-9.9885310442478765</c:v>
                </c:pt>
                <c:pt idx="85">
                  <c:v>-11.618910696520354</c:v>
                </c:pt>
                <c:pt idx="86">
                  <c:v>-13.384212711942133</c:v>
                </c:pt>
                <c:pt idx="87">
                  <c:v>-15.2680605297373</c:v>
                </c:pt>
                <c:pt idx="88">
                  <c:v>-17.247992011641482</c:v>
                </c:pt>
                <c:pt idx="89">
                  <c:v>-19.295535602539275</c:v>
                </c:pt>
                <c:pt idx="90">
                  <c:v>-21.376606380175883</c:v>
                </c:pt>
                <c:pt idx="91">
                  <c:v>-23.452238875636738</c:v>
                </c:pt>
                <c:pt idx="92">
                  <c:v>-25.479651537439185</c:v>
                </c:pt>
                <c:pt idx="93">
                  <c:v>-27.413613525881665</c:v>
                </c:pt>
                <c:pt idx="94">
                  <c:v>-29.208060122381955</c:v>
                </c:pt>
                <c:pt idx="95">
                  <c:v>-30.817880614085034</c:v>
                </c:pt>
                <c:pt idx="96">
                  <c:v>-32.200784272723311</c:v>
                </c:pt>
                <c:pt idx="97">
                  <c:v>-33.31913796519629</c:v>
                </c:pt>
                <c:pt idx="98">
                  <c:v>-34.141664524298243</c:v>
                </c:pt>
                <c:pt idx="99">
                  <c:v>-34.644895122904202</c:v>
                </c:pt>
                <c:pt idx="100">
                  <c:v>-34.814281592097238</c:v>
                </c:pt>
                <c:pt idx="101">
                  <c:v>-34.644895122904202</c:v>
                </c:pt>
                <c:pt idx="102">
                  <c:v>-34.141664524298243</c:v>
                </c:pt>
                <c:pt idx="103">
                  <c:v>-33.31913796519629</c:v>
                </c:pt>
                <c:pt idx="104">
                  <c:v>-32.200784272723311</c:v>
                </c:pt>
                <c:pt idx="105">
                  <c:v>-30.817880614085034</c:v>
                </c:pt>
                <c:pt idx="106">
                  <c:v>-29.208060122381955</c:v>
                </c:pt>
                <c:pt idx="107">
                  <c:v>-27.413613525881665</c:v>
                </c:pt>
                <c:pt idx="108">
                  <c:v>-25.479651537439185</c:v>
                </c:pt>
                <c:pt idx="109">
                  <c:v>-23.452238875636738</c:v>
                </c:pt>
                <c:pt idx="110">
                  <c:v>-21.376606380175883</c:v>
                </c:pt>
                <c:pt idx="111">
                  <c:v>-19.295535602539275</c:v>
                </c:pt>
                <c:pt idx="112">
                  <c:v>-17.247992011641482</c:v>
                </c:pt>
                <c:pt idx="113">
                  <c:v>-15.2680605297373</c:v>
                </c:pt>
                <c:pt idx="114">
                  <c:v>-13.384212711942133</c:v>
                </c:pt>
                <c:pt idx="115">
                  <c:v>-11.618910696520354</c:v>
                </c:pt>
                <c:pt idx="116">
                  <c:v>-9.9885310442478765</c:v>
                </c:pt>
                <c:pt idx="117">
                  <c:v>-8.5035733111081964</c:v>
                </c:pt>
                <c:pt idx="118">
                  <c:v>-7.1691047020006202</c:v>
                </c:pt>
                <c:pt idx="119">
                  <c:v>-5.9853839195033265</c:v>
                </c:pt>
                <c:pt idx="120">
                  <c:v>-4.9486043020439059</c:v>
                </c:pt>
                <c:pt idx="121">
                  <c:v>-4.0516980335664501</c:v>
                </c:pt>
                <c:pt idx="122">
                  <c:v>-3.2851487529030639</c:v>
                </c:pt>
                <c:pt idx="123">
                  <c:v>-2.6377682383652852</c:v>
                </c:pt>
                <c:pt idx="124">
                  <c:v>-2.0974028616687219</c:v>
                </c:pt>
                <c:pt idx="125">
                  <c:v>-1.6515461135040732</c:v>
                </c:pt>
                <c:pt idx="126">
                  <c:v>-1.2878437625070589</c:v>
                </c:pt>
                <c:pt idx="127">
                  <c:v>-0.99448738813261139</c:v>
                </c:pt>
                <c:pt idx="128">
                  <c:v>-0.76049963040656021</c:v>
                </c:pt>
                <c:pt idx="129">
                  <c:v>-0.5759202661255296</c:v>
                </c:pt>
                <c:pt idx="130">
                  <c:v>-0.43190610375806343</c:v>
                </c:pt>
                <c:pt idx="131">
                  <c:v>-0.32075981063952785</c:v>
                </c:pt>
                <c:pt idx="132">
                  <c:v>-0.23590338990251322</c:v>
                </c:pt>
                <c:pt idx="133">
                  <c:v>-0.17181142560719104</c:v>
                </c:pt>
                <c:pt idx="134">
                  <c:v>-0.12391775237915163</c:v>
                </c:pt>
                <c:pt idx="135">
                  <c:v>-8.8507207850749531E-2</c:v>
                </c:pt>
                <c:pt idx="136">
                  <c:v>-6.2601880515083239E-2</c:v>
                </c:pt>
                <c:pt idx="137">
                  <c:v>-4.3849005183233446E-2</c:v>
                </c:pt>
                <c:pt idx="138">
                  <c:v>-3.0415554388768348E-2</c:v>
                </c:pt>
                <c:pt idx="139">
                  <c:v>-2.089273786146718E-2</c:v>
                </c:pt>
                <c:pt idx="140">
                  <c:v>-1.4212111306964273E-2</c:v>
                </c:pt>
                <c:pt idx="141">
                  <c:v>-9.5738247080107471E-3</c:v>
                </c:pt>
                <c:pt idx="142">
                  <c:v>-6.3866919501622196E-3</c:v>
                </c:pt>
                <c:pt idx="143">
                  <c:v>-4.2191998164360159E-3</c:v>
                </c:pt>
                <c:pt idx="144">
                  <c:v>-2.7602463499718142E-3</c:v>
                </c:pt>
                <c:pt idx="145">
                  <c:v>-1.7882540669679394E-3</c:v>
                </c:pt>
                <c:pt idx="146">
                  <c:v>-1.1472926861809082E-3</c:v>
                </c:pt>
                <c:pt idx="147">
                  <c:v>-7.2892501607753682E-4</c:v>
                </c:pt>
                <c:pt idx="148">
                  <c:v>-4.5862224046169998E-4</c:v>
                </c:pt>
                <c:pt idx="149">
                  <c:v>-2.8575312897513507E-4</c:v>
                </c:pt>
                <c:pt idx="150">
                  <c:v>-1.7631550444402227E-4</c:v>
                </c:pt>
                <c:pt idx="151">
                  <c:v>-1.0773421210853546E-4</c:v>
                </c:pt>
                <c:pt idx="152">
                  <c:v>-6.5189913115339419E-5</c:v>
                </c:pt>
                <c:pt idx="153">
                  <c:v>-3.9063467485448717E-5</c:v>
                </c:pt>
                <c:pt idx="154">
                  <c:v>-2.3180607115358304E-5</c:v>
                </c:pt>
                <c:pt idx="155">
                  <c:v>-1.362204930643622E-5</c:v>
                </c:pt>
                <c:pt idx="156">
                  <c:v>-7.9272711993235595E-6</c:v>
                </c:pt>
                <c:pt idx="157">
                  <c:v>-4.5684472079825379E-6</c:v>
                </c:pt>
                <c:pt idx="158">
                  <c:v>-2.6072167147519811E-6</c:v>
                </c:pt>
                <c:pt idx="159">
                  <c:v>-1.4734970788324906E-6</c:v>
                </c:pt>
                <c:pt idx="160">
                  <c:v>-8.246792231800731E-7</c:v>
                </c:pt>
                <c:pt idx="161">
                  <c:v>-4.5707182753291931E-7</c:v>
                </c:pt>
                <c:pt idx="162">
                  <c:v>-2.5086927829543355E-7</c:v>
                </c:pt>
                <c:pt idx="163">
                  <c:v>-1.3635596264327012E-7</c:v>
                </c:pt>
                <c:pt idx="164">
                  <c:v>-7.3394651643848121E-8</c:v>
                </c:pt>
                <c:pt idx="165">
                  <c:v>-3.9121754166536616E-8</c:v>
                </c:pt>
                <c:pt idx="166">
                  <c:v>-2.0650751107347808E-8</c:v>
                </c:pt>
                <c:pt idx="167">
                  <c:v>-1.0794859931485709E-8</c:v>
                </c:pt>
                <c:pt idx="168">
                  <c:v>-5.5880694770536888E-9</c:v>
                </c:pt>
                <c:pt idx="169">
                  <c:v>-2.8646410375331706E-9</c:v>
                </c:pt>
                <c:pt idx="170">
                  <c:v>-1.4542606321356737E-9</c:v>
                </c:pt>
                <c:pt idx="171">
                  <c:v>-7.3110189999865529E-10</c:v>
                </c:pt>
                <c:pt idx="172">
                  <c:v>-3.6397973456516777E-10</c:v>
                </c:pt>
                <c:pt idx="173">
                  <c:v>-1.7944861955777556E-10</c:v>
                </c:pt>
                <c:pt idx="174">
                  <c:v>-8.7612619648193657E-11</c:v>
                </c:pt>
                <c:pt idx="175">
                  <c:v>-4.2360086359802726E-11</c:v>
                </c:pt>
                <c:pt idx="176">
                  <c:v>-2.0281993259063779E-11</c:v>
                </c:pt>
                <c:pt idx="177">
                  <c:v>-9.616744055685071E-12</c:v>
                </c:pt>
                <c:pt idx="178">
                  <c:v>-4.5155339077460929E-12</c:v>
                </c:pt>
                <c:pt idx="179">
                  <c:v>-2.0996832531593655E-12</c:v>
                </c:pt>
                <c:pt idx="180">
                  <c:v>-9.6685664719987778E-13</c:v>
                </c:pt>
                <c:pt idx="181">
                  <c:v>-4.4089382555510129E-13</c:v>
                </c:pt>
                <c:pt idx="182">
                  <c:v>-1.990992264845315E-13</c:v>
                </c:pt>
                <c:pt idx="183">
                  <c:v>-8.9036638481005114E-14</c:v>
                </c:pt>
                <c:pt idx="184">
                  <c:v>-3.9430434608611798E-14</c:v>
                </c:pt>
                <c:pt idx="185">
                  <c:v>-1.7292508556453812E-14</c:v>
                </c:pt>
                <c:pt idx="186">
                  <c:v>-7.51014048438088E-15</c:v>
                </c:pt>
                <c:pt idx="187">
                  <c:v>-3.2299942496630162E-15</c:v>
                </c:pt>
                <c:pt idx="188">
                  <c:v>-1.3756851960525325E-15</c:v>
                </c:pt>
                <c:pt idx="189">
                  <c:v>-5.8022976651483097E-16</c:v>
                </c:pt>
                <c:pt idx="190">
                  <c:v>-2.4235086404376054E-16</c:v>
                </c:pt>
                <c:pt idx="191">
                  <c:v>-1.0024270247592855E-16</c:v>
                </c:pt>
                <c:pt idx="192">
                  <c:v>-4.1060533407078138E-17</c:v>
                </c:pt>
                <c:pt idx="193">
                  <c:v>-1.6655590469276557E-17</c:v>
                </c:pt>
                <c:pt idx="194">
                  <c:v>-6.6905081973203257E-18</c:v>
                </c:pt>
                <c:pt idx="195">
                  <c:v>-2.6614714203300807E-18</c:v>
                </c:pt>
                <c:pt idx="196">
                  <c:v>-1.0484509878236641E-18</c:v>
                </c:pt>
                <c:pt idx="197">
                  <c:v>-4.0901391745196983E-19</c:v>
                </c:pt>
                <c:pt idx="198">
                  <c:v>-1.5801258032103983E-19</c:v>
                </c:pt>
                <c:pt idx="199">
                  <c:v>-6.0451749036181212E-20</c:v>
                </c:pt>
                <c:pt idx="200">
                  <c:v>-2.2902859179500746E-20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84-4680-A95E-69FF265357C3}"/>
            </c:ext>
          </c:extLst>
        </c:ser>
        <c:ser>
          <c:idx val="0"/>
          <c:order val="3"/>
          <c:tx>
            <c:strRef>
              <c:f>'subsidence profile with z_0'!$F$6</c:f>
              <c:strCache>
                <c:ptCount val="1"/>
                <c:pt idx="0">
                  <c:v>1.5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'subsidence profile with z_0'!$B$16:$B$216</c:f>
              <c:numCache>
                <c:formatCode>0.000</c:formatCode>
                <c:ptCount val="201"/>
                <c:pt idx="0">
                  <c:v>-50</c:v>
                </c:pt>
                <c:pt idx="1">
                  <c:v>-49.5</c:v>
                </c:pt>
                <c:pt idx="2">
                  <c:v>-49</c:v>
                </c:pt>
                <c:pt idx="3">
                  <c:v>-48.5</c:v>
                </c:pt>
                <c:pt idx="4">
                  <c:v>-48</c:v>
                </c:pt>
                <c:pt idx="5">
                  <c:v>-47.5</c:v>
                </c:pt>
                <c:pt idx="6">
                  <c:v>-47</c:v>
                </c:pt>
                <c:pt idx="7">
                  <c:v>-46.5</c:v>
                </c:pt>
                <c:pt idx="8">
                  <c:v>-46</c:v>
                </c:pt>
                <c:pt idx="9">
                  <c:v>-45.5</c:v>
                </c:pt>
                <c:pt idx="10">
                  <c:v>-45</c:v>
                </c:pt>
                <c:pt idx="11">
                  <c:v>-44.5</c:v>
                </c:pt>
                <c:pt idx="12">
                  <c:v>-44</c:v>
                </c:pt>
                <c:pt idx="13">
                  <c:v>-43.5</c:v>
                </c:pt>
                <c:pt idx="14">
                  <c:v>-43</c:v>
                </c:pt>
                <c:pt idx="15">
                  <c:v>-42.5</c:v>
                </c:pt>
                <c:pt idx="16">
                  <c:v>-42</c:v>
                </c:pt>
                <c:pt idx="17">
                  <c:v>-41.5</c:v>
                </c:pt>
                <c:pt idx="18">
                  <c:v>-41</c:v>
                </c:pt>
                <c:pt idx="19">
                  <c:v>-40.5</c:v>
                </c:pt>
                <c:pt idx="20">
                  <c:v>-40</c:v>
                </c:pt>
                <c:pt idx="21">
                  <c:v>-39.5</c:v>
                </c:pt>
                <c:pt idx="22">
                  <c:v>-39</c:v>
                </c:pt>
                <c:pt idx="23">
                  <c:v>-38.5</c:v>
                </c:pt>
                <c:pt idx="24">
                  <c:v>-38</c:v>
                </c:pt>
                <c:pt idx="25">
                  <c:v>-37.5</c:v>
                </c:pt>
                <c:pt idx="26">
                  <c:v>-37</c:v>
                </c:pt>
                <c:pt idx="27">
                  <c:v>-36.5</c:v>
                </c:pt>
                <c:pt idx="28">
                  <c:v>-36</c:v>
                </c:pt>
                <c:pt idx="29">
                  <c:v>-35.5</c:v>
                </c:pt>
                <c:pt idx="30">
                  <c:v>-35</c:v>
                </c:pt>
                <c:pt idx="31">
                  <c:v>-34.5</c:v>
                </c:pt>
                <c:pt idx="32">
                  <c:v>-34</c:v>
                </c:pt>
                <c:pt idx="33">
                  <c:v>-33.5</c:v>
                </c:pt>
                <c:pt idx="34">
                  <c:v>-33</c:v>
                </c:pt>
                <c:pt idx="35">
                  <c:v>-32.5</c:v>
                </c:pt>
                <c:pt idx="36">
                  <c:v>-32</c:v>
                </c:pt>
                <c:pt idx="37">
                  <c:v>-31.5</c:v>
                </c:pt>
                <c:pt idx="38">
                  <c:v>-31</c:v>
                </c:pt>
                <c:pt idx="39">
                  <c:v>-30.5</c:v>
                </c:pt>
                <c:pt idx="40">
                  <c:v>-30</c:v>
                </c:pt>
                <c:pt idx="41">
                  <c:v>-29.5</c:v>
                </c:pt>
                <c:pt idx="42">
                  <c:v>-29</c:v>
                </c:pt>
                <c:pt idx="43">
                  <c:v>-28.5</c:v>
                </c:pt>
                <c:pt idx="44">
                  <c:v>-28</c:v>
                </c:pt>
                <c:pt idx="45">
                  <c:v>-27.5</c:v>
                </c:pt>
                <c:pt idx="46">
                  <c:v>-27</c:v>
                </c:pt>
                <c:pt idx="47">
                  <c:v>-26.5</c:v>
                </c:pt>
                <c:pt idx="48">
                  <c:v>-26</c:v>
                </c:pt>
                <c:pt idx="49">
                  <c:v>-25.5</c:v>
                </c:pt>
                <c:pt idx="50">
                  <c:v>-25</c:v>
                </c:pt>
                <c:pt idx="51">
                  <c:v>-24.5</c:v>
                </c:pt>
                <c:pt idx="52">
                  <c:v>-24</c:v>
                </c:pt>
                <c:pt idx="53">
                  <c:v>-23.5</c:v>
                </c:pt>
                <c:pt idx="54">
                  <c:v>-23</c:v>
                </c:pt>
                <c:pt idx="55">
                  <c:v>-22.5</c:v>
                </c:pt>
                <c:pt idx="56">
                  <c:v>-22</c:v>
                </c:pt>
                <c:pt idx="57">
                  <c:v>-21.5</c:v>
                </c:pt>
                <c:pt idx="58">
                  <c:v>-21</c:v>
                </c:pt>
                <c:pt idx="59">
                  <c:v>-20.5</c:v>
                </c:pt>
                <c:pt idx="60">
                  <c:v>-20</c:v>
                </c:pt>
                <c:pt idx="61">
                  <c:v>-19.5</c:v>
                </c:pt>
                <c:pt idx="62">
                  <c:v>-19</c:v>
                </c:pt>
                <c:pt idx="63">
                  <c:v>-18.5</c:v>
                </c:pt>
                <c:pt idx="64">
                  <c:v>-18</c:v>
                </c:pt>
                <c:pt idx="65">
                  <c:v>-17.5</c:v>
                </c:pt>
                <c:pt idx="66">
                  <c:v>-17</c:v>
                </c:pt>
                <c:pt idx="67">
                  <c:v>-16.5</c:v>
                </c:pt>
                <c:pt idx="68">
                  <c:v>-16</c:v>
                </c:pt>
                <c:pt idx="69">
                  <c:v>-15.5</c:v>
                </c:pt>
                <c:pt idx="70">
                  <c:v>-15</c:v>
                </c:pt>
                <c:pt idx="71">
                  <c:v>-14.5</c:v>
                </c:pt>
                <c:pt idx="72">
                  <c:v>-14</c:v>
                </c:pt>
                <c:pt idx="73">
                  <c:v>-13.5</c:v>
                </c:pt>
                <c:pt idx="74">
                  <c:v>-13</c:v>
                </c:pt>
                <c:pt idx="75">
                  <c:v>-12.5</c:v>
                </c:pt>
                <c:pt idx="76">
                  <c:v>-12</c:v>
                </c:pt>
                <c:pt idx="77">
                  <c:v>-11.5</c:v>
                </c:pt>
                <c:pt idx="78">
                  <c:v>-11</c:v>
                </c:pt>
                <c:pt idx="79">
                  <c:v>-10.5</c:v>
                </c:pt>
                <c:pt idx="80">
                  <c:v>-10</c:v>
                </c:pt>
                <c:pt idx="81">
                  <c:v>-9.5</c:v>
                </c:pt>
                <c:pt idx="82">
                  <c:v>-9</c:v>
                </c:pt>
                <c:pt idx="83">
                  <c:v>-8.5</c:v>
                </c:pt>
                <c:pt idx="84">
                  <c:v>-8</c:v>
                </c:pt>
                <c:pt idx="85">
                  <c:v>-7.5</c:v>
                </c:pt>
                <c:pt idx="86">
                  <c:v>-7</c:v>
                </c:pt>
                <c:pt idx="87">
                  <c:v>-6.5</c:v>
                </c:pt>
                <c:pt idx="88">
                  <c:v>-6</c:v>
                </c:pt>
                <c:pt idx="89">
                  <c:v>-5.5</c:v>
                </c:pt>
                <c:pt idx="90">
                  <c:v>-5</c:v>
                </c:pt>
                <c:pt idx="91">
                  <c:v>-4.5</c:v>
                </c:pt>
                <c:pt idx="92">
                  <c:v>-4</c:v>
                </c:pt>
                <c:pt idx="93">
                  <c:v>-3.5</c:v>
                </c:pt>
                <c:pt idx="94">
                  <c:v>-3</c:v>
                </c:pt>
                <c:pt idx="95">
                  <c:v>-2.5</c:v>
                </c:pt>
                <c:pt idx="96">
                  <c:v>-2</c:v>
                </c:pt>
                <c:pt idx="97">
                  <c:v>-1.5</c:v>
                </c:pt>
                <c:pt idx="98">
                  <c:v>-1</c:v>
                </c:pt>
                <c:pt idx="99">
                  <c:v>-0.5</c:v>
                </c:pt>
                <c:pt idx="100">
                  <c:v>0</c:v>
                </c:pt>
                <c:pt idx="101">
                  <c:v>0.5</c:v>
                </c:pt>
                <c:pt idx="102">
                  <c:v>1</c:v>
                </c:pt>
                <c:pt idx="103">
                  <c:v>1.5</c:v>
                </c:pt>
                <c:pt idx="104">
                  <c:v>2</c:v>
                </c:pt>
                <c:pt idx="105">
                  <c:v>2.5</c:v>
                </c:pt>
                <c:pt idx="106">
                  <c:v>3</c:v>
                </c:pt>
                <c:pt idx="107">
                  <c:v>3.5</c:v>
                </c:pt>
                <c:pt idx="108">
                  <c:v>4</c:v>
                </c:pt>
                <c:pt idx="109">
                  <c:v>4.5</c:v>
                </c:pt>
                <c:pt idx="110">
                  <c:v>5</c:v>
                </c:pt>
                <c:pt idx="111">
                  <c:v>5.5</c:v>
                </c:pt>
                <c:pt idx="112">
                  <c:v>6</c:v>
                </c:pt>
                <c:pt idx="113">
                  <c:v>6.5</c:v>
                </c:pt>
                <c:pt idx="114">
                  <c:v>7</c:v>
                </c:pt>
                <c:pt idx="115">
                  <c:v>7.5</c:v>
                </c:pt>
                <c:pt idx="116">
                  <c:v>8</c:v>
                </c:pt>
                <c:pt idx="117">
                  <c:v>8.5</c:v>
                </c:pt>
                <c:pt idx="118">
                  <c:v>9</c:v>
                </c:pt>
                <c:pt idx="119">
                  <c:v>9.5</c:v>
                </c:pt>
                <c:pt idx="120">
                  <c:v>10</c:v>
                </c:pt>
                <c:pt idx="121">
                  <c:v>10.5</c:v>
                </c:pt>
                <c:pt idx="122">
                  <c:v>11</c:v>
                </c:pt>
                <c:pt idx="123">
                  <c:v>11.5</c:v>
                </c:pt>
                <c:pt idx="124">
                  <c:v>12</c:v>
                </c:pt>
                <c:pt idx="125">
                  <c:v>12.5</c:v>
                </c:pt>
                <c:pt idx="126">
                  <c:v>13</c:v>
                </c:pt>
                <c:pt idx="127">
                  <c:v>13.5</c:v>
                </c:pt>
                <c:pt idx="128">
                  <c:v>14</c:v>
                </c:pt>
                <c:pt idx="129">
                  <c:v>14.5</c:v>
                </c:pt>
                <c:pt idx="130">
                  <c:v>15</c:v>
                </c:pt>
                <c:pt idx="131">
                  <c:v>15.5</c:v>
                </c:pt>
                <c:pt idx="132">
                  <c:v>16</c:v>
                </c:pt>
                <c:pt idx="133">
                  <c:v>16.5</c:v>
                </c:pt>
                <c:pt idx="134">
                  <c:v>17</c:v>
                </c:pt>
                <c:pt idx="135">
                  <c:v>17.5</c:v>
                </c:pt>
                <c:pt idx="136">
                  <c:v>18</c:v>
                </c:pt>
                <c:pt idx="137">
                  <c:v>18.5</c:v>
                </c:pt>
                <c:pt idx="138">
                  <c:v>19</c:v>
                </c:pt>
                <c:pt idx="139">
                  <c:v>19.5</c:v>
                </c:pt>
                <c:pt idx="140">
                  <c:v>20</c:v>
                </c:pt>
                <c:pt idx="141">
                  <c:v>20.5</c:v>
                </c:pt>
                <c:pt idx="142">
                  <c:v>21</c:v>
                </c:pt>
                <c:pt idx="143">
                  <c:v>21.5</c:v>
                </c:pt>
                <c:pt idx="144">
                  <c:v>22</c:v>
                </c:pt>
                <c:pt idx="145">
                  <c:v>22.5</c:v>
                </c:pt>
                <c:pt idx="146">
                  <c:v>23</c:v>
                </c:pt>
                <c:pt idx="147">
                  <c:v>23.5</c:v>
                </c:pt>
                <c:pt idx="148">
                  <c:v>24</c:v>
                </c:pt>
                <c:pt idx="149">
                  <c:v>24.5</c:v>
                </c:pt>
                <c:pt idx="150">
                  <c:v>25</c:v>
                </c:pt>
                <c:pt idx="151">
                  <c:v>25.5</c:v>
                </c:pt>
                <c:pt idx="152">
                  <c:v>26</c:v>
                </c:pt>
                <c:pt idx="153">
                  <c:v>26.5</c:v>
                </c:pt>
                <c:pt idx="154">
                  <c:v>27</c:v>
                </c:pt>
                <c:pt idx="155">
                  <c:v>27.5</c:v>
                </c:pt>
                <c:pt idx="156">
                  <c:v>28</c:v>
                </c:pt>
                <c:pt idx="157">
                  <c:v>28.5</c:v>
                </c:pt>
                <c:pt idx="158">
                  <c:v>29</c:v>
                </c:pt>
                <c:pt idx="159">
                  <c:v>29.5</c:v>
                </c:pt>
                <c:pt idx="160">
                  <c:v>30</c:v>
                </c:pt>
                <c:pt idx="161">
                  <c:v>30.5</c:v>
                </c:pt>
                <c:pt idx="162">
                  <c:v>31</c:v>
                </c:pt>
                <c:pt idx="163">
                  <c:v>31.5</c:v>
                </c:pt>
                <c:pt idx="164">
                  <c:v>32</c:v>
                </c:pt>
                <c:pt idx="165">
                  <c:v>32.5</c:v>
                </c:pt>
                <c:pt idx="166">
                  <c:v>33</c:v>
                </c:pt>
                <c:pt idx="167">
                  <c:v>33.5</c:v>
                </c:pt>
                <c:pt idx="168">
                  <c:v>34</c:v>
                </c:pt>
                <c:pt idx="169">
                  <c:v>34.5</c:v>
                </c:pt>
                <c:pt idx="170">
                  <c:v>35</c:v>
                </c:pt>
                <c:pt idx="171">
                  <c:v>35.5</c:v>
                </c:pt>
                <c:pt idx="172">
                  <c:v>36</c:v>
                </c:pt>
                <c:pt idx="173">
                  <c:v>36.5</c:v>
                </c:pt>
                <c:pt idx="174">
                  <c:v>37</c:v>
                </c:pt>
                <c:pt idx="175">
                  <c:v>37.5</c:v>
                </c:pt>
                <c:pt idx="176">
                  <c:v>38</c:v>
                </c:pt>
                <c:pt idx="177">
                  <c:v>38.5</c:v>
                </c:pt>
                <c:pt idx="178">
                  <c:v>39</c:v>
                </c:pt>
                <c:pt idx="179">
                  <c:v>39.5</c:v>
                </c:pt>
                <c:pt idx="180">
                  <c:v>40</c:v>
                </c:pt>
                <c:pt idx="181">
                  <c:v>40.5</c:v>
                </c:pt>
                <c:pt idx="182">
                  <c:v>41</c:v>
                </c:pt>
                <c:pt idx="183">
                  <c:v>41.5</c:v>
                </c:pt>
                <c:pt idx="184">
                  <c:v>42</c:v>
                </c:pt>
                <c:pt idx="185">
                  <c:v>42.5</c:v>
                </c:pt>
                <c:pt idx="186">
                  <c:v>43</c:v>
                </c:pt>
                <c:pt idx="187">
                  <c:v>43.5</c:v>
                </c:pt>
                <c:pt idx="188">
                  <c:v>44</c:v>
                </c:pt>
                <c:pt idx="189">
                  <c:v>44.5</c:v>
                </c:pt>
                <c:pt idx="190">
                  <c:v>45</c:v>
                </c:pt>
                <c:pt idx="191">
                  <c:v>45.5</c:v>
                </c:pt>
                <c:pt idx="192">
                  <c:v>46</c:v>
                </c:pt>
                <c:pt idx="193">
                  <c:v>46.5</c:v>
                </c:pt>
                <c:pt idx="194">
                  <c:v>47</c:v>
                </c:pt>
                <c:pt idx="195">
                  <c:v>47.5</c:v>
                </c:pt>
                <c:pt idx="196">
                  <c:v>48</c:v>
                </c:pt>
                <c:pt idx="197">
                  <c:v>48.5</c:v>
                </c:pt>
                <c:pt idx="198">
                  <c:v>49</c:v>
                </c:pt>
                <c:pt idx="199">
                  <c:v>49.5</c:v>
                </c:pt>
                <c:pt idx="200">
                  <c:v>50</c:v>
                </c:pt>
              </c:numCache>
            </c:numRef>
          </c:xVal>
          <c:yVal>
            <c:numRef>
              <c:f>'subsidence profile with z_0'!$F$16:$F$216</c:f>
              <c:numCache>
                <c:formatCode>0.000</c:formatCode>
                <c:ptCount val="201"/>
                <c:pt idx="0">
                  <c:v>-3.1770064769852054E-11</c:v>
                </c:pt>
                <c:pt idx="1">
                  <c:v>-5.4843180431878832E-11</c:v>
                </c:pt>
                <c:pt idx="2">
                  <c:v>-9.415517697760198E-11</c:v>
                </c:pt>
                <c:pt idx="3">
                  <c:v>-1.6076178353988096E-10</c:v>
                </c:pt>
                <c:pt idx="4">
                  <c:v>-2.7298480092387586E-10</c:v>
                </c:pt>
                <c:pt idx="5">
                  <c:v>-4.6101086282558854E-10</c:v>
                </c:pt>
                <c:pt idx="6">
                  <c:v>-7.7428507896299171E-10</c:v>
                </c:pt>
                <c:pt idx="7">
                  <c:v>-1.2933249667481545E-9</c:v>
                </c:pt>
                <c:pt idx="8">
                  <c:v>-2.1484807781498784E-9</c:v>
                </c:pt>
                <c:pt idx="9">
                  <c:v>-3.5495420342338597E-9</c:v>
                </c:pt>
                <c:pt idx="10">
                  <c:v>-5.8321705344703196E-9</c:v>
                </c:pt>
                <c:pt idx="11">
                  <c:v>-9.5302686930453132E-9</c:v>
                </c:pt>
                <c:pt idx="12">
                  <c:v>-1.5488063330510856E-8</c:v>
                </c:pt>
                <c:pt idx="13">
                  <c:v>-2.5032609600037952E-8</c:v>
                </c:pt>
                <c:pt idx="14">
                  <c:v>-4.0237609977047645E-8</c:v>
                </c:pt>
                <c:pt idx="15">
                  <c:v>-6.432432935878745E-8</c:v>
                </c:pt>
                <c:pt idx="16">
                  <c:v>-1.0226697198245262E-7</c:v>
                </c:pt>
                <c:pt idx="17">
                  <c:v>-1.6170094842075199E-7</c:v>
                </c:pt>
                <c:pt idx="18">
                  <c:v>-2.5427682328143579E-7</c:v>
                </c:pt>
                <c:pt idx="19">
                  <c:v>-3.9766560260577204E-7</c:v>
                </c:pt>
                <c:pt idx="20">
                  <c:v>-6.1850941738505488E-7</c:v>
                </c:pt>
                <c:pt idx="21">
                  <c:v>-9.5673496512540744E-7</c:v>
                </c:pt>
                <c:pt idx="22">
                  <c:v>-1.4718176800765047E-6</c:v>
                </c:pt>
                <c:pt idx="23">
                  <c:v>-2.2518187181082814E-6</c:v>
                </c:pt>
                <c:pt idx="24">
                  <c:v>-3.4263354059869045E-6</c:v>
                </c:pt>
                <c:pt idx="25">
                  <c:v>-5.1849355589891343E-6</c:v>
                </c:pt>
                <c:pt idx="26">
                  <c:v>-7.8032207315489172E-6</c:v>
                </c:pt>
                <c:pt idx="27">
                  <c:v>-1.167942496618551E-5</c:v>
                </c:pt>
                <c:pt idx="28">
                  <c:v>-1.7385455336518728E-5</c:v>
                </c:pt>
                <c:pt idx="29">
                  <c:v>-2.573758051416073E-5</c:v>
                </c:pt>
                <c:pt idx="30">
                  <c:v>-3.7893647138062326E-5</c:v>
                </c:pt>
                <c:pt idx="31">
                  <c:v>-5.5485836146884297E-5</c:v>
                </c:pt>
                <c:pt idx="32">
                  <c:v>-8.0800659081401609E-5</c:v>
                </c:pt>
                <c:pt idx="33">
                  <c:v>-1.1702124421615948E-4</c:v>
                </c:pt>
                <c:pt idx="34">
                  <c:v>-1.6855108766551855E-4</c:v>
                </c:pt>
                <c:pt idx="35">
                  <c:v>-2.414434606286492E-4</c:v>
                </c:pt>
                <c:pt idx="36">
                  <c:v>-3.43966680346275E-4</c:v>
                </c:pt>
                <c:pt idx="37">
                  <c:v>-4.8734256261383007E-4</c:v>
                </c:pt>
                <c:pt idx="38">
                  <c:v>-6.8670364109112625E-4</c:v>
                </c:pt>
                <c:pt idx="39">
                  <c:v>-9.6232417830631413E-4</c:v>
                </c:pt>
                <c:pt idx="40">
                  <c:v>-1.3411905502259548E-3</c:v>
                </c:pt>
                <c:pt idx="41">
                  <c:v>-1.8589881096066645E-3</c:v>
                </c:pt>
                <c:pt idx="42">
                  <c:v>-2.5625938467515545E-3</c:v>
                </c:pt>
                <c:pt idx="43">
                  <c:v>-3.5131766363375467E-3</c:v>
                </c:pt>
                <c:pt idx="44">
                  <c:v>-4.7900189626216656E-3</c:v>
                </c:pt>
                <c:pt idx="45">
                  <c:v>-6.4951849091591527E-3</c:v>
                </c:pt>
                <c:pt idx="46">
                  <c:v>-8.759167793567238E-3</c:v>
                </c:pt>
                <c:pt idx="47">
                  <c:v>-1.174765577027018E-2</c:v>
                </c:pt>
                <c:pt idx="48">
                  <c:v>-1.5669553396100388E-2</c:v>
                </c:pt>
                <c:pt idx="49">
                  <c:v>-2.0786389687090047E-2</c:v>
                </c:pt>
                <c:pt idx="50">
                  <c:v>-2.7423226513463551E-2</c:v>
                </c:pt>
                <c:pt idx="51">
                  <c:v>-3.5981153070833681E-2</c:v>
                </c:pt>
                <c:pt idx="52">
                  <c:v>-4.6951410386312439E-2</c:v>
                </c:pt>
                <c:pt idx="53">
                  <c:v>-6.0931132241724709E-2</c:v>
                </c:pt>
                <c:pt idx="54">
                  <c:v>-7.864061369596051E-2</c:v>
                </c:pt>
                <c:pt idx="55">
                  <c:v>-0.10094192426112462</c:v>
                </c:pt>
                <c:pt idx="56">
                  <c:v>-0.12885856920539329</c:v>
                </c:pt>
                <c:pt idx="57">
                  <c:v>-0.16359576994288216</c:v>
                </c:pt>
                <c:pt idx="58">
                  <c:v>-0.20656078488059271</c:v>
                </c:pt>
                <c:pt idx="59">
                  <c:v>-0.25938252887036178</c:v>
                </c:pt>
                <c:pt idx="60">
                  <c:v>-0.32392957781854759</c:v>
                </c:pt>
                <c:pt idx="61">
                  <c:v>-0.40232547225890247</c:v>
                </c:pt>
                <c:pt idx="62">
                  <c:v>-0.49696006902293249</c:v>
                </c:pt>
                <c:pt idx="63">
                  <c:v>-0.61049554469244571</c:v>
                </c:pt>
                <c:pt idx="64">
                  <c:v>-0.74586554109945857</c:v>
                </c:pt>
                <c:pt idx="65">
                  <c:v>-0.90626587578055007</c:v>
                </c:pt>
                <c:pt idx="66">
                  <c:v>-1.0951352336122744</c:v>
                </c:pt>
                <c:pt idx="67">
                  <c:v>-1.3161243242180682</c:v>
                </c:pt>
                <c:pt idx="68">
                  <c:v>-1.5730521462515419</c:v>
                </c:pt>
                <c:pt idx="69">
                  <c:v>-1.8698482550221744</c:v>
                </c:pt>
                <c:pt idx="70">
                  <c:v>-2.210480291193992</c:v>
                </c:pt>
                <c:pt idx="71">
                  <c:v>-2.5988664976420495</c:v>
                </c:pt>
                <c:pt idx="72">
                  <c:v>-3.0387735251748382</c:v>
                </c:pt>
                <c:pt idx="73">
                  <c:v>-3.5337004949592541</c:v>
                </c:pt>
                <c:pt idx="74">
                  <c:v>-4.0867510277890489</c:v>
                </c:pt>
                <c:pt idx="75">
                  <c:v>-4.7004957417199815</c:v>
                </c:pt>
                <c:pt idx="76">
                  <c:v>-5.3768285265004661</c:v>
                </c:pt>
                <c:pt idx="77">
                  <c:v>-6.1168206855362461</c:v>
                </c:pt>
                <c:pt idx="78">
                  <c:v>-6.9205777486621622</c:v>
                </c:pt>
                <c:pt idx="79">
                  <c:v>-7.7871043536184663</c:v>
                </c:pt>
                <c:pt idx="80">
                  <c:v>-8.7141830223902659</c:v>
                </c:pt>
                <c:pt idx="81">
                  <c:v>-9.6982728747502236</c:v>
                </c:pt>
                <c:pt idx="82">
                  <c:v>-10.734434285766982</c:v>
                </c:pt>
                <c:pt idx="83">
                  <c:v>-11.816285176395587</c:v>
                </c:pt>
                <c:pt idx="84">
                  <c:v>-12.935994008731114</c:v>
                </c:pt>
                <c:pt idx="85">
                  <c:v>-14.084313637396473</c:v>
                </c:pt>
                <c:pt idx="86">
                  <c:v>-15.25065896021378</c:v>
                </c:pt>
                <c:pt idx="87">
                  <c:v>-16.42322984714858</c:v>
                </c:pt>
                <c:pt idx="88">
                  <c:v>-17.589179156727553</c:v>
                </c:pt>
                <c:pt idx="89">
                  <c:v>-18.734823840353268</c:v>
                </c:pt>
                <c:pt idx="90">
                  <c:v>-19.845895267582943</c:v>
                </c:pt>
                <c:pt idx="91">
                  <c:v>-20.907823069852785</c:v>
                </c:pt>
                <c:pt idx="92">
                  <c:v>-21.906045091786471</c:v>
                </c:pt>
                <c:pt idx="93">
                  <c:v>-22.826334553187174</c:v>
                </c:pt>
                <c:pt idx="94">
                  <c:v>-23.655134349831552</c:v>
                </c:pt>
                <c:pt idx="95">
                  <c:v>-24.379887633855731</c:v>
                </c:pt>
                <c:pt idx="96">
                  <c:v>-24.989353473897218</c:v>
                </c:pt>
                <c:pt idx="97">
                  <c:v>-25.473896538239632</c:v>
                </c:pt>
                <c:pt idx="98">
                  <c:v>-25.825740382719179</c:v>
                </c:pt>
                <c:pt idx="99">
                  <c:v>-26.0391750438285</c:v>
                </c:pt>
                <c:pt idx="100">
                  <c:v>-26.11071119407293</c:v>
                </c:pt>
                <c:pt idx="101">
                  <c:v>-26.0391750438285</c:v>
                </c:pt>
                <c:pt idx="102">
                  <c:v>-25.825740382719179</c:v>
                </c:pt>
                <c:pt idx="103">
                  <c:v>-25.473896538239632</c:v>
                </c:pt>
                <c:pt idx="104">
                  <c:v>-24.989353473897218</c:v>
                </c:pt>
                <c:pt idx="105">
                  <c:v>-24.379887633855731</c:v>
                </c:pt>
                <c:pt idx="106">
                  <c:v>-23.655134349831552</c:v>
                </c:pt>
                <c:pt idx="107">
                  <c:v>-22.826334553187174</c:v>
                </c:pt>
                <c:pt idx="108">
                  <c:v>-21.906045091786471</c:v>
                </c:pt>
                <c:pt idx="109">
                  <c:v>-20.907823069852785</c:v>
                </c:pt>
                <c:pt idx="110">
                  <c:v>-19.845895267582943</c:v>
                </c:pt>
                <c:pt idx="111">
                  <c:v>-18.734823840353268</c:v>
                </c:pt>
                <c:pt idx="112">
                  <c:v>-17.589179156727553</c:v>
                </c:pt>
                <c:pt idx="113">
                  <c:v>-16.42322984714858</c:v>
                </c:pt>
                <c:pt idx="114">
                  <c:v>-15.25065896021378</c:v>
                </c:pt>
                <c:pt idx="115">
                  <c:v>-14.084313637396473</c:v>
                </c:pt>
                <c:pt idx="116">
                  <c:v>-12.935994008731114</c:v>
                </c:pt>
                <c:pt idx="117">
                  <c:v>-11.816285176395587</c:v>
                </c:pt>
                <c:pt idx="118">
                  <c:v>-10.734434285766982</c:v>
                </c:pt>
                <c:pt idx="119">
                  <c:v>-9.6982728747502236</c:v>
                </c:pt>
                <c:pt idx="120">
                  <c:v>-8.7141830223902659</c:v>
                </c:pt>
                <c:pt idx="121">
                  <c:v>-7.7871043536184663</c:v>
                </c:pt>
                <c:pt idx="122">
                  <c:v>-6.9205777486621622</c:v>
                </c:pt>
                <c:pt idx="123">
                  <c:v>-6.1168206855362461</c:v>
                </c:pt>
                <c:pt idx="124">
                  <c:v>-5.3768285265004661</c:v>
                </c:pt>
                <c:pt idx="125">
                  <c:v>-4.7004957417199815</c:v>
                </c:pt>
                <c:pt idx="126">
                  <c:v>-4.0867510277890489</c:v>
                </c:pt>
                <c:pt idx="127">
                  <c:v>-3.5337004949592541</c:v>
                </c:pt>
                <c:pt idx="128">
                  <c:v>-3.0387735251748382</c:v>
                </c:pt>
                <c:pt idx="129">
                  <c:v>-2.5988664976420495</c:v>
                </c:pt>
                <c:pt idx="130">
                  <c:v>-2.210480291193992</c:v>
                </c:pt>
                <c:pt idx="131">
                  <c:v>-1.8698482550221744</c:v>
                </c:pt>
                <c:pt idx="132">
                  <c:v>-1.5730521462515419</c:v>
                </c:pt>
                <c:pt idx="133">
                  <c:v>-1.3161243242180682</c:v>
                </c:pt>
                <c:pt idx="134">
                  <c:v>-1.0951352336122744</c:v>
                </c:pt>
                <c:pt idx="135">
                  <c:v>-0.90626587578055007</c:v>
                </c:pt>
                <c:pt idx="136">
                  <c:v>-0.74586554109945857</c:v>
                </c:pt>
                <c:pt idx="137">
                  <c:v>-0.61049554469244571</c:v>
                </c:pt>
                <c:pt idx="138">
                  <c:v>-0.49696006902293249</c:v>
                </c:pt>
                <c:pt idx="139">
                  <c:v>-0.40232547225890247</c:v>
                </c:pt>
                <c:pt idx="140">
                  <c:v>-0.32392957781854759</c:v>
                </c:pt>
                <c:pt idx="141">
                  <c:v>-0.25938252887036178</c:v>
                </c:pt>
                <c:pt idx="142">
                  <c:v>-0.20656078488059271</c:v>
                </c:pt>
                <c:pt idx="143">
                  <c:v>-0.16359576994288216</c:v>
                </c:pt>
                <c:pt idx="144">
                  <c:v>-0.12885856920539329</c:v>
                </c:pt>
                <c:pt idx="145">
                  <c:v>-0.10094192426112462</c:v>
                </c:pt>
                <c:pt idx="146">
                  <c:v>-7.864061369596051E-2</c:v>
                </c:pt>
                <c:pt idx="147">
                  <c:v>-6.0931132241724709E-2</c:v>
                </c:pt>
                <c:pt idx="148">
                  <c:v>-4.6951410386312439E-2</c:v>
                </c:pt>
                <c:pt idx="149">
                  <c:v>-3.5981153070833681E-2</c:v>
                </c:pt>
                <c:pt idx="150">
                  <c:v>-2.7423226513463551E-2</c:v>
                </c:pt>
                <c:pt idx="151">
                  <c:v>-2.0786389687090047E-2</c:v>
                </c:pt>
                <c:pt idx="152">
                  <c:v>-1.5669553396100388E-2</c:v>
                </c:pt>
                <c:pt idx="153">
                  <c:v>-1.174765577027018E-2</c:v>
                </c:pt>
                <c:pt idx="154">
                  <c:v>-8.759167793567238E-3</c:v>
                </c:pt>
                <c:pt idx="155">
                  <c:v>-6.4951849091591527E-3</c:v>
                </c:pt>
                <c:pt idx="156">
                  <c:v>-4.7900189626216656E-3</c:v>
                </c:pt>
                <c:pt idx="157">
                  <c:v>-3.5131766363375467E-3</c:v>
                </c:pt>
                <c:pt idx="158">
                  <c:v>-2.5625938467515545E-3</c:v>
                </c:pt>
                <c:pt idx="159">
                  <c:v>-1.8589881096066645E-3</c:v>
                </c:pt>
                <c:pt idx="160">
                  <c:v>-1.3411905502259548E-3</c:v>
                </c:pt>
                <c:pt idx="161">
                  <c:v>-9.6232417830631413E-4</c:v>
                </c:pt>
                <c:pt idx="162">
                  <c:v>-6.8670364109112625E-4</c:v>
                </c:pt>
                <c:pt idx="163">
                  <c:v>-4.8734256261383007E-4</c:v>
                </c:pt>
                <c:pt idx="164">
                  <c:v>-3.43966680346275E-4</c:v>
                </c:pt>
                <c:pt idx="165">
                  <c:v>-2.414434606286492E-4</c:v>
                </c:pt>
                <c:pt idx="166">
                  <c:v>-1.6855108766551855E-4</c:v>
                </c:pt>
                <c:pt idx="167">
                  <c:v>-1.1702124421615948E-4</c:v>
                </c:pt>
                <c:pt idx="168">
                  <c:v>-8.0800659081401609E-5</c:v>
                </c:pt>
                <c:pt idx="169">
                  <c:v>-5.5485836146884297E-5</c:v>
                </c:pt>
                <c:pt idx="170">
                  <c:v>-3.7893647138062326E-5</c:v>
                </c:pt>
                <c:pt idx="171">
                  <c:v>-2.573758051416073E-5</c:v>
                </c:pt>
                <c:pt idx="172">
                  <c:v>-1.7385455336518728E-5</c:v>
                </c:pt>
                <c:pt idx="173">
                  <c:v>-1.167942496618551E-5</c:v>
                </c:pt>
                <c:pt idx="174">
                  <c:v>-7.8032207315489172E-6</c:v>
                </c:pt>
                <c:pt idx="175">
                  <c:v>-5.1849355589891343E-6</c:v>
                </c:pt>
                <c:pt idx="176">
                  <c:v>-3.4263354059869045E-6</c:v>
                </c:pt>
                <c:pt idx="177">
                  <c:v>-2.2518187181082814E-6</c:v>
                </c:pt>
                <c:pt idx="178">
                  <c:v>-1.4718176800765047E-6</c:v>
                </c:pt>
                <c:pt idx="179">
                  <c:v>-9.5673496512540744E-7</c:v>
                </c:pt>
                <c:pt idx="180">
                  <c:v>-6.1850941738505488E-7</c:v>
                </c:pt>
                <c:pt idx="181">
                  <c:v>-3.9766560260577204E-7</c:v>
                </c:pt>
                <c:pt idx="182">
                  <c:v>-2.5427682328143579E-7</c:v>
                </c:pt>
                <c:pt idx="183">
                  <c:v>-1.6170094842075199E-7</c:v>
                </c:pt>
                <c:pt idx="184">
                  <c:v>-1.0226697198245262E-7</c:v>
                </c:pt>
                <c:pt idx="185">
                  <c:v>-6.432432935878745E-8</c:v>
                </c:pt>
                <c:pt idx="186">
                  <c:v>-4.0237609977047645E-8</c:v>
                </c:pt>
                <c:pt idx="187">
                  <c:v>-2.5032609600037952E-8</c:v>
                </c:pt>
                <c:pt idx="188">
                  <c:v>-1.5488063330510856E-8</c:v>
                </c:pt>
                <c:pt idx="189">
                  <c:v>-9.5302686930453132E-9</c:v>
                </c:pt>
                <c:pt idx="190">
                  <c:v>-5.8321705344703196E-9</c:v>
                </c:pt>
                <c:pt idx="191">
                  <c:v>-3.5495420342338597E-9</c:v>
                </c:pt>
                <c:pt idx="192">
                  <c:v>-2.1484807781498784E-9</c:v>
                </c:pt>
                <c:pt idx="193">
                  <c:v>-1.2933249667481545E-9</c:v>
                </c:pt>
                <c:pt idx="194">
                  <c:v>-7.7428507896299171E-10</c:v>
                </c:pt>
                <c:pt idx="195">
                  <c:v>-4.6101086282558854E-10</c:v>
                </c:pt>
                <c:pt idx="196">
                  <c:v>-2.7298480092387586E-10</c:v>
                </c:pt>
                <c:pt idx="197">
                  <c:v>-1.6076178353988096E-10</c:v>
                </c:pt>
                <c:pt idx="198">
                  <c:v>-9.415517697760198E-11</c:v>
                </c:pt>
                <c:pt idx="199">
                  <c:v>-5.4843180431878832E-11</c:v>
                </c:pt>
                <c:pt idx="200">
                  <c:v>-3.1770064769852054E-11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284-4680-A95E-69FF265357C3}"/>
            </c:ext>
          </c:extLst>
        </c:ser>
        <c:ser>
          <c:idx val="0"/>
          <c:order val="4"/>
          <c:tx>
            <c:strRef>
              <c:f>'subsidence profile with z_0'!$G$6</c:f>
              <c:strCache>
                <c:ptCount val="1"/>
                <c:pt idx="0">
                  <c:v>2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'subsidence profile with z_0'!$B$16:$B$216</c:f>
              <c:numCache>
                <c:formatCode>0.000</c:formatCode>
                <c:ptCount val="201"/>
                <c:pt idx="0">
                  <c:v>-50</c:v>
                </c:pt>
                <c:pt idx="1">
                  <c:v>-49.5</c:v>
                </c:pt>
                <c:pt idx="2">
                  <c:v>-49</c:v>
                </c:pt>
                <c:pt idx="3">
                  <c:v>-48.5</c:v>
                </c:pt>
                <c:pt idx="4">
                  <c:v>-48</c:v>
                </c:pt>
                <c:pt idx="5">
                  <c:v>-47.5</c:v>
                </c:pt>
                <c:pt idx="6">
                  <c:v>-47</c:v>
                </c:pt>
                <c:pt idx="7">
                  <c:v>-46.5</c:v>
                </c:pt>
                <c:pt idx="8">
                  <c:v>-46</c:v>
                </c:pt>
                <c:pt idx="9">
                  <c:v>-45.5</c:v>
                </c:pt>
                <c:pt idx="10">
                  <c:v>-45</c:v>
                </c:pt>
                <c:pt idx="11">
                  <c:v>-44.5</c:v>
                </c:pt>
                <c:pt idx="12">
                  <c:v>-44</c:v>
                </c:pt>
                <c:pt idx="13">
                  <c:v>-43.5</c:v>
                </c:pt>
                <c:pt idx="14">
                  <c:v>-43</c:v>
                </c:pt>
                <c:pt idx="15">
                  <c:v>-42.5</c:v>
                </c:pt>
                <c:pt idx="16">
                  <c:v>-42</c:v>
                </c:pt>
                <c:pt idx="17">
                  <c:v>-41.5</c:v>
                </c:pt>
                <c:pt idx="18">
                  <c:v>-41</c:v>
                </c:pt>
                <c:pt idx="19">
                  <c:v>-40.5</c:v>
                </c:pt>
                <c:pt idx="20">
                  <c:v>-40</c:v>
                </c:pt>
                <c:pt idx="21">
                  <c:v>-39.5</c:v>
                </c:pt>
                <c:pt idx="22">
                  <c:v>-39</c:v>
                </c:pt>
                <c:pt idx="23">
                  <c:v>-38.5</c:v>
                </c:pt>
                <c:pt idx="24">
                  <c:v>-38</c:v>
                </c:pt>
                <c:pt idx="25">
                  <c:v>-37.5</c:v>
                </c:pt>
                <c:pt idx="26">
                  <c:v>-37</c:v>
                </c:pt>
                <c:pt idx="27">
                  <c:v>-36.5</c:v>
                </c:pt>
                <c:pt idx="28">
                  <c:v>-36</c:v>
                </c:pt>
                <c:pt idx="29">
                  <c:v>-35.5</c:v>
                </c:pt>
                <c:pt idx="30">
                  <c:v>-35</c:v>
                </c:pt>
                <c:pt idx="31">
                  <c:v>-34.5</c:v>
                </c:pt>
                <c:pt idx="32">
                  <c:v>-34</c:v>
                </c:pt>
                <c:pt idx="33">
                  <c:v>-33.5</c:v>
                </c:pt>
                <c:pt idx="34">
                  <c:v>-33</c:v>
                </c:pt>
                <c:pt idx="35">
                  <c:v>-32.5</c:v>
                </c:pt>
                <c:pt idx="36">
                  <c:v>-32</c:v>
                </c:pt>
                <c:pt idx="37">
                  <c:v>-31.5</c:v>
                </c:pt>
                <c:pt idx="38">
                  <c:v>-31</c:v>
                </c:pt>
                <c:pt idx="39">
                  <c:v>-30.5</c:v>
                </c:pt>
                <c:pt idx="40">
                  <c:v>-30</c:v>
                </c:pt>
                <c:pt idx="41">
                  <c:v>-29.5</c:v>
                </c:pt>
                <c:pt idx="42">
                  <c:v>-29</c:v>
                </c:pt>
                <c:pt idx="43">
                  <c:v>-28.5</c:v>
                </c:pt>
                <c:pt idx="44">
                  <c:v>-28</c:v>
                </c:pt>
                <c:pt idx="45">
                  <c:v>-27.5</c:v>
                </c:pt>
                <c:pt idx="46">
                  <c:v>-27</c:v>
                </c:pt>
                <c:pt idx="47">
                  <c:v>-26.5</c:v>
                </c:pt>
                <c:pt idx="48">
                  <c:v>-26</c:v>
                </c:pt>
                <c:pt idx="49">
                  <c:v>-25.5</c:v>
                </c:pt>
                <c:pt idx="50">
                  <c:v>-25</c:v>
                </c:pt>
                <c:pt idx="51">
                  <c:v>-24.5</c:v>
                </c:pt>
                <c:pt idx="52">
                  <c:v>-24</c:v>
                </c:pt>
                <c:pt idx="53">
                  <c:v>-23.5</c:v>
                </c:pt>
                <c:pt idx="54">
                  <c:v>-23</c:v>
                </c:pt>
                <c:pt idx="55">
                  <c:v>-22.5</c:v>
                </c:pt>
                <c:pt idx="56">
                  <c:v>-22</c:v>
                </c:pt>
                <c:pt idx="57">
                  <c:v>-21.5</c:v>
                </c:pt>
                <c:pt idx="58">
                  <c:v>-21</c:v>
                </c:pt>
                <c:pt idx="59">
                  <c:v>-20.5</c:v>
                </c:pt>
                <c:pt idx="60">
                  <c:v>-20</c:v>
                </c:pt>
                <c:pt idx="61">
                  <c:v>-19.5</c:v>
                </c:pt>
                <c:pt idx="62">
                  <c:v>-19</c:v>
                </c:pt>
                <c:pt idx="63">
                  <c:v>-18.5</c:v>
                </c:pt>
                <c:pt idx="64">
                  <c:v>-18</c:v>
                </c:pt>
                <c:pt idx="65">
                  <c:v>-17.5</c:v>
                </c:pt>
                <c:pt idx="66">
                  <c:v>-17</c:v>
                </c:pt>
                <c:pt idx="67">
                  <c:v>-16.5</c:v>
                </c:pt>
                <c:pt idx="68">
                  <c:v>-16</c:v>
                </c:pt>
                <c:pt idx="69">
                  <c:v>-15.5</c:v>
                </c:pt>
                <c:pt idx="70">
                  <c:v>-15</c:v>
                </c:pt>
                <c:pt idx="71">
                  <c:v>-14.5</c:v>
                </c:pt>
                <c:pt idx="72">
                  <c:v>-14</c:v>
                </c:pt>
                <c:pt idx="73">
                  <c:v>-13.5</c:v>
                </c:pt>
                <c:pt idx="74">
                  <c:v>-13</c:v>
                </c:pt>
                <c:pt idx="75">
                  <c:v>-12.5</c:v>
                </c:pt>
                <c:pt idx="76">
                  <c:v>-12</c:v>
                </c:pt>
                <c:pt idx="77">
                  <c:v>-11.5</c:v>
                </c:pt>
                <c:pt idx="78">
                  <c:v>-11</c:v>
                </c:pt>
                <c:pt idx="79">
                  <c:v>-10.5</c:v>
                </c:pt>
                <c:pt idx="80">
                  <c:v>-10</c:v>
                </c:pt>
                <c:pt idx="81">
                  <c:v>-9.5</c:v>
                </c:pt>
                <c:pt idx="82">
                  <c:v>-9</c:v>
                </c:pt>
                <c:pt idx="83">
                  <c:v>-8.5</c:v>
                </c:pt>
                <c:pt idx="84">
                  <c:v>-8</c:v>
                </c:pt>
                <c:pt idx="85">
                  <c:v>-7.5</c:v>
                </c:pt>
                <c:pt idx="86">
                  <c:v>-7</c:v>
                </c:pt>
                <c:pt idx="87">
                  <c:v>-6.5</c:v>
                </c:pt>
                <c:pt idx="88">
                  <c:v>-6</c:v>
                </c:pt>
                <c:pt idx="89">
                  <c:v>-5.5</c:v>
                </c:pt>
                <c:pt idx="90">
                  <c:v>-5</c:v>
                </c:pt>
                <c:pt idx="91">
                  <c:v>-4.5</c:v>
                </c:pt>
                <c:pt idx="92">
                  <c:v>-4</c:v>
                </c:pt>
                <c:pt idx="93">
                  <c:v>-3.5</c:v>
                </c:pt>
                <c:pt idx="94">
                  <c:v>-3</c:v>
                </c:pt>
                <c:pt idx="95">
                  <c:v>-2.5</c:v>
                </c:pt>
                <c:pt idx="96">
                  <c:v>-2</c:v>
                </c:pt>
                <c:pt idx="97">
                  <c:v>-1.5</c:v>
                </c:pt>
                <c:pt idx="98">
                  <c:v>-1</c:v>
                </c:pt>
                <c:pt idx="99">
                  <c:v>-0.5</c:v>
                </c:pt>
                <c:pt idx="100">
                  <c:v>0</c:v>
                </c:pt>
                <c:pt idx="101">
                  <c:v>0.5</c:v>
                </c:pt>
                <c:pt idx="102">
                  <c:v>1</c:v>
                </c:pt>
                <c:pt idx="103">
                  <c:v>1.5</c:v>
                </c:pt>
                <c:pt idx="104">
                  <c:v>2</c:v>
                </c:pt>
                <c:pt idx="105">
                  <c:v>2.5</c:v>
                </c:pt>
                <c:pt idx="106">
                  <c:v>3</c:v>
                </c:pt>
                <c:pt idx="107">
                  <c:v>3.5</c:v>
                </c:pt>
                <c:pt idx="108">
                  <c:v>4</c:v>
                </c:pt>
                <c:pt idx="109">
                  <c:v>4.5</c:v>
                </c:pt>
                <c:pt idx="110">
                  <c:v>5</c:v>
                </c:pt>
                <c:pt idx="111">
                  <c:v>5.5</c:v>
                </c:pt>
                <c:pt idx="112">
                  <c:v>6</c:v>
                </c:pt>
                <c:pt idx="113">
                  <c:v>6.5</c:v>
                </c:pt>
                <c:pt idx="114">
                  <c:v>7</c:v>
                </c:pt>
                <c:pt idx="115">
                  <c:v>7.5</c:v>
                </c:pt>
                <c:pt idx="116">
                  <c:v>8</c:v>
                </c:pt>
                <c:pt idx="117">
                  <c:v>8.5</c:v>
                </c:pt>
                <c:pt idx="118">
                  <c:v>9</c:v>
                </c:pt>
                <c:pt idx="119">
                  <c:v>9.5</c:v>
                </c:pt>
                <c:pt idx="120">
                  <c:v>10</c:v>
                </c:pt>
                <c:pt idx="121">
                  <c:v>10.5</c:v>
                </c:pt>
                <c:pt idx="122">
                  <c:v>11</c:v>
                </c:pt>
                <c:pt idx="123">
                  <c:v>11.5</c:v>
                </c:pt>
                <c:pt idx="124">
                  <c:v>12</c:v>
                </c:pt>
                <c:pt idx="125">
                  <c:v>12.5</c:v>
                </c:pt>
                <c:pt idx="126">
                  <c:v>13</c:v>
                </c:pt>
                <c:pt idx="127">
                  <c:v>13.5</c:v>
                </c:pt>
                <c:pt idx="128">
                  <c:v>14</c:v>
                </c:pt>
                <c:pt idx="129">
                  <c:v>14.5</c:v>
                </c:pt>
                <c:pt idx="130">
                  <c:v>15</c:v>
                </c:pt>
                <c:pt idx="131">
                  <c:v>15.5</c:v>
                </c:pt>
                <c:pt idx="132">
                  <c:v>16</c:v>
                </c:pt>
                <c:pt idx="133">
                  <c:v>16.5</c:v>
                </c:pt>
                <c:pt idx="134">
                  <c:v>17</c:v>
                </c:pt>
                <c:pt idx="135">
                  <c:v>17.5</c:v>
                </c:pt>
                <c:pt idx="136">
                  <c:v>18</c:v>
                </c:pt>
                <c:pt idx="137">
                  <c:v>18.5</c:v>
                </c:pt>
                <c:pt idx="138">
                  <c:v>19</c:v>
                </c:pt>
                <c:pt idx="139">
                  <c:v>19.5</c:v>
                </c:pt>
                <c:pt idx="140">
                  <c:v>20</c:v>
                </c:pt>
                <c:pt idx="141">
                  <c:v>20.5</c:v>
                </c:pt>
                <c:pt idx="142">
                  <c:v>21</c:v>
                </c:pt>
                <c:pt idx="143">
                  <c:v>21.5</c:v>
                </c:pt>
                <c:pt idx="144">
                  <c:v>22</c:v>
                </c:pt>
                <c:pt idx="145">
                  <c:v>22.5</c:v>
                </c:pt>
                <c:pt idx="146">
                  <c:v>23</c:v>
                </c:pt>
                <c:pt idx="147">
                  <c:v>23.5</c:v>
                </c:pt>
                <c:pt idx="148">
                  <c:v>24</c:v>
                </c:pt>
                <c:pt idx="149">
                  <c:v>24.5</c:v>
                </c:pt>
                <c:pt idx="150">
                  <c:v>25</c:v>
                </c:pt>
                <c:pt idx="151">
                  <c:v>25.5</c:v>
                </c:pt>
                <c:pt idx="152">
                  <c:v>26</c:v>
                </c:pt>
                <c:pt idx="153">
                  <c:v>26.5</c:v>
                </c:pt>
                <c:pt idx="154">
                  <c:v>27</c:v>
                </c:pt>
                <c:pt idx="155">
                  <c:v>27.5</c:v>
                </c:pt>
                <c:pt idx="156">
                  <c:v>28</c:v>
                </c:pt>
                <c:pt idx="157">
                  <c:v>28.5</c:v>
                </c:pt>
                <c:pt idx="158">
                  <c:v>29</c:v>
                </c:pt>
                <c:pt idx="159">
                  <c:v>29.5</c:v>
                </c:pt>
                <c:pt idx="160">
                  <c:v>30</c:v>
                </c:pt>
                <c:pt idx="161">
                  <c:v>30.5</c:v>
                </c:pt>
                <c:pt idx="162">
                  <c:v>31</c:v>
                </c:pt>
                <c:pt idx="163">
                  <c:v>31.5</c:v>
                </c:pt>
                <c:pt idx="164">
                  <c:v>32</c:v>
                </c:pt>
                <c:pt idx="165">
                  <c:v>32.5</c:v>
                </c:pt>
                <c:pt idx="166">
                  <c:v>33</c:v>
                </c:pt>
                <c:pt idx="167">
                  <c:v>33.5</c:v>
                </c:pt>
                <c:pt idx="168">
                  <c:v>34</c:v>
                </c:pt>
                <c:pt idx="169">
                  <c:v>34.5</c:v>
                </c:pt>
                <c:pt idx="170">
                  <c:v>35</c:v>
                </c:pt>
                <c:pt idx="171">
                  <c:v>35.5</c:v>
                </c:pt>
                <c:pt idx="172">
                  <c:v>36</c:v>
                </c:pt>
                <c:pt idx="173">
                  <c:v>36.5</c:v>
                </c:pt>
                <c:pt idx="174">
                  <c:v>37</c:v>
                </c:pt>
                <c:pt idx="175">
                  <c:v>37.5</c:v>
                </c:pt>
                <c:pt idx="176">
                  <c:v>38</c:v>
                </c:pt>
                <c:pt idx="177">
                  <c:v>38.5</c:v>
                </c:pt>
                <c:pt idx="178">
                  <c:v>39</c:v>
                </c:pt>
                <c:pt idx="179">
                  <c:v>39.5</c:v>
                </c:pt>
                <c:pt idx="180">
                  <c:v>40</c:v>
                </c:pt>
                <c:pt idx="181">
                  <c:v>40.5</c:v>
                </c:pt>
                <c:pt idx="182">
                  <c:v>41</c:v>
                </c:pt>
                <c:pt idx="183">
                  <c:v>41.5</c:v>
                </c:pt>
                <c:pt idx="184">
                  <c:v>42</c:v>
                </c:pt>
                <c:pt idx="185">
                  <c:v>42.5</c:v>
                </c:pt>
                <c:pt idx="186">
                  <c:v>43</c:v>
                </c:pt>
                <c:pt idx="187">
                  <c:v>43.5</c:v>
                </c:pt>
                <c:pt idx="188">
                  <c:v>44</c:v>
                </c:pt>
                <c:pt idx="189">
                  <c:v>44.5</c:v>
                </c:pt>
                <c:pt idx="190">
                  <c:v>45</c:v>
                </c:pt>
                <c:pt idx="191">
                  <c:v>45.5</c:v>
                </c:pt>
                <c:pt idx="192">
                  <c:v>46</c:v>
                </c:pt>
                <c:pt idx="193">
                  <c:v>46.5</c:v>
                </c:pt>
                <c:pt idx="194">
                  <c:v>47</c:v>
                </c:pt>
                <c:pt idx="195">
                  <c:v>47.5</c:v>
                </c:pt>
                <c:pt idx="196">
                  <c:v>48</c:v>
                </c:pt>
                <c:pt idx="197">
                  <c:v>48.5</c:v>
                </c:pt>
                <c:pt idx="198">
                  <c:v>49</c:v>
                </c:pt>
                <c:pt idx="199">
                  <c:v>49.5</c:v>
                </c:pt>
                <c:pt idx="200">
                  <c:v>50</c:v>
                </c:pt>
              </c:numCache>
            </c:numRef>
          </c:xVal>
          <c:yVal>
            <c:numRef>
              <c:f>'subsidence profile with z_0'!$G$16:$G$216</c:f>
              <c:numCache>
                <c:formatCode>0.000</c:formatCode>
                <c:ptCount val="201"/>
                <c:pt idx="0">
                  <c:v>-4.948075339080439E-7</c:v>
                </c:pt>
                <c:pt idx="1">
                  <c:v>-7.0175126470923077E-7</c:v>
                </c:pt>
                <c:pt idx="2">
                  <c:v>-9.91756395966647E-7</c:v>
                </c:pt>
                <c:pt idx="3">
                  <c:v>-1.3966954600479371E-6</c:v>
                </c:pt>
                <c:pt idx="4">
                  <c:v>-1.9600779293163596E-6</c:v>
                </c:pt>
                <c:pt idx="5">
                  <c:v>-2.741068324789523E-6</c:v>
                </c:pt>
                <c:pt idx="6">
                  <c:v>-3.8198058465599969E-6</c:v>
                </c:pt>
                <c:pt idx="7">
                  <c:v>-5.3044165658875138E-6</c:v>
                </c:pt>
                <c:pt idx="8">
                  <c:v>-7.3402163678362471E-6</c:v>
                </c:pt>
                <c:pt idx="9">
                  <c:v>-1.0121736018999041E-5</c:v>
                </c:pt>
                <c:pt idx="10">
                  <c:v>-1.3908364269214981E-5</c:v>
                </c:pt>
                <c:pt idx="11">
                  <c:v>-1.9044606877706782E-5</c:v>
                </c:pt>
                <c:pt idx="12">
                  <c:v>-2.5986205797005788E-5</c:v>
                </c:pt>
                <c:pt idx="13">
                  <c:v>-3.533366118279155E-5</c:v>
                </c:pt>
                <c:pt idx="14">
                  <c:v>-4.7875057931013832E-5</c:v>
                </c:pt>
                <c:pt idx="15">
                  <c:v>-6.4640527265121271E-5</c:v>
                </c:pt>
                <c:pt idx="16">
                  <c:v>-8.6971182217182022E-5</c:v>
                </c:pt>
                <c:pt idx="17">
                  <c:v>-1.1660596365342278E-4</c:v>
                </c:pt>
                <c:pt idx="18">
                  <c:v>-1.5579053069895925E-4</c:v>
                </c:pt>
                <c:pt idx="19">
                  <c:v>-2.0741313538430494E-4</c:v>
                </c:pt>
                <c:pt idx="20">
                  <c:v>-2.7517334427701995E-4</c:v>
                </c:pt>
                <c:pt idx="21">
                  <c:v>-3.6379051606061895E-4</c:v>
                </c:pt>
                <c:pt idx="22">
                  <c:v>-4.7926011690214233E-4</c:v>
                </c:pt>
                <c:pt idx="23">
                  <c:v>-6.2916725445211934E-4</c:v>
                </c:pt>
                <c:pt idx="24">
                  <c:v>-8.2306823061019515E-4</c:v>
                </c:pt>
                <c:pt idx="25">
                  <c:v>-1.0729524401807636E-3</c:v>
                </c:pt>
                <c:pt idx="26">
                  <c:v>-1.3937985562759549E-3</c:v>
                </c:pt>
                <c:pt idx="27">
                  <c:v>-1.8042406127238776E-3</c:v>
                </c:pt>
                <c:pt idx="28">
                  <c:v>-2.3273612758140444E-3</c:v>
                </c:pt>
                <c:pt idx="29">
                  <c:v>-2.9916312357523354E-3</c:v>
                </c:pt>
                <c:pt idx="30">
                  <c:v>-3.8320151700973323E-3</c:v>
                </c:pt>
                <c:pt idx="31">
                  <c:v>-4.891266048241593E-3</c:v>
                </c:pt>
                <c:pt idx="32">
                  <c:v>-6.2214305507713435E-3</c:v>
                </c:pt>
                <c:pt idx="33">
                  <c:v>-7.8855889448723113E-3</c:v>
                </c:pt>
                <c:pt idx="34">
                  <c:v>-9.9598527431061113E-3</c:v>
                </c:pt>
                <c:pt idx="35">
                  <c:v>-1.2535642716880308E-2</c:v>
                </c:pt>
                <c:pt idx="36">
                  <c:v>-1.5722268161769373E-2</c:v>
                </c:pt>
                <c:pt idx="37">
                  <c:v>-1.9649825532015421E-2</c:v>
                </c:pt>
                <c:pt idx="38">
                  <c:v>-2.4472430482091429E-2</c:v>
                </c:pt>
                <c:pt idx="39">
                  <c:v>-3.0371791780413274E-2</c:v>
                </c:pt>
                <c:pt idx="40">
                  <c:v>-3.7561128309049951E-2</c:v>
                </c:pt>
                <c:pt idx="41">
                  <c:v>-4.6289421267342291E-2</c:v>
                </c:pt>
                <c:pt idx="42">
                  <c:v>-5.6845982621138859E-2</c:v>
                </c:pt>
                <c:pt idx="43">
                  <c:v>-6.9565307691431613E-2</c:v>
                </c:pt>
                <c:pt idx="44">
                  <c:v>-8.483216452377422E-2</c:v>
                </c:pt>
                <c:pt idx="45">
                  <c:v>-0.10308685536431463</c:v>
                </c:pt>
                <c:pt idx="46">
                  <c:v>-0.1248305663205342</c:v>
                </c:pt>
                <c:pt idx="47">
                  <c:v>-0.150630700340423</c:v>
                </c:pt>
                <c:pt idx="48">
                  <c:v>-0.18112606635654435</c:v>
                </c:pt>
                <c:pt idx="49">
                  <c:v>-0.21703177429415116</c:v>
                </c:pt>
                <c:pt idx="50">
                  <c:v>-0.25914366225483804</c:v>
                </c:pt>
                <c:pt idx="51">
                  <c:v>-0.30834205931828457</c:v>
                </c:pt>
                <c:pt idx="52">
                  <c:v>-0.36559466595007473</c:v>
                </c:pt>
                <c:pt idx="53">
                  <c:v>-0.43195831498556542</c:v>
                </c:pt>
                <c:pt idx="54">
                  <c:v>-0.50857936070924981</c:v>
                </c:pt>
                <c:pt idx="55">
                  <c:v>-0.59669243287956675</c:v>
                </c:pt>
                <c:pt idx="56">
                  <c:v>-0.69761728792158928</c:v>
                </c:pt>
                <c:pt idx="57">
                  <c:v>-0.81275349218900705</c:v>
                </c:pt>
                <c:pt idx="58">
                  <c:v>-0.94357268339818767</c:v>
                </c:pt>
                <c:pt idx="59">
                  <c:v>-1.0916081771686896</c:v>
                </c:pt>
                <c:pt idx="60">
                  <c:v>-1.2584417170012332</c:v>
                </c:pt>
                <c:pt idx="61">
                  <c:v>-1.4456872086792001</c:v>
                </c:pt>
                <c:pt idx="62">
                  <c:v>-1.6549713343762738</c:v>
                </c:pt>
                <c:pt idx="63">
                  <c:v>-1.8879110076972525</c:v>
                </c:pt>
                <c:pt idx="64">
                  <c:v>-2.1460877080412315</c:v>
                </c:pt>
                <c:pt idx="65">
                  <c:v>-2.4310188201398701</c:v>
                </c:pt>
                <c:pt idx="66">
                  <c:v>-2.744126200950614</c:v>
                </c:pt>
                <c:pt idx="67">
                  <c:v>-3.0867022992988979</c:v>
                </c:pt>
                <c:pt idx="68">
                  <c:v>-3.4598742612539271</c:v>
                </c:pt>
                <c:pt idx="69">
                  <c:v>-3.8645665631736499</c:v>
                </c:pt>
                <c:pt idx="70">
                  <c:v>-4.3014628212003725</c:v>
                </c:pt>
                <c:pt idx="71">
                  <c:v>-4.770967526896591</c:v>
                </c:pt>
                <c:pt idx="72">
                  <c:v>-5.2731685495915244</c:v>
                </c:pt>
                <c:pt idx="73">
                  <c:v>-5.8078013226504268</c:v>
                </c:pt>
                <c:pt idx="74">
                  <c:v>-6.3742156891038446</c:v>
                </c:pt>
                <c:pt idx="75">
                  <c:v>-6.971346417912212</c:v>
                </c:pt>
                <c:pt idx="76">
                  <c:v>-7.5976884120138557</c:v>
                </c:pt>
                <c:pt idx="77">
                  <c:v>-8.2512776102100496</c:v>
                </c:pt>
                <c:pt idx="78">
                  <c:v>-8.9296785346356948</c:v>
                </c:pt>
                <c:pt idx="79">
                  <c:v>-9.6299793527282702</c:v>
                </c:pt>
                <c:pt idx="80">
                  <c:v>-10.348795206984891</c:v>
                </c:pt>
                <c:pt idx="81">
                  <c:v>-11.082280418303736</c:v>
                </c:pt>
                <c:pt idx="82">
                  <c:v>-11.826149991495621</c:v>
                </c:pt>
                <c:pt idx="83">
                  <c:v>-12.575710648033583</c:v>
                </c:pt>
                <c:pt idx="84">
                  <c:v>-13.325901385913172</c:v>
                </c:pt>
                <c:pt idx="85">
                  <c:v>-14.071343325382042</c:v>
                </c:pt>
                <c:pt idx="86">
                  <c:v>-14.806398349005388</c:v>
                </c:pt>
                <c:pt idx="87">
                  <c:v>-15.525235792586331</c:v>
                </c:pt>
                <c:pt idx="88">
                  <c:v>-16.221906197915143</c:v>
                </c:pt>
                <c:pt idx="89">
                  <c:v>-16.890420907485208</c:v>
                </c:pt>
                <c:pt idx="90">
                  <c:v>-17.524836073429174</c:v>
                </c:pt>
                <c:pt idx="91">
                  <c:v>-18.119339475846136</c:v>
                </c:pt>
                <c:pt idx="92">
                  <c:v>-18.668338406539021</c:v>
                </c:pt>
                <c:pt idx="93">
                  <c:v>-19.166546779055633</c:v>
                </c:pt>
                <c:pt idx="94">
                  <c:v>-19.609069579604363</c:v>
                </c:pt>
                <c:pt idx="95">
                  <c:v>-19.991482779117774</c:v>
                </c:pt>
                <c:pt idx="96">
                  <c:v>-20.309906885948021</c:v>
                </c:pt>
                <c:pt idx="97">
                  <c:v>-20.56107243103045</c:v>
                </c:pt>
                <c:pt idx="98">
                  <c:v>-20.742375840590231</c:v>
                </c:pt>
                <c:pt idx="99">
                  <c:v>-20.851924361486592</c:v>
                </c:pt>
                <c:pt idx="100">
                  <c:v>-20.888568955258339</c:v>
                </c:pt>
                <c:pt idx="101">
                  <c:v>-20.851924361486592</c:v>
                </c:pt>
                <c:pt idx="102">
                  <c:v>-20.742375840590231</c:v>
                </c:pt>
                <c:pt idx="103">
                  <c:v>-20.56107243103045</c:v>
                </c:pt>
                <c:pt idx="104">
                  <c:v>-20.309906885948021</c:v>
                </c:pt>
                <c:pt idx="105">
                  <c:v>-19.991482779117774</c:v>
                </c:pt>
                <c:pt idx="106">
                  <c:v>-19.609069579604363</c:v>
                </c:pt>
                <c:pt idx="107">
                  <c:v>-19.166546779055633</c:v>
                </c:pt>
                <c:pt idx="108">
                  <c:v>-18.668338406539021</c:v>
                </c:pt>
                <c:pt idx="109">
                  <c:v>-18.119339475846136</c:v>
                </c:pt>
                <c:pt idx="110">
                  <c:v>-17.524836073429174</c:v>
                </c:pt>
                <c:pt idx="111">
                  <c:v>-16.890420907485208</c:v>
                </c:pt>
                <c:pt idx="112">
                  <c:v>-16.221906197915143</c:v>
                </c:pt>
                <c:pt idx="113">
                  <c:v>-15.525235792586331</c:v>
                </c:pt>
                <c:pt idx="114">
                  <c:v>-14.806398349005388</c:v>
                </c:pt>
                <c:pt idx="115">
                  <c:v>-14.071343325382042</c:v>
                </c:pt>
                <c:pt idx="116">
                  <c:v>-13.325901385913172</c:v>
                </c:pt>
                <c:pt idx="117">
                  <c:v>-12.575710648033583</c:v>
                </c:pt>
                <c:pt idx="118">
                  <c:v>-11.826149991495621</c:v>
                </c:pt>
                <c:pt idx="119">
                  <c:v>-11.082280418303736</c:v>
                </c:pt>
                <c:pt idx="120">
                  <c:v>-10.348795206984891</c:v>
                </c:pt>
                <c:pt idx="121">
                  <c:v>-9.6299793527282702</c:v>
                </c:pt>
                <c:pt idx="122">
                  <c:v>-8.9296785346356948</c:v>
                </c:pt>
                <c:pt idx="123">
                  <c:v>-8.2512776102100496</c:v>
                </c:pt>
                <c:pt idx="124">
                  <c:v>-7.5976884120138557</c:v>
                </c:pt>
                <c:pt idx="125">
                  <c:v>-6.971346417912212</c:v>
                </c:pt>
                <c:pt idx="126">
                  <c:v>-6.3742156891038446</c:v>
                </c:pt>
                <c:pt idx="127">
                  <c:v>-5.8078013226504268</c:v>
                </c:pt>
                <c:pt idx="128">
                  <c:v>-5.2731685495915244</c:v>
                </c:pt>
                <c:pt idx="129">
                  <c:v>-4.770967526896591</c:v>
                </c:pt>
                <c:pt idx="130">
                  <c:v>-4.3014628212003725</c:v>
                </c:pt>
                <c:pt idx="131">
                  <c:v>-3.8645665631736499</c:v>
                </c:pt>
                <c:pt idx="132">
                  <c:v>-3.4598742612539271</c:v>
                </c:pt>
                <c:pt idx="133">
                  <c:v>-3.0867022992988979</c:v>
                </c:pt>
                <c:pt idx="134">
                  <c:v>-2.744126200950614</c:v>
                </c:pt>
                <c:pt idx="135">
                  <c:v>-2.4310188201398701</c:v>
                </c:pt>
                <c:pt idx="136">
                  <c:v>-2.1460877080412315</c:v>
                </c:pt>
                <c:pt idx="137">
                  <c:v>-1.8879110076972525</c:v>
                </c:pt>
                <c:pt idx="138">
                  <c:v>-1.6549713343762738</c:v>
                </c:pt>
                <c:pt idx="139">
                  <c:v>-1.4456872086792001</c:v>
                </c:pt>
                <c:pt idx="140">
                  <c:v>-1.2584417170012332</c:v>
                </c:pt>
                <c:pt idx="141">
                  <c:v>-1.0916081771686896</c:v>
                </c:pt>
                <c:pt idx="142">
                  <c:v>-0.94357268339818767</c:v>
                </c:pt>
                <c:pt idx="143">
                  <c:v>-0.81275349218900705</c:v>
                </c:pt>
                <c:pt idx="144">
                  <c:v>-0.69761728792158928</c:v>
                </c:pt>
                <c:pt idx="145">
                  <c:v>-0.59669243287956675</c:v>
                </c:pt>
                <c:pt idx="146">
                  <c:v>-0.50857936070924981</c:v>
                </c:pt>
                <c:pt idx="147">
                  <c:v>-0.43195831498556542</c:v>
                </c:pt>
                <c:pt idx="148">
                  <c:v>-0.36559466595007473</c:v>
                </c:pt>
                <c:pt idx="149">
                  <c:v>-0.30834205931828457</c:v>
                </c:pt>
                <c:pt idx="150">
                  <c:v>-0.25914366225483804</c:v>
                </c:pt>
                <c:pt idx="151">
                  <c:v>-0.21703177429415116</c:v>
                </c:pt>
                <c:pt idx="152">
                  <c:v>-0.18112606635654435</c:v>
                </c:pt>
                <c:pt idx="153">
                  <c:v>-0.150630700340423</c:v>
                </c:pt>
                <c:pt idx="154">
                  <c:v>-0.1248305663205342</c:v>
                </c:pt>
                <c:pt idx="155">
                  <c:v>-0.10308685536431463</c:v>
                </c:pt>
                <c:pt idx="156">
                  <c:v>-8.483216452377422E-2</c:v>
                </c:pt>
                <c:pt idx="157">
                  <c:v>-6.9565307691431613E-2</c:v>
                </c:pt>
                <c:pt idx="158">
                  <c:v>-5.6845982621138859E-2</c:v>
                </c:pt>
                <c:pt idx="159">
                  <c:v>-4.6289421267342291E-2</c:v>
                </c:pt>
                <c:pt idx="160">
                  <c:v>-3.7561128309049951E-2</c:v>
                </c:pt>
                <c:pt idx="161">
                  <c:v>-3.0371791780413274E-2</c:v>
                </c:pt>
                <c:pt idx="162">
                  <c:v>-2.4472430482091429E-2</c:v>
                </c:pt>
                <c:pt idx="163">
                  <c:v>-1.9649825532015421E-2</c:v>
                </c:pt>
                <c:pt idx="164">
                  <c:v>-1.5722268161769373E-2</c:v>
                </c:pt>
                <c:pt idx="165">
                  <c:v>-1.2535642716880308E-2</c:v>
                </c:pt>
                <c:pt idx="166">
                  <c:v>-9.9598527431061113E-3</c:v>
                </c:pt>
                <c:pt idx="167">
                  <c:v>-7.8855889448723113E-3</c:v>
                </c:pt>
                <c:pt idx="168">
                  <c:v>-6.2214305507713435E-3</c:v>
                </c:pt>
                <c:pt idx="169">
                  <c:v>-4.891266048241593E-3</c:v>
                </c:pt>
                <c:pt idx="170">
                  <c:v>-3.8320151700973323E-3</c:v>
                </c:pt>
                <c:pt idx="171">
                  <c:v>-2.9916312357523354E-3</c:v>
                </c:pt>
                <c:pt idx="172">
                  <c:v>-2.3273612758140444E-3</c:v>
                </c:pt>
                <c:pt idx="173">
                  <c:v>-1.8042406127238776E-3</c:v>
                </c:pt>
                <c:pt idx="174">
                  <c:v>-1.3937985562759549E-3</c:v>
                </c:pt>
                <c:pt idx="175">
                  <c:v>-1.0729524401807636E-3</c:v>
                </c:pt>
                <c:pt idx="176">
                  <c:v>-8.2306823061019515E-4</c:v>
                </c:pt>
                <c:pt idx="177">
                  <c:v>-6.2916725445211934E-4</c:v>
                </c:pt>
                <c:pt idx="178">
                  <c:v>-4.7926011690214233E-4</c:v>
                </c:pt>
                <c:pt idx="179">
                  <c:v>-3.6379051606061895E-4</c:v>
                </c:pt>
                <c:pt idx="180">
                  <c:v>-2.7517334427701995E-4</c:v>
                </c:pt>
                <c:pt idx="181">
                  <c:v>-2.0741313538430494E-4</c:v>
                </c:pt>
                <c:pt idx="182">
                  <c:v>-1.5579053069895925E-4</c:v>
                </c:pt>
                <c:pt idx="183">
                  <c:v>-1.1660596365342278E-4</c:v>
                </c:pt>
                <c:pt idx="184">
                  <c:v>-8.6971182217182022E-5</c:v>
                </c:pt>
                <c:pt idx="185">
                  <c:v>-6.4640527265121271E-5</c:v>
                </c:pt>
                <c:pt idx="186">
                  <c:v>-4.7875057931013832E-5</c:v>
                </c:pt>
                <c:pt idx="187">
                  <c:v>-3.533366118279155E-5</c:v>
                </c:pt>
                <c:pt idx="188">
                  <c:v>-2.5986205797005788E-5</c:v>
                </c:pt>
                <c:pt idx="189">
                  <c:v>-1.9044606877706782E-5</c:v>
                </c:pt>
                <c:pt idx="190">
                  <c:v>-1.3908364269214981E-5</c:v>
                </c:pt>
                <c:pt idx="191">
                  <c:v>-1.0121736018999041E-5</c:v>
                </c:pt>
                <c:pt idx="192">
                  <c:v>-7.3402163678362471E-6</c:v>
                </c:pt>
                <c:pt idx="193">
                  <c:v>-5.3044165658875138E-6</c:v>
                </c:pt>
                <c:pt idx="194">
                  <c:v>-3.8198058465599969E-6</c:v>
                </c:pt>
                <c:pt idx="195">
                  <c:v>-2.741068324789523E-6</c:v>
                </c:pt>
                <c:pt idx="196">
                  <c:v>-1.9600779293163596E-6</c:v>
                </c:pt>
                <c:pt idx="197">
                  <c:v>-1.3966954600479371E-6</c:v>
                </c:pt>
                <c:pt idx="198">
                  <c:v>-9.91756395966647E-7</c:v>
                </c:pt>
                <c:pt idx="199">
                  <c:v>-7.0175126470923077E-7</c:v>
                </c:pt>
                <c:pt idx="200">
                  <c:v>-4.948075339080439E-7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284-4680-A95E-69FF265357C3}"/>
            </c:ext>
          </c:extLst>
        </c:ser>
        <c:ser>
          <c:idx val="0"/>
          <c:order val="5"/>
          <c:tx>
            <c:strRef>
              <c:f>'subsidence profile with z_0'!$H$6</c:f>
              <c:strCache>
                <c:ptCount val="1"/>
                <c:pt idx="0">
                  <c:v>2.5</c:v>
                </c:pt>
              </c:strCache>
            </c:strRef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none"/>
          </c:marker>
          <c:xVal>
            <c:numRef>
              <c:f>'subsidence profile with z_0'!$B$16:$B$216</c:f>
              <c:numCache>
                <c:formatCode>0.000</c:formatCode>
                <c:ptCount val="201"/>
                <c:pt idx="0">
                  <c:v>-50</c:v>
                </c:pt>
                <c:pt idx="1">
                  <c:v>-49.5</c:v>
                </c:pt>
                <c:pt idx="2">
                  <c:v>-49</c:v>
                </c:pt>
                <c:pt idx="3">
                  <c:v>-48.5</c:v>
                </c:pt>
                <c:pt idx="4">
                  <c:v>-48</c:v>
                </c:pt>
                <c:pt idx="5">
                  <c:v>-47.5</c:v>
                </c:pt>
                <c:pt idx="6">
                  <c:v>-47</c:v>
                </c:pt>
                <c:pt idx="7">
                  <c:v>-46.5</c:v>
                </c:pt>
                <c:pt idx="8">
                  <c:v>-46</c:v>
                </c:pt>
                <c:pt idx="9">
                  <c:v>-45.5</c:v>
                </c:pt>
                <c:pt idx="10">
                  <c:v>-45</c:v>
                </c:pt>
                <c:pt idx="11">
                  <c:v>-44.5</c:v>
                </c:pt>
                <c:pt idx="12">
                  <c:v>-44</c:v>
                </c:pt>
                <c:pt idx="13">
                  <c:v>-43.5</c:v>
                </c:pt>
                <c:pt idx="14">
                  <c:v>-43</c:v>
                </c:pt>
                <c:pt idx="15">
                  <c:v>-42.5</c:v>
                </c:pt>
                <c:pt idx="16">
                  <c:v>-42</c:v>
                </c:pt>
                <c:pt idx="17">
                  <c:v>-41.5</c:v>
                </c:pt>
                <c:pt idx="18">
                  <c:v>-41</c:v>
                </c:pt>
                <c:pt idx="19">
                  <c:v>-40.5</c:v>
                </c:pt>
                <c:pt idx="20">
                  <c:v>-40</c:v>
                </c:pt>
                <c:pt idx="21">
                  <c:v>-39.5</c:v>
                </c:pt>
                <c:pt idx="22">
                  <c:v>-39</c:v>
                </c:pt>
                <c:pt idx="23">
                  <c:v>-38.5</c:v>
                </c:pt>
                <c:pt idx="24">
                  <c:v>-38</c:v>
                </c:pt>
                <c:pt idx="25">
                  <c:v>-37.5</c:v>
                </c:pt>
                <c:pt idx="26">
                  <c:v>-37</c:v>
                </c:pt>
                <c:pt idx="27">
                  <c:v>-36.5</c:v>
                </c:pt>
                <c:pt idx="28">
                  <c:v>-36</c:v>
                </c:pt>
                <c:pt idx="29">
                  <c:v>-35.5</c:v>
                </c:pt>
                <c:pt idx="30">
                  <c:v>-35</c:v>
                </c:pt>
                <c:pt idx="31">
                  <c:v>-34.5</c:v>
                </c:pt>
                <c:pt idx="32">
                  <c:v>-34</c:v>
                </c:pt>
                <c:pt idx="33">
                  <c:v>-33.5</c:v>
                </c:pt>
                <c:pt idx="34">
                  <c:v>-33</c:v>
                </c:pt>
                <c:pt idx="35">
                  <c:v>-32.5</c:v>
                </c:pt>
                <c:pt idx="36">
                  <c:v>-32</c:v>
                </c:pt>
                <c:pt idx="37">
                  <c:v>-31.5</c:v>
                </c:pt>
                <c:pt idx="38">
                  <c:v>-31</c:v>
                </c:pt>
                <c:pt idx="39">
                  <c:v>-30.5</c:v>
                </c:pt>
                <c:pt idx="40">
                  <c:v>-30</c:v>
                </c:pt>
                <c:pt idx="41">
                  <c:v>-29.5</c:v>
                </c:pt>
                <c:pt idx="42">
                  <c:v>-29</c:v>
                </c:pt>
                <c:pt idx="43">
                  <c:v>-28.5</c:v>
                </c:pt>
                <c:pt idx="44">
                  <c:v>-28</c:v>
                </c:pt>
                <c:pt idx="45">
                  <c:v>-27.5</c:v>
                </c:pt>
                <c:pt idx="46">
                  <c:v>-27</c:v>
                </c:pt>
                <c:pt idx="47">
                  <c:v>-26.5</c:v>
                </c:pt>
                <c:pt idx="48">
                  <c:v>-26</c:v>
                </c:pt>
                <c:pt idx="49">
                  <c:v>-25.5</c:v>
                </c:pt>
                <c:pt idx="50">
                  <c:v>-25</c:v>
                </c:pt>
                <c:pt idx="51">
                  <c:v>-24.5</c:v>
                </c:pt>
                <c:pt idx="52">
                  <c:v>-24</c:v>
                </c:pt>
                <c:pt idx="53">
                  <c:v>-23.5</c:v>
                </c:pt>
                <c:pt idx="54">
                  <c:v>-23</c:v>
                </c:pt>
                <c:pt idx="55">
                  <c:v>-22.5</c:v>
                </c:pt>
                <c:pt idx="56">
                  <c:v>-22</c:v>
                </c:pt>
                <c:pt idx="57">
                  <c:v>-21.5</c:v>
                </c:pt>
                <c:pt idx="58">
                  <c:v>-21</c:v>
                </c:pt>
                <c:pt idx="59">
                  <c:v>-20.5</c:v>
                </c:pt>
                <c:pt idx="60">
                  <c:v>-20</c:v>
                </c:pt>
                <c:pt idx="61">
                  <c:v>-19.5</c:v>
                </c:pt>
                <c:pt idx="62">
                  <c:v>-19</c:v>
                </c:pt>
                <c:pt idx="63">
                  <c:v>-18.5</c:v>
                </c:pt>
                <c:pt idx="64">
                  <c:v>-18</c:v>
                </c:pt>
                <c:pt idx="65">
                  <c:v>-17.5</c:v>
                </c:pt>
                <c:pt idx="66">
                  <c:v>-17</c:v>
                </c:pt>
                <c:pt idx="67">
                  <c:v>-16.5</c:v>
                </c:pt>
                <c:pt idx="68">
                  <c:v>-16</c:v>
                </c:pt>
                <c:pt idx="69">
                  <c:v>-15.5</c:v>
                </c:pt>
                <c:pt idx="70">
                  <c:v>-15</c:v>
                </c:pt>
                <c:pt idx="71">
                  <c:v>-14.5</c:v>
                </c:pt>
                <c:pt idx="72">
                  <c:v>-14</c:v>
                </c:pt>
                <c:pt idx="73">
                  <c:v>-13.5</c:v>
                </c:pt>
                <c:pt idx="74">
                  <c:v>-13</c:v>
                </c:pt>
                <c:pt idx="75">
                  <c:v>-12.5</c:v>
                </c:pt>
                <c:pt idx="76">
                  <c:v>-12</c:v>
                </c:pt>
                <c:pt idx="77">
                  <c:v>-11.5</c:v>
                </c:pt>
                <c:pt idx="78">
                  <c:v>-11</c:v>
                </c:pt>
                <c:pt idx="79">
                  <c:v>-10.5</c:v>
                </c:pt>
                <c:pt idx="80">
                  <c:v>-10</c:v>
                </c:pt>
                <c:pt idx="81">
                  <c:v>-9.5</c:v>
                </c:pt>
                <c:pt idx="82">
                  <c:v>-9</c:v>
                </c:pt>
                <c:pt idx="83">
                  <c:v>-8.5</c:v>
                </c:pt>
                <c:pt idx="84">
                  <c:v>-8</c:v>
                </c:pt>
                <c:pt idx="85">
                  <c:v>-7.5</c:v>
                </c:pt>
                <c:pt idx="86">
                  <c:v>-7</c:v>
                </c:pt>
                <c:pt idx="87">
                  <c:v>-6.5</c:v>
                </c:pt>
                <c:pt idx="88">
                  <c:v>-6</c:v>
                </c:pt>
                <c:pt idx="89">
                  <c:v>-5.5</c:v>
                </c:pt>
                <c:pt idx="90">
                  <c:v>-5</c:v>
                </c:pt>
                <c:pt idx="91">
                  <c:v>-4.5</c:v>
                </c:pt>
                <c:pt idx="92">
                  <c:v>-4</c:v>
                </c:pt>
                <c:pt idx="93">
                  <c:v>-3.5</c:v>
                </c:pt>
                <c:pt idx="94">
                  <c:v>-3</c:v>
                </c:pt>
                <c:pt idx="95">
                  <c:v>-2.5</c:v>
                </c:pt>
                <c:pt idx="96">
                  <c:v>-2</c:v>
                </c:pt>
                <c:pt idx="97">
                  <c:v>-1.5</c:v>
                </c:pt>
                <c:pt idx="98">
                  <c:v>-1</c:v>
                </c:pt>
                <c:pt idx="99">
                  <c:v>-0.5</c:v>
                </c:pt>
                <c:pt idx="100">
                  <c:v>0</c:v>
                </c:pt>
                <c:pt idx="101">
                  <c:v>0.5</c:v>
                </c:pt>
                <c:pt idx="102">
                  <c:v>1</c:v>
                </c:pt>
                <c:pt idx="103">
                  <c:v>1.5</c:v>
                </c:pt>
                <c:pt idx="104">
                  <c:v>2</c:v>
                </c:pt>
                <c:pt idx="105">
                  <c:v>2.5</c:v>
                </c:pt>
                <c:pt idx="106">
                  <c:v>3</c:v>
                </c:pt>
                <c:pt idx="107">
                  <c:v>3.5</c:v>
                </c:pt>
                <c:pt idx="108">
                  <c:v>4</c:v>
                </c:pt>
                <c:pt idx="109">
                  <c:v>4.5</c:v>
                </c:pt>
                <c:pt idx="110">
                  <c:v>5</c:v>
                </c:pt>
                <c:pt idx="111">
                  <c:v>5.5</c:v>
                </c:pt>
                <c:pt idx="112">
                  <c:v>6</c:v>
                </c:pt>
                <c:pt idx="113">
                  <c:v>6.5</c:v>
                </c:pt>
                <c:pt idx="114">
                  <c:v>7</c:v>
                </c:pt>
                <c:pt idx="115">
                  <c:v>7.5</c:v>
                </c:pt>
                <c:pt idx="116">
                  <c:v>8</c:v>
                </c:pt>
                <c:pt idx="117">
                  <c:v>8.5</c:v>
                </c:pt>
                <c:pt idx="118">
                  <c:v>9</c:v>
                </c:pt>
                <c:pt idx="119">
                  <c:v>9.5</c:v>
                </c:pt>
                <c:pt idx="120">
                  <c:v>10</c:v>
                </c:pt>
                <c:pt idx="121">
                  <c:v>10.5</c:v>
                </c:pt>
                <c:pt idx="122">
                  <c:v>11</c:v>
                </c:pt>
                <c:pt idx="123">
                  <c:v>11.5</c:v>
                </c:pt>
                <c:pt idx="124">
                  <c:v>12</c:v>
                </c:pt>
                <c:pt idx="125">
                  <c:v>12.5</c:v>
                </c:pt>
                <c:pt idx="126">
                  <c:v>13</c:v>
                </c:pt>
                <c:pt idx="127">
                  <c:v>13.5</c:v>
                </c:pt>
                <c:pt idx="128">
                  <c:v>14</c:v>
                </c:pt>
                <c:pt idx="129">
                  <c:v>14.5</c:v>
                </c:pt>
                <c:pt idx="130">
                  <c:v>15</c:v>
                </c:pt>
                <c:pt idx="131">
                  <c:v>15.5</c:v>
                </c:pt>
                <c:pt idx="132">
                  <c:v>16</c:v>
                </c:pt>
                <c:pt idx="133">
                  <c:v>16.5</c:v>
                </c:pt>
                <c:pt idx="134">
                  <c:v>17</c:v>
                </c:pt>
                <c:pt idx="135">
                  <c:v>17.5</c:v>
                </c:pt>
                <c:pt idx="136">
                  <c:v>18</c:v>
                </c:pt>
                <c:pt idx="137">
                  <c:v>18.5</c:v>
                </c:pt>
                <c:pt idx="138">
                  <c:v>19</c:v>
                </c:pt>
                <c:pt idx="139">
                  <c:v>19.5</c:v>
                </c:pt>
                <c:pt idx="140">
                  <c:v>20</c:v>
                </c:pt>
                <c:pt idx="141">
                  <c:v>20.5</c:v>
                </c:pt>
                <c:pt idx="142">
                  <c:v>21</c:v>
                </c:pt>
                <c:pt idx="143">
                  <c:v>21.5</c:v>
                </c:pt>
                <c:pt idx="144">
                  <c:v>22</c:v>
                </c:pt>
                <c:pt idx="145">
                  <c:v>22.5</c:v>
                </c:pt>
                <c:pt idx="146">
                  <c:v>23</c:v>
                </c:pt>
                <c:pt idx="147">
                  <c:v>23.5</c:v>
                </c:pt>
                <c:pt idx="148">
                  <c:v>24</c:v>
                </c:pt>
                <c:pt idx="149">
                  <c:v>24.5</c:v>
                </c:pt>
                <c:pt idx="150">
                  <c:v>25</c:v>
                </c:pt>
                <c:pt idx="151">
                  <c:v>25.5</c:v>
                </c:pt>
                <c:pt idx="152">
                  <c:v>26</c:v>
                </c:pt>
                <c:pt idx="153">
                  <c:v>26.5</c:v>
                </c:pt>
                <c:pt idx="154">
                  <c:v>27</c:v>
                </c:pt>
                <c:pt idx="155">
                  <c:v>27.5</c:v>
                </c:pt>
                <c:pt idx="156">
                  <c:v>28</c:v>
                </c:pt>
                <c:pt idx="157">
                  <c:v>28.5</c:v>
                </c:pt>
                <c:pt idx="158">
                  <c:v>29</c:v>
                </c:pt>
                <c:pt idx="159">
                  <c:v>29.5</c:v>
                </c:pt>
                <c:pt idx="160">
                  <c:v>30</c:v>
                </c:pt>
                <c:pt idx="161">
                  <c:v>30.5</c:v>
                </c:pt>
                <c:pt idx="162">
                  <c:v>31</c:v>
                </c:pt>
                <c:pt idx="163">
                  <c:v>31.5</c:v>
                </c:pt>
                <c:pt idx="164">
                  <c:v>32</c:v>
                </c:pt>
                <c:pt idx="165">
                  <c:v>32.5</c:v>
                </c:pt>
                <c:pt idx="166">
                  <c:v>33</c:v>
                </c:pt>
                <c:pt idx="167">
                  <c:v>33.5</c:v>
                </c:pt>
                <c:pt idx="168">
                  <c:v>34</c:v>
                </c:pt>
                <c:pt idx="169">
                  <c:v>34.5</c:v>
                </c:pt>
                <c:pt idx="170">
                  <c:v>35</c:v>
                </c:pt>
                <c:pt idx="171">
                  <c:v>35.5</c:v>
                </c:pt>
                <c:pt idx="172">
                  <c:v>36</c:v>
                </c:pt>
                <c:pt idx="173">
                  <c:v>36.5</c:v>
                </c:pt>
                <c:pt idx="174">
                  <c:v>37</c:v>
                </c:pt>
                <c:pt idx="175">
                  <c:v>37.5</c:v>
                </c:pt>
                <c:pt idx="176">
                  <c:v>38</c:v>
                </c:pt>
                <c:pt idx="177">
                  <c:v>38.5</c:v>
                </c:pt>
                <c:pt idx="178">
                  <c:v>39</c:v>
                </c:pt>
                <c:pt idx="179">
                  <c:v>39.5</c:v>
                </c:pt>
                <c:pt idx="180">
                  <c:v>40</c:v>
                </c:pt>
                <c:pt idx="181">
                  <c:v>40.5</c:v>
                </c:pt>
                <c:pt idx="182">
                  <c:v>41</c:v>
                </c:pt>
                <c:pt idx="183">
                  <c:v>41.5</c:v>
                </c:pt>
                <c:pt idx="184">
                  <c:v>42</c:v>
                </c:pt>
                <c:pt idx="185">
                  <c:v>42.5</c:v>
                </c:pt>
                <c:pt idx="186">
                  <c:v>43</c:v>
                </c:pt>
                <c:pt idx="187">
                  <c:v>43.5</c:v>
                </c:pt>
                <c:pt idx="188">
                  <c:v>44</c:v>
                </c:pt>
                <c:pt idx="189">
                  <c:v>44.5</c:v>
                </c:pt>
                <c:pt idx="190">
                  <c:v>45</c:v>
                </c:pt>
                <c:pt idx="191">
                  <c:v>45.5</c:v>
                </c:pt>
                <c:pt idx="192">
                  <c:v>46</c:v>
                </c:pt>
                <c:pt idx="193">
                  <c:v>46.5</c:v>
                </c:pt>
                <c:pt idx="194">
                  <c:v>47</c:v>
                </c:pt>
                <c:pt idx="195">
                  <c:v>47.5</c:v>
                </c:pt>
                <c:pt idx="196">
                  <c:v>48</c:v>
                </c:pt>
                <c:pt idx="197">
                  <c:v>48.5</c:v>
                </c:pt>
                <c:pt idx="198">
                  <c:v>49</c:v>
                </c:pt>
                <c:pt idx="199">
                  <c:v>49.5</c:v>
                </c:pt>
                <c:pt idx="200">
                  <c:v>50</c:v>
                </c:pt>
              </c:numCache>
            </c:numRef>
          </c:xVal>
          <c:yVal>
            <c:numRef>
              <c:f>'subsidence profile with z_0'!$H$16:$H$216</c:f>
              <c:numCache>
                <c:formatCode>0.000</c:formatCode>
                <c:ptCount val="201"/>
                <c:pt idx="0">
                  <c:v>-8.8157752222011137E-5</c:v>
                </c:pt>
                <c:pt idx="1">
                  <c:v>-1.1236739177701235E-4</c:v>
                </c:pt>
                <c:pt idx="2">
                  <c:v>-1.4287656448756753E-4</c:v>
                </c:pt>
                <c:pt idx="3">
                  <c:v>-1.8122687600427364E-4</c:v>
                </c:pt>
                <c:pt idx="4">
                  <c:v>-2.2931112023084999E-4</c:v>
                </c:pt>
                <c:pt idx="5">
                  <c:v>-2.8944665459446035E-4</c:v>
                </c:pt>
                <c:pt idx="6">
                  <c:v>-3.6446250803876841E-4</c:v>
                </c:pt>
                <c:pt idx="7">
                  <c:v>-4.5780242739408409E-4</c:v>
                </c:pt>
                <c:pt idx="8">
                  <c:v>-5.7364634309045408E-4</c:v>
                </c:pt>
                <c:pt idx="9">
                  <c:v>-7.1705302825471893E-4</c:v>
                </c:pt>
                <c:pt idx="10">
                  <c:v>-8.9412703348396971E-4</c:v>
                </c:pt>
                <c:pt idx="11">
                  <c:v>-1.1122132993446187E-3</c:v>
                </c:pt>
                <c:pt idx="12">
                  <c:v>-1.3801231749859071E-3</c:v>
                </c:pt>
                <c:pt idx="13">
                  <c:v>-1.7083958978343693E-3</c:v>
                </c:pt>
                <c:pt idx="14">
                  <c:v>-2.1095999082180079E-3</c:v>
                </c:pt>
                <c:pt idx="15">
                  <c:v>-2.5986786742763107E-3</c:v>
                </c:pt>
                <c:pt idx="16">
                  <c:v>-3.1933459750811098E-3</c:v>
                </c:pt>
                <c:pt idx="17">
                  <c:v>-3.9145358199653415E-3</c:v>
                </c:pt>
                <c:pt idx="18">
                  <c:v>-4.7869123540053736E-3</c:v>
                </c:pt>
                <c:pt idx="19">
                  <c:v>-5.8394451957114917E-3</c:v>
                </c:pt>
                <c:pt idx="20">
                  <c:v>-7.1060556534821365E-3</c:v>
                </c:pt>
                <c:pt idx="21">
                  <c:v>-8.62633915056772E-3</c:v>
                </c:pt>
                <c:pt idx="22">
                  <c:v>-1.044636893073359E-2</c:v>
                </c:pt>
                <c:pt idx="23">
                  <c:v>-1.2619585693648249E-2</c:v>
                </c:pt>
                <c:pt idx="24">
                  <c:v>-1.5207777194384174E-2</c:v>
                </c:pt>
                <c:pt idx="25">
                  <c:v>-1.8282151008975699E-2</c:v>
                </c:pt>
                <c:pt idx="26">
                  <c:v>-2.1924502591616723E-2</c:v>
                </c:pt>
                <c:pt idx="27">
                  <c:v>-2.622847940371454E-2</c:v>
                </c:pt>
                <c:pt idx="28">
                  <c:v>-3.1300940257541619E-2</c:v>
                </c:pt>
                <c:pt idx="29">
                  <c:v>-3.7263407067609736E-2</c:v>
                </c:pt>
                <c:pt idx="30">
                  <c:v>-4.4253603925374765E-2</c:v>
                </c:pt>
                <c:pt idx="31">
                  <c:v>-5.2427075797307002E-2</c:v>
                </c:pt>
                <c:pt idx="32">
                  <c:v>-6.1958876189575816E-2</c:v>
                </c:pt>
                <c:pt idx="33">
                  <c:v>-7.3045309829887356E-2</c:v>
                </c:pt>
                <c:pt idx="34">
                  <c:v>-8.5905712803595519E-2</c:v>
                </c:pt>
                <c:pt idx="35">
                  <c:v>-0.10078424867362769</c:v>
                </c:pt>
                <c:pt idx="36">
                  <c:v>-0.11795169495125661</c:v>
                </c:pt>
                <c:pt idx="37">
                  <c:v>-0.13770718992039513</c:v>
                </c:pt>
                <c:pt idx="38">
                  <c:v>-0.16037990531976393</c:v>
                </c:pt>
                <c:pt idx="39">
                  <c:v>-0.18633060583834379</c:v>
                </c:pt>
                <c:pt idx="40">
                  <c:v>-0.21595305187903172</c:v>
                </c:pt>
                <c:pt idx="41">
                  <c:v>-0.24967519770803537</c:v>
                </c:pt>
                <c:pt idx="42">
                  <c:v>-0.2879601330627648</c:v>
                </c:pt>
                <c:pt idx="43">
                  <c:v>-0.331306712681955</c:v>
                </c:pt>
                <c:pt idx="44">
                  <c:v>-0.38024981520328011</c:v>
                </c:pt>
                <c:pt idx="45">
                  <c:v>-0.4353601706097347</c:v>
                </c:pt>
                <c:pt idx="46">
                  <c:v>-0.4972436940663057</c:v>
                </c:pt>
                <c:pt idx="47">
                  <c:v>-0.56654026374455901</c:v>
                </c:pt>
                <c:pt idx="48">
                  <c:v>-0.64392188125352945</c:v>
                </c:pt>
                <c:pt idx="49">
                  <c:v>-0.73009015574151626</c:v>
                </c:pt>
                <c:pt idx="50">
                  <c:v>-0.8257730567520366</c:v>
                </c:pt>
                <c:pt idx="51">
                  <c:v>-0.93172088663526631</c:v>
                </c:pt>
                <c:pt idx="52">
                  <c:v>-1.048701430834361</c:v>
                </c:pt>
                <c:pt idx="53">
                  <c:v>-1.1774942537517938</c:v>
                </c:pt>
                <c:pt idx="54">
                  <c:v>-1.3188841191826426</c:v>
                </c:pt>
                <c:pt idx="55">
                  <c:v>-1.4736535274626614</c:v>
                </c:pt>
                <c:pt idx="56">
                  <c:v>-1.6425743764515319</c:v>
                </c:pt>
                <c:pt idx="57">
                  <c:v>-1.8263987701330695</c:v>
                </c:pt>
                <c:pt idx="58">
                  <c:v>-2.025849016783225</c:v>
                </c:pt>
                <c:pt idx="59">
                  <c:v>-2.2416068780917642</c:v>
                </c:pt>
                <c:pt idx="60">
                  <c:v>-2.4743021510219529</c:v>
                </c:pt>
                <c:pt idx="61">
                  <c:v>-2.7245006851926989</c:v>
                </c:pt>
                <c:pt idx="62">
                  <c:v>-2.9926919597516632</c:v>
                </c:pt>
                <c:pt idx="63">
                  <c:v>-3.2792763646081142</c:v>
                </c:pt>
                <c:pt idx="64">
                  <c:v>-3.5845523510003101</c:v>
                </c:pt>
                <c:pt idx="65">
                  <c:v>-3.908703635141157</c:v>
                </c:pt>
                <c:pt idx="66">
                  <c:v>-4.2517866555540982</c:v>
                </c:pt>
                <c:pt idx="67">
                  <c:v>-4.6137184991081082</c:v>
                </c:pt>
                <c:pt idx="68">
                  <c:v>-4.9942655221239383</c:v>
                </c:pt>
                <c:pt idx="69">
                  <c:v>-5.3930329007160323</c:v>
                </c:pt>
                <c:pt idx="70">
                  <c:v>-5.809455348260177</c:v>
                </c:pt>
                <c:pt idx="71">
                  <c:v>-6.2427892371004301</c:v>
                </c:pt>
                <c:pt idx="72">
                  <c:v>-6.6921063559710667</c:v>
                </c:pt>
                <c:pt idx="73">
                  <c:v>-7.1562895238446531</c:v>
                </c:pt>
                <c:pt idx="74">
                  <c:v>-7.6340302648686498</c:v>
                </c:pt>
                <c:pt idx="75">
                  <c:v>-8.123828727683545</c:v>
                </c:pt>
                <c:pt idx="76">
                  <c:v>-8.6239960058207412</c:v>
                </c:pt>
                <c:pt idx="77">
                  <c:v>-9.1326589842910497</c:v>
                </c:pt>
                <c:pt idx="78">
                  <c:v>-9.6477678012696373</c:v>
                </c:pt>
                <c:pt idx="79">
                  <c:v>-10.167105973475852</c:v>
                </c:pt>
                <c:pt idx="80">
                  <c:v>-10.688303190087941</c:v>
                </c:pt>
                <c:pt idx="81">
                  <c:v>-11.208850733600638</c:v>
                </c:pt>
                <c:pt idx="82">
                  <c:v>-11.726119437818369</c:v>
                </c:pt>
                <c:pt idx="83">
                  <c:v>-12.23738004416292</c:v>
                </c:pt>
                <c:pt idx="84">
                  <c:v>-12.739825768719593</c:v>
                </c:pt>
                <c:pt idx="85">
                  <c:v>-13.230596845055295</c:v>
                </c:pt>
                <c:pt idx="86">
                  <c:v>-13.706806762940833</c:v>
                </c:pt>
                <c:pt idx="87">
                  <c:v>-14.165569881812674</c:v>
                </c:pt>
                <c:pt idx="88">
                  <c:v>-14.604030061190977</c:v>
                </c:pt>
                <c:pt idx="89">
                  <c:v>-15.019389919332825</c:v>
                </c:pt>
                <c:pt idx="90">
                  <c:v>-15.408940307042517</c:v>
                </c:pt>
                <c:pt idx="91">
                  <c:v>-15.770089566554367</c:v>
                </c:pt>
                <c:pt idx="92">
                  <c:v>-16.100392136361656</c:v>
                </c:pt>
                <c:pt idx="93">
                  <c:v>-16.397576062225205</c:v>
                </c:pt>
                <c:pt idx="94">
                  <c:v>-16.659568982598145</c:v>
                </c:pt>
                <c:pt idx="95">
                  <c:v>-16.884522173386291</c:v>
                </c:pt>
                <c:pt idx="96">
                  <c:v>-17.070832262149121</c:v>
                </c:pt>
                <c:pt idx="97">
                  <c:v>-17.217160255146116</c:v>
                </c:pt>
                <c:pt idx="98">
                  <c:v>-17.322447561452101</c:v>
                </c:pt>
                <c:pt idx="99">
                  <c:v>-17.385928745915265</c:v>
                </c:pt>
                <c:pt idx="100">
                  <c:v>-17.407140796048619</c:v>
                </c:pt>
                <c:pt idx="101">
                  <c:v>-17.385928745915265</c:v>
                </c:pt>
                <c:pt idx="102">
                  <c:v>-17.322447561452101</c:v>
                </c:pt>
                <c:pt idx="103">
                  <c:v>-17.217160255146116</c:v>
                </c:pt>
                <c:pt idx="104">
                  <c:v>-17.070832262149121</c:v>
                </c:pt>
                <c:pt idx="105">
                  <c:v>-16.884522173386291</c:v>
                </c:pt>
                <c:pt idx="106">
                  <c:v>-16.659568982598145</c:v>
                </c:pt>
                <c:pt idx="107">
                  <c:v>-16.397576062225205</c:v>
                </c:pt>
                <c:pt idx="108">
                  <c:v>-16.100392136361656</c:v>
                </c:pt>
                <c:pt idx="109">
                  <c:v>-15.770089566554367</c:v>
                </c:pt>
                <c:pt idx="110">
                  <c:v>-15.408940307042517</c:v>
                </c:pt>
                <c:pt idx="111">
                  <c:v>-15.019389919332825</c:v>
                </c:pt>
                <c:pt idx="112">
                  <c:v>-14.604030061190977</c:v>
                </c:pt>
                <c:pt idx="113">
                  <c:v>-14.165569881812674</c:v>
                </c:pt>
                <c:pt idx="114">
                  <c:v>-13.706806762940833</c:v>
                </c:pt>
                <c:pt idx="115">
                  <c:v>-13.230596845055295</c:v>
                </c:pt>
                <c:pt idx="116">
                  <c:v>-12.739825768719593</c:v>
                </c:pt>
                <c:pt idx="117">
                  <c:v>-12.23738004416292</c:v>
                </c:pt>
                <c:pt idx="118">
                  <c:v>-11.726119437818369</c:v>
                </c:pt>
                <c:pt idx="119">
                  <c:v>-11.208850733600638</c:v>
                </c:pt>
                <c:pt idx="120">
                  <c:v>-10.688303190087941</c:v>
                </c:pt>
                <c:pt idx="121">
                  <c:v>-10.167105973475852</c:v>
                </c:pt>
                <c:pt idx="122">
                  <c:v>-9.6477678012696373</c:v>
                </c:pt>
                <c:pt idx="123">
                  <c:v>-9.1326589842910497</c:v>
                </c:pt>
                <c:pt idx="124">
                  <c:v>-8.6239960058207412</c:v>
                </c:pt>
                <c:pt idx="125">
                  <c:v>-8.123828727683545</c:v>
                </c:pt>
                <c:pt idx="126">
                  <c:v>-7.6340302648686498</c:v>
                </c:pt>
                <c:pt idx="127">
                  <c:v>-7.1562895238446531</c:v>
                </c:pt>
                <c:pt idx="128">
                  <c:v>-6.6921063559710667</c:v>
                </c:pt>
                <c:pt idx="129">
                  <c:v>-6.2427892371004301</c:v>
                </c:pt>
                <c:pt idx="130">
                  <c:v>-5.809455348260177</c:v>
                </c:pt>
                <c:pt idx="131">
                  <c:v>-5.3930329007160323</c:v>
                </c:pt>
                <c:pt idx="132">
                  <c:v>-4.9942655221239383</c:v>
                </c:pt>
                <c:pt idx="133">
                  <c:v>-4.6137184991081082</c:v>
                </c:pt>
                <c:pt idx="134">
                  <c:v>-4.2517866555540982</c:v>
                </c:pt>
                <c:pt idx="135">
                  <c:v>-3.908703635141157</c:v>
                </c:pt>
                <c:pt idx="136">
                  <c:v>-3.5845523510003101</c:v>
                </c:pt>
                <c:pt idx="137">
                  <c:v>-3.2792763646081142</c:v>
                </c:pt>
                <c:pt idx="138">
                  <c:v>-2.9926919597516632</c:v>
                </c:pt>
                <c:pt idx="139">
                  <c:v>-2.7245006851926989</c:v>
                </c:pt>
                <c:pt idx="140">
                  <c:v>-2.4743021510219529</c:v>
                </c:pt>
                <c:pt idx="141">
                  <c:v>-2.2416068780917642</c:v>
                </c:pt>
                <c:pt idx="142">
                  <c:v>-2.025849016783225</c:v>
                </c:pt>
                <c:pt idx="143">
                  <c:v>-1.8263987701330695</c:v>
                </c:pt>
                <c:pt idx="144">
                  <c:v>-1.6425743764515319</c:v>
                </c:pt>
                <c:pt idx="145">
                  <c:v>-1.4736535274626614</c:v>
                </c:pt>
                <c:pt idx="146">
                  <c:v>-1.3188841191826426</c:v>
                </c:pt>
                <c:pt idx="147">
                  <c:v>-1.1774942537517938</c:v>
                </c:pt>
                <c:pt idx="148">
                  <c:v>-1.048701430834361</c:v>
                </c:pt>
                <c:pt idx="149">
                  <c:v>-0.93172088663526631</c:v>
                </c:pt>
                <c:pt idx="150">
                  <c:v>-0.8257730567520366</c:v>
                </c:pt>
                <c:pt idx="151">
                  <c:v>-0.73009015574151626</c:v>
                </c:pt>
                <c:pt idx="152">
                  <c:v>-0.64392188125352945</c:v>
                </c:pt>
                <c:pt idx="153">
                  <c:v>-0.56654026374455901</c:v>
                </c:pt>
                <c:pt idx="154">
                  <c:v>-0.4972436940663057</c:v>
                </c:pt>
                <c:pt idx="155">
                  <c:v>-0.4353601706097347</c:v>
                </c:pt>
                <c:pt idx="156">
                  <c:v>-0.38024981520328011</c:v>
                </c:pt>
                <c:pt idx="157">
                  <c:v>-0.331306712681955</c:v>
                </c:pt>
                <c:pt idx="158">
                  <c:v>-0.2879601330627648</c:v>
                </c:pt>
                <c:pt idx="159">
                  <c:v>-0.24967519770803537</c:v>
                </c:pt>
                <c:pt idx="160">
                  <c:v>-0.21595305187903172</c:v>
                </c:pt>
                <c:pt idx="161">
                  <c:v>-0.18633060583834379</c:v>
                </c:pt>
                <c:pt idx="162">
                  <c:v>-0.16037990531976393</c:v>
                </c:pt>
                <c:pt idx="163">
                  <c:v>-0.13770718992039513</c:v>
                </c:pt>
                <c:pt idx="164">
                  <c:v>-0.11795169495125661</c:v>
                </c:pt>
                <c:pt idx="165">
                  <c:v>-0.10078424867362769</c:v>
                </c:pt>
                <c:pt idx="166">
                  <c:v>-8.5905712803595519E-2</c:v>
                </c:pt>
                <c:pt idx="167">
                  <c:v>-7.3045309829887356E-2</c:v>
                </c:pt>
                <c:pt idx="168">
                  <c:v>-6.1958876189575816E-2</c:v>
                </c:pt>
                <c:pt idx="169">
                  <c:v>-5.2427075797307002E-2</c:v>
                </c:pt>
                <c:pt idx="170">
                  <c:v>-4.4253603925374765E-2</c:v>
                </c:pt>
                <c:pt idx="171">
                  <c:v>-3.7263407067609736E-2</c:v>
                </c:pt>
                <c:pt idx="172">
                  <c:v>-3.1300940257541619E-2</c:v>
                </c:pt>
                <c:pt idx="173">
                  <c:v>-2.622847940371454E-2</c:v>
                </c:pt>
                <c:pt idx="174">
                  <c:v>-2.1924502591616723E-2</c:v>
                </c:pt>
                <c:pt idx="175">
                  <c:v>-1.8282151008975699E-2</c:v>
                </c:pt>
                <c:pt idx="176">
                  <c:v>-1.5207777194384174E-2</c:v>
                </c:pt>
                <c:pt idx="177">
                  <c:v>-1.2619585693648249E-2</c:v>
                </c:pt>
                <c:pt idx="178">
                  <c:v>-1.044636893073359E-2</c:v>
                </c:pt>
                <c:pt idx="179">
                  <c:v>-8.62633915056772E-3</c:v>
                </c:pt>
                <c:pt idx="180">
                  <c:v>-7.1060556534821365E-3</c:v>
                </c:pt>
                <c:pt idx="181">
                  <c:v>-5.8394451957114917E-3</c:v>
                </c:pt>
                <c:pt idx="182">
                  <c:v>-4.7869123540053736E-3</c:v>
                </c:pt>
                <c:pt idx="183">
                  <c:v>-3.9145358199653415E-3</c:v>
                </c:pt>
                <c:pt idx="184">
                  <c:v>-3.1933459750811098E-3</c:v>
                </c:pt>
                <c:pt idx="185">
                  <c:v>-2.5986786742763107E-3</c:v>
                </c:pt>
                <c:pt idx="186">
                  <c:v>-2.1095999082180079E-3</c:v>
                </c:pt>
                <c:pt idx="187">
                  <c:v>-1.7083958978343693E-3</c:v>
                </c:pt>
                <c:pt idx="188">
                  <c:v>-1.3801231749859071E-3</c:v>
                </c:pt>
                <c:pt idx="189">
                  <c:v>-1.1122132993446187E-3</c:v>
                </c:pt>
                <c:pt idx="190">
                  <c:v>-8.9412703348396971E-4</c:v>
                </c:pt>
                <c:pt idx="191">
                  <c:v>-7.1705302825471893E-4</c:v>
                </c:pt>
                <c:pt idx="192">
                  <c:v>-5.7364634309045408E-4</c:v>
                </c:pt>
                <c:pt idx="193">
                  <c:v>-4.5780242739408409E-4</c:v>
                </c:pt>
                <c:pt idx="194">
                  <c:v>-3.6446250803876841E-4</c:v>
                </c:pt>
                <c:pt idx="195">
                  <c:v>-2.8944665459446035E-4</c:v>
                </c:pt>
                <c:pt idx="196">
                  <c:v>-2.2931112023084999E-4</c:v>
                </c:pt>
                <c:pt idx="197">
                  <c:v>-1.8122687600427364E-4</c:v>
                </c:pt>
                <c:pt idx="198">
                  <c:v>-1.4287656448756753E-4</c:v>
                </c:pt>
                <c:pt idx="199">
                  <c:v>-1.1236739177701235E-4</c:v>
                </c:pt>
                <c:pt idx="200">
                  <c:v>-8.8157752222011137E-5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284-4680-A95E-69FF265357C3}"/>
            </c:ext>
          </c:extLst>
        </c:ser>
        <c:ser>
          <c:idx val="0"/>
          <c:order val="6"/>
          <c:tx>
            <c:strRef>
              <c:f>'subsidence profile with z_0'!$I$6</c:f>
              <c:strCache>
                <c:ptCount val="1"/>
                <c:pt idx="0">
                  <c:v>3</c:v>
                </c:pt>
              </c:strCache>
            </c:strRef>
          </c:tx>
          <c:spPr>
            <a:ln w="381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'subsidence profile with z_0'!$B$16:$B$216</c:f>
              <c:numCache>
                <c:formatCode>0.000</c:formatCode>
                <c:ptCount val="201"/>
                <c:pt idx="0">
                  <c:v>-50</c:v>
                </c:pt>
                <c:pt idx="1">
                  <c:v>-49.5</c:v>
                </c:pt>
                <c:pt idx="2">
                  <c:v>-49</c:v>
                </c:pt>
                <c:pt idx="3">
                  <c:v>-48.5</c:v>
                </c:pt>
                <c:pt idx="4">
                  <c:v>-48</c:v>
                </c:pt>
                <c:pt idx="5">
                  <c:v>-47.5</c:v>
                </c:pt>
                <c:pt idx="6">
                  <c:v>-47</c:v>
                </c:pt>
                <c:pt idx="7">
                  <c:v>-46.5</c:v>
                </c:pt>
                <c:pt idx="8">
                  <c:v>-46</c:v>
                </c:pt>
                <c:pt idx="9">
                  <c:v>-45.5</c:v>
                </c:pt>
                <c:pt idx="10">
                  <c:v>-45</c:v>
                </c:pt>
                <c:pt idx="11">
                  <c:v>-44.5</c:v>
                </c:pt>
                <c:pt idx="12">
                  <c:v>-44</c:v>
                </c:pt>
                <c:pt idx="13">
                  <c:v>-43.5</c:v>
                </c:pt>
                <c:pt idx="14">
                  <c:v>-43</c:v>
                </c:pt>
                <c:pt idx="15">
                  <c:v>-42.5</c:v>
                </c:pt>
                <c:pt idx="16">
                  <c:v>-42</c:v>
                </c:pt>
                <c:pt idx="17">
                  <c:v>-41.5</c:v>
                </c:pt>
                <c:pt idx="18">
                  <c:v>-41</c:v>
                </c:pt>
                <c:pt idx="19">
                  <c:v>-40.5</c:v>
                </c:pt>
                <c:pt idx="20">
                  <c:v>-40</c:v>
                </c:pt>
                <c:pt idx="21">
                  <c:v>-39.5</c:v>
                </c:pt>
                <c:pt idx="22">
                  <c:v>-39</c:v>
                </c:pt>
                <c:pt idx="23">
                  <c:v>-38.5</c:v>
                </c:pt>
                <c:pt idx="24">
                  <c:v>-38</c:v>
                </c:pt>
                <c:pt idx="25">
                  <c:v>-37.5</c:v>
                </c:pt>
                <c:pt idx="26">
                  <c:v>-37</c:v>
                </c:pt>
                <c:pt idx="27">
                  <c:v>-36.5</c:v>
                </c:pt>
                <c:pt idx="28">
                  <c:v>-36</c:v>
                </c:pt>
                <c:pt idx="29">
                  <c:v>-35.5</c:v>
                </c:pt>
                <c:pt idx="30">
                  <c:v>-35</c:v>
                </c:pt>
                <c:pt idx="31">
                  <c:v>-34.5</c:v>
                </c:pt>
                <c:pt idx="32">
                  <c:v>-34</c:v>
                </c:pt>
                <c:pt idx="33">
                  <c:v>-33.5</c:v>
                </c:pt>
                <c:pt idx="34">
                  <c:v>-33</c:v>
                </c:pt>
                <c:pt idx="35">
                  <c:v>-32.5</c:v>
                </c:pt>
                <c:pt idx="36">
                  <c:v>-32</c:v>
                </c:pt>
                <c:pt idx="37">
                  <c:v>-31.5</c:v>
                </c:pt>
                <c:pt idx="38">
                  <c:v>-31</c:v>
                </c:pt>
                <c:pt idx="39">
                  <c:v>-30.5</c:v>
                </c:pt>
                <c:pt idx="40">
                  <c:v>-30</c:v>
                </c:pt>
                <c:pt idx="41">
                  <c:v>-29.5</c:v>
                </c:pt>
                <c:pt idx="42">
                  <c:v>-29</c:v>
                </c:pt>
                <c:pt idx="43">
                  <c:v>-28.5</c:v>
                </c:pt>
                <c:pt idx="44">
                  <c:v>-28</c:v>
                </c:pt>
                <c:pt idx="45">
                  <c:v>-27.5</c:v>
                </c:pt>
                <c:pt idx="46">
                  <c:v>-27</c:v>
                </c:pt>
                <c:pt idx="47">
                  <c:v>-26.5</c:v>
                </c:pt>
                <c:pt idx="48">
                  <c:v>-26</c:v>
                </c:pt>
                <c:pt idx="49">
                  <c:v>-25.5</c:v>
                </c:pt>
                <c:pt idx="50">
                  <c:v>-25</c:v>
                </c:pt>
                <c:pt idx="51">
                  <c:v>-24.5</c:v>
                </c:pt>
                <c:pt idx="52">
                  <c:v>-24</c:v>
                </c:pt>
                <c:pt idx="53">
                  <c:v>-23.5</c:v>
                </c:pt>
                <c:pt idx="54">
                  <c:v>-23</c:v>
                </c:pt>
                <c:pt idx="55">
                  <c:v>-22.5</c:v>
                </c:pt>
                <c:pt idx="56">
                  <c:v>-22</c:v>
                </c:pt>
                <c:pt idx="57">
                  <c:v>-21.5</c:v>
                </c:pt>
                <c:pt idx="58">
                  <c:v>-21</c:v>
                </c:pt>
                <c:pt idx="59">
                  <c:v>-20.5</c:v>
                </c:pt>
                <c:pt idx="60">
                  <c:v>-20</c:v>
                </c:pt>
                <c:pt idx="61">
                  <c:v>-19.5</c:v>
                </c:pt>
                <c:pt idx="62">
                  <c:v>-19</c:v>
                </c:pt>
                <c:pt idx="63">
                  <c:v>-18.5</c:v>
                </c:pt>
                <c:pt idx="64">
                  <c:v>-18</c:v>
                </c:pt>
                <c:pt idx="65">
                  <c:v>-17.5</c:v>
                </c:pt>
                <c:pt idx="66">
                  <c:v>-17</c:v>
                </c:pt>
                <c:pt idx="67">
                  <c:v>-16.5</c:v>
                </c:pt>
                <c:pt idx="68">
                  <c:v>-16</c:v>
                </c:pt>
                <c:pt idx="69">
                  <c:v>-15.5</c:v>
                </c:pt>
                <c:pt idx="70">
                  <c:v>-15</c:v>
                </c:pt>
                <c:pt idx="71">
                  <c:v>-14.5</c:v>
                </c:pt>
                <c:pt idx="72">
                  <c:v>-14</c:v>
                </c:pt>
                <c:pt idx="73">
                  <c:v>-13.5</c:v>
                </c:pt>
                <c:pt idx="74">
                  <c:v>-13</c:v>
                </c:pt>
                <c:pt idx="75">
                  <c:v>-12.5</c:v>
                </c:pt>
                <c:pt idx="76">
                  <c:v>-12</c:v>
                </c:pt>
                <c:pt idx="77">
                  <c:v>-11.5</c:v>
                </c:pt>
                <c:pt idx="78">
                  <c:v>-11</c:v>
                </c:pt>
                <c:pt idx="79">
                  <c:v>-10.5</c:v>
                </c:pt>
                <c:pt idx="80">
                  <c:v>-10</c:v>
                </c:pt>
                <c:pt idx="81">
                  <c:v>-9.5</c:v>
                </c:pt>
                <c:pt idx="82">
                  <c:v>-9</c:v>
                </c:pt>
                <c:pt idx="83">
                  <c:v>-8.5</c:v>
                </c:pt>
                <c:pt idx="84">
                  <c:v>-8</c:v>
                </c:pt>
                <c:pt idx="85">
                  <c:v>-7.5</c:v>
                </c:pt>
                <c:pt idx="86">
                  <c:v>-7</c:v>
                </c:pt>
                <c:pt idx="87">
                  <c:v>-6.5</c:v>
                </c:pt>
                <c:pt idx="88">
                  <c:v>-6</c:v>
                </c:pt>
                <c:pt idx="89">
                  <c:v>-5.5</c:v>
                </c:pt>
                <c:pt idx="90">
                  <c:v>-5</c:v>
                </c:pt>
                <c:pt idx="91">
                  <c:v>-4.5</c:v>
                </c:pt>
                <c:pt idx="92">
                  <c:v>-4</c:v>
                </c:pt>
                <c:pt idx="93">
                  <c:v>-3.5</c:v>
                </c:pt>
                <c:pt idx="94">
                  <c:v>-3</c:v>
                </c:pt>
                <c:pt idx="95">
                  <c:v>-2.5</c:v>
                </c:pt>
                <c:pt idx="96">
                  <c:v>-2</c:v>
                </c:pt>
                <c:pt idx="97">
                  <c:v>-1.5</c:v>
                </c:pt>
                <c:pt idx="98">
                  <c:v>-1</c:v>
                </c:pt>
                <c:pt idx="99">
                  <c:v>-0.5</c:v>
                </c:pt>
                <c:pt idx="100">
                  <c:v>0</c:v>
                </c:pt>
                <c:pt idx="101">
                  <c:v>0.5</c:v>
                </c:pt>
                <c:pt idx="102">
                  <c:v>1</c:v>
                </c:pt>
                <c:pt idx="103">
                  <c:v>1.5</c:v>
                </c:pt>
                <c:pt idx="104">
                  <c:v>2</c:v>
                </c:pt>
                <c:pt idx="105">
                  <c:v>2.5</c:v>
                </c:pt>
                <c:pt idx="106">
                  <c:v>3</c:v>
                </c:pt>
                <c:pt idx="107">
                  <c:v>3.5</c:v>
                </c:pt>
                <c:pt idx="108">
                  <c:v>4</c:v>
                </c:pt>
                <c:pt idx="109">
                  <c:v>4.5</c:v>
                </c:pt>
                <c:pt idx="110">
                  <c:v>5</c:v>
                </c:pt>
                <c:pt idx="111">
                  <c:v>5.5</c:v>
                </c:pt>
                <c:pt idx="112">
                  <c:v>6</c:v>
                </c:pt>
                <c:pt idx="113">
                  <c:v>6.5</c:v>
                </c:pt>
                <c:pt idx="114">
                  <c:v>7</c:v>
                </c:pt>
                <c:pt idx="115">
                  <c:v>7.5</c:v>
                </c:pt>
                <c:pt idx="116">
                  <c:v>8</c:v>
                </c:pt>
                <c:pt idx="117">
                  <c:v>8.5</c:v>
                </c:pt>
                <c:pt idx="118">
                  <c:v>9</c:v>
                </c:pt>
                <c:pt idx="119">
                  <c:v>9.5</c:v>
                </c:pt>
                <c:pt idx="120">
                  <c:v>10</c:v>
                </c:pt>
                <c:pt idx="121">
                  <c:v>10.5</c:v>
                </c:pt>
                <c:pt idx="122">
                  <c:v>11</c:v>
                </c:pt>
                <c:pt idx="123">
                  <c:v>11.5</c:v>
                </c:pt>
                <c:pt idx="124">
                  <c:v>12</c:v>
                </c:pt>
                <c:pt idx="125">
                  <c:v>12.5</c:v>
                </c:pt>
                <c:pt idx="126">
                  <c:v>13</c:v>
                </c:pt>
                <c:pt idx="127">
                  <c:v>13.5</c:v>
                </c:pt>
                <c:pt idx="128">
                  <c:v>14</c:v>
                </c:pt>
                <c:pt idx="129">
                  <c:v>14.5</c:v>
                </c:pt>
                <c:pt idx="130">
                  <c:v>15</c:v>
                </c:pt>
                <c:pt idx="131">
                  <c:v>15.5</c:v>
                </c:pt>
                <c:pt idx="132">
                  <c:v>16</c:v>
                </c:pt>
                <c:pt idx="133">
                  <c:v>16.5</c:v>
                </c:pt>
                <c:pt idx="134">
                  <c:v>17</c:v>
                </c:pt>
                <c:pt idx="135">
                  <c:v>17.5</c:v>
                </c:pt>
                <c:pt idx="136">
                  <c:v>18</c:v>
                </c:pt>
                <c:pt idx="137">
                  <c:v>18.5</c:v>
                </c:pt>
                <c:pt idx="138">
                  <c:v>19</c:v>
                </c:pt>
                <c:pt idx="139">
                  <c:v>19.5</c:v>
                </c:pt>
                <c:pt idx="140">
                  <c:v>20</c:v>
                </c:pt>
                <c:pt idx="141">
                  <c:v>20.5</c:v>
                </c:pt>
                <c:pt idx="142">
                  <c:v>21</c:v>
                </c:pt>
                <c:pt idx="143">
                  <c:v>21.5</c:v>
                </c:pt>
                <c:pt idx="144">
                  <c:v>22</c:v>
                </c:pt>
                <c:pt idx="145">
                  <c:v>22.5</c:v>
                </c:pt>
                <c:pt idx="146">
                  <c:v>23</c:v>
                </c:pt>
                <c:pt idx="147">
                  <c:v>23.5</c:v>
                </c:pt>
                <c:pt idx="148">
                  <c:v>24</c:v>
                </c:pt>
                <c:pt idx="149">
                  <c:v>24.5</c:v>
                </c:pt>
                <c:pt idx="150">
                  <c:v>25</c:v>
                </c:pt>
                <c:pt idx="151">
                  <c:v>25.5</c:v>
                </c:pt>
                <c:pt idx="152">
                  <c:v>26</c:v>
                </c:pt>
                <c:pt idx="153">
                  <c:v>26.5</c:v>
                </c:pt>
                <c:pt idx="154">
                  <c:v>27</c:v>
                </c:pt>
                <c:pt idx="155">
                  <c:v>27.5</c:v>
                </c:pt>
                <c:pt idx="156">
                  <c:v>28</c:v>
                </c:pt>
                <c:pt idx="157">
                  <c:v>28.5</c:v>
                </c:pt>
                <c:pt idx="158">
                  <c:v>29</c:v>
                </c:pt>
                <c:pt idx="159">
                  <c:v>29.5</c:v>
                </c:pt>
                <c:pt idx="160">
                  <c:v>30</c:v>
                </c:pt>
                <c:pt idx="161">
                  <c:v>30.5</c:v>
                </c:pt>
                <c:pt idx="162">
                  <c:v>31</c:v>
                </c:pt>
                <c:pt idx="163">
                  <c:v>31.5</c:v>
                </c:pt>
                <c:pt idx="164">
                  <c:v>32</c:v>
                </c:pt>
                <c:pt idx="165">
                  <c:v>32.5</c:v>
                </c:pt>
                <c:pt idx="166">
                  <c:v>33</c:v>
                </c:pt>
                <c:pt idx="167">
                  <c:v>33.5</c:v>
                </c:pt>
                <c:pt idx="168">
                  <c:v>34</c:v>
                </c:pt>
                <c:pt idx="169">
                  <c:v>34.5</c:v>
                </c:pt>
                <c:pt idx="170">
                  <c:v>35</c:v>
                </c:pt>
                <c:pt idx="171">
                  <c:v>35.5</c:v>
                </c:pt>
                <c:pt idx="172">
                  <c:v>36</c:v>
                </c:pt>
                <c:pt idx="173">
                  <c:v>36.5</c:v>
                </c:pt>
                <c:pt idx="174">
                  <c:v>37</c:v>
                </c:pt>
                <c:pt idx="175">
                  <c:v>37.5</c:v>
                </c:pt>
                <c:pt idx="176">
                  <c:v>38</c:v>
                </c:pt>
                <c:pt idx="177">
                  <c:v>38.5</c:v>
                </c:pt>
                <c:pt idx="178">
                  <c:v>39</c:v>
                </c:pt>
                <c:pt idx="179">
                  <c:v>39.5</c:v>
                </c:pt>
                <c:pt idx="180">
                  <c:v>40</c:v>
                </c:pt>
                <c:pt idx="181">
                  <c:v>40.5</c:v>
                </c:pt>
                <c:pt idx="182">
                  <c:v>41</c:v>
                </c:pt>
                <c:pt idx="183">
                  <c:v>41.5</c:v>
                </c:pt>
                <c:pt idx="184">
                  <c:v>42</c:v>
                </c:pt>
                <c:pt idx="185">
                  <c:v>42.5</c:v>
                </c:pt>
                <c:pt idx="186">
                  <c:v>43</c:v>
                </c:pt>
                <c:pt idx="187">
                  <c:v>43.5</c:v>
                </c:pt>
                <c:pt idx="188">
                  <c:v>44</c:v>
                </c:pt>
                <c:pt idx="189">
                  <c:v>44.5</c:v>
                </c:pt>
                <c:pt idx="190">
                  <c:v>45</c:v>
                </c:pt>
                <c:pt idx="191">
                  <c:v>45.5</c:v>
                </c:pt>
                <c:pt idx="192">
                  <c:v>46</c:v>
                </c:pt>
                <c:pt idx="193">
                  <c:v>46.5</c:v>
                </c:pt>
                <c:pt idx="194">
                  <c:v>47</c:v>
                </c:pt>
                <c:pt idx="195">
                  <c:v>47.5</c:v>
                </c:pt>
                <c:pt idx="196">
                  <c:v>48</c:v>
                </c:pt>
                <c:pt idx="197">
                  <c:v>48.5</c:v>
                </c:pt>
                <c:pt idx="198">
                  <c:v>49</c:v>
                </c:pt>
                <c:pt idx="199">
                  <c:v>49.5</c:v>
                </c:pt>
                <c:pt idx="200">
                  <c:v>50</c:v>
                </c:pt>
              </c:numCache>
            </c:numRef>
          </c:xVal>
          <c:yVal>
            <c:numRef>
              <c:f>'subsidence profile with z_0'!$I$16:$I$216</c:f>
              <c:numCache>
                <c:formatCode>0.000</c:formatCode>
                <c:ptCount val="201"/>
                <c:pt idx="0">
                  <c:v>-1.9197006744129702E-3</c:v>
                </c:pt>
                <c:pt idx="1">
                  <c:v>-2.2943274725664609E-3</c:v>
                </c:pt>
                <c:pt idx="2">
                  <c:v>-2.7371536929266657E-3</c:v>
                </c:pt>
                <c:pt idx="3">
                  <c:v>-3.2596040830539462E-3</c:v>
                </c:pt>
                <c:pt idx="4">
                  <c:v>-3.8748278527983618E-3</c:v>
                </c:pt>
                <c:pt idx="5">
                  <c:v>-4.59792479054377E-3</c:v>
                </c:pt>
                <c:pt idx="6">
                  <c:v>-5.4461952114163653E-3</c:v>
                </c:pt>
                <c:pt idx="7">
                  <c:v>-6.4394153038748667E-3</c:v>
                </c:pt>
                <c:pt idx="8">
                  <c:v>-7.60013938798333E-3</c:v>
                </c:pt>
                <c:pt idx="9">
                  <c:v>-8.9540305120573635E-3</c:v>
                </c:pt>
                <c:pt idx="10">
                  <c:v>-1.0530220689583005E-2</c:v>
                </c:pt>
                <c:pt idx="11">
                  <c:v>-1.2361701910526067E-2</c:v>
                </c:pt>
                <c:pt idx="12">
                  <c:v>-1.4485748845530578E-2</c:v>
                </c:pt>
                <c:pt idx="13">
                  <c:v>-1.694437389325721E-2</c:v>
                </c:pt>
                <c:pt idx="14">
                  <c:v>-1.9784814895613859E-2</c:v>
                </c:pt>
                <c:pt idx="15">
                  <c:v>-2.3060055458556442E-2</c:v>
                </c:pt>
                <c:pt idx="16">
                  <c:v>-2.6829377363607108E-2</c:v>
                </c:pt>
                <c:pt idx="17">
                  <c:v>-3.1158944033965491E-2</c:v>
                </c:pt>
                <c:pt idx="18">
                  <c:v>-3.6122413426570306E-2</c:v>
                </c:pt>
                <c:pt idx="19">
                  <c:v>-4.1801578056147884E-2</c:v>
                </c:pt>
                <c:pt idx="20">
                  <c:v>-4.8287029118760205E-2</c:v>
                </c:pt>
                <c:pt idx="21">
                  <c:v>-5.5678840871576429E-2</c:v>
                </c:pt>
                <c:pt idx="22">
                  <c:v>-6.4087270545025582E-2</c:v>
                </c:pt>
                <c:pt idx="23">
                  <c:v>-7.3633468117367595E-2</c:v>
                </c:pt>
                <c:pt idx="24">
                  <c:v>-8.445018927618976E-2</c:v>
                </c:pt>
                <c:pt idx="25">
                  <c:v>-9.6682503834638639E-2</c:v>
                </c:pt>
                <c:pt idx="26">
                  <c:v>-0.11048849077281626</c:v>
                </c:pt>
                <c:pt idx="27">
                  <c:v>-0.12603990994954037</c:v>
                </c:pt>
                <c:pt idx="28">
                  <c:v>-0.1435228393918849</c:v>
                </c:pt>
                <c:pt idx="29">
                  <c:v>-0.1631382659373414</c:v>
                </c:pt>
                <c:pt idx="30">
                  <c:v>-0.18510261589631291</c:v>
                </c:pt>
                <c:pt idx="31">
                  <c:v>-0.20964821134361053</c:v>
                </c:pt>
                <c:pt idx="32">
                  <c:v>-0.23702363666155893</c:v>
                </c:pt>
                <c:pt idx="33">
                  <c:v>-0.26749399907120364</c:v>
                </c:pt>
                <c:pt idx="34">
                  <c:v>-0.30134106613065931</c:v>
                </c:pt>
                <c:pt idx="35">
                  <c:v>-0.33886326258100918</c:v>
                </c:pt>
                <c:pt idx="36">
                  <c:v>-0.38037550851146312</c:v>
                </c:pt>
                <c:pt idx="37">
                  <c:v>-0.42620888062826201</c:v>
                </c:pt>
                <c:pt idx="38">
                  <c:v>-0.47671007847750613</c:v>
                </c:pt>
                <c:pt idx="39">
                  <c:v>-0.53224067782124118</c:v>
                </c:pt>
                <c:pt idx="40">
                  <c:v>-0.59317615402778312</c:v>
                </c:pt>
                <c:pt idx="41">
                  <c:v>-0.65990465933802811</c:v>
                </c:pt>
                <c:pt idx="42">
                  <c:v>-0.73282553923283245</c:v>
                </c:pt>
                <c:pt idx="43">
                  <c:v>-0.81234757487177622</c:v>
                </c:pt>
                <c:pt idx="44">
                  <c:v>-0.89888694071516684</c:v>
                </c:pt>
                <c:pt idx="45">
                  <c:v>-0.99286486898754078</c:v>
                </c:pt>
                <c:pt idx="46">
                  <c:v>-1.0947050155940936</c:v>
                </c:pt>
                <c:pt idx="47">
                  <c:v>-1.2048305254558052</c:v>
                </c:pt>
                <c:pt idx="48">
                  <c:v>-1.3236607989709201</c:v>
                </c:pt>
                <c:pt idx="49">
                  <c:v>-1.4516079654173155</c:v>
                </c:pt>
                <c:pt idx="50">
                  <c:v>-1.5890730735506333</c:v>
                </c:pt>
                <c:pt idx="51">
                  <c:v>-1.7364420143856218</c:v>
                </c:pt>
                <c:pt idx="52">
                  <c:v>-1.8940811961222284</c:v>
                </c:pt>
                <c:pt idx="53">
                  <c:v>-2.0623329963333514</c:v>
                </c:pt>
                <c:pt idx="54">
                  <c:v>-2.2415110217982628</c:v>
                </c:pt>
                <c:pt idx="55">
                  <c:v>-2.4318952116664954</c:v>
                </c:pt>
                <c:pt idx="56">
                  <c:v>-2.6337268248853589</c:v>
                </c:pt>
                <c:pt idx="57">
                  <c:v>-2.8472033579274929</c:v>
                </c:pt>
                <c:pt idx="58">
                  <c:v>-3.0724734437145518</c:v>
                </c:pt>
                <c:pt idx="59">
                  <c:v>-3.3096317871469654</c:v>
                </c:pt>
                <c:pt idx="60">
                  <c:v>-3.5587141967131117</c:v>
                </c:pt>
                <c:pt idx="61">
                  <c:v>-3.8196927751593495</c:v>
                </c:pt>
                <c:pt idx="62">
                  <c:v>-4.0924713350520676</c:v>
                </c:pt>
                <c:pt idx="63">
                  <c:v>-4.3768811071553611</c:v>
                </c:pt>
                <c:pt idx="64">
                  <c:v>-4.6726768107904055</c:v>
                </c:pt>
                <c:pt idx="65">
                  <c:v>-4.9795331556515805</c:v>
                </c:pt>
                <c:pt idx="66">
                  <c:v>-5.2970418438569018</c:v>
                </c:pt>
                <c:pt idx="67">
                  <c:v>-5.6247091392475594</c:v>
                </c:pt>
                <c:pt idx="68">
                  <c:v>-5.9619540680793808</c:v>
                </c:pt>
                <c:pt idx="69">
                  <c:v>-6.3081073112419341</c:v>
                </c:pt>
                <c:pt idx="70">
                  <c:v>-6.6624108429918625</c:v>
                </c:pt>
                <c:pt idx="71">
                  <c:v>-7.0240183649095433</c:v>
                </c:pt>
                <c:pt idx="72">
                  <c:v>-7.3919965764177782</c:v>
                </c:pt>
                <c:pt idx="73">
                  <c:v>-7.7653273147953463</c:v>
                </c:pt>
                <c:pt idx="74">
                  <c:v>-8.1429105882570028</c:v>
                </c:pt>
                <c:pt idx="75">
                  <c:v>-8.523568515456649</c:v>
                </c:pt>
                <c:pt idx="76">
                  <c:v>-8.9060501738251912</c:v>
                </c:pt>
                <c:pt idx="77">
                  <c:v>-9.2890373476219317</c:v>
                </c:pt>
                <c:pt idx="78">
                  <c:v>-9.6711511546191069</c:v>
                </c:pt>
                <c:pt idx="79">
                  <c:v>-10.050959518130032</c:v>
                </c:pt>
                <c:pt idx="80">
                  <c:v>-10.426985438821308</c:v>
                </c:pt>
                <c:pt idx="81">
                  <c:v>-10.797716008618092</c:v>
                </c:pt>
                <c:pt idx="82">
                  <c:v>-11.161612097222775</c:v>
                </c:pt>
                <c:pt idx="83">
                  <c:v>-11.517118630529504</c:v>
                </c:pt>
                <c:pt idx="84">
                  <c:v>-11.86267536973422</c:v>
                </c:pt>
                <c:pt idx="85">
                  <c:v>-12.196728090412064</c:v>
                </c:pt>
                <c:pt idx="86">
                  <c:v>-12.51774005244941</c:v>
                </c:pt>
                <c:pt idx="87">
                  <c:v>-12.824203644651421</c:v>
                </c:pt>
                <c:pt idx="88">
                  <c:v>-13.114652082253411</c:v>
                </c:pt>
                <c:pt idx="89">
                  <c:v>-13.387671031579924</c:v>
                </c:pt>
                <c:pt idx="90">
                  <c:v>-13.641910033827648</c:v>
                </c:pt>
                <c:pt idx="91">
                  <c:v>-13.876093599477812</c:v>
                </c:pt>
                <c:pt idx="92">
                  <c:v>-14.089031846220223</c:v>
                </c:pt>
                <c:pt idx="93">
                  <c:v>-14.279630556512696</c:v>
                </c:pt>
                <c:pt idx="94">
                  <c:v>-14.44690053599024</c:v>
                </c:pt>
                <c:pt idx="95">
                  <c:v>-14.589966160829251</c:v>
                </c:pt>
                <c:pt idx="96">
                  <c:v>-14.708073010780421</c:v>
                </c:pt>
                <c:pt idx="97">
                  <c:v>-14.800594494795398</c:v>
                </c:pt>
                <c:pt idx="98">
                  <c:v>-14.867037387841584</c:v>
                </c:pt>
                <c:pt idx="99">
                  <c:v>-14.907046210453782</c:v>
                </c:pt>
                <c:pt idx="100">
                  <c:v>-14.920406396613103</c:v>
                </c:pt>
                <c:pt idx="101">
                  <c:v>-14.907046210453782</c:v>
                </c:pt>
                <c:pt idx="102">
                  <c:v>-14.867037387841584</c:v>
                </c:pt>
                <c:pt idx="103">
                  <c:v>-14.800594494795398</c:v>
                </c:pt>
                <c:pt idx="104">
                  <c:v>-14.708073010780421</c:v>
                </c:pt>
                <c:pt idx="105">
                  <c:v>-14.589966160829251</c:v>
                </c:pt>
                <c:pt idx="106">
                  <c:v>-14.44690053599024</c:v>
                </c:pt>
                <c:pt idx="107">
                  <c:v>-14.279630556512696</c:v>
                </c:pt>
                <c:pt idx="108">
                  <c:v>-14.089031846220223</c:v>
                </c:pt>
                <c:pt idx="109">
                  <c:v>-13.876093599477812</c:v>
                </c:pt>
                <c:pt idx="110">
                  <c:v>-13.641910033827648</c:v>
                </c:pt>
                <c:pt idx="111">
                  <c:v>-13.387671031579924</c:v>
                </c:pt>
                <c:pt idx="112">
                  <c:v>-13.114652082253411</c:v>
                </c:pt>
                <c:pt idx="113">
                  <c:v>-12.824203644651421</c:v>
                </c:pt>
                <c:pt idx="114">
                  <c:v>-12.51774005244941</c:v>
                </c:pt>
                <c:pt idx="115">
                  <c:v>-12.196728090412064</c:v>
                </c:pt>
                <c:pt idx="116">
                  <c:v>-11.86267536973422</c:v>
                </c:pt>
                <c:pt idx="117">
                  <c:v>-11.517118630529504</c:v>
                </c:pt>
                <c:pt idx="118">
                  <c:v>-11.161612097222775</c:v>
                </c:pt>
                <c:pt idx="119">
                  <c:v>-10.797716008618092</c:v>
                </c:pt>
                <c:pt idx="120">
                  <c:v>-10.426985438821308</c:v>
                </c:pt>
                <c:pt idx="121">
                  <c:v>-10.050959518130032</c:v>
                </c:pt>
                <c:pt idx="122">
                  <c:v>-9.6711511546191069</c:v>
                </c:pt>
                <c:pt idx="123">
                  <c:v>-9.2890373476219317</c:v>
                </c:pt>
                <c:pt idx="124">
                  <c:v>-8.9060501738251912</c:v>
                </c:pt>
                <c:pt idx="125">
                  <c:v>-8.523568515456649</c:v>
                </c:pt>
                <c:pt idx="126">
                  <c:v>-8.1429105882570028</c:v>
                </c:pt>
                <c:pt idx="127">
                  <c:v>-7.7653273147953463</c:v>
                </c:pt>
                <c:pt idx="128">
                  <c:v>-7.3919965764177782</c:v>
                </c:pt>
                <c:pt idx="129">
                  <c:v>-7.0240183649095433</c:v>
                </c:pt>
                <c:pt idx="130">
                  <c:v>-6.6624108429918625</c:v>
                </c:pt>
                <c:pt idx="131">
                  <c:v>-6.3081073112419341</c:v>
                </c:pt>
                <c:pt idx="132">
                  <c:v>-5.9619540680793808</c:v>
                </c:pt>
                <c:pt idx="133">
                  <c:v>-5.6247091392475594</c:v>
                </c:pt>
                <c:pt idx="134">
                  <c:v>-5.2970418438569018</c:v>
                </c:pt>
                <c:pt idx="135">
                  <c:v>-4.9795331556515805</c:v>
                </c:pt>
                <c:pt idx="136">
                  <c:v>-4.6726768107904055</c:v>
                </c:pt>
                <c:pt idx="137">
                  <c:v>-4.3768811071553611</c:v>
                </c:pt>
                <c:pt idx="138">
                  <c:v>-4.0924713350520676</c:v>
                </c:pt>
                <c:pt idx="139">
                  <c:v>-3.8196927751593495</c:v>
                </c:pt>
                <c:pt idx="140">
                  <c:v>-3.5587141967131117</c:v>
                </c:pt>
                <c:pt idx="141">
                  <c:v>-3.3096317871469654</c:v>
                </c:pt>
                <c:pt idx="142">
                  <c:v>-3.0724734437145518</c:v>
                </c:pt>
                <c:pt idx="143">
                  <c:v>-2.8472033579274929</c:v>
                </c:pt>
                <c:pt idx="144">
                  <c:v>-2.6337268248853589</c:v>
                </c:pt>
                <c:pt idx="145">
                  <c:v>-2.4318952116664954</c:v>
                </c:pt>
                <c:pt idx="146">
                  <c:v>-2.2415110217982628</c:v>
                </c:pt>
                <c:pt idx="147">
                  <c:v>-2.0623329963333514</c:v>
                </c:pt>
                <c:pt idx="148">
                  <c:v>-1.8940811961222284</c:v>
                </c:pt>
                <c:pt idx="149">
                  <c:v>-1.7364420143856218</c:v>
                </c:pt>
                <c:pt idx="150">
                  <c:v>-1.5890730735506333</c:v>
                </c:pt>
                <c:pt idx="151">
                  <c:v>-1.4516079654173155</c:v>
                </c:pt>
                <c:pt idx="152">
                  <c:v>-1.3236607989709201</c:v>
                </c:pt>
                <c:pt idx="153">
                  <c:v>-1.2048305254558052</c:v>
                </c:pt>
                <c:pt idx="154">
                  <c:v>-1.0947050155940936</c:v>
                </c:pt>
                <c:pt idx="155">
                  <c:v>-0.99286486898754078</c:v>
                </c:pt>
                <c:pt idx="156">
                  <c:v>-0.89888694071516684</c:v>
                </c:pt>
                <c:pt idx="157">
                  <c:v>-0.81234757487177622</c:v>
                </c:pt>
                <c:pt idx="158">
                  <c:v>-0.73282553923283245</c:v>
                </c:pt>
                <c:pt idx="159">
                  <c:v>-0.65990465933802811</c:v>
                </c:pt>
                <c:pt idx="160">
                  <c:v>-0.59317615402778312</c:v>
                </c:pt>
                <c:pt idx="161">
                  <c:v>-0.53224067782124118</c:v>
                </c:pt>
                <c:pt idx="162">
                  <c:v>-0.47671007847750613</c:v>
                </c:pt>
                <c:pt idx="163">
                  <c:v>-0.42620888062826201</c:v>
                </c:pt>
                <c:pt idx="164">
                  <c:v>-0.38037550851146312</c:v>
                </c:pt>
                <c:pt idx="165">
                  <c:v>-0.33886326258100918</c:v>
                </c:pt>
                <c:pt idx="166">
                  <c:v>-0.30134106613065931</c:v>
                </c:pt>
                <c:pt idx="167">
                  <c:v>-0.26749399907120364</c:v>
                </c:pt>
                <c:pt idx="168">
                  <c:v>-0.23702363666155893</c:v>
                </c:pt>
                <c:pt idx="169">
                  <c:v>-0.20964821134361053</c:v>
                </c:pt>
                <c:pt idx="170">
                  <c:v>-0.18510261589631291</c:v>
                </c:pt>
                <c:pt idx="171">
                  <c:v>-0.1631382659373414</c:v>
                </c:pt>
                <c:pt idx="172">
                  <c:v>-0.1435228393918849</c:v>
                </c:pt>
                <c:pt idx="173">
                  <c:v>-0.12603990994954037</c:v>
                </c:pt>
                <c:pt idx="174">
                  <c:v>-0.11048849077281626</c:v>
                </c:pt>
                <c:pt idx="175">
                  <c:v>-9.6682503834638639E-2</c:v>
                </c:pt>
                <c:pt idx="176">
                  <c:v>-8.445018927618976E-2</c:v>
                </c:pt>
                <c:pt idx="177">
                  <c:v>-7.3633468117367595E-2</c:v>
                </c:pt>
                <c:pt idx="178">
                  <c:v>-6.4087270545025582E-2</c:v>
                </c:pt>
                <c:pt idx="179">
                  <c:v>-5.5678840871576429E-2</c:v>
                </c:pt>
                <c:pt idx="180">
                  <c:v>-4.8287029118760205E-2</c:v>
                </c:pt>
                <c:pt idx="181">
                  <c:v>-4.1801578056147884E-2</c:v>
                </c:pt>
                <c:pt idx="182">
                  <c:v>-3.6122413426570306E-2</c:v>
                </c:pt>
                <c:pt idx="183">
                  <c:v>-3.1158944033965491E-2</c:v>
                </c:pt>
                <c:pt idx="184">
                  <c:v>-2.6829377363607108E-2</c:v>
                </c:pt>
                <c:pt idx="185">
                  <c:v>-2.3060055458556442E-2</c:v>
                </c:pt>
                <c:pt idx="186">
                  <c:v>-1.9784814895613859E-2</c:v>
                </c:pt>
                <c:pt idx="187">
                  <c:v>-1.694437389325721E-2</c:v>
                </c:pt>
                <c:pt idx="188">
                  <c:v>-1.4485748845530578E-2</c:v>
                </c:pt>
                <c:pt idx="189">
                  <c:v>-1.2361701910526067E-2</c:v>
                </c:pt>
                <c:pt idx="190">
                  <c:v>-1.0530220689583005E-2</c:v>
                </c:pt>
                <c:pt idx="191">
                  <c:v>-8.9540305120573635E-3</c:v>
                </c:pt>
                <c:pt idx="192">
                  <c:v>-7.60013938798333E-3</c:v>
                </c:pt>
                <c:pt idx="193">
                  <c:v>-6.4394153038748667E-3</c:v>
                </c:pt>
                <c:pt idx="194">
                  <c:v>-5.4461952114163653E-3</c:v>
                </c:pt>
                <c:pt idx="195">
                  <c:v>-4.59792479054377E-3</c:v>
                </c:pt>
                <c:pt idx="196">
                  <c:v>-3.8748278527983618E-3</c:v>
                </c:pt>
                <c:pt idx="197">
                  <c:v>-3.2596040830539462E-3</c:v>
                </c:pt>
                <c:pt idx="198">
                  <c:v>-2.7371536929266657E-3</c:v>
                </c:pt>
                <c:pt idx="199">
                  <c:v>-2.2943274725664609E-3</c:v>
                </c:pt>
                <c:pt idx="200">
                  <c:v>-1.9197006744129702E-3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284-4680-A95E-69FF265357C3}"/>
            </c:ext>
          </c:extLst>
        </c:ser>
        <c:ser>
          <c:idx val="0"/>
          <c:order val="7"/>
          <c:tx>
            <c:strRef>
              <c:f>'subsidence profile with z_0'!$J$6</c:f>
              <c:strCache>
                <c:ptCount val="1"/>
                <c:pt idx="0">
                  <c:v>3.5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'subsidence profile with z_0'!$B$16:$B$216</c:f>
              <c:numCache>
                <c:formatCode>0.000</c:formatCode>
                <c:ptCount val="201"/>
                <c:pt idx="0">
                  <c:v>-50</c:v>
                </c:pt>
                <c:pt idx="1">
                  <c:v>-49.5</c:v>
                </c:pt>
                <c:pt idx="2">
                  <c:v>-49</c:v>
                </c:pt>
                <c:pt idx="3">
                  <c:v>-48.5</c:v>
                </c:pt>
                <c:pt idx="4">
                  <c:v>-48</c:v>
                </c:pt>
                <c:pt idx="5">
                  <c:v>-47.5</c:v>
                </c:pt>
                <c:pt idx="6">
                  <c:v>-47</c:v>
                </c:pt>
                <c:pt idx="7">
                  <c:v>-46.5</c:v>
                </c:pt>
                <c:pt idx="8">
                  <c:v>-46</c:v>
                </c:pt>
                <c:pt idx="9">
                  <c:v>-45.5</c:v>
                </c:pt>
                <c:pt idx="10">
                  <c:v>-45</c:v>
                </c:pt>
                <c:pt idx="11">
                  <c:v>-44.5</c:v>
                </c:pt>
                <c:pt idx="12">
                  <c:v>-44</c:v>
                </c:pt>
                <c:pt idx="13">
                  <c:v>-43.5</c:v>
                </c:pt>
                <c:pt idx="14">
                  <c:v>-43</c:v>
                </c:pt>
                <c:pt idx="15">
                  <c:v>-42.5</c:v>
                </c:pt>
                <c:pt idx="16">
                  <c:v>-42</c:v>
                </c:pt>
                <c:pt idx="17">
                  <c:v>-41.5</c:v>
                </c:pt>
                <c:pt idx="18">
                  <c:v>-41</c:v>
                </c:pt>
                <c:pt idx="19">
                  <c:v>-40.5</c:v>
                </c:pt>
                <c:pt idx="20">
                  <c:v>-40</c:v>
                </c:pt>
                <c:pt idx="21">
                  <c:v>-39.5</c:v>
                </c:pt>
                <c:pt idx="22">
                  <c:v>-39</c:v>
                </c:pt>
                <c:pt idx="23">
                  <c:v>-38.5</c:v>
                </c:pt>
                <c:pt idx="24">
                  <c:v>-38</c:v>
                </c:pt>
                <c:pt idx="25">
                  <c:v>-37.5</c:v>
                </c:pt>
                <c:pt idx="26">
                  <c:v>-37</c:v>
                </c:pt>
                <c:pt idx="27">
                  <c:v>-36.5</c:v>
                </c:pt>
                <c:pt idx="28">
                  <c:v>-36</c:v>
                </c:pt>
                <c:pt idx="29">
                  <c:v>-35.5</c:v>
                </c:pt>
                <c:pt idx="30">
                  <c:v>-35</c:v>
                </c:pt>
                <c:pt idx="31">
                  <c:v>-34.5</c:v>
                </c:pt>
                <c:pt idx="32">
                  <c:v>-34</c:v>
                </c:pt>
                <c:pt idx="33">
                  <c:v>-33.5</c:v>
                </c:pt>
                <c:pt idx="34">
                  <c:v>-33</c:v>
                </c:pt>
                <c:pt idx="35">
                  <c:v>-32.5</c:v>
                </c:pt>
                <c:pt idx="36">
                  <c:v>-32</c:v>
                </c:pt>
                <c:pt idx="37">
                  <c:v>-31.5</c:v>
                </c:pt>
                <c:pt idx="38">
                  <c:v>-31</c:v>
                </c:pt>
                <c:pt idx="39">
                  <c:v>-30.5</c:v>
                </c:pt>
                <c:pt idx="40">
                  <c:v>-30</c:v>
                </c:pt>
                <c:pt idx="41">
                  <c:v>-29.5</c:v>
                </c:pt>
                <c:pt idx="42">
                  <c:v>-29</c:v>
                </c:pt>
                <c:pt idx="43">
                  <c:v>-28.5</c:v>
                </c:pt>
                <c:pt idx="44">
                  <c:v>-28</c:v>
                </c:pt>
                <c:pt idx="45">
                  <c:v>-27.5</c:v>
                </c:pt>
                <c:pt idx="46">
                  <c:v>-27</c:v>
                </c:pt>
                <c:pt idx="47">
                  <c:v>-26.5</c:v>
                </c:pt>
                <c:pt idx="48">
                  <c:v>-26</c:v>
                </c:pt>
                <c:pt idx="49">
                  <c:v>-25.5</c:v>
                </c:pt>
                <c:pt idx="50">
                  <c:v>-25</c:v>
                </c:pt>
                <c:pt idx="51">
                  <c:v>-24.5</c:v>
                </c:pt>
                <c:pt idx="52">
                  <c:v>-24</c:v>
                </c:pt>
                <c:pt idx="53">
                  <c:v>-23.5</c:v>
                </c:pt>
                <c:pt idx="54">
                  <c:v>-23</c:v>
                </c:pt>
                <c:pt idx="55">
                  <c:v>-22.5</c:v>
                </c:pt>
                <c:pt idx="56">
                  <c:v>-22</c:v>
                </c:pt>
                <c:pt idx="57">
                  <c:v>-21.5</c:v>
                </c:pt>
                <c:pt idx="58">
                  <c:v>-21</c:v>
                </c:pt>
                <c:pt idx="59">
                  <c:v>-20.5</c:v>
                </c:pt>
                <c:pt idx="60">
                  <c:v>-20</c:v>
                </c:pt>
                <c:pt idx="61">
                  <c:v>-19.5</c:v>
                </c:pt>
                <c:pt idx="62">
                  <c:v>-19</c:v>
                </c:pt>
                <c:pt idx="63">
                  <c:v>-18.5</c:v>
                </c:pt>
                <c:pt idx="64">
                  <c:v>-18</c:v>
                </c:pt>
                <c:pt idx="65">
                  <c:v>-17.5</c:v>
                </c:pt>
                <c:pt idx="66">
                  <c:v>-17</c:v>
                </c:pt>
                <c:pt idx="67">
                  <c:v>-16.5</c:v>
                </c:pt>
                <c:pt idx="68">
                  <c:v>-16</c:v>
                </c:pt>
                <c:pt idx="69">
                  <c:v>-15.5</c:v>
                </c:pt>
                <c:pt idx="70">
                  <c:v>-15</c:v>
                </c:pt>
                <c:pt idx="71">
                  <c:v>-14.5</c:v>
                </c:pt>
                <c:pt idx="72">
                  <c:v>-14</c:v>
                </c:pt>
                <c:pt idx="73">
                  <c:v>-13.5</c:v>
                </c:pt>
                <c:pt idx="74">
                  <c:v>-13</c:v>
                </c:pt>
                <c:pt idx="75">
                  <c:v>-12.5</c:v>
                </c:pt>
                <c:pt idx="76">
                  <c:v>-12</c:v>
                </c:pt>
                <c:pt idx="77">
                  <c:v>-11.5</c:v>
                </c:pt>
                <c:pt idx="78">
                  <c:v>-11</c:v>
                </c:pt>
                <c:pt idx="79">
                  <c:v>-10.5</c:v>
                </c:pt>
                <c:pt idx="80">
                  <c:v>-10</c:v>
                </c:pt>
                <c:pt idx="81">
                  <c:v>-9.5</c:v>
                </c:pt>
                <c:pt idx="82">
                  <c:v>-9</c:v>
                </c:pt>
                <c:pt idx="83">
                  <c:v>-8.5</c:v>
                </c:pt>
                <c:pt idx="84">
                  <c:v>-8</c:v>
                </c:pt>
                <c:pt idx="85">
                  <c:v>-7.5</c:v>
                </c:pt>
                <c:pt idx="86">
                  <c:v>-7</c:v>
                </c:pt>
                <c:pt idx="87">
                  <c:v>-6.5</c:v>
                </c:pt>
                <c:pt idx="88">
                  <c:v>-6</c:v>
                </c:pt>
                <c:pt idx="89">
                  <c:v>-5.5</c:v>
                </c:pt>
                <c:pt idx="90">
                  <c:v>-5</c:v>
                </c:pt>
                <c:pt idx="91">
                  <c:v>-4.5</c:v>
                </c:pt>
                <c:pt idx="92">
                  <c:v>-4</c:v>
                </c:pt>
                <c:pt idx="93">
                  <c:v>-3.5</c:v>
                </c:pt>
                <c:pt idx="94">
                  <c:v>-3</c:v>
                </c:pt>
                <c:pt idx="95">
                  <c:v>-2.5</c:v>
                </c:pt>
                <c:pt idx="96">
                  <c:v>-2</c:v>
                </c:pt>
                <c:pt idx="97">
                  <c:v>-1.5</c:v>
                </c:pt>
                <c:pt idx="98">
                  <c:v>-1</c:v>
                </c:pt>
                <c:pt idx="99">
                  <c:v>-0.5</c:v>
                </c:pt>
                <c:pt idx="100">
                  <c:v>0</c:v>
                </c:pt>
                <c:pt idx="101">
                  <c:v>0.5</c:v>
                </c:pt>
                <c:pt idx="102">
                  <c:v>1</c:v>
                </c:pt>
                <c:pt idx="103">
                  <c:v>1.5</c:v>
                </c:pt>
                <c:pt idx="104">
                  <c:v>2</c:v>
                </c:pt>
                <c:pt idx="105">
                  <c:v>2.5</c:v>
                </c:pt>
                <c:pt idx="106">
                  <c:v>3</c:v>
                </c:pt>
                <c:pt idx="107">
                  <c:v>3.5</c:v>
                </c:pt>
                <c:pt idx="108">
                  <c:v>4</c:v>
                </c:pt>
                <c:pt idx="109">
                  <c:v>4.5</c:v>
                </c:pt>
                <c:pt idx="110">
                  <c:v>5</c:v>
                </c:pt>
                <c:pt idx="111">
                  <c:v>5.5</c:v>
                </c:pt>
                <c:pt idx="112">
                  <c:v>6</c:v>
                </c:pt>
                <c:pt idx="113">
                  <c:v>6.5</c:v>
                </c:pt>
                <c:pt idx="114">
                  <c:v>7</c:v>
                </c:pt>
                <c:pt idx="115">
                  <c:v>7.5</c:v>
                </c:pt>
                <c:pt idx="116">
                  <c:v>8</c:v>
                </c:pt>
                <c:pt idx="117">
                  <c:v>8.5</c:v>
                </c:pt>
                <c:pt idx="118">
                  <c:v>9</c:v>
                </c:pt>
                <c:pt idx="119">
                  <c:v>9.5</c:v>
                </c:pt>
                <c:pt idx="120">
                  <c:v>10</c:v>
                </c:pt>
                <c:pt idx="121">
                  <c:v>10.5</c:v>
                </c:pt>
                <c:pt idx="122">
                  <c:v>11</c:v>
                </c:pt>
                <c:pt idx="123">
                  <c:v>11.5</c:v>
                </c:pt>
                <c:pt idx="124">
                  <c:v>12</c:v>
                </c:pt>
                <c:pt idx="125">
                  <c:v>12.5</c:v>
                </c:pt>
                <c:pt idx="126">
                  <c:v>13</c:v>
                </c:pt>
                <c:pt idx="127">
                  <c:v>13.5</c:v>
                </c:pt>
                <c:pt idx="128">
                  <c:v>14</c:v>
                </c:pt>
                <c:pt idx="129">
                  <c:v>14.5</c:v>
                </c:pt>
                <c:pt idx="130">
                  <c:v>15</c:v>
                </c:pt>
                <c:pt idx="131">
                  <c:v>15.5</c:v>
                </c:pt>
                <c:pt idx="132">
                  <c:v>16</c:v>
                </c:pt>
                <c:pt idx="133">
                  <c:v>16.5</c:v>
                </c:pt>
                <c:pt idx="134">
                  <c:v>17</c:v>
                </c:pt>
                <c:pt idx="135">
                  <c:v>17.5</c:v>
                </c:pt>
                <c:pt idx="136">
                  <c:v>18</c:v>
                </c:pt>
                <c:pt idx="137">
                  <c:v>18.5</c:v>
                </c:pt>
                <c:pt idx="138">
                  <c:v>19</c:v>
                </c:pt>
                <c:pt idx="139">
                  <c:v>19.5</c:v>
                </c:pt>
                <c:pt idx="140">
                  <c:v>20</c:v>
                </c:pt>
                <c:pt idx="141">
                  <c:v>20.5</c:v>
                </c:pt>
                <c:pt idx="142">
                  <c:v>21</c:v>
                </c:pt>
                <c:pt idx="143">
                  <c:v>21.5</c:v>
                </c:pt>
                <c:pt idx="144">
                  <c:v>22</c:v>
                </c:pt>
                <c:pt idx="145">
                  <c:v>22.5</c:v>
                </c:pt>
                <c:pt idx="146">
                  <c:v>23</c:v>
                </c:pt>
                <c:pt idx="147">
                  <c:v>23.5</c:v>
                </c:pt>
                <c:pt idx="148">
                  <c:v>24</c:v>
                </c:pt>
                <c:pt idx="149">
                  <c:v>24.5</c:v>
                </c:pt>
                <c:pt idx="150">
                  <c:v>25</c:v>
                </c:pt>
                <c:pt idx="151">
                  <c:v>25.5</c:v>
                </c:pt>
                <c:pt idx="152">
                  <c:v>26</c:v>
                </c:pt>
                <c:pt idx="153">
                  <c:v>26.5</c:v>
                </c:pt>
                <c:pt idx="154">
                  <c:v>27</c:v>
                </c:pt>
                <c:pt idx="155">
                  <c:v>27.5</c:v>
                </c:pt>
                <c:pt idx="156">
                  <c:v>28</c:v>
                </c:pt>
                <c:pt idx="157">
                  <c:v>28.5</c:v>
                </c:pt>
                <c:pt idx="158">
                  <c:v>29</c:v>
                </c:pt>
                <c:pt idx="159">
                  <c:v>29.5</c:v>
                </c:pt>
                <c:pt idx="160">
                  <c:v>30</c:v>
                </c:pt>
                <c:pt idx="161">
                  <c:v>30.5</c:v>
                </c:pt>
                <c:pt idx="162">
                  <c:v>31</c:v>
                </c:pt>
                <c:pt idx="163">
                  <c:v>31.5</c:v>
                </c:pt>
                <c:pt idx="164">
                  <c:v>32</c:v>
                </c:pt>
                <c:pt idx="165">
                  <c:v>32.5</c:v>
                </c:pt>
                <c:pt idx="166">
                  <c:v>33</c:v>
                </c:pt>
                <c:pt idx="167">
                  <c:v>33.5</c:v>
                </c:pt>
                <c:pt idx="168">
                  <c:v>34</c:v>
                </c:pt>
                <c:pt idx="169">
                  <c:v>34.5</c:v>
                </c:pt>
                <c:pt idx="170">
                  <c:v>35</c:v>
                </c:pt>
                <c:pt idx="171">
                  <c:v>35.5</c:v>
                </c:pt>
                <c:pt idx="172">
                  <c:v>36</c:v>
                </c:pt>
                <c:pt idx="173">
                  <c:v>36.5</c:v>
                </c:pt>
                <c:pt idx="174">
                  <c:v>37</c:v>
                </c:pt>
                <c:pt idx="175">
                  <c:v>37.5</c:v>
                </c:pt>
                <c:pt idx="176">
                  <c:v>38</c:v>
                </c:pt>
                <c:pt idx="177">
                  <c:v>38.5</c:v>
                </c:pt>
                <c:pt idx="178">
                  <c:v>39</c:v>
                </c:pt>
                <c:pt idx="179">
                  <c:v>39.5</c:v>
                </c:pt>
                <c:pt idx="180">
                  <c:v>40</c:v>
                </c:pt>
                <c:pt idx="181">
                  <c:v>40.5</c:v>
                </c:pt>
                <c:pt idx="182">
                  <c:v>41</c:v>
                </c:pt>
                <c:pt idx="183">
                  <c:v>41.5</c:v>
                </c:pt>
                <c:pt idx="184">
                  <c:v>42</c:v>
                </c:pt>
                <c:pt idx="185">
                  <c:v>42.5</c:v>
                </c:pt>
                <c:pt idx="186">
                  <c:v>43</c:v>
                </c:pt>
                <c:pt idx="187">
                  <c:v>43.5</c:v>
                </c:pt>
                <c:pt idx="188">
                  <c:v>44</c:v>
                </c:pt>
                <c:pt idx="189">
                  <c:v>44.5</c:v>
                </c:pt>
                <c:pt idx="190">
                  <c:v>45</c:v>
                </c:pt>
                <c:pt idx="191">
                  <c:v>45.5</c:v>
                </c:pt>
                <c:pt idx="192">
                  <c:v>46</c:v>
                </c:pt>
                <c:pt idx="193">
                  <c:v>46.5</c:v>
                </c:pt>
                <c:pt idx="194">
                  <c:v>47</c:v>
                </c:pt>
                <c:pt idx="195">
                  <c:v>47.5</c:v>
                </c:pt>
                <c:pt idx="196">
                  <c:v>48</c:v>
                </c:pt>
                <c:pt idx="197">
                  <c:v>48.5</c:v>
                </c:pt>
                <c:pt idx="198">
                  <c:v>49</c:v>
                </c:pt>
                <c:pt idx="199">
                  <c:v>49.5</c:v>
                </c:pt>
                <c:pt idx="200">
                  <c:v>50</c:v>
                </c:pt>
              </c:numCache>
            </c:numRef>
          </c:xVal>
          <c:yVal>
            <c:numRef>
              <c:f>'subsidence profile with z_0'!$J$16:$J$216</c:f>
              <c:numCache>
                <c:formatCode>0.000</c:formatCode>
                <c:ptCount val="201"/>
                <c:pt idx="0">
                  <c:v>-1.3711613256731776E-2</c:v>
                </c:pt>
                <c:pt idx="1">
                  <c:v>-1.5716820321528668E-2</c:v>
                </c:pt>
                <c:pt idx="2">
                  <c:v>-1.7990576535416841E-2</c:v>
                </c:pt>
                <c:pt idx="3">
                  <c:v>-2.0565048313065666E-2</c:v>
                </c:pt>
                <c:pt idx="4">
                  <c:v>-2.347570519315622E-2</c:v>
                </c:pt>
                <c:pt idx="5">
                  <c:v>-2.676158427374362E-2</c:v>
                </c:pt>
                <c:pt idx="6">
                  <c:v>-3.0465566120862354E-2</c:v>
                </c:pt>
                <c:pt idx="7">
                  <c:v>-3.4634661348747479E-2</c:v>
                </c:pt>
                <c:pt idx="8">
                  <c:v>-3.9320306847980255E-2</c:v>
                </c:pt>
                <c:pt idx="9">
                  <c:v>-4.4578670396728429E-2</c:v>
                </c:pt>
                <c:pt idx="10">
                  <c:v>-5.0470962130562312E-2</c:v>
                </c:pt>
                <c:pt idx="11">
                  <c:v>-5.7063751068948343E-2</c:v>
                </c:pt>
                <c:pt idx="12">
                  <c:v>-6.4429284602696646E-2</c:v>
                </c:pt>
                <c:pt idx="13">
                  <c:v>-7.264580853801042E-2</c:v>
                </c:pt>
                <c:pt idx="14">
                  <c:v>-8.1797884971441082E-2</c:v>
                </c:pt>
                <c:pt idx="15">
                  <c:v>-9.1976704938535728E-2</c:v>
                </c:pt>
                <c:pt idx="16">
                  <c:v>-0.10328039244029635</c:v>
                </c:pt>
                <c:pt idx="17">
                  <c:v>-0.1158142961092703</c:v>
                </c:pt>
                <c:pt idx="18">
                  <c:v>-0.12969126443518089</c:v>
                </c:pt>
                <c:pt idx="19">
                  <c:v>-0.14503190013300038</c:v>
                </c:pt>
                <c:pt idx="20">
                  <c:v>-0.16196478890927379</c:v>
                </c:pt>
                <c:pt idx="21">
                  <c:v>-0.18062669757080754</c:v>
                </c:pt>
                <c:pt idx="22">
                  <c:v>-0.20116273612945124</c:v>
                </c:pt>
                <c:pt idx="23">
                  <c:v>-0.22372647829395814</c:v>
                </c:pt>
                <c:pt idx="24">
                  <c:v>-0.24848003451146625</c:v>
                </c:pt>
                <c:pt idx="25">
                  <c:v>-0.27559407153395138</c:v>
                </c:pt>
                <c:pt idx="26">
                  <c:v>-0.30524777234622286</c:v>
                </c:pt>
                <c:pt idx="27">
                  <c:v>-0.33762873020891143</c:v>
                </c:pt>
                <c:pt idx="28">
                  <c:v>-0.37293277054972929</c:v>
                </c:pt>
                <c:pt idx="29">
                  <c:v>-0.411363694486228</c:v>
                </c:pt>
                <c:pt idx="30">
                  <c:v>-0.45313293789027503</c:v>
                </c:pt>
                <c:pt idx="31">
                  <c:v>-0.49845914011510489</c:v>
                </c:pt>
                <c:pt idx="32">
                  <c:v>-0.54756761680613719</c:v>
                </c:pt>
                <c:pt idx="33">
                  <c:v>-0.60068973161220873</c:v>
                </c:pt>
                <c:pt idx="34">
                  <c:v>-0.65806216210903412</c:v>
                </c:pt>
                <c:pt idx="35">
                  <c:v>-0.71992605584524716</c:v>
                </c:pt>
                <c:pt idx="36">
                  <c:v>-0.78652607312577094</c:v>
                </c:pt>
                <c:pt idx="37">
                  <c:v>-0.85810931395879253</c:v>
                </c:pt>
                <c:pt idx="38">
                  <c:v>-0.93492412751108722</c:v>
                </c:pt>
                <c:pt idx="39">
                  <c:v>-1.0172188034401299</c:v>
                </c:pt>
                <c:pt idx="40">
                  <c:v>-1.105240145596996</c:v>
                </c:pt>
                <c:pt idx="41">
                  <c:v>-1.1992319298162579</c:v>
                </c:pt>
                <c:pt idx="42">
                  <c:v>-1.2994332488210247</c:v>
                </c:pt>
                <c:pt idx="43">
                  <c:v>-1.4060767486639227</c:v>
                </c:pt>
                <c:pt idx="44">
                  <c:v>-1.5193867625874191</c:v>
                </c:pt>
                <c:pt idx="45">
                  <c:v>-1.6395773497065955</c:v>
                </c:pt>
                <c:pt idx="46">
                  <c:v>-1.766850247479627</c:v>
                </c:pt>
                <c:pt idx="47">
                  <c:v>-1.9013927485192847</c:v>
                </c:pt>
                <c:pt idx="48">
                  <c:v>-2.0433755138945244</c:v>
                </c:pt>
                <c:pt idx="49">
                  <c:v>-2.1929503366547975</c:v>
                </c:pt>
                <c:pt idx="50">
                  <c:v>-2.3502478708599908</c:v>
                </c:pt>
                <c:pt idx="51">
                  <c:v>-2.5153753428933472</c:v>
                </c:pt>
                <c:pt idx="52">
                  <c:v>-2.688414263250233</c:v>
                </c:pt>
                <c:pt idx="53">
                  <c:v>-2.8694181583080618</c:v>
                </c:pt>
                <c:pt idx="54">
                  <c:v>-3.0584103427681231</c:v>
                </c:pt>
                <c:pt idx="55">
                  <c:v>-3.2553817544940791</c:v>
                </c:pt>
                <c:pt idx="56">
                  <c:v>-3.4602888743310811</c:v>
                </c:pt>
                <c:pt idx="57">
                  <c:v>-3.6730517541507477</c:v>
                </c:pt>
                <c:pt idx="58">
                  <c:v>-3.8935521768092332</c:v>
                </c:pt>
                <c:pt idx="59">
                  <c:v>-4.1216319719083243</c:v>
                </c:pt>
                <c:pt idx="60">
                  <c:v>-4.3570915111951329</c:v>
                </c:pt>
                <c:pt idx="61">
                  <c:v>-4.5996884071092907</c:v>
                </c:pt>
                <c:pt idx="62">
                  <c:v>-4.8491364373751118</c:v>
                </c:pt>
                <c:pt idx="63">
                  <c:v>-5.1051047176309705</c:v>
                </c:pt>
                <c:pt idx="64">
                  <c:v>-5.3672171428834909</c:v>
                </c:pt>
                <c:pt idx="65">
                  <c:v>-5.6350521170686445</c:v>
                </c:pt>
                <c:pt idx="66">
                  <c:v>-5.9081425881977934</c:v>
                </c:pt>
                <c:pt idx="67">
                  <c:v>-6.1859764044711811</c:v>
                </c:pt>
                <c:pt idx="68">
                  <c:v>-6.4679970043655572</c:v>
                </c:pt>
                <c:pt idx="69">
                  <c:v>-6.753604451062313</c:v>
                </c:pt>
                <c:pt idx="70">
                  <c:v>-7.0421568186982366</c:v>
                </c:pt>
                <c:pt idx="71">
                  <c:v>-7.3329719348171825</c:v>
                </c:pt>
                <c:pt idx="72">
                  <c:v>-7.62532948010689</c:v>
                </c:pt>
                <c:pt idx="73">
                  <c:v>-7.9184734430535473</c:v>
                </c:pt>
                <c:pt idx="74">
                  <c:v>-8.2116149235742899</c:v>
                </c:pt>
                <c:pt idx="75">
                  <c:v>-8.5039352760343494</c:v>
                </c:pt>
                <c:pt idx="76">
                  <c:v>-8.7945895783637766</c:v>
                </c:pt>
                <c:pt idx="77">
                  <c:v>-9.0827104103033118</c:v>
                </c:pt>
                <c:pt idx="78">
                  <c:v>-9.3674119201766342</c:v>
                </c:pt>
                <c:pt idx="79">
                  <c:v>-9.6477941560543616</c:v>
                </c:pt>
                <c:pt idx="80">
                  <c:v>-9.9229476337914715</c:v>
                </c:pt>
                <c:pt idx="81">
                  <c:v>-10.191958111231745</c:v>
                </c:pt>
                <c:pt idx="82">
                  <c:v>-10.453911534926393</c:v>
                </c:pt>
                <c:pt idx="83">
                  <c:v>-10.707899123053654</c:v>
                </c:pt>
                <c:pt idx="84">
                  <c:v>-10.953022545893235</c:v>
                </c:pt>
                <c:pt idx="85">
                  <c:v>-11.188399163242419</c:v>
                </c:pt>
                <c:pt idx="86">
                  <c:v>-11.413167276593587</c:v>
                </c:pt>
                <c:pt idx="87">
                  <c:v>-11.626491352755341</c:v>
                </c:pt>
                <c:pt idx="88">
                  <c:v>-11.827567174915776</c:v>
                </c:pt>
                <c:pt idx="89">
                  <c:v>-12.01562687693502</c:v>
                </c:pt>
                <c:pt idx="90">
                  <c:v>-12.189943816927865</c:v>
                </c:pt>
                <c:pt idx="91">
                  <c:v>-12.349837246961583</c:v>
                </c:pt>
                <c:pt idx="92">
                  <c:v>-12.494676736948609</c:v>
                </c:pt>
                <c:pt idx="93">
                  <c:v>-12.623886312551081</c:v>
                </c:pt>
                <c:pt idx="94">
                  <c:v>-12.736948269119816</c:v>
                </c:pt>
                <c:pt idx="95">
                  <c:v>-12.833406626343798</c:v>
                </c:pt>
                <c:pt idx="96">
                  <c:v>-12.912870191359589</c:v>
                </c:pt>
                <c:pt idx="97">
                  <c:v>-12.975015201530626</c:v>
                </c:pt>
                <c:pt idx="98">
                  <c:v>-13.01958752191425</c:v>
                </c:pt>
                <c:pt idx="99">
                  <c:v>-13.046404376545947</c:v>
                </c:pt>
                <c:pt idx="100">
                  <c:v>-13.055355597036465</c:v>
                </c:pt>
                <c:pt idx="101">
                  <c:v>-13.046404376545947</c:v>
                </c:pt>
                <c:pt idx="102">
                  <c:v>-13.01958752191425</c:v>
                </c:pt>
                <c:pt idx="103">
                  <c:v>-12.975015201530626</c:v>
                </c:pt>
                <c:pt idx="104">
                  <c:v>-12.912870191359589</c:v>
                </c:pt>
                <c:pt idx="105">
                  <c:v>-12.833406626343798</c:v>
                </c:pt>
                <c:pt idx="106">
                  <c:v>-12.736948269119816</c:v>
                </c:pt>
                <c:pt idx="107">
                  <c:v>-12.623886312551081</c:v>
                </c:pt>
                <c:pt idx="108">
                  <c:v>-12.494676736948609</c:v>
                </c:pt>
                <c:pt idx="109">
                  <c:v>-12.349837246961583</c:v>
                </c:pt>
                <c:pt idx="110">
                  <c:v>-12.189943816927865</c:v>
                </c:pt>
                <c:pt idx="111">
                  <c:v>-12.01562687693502</c:v>
                </c:pt>
                <c:pt idx="112">
                  <c:v>-11.827567174915776</c:v>
                </c:pt>
                <c:pt idx="113">
                  <c:v>-11.626491352755341</c:v>
                </c:pt>
                <c:pt idx="114">
                  <c:v>-11.413167276593587</c:v>
                </c:pt>
                <c:pt idx="115">
                  <c:v>-11.188399163242419</c:v>
                </c:pt>
                <c:pt idx="116">
                  <c:v>-10.953022545893235</c:v>
                </c:pt>
                <c:pt idx="117">
                  <c:v>-10.707899123053654</c:v>
                </c:pt>
                <c:pt idx="118">
                  <c:v>-10.453911534926393</c:v>
                </c:pt>
                <c:pt idx="119">
                  <c:v>-10.191958111231745</c:v>
                </c:pt>
                <c:pt idx="120">
                  <c:v>-9.9229476337914715</c:v>
                </c:pt>
                <c:pt idx="121">
                  <c:v>-9.6477941560543616</c:v>
                </c:pt>
                <c:pt idx="122">
                  <c:v>-9.3674119201766342</c:v>
                </c:pt>
                <c:pt idx="123">
                  <c:v>-9.0827104103033118</c:v>
                </c:pt>
                <c:pt idx="124">
                  <c:v>-8.7945895783637766</c:v>
                </c:pt>
                <c:pt idx="125">
                  <c:v>-8.5039352760343494</c:v>
                </c:pt>
                <c:pt idx="126">
                  <c:v>-8.2116149235742899</c:v>
                </c:pt>
                <c:pt idx="127">
                  <c:v>-7.9184734430535473</c:v>
                </c:pt>
                <c:pt idx="128">
                  <c:v>-7.62532948010689</c:v>
                </c:pt>
                <c:pt idx="129">
                  <c:v>-7.3329719348171825</c:v>
                </c:pt>
                <c:pt idx="130">
                  <c:v>-7.0421568186982366</c:v>
                </c:pt>
                <c:pt idx="131">
                  <c:v>-6.753604451062313</c:v>
                </c:pt>
                <c:pt idx="132">
                  <c:v>-6.4679970043655572</c:v>
                </c:pt>
                <c:pt idx="133">
                  <c:v>-6.1859764044711811</c:v>
                </c:pt>
                <c:pt idx="134">
                  <c:v>-5.9081425881977934</c:v>
                </c:pt>
                <c:pt idx="135">
                  <c:v>-5.6350521170686445</c:v>
                </c:pt>
                <c:pt idx="136">
                  <c:v>-5.3672171428834909</c:v>
                </c:pt>
                <c:pt idx="137">
                  <c:v>-5.1051047176309705</c:v>
                </c:pt>
                <c:pt idx="138">
                  <c:v>-4.8491364373751118</c:v>
                </c:pt>
                <c:pt idx="139">
                  <c:v>-4.5996884071092907</c:v>
                </c:pt>
                <c:pt idx="140">
                  <c:v>-4.3570915111951329</c:v>
                </c:pt>
                <c:pt idx="141">
                  <c:v>-4.1216319719083243</c:v>
                </c:pt>
                <c:pt idx="142">
                  <c:v>-3.8935521768092332</c:v>
                </c:pt>
                <c:pt idx="143">
                  <c:v>-3.6730517541507477</c:v>
                </c:pt>
                <c:pt idx="144">
                  <c:v>-3.4602888743310811</c:v>
                </c:pt>
                <c:pt idx="145">
                  <c:v>-3.2553817544940791</c:v>
                </c:pt>
                <c:pt idx="146">
                  <c:v>-3.0584103427681231</c:v>
                </c:pt>
                <c:pt idx="147">
                  <c:v>-2.8694181583080618</c:v>
                </c:pt>
                <c:pt idx="148">
                  <c:v>-2.688414263250233</c:v>
                </c:pt>
                <c:pt idx="149">
                  <c:v>-2.5153753428933472</c:v>
                </c:pt>
                <c:pt idx="150">
                  <c:v>-2.3502478708599908</c:v>
                </c:pt>
                <c:pt idx="151">
                  <c:v>-2.1929503366547975</c:v>
                </c:pt>
                <c:pt idx="152">
                  <c:v>-2.0433755138945244</c:v>
                </c:pt>
                <c:pt idx="153">
                  <c:v>-1.9013927485192847</c:v>
                </c:pt>
                <c:pt idx="154">
                  <c:v>-1.766850247479627</c:v>
                </c:pt>
                <c:pt idx="155">
                  <c:v>-1.6395773497065955</c:v>
                </c:pt>
                <c:pt idx="156">
                  <c:v>-1.5193867625874191</c:v>
                </c:pt>
                <c:pt idx="157">
                  <c:v>-1.4060767486639227</c:v>
                </c:pt>
                <c:pt idx="158">
                  <c:v>-1.2994332488210247</c:v>
                </c:pt>
                <c:pt idx="159">
                  <c:v>-1.1992319298162579</c:v>
                </c:pt>
                <c:pt idx="160">
                  <c:v>-1.105240145596996</c:v>
                </c:pt>
                <c:pt idx="161">
                  <c:v>-1.0172188034401299</c:v>
                </c:pt>
                <c:pt idx="162">
                  <c:v>-0.93492412751108722</c:v>
                </c:pt>
                <c:pt idx="163">
                  <c:v>-0.85810931395879253</c:v>
                </c:pt>
                <c:pt idx="164">
                  <c:v>-0.78652607312577094</c:v>
                </c:pt>
                <c:pt idx="165">
                  <c:v>-0.71992605584524716</c:v>
                </c:pt>
                <c:pt idx="166">
                  <c:v>-0.65806216210903412</c:v>
                </c:pt>
                <c:pt idx="167">
                  <c:v>-0.60068973161220873</c:v>
                </c:pt>
                <c:pt idx="168">
                  <c:v>-0.54756761680613719</c:v>
                </c:pt>
                <c:pt idx="169">
                  <c:v>-0.49845914011510489</c:v>
                </c:pt>
                <c:pt idx="170">
                  <c:v>-0.45313293789027503</c:v>
                </c:pt>
                <c:pt idx="171">
                  <c:v>-0.411363694486228</c:v>
                </c:pt>
                <c:pt idx="172">
                  <c:v>-0.37293277054972929</c:v>
                </c:pt>
                <c:pt idx="173">
                  <c:v>-0.33762873020891143</c:v>
                </c:pt>
                <c:pt idx="174">
                  <c:v>-0.30524777234622286</c:v>
                </c:pt>
                <c:pt idx="175">
                  <c:v>-0.27559407153395138</c:v>
                </c:pt>
                <c:pt idx="176">
                  <c:v>-0.24848003451146625</c:v>
                </c:pt>
                <c:pt idx="177">
                  <c:v>-0.22372647829395814</c:v>
                </c:pt>
                <c:pt idx="178">
                  <c:v>-0.20116273612945124</c:v>
                </c:pt>
                <c:pt idx="179">
                  <c:v>-0.18062669757080754</c:v>
                </c:pt>
                <c:pt idx="180">
                  <c:v>-0.16196478890927379</c:v>
                </c:pt>
                <c:pt idx="181">
                  <c:v>-0.14503190013300038</c:v>
                </c:pt>
                <c:pt idx="182">
                  <c:v>-0.12969126443518089</c:v>
                </c:pt>
                <c:pt idx="183">
                  <c:v>-0.1158142961092703</c:v>
                </c:pt>
                <c:pt idx="184">
                  <c:v>-0.10328039244029635</c:v>
                </c:pt>
                <c:pt idx="185">
                  <c:v>-9.1976704938535728E-2</c:v>
                </c:pt>
                <c:pt idx="186">
                  <c:v>-8.1797884971441082E-2</c:v>
                </c:pt>
                <c:pt idx="187">
                  <c:v>-7.264580853801042E-2</c:v>
                </c:pt>
                <c:pt idx="188">
                  <c:v>-6.4429284602696646E-2</c:v>
                </c:pt>
                <c:pt idx="189">
                  <c:v>-5.7063751068948343E-2</c:v>
                </c:pt>
                <c:pt idx="190">
                  <c:v>-5.0470962130562312E-2</c:v>
                </c:pt>
                <c:pt idx="191">
                  <c:v>-4.4578670396728429E-2</c:v>
                </c:pt>
                <c:pt idx="192">
                  <c:v>-3.9320306847980255E-2</c:v>
                </c:pt>
                <c:pt idx="193">
                  <c:v>-3.4634661348747479E-2</c:v>
                </c:pt>
                <c:pt idx="194">
                  <c:v>-3.0465566120862354E-2</c:v>
                </c:pt>
                <c:pt idx="195">
                  <c:v>-2.676158427374362E-2</c:v>
                </c:pt>
                <c:pt idx="196">
                  <c:v>-2.347570519315622E-2</c:v>
                </c:pt>
                <c:pt idx="197">
                  <c:v>-2.0565048313065666E-2</c:v>
                </c:pt>
                <c:pt idx="198">
                  <c:v>-1.7990576535416841E-2</c:v>
                </c:pt>
                <c:pt idx="199">
                  <c:v>-1.5716820321528668E-2</c:v>
                </c:pt>
                <c:pt idx="200">
                  <c:v>-1.3711613256731776E-2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284-4680-A95E-69FF26535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105280"/>
        <c:axId val="297107456"/>
      </c:scatterChart>
      <c:valAx>
        <c:axId val="297105280"/>
        <c:scaling>
          <c:orientation val="minMax"/>
          <c:max val="30"/>
          <c:min val="-3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it-IT"/>
                  <a:t>distance from the central axis (m)</a:t>
                </a:r>
              </a:p>
            </c:rich>
          </c:tx>
          <c:layout>
            <c:manualLayout>
              <c:xMode val="edge"/>
              <c:yMode val="edge"/>
              <c:x val="0.38375829613654977"/>
              <c:y val="9.6256684491978606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297107456"/>
        <c:crosses val="autoZero"/>
        <c:crossBetween val="midCat"/>
      </c:valAx>
      <c:valAx>
        <c:axId val="297107456"/>
        <c:scaling>
          <c:orientation val="minMax"/>
          <c:max val="2.5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it-IT"/>
                  <a:t>settlement Sv (mm)</a:t>
                </a:r>
              </a:p>
            </c:rich>
          </c:tx>
          <c:layout>
            <c:manualLayout>
              <c:xMode val="edge"/>
              <c:yMode val="edge"/>
              <c:x val="2.7070063694267517E-2"/>
              <c:y val="0.4331550802139037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297105280"/>
        <c:crossesAt val="0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0095603677040583"/>
          <c:y val="0.43048128342245989"/>
          <c:w val="0.14808928711659589"/>
          <c:h val="0.3983957219251336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828489601341021E-2"/>
          <c:y val="4.2483727921594036E-2"/>
          <c:w val="0.91650543367303405"/>
          <c:h val="0.91666812938516362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'transversal subsidence profile'!$G$10:$G$322</c:f>
              <c:numCache>
                <c:formatCode>General</c:formatCode>
                <c:ptCount val="313"/>
                <c:pt idx="0">
                  <c:v>-60</c:v>
                </c:pt>
                <c:pt idx="1">
                  <c:v>-59.75</c:v>
                </c:pt>
                <c:pt idx="2">
                  <c:v>-59.5</c:v>
                </c:pt>
                <c:pt idx="3">
                  <c:v>-59.25</c:v>
                </c:pt>
                <c:pt idx="4">
                  <c:v>-59</c:v>
                </c:pt>
                <c:pt idx="5">
                  <c:v>-58.75</c:v>
                </c:pt>
                <c:pt idx="6">
                  <c:v>-58.5</c:v>
                </c:pt>
                <c:pt idx="7">
                  <c:v>-58.25</c:v>
                </c:pt>
                <c:pt idx="8">
                  <c:v>-58</c:v>
                </c:pt>
                <c:pt idx="9">
                  <c:v>-57.75</c:v>
                </c:pt>
                <c:pt idx="10">
                  <c:v>-57.5</c:v>
                </c:pt>
                <c:pt idx="11">
                  <c:v>-57.25</c:v>
                </c:pt>
                <c:pt idx="12">
                  <c:v>-57</c:v>
                </c:pt>
                <c:pt idx="13">
                  <c:v>-56.75</c:v>
                </c:pt>
                <c:pt idx="14">
                  <c:v>-56.5</c:v>
                </c:pt>
                <c:pt idx="15">
                  <c:v>-56.25</c:v>
                </c:pt>
                <c:pt idx="16">
                  <c:v>-56</c:v>
                </c:pt>
                <c:pt idx="17">
                  <c:v>-55.75</c:v>
                </c:pt>
                <c:pt idx="18">
                  <c:v>-55.5</c:v>
                </c:pt>
                <c:pt idx="19">
                  <c:v>-55.25</c:v>
                </c:pt>
                <c:pt idx="20">
                  <c:v>-55</c:v>
                </c:pt>
                <c:pt idx="21">
                  <c:v>-54.75</c:v>
                </c:pt>
                <c:pt idx="22">
                  <c:v>-54.5</c:v>
                </c:pt>
                <c:pt idx="23">
                  <c:v>-54.25</c:v>
                </c:pt>
                <c:pt idx="24">
                  <c:v>-54</c:v>
                </c:pt>
                <c:pt idx="25">
                  <c:v>-53.75</c:v>
                </c:pt>
                <c:pt idx="26">
                  <c:v>-53.5</c:v>
                </c:pt>
                <c:pt idx="27">
                  <c:v>-53.25</c:v>
                </c:pt>
                <c:pt idx="28">
                  <c:v>-53</c:v>
                </c:pt>
                <c:pt idx="29">
                  <c:v>-52.75</c:v>
                </c:pt>
                <c:pt idx="30">
                  <c:v>-52.5</c:v>
                </c:pt>
                <c:pt idx="31">
                  <c:v>-52.25</c:v>
                </c:pt>
                <c:pt idx="32">
                  <c:v>-52</c:v>
                </c:pt>
                <c:pt idx="33">
                  <c:v>-51.75</c:v>
                </c:pt>
                <c:pt idx="34">
                  <c:v>-51.5</c:v>
                </c:pt>
                <c:pt idx="35">
                  <c:v>-51.25</c:v>
                </c:pt>
                <c:pt idx="36">
                  <c:v>-51</c:v>
                </c:pt>
                <c:pt idx="37">
                  <c:v>-50.75</c:v>
                </c:pt>
                <c:pt idx="38">
                  <c:v>-50.5</c:v>
                </c:pt>
                <c:pt idx="39">
                  <c:v>-50.25</c:v>
                </c:pt>
                <c:pt idx="40">
                  <c:v>-50</c:v>
                </c:pt>
                <c:pt idx="41">
                  <c:v>-49.75</c:v>
                </c:pt>
                <c:pt idx="42">
                  <c:v>-49.5</c:v>
                </c:pt>
                <c:pt idx="43">
                  <c:v>-49.25</c:v>
                </c:pt>
                <c:pt idx="44">
                  <c:v>-49</c:v>
                </c:pt>
                <c:pt idx="45">
                  <c:v>-48.75</c:v>
                </c:pt>
                <c:pt idx="46">
                  <c:v>-48.5</c:v>
                </c:pt>
                <c:pt idx="47">
                  <c:v>-48.25</c:v>
                </c:pt>
                <c:pt idx="48">
                  <c:v>-48</c:v>
                </c:pt>
                <c:pt idx="49">
                  <c:v>-47.75</c:v>
                </c:pt>
                <c:pt idx="50">
                  <c:v>-47.5</c:v>
                </c:pt>
                <c:pt idx="51">
                  <c:v>-47.25</c:v>
                </c:pt>
                <c:pt idx="52">
                  <c:v>-47</c:v>
                </c:pt>
                <c:pt idx="53">
                  <c:v>-46.75</c:v>
                </c:pt>
                <c:pt idx="54">
                  <c:v>-46.5</c:v>
                </c:pt>
                <c:pt idx="55">
                  <c:v>-46.25</c:v>
                </c:pt>
                <c:pt idx="56">
                  <c:v>-46</c:v>
                </c:pt>
                <c:pt idx="57">
                  <c:v>-45.75</c:v>
                </c:pt>
                <c:pt idx="58">
                  <c:v>-45.5</c:v>
                </c:pt>
                <c:pt idx="59">
                  <c:v>-45.25</c:v>
                </c:pt>
                <c:pt idx="60">
                  <c:v>-45</c:v>
                </c:pt>
                <c:pt idx="61">
                  <c:v>-44.75</c:v>
                </c:pt>
                <c:pt idx="62">
                  <c:v>-44.5</c:v>
                </c:pt>
                <c:pt idx="63">
                  <c:v>-44.25</c:v>
                </c:pt>
                <c:pt idx="64">
                  <c:v>-44</c:v>
                </c:pt>
                <c:pt idx="65">
                  <c:v>-43.75</c:v>
                </c:pt>
                <c:pt idx="66">
                  <c:v>-43.5</c:v>
                </c:pt>
                <c:pt idx="67">
                  <c:v>-43.25</c:v>
                </c:pt>
                <c:pt idx="68">
                  <c:v>-43</c:v>
                </c:pt>
                <c:pt idx="69">
                  <c:v>-42.75</c:v>
                </c:pt>
                <c:pt idx="70">
                  <c:v>-42.5</c:v>
                </c:pt>
                <c:pt idx="71">
                  <c:v>-42.25</c:v>
                </c:pt>
                <c:pt idx="72">
                  <c:v>-42</c:v>
                </c:pt>
                <c:pt idx="73">
                  <c:v>-41.75</c:v>
                </c:pt>
                <c:pt idx="74">
                  <c:v>-41.5</c:v>
                </c:pt>
                <c:pt idx="75">
                  <c:v>-41.25</c:v>
                </c:pt>
                <c:pt idx="76">
                  <c:v>-41</c:v>
                </c:pt>
                <c:pt idx="77">
                  <c:v>-40.75</c:v>
                </c:pt>
                <c:pt idx="78">
                  <c:v>-40.5</c:v>
                </c:pt>
                <c:pt idx="79">
                  <c:v>-40.25</c:v>
                </c:pt>
                <c:pt idx="80">
                  <c:v>-40</c:v>
                </c:pt>
                <c:pt idx="81">
                  <c:v>-39.75</c:v>
                </c:pt>
                <c:pt idx="82">
                  <c:v>-39.5</c:v>
                </c:pt>
                <c:pt idx="83">
                  <c:v>-39.25</c:v>
                </c:pt>
                <c:pt idx="84">
                  <c:v>-39</c:v>
                </c:pt>
                <c:pt idx="85">
                  <c:v>-38.75</c:v>
                </c:pt>
                <c:pt idx="86">
                  <c:v>-38.5</c:v>
                </c:pt>
                <c:pt idx="87">
                  <c:v>-38.25</c:v>
                </c:pt>
                <c:pt idx="88">
                  <c:v>-38</c:v>
                </c:pt>
                <c:pt idx="89">
                  <c:v>-37.75</c:v>
                </c:pt>
                <c:pt idx="90">
                  <c:v>-37.5</c:v>
                </c:pt>
                <c:pt idx="91">
                  <c:v>-37.25</c:v>
                </c:pt>
                <c:pt idx="92">
                  <c:v>-37</c:v>
                </c:pt>
                <c:pt idx="93">
                  <c:v>-36.75</c:v>
                </c:pt>
                <c:pt idx="94">
                  <c:v>-36.5</c:v>
                </c:pt>
                <c:pt idx="95">
                  <c:v>-36.25</c:v>
                </c:pt>
                <c:pt idx="96">
                  <c:v>-36</c:v>
                </c:pt>
                <c:pt idx="97">
                  <c:v>-35.75</c:v>
                </c:pt>
                <c:pt idx="98">
                  <c:v>-35.5</c:v>
                </c:pt>
                <c:pt idx="99">
                  <c:v>-35.25</c:v>
                </c:pt>
                <c:pt idx="100">
                  <c:v>-35</c:v>
                </c:pt>
                <c:pt idx="101">
                  <c:v>-34.75</c:v>
                </c:pt>
                <c:pt idx="102">
                  <c:v>-34.5</c:v>
                </c:pt>
                <c:pt idx="103">
                  <c:v>-34.25</c:v>
                </c:pt>
                <c:pt idx="104">
                  <c:v>-34</c:v>
                </c:pt>
                <c:pt idx="105">
                  <c:v>-33.75</c:v>
                </c:pt>
                <c:pt idx="106">
                  <c:v>-33.5</c:v>
                </c:pt>
                <c:pt idx="107">
                  <c:v>-33.25</c:v>
                </c:pt>
                <c:pt idx="108">
                  <c:v>-33</c:v>
                </c:pt>
                <c:pt idx="109">
                  <c:v>-32.75</c:v>
                </c:pt>
                <c:pt idx="110">
                  <c:v>-32.5</c:v>
                </c:pt>
                <c:pt idx="111">
                  <c:v>-32.25</c:v>
                </c:pt>
                <c:pt idx="112">
                  <c:v>-32</c:v>
                </c:pt>
                <c:pt idx="113">
                  <c:v>-31.75</c:v>
                </c:pt>
                <c:pt idx="114">
                  <c:v>-31.5</c:v>
                </c:pt>
                <c:pt idx="115">
                  <c:v>-31.25</c:v>
                </c:pt>
                <c:pt idx="116">
                  <c:v>-31</c:v>
                </c:pt>
                <c:pt idx="117">
                  <c:v>-30.75</c:v>
                </c:pt>
                <c:pt idx="118">
                  <c:v>-30.5</c:v>
                </c:pt>
                <c:pt idx="119">
                  <c:v>-30.25</c:v>
                </c:pt>
                <c:pt idx="120">
                  <c:v>-30</c:v>
                </c:pt>
                <c:pt idx="121">
                  <c:v>-29.75</c:v>
                </c:pt>
                <c:pt idx="122">
                  <c:v>-29.5</c:v>
                </c:pt>
                <c:pt idx="123">
                  <c:v>-29.25</c:v>
                </c:pt>
                <c:pt idx="124">
                  <c:v>-29</c:v>
                </c:pt>
                <c:pt idx="125">
                  <c:v>-28.75</c:v>
                </c:pt>
                <c:pt idx="126">
                  <c:v>-28.5</c:v>
                </c:pt>
                <c:pt idx="127">
                  <c:v>-28.25</c:v>
                </c:pt>
                <c:pt idx="128">
                  <c:v>-28</c:v>
                </c:pt>
                <c:pt idx="129">
                  <c:v>-27.75</c:v>
                </c:pt>
                <c:pt idx="130">
                  <c:v>-27.5</c:v>
                </c:pt>
                <c:pt idx="131">
                  <c:v>-27.25</c:v>
                </c:pt>
                <c:pt idx="132">
                  <c:v>-27</c:v>
                </c:pt>
                <c:pt idx="133">
                  <c:v>-26.75</c:v>
                </c:pt>
                <c:pt idx="134">
                  <c:v>-26.5</c:v>
                </c:pt>
                <c:pt idx="135">
                  <c:v>-26.25</c:v>
                </c:pt>
                <c:pt idx="136">
                  <c:v>-26</c:v>
                </c:pt>
                <c:pt idx="137">
                  <c:v>-25.75</c:v>
                </c:pt>
                <c:pt idx="138">
                  <c:v>-25.5</c:v>
                </c:pt>
                <c:pt idx="139">
                  <c:v>-25.25</c:v>
                </c:pt>
                <c:pt idx="140">
                  <c:v>-25</c:v>
                </c:pt>
                <c:pt idx="141">
                  <c:v>-24.75</c:v>
                </c:pt>
                <c:pt idx="142">
                  <c:v>-24.5</c:v>
                </c:pt>
                <c:pt idx="143">
                  <c:v>-24.25</c:v>
                </c:pt>
                <c:pt idx="144">
                  <c:v>-24</c:v>
                </c:pt>
                <c:pt idx="145">
                  <c:v>-23.75</c:v>
                </c:pt>
                <c:pt idx="146">
                  <c:v>-23.5</c:v>
                </c:pt>
                <c:pt idx="147">
                  <c:v>-23.25</c:v>
                </c:pt>
                <c:pt idx="148">
                  <c:v>-23</c:v>
                </c:pt>
                <c:pt idx="149">
                  <c:v>-22.75</c:v>
                </c:pt>
                <c:pt idx="150">
                  <c:v>-22.5</c:v>
                </c:pt>
                <c:pt idx="151">
                  <c:v>-22.25</c:v>
                </c:pt>
                <c:pt idx="152">
                  <c:v>-22</c:v>
                </c:pt>
                <c:pt idx="153">
                  <c:v>-21.75</c:v>
                </c:pt>
                <c:pt idx="154">
                  <c:v>-21.5</c:v>
                </c:pt>
                <c:pt idx="155">
                  <c:v>-21.25</c:v>
                </c:pt>
                <c:pt idx="156">
                  <c:v>-21</c:v>
                </c:pt>
                <c:pt idx="157">
                  <c:v>-20.75</c:v>
                </c:pt>
                <c:pt idx="158">
                  <c:v>-20.5</c:v>
                </c:pt>
                <c:pt idx="159">
                  <c:v>-20.25</c:v>
                </c:pt>
                <c:pt idx="160">
                  <c:v>-20</c:v>
                </c:pt>
                <c:pt idx="161">
                  <c:v>-19.75</c:v>
                </c:pt>
                <c:pt idx="162">
                  <c:v>-19.5</c:v>
                </c:pt>
                <c:pt idx="163">
                  <c:v>-19.25</c:v>
                </c:pt>
                <c:pt idx="164">
                  <c:v>-19</c:v>
                </c:pt>
                <c:pt idx="165">
                  <c:v>-18.75</c:v>
                </c:pt>
                <c:pt idx="166">
                  <c:v>-18.5</c:v>
                </c:pt>
                <c:pt idx="167">
                  <c:v>-18.25</c:v>
                </c:pt>
                <c:pt idx="168">
                  <c:v>-18</c:v>
                </c:pt>
                <c:pt idx="169">
                  <c:v>-17.75</c:v>
                </c:pt>
                <c:pt idx="170">
                  <c:v>-17.5</c:v>
                </c:pt>
                <c:pt idx="171">
                  <c:v>-17.25</c:v>
                </c:pt>
                <c:pt idx="172">
                  <c:v>-17</c:v>
                </c:pt>
                <c:pt idx="173">
                  <c:v>-16.75</c:v>
                </c:pt>
                <c:pt idx="174">
                  <c:v>-16.5</c:v>
                </c:pt>
                <c:pt idx="175">
                  <c:v>-16.25</c:v>
                </c:pt>
                <c:pt idx="176">
                  <c:v>-16</c:v>
                </c:pt>
                <c:pt idx="177">
                  <c:v>-15.75</c:v>
                </c:pt>
                <c:pt idx="178">
                  <c:v>-15.5</c:v>
                </c:pt>
                <c:pt idx="179">
                  <c:v>-15.25</c:v>
                </c:pt>
                <c:pt idx="180">
                  <c:v>-15</c:v>
                </c:pt>
                <c:pt idx="181">
                  <c:v>-14.75</c:v>
                </c:pt>
                <c:pt idx="182">
                  <c:v>-14.5</c:v>
                </c:pt>
                <c:pt idx="183">
                  <c:v>-14.25</c:v>
                </c:pt>
                <c:pt idx="184">
                  <c:v>-14</c:v>
                </c:pt>
                <c:pt idx="185">
                  <c:v>-13.75</c:v>
                </c:pt>
                <c:pt idx="186">
                  <c:v>-13.5</c:v>
                </c:pt>
                <c:pt idx="187">
                  <c:v>-13.25</c:v>
                </c:pt>
                <c:pt idx="188">
                  <c:v>-13</c:v>
                </c:pt>
                <c:pt idx="189">
                  <c:v>-12.75</c:v>
                </c:pt>
                <c:pt idx="190">
                  <c:v>-12.5</c:v>
                </c:pt>
                <c:pt idx="191">
                  <c:v>-12.25</c:v>
                </c:pt>
                <c:pt idx="192">
                  <c:v>-12</c:v>
                </c:pt>
                <c:pt idx="193">
                  <c:v>-11.75</c:v>
                </c:pt>
                <c:pt idx="194">
                  <c:v>-11.5</c:v>
                </c:pt>
                <c:pt idx="195">
                  <c:v>-11.25</c:v>
                </c:pt>
                <c:pt idx="196">
                  <c:v>-11</c:v>
                </c:pt>
                <c:pt idx="197">
                  <c:v>-10.75</c:v>
                </c:pt>
                <c:pt idx="198">
                  <c:v>-10.5</c:v>
                </c:pt>
                <c:pt idx="199">
                  <c:v>-10.25</c:v>
                </c:pt>
                <c:pt idx="200">
                  <c:v>-10</c:v>
                </c:pt>
                <c:pt idx="201">
                  <c:v>-9.75</c:v>
                </c:pt>
                <c:pt idx="202">
                  <c:v>-9.5</c:v>
                </c:pt>
                <c:pt idx="203">
                  <c:v>-9.25</c:v>
                </c:pt>
                <c:pt idx="204">
                  <c:v>-9</c:v>
                </c:pt>
                <c:pt idx="205">
                  <c:v>-8.75</c:v>
                </c:pt>
                <c:pt idx="206">
                  <c:v>-8.5</c:v>
                </c:pt>
                <c:pt idx="207">
                  <c:v>-8.25</c:v>
                </c:pt>
                <c:pt idx="208">
                  <c:v>-8</c:v>
                </c:pt>
                <c:pt idx="209">
                  <c:v>-7.75</c:v>
                </c:pt>
                <c:pt idx="210">
                  <c:v>-7.5</c:v>
                </c:pt>
                <c:pt idx="211">
                  <c:v>-7.25</c:v>
                </c:pt>
                <c:pt idx="212">
                  <c:v>-7</c:v>
                </c:pt>
                <c:pt idx="213">
                  <c:v>-6.75</c:v>
                </c:pt>
                <c:pt idx="214">
                  <c:v>-6.5</c:v>
                </c:pt>
                <c:pt idx="215">
                  <c:v>-6.25</c:v>
                </c:pt>
                <c:pt idx="216">
                  <c:v>-6</c:v>
                </c:pt>
                <c:pt idx="217">
                  <c:v>-5.75</c:v>
                </c:pt>
                <c:pt idx="218">
                  <c:v>-5.5</c:v>
                </c:pt>
                <c:pt idx="219">
                  <c:v>-5.25</c:v>
                </c:pt>
                <c:pt idx="220">
                  <c:v>-5</c:v>
                </c:pt>
                <c:pt idx="221">
                  <c:v>-4.75</c:v>
                </c:pt>
                <c:pt idx="222">
                  <c:v>-4.5</c:v>
                </c:pt>
                <c:pt idx="223">
                  <c:v>-4.25</c:v>
                </c:pt>
                <c:pt idx="224">
                  <c:v>-4</c:v>
                </c:pt>
                <c:pt idx="225">
                  <c:v>-3.75</c:v>
                </c:pt>
                <c:pt idx="226">
                  <c:v>-3.5</c:v>
                </c:pt>
                <c:pt idx="227">
                  <c:v>-3.25</c:v>
                </c:pt>
                <c:pt idx="228">
                  <c:v>-3</c:v>
                </c:pt>
                <c:pt idx="229">
                  <c:v>-2.75</c:v>
                </c:pt>
                <c:pt idx="230">
                  <c:v>-2.5</c:v>
                </c:pt>
                <c:pt idx="231">
                  <c:v>-2.25</c:v>
                </c:pt>
                <c:pt idx="232">
                  <c:v>-2</c:v>
                </c:pt>
                <c:pt idx="233">
                  <c:v>-1.75</c:v>
                </c:pt>
                <c:pt idx="234">
                  <c:v>-1.5</c:v>
                </c:pt>
                <c:pt idx="235">
                  <c:v>-1.25</c:v>
                </c:pt>
                <c:pt idx="236">
                  <c:v>-1</c:v>
                </c:pt>
                <c:pt idx="237">
                  <c:v>-0.75</c:v>
                </c:pt>
                <c:pt idx="238">
                  <c:v>-0.5</c:v>
                </c:pt>
                <c:pt idx="239">
                  <c:v>-0.25</c:v>
                </c:pt>
                <c:pt idx="240">
                  <c:v>0</c:v>
                </c:pt>
                <c:pt idx="241">
                  <c:v>0.25</c:v>
                </c:pt>
                <c:pt idx="242">
                  <c:v>0.5</c:v>
                </c:pt>
                <c:pt idx="243">
                  <c:v>0.75</c:v>
                </c:pt>
                <c:pt idx="244">
                  <c:v>1</c:v>
                </c:pt>
                <c:pt idx="245">
                  <c:v>1.25</c:v>
                </c:pt>
                <c:pt idx="246">
                  <c:v>1.5</c:v>
                </c:pt>
                <c:pt idx="247">
                  <c:v>1.75</c:v>
                </c:pt>
                <c:pt idx="248">
                  <c:v>2</c:v>
                </c:pt>
                <c:pt idx="249">
                  <c:v>2.25</c:v>
                </c:pt>
                <c:pt idx="250">
                  <c:v>2.5</c:v>
                </c:pt>
                <c:pt idx="251">
                  <c:v>2.75</c:v>
                </c:pt>
                <c:pt idx="252">
                  <c:v>3</c:v>
                </c:pt>
                <c:pt idx="253">
                  <c:v>3.25</c:v>
                </c:pt>
                <c:pt idx="254">
                  <c:v>3.5</c:v>
                </c:pt>
                <c:pt idx="255">
                  <c:v>3.75</c:v>
                </c:pt>
                <c:pt idx="256">
                  <c:v>4</c:v>
                </c:pt>
                <c:pt idx="257">
                  <c:v>4.25</c:v>
                </c:pt>
                <c:pt idx="258">
                  <c:v>4.5</c:v>
                </c:pt>
                <c:pt idx="259">
                  <c:v>4.75</c:v>
                </c:pt>
                <c:pt idx="260">
                  <c:v>5</c:v>
                </c:pt>
                <c:pt idx="261">
                  <c:v>5.25</c:v>
                </c:pt>
                <c:pt idx="262">
                  <c:v>5.5</c:v>
                </c:pt>
                <c:pt idx="263">
                  <c:v>5.75</c:v>
                </c:pt>
                <c:pt idx="264">
                  <c:v>6</c:v>
                </c:pt>
                <c:pt idx="265">
                  <c:v>6.25</c:v>
                </c:pt>
                <c:pt idx="266">
                  <c:v>6.5</c:v>
                </c:pt>
                <c:pt idx="267">
                  <c:v>6.75</c:v>
                </c:pt>
                <c:pt idx="268">
                  <c:v>7</c:v>
                </c:pt>
                <c:pt idx="269">
                  <c:v>7.25</c:v>
                </c:pt>
                <c:pt idx="270">
                  <c:v>7.5</c:v>
                </c:pt>
                <c:pt idx="271">
                  <c:v>7.75</c:v>
                </c:pt>
                <c:pt idx="272">
                  <c:v>8</c:v>
                </c:pt>
                <c:pt idx="273">
                  <c:v>8.25</c:v>
                </c:pt>
                <c:pt idx="274">
                  <c:v>8.5</c:v>
                </c:pt>
                <c:pt idx="275">
                  <c:v>8.75</c:v>
                </c:pt>
                <c:pt idx="276">
                  <c:v>9</c:v>
                </c:pt>
                <c:pt idx="277">
                  <c:v>9.25</c:v>
                </c:pt>
                <c:pt idx="278">
                  <c:v>9.5</c:v>
                </c:pt>
                <c:pt idx="279">
                  <c:v>9.75</c:v>
                </c:pt>
                <c:pt idx="280">
                  <c:v>10</c:v>
                </c:pt>
                <c:pt idx="281">
                  <c:v>10.25</c:v>
                </c:pt>
                <c:pt idx="282">
                  <c:v>10.5</c:v>
                </c:pt>
                <c:pt idx="283">
                  <c:v>10.75</c:v>
                </c:pt>
                <c:pt idx="284">
                  <c:v>11</c:v>
                </c:pt>
                <c:pt idx="285">
                  <c:v>11.25</c:v>
                </c:pt>
                <c:pt idx="286">
                  <c:v>11.5</c:v>
                </c:pt>
                <c:pt idx="287">
                  <c:v>11.75</c:v>
                </c:pt>
                <c:pt idx="288">
                  <c:v>12</c:v>
                </c:pt>
                <c:pt idx="289">
                  <c:v>12.25</c:v>
                </c:pt>
                <c:pt idx="290">
                  <c:v>12.5</c:v>
                </c:pt>
                <c:pt idx="291">
                  <c:v>12.75</c:v>
                </c:pt>
                <c:pt idx="292">
                  <c:v>13</c:v>
                </c:pt>
                <c:pt idx="293">
                  <c:v>13.25</c:v>
                </c:pt>
                <c:pt idx="294">
                  <c:v>13.5</c:v>
                </c:pt>
                <c:pt idx="295">
                  <c:v>13.75</c:v>
                </c:pt>
                <c:pt idx="296">
                  <c:v>14</c:v>
                </c:pt>
                <c:pt idx="297">
                  <c:v>14.25</c:v>
                </c:pt>
                <c:pt idx="298">
                  <c:v>14.5</c:v>
                </c:pt>
                <c:pt idx="299">
                  <c:v>14.75</c:v>
                </c:pt>
                <c:pt idx="300">
                  <c:v>15</c:v>
                </c:pt>
                <c:pt idx="301">
                  <c:v>15.25</c:v>
                </c:pt>
                <c:pt idx="302">
                  <c:v>15.5</c:v>
                </c:pt>
                <c:pt idx="303">
                  <c:v>15.75</c:v>
                </c:pt>
                <c:pt idx="304">
                  <c:v>16</c:v>
                </c:pt>
                <c:pt idx="305">
                  <c:v>16.25</c:v>
                </c:pt>
                <c:pt idx="306">
                  <c:v>16.5</c:v>
                </c:pt>
                <c:pt idx="307">
                  <c:v>16.75</c:v>
                </c:pt>
                <c:pt idx="308">
                  <c:v>17</c:v>
                </c:pt>
                <c:pt idx="309">
                  <c:v>17.25</c:v>
                </c:pt>
                <c:pt idx="310">
                  <c:v>17.5</c:v>
                </c:pt>
                <c:pt idx="311">
                  <c:v>17.75</c:v>
                </c:pt>
                <c:pt idx="312">
                  <c:v>18</c:v>
                </c:pt>
              </c:numCache>
            </c:numRef>
          </c:xVal>
          <c:yVal>
            <c:numRef>
              <c:f>'transversal subsidence profile'!$AA$10:$AA$322</c:f>
              <c:numCache>
                <c:formatCode>0.000000000</c:formatCode>
                <c:ptCount val="313"/>
                <c:pt idx="0">
                  <c:v>-9.4782429991450291E-17</c:v>
                </c:pt>
                <c:pt idx="1">
                  <c:v>-1.3053717469037055E-16</c:v>
                </c:pt>
                <c:pt idx="2">
                  <c:v>-1.7952669572287391E-16</c:v>
                </c:pt>
                <c:pt idx="3">
                  <c:v>-2.4655407624641417E-16</c:v>
                </c:pt>
                <c:pt idx="4">
                  <c:v>-3.3812985414271306E-16</c:v>
                </c:pt>
                <c:pt idx="5">
                  <c:v>-4.6306599066633452E-16</c:v>
                </c:pt>
                <c:pt idx="6">
                  <c:v>-6.3327180063222913E-16</c:v>
                </c:pt>
                <c:pt idx="7">
                  <c:v>-8.6481887967796984E-16</c:v>
                </c:pt>
                <c:pt idx="8">
                  <c:v>-1.1793637528424968E-15</c:v>
                </c:pt>
                <c:pt idx="9">
                  <c:v>-1.6060454857725241E-15</c:v>
                </c:pt>
                <c:pt idx="10">
                  <c:v>-2.1840129331144E-15</c:v>
                </c:pt>
                <c:pt idx="11">
                  <c:v>-2.965785354383542E-15</c:v>
                </c:pt>
                <c:pt idx="12">
                  <c:v>-4.0217143076506086E-15</c:v>
                </c:pt>
                <c:pt idx="13">
                  <c:v>-5.4458985588789394E-15</c:v>
                </c:pt>
                <c:pt idx="14">
                  <c:v>-7.364013051592071E-15</c:v>
                </c:pt>
                <c:pt idx="15">
                  <c:v>-9.9436552736539939E-15</c:v>
                </c:pt>
                <c:pt idx="16">
                  <c:v>-1.3407997278383883E-14</c:v>
                </c:pt>
                <c:pt idx="17">
                  <c:v>-1.805377153244759E-14</c:v>
                </c:pt>
                <c:pt idx="18">
                  <c:v>-2.4274929503168567E-14</c:v>
                </c:pt>
                <c:pt idx="19">
                  <c:v>-3.2593713690420054E-14</c:v>
                </c:pt>
                <c:pt idx="20">
                  <c:v>-4.3701402451710684E-14</c:v>
                </c:pt>
                <c:pt idx="21">
                  <c:v>-5.8511655307602546E-14</c:v>
                </c:pt>
                <c:pt idx="22">
                  <c:v>-7.8230246184883214E-14</c:v>
                </c:pt>
                <c:pt idx="23">
                  <c:v>-1.0444607619573159E-13</c:v>
                </c:pt>
                <c:pt idx="24">
                  <c:v>-1.3924977308507722E-13</c:v>
                </c:pt>
                <c:pt idx="25">
                  <c:v>-1.8538799610018578E-13</c:v>
                </c:pt>
                <c:pt idx="26">
                  <c:v>-2.4646387957172683E-13</c:v>
                </c:pt>
                <c:pt idx="27">
                  <c:v>-3.2719700042887916E-13</c:v>
                </c:pt>
                <c:pt idx="28">
                  <c:v>-4.3376001318633173E-13</c:v>
                </c:pt>
                <c:pt idx="29">
                  <c:v>-5.742138725663743E-13</c:v>
                </c:pt>
                <c:pt idx="30">
                  <c:v>-7.5906962412982003E-13</c:v>
                </c:pt>
                <c:pt idx="31">
                  <c:v>-1.0020124184953191E-12</c:v>
                </c:pt>
                <c:pt idx="32">
                  <c:v>-1.320833108156023E-12</c:v>
                </c:pt>
                <c:pt idx="33">
                  <c:v>-1.7386250317942198E-12</c:v>
                </c:pt>
                <c:pt idx="34">
                  <c:v>-2.2853190180296713E-12</c:v>
                </c:pt>
                <c:pt idx="35">
                  <c:v>-2.9996490403827526E-12</c:v>
                </c:pt>
                <c:pt idx="36">
                  <c:v>-3.9316653072302868E-12</c:v>
                </c:pt>
                <c:pt idx="37">
                  <c:v>-5.145942083752784E-12</c:v>
                </c:pt>
                <c:pt idx="38">
                  <c:v>-6.725665706989935E-12</c:v>
                </c:pt>
                <c:pt idx="39">
                  <c:v>-8.7778359017937611E-12</c:v>
                </c:pt>
                <c:pt idx="40">
                  <c:v>-1.143987288221295E-11</c:v>
                </c:pt>
                <c:pt idx="41">
                  <c:v>-1.4887996581748047E-11</c:v>
                </c:pt>
                <c:pt idx="42">
                  <c:v>-1.9347836059877806E-11</c:v>
                </c:pt>
                <c:pt idx="43">
                  <c:v>-2.5107840781879379E-11</c:v>
                </c:pt>
                <c:pt idx="44">
                  <c:v>-3.2536206053767727E-11</c:v>
                </c:pt>
                <c:pt idx="45">
                  <c:v>-4.2102198472251801E-11</c:v>
                </c:pt>
                <c:pt idx="46">
                  <c:v>-5.4402981160523196E-11</c:v>
                </c:pt>
                <c:pt idx="47">
                  <c:v>-7.0197301677118094E-11</c:v>
                </c:pt>
                <c:pt idx="48">
                  <c:v>-9.0447728509277747E-11</c:v>
                </c:pt>
                <c:pt idx="49">
                  <c:v>-1.1637351787439369E-10</c:v>
                </c:pt>
                <c:pt idx="50">
                  <c:v>-1.495166766196422E-10</c:v>
                </c:pt>
                <c:pt idx="51">
                  <c:v>-1.9182437785996339E-10</c:v>
                </c:pt>
                <c:pt idx="52">
                  <c:v>-2.4575160577531036E-10</c:v>
                </c:pt>
                <c:pt idx="53">
                  <c:v>-3.1438878110885053E-10</c:v>
                </c:pt>
                <c:pt idx="54">
                  <c:v>-4.0162018078529666E-10</c:v>
                </c:pt>
                <c:pt idx="55">
                  <c:v>-5.1232025098610612E-10</c:v>
                </c:pt>
                <c:pt idx="56">
                  <c:v>-6.5259646711282853E-10</c:v>
                </c:pt>
                <c:pt idx="57">
                  <c:v>-8.3008926846186461E-10</c:v>
                </c:pt>
                <c:pt idx="58">
                  <c:v>-1.0543418515150771E-9</c:v>
                </c:pt>
                <c:pt idx="59">
                  <c:v>-1.337255315647964E-9</c:v>
                </c:pt>
                <c:pt idx="60">
                  <c:v>-1.6936479032864237E-9</c:v>
                </c:pt>
                <c:pt idx="61">
                  <c:v>-2.141940961873801E-9</c:v>
                </c:pt>
                <c:pt idx="62">
                  <c:v>-2.7049988925529816E-9</c:v>
                </c:pt>
                <c:pt idx="63">
                  <c:v>-3.4111558740067029E-9</c:v>
                </c:pt>
                <c:pt idx="64">
                  <c:v>-4.2954687144746791E-9</c:v>
                </c:pt>
                <c:pt idx="65">
                  <c:v>-5.4012429697300894E-9</c:v>
                </c:pt>
                <c:pt idx="66">
                  <c:v>-6.7818886761464562E-9</c:v>
                </c:pt>
                <c:pt idx="67">
                  <c:v>-8.503172922967208E-9</c:v>
                </c:pt>
                <c:pt idx="68">
                  <c:v>-1.0645949297897659E-8</c:v>
                </c:pt>
                <c:pt idx="69">
                  <c:v>-1.3309459294881077E-8</c:v>
                </c:pt>
                <c:pt idx="70">
                  <c:v>-1.6615318424626453E-8</c:v>
                </c:pt>
                <c:pt idx="71">
                  <c:v>-2.0712320416334336E-8</c:v>
                </c:pt>
                <c:pt idx="72">
                  <c:v>-2.5782216993929284E-8</c:v>
                </c:pt>
                <c:pt idx="73">
                  <c:v>-3.2046658759113176E-8</c:v>
                </c:pt>
                <c:pt idx="74">
                  <c:v>-3.9775515285040622E-8</c:v>
                </c:pt>
                <c:pt idx="75">
                  <c:v>-4.9296830252630389E-8</c:v>
                </c:pt>
                <c:pt idx="76">
                  <c:v>-6.1008711051232058E-8</c:v>
                </c:pt>
                <c:pt idx="77">
                  <c:v>-7.5393502496107925E-8</c:v>
                </c:pt>
                <c:pt idx="78">
                  <c:v>-9.303465204504829E-8</c:v>
                </c:pt>
                <c:pt idx="79">
                  <c:v>-1.1463674006511662E-7</c:v>
                </c:pt>
                <c:pt idx="80">
                  <c:v>-1.4104922433134079E-7</c:v>
                </c:pt>
                <c:pt idx="81">
                  <c:v>-1.7329453413998934E-7</c:v>
                </c:pt>
                <c:pt idx="82">
                  <c:v>-2.1260124738135883E-7</c:v>
                </c:pt>
                <c:pt idx="83">
                  <c:v>-2.6044319491311688E-7</c:v>
                </c:pt>
                <c:pt idx="84">
                  <c:v>-3.1858546195317385E-7</c:v>
                </c:pt>
                <c:pt idx="85">
                  <c:v>-3.8913839738620569E-7</c:v>
                </c:pt>
                <c:pt idx="86">
                  <c:v>-4.7462090032170341E-7</c:v>
                </c:pt>
                <c:pt idx="87">
                  <c:v>-5.780344304651821E-7</c:v>
                </c:pt>
                <c:pt idx="88">
                  <c:v>-7.0294938639957686E-7</c:v>
                </c:pt>
                <c:pt idx="89">
                  <c:v>-8.5360571524654466E-7</c:v>
                </c:pt>
                <c:pt idx="90">
                  <c:v>-1.0350298598760881E-6</c:v>
                </c:pt>
                <c:pt idx="91">
                  <c:v>-1.2531704172704266E-6</c:v>
                </c:pt>
                <c:pt idx="92">
                  <c:v>-1.5150551751163741E-6</c:v>
                </c:pt>
                <c:pt idx="93">
                  <c:v>-1.8289725143158999E-6</c:v>
                </c:pt>
                <c:pt idx="94">
                  <c:v>-2.2046805137462002E-6</c:v>
                </c:pt>
                <c:pt idx="95">
                  <c:v>-2.6536474708375868E-6</c:v>
                </c:pt>
                <c:pt idx="96">
                  <c:v>-3.1893279575471119E-6</c:v>
                </c:pt>
                <c:pt idx="97">
                  <c:v>-3.8274789657821604E-6</c:v>
                </c:pt>
                <c:pt idx="98">
                  <c:v>-4.5865211583781222E-6</c:v>
                </c:pt>
                <c:pt idx="99">
                  <c:v>-5.4879507297651114E-6</c:v>
                </c:pt>
                <c:pt idx="100">
                  <c:v>-6.5568078920547199E-6</c:v>
                </c:pt>
                <c:pt idx="101">
                  <c:v>-7.8222085340658061E-6</c:v>
                </c:pt>
                <c:pt idx="102">
                  <c:v>-9.3179461483161215E-6</c:v>
                </c:pt>
                <c:pt idx="103">
                  <c:v>-1.1083171678513743E-5</c:v>
                </c:pt>
                <c:pt idx="104">
                  <c:v>-1.3163159500460527E-5</c:v>
                </c:pt>
                <c:pt idx="105">
                  <c:v>-1.5610168303839267E-5</c:v>
                </c:pt>
                <c:pt idx="106">
                  <c:v>-1.8484406180679844E-5</c:v>
                </c:pt>
                <c:pt idx="107">
                  <c:v>-2.1855109736085395E-5</c:v>
                </c:pt>
                <c:pt idx="108">
                  <c:v>-2.580174750371607E-5</c:v>
                </c:pt>
                <c:pt idx="109">
                  <c:v>-3.0415358356063437E-5</c:v>
                </c:pt>
                <c:pt idx="110">
                  <c:v>-3.5800035928899141E-5</c:v>
                </c:pt>
                <c:pt idx="111">
                  <c:v>-4.2074570309245817E-5</c:v>
                </c:pt>
                <c:pt idx="112">
                  <c:v>-4.9374258343129331E-5</c:v>
                </c:pt>
                <c:pt idx="113">
                  <c:v>-5.7852893877065229E-5</c:v>
                </c:pt>
                <c:pt idx="114">
                  <c:v>-6.7684949027070957E-5</c:v>
                </c:pt>
                <c:pt idx="115">
                  <c:v>-7.9067957139915482E-5</c:v>
                </c:pt>
                <c:pt idx="116">
                  <c:v>-9.2225107439996684E-5</c:v>
                </c:pt>
                <c:pt idx="117">
                  <c:v>-1.074080604062767E-4</c:v>
                </c:pt>
                <c:pt idx="118">
                  <c:v>-1.2489999165991831E-4</c:v>
                </c:pt>
                <c:pt idx="119">
                  <c:v>-1.450188705261054E-4</c:v>
                </c:pt>
                <c:pt idx="120">
                  <c:v>-1.6812097742350125E-4</c:v>
                </c:pt>
                <c:pt idx="121">
                  <c:v>-1.9460466179214441E-4</c:v>
                </c:pt>
                <c:pt idx="122">
                  <c:v>-2.2491433935589399E-4</c:v>
                </c:pt>
                <c:pt idx="123">
                  <c:v>-2.5954472409070624E-4</c:v>
                </c:pt>
                <c:pt idx="124">
                  <c:v>-2.9904528629911393E-4</c:v>
                </c:pt>
                <c:pt idx="125">
                  <c:v>-3.4402492364163216E-4</c:v>
                </c:pt>
                <c:pt idx="126">
                  <c:v>-3.9515682681935785E-4</c:v>
                </c:pt>
                <c:pt idx="127">
                  <c:v>-4.5318351581646882E-4</c:v>
                </c:pt>
                <c:pt idx="128">
                  <c:v>-5.1892201618174323E-4</c:v>
                </c:pt>
                <c:pt idx="129">
                  <c:v>-5.9326913774856559E-4</c:v>
                </c:pt>
                <c:pt idx="130">
                  <c:v>-6.7720681046760163E-4</c:v>
                </c:pt>
                <c:pt idx="131">
                  <c:v>-7.7180742367214598E-4</c:v>
                </c:pt>
                <c:pt idx="132">
                  <c:v>-8.7823910614371454E-4</c:v>
                </c:pt>
                <c:pt idx="133">
                  <c:v>-9.9777087484125807E-4</c:v>
                </c:pt>
                <c:pt idx="134">
                  <c:v>-1.1317775701651903E-3</c:v>
                </c:pt>
                <c:pt idx="135">
                  <c:v>-1.28174448523029E-3</c:v>
                </c:pt>
                <c:pt idx="136">
                  <c:v>-1.4492715859229601E-3</c:v>
                </c:pt>
                <c:pt idx="137">
                  <c:v>-1.6360772076438341E-3</c:v>
                </c:pt>
                <c:pt idx="138">
                  <c:v>-1.8440011037348146E-3</c:v>
                </c:pt>
                <c:pt idx="139">
                  <c:v>-2.0750067098326201E-3</c:v>
                </c:pt>
                <c:pt idx="140">
                  <c:v>-2.3311824779755062E-3</c:v>
                </c:pt>
                <c:pt idx="141">
                  <c:v>-2.6147421244365923E-3</c:v>
                </c:pt>
                <c:pt idx="142">
                  <c:v>-2.928023626211074E-3</c:v>
                </c:pt>
                <c:pt idx="143">
                  <c:v>-3.2734867931122295E-3</c:v>
                </c:pt>
                <c:pt idx="144">
                  <c:v>-3.6537092358212577E-3</c:v>
                </c:pt>
                <c:pt idx="145">
                  <c:v>-4.0713805452947515E-3</c:v>
                </c:pt>
                <c:pt idx="146">
                  <c:v>-4.5292944959836002E-3</c:v>
                </c:pt>
                <c:pt idx="147">
                  <c:v>-5.0303390846916929E-3</c:v>
                </c:pt>
                <c:pt idx="148">
                  <c:v>-5.5774842189428471E-3</c:v>
                </c:pt>
                <c:pt idx="149">
                  <c:v>-6.1737668737714439E-3</c:v>
                </c:pt>
                <c:pt idx="150">
                  <c:v>-6.82227354424362E-3</c:v>
                </c:pt>
                <c:pt idx="151">
                  <c:v>-7.5261198330762837E-3</c:v>
                </c:pt>
                <c:pt idx="152">
                  <c:v>-8.2884270287558147E-3</c:v>
                </c:pt>
                <c:pt idx="153">
                  <c:v>-9.1122955498438418E-3</c:v>
                </c:pt>
                <c:pt idx="154">
                  <c:v>-1.0000775155933157E-2</c:v>
                </c:pt>
                <c:pt idx="155">
                  <c:v>-1.0956831855175462E-2</c:v>
                </c:pt>
                <c:pt idx="156">
                  <c:v>-1.1983311472579443E-2</c:v>
                </c:pt>
                <c:pt idx="157">
                  <c:v>-1.3082899882442363E-2</c:v>
                </c:pt>
                <c:pt idx="158">
                  <c:v>-1.4258079952323309E-2</c:v>
                </c:pt>
                <c:pt idx="159">
                  <c:v>-1.5511085294798431E-2</c:v>
                </c:pt>
                <c:pt idx="160">
                  <c:v>-1.6843850976669482E-2</c:v>
                </c:pt>
                <c:pt idx="161">
                  <c:v>-1.8257961393035635E-2</c:v>
                </c:pt>
                <c:pt idx="162">
                  <c:v>-1.9754595575282918E-2</c:v>
                </c:pt>
                <c:pt idx="163">
                  <c:v>-2.1334470267078711E-2</c:v>
                </c:pt>
                <c:pt idx="164">
                  <c:v>-2.2997781170242069E-2</c:v>
                </c:pt>
                <c:pt idx="165">
                  <c:v>-2.4744142832135531E-2</c:v>
                </c:pt>
                <c:pt idx="166">
                  <c:v>-2.6572527717108427E-2</c:v>
                </c:pt>
                <c:pt idx="167">
                  <c:v>-2.8481205075514049E-2</c:v>
                </c:pt>
                <c:pt idx="168">
                  <c:v>-3.0467680293809453E-2</c:v>
                </c:pt>
                <c:pt idx="169">
                  <c:v>-3.2528635477005678E-2</c:v>
                </c:pt>
                <c:pt idx="170">
                  <c:v>-3.4659872078952277E-2</c:v>
                </c:pt>
                <c:pt idx="171">
                  <c:v>-3.6856256455218304E-2</c:v>
                </c:pt>
                <c:pt idx="172">
                  <c:v>-3.9111669266214198E-2</c:v>
                </c:pt>
                <c:pt idx="173">
                  <c:v>-4.1418959703185397E-2</c:v>
                </c:pt>
                <c:pt idx="174">
                  <c:v>-4.3769905545280471E-2</c:v>
                </c:pt>
                <c:pt idx="175">
                  <c:v>-4.6155180080545415E-2</c:v>
                </c:pt>
                <c:pt idx="176">
                  <c:v>-4.8564326935948178E-2</c:v>
                </c:pt>
                <c:pt idx="177">
                  <c:v>-5.0985743859989781E-2</c:v>
                </c:pt>
                <c:pt idx="178">
                  <c:v>-5.3406676484808326E-2</c:v>
                </c:pt>
                <c:pt idx="179">
                  <c:v>-5.5813223061761424E-2</c:v>
                </c:pt>
                <c:pt idx="180">
                  <c:v>-5.8190351114285908E-2</c:v>
                </c:pt>
                <c:pt idx="181">
                  <c:v>-6.0521926883584785E-2</c:v>
                </c:pt>
                <c:pt idx="182">
                  <c:v>-6.279075835582773E-2</c:v>
                </c:pt>
                <c:pt idx="183">
                  <c:v>-6.4978652553785682E-2</c:v>
                </c:pt>
                <c:pt idx="184">
                  <c:v>-6.7066487651163784E-2</c:v>
                </c:pt>
                <c:pt idx="185">
                  <c:v>-6.9034300324690101E-2</c:v>
                </c:pt>
                <c:pt idx="186">
                  <c:v>-7.086138859793939E-2</c:v>
                </c:pt>
                <c:pt idx="187">
                  <c:v>-7.252643025297062E-2</c:v>
                </c:pt>
                <c:pt idx="188">
                  <c:v>-7.4007616692549877E-2</c:v>
                </c:pt>
                <c:pt idx="189">
                  <c:v>-7.5282801928813883E-2</c:v>
                </c:pt>
                <c:pt idx="190">
                  <c:v>-7.6329666155873388E-2</c:v>
                </c:pt>
                <c:pt idx="191">
                  <c:v>-7.7125893136591239E-2</c:v>
                </c:pt>
                <c:pt idx="192">
                  <c:v>-7.7649360400477527E-2</c:v>
                </c:pt>
                <c:pt idx="193">
                  <c:v>-7.787834101351479E-2</c:v>
                </c:pt>
                <c:pt idx="194">
                  <c:v>-7.779171544523944E-2</c:v>
                </c:pt>
                <c:pt idx="195">
                  <c:v>-7.7369191827273281E-2</c:v>
                </c:pt>
                <c:pt idx="196">
                  <c:v>-7.6591532674624679E-2</c:v>
                </c:pt>
                <c:pt idx="197">
                  <c:v>-7.5440785930489071E-2</c:v>
                </c:pt>
                <c:pt idx="198">
                  <c:v>-7.3900518001068408E-2</c:v>
                </c:pt>
                <c:pt idx="199">
                  <c:v>-7.1956046273177268E-2</c:v>
                </c:pt>
                <c:pt idx="200">
                  <c:v>-6.9594668458113657E-2</c:v>
                </c:pt>
                <c:pt idx="201">
                  <c:v>-6.6805885984278265E-2</c:v>
                </c:pt>
                <c:pt idx="202">
                  <c:v>-6.3581618571921641E-2</c:v>
                </c:pt>
                <c:pt idx="203">
                  <c:v>-5.9916407069455307E-2</c:v>
                </c:pt>
                <c:pt idx="204">
                  <c:v>-5.5807601614845485E-2</c:v>
                </c:pt>
                <c:pt idx="205">
                  <c:v>-5.125553221010784E-2</c:v>
                </c:pt>
                <c:pt idx="206">
                  <c:v>-4.6263658863676088E-2</c:v>
                </c:pt>
                <c:pt idx="207">
                  <c:v>-4.0838698565656417E-2</c:v>
                </c:pt>
                <c:pt idx="208">
                  <c:v>-3.4990726515259515E-2</c:v>
                </c:pt>
                <c:pt idx="209">
                  <c:v>-2.873324921787232E-2</c:v>
                </c:pt>
                <c:pt idx="210">
                  <c:v>-2.2083247310390467E-2</c:v>
                </c:pt>
                <c:pt idx="211">
                  <c:v>-1.5061186255915822E-2</c:v>
                </c:pt>
                <c:pt idx="212">
                  <c:v>-7.6909933702915666E-3</c:v>
                </c:pt>
                <c:pt idx="213">
                  <c:v>0</c:v>
                </c:pt>
                <c:pt idx="214">
                  <c:v>7.9811519402586163E-3</c:v>
                </c:pt>
                <c:pt idx="215">
                  <c:v>1.6218639446095119E-2</c:v>
                </c:pt>
                <c:pt idx="216">
                  <c:v>2.4675623856153423E-2</c:v>
                </c:pt>
                <c:pt idx="217">
                  <c:v>3.3312451723459147E-2</c:v>
                </c:pt>
                <c:pt idx="218">
                  <c:v>4.2086890146585475E-2</c:v>
                </c:pt>
                <c:pt idx="219">
                  <c:v>5.0954395115742464E-2</c:v>
                </c:pt>
                <c:pt idx="220">
                  <c:v>5.9868410967009664E-2</c:v>
                </c:pt>
                <c:pt idx="221">
                  <c:v>6.8780698587451797E-2</c:v>
                </c:pt>
                <c:pt idx="222">
                  <c:v>7.7641689582037487E-2</c:v>
                </c:pt>
                <c:pt idx="223">
                  <c:v>8.6400863207292705E-2</c:v>
                </c:pt>
                <c:pt idx="224">
                  <c:v>9.5007142503417005E-2</c:v>
                </c:pt>
                <c:pt idx="225">
                  <c:v>0.1034093057227793</c:v>
                </c:pt>
                <c:pt idx="226">
                  <c:v>0.11155640886441902</c:v>
                </c:pt>
                <c:pt idx="227">
                  <c:v>0.11939821488694168</c:v>
                </c:pt>
                <c:pt idx="228">
                  <c:v>0.12688562499082728</c:v>
                </c:pt>
                <c:pt idx="229">
                  <c:v>0.13397110723966735</c:v>
                </c:pt>
                <c:pt idx="230">
                  <c:v>0.14060911773130239</c:v>
                </c:pt>
                <c:pt idx="231">
                  <c:v>0.14675650953635536</c:v>
                </c:pt>
                <c:pt idx="232">
                  <c:v>0.15237292469431638</c:v>
                </c:pt>
                <c:pt idx="233">
                  <c:v>0.15742116469612882</c:v>
                </c:pt>
                <c:pt idx="234">
                  <c:v>0.16186753508604998</c:v>
                </c:pt>
                <c:pt idx="235">
                  <c:v>0.16568216008222297</c:v>
                </c:pt>
                <c:pt idx="236">
                  <c:v>0.16883926344163988</c:v>
                </c:pt>
                <c:pt idx="237">
                  <c:v>0.17131741217671745</c:v>
                </c:pt>
                <c:pt idx="238">
                  <c:v>0.17309972016231057</c:v>
                </c:pt>
                <c:pt idx="239">
                  <c:v>0.17417400914753969</c:v>
                </c:pt>
                <c:pt idx="240">
                  <c:v>0.17453292519943295</c:v>
                </c:pt>
                <c:pt idx="241">
                  <c:v>0.17417400914753969</c:v>
                </c:pt>
                <c:pt idx="242">
                  <c:v>0.17309972016231057</c:v>
                </c:pt>
                <c:pt idx="243">
                  <c:v>0.17131741217671745</c:v>
                </c:pt>
                <c:pt idx="244">
                  <c:v>0.16883926344163988</c:v>
                </c:pt>
                <c:pt idx="245">
                  <c:v>0.16568216008222297</c:v>
                </c:pt>
                <c:pt idx="246">
                  <c:v>0.16186753508604998</c:v>
                </c:pt>
                <c:pt idx="247">
                  <c:v>0.15742116469612882</c:v>
                </c:pt>
                <c:pt idx="248">
                  <c:v>0.15237292469431638</c:v>
                </c:pt>
                <c:pt idx="249">
                  <c:v>0.14675650953635536</c:v>
                </c:pt>
                <c:pt idx="250">
                  <c:v>0.14060911773130239</c:v>
                </c:pt>
                <c:pt idx="251">
                  <c:v>0.13397110723966735</c:v>
                </c:pt>
                <c:pt idx="252">
                  <c:v>0.12688562499082728</c:v>
                </c:pt>
                <c:pt idx="253">
                  <c:v>0.11939821488694168</c:v>
                </c:pt>
                <c:pt idx="254">
                  <c:v>0.11155640886441902</c:v>
                </c:pt>
                <c:pt idx="255">
                  <c:v>0.1034093057227793</c:v>
                </c:pt>
                <c:pt idx="256">
                  <c:v>9.5007142503417005E-2</c:v>
                </c:pt>
                <c:pt idx="257">
                  <c:v>8.6400863207292705E-2</c:v>
                </c:pt>
                <c:pt idx="258">
                  <c:v>7.7641689582037487E-2</c:v>
                </c:pt>
                <c:pt idx="259">
                  <c:v>6.8780698587451797E-2</c:v>
                </c:pt>
                <c:pt idx="260">
                  <c:v>5.9868410967009664E-2</c:v>
                </c:pt>
                <c:pt idx="261">
                  <c:v>5.0954395115742464E-2</c:v>
                </c:pt>
                <c:pt idx="262">
                  <c:v>4.2086890146585475E-2</c:v>
                </c:pt>
                <c:pt idx="263">
                  <c:v>3.3312451723459147E-2</c:v>
                </c:pt>
                <c:pt idx="264">
                  <c:v>2.4675623856153423E-2</c:v>
                </c:pt>
                <c:pt idx="265">
                  <c:v>1.6218639446095119E-2</c:v>
                </c:pt>
                <c:pt idx="266">
                  <c:v>7.9811519402586163E-3</c:v>
                </c:pt>
                <c:pt idx="267">
                  <c:v>0</c:v>
                </c:pt>
                <c:pt idx="268">
                  <c:v>-7.6909933702915666E-3</c:v>
                </c:pt>
                <c:pt idx="269">
                  <c:v>-1.5061186255915822E-2</c:v>
                </c:pt>
                <c:pt idx="270">
                  <c:v>-2.2083247310390467E-2</c:v>
                </c:pt>
                <c:pt idx="271">
                  <c:v>-2.873324921787232E-2</c:v>
                </c:pt>
                <c:pt idx="272">
                  <c:v>-3.4990726515259515E-2</c:v>
                </c:pt>
                <c:pt idx="273">
                  <c:v>-4.0838698565656417E-2</c:v>
                </c:pt>
                <c:pt idx="274">
                  <c:v>-4.6263658863676088E-2</c:v>
                </c:pt>
                <c:pt idx="275">
                  <c:v>-5.125553221010784E-2</c:v>
                </c:pt>
                <c:pt idx="276">
                  <c:v>-5.5807601614845485E-2</c:v>
                </c:pt>
                <c:pt idx="277">
                  <c:v>-5.9916407069455307E-2</c:v>
                </c:pt>
                <c:pt idx="278">
                  <c:v>-6.3581618571921641E-2</c:v>
                </c:pt>
                <c:pt idx="279">
                  <c:v>-6.6805885984278265E-2</c:v>
                </c:pt>
                <c:pt idx="280">
                  <c:v>-6.9594668458113657E-2</c:v>
                </c:pt>
                <c:pt idx="281">
                  <c:v>-7.1956046273177268E-2</c:v>
                </c:pt>
                <c:pt idx="282">
                  <c:v>-7.3900518001068408E-2</c:v>
                </c:pt>
                <c:pt idx="283">
                  <c:v>-7.5440785930489071E-2</c:v>
                </c:pt>
                <c:pt idx="284">
                  <c:v>-7.6591532674624679E-2</c:v>
                </c:pt>
                <c:pt idx="285">
                  <c:v>-7.7369191827273281E-2</c:v>
                </c:pt>
                <c:pt idx="286">
                  <c:v>-7.779171544523944E-2</c:v>
                </c:pt>
                <c:pt idx="287">
                  <c:v>-7.787834101351479E-2</c:v>
                </c:pt>
                <c:pt idx="288">
                  <c:v>-7.7649360400477527E-2</c:v>
                </c:pt>
                <c:pt idx="289">
                  <c:v>-7.7125893136591239E-2</c:v>
                </c:pt>
                <c:pt idx="290">
                  <c:v>-7.6329666155873388E-2</c:v>
                </c:pt>
                <c:pt idx="291">
                  <c:v>-7.5282801928813883E-2</c:v>
                </c:pt>
                <c:pt idx="292">
                  <c:v>-7.4007616692549877E-2</c:v>
                </c:pt>
                <c:pt idx="293">
                  <c:v>-7.252643025297062E-2</c:v>
                </c:pt>
                <c:pt idx="294">
                  <c:v>-7.086138859793939E-2</c:v>
                </c:pt>
                <c:pt idx="295">
                  <c:v>-6.9034300324690101E-2</c:v>
                </c:pt>
                <c:pt idx="296">
                  <c:v>-6.7066487651163784E-2</c:v>
                </c:pt>
                <c:pt idx="297">
                  <c:v>-6.4978652553785682E-2</c:v>
                </c:pt>
                <c:pt idx="298">
                  <c:v>-6.279075835582773E-2</c:v>
                </c:pt>
                <c:pt idx="299">
                  <c:v>-6.0521926883584785E-2</c:v>
                </c:pt>
                <c:pt idx="300">
                  <c:v>-5.8190351114285908E-2</c:v>
                </c:pt>
                <c:pt idx="301">
                  <c:v>-5.5813223061761424E-2</c:v>
                </c:pt>
                <c:pt idx="302">
                  <c:v>-5.3406676484808326E-2</c:v>
                </c:pt>
                <c:pt idx="303">
                  <c:v>-5.0985743859989781E-2</c:v>
                </c:pt>
                <c:pt idx="304">
                  <c:v>-4.8564326935948178E-2</c:v>
                </c:pt>
                <c:pt idx="305">
                  <c:v>-4.6155180080545415E-2</c:v>
                </c:pt>
                <c:pt idx="306">
                  <c:v>-4.3769905545280471E-2</c:v>
                </c:pt>
                <c:pt idx="307">
                  <c:v>-4.1418959703185397E-2</c:v>
                </c:pt>
                <c:pt idx="308">
                  <c:v>-3.9111669266214198E-2</c:v>
                </c:pt>
                <c:pt idx="309">
                  <c:v>-3.6856256455218304E-2</c:v>
                </c:pt>
                <c:pt idx="310">
                  <c:v>-3.4659872078952277E-2</c:v>
                </c:pt>
                <c:pt idx="311">
                  <c:v>-3.2528635477005678E-2</c:v>
                </c:pt>
                <c:pt idx="312">
                  <c:v>-3.0467680293809453E-2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35-40B4-B7B1-D8B0F7E2026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'transversal subsidence profile'!$G$10:$G$322</c:f>
              <c:numCache>
                <c:formatCode>General</c:formatCode>
                <c:ptCount val="313"/>
                <c:pt idx="0">
                  <c:v>-60</c:v>
                </c:pt>
                <c:pt idx="1">
                  <c:v>-59.75</c:v>
                </c:pt>
                <c:pt idx="2">
                  <c:v>-59.5</c:v>
                </c:pt>
                <c:pt idx="3">
                  <c:v>-59.25</c:v>
                </c:pt>
                <c:pt idx="4">
                  <c:v>-59</c:v>
                </c:pt>
                <c:pt idx="5">
                  <c:v>-58.75</c:v>
                </c:pt>
                <c:pt idx="6">
                  <c:v>-58.5</c:v>
                </c:pt>
                <c:pt idx="7">
                  <c:v>-58.25</c:v>
                </c:pt>
                <c:pt idx="8">
                  <c:v>-58</c:v>
                </c:pt>
                <c:pt idx="9">
                  <c:v>-57.75</c:v>
                </c:pt>
                <c:pt idx="10">
                  <c:v>-57.5</c:v>
                </c:pt>
                <c:pt idx="11">
                  <c:v>-57.25</c:v>
                </c:pt>
                <c:pt idx="12">
                  <c:v>-57</c:v>
                </c:pt>
                <c:pt idx="13">
                  <c:v>-56.75</c:v>
                </c:pt>
                <c:pt idx="14">
                  <c:v>-56.5</c:v>
                </c:pt>
                <c:pt idx="15">
                  <c:v>-56.25</c:v>
                </c:pt>
                <c:pt idx="16">
                  <c:v>-56</c:v>
                </c:pt>
                <c:pt idx="17">
                  <c:v>-55.75</c:v>
                </c:pt>
                <c:pt idx="18">
                  <c:v>-55.5</c:v>
                </c:pt>
                <c:pt idx="19">
                  <c:v>-55.25</c:v>
                </c:pt>
                <c:pt idx="20">
                  <c:v>-55</c:v>
                </c:pt>
                <c:pt idx="21">
                  <c:v>-54.75</c:v>
                </c:pt>
                <c:pt idx="22">
                  <c:v>-54.5</c:v>
                </c:pt>
                <c:pt idx="23">
                  <c:v>-54.25</c:v>
                </c:pt>
                <c:pt idx="24">
                  <c:v>-54</c:v>
                </c:pt>
                <c:pt idx="25">
                  <c:v>-53.75</c:v>
                </c:pt>
                <c:pt idx="26">
                  <c:v>-53.5</c:v>
                </c:pt>
                <c:pt idx="27">
                  <c:v>-53.25</c:v>
                </c:pt>
                <c:pt idx="28">
                  <c:v>-53</c:v>
                </c:pt>
                <c:pt idx="29">
                  <c:v>-52.75</c:v>
                </c:pt>
                <c:pt idx="30">
                  <c:v>-52.5</c:v>
                </c:pt>
                <c:pt idx="31">
                  <c:v>-52.25</c:v>
                </c:pt>
                <c:pt idx="32">
                  <c:v>-52</c:v>
                </c:pt>
                <c:pt idx="33">
                  <c:v>-51.75</c:v>
                </c:pt>
                <c:pt idx="34">
                  <c:v>-51.5</c:v>
                </c:pt>
                <c:pt idx="35">
                  <c:v>-51.25</c:v>
                </c:pt>
                <c:pt idx="36">
                  <c:v>-51</c:v>
                </c:pt>
                <c:pt idx="37">
                  <c:v>-50.75</c:v>
                </c:pt>
                <c:pt idx="38">
                  <c:v>-50.5</c:v>
                </c:pt>
                <c:pt idx="39">
                  <c:v>-50.25</c:v>
                </c:pt>
                <c:pt idx="40">
                  <c:v>-50</c:v>
                </c:pt>
                <c:pt idx="41">
                  <c:v>-49.75</c:v>
                </c:pt>
                <c:pt idx="42">
                  <c:v>-49.5</c:v>
                </c:pt>
                <c:pt idx="43">
                  <c:v>-49.25</c:v>
                </c:pt>
                <c:pt idx="44">
                  <c:v>-49</c:v>
                </c:pt>
                <c:pt idx="45">
                  <c:v>-48.75</c:v>
                </c:pt>
                <c:pt idx="46">
                  <c:v>-48.5</c:v>
                </c:pt>
                <c:pt idx="47">
                  <c:v>-48.25</c:v>
                </c:pt>
                <c:pt idx="48">
                  <c:v>-48</c:v>
                </c:pt>
                <c:pt idx="49">
                  <c:v>-47.75</c:v>
                </c:pt>
                <c:pt idx="50">
                  <c:v>-47.5</c:v>
                </c:pt>
                <c:pt idx="51">
                  <c:v>-47.25</c:v>
                </c:pt>
                <c:pt idx="52">
                  <c:v>-47</c:v>
                </c:pt>
                <c:pt idx="53">
                  <c:v>-46.75</c:v>
                </c:pt>
                <c:pt idx="54">
                  <c:v>-46.5</c:v>
                </c:pt>
                <c:pt idx="55">
                  <c:v>-46.25</c:v>
                </c:pt>
                <c:pt idx="56">
                  <c:v>-46</c:v>
                </c:pt>
                <c:pt idx="57">
                  <c:v>-45.75</c:v>
                </c:pt>
                <c:pt idx="58">
                  <c:v>-45.5</c:v>
                </c:pt>
                <c:pt idx="59">
                  <c:v>-45.25</c:v>
                </c:pt>
                <c:pt idx="60">
                  <c:v>-45</c:v>
                </c:pt>
                <c:pt idx="61">
                  <c:v>-44.75</c:v>
                </c:pt>
                <c:pt idx="62">
                  <c:v>-44.5</c:v>
                </c:pt>
                <c:pt idx="63">
                  <c:v>-44.25</c:v>
                </c:pt>
                <c:pt idx="64">
                  <c:v>-44</c:v>
                </c:pt>
                <c:pt idx="65">
                  <c:v>-43.75</c:v>
                </c:pt>
                <c:pt idx="66">
                  <c:v>-43.5</c:v>
                </c:pt>
                <c:pt idx="67">
                  <c:v>-43.25</c:v>
                </c:pt>
                <c:pt idx="68">
                  <c:v>-43</c:v>
                </c:pt>
                <c:pt idx="69">
                  <c:v>-42.75</c:v>
                </c:pt>
                <c:pt idx="70">
                  <c:v>-42.5</c:v>
                </c:pt>
                <c:pt idx="71">
                  <c:v>-42.25</c:v>
                </c:pt>
                <c:pt idx="72">
                  <c:v>-42</c:v>
                </c:pt>
                <c:pt idx="73">
                  <c:v>-41.75</c:v>
                </c:pt>
                <c:pt idx="74">
                  <c:v>-41.5</c:v>
                </c:pt>
                <c:pt idx="75">
                  <c:v>-41.25</c:v>
                </c:pt>
                <c:pt idx="76">
                  <c:v>-41</c:v>
                </c:pt>
                <c:pt idx="77">
                  <c:v>-40.75</c:v>
                </c:pt>
                <c:pt idx="78">
                  <c:v>-40.5</c:v>
                </c:pt>
                <c:pt idx="79">
                  <c:v>-40.25</c:v>
                </c:pt>
                <c:pt idx="80">
                  <c:v>-40</c:v>
                </c:pt>
                <c:pt idx="81">
                  <c:v>-39.75</c:v>
                </c:pt>
                <c:pt idx="82">
                  <c:v>-39.5</c:v>
                </c:pt>
                <c:pt idx="83">
                  <c:v>-39.25</c:v>
                </c:pt>
                <c:pt idx="84">
                  <c:v>-39</c:v>
                </c:pt>
                <c:pt idx="85">
                  <c:v>-38.75</c:v>
                </c:pt>
                <c:pt idx="86">
                  <c:v>-38.5</c:v>
                </c:pt>
                <c:pt idx="87">
                  <c:v>-38.25</c:v>
                </c:pt>
                <c:pt idx="88">
                  <c:v>-38</c:v>
                </c:pt>
                <c:pt idx="89">
                  <c:v>-37.75</c:v>
                </c:pt>
                <c:pt idx="90">
                  <c:v>-37.5</c:v>
                </c:pt>
                <c:pt idx="91">
                  <c:v>-37.25</c:v>
                </c:pt>
                <c:pt idx="92">
                  <c:v>-37</c:v>
                </c:pt>
                <c:pt idx="93">
                  <c:v>-36.75</c:v>
                </c:pt>
                <c:pt idx="94">
                  <c:v>-36.5</c:v>
                </c:pt>
                <c:pt idx="95">
                  <c:v>-36.25</c:v>
                </c:pt>
                <c:pt idx="96">
                  <c:v>-36</c:v>
                </c:pt>
                <c:pt idx="97">
                  <c:v>-35.75</c:v>
                </c:pt>
                <c:pt idx="98">
                  <c:v>-35.5</c:v>
                </c:pt>
                <c:pt idx="99">
                  <c:v>-35.25</c:v>
                </c:pt>
                <c:pt idx="100">
                  <c:v>-35</c:v>
                </c:pt>
                <c:pt idx="101">
                  <c:v>-34.75</c:v>
                </c:pt>
                <c:pt idx="102">
                  <c:v>-34.5</c:v>
                </c:pt>
                <c:pt idx="103">
                  <c:v>-34.25</c:v>
                </c:pt>
                <c:pt idx="104">
                  <c:v>-34</c:v>
                </c:pt>
                <c:pt idx="105">
                  <c:v>-33.75</c:v>
                </c:pt>
                <c:pt idx="106">
                  <c:v>-33.5</c:v>
                </c:pt>
                <c:pt idx="107">
                  <c:v>-33.25</c:v>
                </c:pt>
                <c:pt idx="108">
                  <c:v>-33</c:v>
                </c:pt>
                <c:pt idx="109">
                  <c:v>-32.75</c:v>
                </c:pt>
                <c:pt idx="110">
                  <c:v>-32.5</c:v>
                </c:pt>
                <c:pt idx="111">
                  <c:v>-32.25</c:v>
                </c:pt>
                <c:pt idx="112">
                  <c:v>-32</c:v>
                </c:pt>
                <c:pt idx="113">
                  <c:v>-31.75</c:v>
                </c:pt>
                <c:pt idx="114">
                  <c:v>-31.5</c:v>
                </c:pt>
                <c:pt idx="115">
                  <c:v>-31.25</c:v>
                </c:pt>
                <c:pt idx="116">
                  <c:v>-31</c:v>
                </c:pt>
                <c:pt idx="117">
                  <c:v>-30.75</c:v>
                </c:pt>
                <c:pt idx="118">
                  <c:v>-30.5</c:v>
                </c:pt>
                <c:pt idx="119">
                  <c:v>-30.25</c:v>
                </c:pt>
                <c:pt idx="120">
                  <c:v>-30</c:v>
                </c:pt>
                <c:pt idx="121">
                  <c:v>-29.75</c:v>
                </c:pt>
                <c:pt idx="122">
                  <c:v>-29.5</c:v>
                </c:pt>
                <c:pt idx="123">
                  <c:v>-29.25</c:v>
                </c:pt>
                <c:pt idx="124">
                  <c:v>-29</c:v>
                </c:pt>
                <c:pt idx="125">
                  <c:v>-28.75</c:v>
                </c:pt>
                <c:pt idx="126">
                  <c:v>-28.5</c:v>
                </c:pt>
                <c:pt idx="127">
                  <c:v>-28.25</c:v>
                </c:pt>
                <c:pt idx="128">
                  <c:v>-28</c:v>
                </c:pt>
                <c:pt idx="129">
                  <c:v>-27.75</c:v>
                </c:pt>
                <c:pt idx="130">
                  <c:v>-27.5</c:v>
                </c:pt>
                <c:pt idx="131">
                  <c:v>-27.25</c:v>
                </c:pt>
                <c:pt idx="132">
                  <c:v>-27</c:v>
                </c:pt>
                <c:pt idx="133">
                  <c:v>-26.75</c:v>
                </c:pt>
                <c:pt idx="134">
                  <c:v>-26.5</c:v>
                </c:pt>
                <c:pt idx="135">
                  <c:v>-26.25</c:v>
                </c:pt>
                <c:pt idx="136">
                  <c:v>-26</c:v>
                </c:pt>
                <c:pt idx="137">
                  <c:v>-25.75</c:v>
                </c:pt>
                <c:pt idx="138">
                  <c:v>-25.5</c:v>
                </c:pt>
                <c:pt idx="139">
                  <c:v>-25.25</c:v>
                </c:pt>
                <c:pt idx="140">
                  <c:v>-25</c:v>
                </c:pt>
                <c:pt idx="141">
                  <c:v>-24.75</c:v>
                </c:pt>
                <c:pt idx="142">
                  <c:v>-24.5</c:v>
                </c:pt>
                <c:pt idx="143">
                  <c:v>-24.25</c:v>
                </c:pt>
                <c:pt idx="144">
                  <c:v>-24</c:v>
                </c:pt>
                <c:pt idx="145">
                  <c:v>-23.75</c:v>
                </c:pt>
                <c:pt idx="146">
                  <c:v>-23.5</c:v>
                </c:pt>
                <c:pt idx="147">
                  <c:v>-23.25</c:v>
                </c:pt>
                <c:pt idx="148">
                  <c:v>-23</c:v>
                </c:pt>
                <c:pt idx="149">
                  <c:v>-22.75</c:v>
                </c:pt>
                <c:pt idx="150">
                  <c:v>-22.5</c:v>
                </c:pt>
                <c:pt idx="151">
                  <c:v>-22.25</c:v>
                </c:pt>
                <c:pt idx="152">
                  <c:v>-22</c:v>
                </c:pt>
                <c:pt idx="153">
                  <c:v>-21.75</c:v>
                </c:pt>
                <c:pt idx="154">
                  <c:v>-21.5</c:v>
                </c:pt>
                <c:pt idx="155">
                  <c:v>-21.25</c:v>
                </c:pt>
                <c:pt idx="156">
                  <c:v>-21</c:v>
                </c:pt>
                <c:pt idx="157">
                  <c:v>-20.75</c:v>
                </c:pt>
                <c:pt idx="158">
                  <c:v>-20.5</c:v>
                </c:pt>
                <c:pt idx="159">
                  <c:v>-20.25</c:v>
                </c:pt>
                <c:pt idx="160">
                  <c:v>-20</c:v>
                </c:pt>
                <c:pt idx="161">
                  <c:v>-19.75</c:v>
                </c:pt>
                <c:pt idx="162">
                  <c:v>-19.5</c:v>
                </c:pt>
                <c:pt idx="163">
                  <c:v>-19.25</c:v>
                </c:pt>
                <c:pt idx="164">
                  <c:v>-19</c:v>
                </c:pt>
                <c:pt idx="165">
                  <c:v>-18.75</c:v>
                </c:pt>
                <c:pt idx="166">
                  <c:v>-18.5</c:v>
                </c:pt>
                <c:pt idx="167">
                  <c:v>-18.25</c:v>
                </c:pt>
                <c:pt idx="168">
                  <c:v>-18</c:v>
                </c:pt>
                <c:pt idx="169">
                  <c:v>-17.75</c:v>
                </c:pt>
                <c:pt idx="170">
                  <c:v>-17.5</c:v>
                </c:pt>
                <c:pt idx="171">
                  <c:v>-17.25</c:v>
                </c:pt>
                <c:pt idx="172">
                  <c:v>-17</c:v>
                </c:pt>
                <c:pt idx="173">
                  <c:v>-16.75</c:v>
                </c:pt>
                <c:pt idx="174">
                  <c:v>-16.5</c:v>
                </c:pt>
                <c:pt idx="175">
                  <c:v>-16.25</c:v>
                </c:pt>
                <c:pt idx="176">
                  <c:v>-16</c:v>
                </c:pt>
                <c:pt idx="177">
                  <c:v>-15.75</c:v>
                </c:pt>
                <c:pt idx="178">
                  <c:v>-15.5</c:v>
                </c:pt>
                <c:pt idx="179">
                  <c:v>-15.25</c:v>
                </c:pt>
                <c:pt idx="180">
                  <c:v>-15</c:v>
                </c:pt>
                <c:pt idx="181">
                  <c:v>-14.75</c:v>
                </c:pt>
                <c:pt idx="182">
                  <c:v>-14.5</c:v>
                </c:pt>
                <c:pt idx="183">
                  <c:v>-14.25</c:v>
                </c:pt>
                <c:pt idx="184">
                  <c:v>-14</c:v>
                </c:pt>
                <c:pt idx="185">
                  <c:v>-13.75</c:v>
                </c:pt>
                <c:pt idx="186">
                  <c:v>-13.5</c:v>
                </c:pt>
                <c:pt idx="187">
                  <c:v>-13.25</c:v>
                </c:pt>
                <c:pt idx="188">
                  <c:v>-13</c:v>
                </c:pt>
                <c:pt idx="189">
                  <c:v>-12.75</c:v>
                </c:pt>
                <c:pt idx="190">
                  <c:v>-12.5</c:v>
                </c:pt>
                <c:pt idx="191">
                  <c:v>-12.25</c:v>
                </c:pt>
                <c:pt idx="192">
                  <c:v>-12</c:v>
                </c:pt>
                <c:pt idx="193">
                  <c:v>-11.75</c:v>
                </c:pt>
                <c:pt idx="194">
                  <c:v>-11.5</c:v>
                </c:pt>
                <c:pt idx="195">
                  <c:v>-11.25</c:v>
                </c:pt>
                <c:pt idx="196">
                  <c:v>-11</c:v>
                </c:pt>
                <c:pt idx="197">
                  <c:v>-10.75</c:v>
                </c:pt>
                <c:pt idx="198">
                  <c:v>-10.5</c:v>
                </c:pt>
                <c:pt idx="199">
                  <c:v>-10.25</c:v>
                </c:pt>
                <c:pt idx="200">
                  <c:v>-10</c:v>
                </c:pt>
                <c:pt idx="201">
                  <c:v>-9.75</c:v>
                </c:pt>
                <c:pt idx="202">
                  <c:v>-9.5</c:v>
                </c:pt>
                <c:pt idx="203">
                  <c:v>-9.25</c:v>
                </c:pt>
                <c:pt idx="204">
                  <c:v>-9</c:v>
                </c:pt>
                <c:pt idx="205">
                  <c:v>-8.75</c:v>
                </c:pt>
                <c:pt idx="206">
                  <c:v>-8.5</c:v>
                </c:pt>
                <c:pt idx="207">
                  <c:v>-8.25</c:v>
                </c:pt>
                <c:pt idx="208">
                  <c:v>-8</c:v>
                </c:pt>
                <c:pt idx="209">
                  <c:v>-7.75</c:v>
                </c:pt>
                <c:pt idx="210">
                  <c:v>-7.5</c:v>
                </c:pt>
                <c:pt idx="211">
                  <c:v>-7.25</c:v>
                </c:pt>
                <c:pt idx="212">
                  <c:v>-7</c:v>
                </c:pt>
                <c:pt idx="213">
                  <c:v>-6.75</c:v>
                </c:pt>
                <c:pt idx="214">
                  <c:v>-6.5</c:v>
                </c:pt>
                <c:pt idx="215">
                  <c:v>-6.25</c:v>
                </c:pt>
                <c:pt idx="216">
                  <c:v>-6</c:v>
                </c:pt>
                <c:pt idx="217">
                  <c:v>-5.75</c:v>
                </c:pt>
                <c:pt idx="218">
                  <c:v>-5.5</c:v>
                </c:pt>
                <c:pt idx="219">
                  <c:v>-5.25</c:v>
                </c:pt>
                <c:pt idx="220">
                  <c:v>-5</c:v>
                </c:pt>
                <c:pt idx="221">
                  <c:v>-4.75</c:v>
                </c:pt>
                <c:pt idx="222">
                  <c:v>-4.5</c:v>
                </c:pt>
                <c:pt idx="223">
                  <c:v>-4.25</c:v>
                </c:pt>
                <c:pt idx="224">
                  <c:v>-4</c:v>
                </c:pt>
                <c:pt idx="225">
                  <c:v>-3.75</c:v>
                </c:pt>
                <c:pt idx="226">
                  <c:v>-3.5</c:v>
                </c:pt>
                <c:pt idx="227">
                  <c:v>-3.25</c:v>
                </c:pt>
                <c:pt idx="228">
                  <c:v>-3</c:v>
                </c:pt>
                <c:pt idx="229">
                  <c:v>-2.75</c:v>
                </c:pt>
                <c:pt idx="230">
                  <c:v>-2.5</c:v>
                </c:pt>
                <c:pt idx="231">
                  <c:v>-2.25</c:v>
                </c:pt>
                <c:pt idx="232">
                  <c:v>-2</c:v>
                </c:pt>
                <c:pt idx="233">
                  <c:v>-1.75</c:v>
                </c:pt>
                <c:pt idx="234">
                  <c:v>-1.5</c:v>
                </c:pt>
                <c:pt idx="235">
                  <c:v>-1.25</c:v>
                </c:pt>
                <c:pt idx="236">
                  <c:v>-1</c:v>
                </c:pt>
                <c:pt idx="237">
                  <c:v>-0.75</c:v>
                </c:pt>
                <c:pt idx="238">
                  <c:v>-0.5</c:v>
                </c:pt>
                <c:pt idx="239">
                  <c:v>-0.25</c:v>
                </c:pt>
                <c:pt idx="240">
                  <c:v>0</c:v>
                </c:pt>
                <c:pt idx="241">
                  <c:v>0.25</c:v>
                </c:pt>
                <c:pt idx="242">
                  <c:v>0.5</c:v>
                </c:pt>
                <c:pt idx="243">
                  <c:v>0.75</c:v>
                </c:pt>
                <c:pt idx="244">
                  <c:v>1</c:v>
                </c:pt>
                <c:pt idx="245">
                  <c:v>1.25</c:v>
                </c:pt>
                <c:pt idx="246">
                  <c:v>1.5</c:v>
                </c:pt>
                <c:pt idx="247">
                  <c:v>1.75</c:v>
                </c:pt>
                <c:pt idx="248">
                  <c:v>2</c:v>
                </c:pt>
                <c:pt idx="249">
                  <c:v>2.25</c:v>
                </c:pt>
                <c:pt idx="250">
                  <c:v>2.5</c:v>
                </c:pt>
                <c:pt idx="251">
                  <c:v>2.75</c:v>
                </c:pt>
                <c:pt idx="252">
                  <c:v>3</c:v>
                </c:pt>
                <c:pt idx="253">
                  <c:v>3.25</c:v>
                </c:pt>
                <c:pt idx="254">
                  <c:v>3.5</c:v>
                </c:pt>
                <c:pt idx="255">
                  <c:v>3.75</c:v>
                </c:pt>
                <c:pt idx="256">
                  <c:v>4</c:v>
                </c:pt>
                <c:pt idx="257">
                  <c:v>4.25</c:v>
                </c:pt>
                <c:pt idx="258">
                  <c:v>4.5</c:v>
                </c:pt>
                <c:pt idx="259">
                  <c:v>4.75</c:v>
                </c:pt>
                <c:pt idx="260">
                  <c:v>5</c:v>
                </c:pt>
                <c:pt idx="261">
                  <c:v>5.25</c:v>
                </c:pt>
                <c:pt idx="262">
                  <c:v>5.5</c:v>
                </c:pt>
                <c:pt idx="263">
                  <c:v>5.75</c:v>
                </c:pt>
                <c:pt idx="264">
                  <c:v>6</c:v>
                </c:pt>
                <c:pt idx="265">
                  <c:v>6.25</c:v>
                </c:pt>
                <c:pt idx="266">
                  <c:v>6.5</c:v>
                </c:pt>
                <c:pt idx="267">
                  <c:v>6.75</c:v>
                </c:pt>
                <c:pt idx="268">
                  <c:v>7</c:v>
                </c:pt>
                <c:pt idx="269">
                  <c:v>7.25</c:v>
                </c:pt>
                <c:pt idx="270">
                  <c:v>7.5</c:v>
                </c:pt>
                <c:pt idx="271">
                  <c:v>7.75</c:v>
                </c:pt>
                <c:pt idx="272">
                  <c:v>8</c:v>
                </c:pt>
                <c:pt idx="273">
                  <c:v>8.25</c:v>
                </c:pt>
                <c:pt idx="274">
                  <c:v>8.5</c:v>
                </c:pt>
                <c:pt idx="275">
                  <c:v>8.75</c:v>
                </c:pt>
                <c:pt idx="276">
                  <c:v>9</c:v>
                </c:pt>
                <c:pt idx="277">
                  <c:v>9.25</c:v>
                </c:pt>
                <c:pt idx="278">
                  <c:v>9.5</c:v>
                </c:pt>
                <c:pt idx="279">
                  <c:v>9.75</c:v>
                </c:pt>
                <c:pt idx="280">
                  <c:v>10</c:v>
                </c:pt>
                <c:pt idx="281">
                  <c:v>10.25</c:v>
                </c:pt>
                <c:pt idx="282">
                  <c:v>10.5</c:v>
                </c:pt>
                <c:pt idx="283">
                  <c:v>10.75</c:v>
                </c:pt>
                <c:pt idx="284">
                  <c:v>11</c:v>
                </c:pt>
                <c:pt idx="285">
                  <c:v>11.25</c:v>
                </c:pt>
                <c:pt idx="286">
                  <c:v>11.5</c:v>
                </c:pt>
                <c:pt idx="287">
                  <c:v>11.75</c:v>
                </c:pt>
                <c:pt idx="288">
                  <c:v>12</c:v>
                </c:pt>
                <c:pt idx="289">
                  <c:v>12.25</c:v>
                </c:pt>
                <c:pt idx="290">
                  <c:v>12.5</c:v>
                </c:pt>
                <c:pt idx="291">
                  <c:v>12.75</c:v>
                </c:pt>
                <c:pt idx="292">
                  <c:v>13</c:v>
                </c:pt>
                <c:pt idx="293">
                  <c:v>13.25</c:v>
                </c:pt>
                <c:pt idx="294">
                  <c:v>13.5</c:v>
                </c:pt>
                <c:pt idx="295">
                  <c:v>13.75</c:v>
                </c:pt>
                <c:pt idx="296">
                  <c:v>14</c:v>
                </c:pt>
                <c:pt idx="297">
                  <c:v>14.25</c:v>
                </c:pt>
                <c:pt idx="298">
                  <c:v>14.5</c:v>
                </c:pt>
                <c:pt idx="299">
                  <c:v>14.75</c:v>
                </c:pt>
                <c:pt idx="300">
                  <c:v>15</c:v>
                </c:pt>
                <c:pt idx="301">
                  <c:v>15.25</c:v>
                </c:pt>
                <c:pt idx="302">
                  <c:v>15.5</c:v>
                </c:pt>
                <c:pt idx="303">
                  <c:v>15.75</c:v>
                </c:pt>
                <c:pt idx="304">
                  <c:v>16</c:v>
                </c:pt>
                <c:pt idx="305">
                  <c:v>16.25</c:v>
                </c:pt>
                <c:pt idx="306">
                  <c:v>16.5</c:v>
                </c:pt>
                <c:pt idx="307">
                  <c:v>16.75</c:v>
                </c:pt>
                <c:pt idx="308">
                  <c:v>17</c:v>
                </c:pt>
                <c:pt idx="309">
                  <c:v>17.25</c:v>
                </c:pt>
                <c:pt idx="310">
                  <c:v>17.5</c:v>
                </c:pt>
                <c:pt idx="311">
                  <c:v>17.75</c:v>
                </c:pt>
                <c:pt idx="312">
                  <c:v>18</c:v>
                </c:pt>
              </c:numCache>
            </c:numRef>
          </c:xVal>
          <c:yVal>
            <c:numRef>
              <c:f>'transversal subsidence profile'!$AC$10:$AC$322</c:f>
              <c:numCache>
                <c:formatCode>0.000000000</c:formatCode>
                <c:ptCount val="313"/>
                <c:pt idx="0">
                  <c:v>-1.143987288221295E-11</c:v>
                </c:pt>
                <c:pt idx="1">
                  <c:v>-1.4887996581748047E-11</c:v>
                </c:pt>
                <c:pt idx="2">
                  <c:v>-1.9347836059877806E-11</c:v>
                </c:pt>
                <c:pt idx="3">
                  <c:v>-2.5107840781879379E-11</c:v>
                </c:pt>
                <c:pt idx="4">
                  <c:v>-3.2536206053767727E-11</c:v>
                </c:pt>
                <c:pt idx="5">
                  <c:v>-4.2102198472251801E-11</c:v>
                </c:pt>
                <c:pt idx="6">
                  <c:v>-5.4402981160523196E-11</c:v>
                </c:pt>
                <c:pt idx="7">
                  <c:v>-7.0197301677118094E-11</c:v>
                </c:pt>
                <c:pt idx="8">
                  <c:v>-9.0447728509277747E-11</c:v>
                </c:pt>
                <c:pt idx="9">
                  <c:v>-1.1637351787439369E-10</c:v>
                </c:pt>
                <c:pt idx="10">
                  <c:v>-1.495166766196422E-10</c:v>
                </c:pt>
                <c:pt idx="11">
                  <c:v>-1.9182437785996339E-10</c:v>
                </c:pt>
                <c:pt idx="12">
                  <c:v>-2.4575160577531036E-10</c:v>
                </c:pt>
                <c:pt idx="13">
                  <c:v>-3.1438878110885053E-10</c:v>
                </c:pt>
                <c:pt idx="14">
                  <c:v>-4.0162018078529666E-10</c:v>
                </c:pt>
                <c:pt idx="15">
                  <c:v>-5.1232025098610612E-10</c:v>
                </c:pt>
                <c:pt idx="16">
                  <c:v>-6.5259646711282853E-10</c:v>
                </c:pt>
                <c:pt idx="17">
                  <c:v>-8.3008926846186461E-10</c:v>
                </c:pt>
                <c:pt idx="18">
                  <c:v>-1.0543418515150771E-9</c:v>
                </c:pt>
                <c:pt idx="19">
                  <c:v>-1.337255315647964E-9</c:v>
                </c:pt>
                <c:pt idx="20">
                  <c:v>-1.6936479032864237E-9</c:v>
                </c:pt>
                <c:pt idx="21">
                  <c:v>-2.141940961873801E-9</c:v>
                </c:pt>
                <c:pt idx="22">
                  <c:v>-2.7049988925529816E-9</c:v>
                </c:pt>
                <c:pt idx="23">
                  <c:v>-3.4111558740067029E-9</c:v>
                </c:pt>
                <c:pt idx="24">
                  <c:v>-4.2954687144746791E-9</c:v>
                </c:pt>
                <c:pt idx="25">
                  <c:v>-5.4012429697300894E-9</c:v>
                </c:pt>
                <c:pt idx="26">
                  <c:v>-6.7818886761464562E-9</c:v>
                </c:pt>
                <c:pt idx="27">
                  <c:v>-8.503172922967208E-9</c:v>
                </c:pt>
                <c:pt idx="28">
                  <c:v>-1.0645949297897659E-8</c:v>
                </c:pt>
                <c:pt idx="29">
                  <c:v>-1.3309459294881077E-8</c:v>
                </c:pt>
                <c:pt idx="30">
                  <c:v>-1.6615318424626453E-8</c:v>
                </c:pt>
                <c:pt idx="31">
                  <c:v>-2.0712320416334336E-8</c:v>
                </c:pt>
                <c:pt idx="32">
                  <c:v>-2.5782216993929284E-8</c:v>
                </c:pt>
                <c:pt idx="33">
                  <c:v>-3.2046658759113176E-8</c:v>
                </c:pt>
                <c:pt idx="34">
                  <c:v>-3.9775515285040622E-8</c:v>
                </c:pt>
                <c:pt idx="35">
                  <c:v>-4.9296830252630389E-8</c:v>
                </c:pt>
                <c:pt idx="36">
                  <c:v>-6.1008711051232058E-8</c:v>
                </c:pt>
                <c:pt idx="37">
                  <c:v>-7.5393502496107925E-8</c:v>
                </c:pt>
                <c:pt idx="38">
                  <c:v>-9.303465204504829E-8</c:v>
                </c:pt>
                <c:pt idx="39">
                  <c:v>-1.1463674006511662E-7</c:v>
                </c:pt>
                <c:pt idx="40">
                  <c:v>-1.4104922433134079E-7</c:v>
                </c:pt>
                <c:pt idx="41">
                  <c:v>-1.7329453413998934E-7</c:v>
                </c:pt>
                <c:pt idx="42">
                  <c:v>-2.1260124738135883E-7</c:v>
                </c:pt>
                <c:pt idx="43">
                  <c:v>-2.6044319491311688E-7</c:v>
                </c:pt>
                <c:pt idx="44">
                  <c:v>-3.1858546195317385E-7</c:v>
                </c:pt>
                <c:pt idx="45">
                  <c:v>-3.8913839738620569E-7</c:v>
                </c:pt>
                <c:pt idx="46">
                  <c:v>-4.7462090032170341E-7</c:v>
                </c:pt>
                <c:pt idx="47">
                  <c:v>-5.780344304651821E-7</c:v>
                </c:pt>
                <c:pt idx="48">
                  <c:v>-7.0294938639957686E-7</c:v>
                </c:pt>
                <c:pt idx="49">
                  <c:v>-8.5360571524654466E-7</c:v>
                </c:pt>
                <c:pt idx="50">
                  <c:v>-1.0350298598760881E-6</c:v>
                </c:pt>
                <c:pt idx="51">
                  <c:v>-1.2531704172704266E-6</c:v>
                </c:pt>
                <c:pt idx="52">
                  <c:v>-1.5150551751163741E-6</c:v>
                </c:pt>
                <c:pt idx="53">
                  <c:v>-1.8289725143158999E-6</c:v>
                </c:pt>
                <c:pt idx="54">
                  <c:v>-2.2046805137462002E-6</c:v>
                </c:pt>
                <c:pt idx="55">
                  <c:v>-2.6536474708375868E-6</c:v>
                </c:pt>
                <c:pt idx="56">
                  <c:v>-3.1893279575471119E-6</c:v>
                </c:pt>
                <c:pt idx="57">
                  <c:v>-3.8274789657821604E-6</c:v>
                </c:pt>
                <c:pt idx="58">
                  <c:v>-4.5865211583781222E-6</c:v>
                </c:pt>
                <c:pt idx="59">
                  <c:v>-5.4879507297651114E-6</c:v>
                </c:pt>
                <c:pt idx="60">
                  <c:v>-6.5568078920547199E-6</c:v>
                </c:pt>
                <c:pt idx="61">
                  <c:v>-7.8222085340658061E-6</c:v>
                </c:pt>
                <c:pt idx="62">
                  <c:v>-9.3179461483161215E-6</c:v>
                </c:pt>
                <c:pt idx="63">
                  <c:v>-1.1083171678513743E-5</c:v>
                </c:pt>
                <c:pt idx="64">
                  <c:v>-1.3163159500460527E-5</c:v>
                </c:pt>
                <c:pt idx="65">
                  <c:v>-1.5610168303839267E-5</c:v>
                </c:pt>
                <c:pt idx="66">
                  <c:v>-1.8484406180679844E-5</c:v>
                </c:pt>
                <c:pt idx="67">
                  <c:v>-2.1855109736085395E-5</c:v>
                </c:pt>
                <c:pt idx="68">
                  <c:v>-2.580174750371607E-5</c:v>
                </c:pt>
                <c:pt idx="69">
                  <c:v>-3.0415358356063437E-5</c:v>
                </c:pt>
                <c:pt idx="70">
                  <c:v>-3.5800035928899141E-5</c:v>
                </c:pt>
                <c:pt idx="71">
                  <c:v>-4.2074570309245817E-5</c:v>
                </c:pt>
                <c:pt idx="72">
                  <c:v>-4.9374258343129331E-5</c:v>
                </c:pt>
                <c:pt idx="73">
                  <c:v>-5.7852893877065229E-5</c:v>
                </c:pt>
                <c:pt idx="74">
                  <c:v>-6.7684949027070957E-5</c:v>
                </c:pt>
                <c:pt idx="75">
                  <c:v>-7.9067957139915482E-5</c:v>
                </c:pt>
                <c:pt idx="76">
                  <c:v>-9.2225107439996684E-5</c:v>
                </c:pt>
                <c:pt idx="77">
                  <c:v>-1.074080604062767E-4</c:v>
                </c:pt>
                <c:pt idx="78">
                  <c:v>-1.2489999165991831E-4</c:v>
                </c:pt>
                <c:pt idx="79">
                  <c:v>-1.450188705261054E-4</c:v>
                </c:pt>
                <c:pt idx="80">
                  <c:v>-1.6812097742350125E-4</c:v>
                </c:pt>
                <c:pt idx="81">
                  <c:v>-1.9460466179214441E-4</c:v>
                </c:pt>
                <c:pt idx="82">
                  <c:v>-2.2491433935589399E-4</c:v>
                </c:pt>
                <c:pt idx="83">
                  <c:v>-2.5954472409070624E-4</c:v>
                </c:pt>
                <c:pt idx="84">
                  <c:v>-2.9904528629911393E-4</c:v>
                </c:pt>
                <c:pt idx="85">
                  <c:v>-3.4402492364163216E-4</c:v>
                </c:pt>
                <c:pt idx="86">
                  <c:v>-3.9515682681935785E-4</c:v>
                </c:pt>
                <c:pt idx="87">
                  <c:v>-4.5318351581646882E-4</c:v>
                </c:pt>
                <c:pt idx="88">
                  <c:v>-5.1892201618174323E-4</c:v>
                </c:pt>
                <c:pt idx="89">
                  <c:v>-5.9326913774856559E-4</c:v>
                </c:pt>
                <c:pt idx="90">
                  <c:v>-6.7720681046760163E-4</c:v>
                </c:pt>
                <c:pt idx="91">
                  <c:v>-7.7180742367214598E-4</c:v>
                </c:pt>
                <c:pt idx="92">
                  <c:v>-8.7823910614371454E-4</c:v>
                </c:pt>
                <c:pt idx="93">
                  <c:v>-9.9777087484125807E-4</c:v>
                </c:pt>
                <c:pt idx="94">
                  <c:v>-1.1317775701651903E-3</c:v>
                </c:pt>
                <c:pt idx="95">
                  <c:v>-1.28174448523029E-3</c:v>
                </c:pt>
                <c:pt idx="96">
                  <c:v>-1.4492715859229601E-3</c:v>
                </c:pt>
                <c:pt idx="97">
                  <c:v>-1.6360772076438341E-3</c:v>
                </c:pt>
                <c:pt idx="98">
                  <c:v>-1.8440011037348146E-3</c:v>
                </c:pt>
                <c:pt idx="99">
                  <c:v>-2.0750067098326201E-3</c:v>
                </c:pt>
                <c:pt idx="100">
                  <c:v>-2.3311824779755062E-3</c:v>
                </c:pt>
                <c:pt idx="101">
                  <c:v>-2.6147421244365923E-3</c:v>
                </c:pt>
                <c:pt idx="102">
                  <c:v>-2.928023626211074E-3</c:v>
                </c:pt>
                <c:pt idx="103">
                  <c:v>-3.2734867931122295E-3</c:v>
                </c:pt>
                <c:pt idx="104">
                  <c:v>-3.6537092358212577E-3</c:v>
                </c:pt>
                <c:pt idx="105">
                  <c:v>-4.0713805452947515E-3</c:v>
                </c:pt>
                <c:pt idx="106">
                  <c:v>-4.5292944959836002E-3</c:v>
                </c:pt>
                <c:pt idx="107">
                  <c:v>-5.0303390846916929E-3</c:v>
                </c:pt>
                <c:pt idx="108">
                  <c:v>-5.5774842189428471E-3</c:v>
                </c:pt>
                <c:pt idx="109">
                  <c:v>-6.1737668737714439E-3</c:v>
                </c:pt>
                <c:pt idx="110">
                  <c:v>-6.82227354424362E-3</c:v>
                </c:pt>
                <c:pt idx="111">
                  <c:v>-7.5261198330762837E-3</c:v>
                </c:pt>
                <c:pt idx="112">
                  <c:v>-8.2884270287558147E-3</c:v>
                </c:pt>
                <c:pt idx="113">
                  <c:v>-9.1122955498438418E-3</c:v>
                </c:pt>
                <c:pt idx="114">
                  <c:v>-1.0000775155933157E-2</c:v>
                </c:pt>
                <c:pt idx="115">
                  <c:v>-1.0956831855175462E-2</c:v>
                </c:pt>
                <c:pt idx="116">
                  <c:v>-1.1983311472579443E-2</c:v>
                </c:pt>
                <c:pt idx="117">
                  <c:v>-1.3082899882442363E-2</c:v>
                </c:pt>
                <c:pt idx="118">
                  <c:v>-1.4258079952323309E-2</c:v>
                </c:pt>
                <c:pt idx="119">
                  <c:v>-1.5511085294798431E-2</c:v>
                </c:pt>
                <c:pt idx="120">
                  <c:v>-1.6843850976669482E-2</c:v>
                </c:pt>
                <c:pt idx="121">
                  <c:v>-1.8257961393035635E-2</c:v>
                </c:pt>
                <c:pt idx="122">
                  <c:v>-1.9754595575282918E-2</c:v>
                </c:pt>
                <c:pt idx="123">
                  <c:v>-2.1334470267078711E-2</c:v>
                </c:pt>
                <c:pt idx="124">
                  <c:v>-2.2997781170242069E-2</c:v>
                </c:pt>
                <c:pt idx="125">
                  <c:v>-2.4744142832135531E-2</c:v>
                </c:pt>
                <c:pt idx="126">
                  <c:v>-2.6572527717108427E-2</c:v>
                </c:pt>
                <c:pt idx="127">
                  <c:v>-2.8481205075514049E-2</c:v>
                </c:pt>
                <c:pt idx="128">
                  <c:v>-3.0467680293809453E-2</c:v>
                </c:pt>
                <c:pt idx="129">
                  <c:v>-3.2528635477005678E-2</c:v>
                </c:pt>
                <c:pt idx="130">
                  <c:v>-3.4659872078952277E-2</c:v>
                </c:pt>
                <c:pt idx="131">
                  <c:v>-3.6856256455218304E-2</c:v>
                </c:pt>
                <c:pt idx="132">
                  <c:v>-3.9111669266214198E-2</c:v>
                </c:pt>
                <c:pt idx="133">
                  <c:v>-4.1418959703185397E-2</c:v>
                </c:pt>
                <c:pt idx="134">
                  <c:v>-4.3769905545280471E-2</c:v>
                </c:pt>
                <c:pt idx="135">
                  <c:v>-4.6155180080545415E-2</c:v>
                </c:pt>
                <c:pt idx="136">
                  <c:v>-4.8564326935948178E-2</c:v>
                </c:pt>
                <c:pt idx="137">
                  <c:v>-5.0985743859989781E-2</c:v>
                </c:pt>
                <c:pt idx="138">
                  <c:v>-5.3406676484808326E-2</c:v>
                </c:pt>
                <c:pt idx="139">
                  <c:v>-5.5813223061761424E-2</c:v>
                </c:pt>
                <c:pt idx="140">
                  <c:v>-5.8190351114285908E-2</c:v>
                </c:pt>
                <c:pt idx="141">
                  <c:v>-6.0521926883584785E-2</c:v>
                </c:pt>
                <c:pt idx="142">
                  <c:v>-6.279075835582773E-2</c:v>
                </c:pt>
                <c:pt idx="143">
                  <c:v>-6.4978652553785682E-2</c:v>
                </c:pt>
                <c:pt idx="144">
                  <c:v>-6.7066487651163784E-2</c:v>
                </c:pt>
                <c:pt idx="145">
                  <c:v>-6.9034300324690101E-2</c:v>
                </c:pt>
                <c:pt idx="146">
                  <c:v>-7.086138859793939E-2</c:v>
                </c:pt>
                <c:pt idx="147">
                  <c:v>-7.252643025297062E-2</c:v>
                </c:pt>
                <c:pt idx="148">
                  <c:v>-7.4007616692549877E-2</c:v>
                </c:pt>
                <c:pt idx="149">
                  <c:v>-7.5282801928813883E-2</c:v>
                </c:pt>
                <c:pt idx="150">
                  <c:v>-7.6329666155873388E-2</c:v>
                </c:pt>
                <c:pt idx="151">
                  <c:v>-7.7125893136591239E-2</c:v>
                </c:pt>
                <c:pt idx="152">
                  <c:v>-7.7649360400477527E-2</c:v>
                </c:pt>
                <c:pt idx="153">
                  <c:v>-7.787834101351479E-2</c:v>
                </c:pt>
                <c:pt idx="154">
                  <c:v>-7.779171544523944E-2</c:v>
                </c:pt>
                <c:pt idx="155">
                  <c:v>-7.7369191827273281E-2</c:v>
                </c:pt>
                <c:pt idx="156">
                  <c:v>-7.6591532674624679E-2</c:v>
                </c:pt>
                <c:pt idx="157">
                  <c:v>-7.5440785930489071E-2</c:v>
                </c:pt>
                <c:pt idx="158">
                  <c:v>-7.3900518001068408E-2</c:v>
                </c:pt>
                <c:pt idx="159">
                  <c:v>-7.1956046273177268E-2</c:v>
                </c:pt>
                <c:pt idx="160">
                  <c:v>-6.9594668458113657E-2</c:v>
                </c:pt>
                <c:pt idx="161">
                  <c:v>-6.6805885984278265E-2</c:v>
                </c:pt>
                <c:pt idx="162">
                  <c:v>-6.3581618571921641E-2</c:v>
                </c:pt>
                <c:pt idx="163">
                  <c:v>-5.9916407069455307E-2</c:v>
                </c:pt>
                <c:pt idx="164">
                  <c:v>-5.5807601614845485E-2</c:v>
                </c:pt>
                <c:pt idx="165">
                  <c:v>-5.125553221010784E-2</c:v>
                </c:pt>
                <c:pt idx="166">
                  <c:v>-4.6263658863676088E-2</c:v>
                </c:pt>
                <c:pt idx="167">
                  <c:v>-4.0838698565656417E-2</c:v>
                </c:pt>
                <c:pt idx="168">
                  <c:v>-3.4990726515259515E-2</c:v>
                </c:pt>
                <c:pt idx="169">
                  <c:v>-2.873324921787232E-2</c:v>
                </c:pt>
                <c:pt idx="170">
                  <c:v>-2.2083247310390467E-2</c:v>
                </c:pt>
                <c:pt idx="171">
                  <c:v>-1.5061186255915822E-2</c:v>
                </c:pt>
                <c:pt idx="172">
                  <c:v>-7.6909933702915666E-3</c:v>
                </c:pt>
                <c:pt idx="173">
                  <c:v>0</c:v>
                </c:pt>
                <c:pt idx="174">
                  <c:v>7.9811519402586163E-3</c:v>
                </c:pt>
                <c:pt idx="175">
                  <c:v>1.6218639446095119E-2</c:v>
                </c:pt>
                <c:pt idx="176">
                  <c:v>2.4675623856153423E-2</c:v>
                </c:pt>
                <c:pt idx="177">
                  <c:v>3.3312451723459147E-2</c:v>
                </c:pt>
                <c:pt idx="178">
                  <c:v>4.2086890146585475E-2</c:v>
                </c:pt>
                <c:pt idx="179">
                  <c:v>5.0954395115742464E-2</c:v>
                </c:pt>
                <c:pt idx="180">
                  <c:v>5.9868410967009664E-2</c:v>
                </c:pt>
                <c:pt idx="181">
                  <c:v>6.8780698587451797E-2</c:v>
                </c:pt>
                <c:pt idx="182">
                  <c:v>7.7641689582037487E-2</c:v>
                </c:pt>
                <c:pt idx="183">
                  <c:v>8.6400863207292705E-2</c:v>
                </c:pt>
                <c:pt idx="184">
                  <c:v>9.5007142503417005E-2</c:v>
                </c:pt>
                <c:pt idx="185">
                  <c:v>0.1034093057227793</c:v>
                </c:pt>
                <c:pt idx="186">
                  <c:v>0.11155640886441902</c:v>
                </c:pt>
                <c:pt idx="187">
                  <c:v>0.11939821488694168</c:v>
                </c:pt>
                <c:pt idx="188">
                  <c:v>0.12688562499082728</c:v>
                </c:pt>
                <c:pt idx="189">
                  <c:v>0.13397110723966735</c:v>
                </c:pt>
                <c:pt idx="190">
                  <c:v>0.14060911773130239</c:v>
                </c:pt>
                <c:pt idx="191">
                  <c:v>0.14675650953635536</c:v>
                </c:pt>
                <c:pt idx="192">
                  <c:v>0.15237292469431638</c:v>
                </c:pt>
                <c:pt idx="193">
                  <c:v>0.15742116469612882</c:v>
                </c:pt>
                <c:pt idx="194">
                  <c:v>0.16186753508604998</c:v>
                </c:pt>
                <c:pt idx="195">
                  <c:v>0.16568216008222297</c:v>
                </c:pt>
                <c:pt idx="196">
                  <c:v>0.16883926344163988</c:v>
                </c:pt>
                <c:pt idx="197">
                  <c:v>0.17131741217671745</c:v>
                </c:pt>
                <c:pt idx="198">
                  <c:v>0.17309972016231057</c:v>
                </c:pt>
                <c:pt idx="199">
                  <c:v>0.17417400914753969</c:v>
                </c:pt>
                <c:pt idx="200">
                  <c:v>0.17453292519943295</c:v>
                </c:pt>
                <c:pt idx="201">
                  <c:v>0.17417400914753969</c:v>
                </c:pt>
                <c:pt idx="202">
                  <c:v>0.17309972016231057</c:v>
                </c:pt>
                <c:pt idx="203">
                  <c:v>0.17131741217671745</c:v>
                </c:pt>
                <c:pt idx="204">
                  <c:v>0.16883926344163988</c:v>
                </c:pt>
                <c:pt idx="205">
                  <c:v>0.16568216008222297</c:v>
                </c:pt>
                <c:pt idx="206">
                  <c:v>0.16186753508604998</c:v>
                </c:pt>
                <c:pt idx="207">
                  <c:v>0.15742116469612882</c:v>
                </c:pt>
                <c:pt idx="208">
                  <c:v>0.15237292469431638</c:v>
                </c:pt>
                <c:pt idx="209">
                  <c:v>0.14675650953635536</c:v>
                </c:pt>
                <c:pt idx="210">
                  <c:v>0.14060911773130239</c:v>
                </c:pt>
                <c:pt idx="211">
                  <c:v>0.13397110723966735</c:v>
                </c:pt>
                <c:pt idx="212">
                  <c:v>0.12688562499082728</c:v>
                </c:pt>
                <c:pt idx="213">
                  <c:v>0.11939821488694168</c:v>
                </c:pt>
                <c:pt idx="214">
                  <c:v>0.11155640886441902</c:v>
                </c:pt>
                <c:pt idx="215">
                  <c:v>0.1034093057227793</c:v>
                </c:pt>
                <c:pt idx="216">
                  <c:v>9.5007142503417005E-2</c:v>
                </c:pt>
                <c:pt idx="217">
                  <c:v>8.6400863207292705E-2</c:v>
                </c:pt>
                <c:pt idx="218">
                  <c:v>7.7641689582037487E-2</c:v>
                </c:pt>
                <c:pt idx="219">
                  <c:v>6.8780698587451797E-2</c:v>
                </c:pt>
                <c:pt idx="220">
                  <c:v>5.9868410967009664E-2</c:v>
                </c:pt>
                <c:pt idx="221">
                  <c:v>5.0954395115742464E-2</c:v>
                </c:pt>
                <c:pt idx="222">
                  <c:v>4.2086890146585475E-2</c:v>
                </c:pt>
                <c:pt idx="223">
                  <c:v>3.3312451723459147E-2</c:v>
                </c:pt>
                <c:pt idx="224">
                  <c:v>2.4675623856153423E-2</c:v>
                </c:pt>
                <c:pt idx="225">
                  <c:v>1.6218639446095119E-2</c:v>
                </c:pt>
                <c:pt idx="226">
                  <c:v>7.9811519402586163E-3</c:v>
                </c:pt>
                <c:pt idx="227">
                  <c:v>0</c:v>
                </c:pt>
                <c:pt idx="228">
                  <c:v>-7.6909933702915666E-3</c:v>
                </c:pt>
                <c:pt idx="229">
                  <c:v>-1.5061186255915822E-2</c:v>
                </c:pt>
                <c:pt idx="230">
                  <c:v>-2.2083247310390467E-2</c:v>
                </c:pt>
                <c:pt idx="231">
                  <c:v>-2.873324921787232E-2</c:v>
                </c:pt>
                <c:pt idx="232">
                  <c:v>-3.4990726515259515E-2</c:v>
                </c:pt>
                <c:pt idx="233">
                  <c:v>-4.0838698565656417E-2</c:v>
                </c:pt>
                <c:pt idx="234">
                  <c:v>-4.6263658863676088E-2</c:v>
                </c:pt>
                <c:pt idx="235">
                  <c:v>-5.125553221010784E-2</c:v>
                </c:pt>
                <c:pt idx="236">
                  <c:v>-5.5807601614845485E-2</c:v>
                </c:pt>
                <c:pt idx="237">
                  <c:v>-5.9916407069455307E-2</c:v>
                </c:pt>
                <c:pt idx="238">
                  <c:v>-6.3581618571921641E-2</c:v>
                </c:pt>
                <c:pt idx="239">
                  <c:v>-6.6805885984278265E-2</c:v>
                </c:pt>
                <c:pt idx="240">
                  <c:v>-6.9594668458113657E-2</c:v>
                </c:pt>
                <c:pt idx="241">
                  <c:v>-7.1956046273177268E-2</c:v>
                </c:pt>
                <c:pt idx="242">
                  <c:v>-7.3900518001068408E-2</c:v>
                </c:pt>
                <c:pt idx="243">
                  <c:v>-7.5440785930489071E-2</c:v>
                </c:pt>
                <c:pt idx="244">
                  <c:v>-7.6591532674624679E-2</c:v>
                </c:pt>
                <c:pt idx="245">
                  <c:v>-7.7369191827273281E-2</c:v>
                </c:pt>
                <c:pt idx="246">
                  <c:v>-7.779171544523944E-2</c:v>
                </c:pt>
                <c:pt idx="247">
                  <c:v>-7.787834101351479E-2</c:v>
                </c:pt>
                <c:pt idx="248">
                  <c:v>-7.7649360400477527E-2</c:v>
                </c:pt>
                <c:pt idx="249">
                  <c:v>-7.7125893136591239E-2</c:v>
                </c:pt>
                <c:pt idx="250">
                  <c:v>-7.6329666155873388E-2</c:v>
                </c:pt>
                <c:pt idx="251">
                  <c:v>-7.5282801928813883E-2</c:v>
                </c:pt>
                <c:pt idx="252">
                  <c:v>-7.4007616692549877E-2</c:v>
                </c:pt>
                <c:pt idx="253">
                  <c:v>-7.252643025297062E-2</c:v>
                </c:pt>
                <c:pt idx="254">
                  <c:v>-7.086138859793939E-2</c:v>
                </c:pt>
                <c:pt idx="255">
                  <c:v>-6.9034300324690101E-2</c:v>
                </c:pt>
                <c:pt idx="256">
                  <c:v>-6.7066487651163784E-2</c:v>
                </c:pt>
                <c:pt idx="257">
                  <c:v>-6.4978652553785682E-2</c:v>
                </c:pt>
                <c:pt idx="258">
                  <c:v>-6.279075835582773E-2</c:v>
                </c:pt>
                <c:pt idx="259">
                  <c:v>-6.0521926883584785E-2</c:v>
                </c:pt>
                <c:pt idx="260">
                  <c:v>-5.8190351114285908E-2</c:v>
                </c:pt>
                <c:pt idx="261">
                  <c:v>-5.5813223061761424E-2</c:v>
                </c:pt>
                <c:pt idx="262">
                  <c:v>-5.3406676484808326E-2</c:v>
                </c:pt>
                <c:pt idx="263">
                  <c:v>-5.0985743859989781E-2</c:v>
                </c:pt>
                <c:pt idx="264">
                  <c:v>-4.8564326935948178E-2</c:v>
                </c:pt>
                <c:pt idx="265">
                  <c:v>-4.6155180080545415E-2</c:v>
                </c:pt>
                <c:pt idx="266">
                  <c:v>-4.3769905545280471E-2</c:v>
                </c:pt>
                <c:pt idx="267">
                  <c:v>-4.1418959703185397E-2</c:v>
                </c:pt>
                <c:pt idx="268">
                  <c:v>-3.9111669266214198E-2</c:v>
                </c:pt>
                <c:pt idx="269">
                  <c:v>-3.6856256455218304E-2</c:v>
                </c:pt>
                <c:pt idx="270">
                  <c:v>-3.4659872078952277E-2</c:v>
                </c:pt>
                <c:pt idx="271">
                  <c:v>-3.2528635477005678E-2</c:v>
                </c:pt>
                <c:pt idx="272">
                  <c:v>-3.0467680293809453E-2</c:v>
                </c:pt>
                <c:pt idx="273">
                  <c:v>-2.8481205075514049E-2</c:v>
                </c:pt>
                <c:pt idx="274">
                  <c:v>-2.6572527717108427E-2</c:v>
                </c:pt>
                <c:pt idx="275">
                  <c:v>-2.4744142832135531E-2</c:v>
                </c:pt>
                <c:pt idx="276">
                  <c:v>-2.2997781170242069E-2</c:v>
                </c:pt>
                <c:pt idx="277">
                  <c:v>-2.1334470267078711E-2</c:v>
                </c:pt>
                <c:pt idx="278">
                  <c:v>-1.9754595575282918E-2</c:v>
                </c:pt>
                <c:pt idx="279">
                  <c:v>-1.8257961393035635E-2</c:v>
                </c:pt>
                <c:pt idx="280">
                  <c:v>-1.6843850976669482E-2</c:v>
                </c:pt>
                <c:pt idx="281">
                  <c:v>-1.5511085294798431E-2</c:v>
                </c:pt>
                <c:pt idx="282">
                  <c:v>-1.4258079952323309E-2</c:v>
                </c:pt>
                <c:pt idx="283">
                  <c:v>-1.3082899882442363E-2</c:v>
                </c:pt>
                <c:pt idx="284">
                  <c:v>-1.1983311472579443E-2</c:v>
                </c:pt>
                <c:pt idx="285">
                  <c:v>-1.0956831855175462E-2</c:v>
                </c:pt>
                <c:pt idx="286">
                  <c:v>-1.0000775155933157E-2</c:v>
                </c:pt>
                <c:pt idx="287">
                  <c:v>-9.1122955498438418E-3</c:v>
                </c:pt>
                <c:pt idx="288">
                  <c:v>-8.2884270287558147E-3</c:v>
                </c:pt>
                <c:pt idx="289">
                  <c:v>-7.5261198330762837E-3</c:v>
                </c:pt>
                <c:pt idx="290">
                  <c:v>-6.82227354424362E-3</c:v>
                </c:pt>
                <c:pt idx="291">
                  <c:v>-6.1737668737714439E-3</c:v>
                </c:pt>
                <c:pt idx="292">
                  <c:v>-5.5774842189428471E-3</c:v>
                </c:pt>
                <c:pt idx="293">
                  <c:v>-5.0303390846916929E-3</c:v>
                </c:pt>
                <c:pt idx="294">
                  <c:v>-4.5292944959836002E-3</c:v>
                </c:pt>
                <c:pt idx="295">
                  <c:v>-4.0713805452947515E-3</c:v>
                </c:pt>
                <c:pt idx="296">
                  <c:v>-3.6537092358212577E-3</c:v>
                </c:pt>
                <c:pt idx="297">
                  <c:v>-3.2734867931122295E-3</c:v>
                </c:pt>
                <c:pt idx="298">
                  <c:v>-2.928023626211074E-3</c:v>
                </c:pt>
                <c:pt idx="299">
                  <c:v>-2.6147421244365923E-3</c:v>
                </c:pt>
                <c:pt idx="300">
                  <c:v>-2.3311824779755062E-3</c:v>
                </c:pt>
                <c:pt idx="301">
                  <c:v>-2.0750067098326201E-3</c:v>
                </c:pt>
                <c:pt idx="302">
                  <c:v>-1.8440011037348146E-3</c:v>
                </c:pt>
                <c:pt idx="303">
                  <c:v>-1.6360772076438341E-3</c:v>
                </c:pt>
                <c:pt idx="304">
                  <c:v>-1.4492715859229601E-3</c:v>
                </c:pt>
                <c:pt idx="305">
                  <c:v>-1.28174448523029E-3</c:v>
                </c:pt>
                <c:pt idx="306">
                  <c:v>-1.1317775701651903E-3</c:v>
                </c:pt>
                <c:pt idx="307">
                  <c:v>-9.9777087484125807E-4</c:v>
                </c:pt>
                <c:pt idx="308">
                  <c:v>-8.7823910614371454E-4</c:v>
                </c:pt>
                <c:pt idx="309">
                  <c:v>-7.7180742367214598E-4</c:v>
                </c:pt>
                <c:pt idx="310">
                  <c:v>-6.7720681046760163E-4</c:v>
                </c:pt>
                <c:pt idx="311">
                  <c:v>-5.9326913774856559E-4</c:v>
                </c:pt>
                <c:pt idx="312">
                  <c:v>-5.1892201618174323E-4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35-40B4-B7B1-D8B0F7E20262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'transversal subsidence profile'!$G$10:$G$322</c:f>
              <c:numCache>
                <c:formatCode>General</c:formatCode>
                <c:ptCount val="313"/>
                <c:pt idx="0">
                  <c:v>-60</c:v>
                </c:pt>
                <c:pt idx="1">
                  <c:v>-59.75</c:v>
                </c:pt>
                <c:pt idx="2">
                  <c:v>-59.5</c:v>
                </c:pt>
                <c:pt idx="3">
                  <c:v>-59.25</c:v>
                </c:pt>
                <c:pt idx="4">
                  <c:v>-59</c:v>
                </c:pt>
                <c:pt idx="5">
                  <c:v>-58.75</c:v>
                </c:pt>
                <c:pt idx="6">
                  <c:v>-58.5</c:v>
                </c:pt>
                <c:pt idx="7">
                  <c:v>-58.25</c:v>
                </c:pt>
                <c:pt idx="8">
                  <c:v>-58</c:v>
                </c:pt>
                <c:pt idx="9">
                  <c:v>-57.75</c:v>
                </c:pt>
                <c:pt idx="10">
                  <c:v>-57.5</c:v>
                </c:pt>
                <c:pt idx="11">
                  <c:v>-57.25</c:v>
                </c:pt>
                <c:pt idx="12">
                  <c:v>-57</c:v>
                </c:pt>
                <c:pt idx="13">
                  <c:v>-56.75</c:v>
                </c:pt>
                <c:pt idx="14">
                  <c:v>-56.5</c:v>
                </c:pt>
                <c:pt idx="15">
                  <c:v>-56.25</c:v>
                </c:pt>
                <c:pt idx="16">
                  <c:v>-56</c:v>
                </c:pt>
                <c:pt idx="17">
                  <c:v>-55.75</c:v>
                </c:pt>
                <c:pt idx="18">
                  <c:v>-55.5</c:v>
                </c:pt>
                <c:pt idx="19">
                  <c:v>-55.25</c:v>
                </c:pt>
                <c:pt idx="20">
                  <c:v>-55</c:v>
                </c:pt>
                <c:pt idx="21">
                  <c:v>-54.75</c:v>
                </c:pt>
                <c:pt idx="22">
                  <c:v>-54.5</c:v>
                </c:pt>
                <c:pt idx="23">
                  <c:v>-54.25</c:v>
                </c:pt>
                <c:pt idx="24">
                  <c:v>-54</c:v>
                </c:pt>
                <c:pt idx="25">
                  <c:v>-53.75</c:v>
                </c:pt>
                <c:pt idx="26">
                  <c:v>-53.5</c:v>
                </c:pt>
                <c:pt idx="27">
                  <c:v>-53.25</c:v>
                </c:pt>
                <c:pt idx="28">
                  <c:v>-53</c:v>
                </c:pt>
                <c:pt idx="29">
                  <c:v>-52.75</c:v>
                </c:pt>
                <c:pt idx="30">
                  <c:v>-52.5</c:v>
                </c:pt>
                <c:pt idx="31">
                  <c:v>-52.25</c:v>
                </c:pt>
                <c:pt idx="32">
                  <c:v>-52</c:v>
                </c:pt>
                <c:pt idx="33">
                  <c:v>-51.75</c:v>
                </c:pt>
                <c:pt idx="34">
                  <c:v>-51.5</c:v>
                </c:pt>
                <c:pt idx="35">
                  <c:v>-51.25</c:v>
                </c:pt>
                <c:pt idx="36">
                  <c:v>-51</c:v>
                </c:pt>
                <c:pt idx="37">
                  <c:v>-50.75</c:v>
                </c:pt>
                <c:pt idx="38">
                  <c:v>-50.5</c:v>
                </c:pt>
                <c:pt idx="39">
                  <c:v>-50.25</c:v>
                </c:pt>
                <c:pt idx="40">
                  <c:v>-50</c:v>
                </c:pt>
                <c:pt idx="41">
                  <c:v>-49.75</c:v>
                </c:pt>
                <c:pt idx="42">
                  <c:v>-49.5</c:v>
                </c:pt>
                <c:pt idx="43">
                  <c:v>-49.25</c:v>
                </c:pt>
                <c:pt idx="44">
                  <c:v>-49</c:v>
                </c:pt>
                <c:pt idx="45">
                  <c:v>-48.75</c:v>
                </c:pt>
                <c:pt idx="46">
                  <c:v>-48.5</c:v>
                </c:pt>
                <c:pt idx="47">
                  <c:v>-48.25</c:v>
                </c:pt>
                <c:pt idx="48">
                  <c:v>-48</c:v>
                </c:pt>
                <c:pt idx="49">
                  <c:v>-47.75</c:v>
                </c:pt>
                <c:pt idx="50">
                  <c:v>-47.5</c:v>
                </c:pt>
                <c:pt idx="51">
                  <c:v>-47.25</c:v>
                </c:pt>
                <c:pt idx="52">
                  <c:v>-47</c:v>
                </c:pt>
                <c:pt idx="53">
                  <c:v>-46.75</c:v>
                </c:pt>
                <c:pt idx="54">
                  <c:v>-46.5</c:v>
                </c:pt>
                <c:pt idx="55">
                  <c:v>-46.25</c:v>
                </c:pt>
                <c:pt idx="56">
                  <c:v>-46</c:v>
                </c:pt>
                <c:pt idx="57">
                  <c:v>-45.75</c:v>
                </c:pt>
                <c:pt idx="58">
                  <c:v>-45.5</c:v>
                </c:pt>
                <c:pt idx="59">
                  <c:v>-45.25</c:v>
                </c:pt>
                <c:pt idx="60">
                  <c:v>-45</c:v>
                </c:pt>
                <c:pt idx="61">
                  <c:v>-44.75</c:v>
                </c:pt>
                <c:pt idx="62">
                  <c:v>-44.5</c:v>
                </c:pt>
                <c:pt idx="63">
                  <c:v>-44.25</c:v>
                </c:pt>
                <c:pt idx="64">
                  <c:v>-44</c:v>
                </c:pt>
                <c:pt idx="65">
                  <c:v>-43.75</c:v>
                </c:pt>
                <c:pt idx="66">
                  <c:v>-43.5</c:v>
                </c:pt>
                <c:pt idx="67">
                  <c:v>-43.25</c:v>
                </c:pt>
                <c:pt idx="68">
                  <c:v>-43</c:v>
                </c:pt>
                <c:pt idx="69">
                  <c:v>-42.75</c:v>
                </c:pt>
                <c:pt idx="70">
                  <c:v>-42.5</c:v>
                </c:pt>
                <c:pt idx="71">
                  <c:v>-42.25</c:v>
                </c:pt>
                <c:pt idx="72">
                  <c:v>-42</c:v>
                </c:pt>
                <c:pt idx="73">
                  <c:v>-41.75</c:v>
                </c:pt>
                <c:pt idx="74">
                  <c:v>-41.5</c:v>
                </c:pt>
                <c:pt idx="75">
                  <c:v>-41.25</c:v>
                </c:pt>
                <c:pt idx="76">
                  <c:v>-41</c:v>
                </c:pt>
                <c:pt idx="77">
                  <c:v>-40.75</c:v>
                </c:pt>
                <c:pt idx="78">
                  <c:v>-40.5</c:v>
                </c:pt>
                <c:pt idx="79">
                  <c:v>-40.25</c:v>
                </c:pt>
                <c:pt idx="80">
                  <c:v>-40</c:v>
                </c:pt>
                <c:pt idx="81">
                  <c:v>-39.75</c:v>
                </c:pt>
                <c:pt idx="82">
                  <c:v>-39.5</c:v>
                </c:pt>
                <c:pt idx="83">
                  <c:v>-39.25</c:v>
                </c:pt>
                <c:pt idx="84">
                  <c:v>-39</c:v>
                </c:pt>
                <c:pt idx="85">
                  <c:v>-38.75</c:v>
                </c:pt>
                <c:pt idx="86">
                  <c:v>-38.5</c:v>
                </c:pt>
                <c:pt idx="87">
                  <c:v>-38.25</c:v>
                </c:pt>
                <c:pt idx="88">
                  <c:v>-38</c:v>
                </c:pt>
                <c:pt idx="89">
                  <c:v>-37.75</c:v>
                </c:pt>
                <c:pt idx="90">
                  <c:v>-37.5</c:v>
                </c:pt>
                <c:pt idx="91">
                  <c:v>-37.25</c:v>
                </c:pt>
                <c:pt idx="92">
                  <c:v>-37</c:v>
                </c:pt>
                <c:pt idx="93">
                  <c:v>-36.75</c:v>
                </c:pt>
                <c:pt idx="94">
                  <c:v>-36.5</c:v>
                </c:pt>
                <c:pt idx="95">
                  <c:v>-36.25</c:v>
                </c:pt>
                <c:pt idx="96">
                  <c:v>-36</c:v>
                </c:pt>
                <c:pt idx="97">
                  <c:v>-35.75</c:v>
                </c:pt>
                <c:pt idx="98">
                  <c:v>-35.5</c:v>
                </c:pt>
                <c:pt idx="99">
                  <c:v>-35.25</c:v>
                </c:pt>
                <c:pt idx="100">
                  <c:v>-35</c:v>
                </c:pt>
                <c:pt idx="101">
                  <c:v>-34.75</c:v>
                </c:pt>
                <c:pt idx="102">
                  <c:v>-34.5</c:v>
                </c:pt>
                <c:pt idx="103">
                  <c:v>-34.25</c:v>
                </c:pt>
                <c:pt idx="104">
                  <c:v>-34</c:v>
                </c:pt>
                <c:pt idx="105">
                  <c:v>-33.75</c:v>
                </c:pt>
                <c:pt idx="106">
                  <c:v>-33.5</c:v>
                </c:pt>
                <c:pt idx="107">
                  <c:v>-33.25</c:v>
                </c:pt>
                <c:pt idx="108">
                  <c:v>-33</c:v>
                </c:pt>
                <c:pt idx="109">
                  <c:v>-32.75</c:v>
                </c:pt>
                <c:pt idx="110">
                  <c:v>-32.5</c:v>
                </c:pt>
                <c:pt idx="111">
                  <c:v>-32.25</c:v>
                </c:pt>
                <c:pt idx="112">
                  <c:v>-32</c:v>
                </c:pt>
                <c:pt idx="113">
                  <c:v>-31.75</c:v>
                </c:pt>
                <c:pt idx="114">
                  <c:v>-31.5</c:v>
                </c:pt>
                <c:pt idx="115">
                  <c:v>-31.25</c:v>
                </c:pt>
                <c:pt idx="116">
                  <c:v>-31</c:v>
                </c:pt>
                <c:pt idx="117">
                  <c:v>-30.75</c:v>
                </c:pt>
                <c:pt idx="118">
                  <c:v>-30.5</c:v>
                </c:pt>
                <c:pt idx="119">
                  <c:v>-30.25</c:v>
                </c:pt>
                <c:pt idx="120">
                  <c:v>-30</c:v>
                </c:pt>
                <c:pt idx="121">
                  <c:v>-29.75</c:v>
                </c:pt>
                <c:pt idx="122">
                  <c:v>-29.5</c:v>
                </c:pt>
                <c:pt idx="123">
                  <c:v>-29.25</c:v>
                </c:pt>
                <c:pt idx="124">
                  <c:v>-29</c:v>
                </c:pt>
                <c:pt idx="125">
                  <c:v>-28.75</c:v>
                </c:pt>
                <c:pt idx="126">
                  <c:v>-28.5</c:v>
                </c:pt>
                <c:pt idx="127">
                  <c:v>-28.25</c:v>
                </c:pt>
                <c:pt idx="128">
                  <c:v>-28</c:v>
                </c:pt>
                <c:pt idx="129">
                  <c:v>-27.75</c:v>
                </c:pt>
                <c:pt idx="130">
                  <c:v>-27.5</c:v>
                </c:pt>
                <c:pt idx="131">
                  <c:v>-27.25</c:v>
                </c:pt>
                <c:pt idx="132">
                  <c:v>-27</c:v>
                </c:pt>
                <c:pt idx="133">
                  <c:v>-26.75</c:v>
                </c:pt>
                <c:pt idx="134">
                  <c:v>-26.5</c:v>
                </c:pt>
                <c:pt idx="135">
                  <c:v>-26.25</c:v>
                </c:pt>
                <c:pt idx="136">
                  <c:v>-26</c:v>
                </c:pt>
                <c:pt idx="137">
                  <c:v>-25.75</c:v>
                </c:pt>
                <c:pt idx="138">
                  <c:v>-25.5</c:v>
                </c:pt>
                <c:pt idx="139">
                  <c:v>-25.25</c:v>
                </c:pt>
                <c:pt idx="140">
                  <c:v>-25</c:v>
                </c:pt>
                <c:pt idx="141">
                  <c:v>-24.75</c:v>
                </c:pt>
                <c:pt idx="142">
                  <c:v>-24.5</c:v>
                </c:pt>
                <c:pt idx="143">
                  <c:v>-24.25</c:v>
                </c:pt>
                <c:pt idx="144">
                  <c:v>-24</c:v>
                </c:pt>
                <c:pt idx="145">
                  <c:v>-23.75</c:v>
                </c:pt>
                <c:pt idx="146">
                  <c:v>-23.5</c:v>
                </c:pt>
                <c:pt idx="147">
                  <c:v>-23.25</c:v>
                </c:pt>
                <c:pt idx="148">
                  <c:v>-23</c:v>
                </c:pt>
                <c:pt idx="149">
                  <c:v>-22.75</c:v>
                </c:pt>
                <c:pt idx="150">
                  <c:v>-22.5</c:v>
                </c:pt>
                <c:pt idx="151">
                  <c:v>-22.25</c:v>
                </c:pt>
                <c:pt idx="152">
                  <c:v>-22</c:v>
                </c:pt>
                <c:pt idx="153">
                  <c:v>-21.75</c:v>
                </c:pt>
                <c:pt idx="154">
                  <c:v>-21.5</c:v>
                </c:pt>
                <c:pt idx="155">
                  <c:v>-21.25</c:v>
                </c:pt>
                <c:pt idx="156">
                  <c:v>-21</c:v>
                </c:pt>
                <c:pt idx="157">
                  <c:v>-20.75</c:v>
                </c:pt>
                <c:pt idx="158">
                  <c:v>-20.5</c:v>
                </c:pt>
                <c:pt idx="159">
                  <c:v>-20.25</c:v>
                </c:pt>
                <c:pt idx="160">
                  <c:v>-20</c:v>
                </c:pt>
                <c:pt idx="161">
                  <c:v>-19.75</c:v>
                </c:pt>
                <c:pt idx="162">
                  <c:v>-19.5</c:v>
                </c:pt>
                <c:pt idx="163">
                  <c:v>-19.25</c:v>
                </c:pt>
                <c:pt idx="164">
                  <c:v>-19</c:v>
                </c:pt>
                <c:pt idx="165">
                  <c:v>-18.75</c:v>
                </c:pt>
                <c:pt idx="166">
                  <c:v>-18.5</c:v>
                </c:pt>
                <c:pt idx="167">
                  <c:v>-18.25</c:v>
                </c:pt>
                <c:pt idx="168">
                  <c:v>-18</c:v>
                </c:pt>
                <c:pt idx="169">
                  <c:v>-17.75</c:v>
                </c:pt>
                <c:pt idx="170">
                  <c:v>-17.5</c:v>
                </c:pt>
                <c:pt idx="171">
                  <c:v>-17.25</c:v>
                </c:pt>
                <c:pt idx="172">
                  <c:v>-17</c:v>
                </c:pt>
                <c:pt idx="173">
                  <c:v>-16.75</c:v>
                </c:pt>
                <c:pt idx="174">
                  <c:v>-16.5</c:v>
                </c:pt>
                <c:pt idx="175">
                  <c:v>-16.25</c:v>
                </c:pt>
                <c:pt idx="176">
                  <c:v>-16</c:v>
                </c:pt>
                <c:pt idx="177">
                  <c:v>-15.75</c:v>
                </c:pt>
                <c:pt idx="178">
                  <c:v>-15.5</c:v>
                </c:pt>
                <c:pt idx="179">
                  <c:v>-15.25</c:v>
                </c:pt>
                <c:pt idx="180">
                  <c:v>-15</c:v>
                </c:pt>
                <c:pt idx="181">
                  <c:v>-14.75</c:v>
                </c:pt>
                <c:pt idx="182">
                  <c:v>-14.5</c:v>
                </c:pt>
                <c:pt idx="183">
                  <c:v>-14.25</c:v>
                </c:pt>
                <c:pt idx="184">
                  <c:v>-14</c:v>
                </c:pt>
                <c:pt idx="185">
                  <c:v>-13.75</c:v>
                </c:pt>
                <c:pt idx="186">
                  <c:v>-13.5</c:v>
                </c:pt>
                <c:pt idx="187">
                  <c:v>-13.25</c:v>
                </c:pt>
                <c:pt idx="188">
                  <c:v>-13</c:v>
                </c:pt>
                <c:pt idx="189">
                  <c:v>-12.75</c:v>
                </c:pt>
                <c:pt idx="190">
                  <c:v>-12.5</c:v>
                </c:pt>
                <c:pt idx="191">
                  <c:v>-12.25</c:v>
                </c:pt>
                <c:pt idx="192">
                  <c:v>-12</c:v>
                </c:pt>
                <c:pt idx="193">
                  <c:v>-11.75</c:v>
                </c:pt>
                <c:pt idx="194">
                  <c:v>-11.5</c:v>
                </c:pt>
                <c:pt idx="195">
                  <c:v>-11.25</c:v>
                </c:pt>
                <c:pt idx="196">
                  <c:v>-11</c:v>
                </c:pt>
                <c:pt idx="197">
                  <c:v>-10.75</c:v>
                </c:pt>
                <c:pt idx="198">
                  <c:v>-10.5</c:v>
                </c:pt>
                <c:pt idx="199">
                  <c:v>-10.25</c:v>
                </c:pt>
                <c:pt idx="200">
                  <c:v>-10</c:v>
                </c:pt>
                <c:pt idx="201">
                  <c:v>-9.75</c:v>
                </c:pt>
                <c:pt idx="202">
                  <c:v>-9.5</c:v>
                </c:pt>
                <c:pt idx="203">
                  <c:v>-9.25</c:v>
                </c:pt>
                <c:pt idx="204">
                  <c:v>-9</c:v>
                </c:pt>
                <c:pt idx="205">
                  <c:v>-8.75</c:v>
                </c:pt>
                <c:pt idx="206">
                  <c:v>-8.5</c:v>
                </c:pt>
                <c:pt idx="207">
                  <c:v>-8.25</c:v>
                </c:pt>
                <c:pt idx="208">
                  <c:v>-8</c:v>
                </c:pt>
                <c:pt idx="209">
                  <c:v>-7.75</c:v>
                </c:pt>
                <c:pt idx="210">
                  <c:v>-7.5</c:v>
                </c:pt>
                <c:pt idx="211">
                  <c:v>-7.25</c:v>
                </c:pt>
                <c:pt idx="212">
                  <c:v>-7</c:v>
                </c:pt>
                <c:pt idx="213">
                  <c:v>-6.75</c:v>
                </c:pt>
                <c:pt idx="214">
                  <c:v>-6.5</c:v>
                </c:pt>
                <c:pt idx="215">
                  <c:v>-6.25</c:v>
                </c:pt>
                <c:pt idx="216">
                  <c:v>-6</c:v>
                </c:pt>
                <c:pt idx="217">
                  <c:v>-5.75</c:v>
                </c:pt>
                <c:pt idx="218">
                  <c:v>-5.5</c:v>
                </c:pt>
                <c:pt idx="219">
                  <c:v>-5.25</c:v>
                </c:pt>
                <c:pt idx="220">
                  <c:v>-5</c:v>
                </c:pt>
                <c:pt idx="221">
                  <c:v>-4.75</c:v>
                </c:pt>
                <c:pt idx="222">
                  <c:v>-4.5</c:v>
                </c:pt>
                <c:pt idx="223">
                  <c:v>-4.25</c:v>
                </c:pt>
                <c:pt idx="224">
                  <c:v>-4</c:v>
                </c:pt>
                <c:pt idx="225">
                  <c:v>-3.75</c:v>
                </c:pt>
                <c:pt idx="226">
                  <c:v>-3.5</c:v>
                </c:pt>
                <c:pt idx="227">
                  <c:v>-3.25</c:v>
                </c:pt>
                <c:pt idx="228">
                  <c:v>-3</c:v>
                </c:pt>
                <c:pt idx="229">
                  <c:v>-2.75</c:v>
                </c:pt>
                <c:pt idx="230">
                  <c:v>-2.5</c:v>
                </c:pt>
                <c:pt idx="231">
                  <c:v>-2.25</c:v>
                </c:pt>
                <c:pt idx="232">
                  <c:v>-2</c:v>
                </c:pt>
                <c:pt idx="233">
                  <c:v>-1.75</c:v>
                </c:pt>
                <c:pt idx="234">
                  <c:v>-1.5</c:v>
                </c:pt>
                <c:pt idx="235">
                  <c:v>-1.25</c:v>
                </c:pt>
                <c:pt idx="236">
                  <c:v>-1</c:v>
                </c:pt>
                <c:pt idx="237">
                  <c:v>-0.75</c:v>
                </c:pt>
                <c:pt idx="238">
                  <c:v>-0.5</c:v>
                </c:pt>
                <c:pt idx="239">
                  <c:v>-0.25</c:v>
                </c:pt>
                <c:pt idx="240">
                  <c:v>0</c:v>
                </c:pt>
                <c:pt idx="241">
                  <c:v>0.25</c:v>
                </c:pt>
                <c:pt idx="242">
                  <c:v>0.5</c:v>
                </c:pt>
                <c:pt idx="243">
                  <c:v>0.75</c:v>
                </c:pt>
                <c:pt idx="244">
                  <c:v>1</c:v>
                </c:pt>
                <c:pt idx="245">
                  <c:v>1.25</c:v>
                </c:pt>
                <c:pt idx="246">
                  <c:v>1.5</c:v>
                </c:pt>
                <c:pt idx="247">
                  <c:v>1.75</c:v>
                </c:pt>
                <c:pt idx="248">
                  <c:v>2</c:v>
                </c:pt>
                <c:pt idx="249">
                  <c:v>2.25</c:v>
                </c:pt>
                <c:pt idx="250">
                  <c:v>2.5</c:v>
                </c:pt>
                <c:pt idx="251">
                  <c:v>2.75</c:v>
                </c:pt>
                <c:pt idx="252">
                  <c:v>3</c:v>
                </c:pt>
                <c:pt idx="253">
                  <c:v>3.25</c:v>
                </c:pt>
                <c:pt idx="254">
                  <c:v>3.5</c:v>
                </c:pt>
                <c:pt idx="255">
                  <c:v>3.75</c:v>
                </c:pt>
                <c:pt idx="256">
                  <c:v>4</c:v>
                </c:pt>
                <c:pt idx="257">
                  <c:v>4.25</c:v>
                </c:pt>
                <c:pt idx="258">
                  <c:v>4.5</c:v>
                </c:pt>
                <c:pt idx="259">
                  <c:v>4.75</c:v>
                </c:pt>
                <c:pt idx="260">
                  <c:v>5</c:v>
                </c:pt>
                <c:pt idx="261">
                  <c:v>5.25</c:v>
                </c:pt>
                <c:pt idx="262">
                  <c:v>5.5</c:v>
                </c:pt>
                <c:pt idx="263">
                  <c:v>5.75</c:v>
                </c:pt>
                <c:pt idx="264">
                  <c:v>6</c:v>
                </c:pt>
                <c:pt idx="265">
                  <c:v>6.25</c:v>
                </c:pt>
                <c:pt idx="266">
                  <c:v>6.5</c:v>
                </c:pt>
                <c:pt idx="267">
                  <c:v>6.75</c:v>
                </c:pt>
                <c:pt idx="268">
                  <c:v>7</c:v>
                </c:pt>
                <c:pt idx="269">
                  <c:v>7.25</c:v>
                </c:pt>
                <c:pt idx="270">
                  <c:v>7.5</c:v>
                </c:pt>
                <c:pt idx="271">
                  <c:v>7.75</c:v>
                </c:pt>
                <c:pt idx="272">
                  <c:v>8</c:v>
                </c:pt>
                <c:pt idx="273">
                  <c:v>8.25</c:v>
                </c:pt>
                <c:pt idx="274">
                  <c:v>8.5</c:v>
                </c:pt>
                <c:pt idx="275">
                  <c:v>8.75</c:v>
                </c:pt>
                <c:pt idx="276">
                  <c:v>9</c:v>
                </c:pt>
                <c:pt idx="277">
                  <c:v>9.25</c:v>
                </c:pt>
                <c:pt idx="278">
                  <c:v>9.5</c:v>
                </c:pt>
                <c:pt idx="279">
                  <c:v>9.75</c:v>
                </c:pt>
                <c:pt idx="280">
                  <c:v>10</c:v>
                </c:pt>
                <c:pt idx="281">
                  <c:v>10.25</c:v>
                </c:pt>
                <c:pt idx="282">
                  <c:v>10.5</c:v>
                </c:pt>
                <c:pt idx="283">
                  <c:v>10.75</c:v>
                </c:pt>
                <c:pt idx="284">
                  <c:v>11</c:v>
                </c:pt>
                <c:pt idx="285">
                  <c:v>11.25</c:v>
                </c:pt>
                <c:pt idx="286">
                  <c:v>11.5</c:v>
                </c:pt>
                <c:pt idx="287">
                  <c:v>11.75</c:v>
                </c:pt>
                <c:pt idx="288">
                  <c:v>12</c:v>
                </c:pt>
                <c:pt idx="289">
                  <c:v>12.25</c:v>
                </c:pt>
                <c:pt idx="290">
                  <c:v>12.5</c:v>
                </c:pt>
                <c:pt idx="291">
                  <c:v>12.75</c:v>
                </c:pt>
                <c:pt idx="292">
                  <c:v>13</c:v>
                </c:pt>
                <c:pt idx="293">
                  <c:v>13.25</c:v>
                </c:pt>
                <c:pt idx="294">
                  <c:v>13.5</c:v>
                </c:pt>
                <c:pt idx="295">
                  <c:v>13.75</c:v>
                </c:pt>
                <c:pt idx="296">
                  <c:v>14</c:v>
                </c:pt>
                <c:pt idx="297">
                  <c:v>14.25</c:v>
                </c:pt>
                <c:pt idx="298">
                  <c:v>14.5</c:v>
                </c:pt>
                <c:pt idx="299">
                  <c:v>14.75</c:v>
                </c:pt>
                <c:pt idx="300">
                  <c:v>15</c:v>
                </c:pt>
                <c:pt idx="301">
                  <c:v>15.25</c:v>
                </c:pt>
                <c:pt idx="302">
                  <c:v>15.5</c:v>
                </c:pt>
                <c:pt idx="303">
                  <c:v>15.75</c:v>
                </c:pt>
                <c:pt idx="304">
                  <c:v>16</c:v>
                </c:pt>
                <c:pt idx="305">
                  <c:v>16.25</c:v>
                </c:pt>
                <c:pt idx="306">
                  <c:v>16.5</c:v>
                </c:pt>
                <c:pt idx="307">
                  <c:v>16.75</c:v>
                </c:pt>
                <c:pt idx="308">
                  <c:v>17</c:v>
                </c:pt>
                <c:pt idx="309">
                  <c:v>17.25</c:v>
                </c:pt>
                <c:pt idx="310">
                  <c:v>17.5</c:v>
                </c:pt>
                <c:pt idx="311">
                  <c:v>17.75</c:v>
                </c:pt>
                <c:pt idx="312">
                  <c:v>18</c:v>
                </c:pt>
              </c:numCache>
            </c:numRef>
          </c:xVal>
          <c:yVal>
            <c:numRef>
              <c:f>'transversal subsidence profile'!$AE$10:$AE$322</c:f>
              <c:numCache>
                <c:formatCode>0.000000000</c:formatCode>
                <c:ptCount val="313"/>
                <c:pt idx="0">
                  <c:v>-1.1439967664642942E-11</c:v>
                </c:pt>
                <c:pt idx="1">
                  <c:v>-1.4888127118922737E-11</c:v>
                </c:pt>
                <c:pt idx="2">
                  <c:v>-1.9348015586573529E-11</c:v>
                </c:pt>
                <c:pt idx="3">
                  <c:v>-2.5108087335955627E-11</c:v>
                </c:pt>
                <c:pt idx="4">
                  <c:v>-3.2536544183621869E-11</c:v>
                </c:pt>
                <c:pt idx="5">
                  <c:v>-4.210266153824247E-11</c:v>
                </c:pt>
                <c:pt idx="6">
                  <c:v>-5.4403614432323827E-11</c:v>
                </c:pt>
                <c:pt idx="7">
                  <c:v>-7.0198166495997776E-11</c:v>
                </c:pt>
                <c:pt idx="8">
                  <c:v>-9.0448907873030592E-11</c:v>
                </c:pt>
                <c:pt idx="9">
                  <c:v>-1.1637512391987946E-10</c:v>
                </c:pt>
                <c:pt idx="10">
                  <c:v>-1.4951886063257532E-10</c:v>
                </c:pt>
                <c:pt idx="11">
                  <c:v>-1.9182734364531776E-10</c:v>
                </c:pt>
                <c:pt idx="12">
                  <c:v>-2.45755627489618E-10</c:v>
                </c:pt>
                <c:pt idx="13">
                  <c:v>-3.143942270074094E-10</c:v>
                </c:pt>
                <c:pt idx="14">
                  <c:v>-4.0162754479834827E-10</c:v>
                </c:pt>
                <c:pt idx="15">
                  <c:v>-5.1233019464137974E-10</c:v>
                </c:pt>
                <c:pt idx="16">
                  <c:v>-6.5260987511010688E-10</c:v>
                </c:pt>
                <c:pt idx="17">
                  <c:v>-8.3010732223339706E-10</c:v>
                </c:pt>
                <c:pt idx="18">
                  <c:v>-1.0543661264445803E-9</c:v>
                </c:pt>
                <c:pt idx="19">
                  <c:v>-1.3372879093616544E-9</c:v>
                </c:pt>
                <c:pt idx="20">
                  <c:v>-1.6936916046888754E-9</c:v>
                </c:pt>
                <c:pt idx="21">
                  <c:v>-2.1419994735291088E-9</c:v>
                </c:pt>
                <c:pt idx="22">
                  <c:v>-2.7050771227991663E-9</c:v>
                </c:pt>
                <c:pt idx="23">
                  <c:v>-3.4112603200828986E-9</c:v>
                </c:pt>
                <c:pt idx="24">
                  <c:v>-4.2956079642477642E-9</c:v>
                </c:pt>
                <c:pt idx="25">
                  <c:v>-5.4014283577261894E-9</c:v>
                </c:pt>
                <c:pt idx="26">
                  <c:v>-6.7821351400260282E-9</c:v>
                </c:pt>
                <c:pt idx="27">
                  <c:v>-8.5035001199676361E-9</c:v>
                </c:pt>
                <c:pt idx="28">
                  <c:v>-1.0646383057910846E-8</c:v>
                </c:pt>
                <c:pt idx="29">
                  <c:v>-1.3310033508753643E-8</c:v>
                </c:pt>
                <c:pt idx="30">
                  <c:v>-1.6616077494250583E-8</c:v>
                </c:pt>
                <c:pt idx="31">
                  <c:v>-2.071332242875283E-8</c:v>
                </c:pt>
                <c:pt idx="32">
                  <c:v>-2.578353782703744E-8</c:v>
                </c:pt>
                <c:pt idx="33">
                  <c:v>-3.2048397384144974E-8</c:v>
                </c:pt>
                <c:pt idx="34">
                  <c:v>-3.9777800604058651E-8</c:v>
                </c:pt>
                <c:pt idx="35">
                  <c:v>-4.9299829901670774E-8</c:v>
                </c:pt>
                <c:pt idx="36">
                  <c:v>-6.1012642716539293E-8</c:v>
                </c:pt>
                <c:pt idx="37">
                  <c:v>-7.5398648438191683E-8</c:v>
                </c:pt>
                <c:pt idx="38">
                  <c:v>-9.3041377710755282E-8</c:v>
                </c:pt>
                <c:pt idx="39">
                  <c:v>-1.1464551790101841E-7</c:v>
                </c:pt>
                <c:pt idx="40">
                  <c:v>-1.41060664204223E-7</c:v>
                </c:pt>
                <c:pt idx="41">
                  <c:v>-1.733094221365711E-7</c:v>
                </c:pt>
                <c:pt idx="42">
                  <c:v>-2.1262059521741871E-7</c:v>
                </c:pt>
                <c:pt idx="43">
                  <c:v>-2.6046830275389875E-7</c:v>
                </c:pt>
                <c:pt idx="44">
                  <c:v>-3.186179981592276E-7</c:v>
                </c:pt>
                <c:pt idx="45">
                  <c:v>-3.8918049958467794E-7</c:v>
                </c:pt>
                <c:pt idx="46">
                  <c:v>-4.7467530330286396E-7</c:v>
                </c:pt>
                <c:pt idx="47">
                  <c:v>-5.7810462776685924E-7</c:v>
                </c:pt>
                <c:pt idx="48">
                  <c:v>-7.0303983412808616E-7</c:v>
                </c:pt>
                <c:pt idx="49">
                  <c:v>-8.5372208876441902E-7</c:v>
                </c:pt>
                <c:pt idx="50">
                  <c:v>-1.0351793765527078E-6</c:v>
                </c:pt>
                <c:pt idx="51">
                  <c:v>-1.2533622416482865E-6</c:v>
                </c:pt>
                <c:pt idx="52">
                  <c:v>-1.5153009267221495E-6</c:v>
                </c:pt>
                <c:pt idx="53">
                  <c:v>-1.8292869030970088E-6</c:v>
                </c:pt>
                <c:pt idx="54">
                  <c:v>-2.2050821339269854E-6</c:v>
                </c:pt>
                <c:pt idx="55">
                  <c:v>-2.6541597910885728E-6</c:v>
                </c:pt>
                <c:pt idx="56">
                  <c:v>-3.1899805540142246E-6</c:v>
                </c:pt>
                <c:pt idx="57">
                  <c:v>-3.8283090550506227E-6</c:v>
                </c:pt>
                <c:pt idx="58">
                  <c:v>-4.587575500229637E-6</c:v>
                </c:pt>
                <c:pt idx="59">
                  <c:v>-5.4892879850807596E-6</c:v>
                </c:pt>
                <c:pt idx="60">
                  <c:v>-6.5585015399580067E-6</c:v>
                </c:pt>
                <c:pt idx="61">
                  <c:v>-7.8243504750276802E-6</c:v>
                </c:pt>
                <c:pt idx="62">
                  <c:v>-9.3206511472086745E-6</c:v>
                </c:pt>
                <c:pt idx="63">
                  <c:v>-1.1086582834387751E-5</c:v>
                </c:pt>
                <c:pt idx="64">
                  <c:v>-1.3167454969175001E-5</c:v>
                </c:pt>
                <c:pt idx="65">
                  <c:v>-1.5615569546808999E-5</c:v>
                </c:pt>
                <c:pt idx="66">
                  <c:v>-1.849118806935599E-5</c:v>
                </c:pt>
                <c:pt idx="67">
                  <c:v>-2.1863612909008364E-5</c:v>
                </c:pt>
                <c:pt idx="68">
                  <c:v>-2.5812393453013967E-5</c:v>
                </c:pt>
                <c:pt idx="69">
                  <c:v>-3.0428667815358318E-5</c:v>
                </c:pt>
                <c:pt idx="70">
                  <c:v>-3.5816651247323766E-5</c:v>
                </c:pt>
                <c:pt idx="71">
                  <c:v>-4.2095282629662149E-5</c:v>
                </c:pt>
                <c:pt idx="72">
                  <c:v>-4.9400040560123261E-5</c:v>
                </c:pt>
                <c:pt idx="73">
                  <c:v>-5.7884940535824343E-5</c:v>
                </c:pt>
                <c:pt idx="74">
                  <c:v>-6.7724724542355994E-5</c:v>
                </c:pt>
                <c:pt idx="75">
                  <c:v>-7.9117253970168119E-5</c:v>
                </c:pt>
                <c:pt idx="76">
                  <c:v>-9.2286116151047917E-5</c:v>
                </c:pt>
                <c:pt idx="77">
                  <c:v>-1.0748345390877281E-4</c:v>
                </c:pt>
                <c:pt idx="78">
                  <c:v>-1.2499302631196335E-4</c:v>
                </c:pt>
                <c:pt idx="79">
                  <c:v>-1.4513350726617051E-4</c:v>
                </c:pt>
                <c:pt idx="80">
                  <c:v>-1.6826202664783259E-4</c:v>
                </c:pt>
                <c:pt idx="81">
                  <c:v>-1.9477795632628439E-4</c:v>
                </c:pt>
                <c:pt idx="82">
                  <c:v>-2.2512694060327536E-4</c:v>
                </c:pt>
                <c:pt idx="83">
                  <c:v>-2.5980516728561938E-4</c:v>
                </c:pt>
                <c:pt idx="84">
                  <c:v>-2.9936387176106712E-4</c:v>
                </c:pt>
                <c:pt idx="85">
                  <c:v>-3.4441406203901837E-4</c:v>
                </c:pt>
                <c:pt idx="86">
                  <c:v>-3.9563144771967955E-4</c:v>
                </c:pt>
                <c:pt idx="87">
                  <c:v>-4.5376155024693402E-4</c:v>
                </c:pt>
                <c:pt idx="88">
                  <c:v>-5.196249655681428E-4</c:v>
                </c:pt>
                <c:pt idx="89">
                  <c:v>-5.9412274346381209E-4</c:v>
                </c:pt>
                <c:pt idx="90">
                  <c:v>-6.7824184032747774E-4</c:v>
                </c:pt>
                <c:pt idx="91">
                  <c:v>-7.7306059408941644E-4</c:v>
                </c:pt>
                <c:pt idx="92">
                  <c:v>-8.7975416131883086E-4</c:v>
                </c:pt>
                <c:pt idx="93">
                  <c:v>-9.9959984735557405E-4</c:v>
                </c:pt>
                <c:pt idx="94">
                  <c:v>-1.1339822506789366E-3</c:v>
                </c:pt>
                <c:pt idx="95">
                  <c:v>-1.2843981327011276E-3</c:v>
                </c:pt>
                <c:pt idx="96">
                  <c:v>-1.4524609138805073E-3</c:v>
                </c:pt>
                <c:pt idx="97">
                  <c:v>-1.6399046866096164E-3</c:v>
                </c:pt>
                <c:pt idx="98">
                  <c:v>-1.8485876248931928E-3</c:v>
                </c:pt>
                <c:pt idx="99">
                  <c:v>-2.0804946605623852E-3</c:v>
                </c:pt>
                <c:pt idx="100">
                  <c:v>-2.3377392858675611E-3</c:v>
                </c:pt>
                <c:pt idx="101">
                  <c:v>-2.622564332970658E-3</c:v>
                </c:pt>
                <c:pt idx="102">
                  <c:v>-2.9373415723593899E-3</c:v>
                </c:pt>
                <c:pt idx="103">
                  <c:v>-3.2845699647907432E-3</c:v>
                </c:pt>
                <c:pt idx="104">
                  <c:v>-3.6668723953217183E-3</c:v>
                </c:pt>
                <c:pt idx="105">
                  <c:v>-4.0869907135985904E-3</c:v>
                </c:pt>
                <c:pt idx="106">
                  <c:v>-4.5477789021642805E-3</c:v>
                </c:pt>
                <c:pt idx="107">
                  <c:v>-5.052194194427778E-3</c:v>
                </c:pt>
                <c:pt idx="108">
                  <c:v>-5.6032859664465629E-3</c:v>
                </c:pt>
                <c:pt idx="109">
                  <c:v>-6.2041822321275072E-3</c:v>
                </c:pt>
                <c:pt idx="110">
                  <c:v>-6.8580735801725195E-3</c:v>
                </c:pt>
                <c:pt idx="111">
                  <c:v>-7.5681944033855293E-3</c:v>
                </c:pt>
                <c:pt idx="112">
                  <c:v>-8.3378012870989442E-3</c:v>
                </c:pt>
                <c:pt idx="113">
                  <c:v>-9.1701484437209067E-3</c:v>
                </c:pt>
                <c:pt idx="114">
                  <c:v>-1.0068460104960228E-2</c:v>
                </c:pt>
                <c:pt idx="115">
                  <c:v>-1.1035899812315378E-2</c:v>
                </c:pt>
                <c:pt idx="116">
                  <c:v>-1.207553658001944E-2</c:v>
                </c:pt>
                <c:pt idx="117">
                  <c:v>-1.319030794284864E-2</c:v>
                </c:pt>
                <c:pt idx="118">
                  <c:v>-1.4382979943983227E-2</c:v>
                </c:pt>
                <c:pt idx="119">
                  <c:v>-1.5656104165324536E-2</c:v>
                </c:pt>
                <c:pt idx="120">
                  <c:v>-1.7011971954092982E-2</c:v>
                </c:pt>
                <c:pt idx="121">
                  <c:v>-1.8452566054827778E-2</c:v>
                </c:pt>
                <c:pt idx="122">
                  <c:v>-1.9979509914638812E-2</c:v>
                </c:pt>
                <c:pt idx="123">
                  <c:v>-2.1594014991169419E-2</c:v>
                </c:pt>
                <c:pt idx="124">
                  <c:v>-2.3296826456541183E-2</c:v>
                </c:pt>
                <c:pt idx="125">
                  <c:v>-2.5088167755777165E-2</c:v>
                </c:pt>
                <c:pt idx="126">
                  <c:v>-2.6967684543927783E-2</c:v>
                </c:pt>
                <c:pt idx="127">
                  <c:v>-2.8934388591330518E-2</c:v>
                </c:pt>
                <c:pt idx="128">
                  <c:v>-3.0986602309991194E-2</c:v>
                </c:pt>
                <c:pt idx="129">
                  <c:v>-3.3121904614754241E-2</c:v>
                </c:pt>
                <c:pt idx="130">
                  <c:v>-3.5337078889419879E-2</c:v>
                </c:pt>
                <c:pt idx="131">
                  <c:v>-3.762806387889045E-2</c:v>
                </c:pt>
                <c:pt idx="132">
                  <c:v>-3.9989908372357913E-2</c:v>
                </c:pt>
                <c:pt idx="133">
                  <c:v>-4.2416730578026654E-2</c:v>
                </c:pt>
                <c:pt idx="134">
                  <c:v>-4.4901683115445665E-2</c:v>
                </c:pt>
                <c:pt idx="135">
                  <c:v>-4.7436924565775702E-2</c:v>
                </c:pt>
                <c:pt idx="136">
                  <c:v>-5.0013598521871136E-2</c:v>
                </c:pt>
                <c:pt idx="137">
                  <c:v>-5.2621821067633613E-2</c:v>
                </c:pt>
                <c:pt idx="138">
                  <c:v>-5.5250677588543143E-2</c:v>
                </c:pt>
                <c:pt idx="139">
                  <c:v>-5.7888229771594045E-2</c:v>
                </c:pt>
                <c:pt idx="140">
                  <c:v>-6.0521533592261416E-2</c:v>
                </c:pt>
                <c:pt idx="141">
                  <c:v>-6.3136669008021382E-2</c:v>
                </c:pt>
                <c:pt idx="142">
                  <c:v>-6.5718781982038801E-2</c:v>
                </c:pt>
                <c:pt idx="143">
                  <c:v>-6.8252139346897917E-2</c:v>
                </c:pt>
                <c:pt idx="144">
                  <c:v>-7.072019688698504E-2</c:v>
                </c:pt>
                <c:pt idx="145">
                  <c:v>-7.3105680869984854E-2</c:v>
                </c:pt>
                <c:pt idx="146">
                  <c:v>-7.5390683093922994E-2</c:v>
                </c:pt>
                <c:pt idx="147">
                  <c:v>-7.7556769337662312E-2</c:v>
                </c:pt>
                <c:pt idx="148">
                  <c:v>-7.958510091149272E-2</c:v>
                </c:pt>
                <c:pt idx="149">
                  <c:v>-8.1456568802585325E-2</c:v>
                </c:pt>
                <c:pt idx="150">
                  <c:v>-8.3151939700117014E-2</c:v>
                </c:pt>
                <c:pt idx="151">
                  <c:v>-8.4652012969667526E-2</c:v>
                </c:pt>
                <c:pt idx="152">
                  <c:v>-8.5937787429233345E-2</c:v>
                </c:pt>
                <c:pt idx="153">
                  <c:v>-8.6990636563358634E-2</c:v>
                </c:pt>
                <c:pt idx="154">
                  <c:v>-8.7792490601172599E-2</c:v>
                </c:pt>
                <c:pt idx="155">
                  <c:v>-8.832602368244874E-2</c:v>
                </c:pt>
                <c:pt idx="156">
                  <c:v>-8.8574844147204124E-2</c:v>
                </c:pt>
                <c:pt idx="157">
                  <c:v>-8.8523685812931435E-2</c:v>
                </c:pt>
                <c:pt idx="158">
                  <c:v>-8.8158597953391718E-2</c:v>
                </c:pt>
                <c:pt idx="159">
                  <c:v>-8.7467131567975698E-2</c:v>
                </c:pt>
                <c:pt idx="160">
                  <c:v>-8.6438519434783145E-2</c:v>
                </c:pt>
                <c:pt idx="161">
                  <c:v>-8.50638473773139E-2</c:v>
                </c:pt>
                <c:pt idx="162">
                  <c:v>-8.333621414720456E-2</c:v>
                </c:pt>
                <c:pt idx="163">
                  <c:v>-8.1250877336534022E-2</c:v>
                </c:pt>
                <c:pt idx="164">
                  <c:v>-7.8805382785087558E-2</c:v>
                </c:pt>
                <c:pt idx="165">
                  <c:v>-7.5999675042243364E-2</c:v>
                </c:pt>
                <c:pt idx="166">
                  <c:v>-7.2836186580784515E-2</c:v>
                </c:pt>
                <c:pt idx="167">
                  <c:v>-6.9319903641170466E-2</c:v>
                </c:pt>
                <c:pt idx="168">
                  <c:v>-6.5458406809068975E-2</c:v>
                </c:pt>
                <c:pt idx="169">
                  <c:v>-6.1261884694877998E-2</c:v>
                </c:pt>
                <c:pt idx="170">
                  <c:v>-5.6743119389342747E-2</c:v>
                </c:pt>
                <c:pt idx="171">
                  <c:v>-5.1917442711134125E-2</c:v>
                </c:pt>
                <c:pt idx="172">
                  <c:v>-4.6802662636505767E-2</c:v>
                </c:pt>
                <c:pt idx="173">
                  <c:v>-4.1418959703185397E-2</c:v>
                </c:pt>
                <c:pt idx="174">
                  <c:v>-3.5788753605021859E-2</c:v>
                </c:pt>
                <c:pt idx="175">
                  <c:v>-2.9936540634450295E-2</c:v>
                </c:pt>
                <c:pt idx="176">
                  <c:v>-2.3888703079794755E-2</c:v>
                </c:pt>
                <c:pt idx="177">
                  <c:v>-1.7673292136530634E-2</c:v>
                </c:pt>
                <c:pt idx="178">
                  <c:v>-1.1319786338222851E-2</c:v>
                </c:pt>
                <c:pt idx="179">
                  <c:v>-4.8588279460189607E-3</c:v>
                </c:pt>
                <c:pt idx="180">
                  <c:v>1.6780598527237553E-3</c:v>
                </c:pt>
                <c:pt idx="181">
                  <c:v>8.2587717038670114E-3</c:v>
                </c:pt>
                <c:pt idx="182">
                  <c:v>1.4850931226209757E-2</c:v>
                </c:pt>
                <c:pt idx="183">
                  <c:v>2.1422210653507023E-2</c:v>
                </c:pt>
                <c:pt idx="184">
                  <c:v>2.7940654852253222E-2</c:v>
                </c:pt>
                <c:pt idx="185">
                  <c:v>3.4375005398089201E-2</c:v>
                </c:pt>
                <c:pt idx="186">
                  <c:v>4.0695020266479628E-2</c:v>
                </c:pt>
                <c:pt idx="187">
                  <c:v>4.6871784633971056E-2</c:v>
                </c:pt>
                <c:pt idx="188">
                  <c:v>5.2878008298277407E-2</c:v>
                </c:pt>
                <c:pt idx="189">
                  <c:v>5.8688305310853464E-2</c:v>
                </c:pt>
                <c:pt idx="190">
                  <c:v>6.4279451575428997E-2</c:v>
                </c:pt>
                <c:pt idx="191">
                  <c:v>6.9630616399764117E-2</c:v>
                </c:pt>
                <c:pt idx="192">
                  <c:v>7.4723564293838848E-2</c:v>
                </c:pt>
                <c:pt idx="193">
                  <c:v>7.9542823682614033E-2</c:v>
                </c:pt>
                <c:pt idx="194">
                  <c:v>8.407581964081054E-2</c:v>
                </c:pt>
                <c:pt idx="195">
                  <c:v>8.8312968254949692E-2</c:v>
                </c:pt>
                <c:pt idx="196">
                  <c:v>9.2247730767015201E-2</c:v>
                </c:pt>
                <c:pt idx="197">
                  <c:v>9.5876626246228377E-2</c:v>
                </c:pt>
                <c:pt idx="198">
                  <c:v>9.9199202161242159E-2</c:v>
                </c:pt>
                <c:pt idx="199">
                  <c:v>0.10221796287436243</c:v>
                </c:pt>
                <c:pt idx="200">
                  <c:v>0.10493825674131929</c:v>
                </c:pt>
                <c:pt idx="201">
                  <c:v>0.10736812316326143</c:v>
                </c:pt>
                <c:pt idx="202">
                  <c:v>0.10951810159038892</c:v>
                </c:pt>
                <c:pt idx="203">
                  <c:v>0.11140100510726214</c:v>
                </c:pt>
                <c:pt idx="204">
                  <c:v>0.11303166182679439</c:v>
                </c:pt>
                <c:pt idx="205">
                  <c:v>0.11442662787211513</c:v>
                </c:pt>
                <c:pt idx="206">
                  <c:v>0.11560387622237389</c:v>
                </c:pt>
                <c:pt idx="207">
                  <c:v>0.11658246613047241</c:v>
                </c:pt>
                <c:pt idx="208">
                  <c:v>0.11738219817905686</c:v>
                </c:pt>
                <c:pt idx="209">
                  <c:v>0.11802326031848304</c:v>
                </c:pt>
                <c:pt idx="210">
                  <c:v>0.11852587042091192</c:v>
                </c:pt>
                <c:pt idx="211">
                  <c:v>0.11890992098375153</c:v>
                </c:pt>
                <c:pt idx="212">
                  <c:v>0.11919463162053572</c:v>
                </c:pt>
                <c:pt idx="213">
                  <c:v>0.11939821488694168</c:v>
                </c:pt>
                <c:pt idx="214">
                  <c:v>0.11953756080467763</c:v>
                </c:pt>
                <c:pt idx="215">
                  <c:v>0.11962794516887443</c:v>
                </c:pt>
                <c:pt idx="216">
                  <c:v>0.11968276635957042</c:v>
                </c:pt>
                <c:pt idx="217">
                  <c:v>0.11971331493075185</c:v>
                </c:pt>
                <c:pt idx="218">
                  <c:v>0.11972857972862297</c:v>
                </c:pt>
                <c:pt idx="219">
                  <c:v>0.11973509370319427</c:v>
                </c:pt>
                <c:pt idx="220">
                  <c:v>0.11973682193401933</c:v>
                </c:pt>
                <c:pt idx="221">
                  <c:v>0.11973509370319427</c:v>
                </c:pt>
                <c:pt idx="222">
                  <c:v>0.11972857972862297</c:v>
                </c:pt>
                <c:pt idx="223">
                  <c:v>0.11971331493075185</c:v>
                </c:pt>
                <c:pt idx="224">
                  <c:v>0.11968276635957042</c:v>
                </c:pt>
                <c:pt idx="225">
                  <c:v>0.11962794516887443</c:v>
                </c:pt>
                <c:pt idx="226">
                  <c:v>0.11953756080467763</c:v>
                </c:pt>
                <c:pt idx="227">
                  <c:v>0.11939821488694168</c:v>
                </c:pt>
                <c:pt idx="228">
                  <c:v>0.11919463162053572</c:v>
                </c:pt>
                <c:pt idx="229">
                  <c:v>0.11890992098375153</c:v>
                </c:pt>
                <c:pt idx="230">
                  <c:v>0.11852587042091192</c:v>
                </c:pt>
                <c:pt idx="231">
                  <c:v>0.11802326031848304</c:v>
                </c:pt>
                <c:pt idx="232">
                  <c:v>0.11738219817905686</c:v>
                </c:pt>
                <c:pt idx="233">
                  <c:v>0.11658246613047241</c:v>
                </c:pt>
                <c:pt idx="234">
                  <c:v>0.11560387622237389</c:v>
                </c:pt>
                <c:pt idx="235">
                  <c:v>0.11442662787211513</c:v>
                </c:pt>
                <c:pt idx="236">
                  <c:v>0.11303166182679439</c:v>
                </c:pt>
                <c:pt idx="237">
                  <c:v>0.11140100510726214</c:v>
                </c:pt>
                <c:pt idx="238">
                  <c:v>0.10951810159038892</c:v>
                </c:pt>
                <c:pt idx="239">
                  <c:v>0.10736812316326143</c:v>
                </c:pt>
                <c:pt idx="240">
                  <c:v>0.10493825674131929</c:v>
                </c:pt>
                <c:pt idx="241">
                  <c:v>0.10221796287436243</c:v>
                </c:pt>
                <c:pt idx="242">
                  <c:v>9.9199202161242159E-2</c:v>
                </c:pt>
                <c:pt idx="243">
                  <c:v>9.5876626246228377E-2</c:v>
                </c:pt>
                <c:pt idx="244">
                  <c:v>9.2247730767015201E-2</c:v>
                </c:pt>
                <c:pt idx="245">
                  <c:v>8.8312968254949692E-2</c:v>
                </c:pt>
                <c:pt idx="246">
                  <c:v>8.407581964081054E-2</c:v>
                </c:pt>
                <c:pt idx="247">
                  <c:v>7.9542823682614033E-2</c:v>
                </c:pt>
                <c:pt idx="248">
                  <c:v>7.4723564293838848E-2</c:v>
                </c:pt>
                <c:pt idx="249">
                  <c:v>6.9630616399764117E-2</c:v>
                </c:pt>
                <c:pt idx="250">
                  <c:v>6.4279451575428997E-2</c:v>
                </c:pt>
                <c:pt idx="251">
                  <c:v>5.8688305310853464E-2</c:v>
                </c:pt>
                <c:pt idx="252">
                  <c:v>5.2878008298277407E-2</c:v>
                </c:pt>
                <c:pt idx="253">
                  <c:v>4.6871784633971056E-2</c:v>
                </c:pt>
                <c:pt idx="254">
                  <c:v>4.0695020266479628E-2</c:v>
                </c:pt>
                <c:pt idx="255">
                  <c:v>3.4375005398089201E-2</c:v>
                </c:pt>
                <c:pt idx="256">
                  <c:v>2.7940654852253222E-2</c:v>
                </c:pt>
                <c:pt idx="257">
                  <c:v>2.1422210653507023E-2</c:v>
                </c:pt>
                <c:pt idx="258">
                  <c:v>1.4850931226209757E-2</c:v>
                </c:pt>
                <c:pt idx="259">
                  <c:v>8.2587717038670114E-3</c:v>
                </c:pt>
                <c:pt idx="260">
                  <c:v>1.6780598527237553E-3</c:v>
                </c:pt>
                <c:pt idx="261">
                  <c:v>-4.8588279460189607E-3</c:v>
                </c:pt>
                <c:pt idx="262">
                  <c:v>-1.1319786338222851E-2</c:v>
                </c:pt>
                <c:pt idx="263">
                  <c:v>-1.7673292136530634E-2</c:v>
                </c:pt>
                <c:pt idx="264">
                  <c:v>-2.3888703079794755E-2</c:v>
                </c:pt>
                <c:pt idx="265">
                  <c:v>-2.9936540634450295E-2</c:v>
                </c:pt>
                <c:pt idx="266">
                  <c:v>-3.5788753605021859E-2</c:v>
                </c:pt>
                <c:pt idx="267">
                  <c:v>-4.1418959703185397E-2</c:v>
                </c:pt>
                <c:pt idx="268">
                  <c:v>-4.6802662636505767E-2</c:v>
                </c:pt>
                <c:pt idx="269">
                  <c:v>-5.1917442711134125E-2</c:v>
                </c:pt>
                <c:pt idx="270">
                  <c:v>-5.6743119389342747E-2</c:v>
                </c:pt>
                <c:pt idx="271">
                  <c:v>-6.1261884694877998E-2</c:v>
                </c:pt>
                <c:pt idx="272">
                  <c:v>-6.5458406809068975E-2</c:v>
                </c:pt>
                <c:pt idx="273">
                  <c:v>-6.9319903641170466E-2</c:v>
                </c:pt>
                <c:pt idx="274">
                  <c:v>-7.2836186580784515E-2</c:v>
                </c:pt>
                <c:pt idx="275">
                  <c:v>-7.5999675042243364E-2</c:v>
                </c:pt>
                <c:pt idx="276">
                  <c:v>-7.8805382785087558E-2</c:v>
                </c:pt>
                <c:pt idx="277">
                  <c:v>-8.1250877336534022E-2</c:v>
                </c:pt>
                <c:pt idx="278">
                  <c:v>-8.333621414720456E-2</c:v>
                </c:pt>
                <c:pt idx="279">
                  <c:v>-8.50638473773139E-2</c:v>
                </c:pt>
                <c:pt idx="280">
                  <c:v>-8.6438519434783145E-2</c:v>
                </c:pt>
                <c:pt idx="281">
                  <c:v>-8.7467131567975698E-2</c:v>
                </c:pt>
                <c:pt idx="282">
                  <c:v>-8.8158597953391718E-2</c:v>
                </c:pt>
                <c:pt idx="283">
                  <c:v>-8.8523685812931435E-2</c:v>
                </c:pt>
                <c:pt idx="284">
                  <c:v>-8.8574844147204124E-2</c:v>
                </c:pt>
                <c:pt idx="285">
                  <c:v>-8.832602368244874E-2</c:v>
                </c:pt>
                <c:pt idx="286">
                  <c:v>-8.7792490601172599E-2</c:v>
                </c:pt>
                <c:pt idx="287">
                  <c:v>-8.6990636563358634E-2</c:v>
                </c:pt>
                <c:pt idx="288">
                  <c:v>-8.5937787429233345E-2</c:v>
                </c:pt>
                <c:pt idx="289">
                  <c:v>-8.4652012969667526E-2</c:v>
                </c:pt>
                <c:pt idx="290">
                  <c:v>-8.3151939700117014E-2</c:v>
                </c:pt>
                <c:pt idx="291">
                  <c:v>-8.1456568802585325E-2</c:v>
                </c:pt>
                <c:pt idx="292">
                  <c:v>-7.958510091149272E-2</c:v>
                </c:pt>
                <c:pt idx="293">
                  <c:v>-7.7556769337662312E-2</c:v>
                </c:pt>
                <c:pt idx="294">
                  <c:v>-7.5390683093922994E-2</c:v>
                </c:pt>
                <c:pt idx="295">
                  <c:v>-7.3105680869984854E-2</c:v>
                </c:pt>
                <c:pt idx="296">
                  <c:v>-7.072019688698504E-2</c:v>
                </c:pt>
                <c:pt idx="297">
                  <c:v>-6.8252139346897917E-2</c:v>
                </c:pt>
                <c:pt idx="298">
                  <c:v>-6.5718781982038801E-2</c:v>
                </c:pt>
                <c:pt idx="299">
                  <c:v>-6.3136669008021382E-2</c:v>
                </c:pt>
                <c:pt idx="300">
                  <c:v>-6.0521533592261416E-2</c:v>
                </c:pt>
                <c:pt idx="301">
                  <c:v>-5.7888229771594045E-2</c:v>
                </c:pt>
                <c:pt idx="302">
                  <c:v>-5.5250677588543143E-2</c:v>
                </c:pt>
                <c:pt idx="303">
                  <c:v>-5.2621821067633613E-2</c:v>
                </c:pt>
                <c:pt idx="304">
                  <c:v>-5.0013598521871136E-2</c:v>
                </c:pt>
                <c:pt idx="305">
                  <c:v>-4.7436924565775702E-2</c:v>
                </c:pt>
                <c:pt idx="306">
                  <c:v>-4.4901683115445665E-2</c:v>
                </c:pt>
                <c:pt idx="307">
                  <c:v>-4.2416730578026654E-2</c:v>
                </c:pt>
                <c:pt idx="308">
                  <c:v>-3.9989908372357913E-2</c:v>
                </c:pt>
                <c:pt idx="309">
                  <c:v>-3.762806387889045E-2</c:v>
                </c:pt>
                <c:pt idx="310">
                  <c:v>-3.5337078889419879E-2</c:v>
                </c:pt>
                <c:pt idx="311">
                  <c:v>-3.3121904614754241E-2</c:v>
                </c:pt>
                <c:pt idx="312">
                  <c:v>-3.0986602309991194E-2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35-40B4-B7B1-D8B0F7E20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260160"/>
        <c:axId val="297261696"/>
      </c:scatterChart>
      <c:valAx>
        <c:axId val="297260160"/>
        <c:scaling>
          <c:orientation val="minMax"/>
          <c:max val="30"/>
          <c:min val="-3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7261696"/>
        <c:crosses val="autoZero"/>
        <c:crossBetween val="midCat"/>
      </c:valAx>
      <c:valAx>
        <c:axId val="2972616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0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7260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4692556634304204"/>
          <c:y val="0.43300653594771243"/>
          <c:w val="0.99417475728155336"/>
          <c:h val="0.5375816993464052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045951859956234E-2"/>
          <c:y val="0.11167526530187344"/>
          <c:w val="0.8654266958424508"/>
          <c:h val="0.7157369276165525"/>
        </c:manualLayout>
      </c:layout>
      <c:scatterChart>
        <c:scatterStyle val="lineMarker"/>
        <c:varyColors val="0"/>
        <c:ser>
          <c:idx val="0"/>
          <c:order val="0"/>
          <c:tx>
            <c:strRef>
              <c:f>'transversal subsidence-gauss'!$A$8</c:f>
              <c:strCache>
                <c:ptCount val="1"/>
                <c:pt idx="0">
                  <c:v>Tunnel A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'transversal subsidence-gauss'!$G$10:$G$166</c:f>
              <c:numCache>
                <c:formatCode>General</c:formatCode>
                <c:ptCount val="157"/>
                <c:pt idx="0">
                  <c:v>-60</c:v>
                </c:pt>
                <c:pt idx="1">
                  <c:v>-59</c:v>
                </c:pt>
                <c:pt idx="2">
                  <c:v>-58</c:v>
                </c:pt>
                <c:pt idx="3">
                  <c:v>-57</c:v>
                </c:pt>
                <c:pt idx="4">
                  <c:v>-56</c:v>
                </c:pt>
                <c:pt idx="5">
                  <c:v>-55</c:v>
                </c:pt>
                <c:pt idx="6">
                  <c:v>-54</c:v>
                </c:pt>
                <c:pt idx="7">
                  <c:v>-53</c:v>
                </c:pt>
                <c:pt idx="8">
                  <c:v>-52</c:v>
                </c:pt>
                <c:pt idx="9">
                  <c:v>-51</c:v>
                </c:pt>
                <c:pt idx="10">
                  <c:v>-50</c:v>
                </c:pt>
                <c:pt idx="11">
                  <c:v>-49</c:v>
                </c:pt>
                <c:pt idx="12">
                  <c:v>-48</c:v>
                </c:pt>
                <c:pt idx="13">
                  <c:v>-47</c:v>
                </c:pt>
                <c:pt idx="14">
                  <c:v>-46</c:v>
                </c:pt>
                <c:pt idx="15">
                  <c:v>-45</c:v>
                </c:pt>
                <c:pt idx="16">
                  <c:v>-44</c:v>
                </c:pt>
                <c:pt idx="17">
                  <c:v>-43</c:v>
                </c:pt>
                <c:pt idx="18">
                  <c:v>-42</c:v>
                </c:pt>
                <c:pt idx="19">
                  <c:v>-41</c:v>
                </c:pt>
                <c:pt idx="20">
                  <c:v>-40</c:v>
                </c:pt>
                <c:pt idx="21">
                  <c:v>-39</c:v>
                </c:pt>
                <c:pt idx="22">
                  <c:v>-38</c:v>
                </c:pt>
                <c:pt idx="23">
                  <c:v>-37</c:v>
                </c:pt>
                <c:pt idx="24">
                  <c:v>-36</c:v>
                </c:pt>
                <c:pt idx="25">
                  <c:v>-35</c:v>
                </c:pt>
                <c:pt idx="26">
                  <c:v>-34</c:v>
                </c:pt>
                <c:pt idx="27">
                  <c:v>-33</c:v>
                </c:pt>
                <c:pt idx="28">
                  <c:v>-32</c:v>
                </c:pt>
                <c:pt idx="29">
                  <c:v>-31</c:v>
                </c:pt>
                <c:pt idx="30">
                  <c:v>-30</c:v>
                </c:pt>
                <c:pt idx="31">
                  <c:v>-29</c:v>
                </c:pt>
                <c:pt idx="32">
                  <c:v>-28</c:v>
                </c:pt>
                <c:pt idx="33">
                  <c:v>-27</c:v>
                </c:pt>
                <c:pt idx="34">
                  <c:v>-26</c:v>
                </c:pt>
                <c:pt idx="35">
                  <c:v>-25</c:v>
                </c:pt>
                <c:pt idx="36">
                  <c:v>-24</c:v>
                </c:pt>
                <c:pt idx="37">
                  <c:v>-23</c:v>
                </c:pt>
                <c:pt idx="38">
                  <c:v>-22</c:v>
                </c:pt>
                <c:pt idx="39">
                  <c:v>-21</c:v>
                </c:pt>
                <c:pt idx="40">
                  <c:v>-20</c:v>
                </c:pt>
                <c:pt idx="41">
                  <c:v>-19</c:v>
                </c:pt>
                <c:pt idx="42">
                  <c:v>-18</c:v>
                </c:pt>
                <c:pt idx="43">
                  <c:v>-17</c:v>
                </c:pt>
                <c:pt idx="44">
                  <c:v>-16</c:v>
                </c:pt>
                <c:pt idx="45">
                  <c:v>-15</c:v>
                </c:pt>
                <c:pt idx="46">
                  <c:v>-14</c:v>
                </c:pt>
                <c:pt idx="47">
                  <c:v>-13</c:v>
                </c:pt>
                <c:pt idx="48">
                  <c:v>-12</c:v>
                </c:pt>
                <c:pt idx="49">
                  <c:v>-11</c:v>
                </c:pt>
                <c:pt idx="50">
                  <c:v>-10</c:v>
                </c:pt>
                <c:pt idx="51">
                  <c:v>-9</c:v>
                </c:pt>
                <c:pt idx="52">
                  <c:v>-8</c:v>
                </c:pt>
                <c:pt idx="53">
                  <c:v>-7</c:v>
                </c:pt>
                <c:pt idx="54">
                  <c:v>-6</c:v>
                </c:pt>
                <c:pt idx="55">
                  <c:v>-5</c:v>
                </c:pt>
                <c:pt idx="56">
                  <c:v>-4</c:v>
                </c:pt>
                <c:pt idx="57">
                  <c:v>-3</c:v>
                </c:pt>
                <c:pt idx="58">
                  <c:v>-2</c:v>
                </c:pt>
                <c:pt idx="59">
                  <c:v>-1</c:v>
                </c:pt>
                <c:pt idx="60">
                  <c:v>0</c:v>
                </c:pt>
                <c:pt idx="61">
                  <c:v>1</c:v>
                </c:pt>
                <c:pt idx="62">
                  <c:v>2</c:v>
                </c:pt>
                <c:pt idx="63">
                  <c:v>3</c:v>
                </c:pt>
                <c:pt idx="64">
                  <c:v>4</c:v>
                </c:pt>
                <c:pt idx="65">
                  <c:v>5</c:v>
                </c:pt>
                <c:pt idx="66">
                  <c:v>6</c:v>
                </c:pt>
                <c:pt idx="67">
                  <c:v>7</c:v>
                </c:pt>
                <c:pt idx="68">
                  <c:v>8</c:v>
                </c:pt>
                <c:pt idx="69">
                  <c:v>9</c:v>
                </c:pt>
                <c:pt idx="70">
                  <c:v>10</c:v>
                </c:pt>
                <c:pt idx="71">
                  <c:v>11</c:v>
                </c:pt>
                <c:pt idx="72">
                  <c:v>12</c:v>
                </c:pt>
                <c:pt idx="73">
                  <c:v>13</c:v>
                </c:pt>
                <c:pt idx="74">
                  <c:v>14</c:v>
                </c:pt>
                <c:pt idx="75">
                  <c:v>15</c:v>
                </c:pt>
                <c:pt idx="76">
                  <c:v>16</c:v>
                </c:pt>
                <c:pt idx="77">
                  <c:v>17</c:v>
                </c:pt>
                <c:pt idx="78">
                  <c:v>18</c:v>
                </c:pt>
                <c:pt idx="79">
                  <c:v>19</c:v>
                </c:pt>
                <c:pt idx="80">
                  <c:v>20</c:v>
                </c:pt>
                <c:pt idx="81">
                  <c:v>21</c:v>
                </c:pt>
                <c:pt idx="82">
                  <c:v>22</c:v>
                </c:pt>
                <c:pt idx="83">
                  <c:v>23</c:v>
                </c:pt>
                <c:pt idx="84">
                  <c:v>24</c:v>
                </c:pt>
                <c:pt idx="85">
                  <c:v>25</c:v>
                </c:pt>
                <c:pt idx="86">
                  <c:v>26</c:v>
                </c:pt>
                <c:pt idx="87">
                  <c:v>27</c:v>
                </c:pt>
                <c:pt idx="88">
                  <c:v>28</c:v>
                </c:pt>
                <c:pt idx="89">
                  <c:v>29</c:v>
                </c:pt>
                <c:pt idx="90">
                  <c:v>30</c:v>
                </c:pt>
                <c:pt idx="91">
                  <c:v>31</c:v>
                </c:pt>
                <c:pt idx="92">
                  <c:v>32</c:v>
                </c:pt>
                <c:pt idx="93">
                  <c:v>33</c:v>
                </c:pt>
                <c:pt idx="94">
                  <c:v>34</c:v>
                </c:pt>
                <c:pt idx="95">
                  <c:v>35</c:v>
                </c:pt>
                <c:pt idx="96">
                  <c:v>36</c:v>
                </c:pt>
                <c:pt idx="97">
                  <c:v>37</c:v>
                </c:pt>
                <c:pt idx="98">
                  <c:v>38</c:v>
                </c:pt>
                <c:pt idx="99">
                  <c:v>39</c:v>
                </c:pt>
                <c:pt idx="100">
                  <c:v>40</c:v>
                </c:pt>
                <c:pt idx="101">
                  <c:v>41</c:v>
                </c:pt>
                <c:pt idx="102">
                  <c:v>42</c:v>
                </c:pt>
                <c:pt idx="103">
                  <c:v>43</c:v>
                </c:pt>
                <c:pt idx="104">
                  <c:v>44</c:v>
                </c:pt>
                <c:pt idx="105">
                  <c:v>45</c:v>
                </c:pt>
                <c:pt idx="106">
                  <c:v>46</c:v>
                </c:pt>
                <c:pt idx="107">
                  <c:v>47</c:v>
                </c:pt>
                <c:pt idx="108">
                  <c:v>48</c:v>
                </c:pt>
                <c:pt idx="109">
                  <c:v>49</c:v>
                </c:pt>
                <c:pt idx="110">
                  <c:v>50</c:v>
                </c:pt>
                <c:pt idx="111">
                  <c:v>51</c:v>
                </c:pt>
                <c:pt idx="112">
                  <c:v>52</c:v>
                </c:pt>
                <c:pt idx="113">
                  <c:v>53</c:v>
                </c:pt>
                <c:pt idx="114">
                  <c:v>54</c:v>
                </c:pt>
                <c:pt idx="115">
                  <c:v>55</c:v>
                </c:pt>
                <c:pt idx="116">
                  <c:v>56</c:v>
                </c:pt>
                <c:pt idx="117">
                  <c:v>57</c:v>
                </c:pt>
                <c:pt idx="118">
                  <c:v>58</c:v>
                </c:pt>
                <c:pt idx="119">
                  <c:v>59</c:v>
                </c:pt>
                <c:pt idx="120">
                  <c:v>60</c:v>
                </c:pt>
                <c:pt idx="121">
                  <c:v>61</c:v>
                </c:pt>
                <c:pt idx="122">
                  <c:v>62</c:v>
                </c:pt>
                <c:pt idx="123">
                  <c:v>63</c:v>
                </c:pt>
                <c:pt idx="124">
                  <c:v>64</c:v>
                </c:pt>
                <c:pt idx="125">
                  <c:v>65</c:v>
                </c:pt>
                <c:pt idx="126">
                  <c:v>66</c:v>
                </c:pt>
                <c:pt idx="127">
                  <c:v>67</c:v>
                </c:pt>
                <c:pt idx="128">
                  <c:v>68</c:v>
                </c:pt>
                <c:pt idx="129">
                  <c:v>69</c:v>
                </c:pt>
                <c:pt idx="130">
                  <c:v>70</c:v>
                </c:pt>
                <c:pt idx="131">
                  <c:v>71</c:v>
                </c:pt>
                <c:pt idx="132">
                  <c:v>72</c:v>
                </c:pt>
                <c:pt idx="133">
                  <c:v>73</c:v>
                </c:pt>
                <c:pt idx="134">
                  <c:v>74</c:v>
                </c:pt>
                <c:pt idx="135">
                  <c:v>75</c:v>
                </c:pt>
                <c:pt idx="136">
                  <c:v>76</c:v>
                </c:pt>
                <c:pt idx="137">
                  <c:v>77</c:v>
                </c:pt>
                <c:pt idx="138">
                  <c:v>78</c:v>
                </c:pt>
                <c:pt idx="139">
                  <c:v>79</c:v>
                </c:pt>
                <c:pt idx="140">
                  <c:v>80</c:v>
                </c:pt>
                <c:pt idx="141">
                  <c:v>81</c:v>
                </c:pt>
                <c:pt idx="142">
                  <c:v>82</c:v>
                </c:pt>
                <c:pt idx="143">
                  <c:v>83</c:v>
                </c:pt>
                <c:pt idx="144">
                  <c:v>84</c:v>
                </c:pt>
                <c:pt idx="145">
                  <c:v>85</c:v>
                </c:pt>
                <c:pt idx="146">
                  <c:v>86</c:v>
                </c:pt>
                <c:pt idx="147">
                  <c:v>87</c:v>
                </c:pt>
                <c:pt idx="148">
                  <c:v>88</c:v>
                </c:pt>
                <c:pt idx="149">
                  <c:v>89</c:v>
                </c:pt>
                <c:pt idx="150">
                  <c:v>90</c:v>
                </c:pt>
                <c:pt idx="151">
                  <c:v>91</c:v>
                </c:pt>
                <c:pt idx="152">
                  <c:v>92</c:v>
                </c:pt>
                <c:pt idx="153">
                  <c:v>93</c:v>
                </c:pt>
                <c:pt idx="154">
                  <c:v>94</c:v>
                </c:pt>
                <c:pt idx="155">
                  <c:v>95</c:v>
                </c:pt>
                <c:pt idx="156">
                  <c:v>96</c:v>
                </c:pt>
              </c:numCache>
            </c:numRef>
          </c:xVal>
          <c:yVal>
            <c:numRef>
              <c:f>'transversal subsidence-gauss'!$K$10:$K$166</c:f>
              <c:numCache>
                <c:formatCode>General</c:formatCode>
                <c:ptCount val="157"/>
                <c:pt idx="0">
                  <c:v>1.8224505845800306E-17</c:v>
                </c:pt>
                <c:pt idx="1">
                  <c:v>6.7266722852812917E-17</c:v>
                </c:pt>
                <c:pt idx="2">
                  <c:v>2.4289184739302578E-16</c:v>
                </c:pt>
                <c:pt idx="3">
                  <c:v>8.58012797856978E-16</c:v>
                </c:pt>
                <c:pt idx="4">
                  <c:v>2.9651232681280518E-15</c:v>
                </c:pt>
                <c:pt idx="5">
                  <c:v>1.0024434893529742E-14</c:v>
                </c:pt>
                <c:pt idx="6">
                  <c:v>3.3154707877399341E-14</c:v>
                </c:pt>
                <c:pt idx="7">
                  <c:v>1.0727503662088742E-13</c:v>
                </c:pt>
                <c:pt idx="8">
                  <c:v>3.3956294904634098E-13</c:v>
                </c:pt>
                <c:pt idx="9">
                  <c:v>1.0515019476743999E-12</c:v>
                </c:pt>
                <c:pt idx="10">
                  <c:v>3.185429705558774E-12</c:v>
                </c:pt>
                <c:pt idx="11">
                  <c:v>9.4404811525977155E-12</c:v>
                </c:pt>
                <c:pt idx="12">
                  <c:v>2.7370856821612073E-11</c:v>
                </c:pt>
                <c:pt idx="13">
                  <c:v>7.7633794862141246E-11</c:v>
                </c:pt>
                <c:pt idx="14">
                  <c:v>2.154177066404679E-10</c:v>
                </c:pt>
                <c:pt idx="15">
                  <c:v>5.8476334256692367E-10</c:v>
                </c:pt>
                <c:pt idx="16">
                  <c:v>1.5529126985413634E-9</c:v>
                </c:pt>
                <c:pt idx="17">
                  <c:v>4.0344292348816814E-9</c:v>
                </c:pt>
                <c:pt idx="18">
                  <c:v>1.0253811341284478E-8</c:v>
                </c:pt>
                <c:pt idx="19">
                  <c:v>2.5495098992823883E-8</c:v>
                </c:pt>
                <c:pt idx="20">
                  <c:v>6.2014927749717004E-8</c:v>
                </c:pt>
                <c:pt idx="21">
                  <c:v>1.4757199247926277E-7</c:v>
                </c:pt>
                <c:pt idx="22">
                  <c:v>3.4354196828064235E-7</c:v>
                </c:pt>
                <c:pt idx="23">
                  <c:v>7.823909487554923E-7</c:v>
                </c:pt>
                <c:pt idx="24">
                  <c:v>1.74315495655409E-6</c:v>
                </c:pt>
                <c:pt idx="25">
                  <c:v>3.7994114938062831E-6</c:v>
                </c:pt>
                <c:pt idx="26">
                  <c:v>8.101488666490452E-6</c:v>
                </c:pt>
                <c:pt idx="27">
                  <c:v>1.6899796882487886E-5</c:v>
                </c:pt>
                <c:pt idx="28">
                  <c:v>3.4487864259477438E-5</c:v>
                </c:pt>
                <c:pt idx="29">
                  <c:v>6.8852430522042994E-5</c:v>
                </c:pt>
                <c:pt idx="30">
                  <c:v>1.3447464619457142E-4</c:v>
                </c:pt>
                <c:pt idx="31">
                  <c:v>2.5693880770651459E-4</c:v>
                </c:pt>
                <c:pt idx="32">
                  <c:v>4.8027187870904465E-4</c:v>
                </c:pt>
                <c:pt idx="33">
                  <c:v>8.7823910614371454E-4</c:v>
                </c:pt>
                <c:pt idx="34">
                  <c:v>1.5711098237402173E-3</c:v>
                </c:pt>
                <c:pt idx="35">
                  <c:v>2.7495933984103289E-3</c:v>
                </c:pt>
                <c:pt idx="36">
                  <c:v>4.7075893123253738E-3</c:v>
                </c:pt>
                <c:pt idx="37">
                  <c:v>7.884911432985137E-3</c:v>
                </c:pt>
                <c:pt idx="38">
                  <c:v>1.2920021319949369E-2</c:v>
                </c:pt>
                <c:pt idx="39">
                  <c:v>2.0710844152466608E-2</c:v>
                </c:pt>
                <c:pt idx="40">
                  <c:v>3.2478841549970161E-2</c:v>
                </c:pt>
                <c:pt idx="41">
                  <c:v>4.9827766415018231E-2</c:v>
                </c:pt>
                <c:pt idx="42">
                  <c:v>7.4784306175714105E-2</c:v>
                </c:pt>
                <c:pt idx="43">
                  <c:v>0.10980387764468608</c:v>
                </c:pt>
                <c:pt idx="44">
                  <c:v>0.15772227949052373</c:v>
                </c:pt>
                <c:pt idx="45">
                  <c:v>0.22163409593685704</c:v>
                </c:pt>
                <c:pt idx="46">
                  <c:v>0.30468302553613463</c:v>
                </c:pt>
                <c:pt idx="47">
                  <c:v>0.40975862710533312</c:v>
                </c:pt>
                <c:pt idx="48">
                  <c:v>0.53910841649474406</c:v>
                </c:pt>
                <c:pt idx="49">
                  <c:v>0.69389263446314897</c:v>
                </c:pt>
                <c:pt idx="50">
                  <c:v>0.87372870216931453</c:v>
                </c:pt>
                <c:pt idx="51">
                  <c:v>1.0762894597148773</c:v>
                </c:pt>
                <c:pt idx="52">
                  <c:v>1.2970291337097046</c:v>
                </c:pt>
                <c:pt idx="53">
                  <c:v>1.5291093182570585</c:v>
                </c:pt>
                <c:pt idx="54">
                  <c:v>1.7635813520721411</c:v>
                </c:pt>
                <c:pt idx="55">
                  <c:v>1.9898512885235582</c:v>
                </c:pt>
                <c:pt idx="56">
                  <c:v>2.1964124804965439</c:v>
                </c:pt>
                <c:pt idx="57">
                  <c:v>2.3717851440593103</c:v>
                </c:pt>
                <c:pt idx="58">
                  <c:v>2.5055607992967666</c:v>
                </c:pt>
                <c:pt idx="59">
                  <c:v>2.5894212422641401</c:v>
                </c:pt>
                <c:pt idx="60">
                  <c:v>2.617993877991494</c:v>
                </c:pt>
                <c:pt idx="61">
                  <c:v>2.5894212422641401</c:v>
                </c:pt>
                <c:pt idx="62">
                  <c:v>2.5055607992967666</c:v>
                </c:pt>
                <c:pt idx="63">
                  <c:v>2.3717851440593103</c:v>
                </c:pt>
                <c:pt idx="64">
                  <c:v>2.1964124804965439</c:v>
                </c:pt>
                <c:pt idx="65">
                  <c:v>1.9898512885235582</c:v>
                </c:pt>
                <c:pt idx="66">
                  <c:v>1.7635813520721411</c:v>
                </c:pt>
                <c:pt idx="67">
                  <c:v>1.5291093182570585</c:v>
                </c:pt>
                <c:pt idx="68">
                  <c:v>1.2970291337097046</c:v>
                </c:pt>
                <c:pt idx="69">
                  <c:v>1.0762894597148773</c:v>
                </c:pt>
                <c:pt idx="70">
                  <c:v>0.87372870216931453</c:v>
                </c:pt>
                <c:pt idx="71">
                  <c:v>0.69389263446314897</c:v>
                </c:pt>
                <c:pt idx="72">
                  <c:v>0.53910841649474406</c:v>
                </c:pt>
                <c:pt idx="73">
                  <c:v>0.40975862710533312</c:v>
                </c:pt>
                <c:pt idx="74">
                  <c:v>0.30468302553613463</c:v>
                </c:pt>
                <c:pt idx="75">
                  <c:v>0.22163409593685704</c:v>
                </c:pt>
                <c:pt idx="76">
                  <c:v>0.15772227949052373</c:v>
                </c:pt>
                <c:pt idx="77">
                  <c:v>0.10980387764468608</c:v>
                </c:pt>
                <c:pt idx="78">
                  <c:v>7.4784306175714105E-2</c:v>
                </c:pt>
                <c:pt idx="79">
                  <c:v>4.9827766415018231E-2</c:v>
                </c:pt>
                <c:pt idx="80">
                  <c:v>3.2478841549970161E-2</c:v>
                </c:pt>
                <c:pt idx="81">
                  <c:v>2.0710844152466608E-2</c:v>
                </c:pt>
                <c:pt idx="82">
                  <c:v>1.2920021319949369E-2</c:v>
                </c:pt>
                <c:pt idx="83">
                  <c:v>7.884911432985137E-3</c:v>
                </c:pt>
                <c:pt idx="84">
                  <c:v>4.7075893123253738E-3</c:v>
                </c:pt>
                <c:pt idx="85">
                  <c:v>2.7495933984103289E-3</c:v>
                </c:pt>
                <c:pt idx="86">
                  <c:v>1.5711098237402173E-3</c:v>
                </c:pt>
                <c:pt idx="87">
                  <c:v>8.7823910614371454E-4</c:v>
                </c:pt>
                <c:pt idx="88">
                  <c:v>4.8027187870904465E-4</c:v>
                </c:pt>
                <c:pt idx="89">
                  <c:v>2.5693880770651459E-4</c:v>
                </c:pt>
                <c:pt idx="90">
                  <c:v>1.3447464619457142E-4</c:v>
                </c:pt>
                <c:pt idx="91">
                  <c:v>6.8852430522042994E-5</c:v>
                </c:pt>
                <c:pt idx="92">
                  <c:v>3.4487864259477438E-5</c:v>
                </c:pt>
                <c:pt idx="93">
                  <c:v>1.6899796882487886E-5</c:v>
                </c:pt>
                <c:pt idx="94">
                  <c:v>8.101488666490452E-6</c:v>
                </c:pt>
                <c:pt idx="95">
                  <c:v>3.7994114938062831E-6</c:v>
                </c:pt>
                <c:pt idx="96">
                  <c:v>1.74315495655409E-6</c:v>
                </c:pt>
                <c:pt idx="97">
                  <c:v>7.823909487554923E-7</c:v>
                </c:pt>
                <c:pt idx="98">
                  <c:v>3.4354196828064235E-7</c:v>
                </c:pt>
                <c:pt idx="99">
                  <c:v>1.4757199247926277E-7</c:v>
                </c:pt>
                <c:pt idx="100">
                  <c:v>6.2014927749717004E-8</c:v>
                </c:pt>
                <c:pt idx="101">
                  <c:v>2.5495098992823883E-8</c:v>
                </c:pt>
                <c:pt idx="102">
                  <c:v>1.0253811341284478E-8</c:v>
                </c:pt>
                <c:pt idx="103">
                  <c:v>4.0344292348816814E-9</c:v>
                </c:pt>
                <c:pt idx="104">
                  <c:v>1.5529126985413634E-9</c:v>
                </c:pt>
                <c:pt idx="105">
                  <c:v>5.8476334256692367E-10</c:v>
                </c:pt>
                <c:pt idx="106">
                  <c:v>2.154177066404679E-10</c:v>
                </c:pt>
                <c:pt idx="107">
                  <c:v>7.7633794862141246E-11</c:v>
                </c:pt>
                <c:pt idx="108">
                  <c:v>2.7370856821612073E-11</c:v>
                </c:pt>
                <c:pt idx="109">
                  <c:v>9.4404811525977155E-12</c:v>
                </c:pt>
                <c:pt idx="110">
                  <c:v>3.185429705558774E-12</c:v>
                </c:pt>
                <c:pt idx="111">
                  <c:v>1.0515019476743999E-12</c:v>
                </c:pt>
                <c:pt idx="112">
                  <c:v>3.3956294904634098E-13</c:v>
                </c:pt>
                <c:pt idx="113">
                  <c:v>1.0727503662088742E-13</c:v>
                </c:pt>
                <c:pt idx="114">
                  <c:v>3.3154707877399341E-14</c:v>
                </c:pt>
                <c:pt idx="115">
                  <c:v>1.0024434893529742E-14</c:v>
                </c:pt>
                <c:pt idx="116">
                  <c:v>2.9651232681280518E-15</c:v>
                </c:pt>
                <c:pt idx="117">
                  <c:v>8.58012797856978E-16</c:v>
                </c:pt>
                <c:pt idx="118">
                  <c:v>2.4289184739302578E-16</c:v>
                </c:pt>
                <c:pt idx="119">
                  <c:v>6.7266722852812917E-17</c:v>
                </c:pt>
                <c:pt idx="120">
                  <c:v>1.8224505845800306E-17</c:v>
                </c:pt>
                <c:pt idx="121">
                  <c:v>4.8303590315624351E-18</c:v>
                </c:pt>
                <c:pt idx="122">
                  <c:v>1.2524812200288966E-18</c:v>
                </c:pt>
                <c:pt idx="123">
                  <c:v>3.1771022537062355E-19</c:v>
                </c:pt>
                <c:pt idx="124">
                  <c:v>7.8842306719307962E-20</c:v>
                </c:pt>
                <c:pt idx="125">
                  <c:v>1.9140602804368255E-20</c:v>
                </c:pt>
                <c:pt idx="126">
                  <c:v>4.5459019015496739E-21</c:v>
                </c:pt>
                <c:pt idx="127">
                  <c:v>1.0562158189900847E-21</c:v>
                </c:pt>
                <c:pt idx="128">
                  <c:v>2.4007859189044855E-22</c:v>
                </c:pt>
                <c:pt idx="129">
                  <c:v>5.3385382933866363E-23</c:v>
                </c:pt>
                <c:pt idx="130">
                  <c:v>1.1613401715959513E-23</c:v>
                </c:pt>
                <c:pt idx="131">
                  <c:v>2.4715232197012075E-24</c:v>
                </c:pt>
                <c:pt idx="132">
                  <c:v>5.1456246189518103E-25</c:v>
                </c:pt>
                <c:pt idx="133">
                  <c:v>1.0480443613522691E-25</c:v>
                </c:pt>
                <c:pt idx="134">
                  <c:v>2.0882831796281908E-26</c:v>
                </c:pt>
                <c:pt idx="135">
                  <c:v>4.0706829166447933E-27</c:v>
                </c:pt>
                <c:pt idx="136">
                  <c:v>7.7627092178858976E-28</c:v>
                </c:pt>
                <c:pt idx="137">
                  <c:v>1.4481965933009643E-28</c:v>
                </c:pt>
                <c:pt idx="138">
                  <c:v>2.6430774185556292E-29</c:v>
                </c:pt>
                <c:pt idx="139">
                  <c:v>4.7191133238451258E-30</c:v>
                </c:pt>
                <c:pt idx="140">
                  <c:v>8.2428821046570737E-31</c:v>
                </c:pt>
                <c:pt idx="141">
                  <c:v>1.4085294429389906E-31</c:v>
                </c:pt>
                <c:pt idx="142">
                  <c:v>2.3546205522753748E-32</c:v>
                </c:pt>
                <c:pt idx="143">
                  <c:v>3.8507390645844998E-33</c:v>
                </c:pt>
                <c:pt idx="144">
                  <c:v>6.1607758877725696E-34</c:v>
                </c:pt>
                <c:pt idx="145">
                  <c:v>9.642616397613834E-35</c:v>
                </c:pt>
                <c:pt idx="146">
                  <c:v>1.4764628668754608E-35</c:v>
                </c:pt>
                <c:pt idx="147">
                  <c:v>2.2116598164009273E-36</c:v>
                </c:pt>
                <c:pt idx="148">
                  <c:v>3.2410242853512325E-37</c:v>
                </c:pt>
                <c:pt idx="149">
                  <c:v>4.6463765487837392E-38</c:v>
                </c:pt>
                <c:pt idx="150">
                  <c:v>6.5165042027900359E-39</c:v>
                </c:pt>
                <c:pt idx="151">
                  <c:v>8.9409386765738651E-40</c:v>
                </c:pt>
                <c:pt idx="152">
                  <c:v>1.2001062906083287E-40</c:v>
                </c:pt>
                <c:pt idx="153">
                  <c:v>1.5758848040664521E-41</c:v>
                </c:pt>
                <c:pt idx="154">
                  <c:v>2.0244049137504023E-42</c:v>
                </c:pt>
                <c:pt idx="155">
                  <c:v>2.5441250688096799E-43</c:v>
                </c:pt>
                <c:pt idx="156">
                  <c:v>3.1278627744426649E-44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CC-4E43-B325-53174DB8F9A0}"/>
            </c:ext>
          </c:extLst>
        </c:ser>
        <c:ser>
          <c:idx val="1"/>
          <c:order val="1"/>
          <c:tx>
            <c:strRef>
              <c:f>'transversal subsidence-gauss'!$D$8</c:f>
              <c:strCache>
                <c:ptCount val="1"/>
                <c:pt idx="0">
                  <c:v>Tunnel B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'transversal subsidence-gauss'!$D$10:$D$166</c:f>
              <c:numCache>
                <c:formatCode>General</c:formatCode>
                <c:ptCount val="157"/>
                <c:pt idx="0">
                  <c:v>-50</c:v>
                </c:pt>
                <c:pt idx="1">
                  <c:v>-49</c:v>
                </c:pt>
                <c:pt idx="2">
                  <c:v>-48</c:v>
                </c:pt>
                <c:pt idx="3">
                  <c:v>-47</c:v>
                </c:pt>
                <c:pt idx="4">
                  <c:v>-46</c:v>
                </c:pt>
                <c:pt idx="5">
                  <c:v>-45</c:v>
                </c:pt>
                <c:pt idx="6">
                  <c:v>-44</c:v>
                </c:pt>
                <c:pt idx="7">
                  <c:v>-43</c:v>
                </c:pt>
                <c:pt idx="8">
                  <c:v>-42</c:v>
                </c:pt>
                <c:pt idx="9">
                  <c:v>-41</c:v>
                </c:pt>
                <c:pt idx="10">
                  <c:v>-40</c:v>
                </c:pt>
                <c:pt idx="11">
                  <c:v>-39</c:v>
                </c:pt>
                <c:pt idx="12">
                  <c:v>-38</c:v>
                </c:pt>
                <c:pt idx="13">
                  <c:v>-37</c:v>
                </c:pt>
                <c:pt idx="14">
                  <c:v>-36</c:v>
                </c:pt>
                <c:pt idx="15">
                  <c:v>-35</c:v>
                </c:pt>
                <c:pt idx="16">
                  <c:v>-34</c:v>
                </c:pt>
                <c:pt idx="17">
                  <c:v>-33</c:v>
                </c:pt>
                <c:pt idx="18">
                  <c:v>-32</c:v>
                </c:pt>
                <c:pt idx="19">
                  <c:v>-31</c:v>
                </c:pt>
                <c:pt idx="20">
                  <c:v>-30</c:v>
                </c:pt>
                <c:pt idx="21">
                  <c:v>-29</c:v>
                </c:pt>
                <c:pt idx="22">
                  <c:v>-28</c:v>
                </c:pt>
                <c:pt idx="23">
                  <c:v>-27</c:v>
                </c:pt>
                <c:pt idx="24">
                  <c:v>-26</c:v>
                </c:pt>
                <c:pt idx="25">
                  <c:v>-25</c:v>
                </c:pt>
                <c:pt idx="26">
                  <c:v>-24</c:v>
                </c:pt>
                <c:pt idx="27">
                  <c:v>-23</c:v>
                </c:pt>
                <c:pt idx="28">
                  <c:v>-22</c:v>
                </c:pt>
                <c:pt idx="29">
                  <c:v>-21</c:v>
                </c:pt>
                <c:pt idx="30">
                  <c:v>-20</c:v>
                </c:pt>
                <c:pt idx="31">
                  <c:v>-19</c:v>
                </c:pt>
                <c:pt idx="32">
                  <c:v>-18</c:v>
                </c:pt>
                <c:pt idx="33">
                  <c:v>-17</c:v>
                </c:pt>
                <c:pt idx="34">
                  <c:v>-16</c:v>
                </c:pt>
                <c:pt idx="35">
                  <c:v>-15</c:v>
                </c:pt>
                <c:pt idx="36">
                  <c:v>-14</c:v>
                </c:pt>
                <c:pt idx="37">
                  <c:v>-13</c:v>
                </c:pt>
                <c:pt idx="38">
                  <c:v>-12</c:v>
                </c:pt>
                <c:pt idx="39">
                  <c:v>-11</c:v>
                </c:pt>
                <c:pt idx="40">
                  <c:v>-10</c:v>
                </c:pt>
                <c:pt idx="41">
                  <c:v>-9</c:v>
                </c:pt>
                <c:pt idx="42">
                  <c:v>-8</c:v>
                </c:pt>
                <c:pt idx="43">
                  <c:v>-7</c:v>
                </c:pt>
                <c:pt idx="44">
                  <c:v>-6</c:v>
                </c:pt>
                <c:pt idx="45">
                  <c:v>-5</c:v>
                </c:pt>
                <c:pt idx="46">
                  <c:v>-4</c:v>
                </c:pt>
                <c:pt idx="47">
                  <c:v>-3</c:v>
                </c:pt>
                <c:pt idx="48">
                  <c:v>-2</c:v>
                </c:pt>
                <c:pt idx="49">
                  <c:v>-1</c:v>
                </c:pt>
                <c:pt idx="50">
                  <c:v>0</c:v>
                </c:pt>
                <c:pt idx="51">
                  <c:v>1</c:v>
                </c:pt>
                <c:pt idx="52">
                  <c:v>2</c:v>
                </c:pt>
                <c:pt idx="53">
                  <c:v>3</c:v>
                </c:pt>
                <c:pt idx="54">
                  <c:v>4</c:v>
                </c:pt>
                <c:pt idx="55">
                  <c:v>5</c:v>
                </c:pt>
                <c:pt idx="56">
                  <c:v>6</c:v>
                </c:pt>
                <c:pt idx="57">
                  <c:v>7</c:v>
                </c:pt>
                <c:pt idx="58">
                  <c:v>8</c:v>
                </c:pt>
                <c:pt idx="59">
                  <c:v>9</c:v>
                </c:pt>
                <c:pt idx="60">
                  <c:v>10</c:v>
                </c:pt>
                <c:pt idx="61">
                  <c:v>11</c:v>
                </c:pt>
                <c:pt idx="62">
                  <c:v>12</c:v>
                </c:pt>
                <c:pt idx="63">
                  <c:v>13</c:v>
                </c:pt>
                <c:pt idx="64">
                  <c:v>14</c:v>
                </c:pt>
                <c:pt idx="65">
                  <c:v>15</c:v>
                </c:pt>
                <c:pt idx="66">
                  <c:v>16</c:v>
                </c:pt>
                <c:pt idx="67">
                  <c:v>17</c:v>
                </c:pt>
                <c:pt idx="68">
                  <c:v>18</c:v>
                </c:pt>
                <c:pt idx="69">
                  <c:v>19</c:v>
                </c:pt>
                <c:pt idx="70">
                  <c:v>20</c:v>
                </c:pt>
                <c:pt idx="71">
                  <c:v>21</c:v>
                </c:pt>
                <c:pt idx="72">
                  <c:v>22</c:v>
                </c:pt>
                <c:pt idx="73">
                  <c:v>23</c:v>
                </c:pt>
                <c:pt idx="74">
                  <c:v>24</c:v>
                </c:pt>
                <c:pt idx="75">
                  <c:v>25</c:v>
                </c:pt>
                <c:pt idx="76">
                  <c:v>26</c:v>
                </c:pt>
                <c:pt idx="77">
                  <c:v>27</c:v>
                </c:pt>
                <c:pt idx="78">
                  <c:v>28</c:v>
                </c:pt>
                <c:pt idx="79">
                  <c:v>29</c:v>
                </c:pt>
                <c:pt idx="80">
                  <c:v>30</c:v>
                </c:pt>
                <c:pt idx="81">
                  <c:v>31</c:v>
                </c:pt>
                <c:pt idx="82">
                  <c:v>32</c:v>
                </c:pt>
                <c:pt idx="83">
                  <c:v>33</c:v>
                </c:pt>
                <c:pt idx="84">
                  <c:v>34</c:v>
                </c:pt>
                <c:pt idx="85">
                  <c:v>35</c:v>
                </c:pt>
                <c:pt idx="86">
                  <c:v>36</c:v>
                </c:pt>
                <c:pt idx="87">
                  <c:v>37</c:v>
                </c:pt>
                <c:pt idx="88">
                  <c:v>38</c:v>
                </c:pt>
                <c:pt idx="89">
                  <c:v>39</c:v>
                </c:pt>
                <c:pt idx="90">
                  <c:v>40</c:v>
                </c:pt>
                <c:pt idx="91">
                  <c:v>41</c:v>
                </c:pt>
                <c:pt idx="92">
                  <c:v>42</c:v>
                </c:pt>
                <c:pt idx="93">
                  <c:v>43</c:v>
                </c:pt>
                <c:pt idx="94">
                  <c:v>44</c:v>
                </c:pt>
                <c:pt idx="95">
                  <c:v>45</c:v>
                </c:pt>
                <c:pt idx="96">
                  <c:v>46</c:v>
                </c:pt>
                <c:pt idx="97">
                  <c:v>47</c:v>
                </c:pt>
                <c:pt idx="98">
                  <c:v>48</c:v>
                </c:pt>
                <c:pt idx="99">
                  <c:v>49</c:v>
                </c:pt>
                <c:pt idx="100">
                  <c:v>50</c:v>
                </c:pt>
                <c:pt idx="101">
                  <c:v>51</c:v>
                </c:pt>
                <c:pt idx="102">
                  <c:v>52</c:v>
                </c:pt>
                <c:pt idx="103">
                  <c:v>53</c:v>
                </c:pt>
                <c:pt idx="104">
                  <c:v>54</c:v>
                </c:pt>
                <c:pt idx="105">
                  <c:v>55</c:v>
                </c:pt>
                <c:pt idx="106">
                  <c:v>56</c:v>
                </c:pt>
                <c:pt idx="107">
                  <c:v>57</c:v>
                </c:pt>
                <c:pt idx="108">
                  <c:v>58</c:v>
                </c:pt>
                <c:pt idx="109">
                  <c:v>59</c:v>
                </c:pt>
                <c:pt idx="110">
                  <c:v>60</c:v>
                </c:pt>
                <c:pt idx="111">
                  <c:v>61</c:v>
                </c:pt>
                <c:pt idx="112">
                  <c:v>62</c:v>
                </c:pt>
                <c:pt idx="113">
                  <c:v>63</c:v>
                </c:pt>
                <c:pt idx="114">
                  <c:v>64</c:v>
                </c:pt>
                <c:pt idx="115">
                  <c:v>65</c:v>
                </c:pt>
                <c:pt idx="116">
                  <c:v>66</c:v>
                </c:pt>
                <c:pt idx="117">
                  <c:v>67</c:v>
                </c:pt>
                <c:pt idx="118">
                  <c:v>68</c:v>
                </c:pt>
                <c:pt idx="119">
                  <c:v>69</c:v>
                </c:pt>
                <c:pt idx="120">
                  <c:v>70</c:v>
                </c:pt>
                <c:pt idx="121">
                  <c:v>71</c:v>
                </c:pt>
                <c:pt idx="122">
                  <c:v>72</c:v>
                </c:pt>
                <c:pt idx="123">
                  <c:v>73</c:v>
                </c:pt>
                <c:pt idx="124">
                  <c:v>74</c:v>
                </c:pt>
                <c:pt idx="125">
                  <c:v>75</c:v>
                </c:pt>
                <c:pt idx="126">
                  <c:v>76</c:v>
                </c:pt>
                <c:pt idx="127">
                  <c:v>77</c:v>
                </c:pt>
                <c:pt idx="128">
                  <c:v>78</c:v>
                </c:pt>
                <c:pt idx="129">
                  <c:v>79</c:v>
                </c:pt>
                <c:pt idx="130">
                  <c:v>80</c:v>
                </c:pt>
                <c:pt idx="131">
                  <c:v>81</c:v>
                </c:pt>
                <c:pt idx="132">
                  <c:v>82</c:v>
                </c:pt>
                <c:pt idx="133">
                  <c:v>83</c:v>
                </c:pt>
                <c:pt idx="134">
                  <c:v>84</c:v>
                </c:pt>
                <c:pt idx="135">
                  <c:v>85</c:v>
                </c:pt>
                <c:pt idx="136">
                  <c:v>86</c:v>
                </c:pt>
                <c:pt idx="137">
                  <c:v>87</c:v>
                </c:pt>
                <c:pt idx="138">
                  <c:v>88</c:v>
                </c:pt>
                <c:pt idx="139">
                  <c:v>89</c:v>
                </c:pt>
                <c:pt idx="140">
                  <c:v>90</c:v>
                </c:pt>
                <c:pt idx="141">
                  <c:v>91</c:v>
                </c:pt>
                <c:pt idx="142">
                  <c:v>92</c:v>
                </c:pt>
                <c:pt idx="143">
                  <c:v>93</c:v>
                </c:pt>
                <c:pt idx="144">
                  <c:v>94</c:v>
                </c:pt>
                <c:pt idx="145">
                  <c:v>95</c:v>
                </c:pt>
                <c:pt idx="146">
                  <c:v>96</c:v>
                </c:pt>
                <c:pt idx="147">
                  <c:v>97</c:v>
                </c:pt>
                <c:pt idx="148">
                  <c:v>98</c:v>
                </c:pt>
                <c:pt idx="149">
                  <c:v>99</c:v>
                </c:pt>
                <c:pt idx="150">
                  <c:v>100</c:v>
                </c:pt>
                <c:pt idx="151">
                  <c:v>101</c:v>
                </c:pt>
                <c:pt idx="152">
                  <c:v>102</c:v>
                </c:pt>
                <c:pt idx="153">
                  <c:v>103</c:v>
                </c:pt>
                <c:pt idx="154">
                  <c:v>104</c:v>
                </c:pt>
                <c:pt idx="155">
                  <c:v>105</c:v>
                </c:pt>
                <c:pt idx="156">
                  <c:v>106</c:v>
                </c:pt>
              </c:numCache>
            </c:numRef>
          </c:xVal>
          <c:yVal>
            <c:numRef>
              <c:f>'transversal subsidence-gauss'!$L$10:$L$166</c:f>
              <c:numCache>
                <c:formatCode>0.00000</c:formatCode>
                <c:ptCount val="157"/>
                <c:pt idx="0">
                  <c:v>3.185429705558774E-12</c:v>
                </c:pt>
                <c:pt idx="1">
                  <c:v>9.4404811525977155E-12</c:v>
                </c:pt>
                <c:pt idx="2">
                  <c:v>2.7370856821612073E-11</c:v>
                </c:pt>
                <c:pt idx="3">
                  <c:v>7.7633794862141246E-11</c:v>
                </c:pt>
                <c:pt idx="4">
                  <c:v>2.154177066404679E-10</c:v>
                </c:pt>
                <c:pt idx="5">
                  <c:v>5.8476334256692367E-10</c:v>
                </c:pt>
                <c:pt idx="6">
                  <c:v>1.5529126985413634E-9</c:v>
                </c:pt>
                <c:pt idx="7">
                  <c:v>4.0344292348816814E-9</c:v>
                </c:pt>
                <c:pt idx="8">
                  <c:v>1.0253811341284478E-8</c:v>
                </c:pt>
                <c:pt idx="9">
                  <c:v>2.5495098992823883E-8</c:v>
                </c:pt>
                <c:pt idx="10">
                  <c:v>6.2014927749717004E-8</c:v>
                </c:pt>
                <c:pt idx="11">
                  <c:v>1.4757199247926277E-7</c:v>
                </c:pt>
                <c:pt idx="12">
                  <c:v>3.4354196828064235E-7</c:v>
                </c:pt>
                <c:pt idx="13">
                  <c:v>7.823909487554923E-7</c:v>
                </c:pt>
                <c:pt idx="14">
                  <c:v>1.74315495655409E-6</c:v>
                </c:pt>
                <c:pt idx="15">
                  <c:v>3.7994114938062831E-6</c:v>
                </c:pt>
                <c:pt idx="16">
                  <c:v>8.101488666490452E-6</c:v>
                </c:pt>
                <c:pt idx="17">
                  <c:v>1.6899796882487886E-5</c:v>
                </c:pt>
                <c:pt idx="18">
                  <c:v>3.4487864259477438E-5</c:v>
                </c:pt>
                <c:pt idx="19">
                  <c:v>6.8852430522042994E-5</c:v>
                </c:pt>
                <c:pt idx="20">
                  <c:v>1.3447464619457142E-4</c:v>
                </c:pt>
                <c:pt idx="21">
                  <c:v>2.5693880770651459E-4</c:v>
                </c:pt>
                <c:pt idx="22">
                  <c:v>4.8027187870904465E-4</c:v>
                </c:pt>
                <c:pt idx="23">
                  <c:v>8.7823910614371454E-4</c:v>
                </c:pt>
                <c:pt idx="24">
                  <c:v>1.5711098237402173E-3</c:v>
                </c:pt>
                <c:pt idx="25">
                  <c:v>2.7495933984103289E-3</c:v>
                </c:pt>
                <c:pt idx="26">
                  <c:v>4.7075893123253738E-3</c:v>
                </c:pt>
                <c:pt idx="27">
                  <c:v>7.884911432985137E-3</c:v>
                </c:pt>
                <c:pt idx="28">
                  <c:v>1.2920021319949369E-2</c:v>
                </c:pt>
                <c:pt idx="29">
                  <c:v>2.0710844152466608E-2</c:v>
                </c:pt>
                <c:pt idx="30">
                  <c:v>3.2478841549970161E-2</c:v>
                </c:pt>
                <c:pt idx="31">
                  <c:v>4.9827766415018231E-2</c:v>
                </c:pt>
                <c:pt idx="32">
                  <c:v>7.4784306175714105E-2</c:v>
                </c:pt>
                <c:pt idx="33">
                  <c:v>0.10980387764468608</c:v>
                </c:pt>
                <c:pt idx="34">
                  <c:v>0.15772227949052373</c:v>
                </c:pt>
                <c:pt idx="35">
                  <c:v>0.22163409593685704</c:v>
                </c:pt>
                <c:pt idx="36">
                  <c:v>0.30468302553613463</c:v>
                </c:pt>
                <c:pt idx="37">
                  <c:v>0.40975862710533312</c:v>
                </c:pt>
                <c:pt idx="38">
                  <c:v>0.53910841649474406</c:v>
                </c:pt>
                <c:pt idx="39">
                  <c:v>0.69389263446314897</c:v>
                </c:pt>
                <c:pt idx="40">
                  <c:v>0.87372870216931453</c:v>
                </c:pt>
                <c:pt idx="41">
                  <c:v>1.0762894597148773</c:v>
                </c:pt>
                <c:pt idx="42">
                  <c:v>1.2970291337097046</c:v>
                </c:pt>
                <c:pt idx="43">
                  <c:v>1.5291093182570585</c:v>
                </c:pt>
                <c:pt idx="44">
                  <c:v>1.7635813520721411</c:v>
                </c:pt>
                <c:pt idx="45">
                  <c:v>1.9898512885235582</c:v>
                </c:pt>
                <c:pt idx="46">
                  <c:v>2.1964124804965439</c:v>
                </c:pt>
                <c:pt idx="47">
                  <c:v>2.3717851440593103</c:v>
                </c:pt>
                <c:pt idx="48">
                  <c:v>2.5055607992967666</c:v>
                </c:pt>
                <c:pt idx="49">
                  <c:v>2.5894212422641401</c:v>
                </c:pt>
                <c:pt idx="50">
                  <c:v>2.617993877991494</c:v>
                </c:pt>
                <c:pt idx="51">
                  <c:v>2.5894212422641401</c:v>
                </c:pt>
                <c:pt idx="52">
                  <c:v>2.5055607992967666</c:v>
                </c:pt>
                <c:pt idx="53">
                  <c:v>2.3717851440593103</c:v>
                </c:pt>
                <c:pt idx="54">
                  <c:v>2.1964124804965439</c:v>
                </c:pt>
                <c:pt idx="55">
                  <c:v>1.9898512885235582</c:v>
                </c:pt>
                <c:pt idx="56">
                  <c:v>1.7635813520721411</c:v>
                </c:pt>
                <c:pt idx="57">
                  <c:v>1.5291093182570585</c:v>
                </c:pt>
                <c:pt idx="58">
                  <c:v>1.2970291337097046</c:v>
                </c:pt>
                <c:pt idx="59">
                  <c:v>1.0762894597148773</c:v>
                </c:pt>
                <c:pt idx="60">
                  <c:v>0.87372870216931453</c:v>
                </c:pt>
                <c:pt idx="61">
                  <c:v>0.69389263446314897</c:v>
                </c:pt>
                <c:pt idx="62">
                  <c:v>0.53910841649474406</c:v>
                </c:pt>
                <c:pt idx="63">
                  <c:v>0.40975862710533312</c:v>
                </c:pt>
                <c:pt idx="64">
                  <c:v>0.30468302553613463</c:v>
                </c:pt>
                <c:pt idx="65">
                  <c:v>0.22163409593685704</c:v>
                </c:pt>
                <c:pt idx="66">
                  <c:v>0.15772227949052373</c:v>
                </c:pt>
                <c:pt idx="67">
                  <c:v>0.10980387764468608</c:v>
                </c:pt>
                <c:pt idx="68">
                  <c:v>7.4784306175714105E-2</c:v>
                </c:pt>
                <c:pt idx="69">
                  <c:v>4.9827766415018231E-2</c:v>
                </c:pt>
                <c:pt idx="70">
                  <c:v>3.2478841549970161E-2</c:v>
                </c:pt>
                <c:pt idx="71">
                  <c:v>2.0710844152466608E-2</c:v>
                </c:pt>
                <c:pt idx="72">
                  <c:v>1.2920021319949369E-2</c:v>
                </c:pt>
                <c:pt idx="73">
                  <c:v>7.884911432985137E-3</c:v>
                </c:pt>
                <c:pt idx="74">
                  <c:v>4.7075893123253738E-3</c:v>
                </c:pt>
                <c:pt idx="75">
                  <c:v>2.7495933984103289E-3</c:v>
                </c:pt>
                <c:pt idx="76">
                  <c:v>1.5711098237402173E-3</c:v>
                </c:pt>
                <c:pt idx="77">
                  <c:v>8.7823910614371454E-4</c:v>
                </c:pt>
                <c:pt idx="78">
                  <c:v>4.8027187870904465E-4</c:v>
                </c:pt>
                <c:pt idx="79">
                  <c:v>2.5693880770651459E-4</c:v>
                </c:pt>
                <c:pt idx="80">
                  <c:v>1.3447464619457142E-4</c:v>
                </c:pt>
                <c:pt idx="81">
                  <c:v>6.8852430522042994E-5</c:v>
                </c:pt>
                <c:pt idx="82">
                  <c:v>3.4487864259477438E-5</c:v>
                </c:pt>
                <c:pt idx="83">
                  <c:v>1.6899796882487886E-5</c:v>
                </c:pt>
                <c:pt idx="84">
                  <c:v>8.101488666490452E-6</c:v>
                </c:pt>
                <c:pt idx="85">
                  <c:v>3.7994114938062831E-6</c:v>
                </c:pt>
                <c:pt idx="86">
                  <c:v>1.74315495655409E-6</c:v>
                </c:pt>
                <c:pt idx="87">
                  <c:v>7.823909487554923E-7</c:v>
                </c:pt>
                <c:pt idx="88">
                  <c:v>3.4354196828064235E-7</c:v>
                </c:pt>
                <c:pt idx="89">
                  <c:v>1.4757199247926277E-7</c:v>
                </c:pt>
                <c:pt idx="90">
                  <c:v>6.2014927749717004E-8</c:v>
                </c:pt>
                <c:pt idx="91">
                  <c:v>2.5495098992823883E-8</c:v>
                </c:pt>
                <c:pt idx="92">
                  <c:v>1.0253811341284478E-8</c:v>
                </c:pt>
                <c:pt idx="93">
                  <c:v>4.0344292348816814E-9</c:v>
                </c:pt>
                <c:pt idx="94">
                  <c:v>1.5529126985413634E-9</c:v>
                </c:pt>
                <c:pt idx="95">
                  <c:v>5.8476334256692367E-10</c:v>
                </c:pt>
                <c:pt idx="96">
                  <c:v>2.154177066404679E-10</c:v>
                </c:pt>
                <c:pt idx="97">
                  <c:v>7.7633794862141246E-11</c:v>
                </c:pt>
                <c:pt idx="98">
                  <c:v>2.7370856821612073E-11</c:v>
                </c:pt>
                <c:pt idx="99">
                  <c:v>9.4404811525977155E-12</c:v>
                </c:pt>
                <c:pt idx="100">
                  <c:v>3.185429705558774E-12</c:v>
                </c:pt>
                <c:pt idx="101">
                  <c:v>1.0515019476743999E-12</c:v>
                </c:pt>
                <c:pt idx="102">
                  <c:v>3.3956294904634098E-13</c:v>
                </c:pt>
                <c:pt idx="103">
                  <c:v>1.0727503662088742E-13</c:v>
                </c:pt>
                <c:pt idx="104">
                  <c:v>3.3154707877399341E-14</c:v>
                </c:pt>
                <c:pt idx="105">
                  <c:v>1.0024434893529742E-14</c:v>
                </c:pt>
                <c:pt idx="106">
                  <c:v>2.9651232681280518E-15</c:v>
                </c:pt>
                <c:pt idx="107">
                  <c:v>8.58012797856978E-16</c:v>
                </c:pt>
                <c:pt idx="108">
                  <c:v>2.4289184739302578E-16</c:v>
                </c:pt>
                <c:pt idx="109">
                  <c:v>6.7266722852812917E-17</c:v>
                </c:pt>
                <c:pt idx="110">
                  <c:v>1.8224505845800306E-17</c:v>
                </c:pt>
                <c:pt idx="111">
                  <c:v>4.8303590315624351E-18</c:v>
                </c:pt>
                <c:pt idx="112">
                  <c:v>1.2524812200288966E-18</c:v>
                </c:pt>
                <c:pt idx="113">
                  <c:v>3.1771022537062355E-19</c:v>
                </c:pt>
                <c:pt idx="114">
                  <c:v>7.8842306719307962E-20</c:v>
                </c:pt>
                <c:pt idx="115">
                  <c:v>1.9140602804368255E-20</c:v>
                </c:pt>
                <c:pt idx="116">
                  <c:v>4.5459019015496739E-21</c:v>
                </c:pt>
                <c:pt idx="117">
                  <c:v>1.0562158189900847E-21</c:v>
                </c:pt>
                <c:pt idx="118">
                  <c:v>2.4007859189044855E-22</c:v>
                </c:pt>
                <c:pt idx="119">
                  <c:v>5.3385382933866363E-23</c:v>
                </c:pt>
                <c:pt idx="120">
                  <c:v>1.1613401715959513E-23</c:v>
                </c:pt>
                <c:pt idx="121">
                  <c:v>2.4715232197012075E-24</c:v>
                </c:pt>
                <c:pt idx="122">
                  <c:v>5.1456246189518103E-25</c:v>
                </c:pt>
                <c:pt idx="123">
                  <c:v>1.0480443613522691E-25</c:v>
                </c:pt>
                <c:pt idx="124">
                  <c:v>2.0882831796281908E-26</c:v>
                </c:pt>
                <c:pt idx="125">
                  <c:v>4.0706829166447933E-27</c:v>
                </c:pt>
                <c:pt idx="126">
                  <c:v>7.7627092178858976E-28</c:v>
                </c:pt>
                <c:pt idx="127">
                  <c:v>1.4481965933009643E-28</c:v>
                </c:pt>
                <c:pt idx="128">
                  <c:v>2.6430774185556292E-29</c:v>
                </c:pt>
                <c:pt idx="129">
                  <c:v>4.7191133238451258E-30</c:v>
                </c:pt>
                <c:pt idx="130">
                  <c:v>8.2428821046570737E-31</c:v>
                </c:pt>
                <c:pt idx="131">
                  <c:v>1.4085294429389906E-31</c:v>
                </c:pt>
                <c:pt idx="132">
                  <c:v>2.3546205522753748E-32</c:v>
                </c:pt>
                <c:pt idx="133">
                  <c:v>3.8507390645844998E-33</c:v>
                </c:pt>
                <c:pt idx="134">
                  <c:v>6.1607758877725696E-34</c:v>
                </c:pt>
                <c:pt idx="135">
                  <c:v>9.642616397613834E-35</c:v>
                </c:pt>
                <c:pt idx="136">
                  <c:v>1.4764628668754608E-35</c:v>
                </c:pt>
                <c:pt idx="137">
                  <c:v>2.2116598164009273E-36</c:v>
                </c:pt>
                <c:pt idx="138">
                  <c:v>3.2410242853512325E-37</c:v>
                </c:pt>
                <c:pt idx="139">
                  <c:v>4.6463765487837392E-38</c:v>
                </c:pt>
                <c:pt idx="140">
                  <c:v>6.5165042027900359E-39</c:v>
                </c:pt>
                <c:pt idx="141">
                  <c:v>8.9409386765738651E-40</c:v>
                </c:pt>
                <c:pt idx="142">
                  <c:v>1.2001062906083287E-40</c:v>
                </c:pt>
                <c:pt idx="143">
                  <c:v>1.5758848040664521E-41</c:v>
                </c:pt>
                <c:pt idx="144">
                  <c:v>2.0244049137504023E-42</c:v>
                </c:pt>
                <c:pt idx="145">
                  <c:v>2.5441250688096799E-43</c:v>
                </c:pt>
                <c:pt idx="146">
                  <c:v>3.1278627744426649E-44</c:v>
                </c:pt>
                <c:pt idx="147">
                  <c:v>3.7620545196727675E-45</c:v>
                </c:pt>
                <c:pt idx="148">
                  <c:v>4.4266036540409894E-46</c:v>
                </c:pt>
                <c:pt idx="149">
                  <c:v>5.0954711948806826E-47</c:v>
                </c:pt>
                <c:pt idx="150">
                  <c:v>5.7380750339193376E-48</c:v>
                </c:pt>
                <c:pt idx="151">
                  <c:v>6.3214434133028896E-49</c:v>
                </c:pt>
                <c:pt idx="152">
                  <c:v>6.8129381436459894E-50</c:v>
                </c:pt>
                <c:pt idx="153">
                  <c:v>7.1832469415219885E-51</c:v>
                </c:pt>
                <c:pt idx="154">
                  <c:v>7.4092680505772155E-52</c:v>
                </c:pt>
                <c:pt idx="155">
                  <c:v>7.4764937848662378E-53</c:v>
                </c:pt>
                <c:pt idx="156">
                  <c:v>7.3805513454335198E-54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CC-4E43-B325-53174DB8F9A0}"/>
            </c:ext>
          </c:extLst>
        </c:ser>
        <c:ser>
          <c:idx val="2"/>
          <c:order val="2"/>
          <c:tx>
            <c:strRef>
              <c:f>'transversal subsidence-gauss'!$J$1</c:f>
              <c:strCache>
                <c:ptCount val="1"/>
                <c:pt idx="0">
                  <c:v>Total vertical settlements as per original formula (O'Reilly&amp;New,1982)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'transversal subsidence-gauss'!$G$10:$G$166</c:f>
              <c:numCache>
                <c:formatCode>General</c:formatCode>
                <c:ptCount val="157"/>
                <c:pt idx="0">
                  <c:v>-60</c:v>
                </c:pt>
                <c:pt idx="1">
                  <c:v>-59</c:v>
                </c:pt>
                <c:pt idx="2">
                  <c:v>-58</c:v>
                </c:pt>
                <c:pt idx="3">
                  <c:v>-57</c:v>
                </c:pt>
                <c:pt idx="4">
                  <c:v>-56</c:v>
                </c:pt>
                <c:pt idx="5">
                  <c:v>-55</c:v>
                </c:pt>
                <c:pt idx="6">
                  <c:v>-54</c:v>
                </c:pt>
                <c:pt idx="7">
                  <c:v>-53</c:v>
                </c:pt>
                <c:pt idx="8">
                  <c:v>-52</c:v>
                </c:pt>
                <c:pt idx="9">
                  <c:v>-51</c:v>
                </c:pt>
                <c:pt idx="10">
                  <c:v>-50</c:v>
                </c:pt>
                <c:pt idx="11">
                  <c:v>-49</c:v>
                </c:pt>
                <c:pt idx="12">
                  <c:v>-48</c:v>
                </c:pt>
                <c:pt idx="13">
                  <c:v>-47</c:v>
                </c:pt>
                <c:pt idx="14">
                  <c:v>-46</c:v>
                </c:pt>
                <c:pt idx="15">
                  <c:v>-45</c:v>
                </c:pt>
                <c:pt idx="16">
                  <c:v>-44</c:v>
                </c:pt>
                <c:pt idx="17">
                  <c:v>-43</c:v>
                </c:pt>
                <c:pt idx="18">
                  <c:v>-42</c:v>
                </c:pt>
                <c:pt idx="19">
                  <c:v>-41</c:v>
                </c:pt>
                <c:pt idx="20">
                  <c:v>-40</c:v>
                </c:pt>
                <c:pt idx="21">
                  <c:v>-39</c:v>
                </c:pt>
                <c:pt idx="22">
                  <c:v>-38</c:v>
                </c:pt>
                <c:pt idx="23">
                  <c:v>-37</c:v>
                </c:pt>
                <c:pt idx="24">
                  <c:v>-36</c:v>
                </c:pt>
                <c:pt idx="25">
                  <c:v>-35</c:v>
                </c:pt>
                <c:pt idx="26">
                  <c:v>-34</c:v>
                </c:pt>
                <c:pt idx="27">
                  <c:v>-33</c:v>
                </c:pt>
                <c:pt idx="28">
                  <c:v>-32</c:v>
                </c:pt>
                <c:pt idx="29">
                  <c:v>-31</c:v>
                </c:pt>
                <c:pt idx="30">
                  <c:v>-30</c:v>
                </c:pt>
                <c:pt idx="31">
                  <c:v>-29</c:v>
                </c:pt>
                <c:pt idx="32">
                  <c:v>-28</c:v>
                </c:pt>
                <c:pt idx="33">
                  <c:v>-27</c:v>
                </c:pt>
                <c:pt idx="34">
                  <c:v>-26</c:v>
                </c:pt>
                <c:pt idx="35">
                  <c:v>-25</c:v>
                </c:pt>
                <c:pt idx="36">
                  <c:v>-24</c:v>
                </c:pt>
                <c:pt idx="37">
                  <c:v>-23</c:v>
                </c:pt>
                <c:pt idx="38">
                  <c:v>-22</c:v>
                </c:pt>
                <c:pt idx="39">
                  <c:v>-21</c:v>
                </c:pt>
                <c:pt idx="40">
                  <c:v>-20</c:v>
                </c:pt>
                <c:pt idx="41">
                  <c:v>-19</c:v>
                </c:pt>
                <c:pt idx="42">
                  <c:v>-18</c:v>
                </c:pt>
                <c:pt idx="43">
                  <c:v>-17</c:v>
                </c:pt>
                <c:pt idx="44">
                  <c:v>-16</c:v>
                </c:pt>
                <c:pt idx="45">
                  <c:v>-15</c:v>
                </c:pt>
                <c:pt idx="46">
                  <c:v>-14</c:v>
                </c:pt>
                <c:pt idx="47">
                  <c:v>-13</c:v>
                </c:pt>
                <c:pt idx="48">
                  <c:v>-12</c:v>
                </c:pt>
                <c:pt idx="49">
                  <c:v>-11</c:v>
                </c:pt>
                <c:pt idx="50">
                  <c:v>-10</c:v>
                </c:pt>
                <c:pt idx="51">
                  <c:v>-9</c:v>
                </c:pt>
                <c:pt idx="52">
                  <c:v>-8</c:v>
                </c:pt>
                <c:pt idx="53">
                  <c:v>-7</c:v>
                </c:pt>
                <c:pt idx="54">
                  <c:v>-6</c:v>
                </c:pt>
                <c:pt idx="55">
                  <c:v>-5</c:v>
                </c:pt>
                <c:pt idx="56">
                  <c:v>-4</c:v>
                </c:pt>
                <c:pt idx="57">
                  <c:v>-3</c:v>
                </c:pt>
                <c:pt idx="58">
                  <c:v>-2</c:v>
                </c:pt>
                <c:pt idx="59">
                  <c:v>-1</c:v>
                </c:pt>
                <c:pt idx="60">
                  <c:v>0</c:v>
                </c:pt>
                <c:pt idx="61">
                  <c:v>1</c:v>
                </c:pt>
                <c:pt idx="62">
                  <c:v>2</c:v>
                </c:pt>
                <c:pt idx="63">
                  <c:v>3</c:v>
                </c:pt>
                <c:pt idx="64">
                  <c:v>4</c:v>
                </c:pt>
                <c:pt idx="65">
                  <c:v>5</c:v>
                </c:pt>
                <c:pt idx="66">
                  <c:v>6</c:v>
                </c:pt>
                <c:pt idx="67">
                  <c:v>7</c:v>
                </c:pt>
                <c:pt idx="68">
                  <c:v>8</c:v>
                </c:pt>
                <c:pt idx="69">
                  <c:v>9</c:v>
                </c:pt>
                <c:pt idx="70">
                  <c:v>10</c:v>
                </c:pt>
                <c:pt idx="71">
                  <c:v>11</c:v>
                </c:pt>
                <c:pt idx="72">
                  <c:v>12</c:v>
                </c:pt>
                <c:pt idx="73">
                  <c:v>13</c:v>
                </c:pt>
                <c:pt idx="74">
                  <c:v>14</c:v>
                </c:pt>
                <c:pt idx="75">
                  <c:v>15</c:v>
                </c:pt>
                <c:pt idx="76">
                  <c:v>16</c:v>
                </c:pt>
                <c:pt idx="77">
                  <c:v>17</c:v>
                </c:pt>
                <c:pt idx="78">
                  <c:v>18</c:v>
                </c:pt>
                <c:pt idx="79">
                  <c:v>19</c:v>
                </c:pt>
                <c:pt idx="80">
                  <c:v>20</c:v>
                </c:pt>
                <c:pt idx="81">
                  <c:v>21</c:v>
                </c:pt>
                <c:pt idx="82">
                  <c:v>22</c:v>
                </c:pt>
                <c:pt idx="83">
                  <c:v>23</c:v>
                </c:pt>
                <c:pt idx="84">
                  <c:v>24</c:v>
                </c:pt>
                <c:pt idx="85">
                  <c:v>25</c:v>
                </c:pt>
                <c:pt idx="86">
                  <c:v>26</c:v>
                </c:pt>
                <c:pt idx="87">
                  <c:v>27</c:v>
                </c:pt>
                <c:pt idx="88">
                  <c:v>28</c:v>
                </c:pt>
                <c:pt idx="89">
                  <c:v>29</c:v>
                </c:pt>
                <c:pt idx="90">
                  <c:v>30</c:v>
                </c:pt>
                <c:pt idx="91">
                  <c:v>31</c:v>
                </c:pt>
                <c:pt idx="92">
                  <c:v>32</c:v>
                </c:pt>
                <c:pt idx="93">
                  <c:v>33</c:v>
                </c:pt>
                <c:pt idx="94">
                  <c:v>34</c:v>
                </c:pt>
                <c:pt idx="95">
                  <c:v>35</c:v>
                </c:pt>
                <c:pt idx="96">
                  <c:v>36</c:v>
                </c:pt>
                <c:pt idx="97">
                  <c:v>37</c:v>
                </c:pt>
                <c:pt idx="98">
                  <c:v>38</c:v>
                </c:pt>
                <c:pt idx="99">
                  <c:v>39</c:v>
                </c:pt>
                <c:pt idx="100">
                  <c:v>40</c:v>
                </c:pt>
                <c:pt idx="101">
                  <c:v>41</c:v>
                </c:pt>
                <c:pt idx="102">
                  <c:v>42</c:v>
                </c:pt>
                <c:pt idx="103">
                  <c:v>43</c:v>
                </c:pt>
                <c:pt idx="104">
                  <c:v>44</c:v>
                </c:pt>
                <c:pt idx="105">
                  <c:v>45</c:v>
                </c:pt>
                <c:pt idx="106">
                  <c:v>46</c:v>
                </c:pt>
                <c:pt idx="107">
                  <c:v>47</c:v>
                </c:pt>
                <c:pt idx="108">
                  <c:v>48</c:v>
                </c:pt>
                <c:pt idx="109">
                  <c:v>49</c:v>
                </c:pt>
                <c:pt idx="110">
                  <c:v>50</c:v>
                </c:pt>
                <c:pt idx="111">
                  <c:v>51</c:v>
                </c:pt>
                <c:pt idx="112">
                  <c:v>52</c:v>
                </c:pt>
                <c:pt idx="113">
                  <c:v>53</c:v>
                </c:pt>
                <c:pt idx="114">
                  <c:v>54</c:v>
                </c:pt>
                <c:pt idx="115">
                  <c:v>55</c:v>
                </c:pt>
                <c:pt idx="116">
                  <c:v>56</c:v>
                </c:pt>
                <c:pt idx="117">
                  <c:v>57</c:v>
                </c:pt>
                <c:pt idx="118">
                  <c:v>58</c:v>
                </c:pt>
                <c:pt idx="119">
                  <c:v>59</c:v>
                </c:pt>
                <c:pt idx="120">
                  <c:v>60</c:v>
                </c:pt>
                <c:pt idx="121">
                  <c:v>61</c:v>
                </c:pt>
                <c:pt idx="122">
                  <c:v>62</c:v>
                </c:pt>
                <c:pt idx="123">
                  <c:v>63</c:v>
                </c:pt>
                <c:pt idx="124">
                  <c:v>64</c:v>
                </c:pt>
                <c:pt idx="125">
                  <c:v>65</c:v>
                </c:pt>
                <c:pt idx="126">
                  <c:v>66</c:v>
                </c:pt>
                <c:pt idx="127">
                  <c:v>67</c:v>
                </c:pt>
                <c:pt idx="128">
                  <c:v>68</c:v>
                </c:pt>
                <c:pt idx="129">
                  <c:v>69</c:v>
                </c:pt>
                <c:pt idx="130">
                  <c:v>70</c:v>
                </c:pt>
                <c:pt idx="131">
                  <c:v>71</c:v>
                </c:pt>
                <c:pt idx="132">
                  <c:v>72</c:v>
                </c:pt>
                <c:pt idx="133">
                  <c:v>73</c:v>
                </c:pt>
                <c:pt idx="134">
                  <c:v>74</c:v>
                </c:pt>
                <c:pt idx="135">
                  <c:v>75</c:v>
                </c:pt>
                <c:pt idx="136">
                  <c:v>76</c:v>
                </c:pt>
                <c:pt idx="137">
                  <c:v>77</c:v>
                </c:pt>
                <c:pt idx="138">
                  <c:v>78</c:v>
                </c:pt>
                <c:pt idx="139">
                  <c:v>79</c:v>
                </c:pt>
                <c:pt idx="140">
                  <c:v>80</c:v>
                </c:pt>
                <c:pt idx="141">
                  <c:v>81</c:v>
                </c:pt>
                <c:pt idx="142">
                  <c:v>82</c:v>
                </c:pt>
                <c:pt idx="143">
                  <c:v>83</c:v>
                </c:pt>
                <c:pt idx="144">
                  <c:v>84</c:v>
                </c:pt>
                <c:pt idx="145">
                  <c:v>85</c:v>
                </c:pt>
                <c:pt idx="146">
                  <c:v>86</c:v>
                </c:pt>
                <c:pt idx="147">
                  <c:v>87</c:v>
                </c:pt>
                <c:pt idx="148">
                  <c:v>88</c:v>
                </c:pt>
                <c:pt idx="149">
                  <c:v>89</c:v>
                </c:pt>
                <c:pt idx="150">
                  <c:v>90</c:v>
                </c:pt>
                <c:pt idx="151">
                  <c:v>91</c:v>
                </c:pt>
                <c:pt idx="152">
                  <c:v>92</c:v>
                </c:pt>
                <c:pt idx="153">
                  <c:v>93</c:v>
                </c:pt>
                <c:pt idx="154">
                  <c:v>94</c:v>
                </c:pt>
                <c:pt idx="155">
                  <c:v>95</c:v>
                </c:pt>
                <c:pt idx="156">
                  <c:v>96</c:v>
                </c:pt>
              </c:numCache>
            </c:numRef>
          </c:xVal>
          <c:yVal>
            <c:numRef>
              <c:f>'transversal subsidence-gauss'!$M$10:$M$166</c:f>
              <c:numCache>
                <c:formatCode>0.00000</c:formatCode>
                <c:ptCount val="157"/>
                <c:pt idx="0">
                  <c:v>3.1854479300646196E-12</c:v>
                </c:pt>
                <c:pt idx="1">
                  <c:v>9.4405484193205691E-12</c:v>
                </c:pt>
                <c:pt idx="2">
                  <c:v>2.7371099713459466E-11</c:v>
                </c:pt>
                <c:pt idx="3">
                  <c:v>7.7634652874939105E-11</c:v>
                </c:pt>
                <c:pt idx="4">
                  <c:v>2.1542067176373604E-10</c:v>
                </c:pt>
                <c:pt idx="5">
                  <c:v>5.8477336700181724E-10</c:v>
                </c:pt>
                <c:pt idx="6">
                  <c:v>1.5529458532492407E-9</c:v>
                </c:pt>
                <c:pt idx="7">
                  <c:v>4.0345365099183022E-9</c:v>
                </c:pt>
                <c:pt idx="8">
                  <c:v>1.0254150904233524E-8</c:v>
                </c:pt>
                <c:pt idx="9">
                  <c:v>2.5496150494771559E-8</c:v>
                </c:pt>
                <c:pt idx="10">
                  <c:v>6.2018113179422562E-8</c:v>
                </c:pt>
                <c:pt idx="11">
                  <c:v>1.4758143296041538E-7</c:v>
                </c:pt>
                <c:pt idx="12">
                  <c:v>3.4356933913746395E-7</c:v>
                </c:pt>
                <c:pt idx="13">
                  <c:v>7.8246858255035445E-7</c:v>
                </c:pt>
                <c:pt idx="14">
                  <c:v>1.7433703742607305E-6</c:v>
                </c:pt>
                <c:pt idx="15">
                  <c:v>3.7999962571488499E-6</c:v>
                </c:pt>
                <c:pt idx="16">
                  <c:v>8.1030415791889937E-6</c:v>
                </c:pt>
                <c:pt idx="17">
                  <c:v>1.6903831311722769E-5</c:v>
                </c:pt>
                <c:pt idx="18">
                  <c:v>3.4498118070818721E-5</c:v>
                </c:pt>
                <c:pt idx="19">
                  <c:v>6.8877925621035817E-5</c:v>
                </c:pt>
                <c:pt idx="20">
                  <c:v>1.3453666112232113E-4</c:v>
                </c:pt>
                <c:pt idx="21">
                  <c:v>2.5708637969899383E-4</c:v>
                </c:pt>
                <c:pt idx="22">
                  <c:v>4.8061542067732527E-4</c:v>
                </c:pt>
                <c:pt idx="23">
                  <c:v>8.7902149709247006E-4</c:v>
                </c:pt>
                <c:pt idx="24">
                  <c:v>1.5728529786967714E-3</c:v>
                </c:pt>
                <c:pt idx="25">
                  <c:v>2.753392809904135E-3</c:v>
                </c:pt>
                <c:pt idx="26">
                  <c:v>4.7156908009918638E-3</c:v>
                </c:pt>
                <c:pt idx="27">
                  <c:v>7.9018112298676248E-3</c:v>
                </c:pt>
                <c:pt idx="28">
                  <c:v>1.2954509184208847E-2</c:v>
                </c:pt>
                <c:pt idx="29">
                  <c:v>2.0779696582988651E-2</c:v>
                </c:pt>
                <c:pt idx="30">
                  <c:v>3.2613316196164734E-2</c:v>
                </c:pt>
                <c:pt idx="31">
                  <c:v>5.0084705222724749E-2</c:v>
                </c:pt>
                <c:pt idx="32">
                  <c:v>7.5264578054423145E-2</c:v>
                </c:pt>
                <c:pt idx="33">
                  <c:v>0.11068211675082978</c:v>
                </c:pt>
                <c:pt idx="34">
                  <c:v>0.15929338931426396</c:v>
                </c:pt>
                <c:pt idx="35">
                  <c:v>0.22438368933526737</c:v>
                </c:pt>
                <c:pt idx="36">
                  <c:v>0.30939061484846003</c:v>
                </c:pt>
                <c:pt idx="37">
                  <c:v>0.41764353853831826</c:v>
                </c:pt>
                <c:pt idx="38">
                  <c:v>0.55202843781469346</c:v>
                </c:pt>
                <c:pt idx="39">
                  <c:v>0.71460347861561557</c:v>
                </c:pt>
                <c:pt idx="40">
                  <c:v>0.90620754371928469</c:v>
                </c:pt>
                <c:pt idx="41">
                  <c:v>1.1261172261298955</c:v>
                </c:pt>
                <c:pt idx="42">
                  <c:v>1.3718134398854187</c:v>
                </c:pt>
                <c:pt idx="43">
                  <c:v>1.6389131959017447</c:v>
                </c:pt>
                <c:pt idx="44">
                  <c:v>1.9213036315626648</c:v>
                </c:pt>
                <c:pt idx="45">
                  <c:v>2.2114853844604152</c:v>
                </c:pt>
                <c:pt idx="46">
                  <c:v>2.5010955060326787</c:v>
                </c:pt>
                <c:pt idx="47">
                  <c:v>2.7815437711646434</c:v>
                </c:pt>
                <c:pt idx="48">
                  <c:v>3.0446692157915107</c:v>
                </c:pt>
                <c:pt idx="49">
                  <c:v>3.2833138767272891</c:v>
                </c:pt>
                <c:pt idx="50">
                  <c:v>3.4917225801608085</c:v>
                </c:pt>
                <c:pt idx="51">
                  <c:v>3.6657107019790174</c:v>
                </c:pt>
                <c:pt idx="52">
                  <c:v>3.8025899330064714</c:v>
                </c:pt>
                <c:pt idx="53">
                  <c:v>3.9008944623163688</c:v>
                </c:pt>
                <c:pt idx="54">
                  <c:v>3.959993832568685</c:v>
                </c:pt>
                <c:pt idx="55">
                  <c:v>3.9797025770471164</c:v>
                </c:pt>
                <c:pt idx="56">
                  <c:v>3.959993832568685</c:v>
                </c:pt>
                <c:pt idx="57">
                  <c:v>3.9008944623163688</c:v>
                </c:pt>
                <c:pt idx="58">
                  <c:v>3.8025899330064714</c:v>
                </c:pt>
                <c:pt idx="59">
                  <c:v>3.6657107019790174</c:v>
                </c:pt>
                <c:pt idx="60">
                  <c:v>3.4917225801608085</c:v>
                </c:pt>
                <c:pt idx="61">
                  <c:v>3.2833138767272891</c:v>
                </c:pt>
                <c:pt idx="62">
                  <c:v>3.0446692157915107</c:v>
                </c:pt>
                <c:pt idx="63">
                  <c:v>2.7815437711646434</c:v>
                </c:pt>
                <c:pt idx="64">
                  <c:v>2.5010955060326787</c:v>
                </c:pt>
                <c:pt idx="65">
                  <c:v>2.2114853844604152</c:v>
                </c:pt>
                <c:pt idx="66">
                  <c:v>1.9213036315626648</c:v>
                </c:pt>
                <c:pt idx="67">
                  <c:v>1.6389131959017447</c:v>
                </c:pt>
                <c:pt idx="68">
                  <c:v>1.3718134398854187</c:v>
                </c:pt>
                <c:pt idx="69">
                  <c:v>1.1261172261298955</c:v>
                </c:pt>
                <c:pt idx="70">
                  <c:v>0.90620754371928469</c:v>
                </c:pt>
                <c:pt idx="71">
                  <c:v>0.71460347861561557</c:v>
                </c:pt>
                <c:pt idx="72">
                  <c:v>0.55202843781469346</c:v>
                </c:pt>
                <c:pt idx="73">
                  <c:v>0.41764353853831826</c:v>
                </c:pt>
                <c:pt idx="74">
                  <c:v>0.30939061484846003</c:v>
                </c:pt>
                <c:pt idx="75">
                  <c:v>0.22438368933526737</c:v>
                </c:pt>
                <c:pt idx="76">
                  <c:v>0.15929338931426396</c:v>
                </c:pt>
                <c:pt idx="77">
                  <c:v>0.11068211675082978</c:v>
                </c:pt>
                <c:pt idx="78">
                  <c:v>7.5264578054423145E-2</c:v>
                </c:pt>
                <c:pt idx="79">
                  <c:v>5.0084705222724749E-2</c:v>
                </c:pt>
                <c:pt idx="80">
                  <c:v>3.2613316196164734E-2</c:v>
                </c:pt>
                <c:pt idx="81">
                  <c:v>2.0779696582988651E-2</c:v>
                </c:pt>
                <c:pt idx="82">
                  <c:v>1.2954509184208847E-2</c:v>
                </c:pt>
                <c:pt idx="83">
                  <c:v>7.9018112298676248E-3</c:v>
                </c:pt>
                <c:pt idx="84">
                  <c:v>4.7156908009918638E-3</c:v>
                </c:pt>
                <c:pt idx="85">
                  <c:v>2.753392809904135E-3</c:v>
                </c:pt>
                <c:pt idx="86">
                  <c:v>1.5728529786967714E-3</c:v>
                </c:pt>
                <c:pt idx="87">
                  <c:v>8.7902149709247006E-4</c:v>
                </c:pt>
                <c:pt idx="88">
                  <c:v>4.8061542067732527E-4</c:v>
                </c:pt>
                <c:pt idx="89">
                  <c:v>2.5708637969899383E-4</c:v>
                </c:pt>
                <c:pt idx="90">
                  <c:v>1.3453666112232113E-4</c:v>
                </c:pt>
                <c:pt idx="91">
                  <c:v>6.8877925621035817E-5</c:v>
                </c:pt>
                <c:pt idx="92">
                  <c:v>3.4498118070818721E-5</c:v>
                </c:pt>
                <c:pt idx="93">
                  <c:v>1.6903831311722769E-5</c:v>
                </c:pt>
                <c:pt idx="94">
                  <c:v>8.1030415791889937E-6</c:v>
                </c:pt>
                <c:pt idx="95">
                  <c:v>3.7999962571488499E-6</c:v>
                </c:pt>
                <c:pt idx="96">
                  <c:v>1.7433703742607305E-6</c:v>
                </c:pt>
                <c:pt idx="97">
                  <c:v>7.8246858255035445E-7</c:v>
                </c:pt>
                <c:pt idx="98">
                  <c:v>3.4356933913746395E-7</c:v>
                </c:pt>
                <c:pt idx="99">
                  <c:v>1.4758143296041538E-7</c:v>
                </c:pt>
                <c:pt idx="100">
                  <c:v>6.2018113179422562E-8</c:v>
                </c:pt>
                <c:pt idx="101">
                  <c:v>2.5496150494771559E-8</c:v>
                </c:pt>
                <c:pt idx="102">
                  <c:v>1.0254150904233524E-8</c:v>
                </c:pt>
                <c:pt idx="103">
                  <c:v>4.0345365099183022E-9</c:v>
                </c:pt>
                <c:pt idx="104">
                  <c:v>1.5529458532492407E-9</c:v>
                </c:pt>
                <c:pt idx="105">
                  <c:v>5.8477336700181724E-10</c:v>
                </c:pt>
                <c:pt idx="106">
                  <c:v>2.1542067176373604E-10</c:v>
                </c:pt>
                <c:pt idx="107">
                  <c:v>7.7634652874939105E-11</c:v>
                </c:pt>
                <c:pt idx="108">
                  <c:v>2.7371099713459466E-11</c:v>
                </c:pt>
                <c:pt idx="109">
                  <c:v>9.4405484193205691E-12</c:v>
                </c:pt>
                <c:pt idx="110">
                  <c:v>3.1854479300646196E-12</c:v>
                </c:pt>
                <c:pt idx="111">
                  <c:v>1.0515067780334314E-12</c:v>
                </c:pt>
                <c:pt idx="112">
                  <c:v>3.3956420152756103E-13</c:v>
                </c:pt>
                <c:pt idx="113">
                  <c:v>1.0727535433111279E-13</c:v>
                </c:pt>
                <c:pt idx="114">
                  <c:v>3.3154786719706063E-14</c:v>
                </c:pt>
                <c:pt idx="115">
                  <c:v>1.0024454034132546E-14</c:v>
                </c:pt>
                <c:pt idx="116">
                  <c:v>2.9651278140299532E-15</c:v>
                </c:pt>
                <c:pt idx="117">
                  <c:v>8.5801385407279696E-16</c:v>
                </c:pt>
                <c:pt idx="118">
                  <c:v>2.4289208747161768E-16</c:v>
                </c:pt>
                <c:pt idx="119">
                  <c:v>6.726677623819585E-17</c:v>
                </c:pt>
                <c:pt idx="120">
                  <c:v>1.8224517459202022E-17</c:v>
                </c:pt>
                <c:pt idx="121">
                  <c:v>4.8303615030856545E-18</c:v>
                </c:pt>
                <c:pt idx="122">
                  <c:v>1.2524817345913584E-18</c:v>
                </c:pt>
                <c:pt idx="123">
                  <c:v>3.1771033017505968E-19</c:v>
                </c:pt>
                <c:pt idx="124">
                  <c:v>7.8842327602139759E-20</c:v>
                </c:pt>
                <c:pt idx="125">
                  <c:v>1.9140606875051173E-20</c:v>
                </c:pt>
                <c:pt idx="126">
                  <c:v>4.545902677820596E-21</c:v>
                </c:pt>
                <c:pt idx="127">
                  <c:v>1.056215963809744E-21</c:v>
                </c:pt>
                <c:pt idx="128">
                  <c:v>2.4007861832122274E-22</c:v>
                </c:pt>
                <c:pt idx="129">
                  <c:v>5.3385387652979688E-23</c:v>
                </c:pt>
                <c:pt idx="130">
                  <c:v>1.1613402540247724E-23</c:v>
                </c:pt>
                <c:pt idx="131">
                  <c:v>2.4715233605541517E-24</c:v>
                </c:pt>
                <c:pt idx="132">
                  <c:v>5.1456248544138659E-25</c:v>
                </c:pt>
                <c:pt idx="133">
                  <c:v>1.0480443998596597E-25</c:v>
                </c:pt>
                <c:pt idx="134">
                  <c:v>2.0882832412359496E-26</c:v>
                </c:pt>
                <c:pt idx="135">
                  <c:v>4.0706830130709573E-27</c:v>
                </c:pt>
                <c:pt idx="136">
                  <c:v>7.7627093655321843E-28</c:v>
                </c:pt>
                <c:pt idx="137">
                  <c:v>1.4481966154175624E-28</c:v>
                </c:pt>
                <c:pt idx="138">
                  <c:v>2.6430774509658718E-29</c:v>
                </c:pt>
                <c:pt idx="139">
                  <c:v>4.7191133703088912E-30</c:v>
                </c:pt>
                <c:pt idx="140">
                  <c:v>8.2428821698221151E-31</c:v>
                </c:pt>
                <c:pt idx="141">
                  <c:v>1.4085294518799293E-31</c:v>
                </c:pt>
                <c:pt idx="142">
                  <c:v>2.3546205642764378E-32</c:v>
                </c:pt>
                <c:pt idx="143">
                  <c:v>3.8507390803433477E-33</c:v>
                </c:pt>
                <c:pt idx="144">
                  <c:v>6.160775908016619E-34</c:v>
                </c:pt>
                <c:pt idx="145">
                  <c:v>9.6426164230550838E-35</c:v>
                </c:pt>
                <c:pt idx="146">
                  <c:v>1.4764628700033235E-35</c:v>
                </c:pt>
                <c:pt idx="147">
                  <c:v>2.211659820162982E-36</c:v>
                </c:pt>
                <c:pt idx="148">
                  <c:v>3.2410242897778362E-37</c:v>
                </c:pt>
                <c:pt idx="149">
                  <c:v>4.6463765538792106E-38</c:v>
                </c:pt>
                <c:pt idx="150">
                  <c:v>6.5165042085281107E-39</c:v>
                </c:pt>
                <c:pt idx="151">
                  <c:v>8.9409386828953093E-40</c:v>
                </c:pt>
                <c:pt idx="152">
                  <c:v>1.2001062912896225E-40</c:v>
                </c:pt>
                <c:pt idx="153">
                  <c:v>1.5758848047847767E-41</c:v>
                </c:pt>
                <c:pt idx="154">
                  <c:v>2.0244049144913289E-42</c:v>
                </c:pt>
                <c:pt idx="155">
                  <c:v>2.544125069557329E-43</c:v>
                </c:pt>
                <c:pt idx="156">
                  <c:v>3.12786277518072E-44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CC-4E43-B325-53174DB8F9A0}"/>
            </c:ext>
          </c:extLst>
        </c:ser>
        <c:ser>
          <c:idx val="3"/>
          <c:order val="3"/>
          <c:tx>
            <c:strRef>
              <c:f>'transversal subsidence-gauss'!$M$1</c:f>
              <c:strCache>
                <c:ptCount val="1"/>
                <c:pt idx="0">
                  <c:v>Foundation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'transversal subsidence-gauss'!$M$3:$M$4</c:f>
              <c:numCache>
                <c:formatCode>General</c:formatCode>
                <c:ptCount val="2"/>
                <c:pt idx="0">
                  <c:v>-22.198671000000001</c:v>
                </c:pt>
                <c:pt idx="1">
                  <c:v>-12.488417999999999</c:v>
                </c:pt>
              </c:numCache>
            </c:numRef>
          </c:xVal>
          <c:yVal>
            <c:numRef>
              <c:f>'transversal subsidence-gauss'!$N$3:$N$4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8CC-4E43-B325-53174DB8F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609664"/>
        <c:axId val="298615936"/>
      </c:scatterChart>
      <c:valAx>
        <c:axId val="298609664"/>
        <c:scaling>
          <c:orientation val="minMax"/>
          <c:max val="30"/>
          <c:min val="-30"/>
        </c:scaling>
        <c:delete val="0"/>
        <c:axPos val="t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y (m)</a:t>
                </a:r>
              </a:p>
            </c:rich>
          </c:tx>
          <c:layout>
            <c:manualLayout>
              <c:xMode val="edge"/>
              <c:yMode val="edge"/>
              <c:x val="0.4562363238512035"/>
              <c:y val="1.2690355329949238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8615936"/>
        <c:crosses val="autoZero"/>
        <c:crossBetween val="midCat"/>
      </c:valAx>
      <c:valAx>
        <c:axId val="298615936"/>
        <c:scaling>
          <c:orientation val="maxMin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Sv (cm)</a:t>
                </a:r>
              </a:p>
            </c:rich>
          </c:tx>
          <c:layout>
            <c:manualLayout>
              <c:xMode val="edge"/>
              <c:yMode val="edge"/>
              <c:x val="5.4704595185995622E-3"/>
              <c:y val="0.3908634770907443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8609664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367614879649891"/>
          <c:y val="0.46700565489874346"/>
          <c:w val="0.31400437636761486"/>
          <c:h val="0.4720818033215559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254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83483163863923"/>
          <c:y val="0.32432432432432434"/>
          <c:w val="0.8161165258148706"/>
          <c:h val="0.54594594594594592"/>
        </c:manualLayout>
      </c:layout>
      <c:scatterChart>
        <c:scatterStyle val="lineMarker"/>
        <c:varyColors val="0"/>
        <c:ser>
          <c:idx val="0"/>
          <c:order val="0"/>
          <c:tx>
            <c:strRef>
              <c:f>'transversal subsidence-gauss'!$A$8</c:f>
              <c:strCache>
                <c:ptCount val="1"/>
                <c:pt idx="0">
                  <c:v>Tunnel A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'transversal subsidence-gauss'!$G$10:$G$166</c:f>
              <c:numCache>
                <c:formatCode>General</c:formatCode>
                <c:ptCount val="157"/>
                <c:pt idx="0">
                  <c:v>-60</c:v>
                </c:pt>
                <c:pt idx="1">
                  <c:v>-59</c:v>
                </c:pt>
                <c:pt idx="2">
                  <c:v>-58</c:v>
                </c:pt>
                <c:pt idx="3">
                  <c:v>-57</c:v>
                </c:pt>
                <c:pt idx="4">
                  <c:v>-56</c:v>
                </c:pt>
                <c:pt idx="5">
                  <c:v>-55</c:v>
                </c:pt>
                <c:pt idx="6">
                  <c:v>-54</c:v>
                </c:pt>
                <c:pt idx="7">
                  <c:v>-53</c:v>
                </c:pt>
                <c:pt idx="8">
                  <c:v>-52</c:v>
                </c:pt>
                <c:pt idx="9">
                  <c:v>-51</c:v>
                </c:pt>
                <c:pt idx="10">
                  <c:v>-50</c:v>
                </c:pt>
                <c:pt idx="11">
                  <c:v>-49</c:v>
                </c:pt>
                <c:pt idx="12">
                  <c:v>-48</c:v>
                </c:pt>
                <c:pt idx="13">
                  <c:v>-47</c:v>
                </c:pt>
                <c:pt idx="14">
                  <c:v>-46</c:v>
                </c:pt>
                <c:pt idx="15">
                  <c:v>-45</c:v>
                </c:pt>
                <c:pt idx="16">
                  <c:v>-44</c:v>
                </c:pt>
                <c:pt idx="17">
                  <c:v>-43</c:v>
                </c:pt>
                <c:pt idx="18">
                  <c:v>-42</c:v>
                </c:pt>
                <c:pt idx="19">
                  <c:v>-41</c:v>
                </c:pt>
                <c:pt idx="20">
                  <c:v>-40</c:v>
                </c:pt>
                <c:pt idx="21">
                  <c:v>-39</c:v>
                </c:pt>
                <c:pt idx="22">
                  <c:v>-38</c:v>
                </c:pt>
                <c:pt idx="23">
                  <c:v>-37</c:v>
                </c:pt>
                <c:pt idx="24">
                  <c:v>-36</c:v>
                </c:pt>
                <c:pt idx="25">
                  <c:v>-35</c:v>
                </c:pt>
                <c:pt idx="26">
                  <c:v>-34</c:v>
                </c:pt>
                <c:pt idx="27">
                  <c:v>-33</c:v>
                </c:pt>
                <c:pt idx="28">
                  <c:v>-32</c:v>
                </c:pt>
                <c:pt idx="29">
                  <c:v>-31</c:v>
                </c:pt>
                <c:pt idx="30">
                  <c:v>-30</c:v>
                </c:pt>
                <c:pt idx="31">
                  <c:v>-29</c:v>
                </c:pt>
                <c:pt idx="32">
                  <c:v>-28</c:v>
                </c:pt>
                <c:pt idx="33">
                  <c:v>-27</c:v>
                </c:pt>
                <c:pt idx="34">
                  <c:v>-26</c:v>
                </c:pt>
                <c:pt idx="35">
                  <c:v>-25</c:v>
                </c:pt>
                <c:pt idx="36">
                  <c:v>-24</c:v>
                </c:pt>
                <c:pt idx="37">
                  <c:v>-23</c:v>
                </c:pt>
                <c:pt idx="38">
                  <c:v>-22</c:v>
                </c:pt>
                <c:pt idx="39">
                  <c:v>-21</c:v>
                </c:pt>
                <c:pt idx="40">
                  <c:v>-20</c:v>
                </c:pt>
                <c:pt idx="41">
                  <c:v>-19</c:v>
                </c:pt>
                <c:pt idx="42">
                  <c:v>-18</c:v>
                </c:pt>
                <c:pt idx="43">
                  <c:v>-17</c:v>
                </c:pt>
                <c:pt idx="44">
                  <c:v>-16</c:v>
                </c:pt>
                <c:pt idx="45">
                  <c:v>-15</c:v>
                </c:pt>
                <c:pt idx="46">
                  <c:v>-14</c:v>
                </c:pt>
                <c:pt idx="47">
                  <c:v>-13</c:v>
                </c:pt>
                <c:pt idx="48">
                  <c:v>-12</c:v>
                </c:pt>
                <c:pt idx="49">
                  <c:v>-11</c:v>
                </c:pt>
                <c:pt idx="50">
                  <c:v>-10</c:v>
                </c:pt>
                <c:pt idx="51">
                  <c:v>-9</c:v>
                </c:pt>
                <c:pt idx="52">
                  <c:v>-8</c:v>
                </c:pt>
                <c:pt idx="53">
                  <c:v>-7</c:v>
                </c:pt>
                <c:pt idx="54">
                  <c:v>-6</c:v>
                </c:pt>
                <c:pt idx="55">
                  <c:v>-5</c:v>
                </c:pt>
                <c:pt idx="56">
                  <c:v>-4</c:v>
                </c:pt>
                <c:pt idx="57">
                  <c:v>-3</c:v>
                </c:pt>
                <c:pt idx="58">
                  <c:v>-2</c:v>
                </c:pt>
                <c:pt idx="59">
                  <c:v>-1</c:v>
                </c:pt>
                <c:pt idx="60">
                  <c:v>0</c:v>
                </c:pt>
                <c:pt idx="61">
                  <c:v>1</c:v>
                </c:pt>
                <c:pt idx="62">
                  <c:v>2</c:v>
                </c:pt>
                <c:pt idx="63">
                  <c:v>3</c:v>
                </c:pt>
                <c:pt idx="64">
                  <c:v>4</c:v>
                </c:pt>
                <c:pt idx="65">
                  <c:v>5</c:v>
                </c:pt>
                <c:pt idx="66">
                  <c:v>6</c:v>
                </c:pt>
                <c:pt idx="67">
                  <c:v>7</c:v>
                </c:pt>
                <c:pt idx="68">
                  <c:v>8</c:v>
                </c:pt>
                <c:pt idx="69">
                  <c:v>9</c:v>
                </c:pt>
                <c:pt idx="70">
                  <c:v>10</c:v>
                </c:pt>
                <c:pt idx="71">
                  <c:v>11</c:v>
                </c:pt>
                <c:pt idx="72">
                  <c:v>12</c:v>
                </c:pt>
                <c:pt idx="73">
                  <c:v>13</c:v>
                </c:pt>
                <c:pt idx="74">
                  <c:v>14</c:v>
                </c:pt>
                <c:pt idx="75">
                  <c:v>15</c:v>
                </c:pt>
                <c:pt idx="76">
                  <c:v>16</c:v>
                </c:pt>
                <c:pt idx="77">
                  <c:v>17</c:v>
                </c:pt>
                <c:pt idx="78">
                  <c:v>18</c:v>
                </c:pt>
                <c:pt idx="79">
                  <c:v>19</c:v>
                </c:pt>
                <c:pt idx="80">
                  <c:v>20</c:v>
                </c:pt>
                <c:pt idx="81">
                  <c:v>21</c:v>
                </c:pt>
                <c:pt idx="82">
                  <c:v>22</c:v>
                </c:pt>
                <c:pt idx="83">
                  <c:v>23</c:v>
                </c:pt>
                <c:pt idx="84">
                  <c:v>24</c:v>
                </c:pt>
                <c:pt idx="85">
                  <c:v>25</c:v>
                </c:pt>
                <c:pt idx="86">
                  <c:v>26</c:v>
                </c:pt>
                <c:pt idx="87">
                  <c:v>27</c:v>
                </c:pt>
                <c:pt idx="88">
                  <c:v>28</c:v>
                </c:pt>
                <c:pt idx="89">
                  <c:v>29</c:v>
                </c:pt>
                <c:pt idx="90">
                  <c:v>30</c:v>
                </c:pt>
                <c:pt idx="91">
                  <c:v>31</c:v>
                </c:pt>
                <c:pt idx="92">
                  <c:v>32</c:v>
                </c:pt>
                <c:pt idx="93">
                  <c:v>33</c:v>
                </c:pt>
                <c:pt idx="94">
                  <c:v>34</c:v>
                </c:pt>
                <c:pt idx="95">
                  <c:v>35</c:v>
                </c:pt>
                <c:pt idx="96">
                  <c:v>36</c:v>
                </c:pt>
                <c:pt idx="97">
                  <c:v>37</c:v>
                </c:pt>
                <c:pt idx="98">
                  <c:v>38</c:v>
                </c:pt>
                <c:pt idx="99">
                  <c:v>39</c:v>
                </c:pt>
                <c:pt idx="100">
                  <c:v>40</c:v>
                </c:pt>
                <c:pt idx="101">
                  <c:v>41</c:v>
                </c:pt>
                <c:pt idx="102">
                  <c:v>42</c:v>
                </c:pt>
                <c:pt idx="103">
                  <c:v>43</c:v>
                </c:pt>
                <c:pt idx="104">
                  <c:v>44</c:v>
                </c:pt>
                <c:pt idx="105">
                  <c:v>45</c:v>
                </c:pt>
                <c:pt idx="106">
                  <c:v>46</c:v>
                </c:pt>
                <c:pt idx="107">
                  <c:v>47</c:v>
                </c:pt>
                <c:pt idx="108">
                  <c:v>48</c:v>
                </c:pt>
                <c:pt idx="109">
                  <c:v>49</c:v>
                </c:pt>
                <c:pt idx="110">
                  <c:v>50</c:v>
                </c:pt>
                <c:pt idx="111">
                  <c:v>51</c:v>
                </c:pt>
                <c:pt idx="112">
                  <c:v>52</c:v>
                </c:pt>
                <c:pt idx="113">
                  <c:v>53</c:v>
                </c:pt>
                <c:pt idx="114">
                  <c:v>54</c:v>
                </c:pt>
                <c:pt idx="115">
                  <c:v>55</c:v>
                </c:pt>
                <c:pt idx="116">
                  <c:v>56</c:v>
                </c:pt>
                <c:pt idx="117">
                  <c:v>57</c:v>
                </c:pt>
                <c:pt idx="118">
                  <c:v>58</c:v>
                </c:pt>
                <c:pt idx="119">
                  <c:v>59</c:v>
                </c:pt>
                <c:pt idx="120">
                  <c:v>60</c:v>
                </c:pt>
                <c:pt idx="121">
                  <c:v>61</c:v>
                </c:pt>
                <c:pt idx="122">
                  <c:v>62</c:v>
                </c:pt>
                <c:pt idx="123">
                  <c:v>63</c:v>
                </c:pt>
                <c:pt idx="124">
                  <c:v>64</c:v>
                </c:pt>
                <c:pt idx="125">
                  <c:v>65</c:v>
                </c:pt>
                <c:pt idx="126">
                  <c:v>66</c:v>
                </c:pt>
                <c:pt idx="127">
                  <c:v>67</c:v>
                </c:pt>
                <c:pt idx="128">
                  <c:v>68</c:v>
                </c:pt>
                <c:pt idx="129">
                  <c:v>69</c:v>
                </c:pt>
                <c:pt idx="130">
                  <c:v>70</c:v>
                </c:pt>
                <c:pt idx="131">
                  <c:v>71</c:v>
                </c:pt>
                <c:pt idx="132">
                  <c:v>72</c:v>
                </c:pt>
                <c:pt idx="133">
                  <c:v>73</c:v>
                </c:pt>
                <c:pt idx="134">
                  <c:v>74</c:v>
                </c:pt>
                <c:pt idx="135">
                  <c:v>75</c:v>
                </c:pt>
                <c:pt idx="136">
                  <c:v>76</c:v>
                </c:pt>
                <c:pt idx="137">
                  <c:v>77</c:v>
                </c:pt>
                <c:pt idx="138">
                  <c:v>78</c:v>
                </c:pt>
                <c:pt idx="139">
                  <c:v>79</c:v>
                </c:pt>
                <c:pt idx="140">
                  <c:v>80</c:v>
                </c:pt>
                <c:pt idx="141">
                  <c:v>81</c:v>
                </c:pt>
                <c:pt idx="142">
                  <c:v>82</c:v>
                </c:pt>
                <c:pt idx="143">
                  <c:v>83</c:v>
                </c:pt>
                <c:pt idx="144">
                  <c:v>84</c:v>
                </c:pt>
                <c:pt idx="145">
                  <c:v>85</c:v>
                </c:pt>
                <c:pt idx="146">
                  <c:v>86</c:v>
                </c:pt>
                <c:pt idx="147">
                  <c:v>87</c:v>
                </c:pt>
                <c:pt idx="148">
                  <c:v>88</c:v>
                </c:pt>
                <c:pt idx="149">
                  <c:v>89</c:v>
                </c:pt>
                <c:pt idx="150">
                  <c:v>90</c:v>
                </c:pt>
                <c:pt idx="151">
                  <c:v>91</c:v>
                </c:pt>
                <c:pt idx="152">
                  <c:v>92</c:v>
                </c:pt>
                <c:pt idx="153">
                  <c:v>93</c:v>
                </c:pt>
                <c:pt idx="154">
                  <c:v>94</c:v>
                </c:pt>
                <c:pt idx="155">
                  <c:v>95</c:v>
                </c:pt>
                <c:pt idx="156">
                  <c:v>96</c:v>
                </c:pt>
              </c:numCache>
            </c:numRef>
          </c:xVal>
          <c:yVal>
            <c:numRef>
              <c:f>'transversal subsidence-gauss'!$K$10:$K$166</c:f>
              <c:numCache>
                <c:formatCode>General</c:formatCode>
                <c:ptCount val="157"/>
                <c:pt idx="0">
                  <c:v>1.8224505845800306E-17</c:v>
                </c:pt>
                <c:pt idx="1">
                  <c:v>6.7266722852812917E-17</c:v>
                </c:pt>
                <c:pt idx="2">
                  <c:v>2.4289184739302578E-16</c:v>
                </c:pt>
                <c:pt idx="3">
                  <c:v>8.58012797856978E-16</c:v>
                </c:pt>
                <c:pt idx="4">
                  <c:v>2.9651232681280518E-15</c:v>
                </c:pt>
                <c:pt idx="5">
                  <c:v>1.0024434893529742E-14</c:v>
                </c:pt>
                <c:pt idx="6">
                  <c:v>3.3154707877399341E-14</c:v>
                </c:pt>
                <c:pt idx="7">
                  <c:v>1.0727503662088742E-13</c:v>
                </c:pt>
                <c:pt idx="8">
                  <c:v>3.3956294904634098E-13</c:v>
                </c:pt>
                <c:pt idx="9">
                  <c:v>1.0515019476743999E-12</c:v>
                </c:pt>
                <c:pt idx="10">
                  <c:v>3.185429705558774E-12</c:v>
                </c:pt>
                <c:pt idx="11">
                  <c:v>9.4404811525977155E-12</c:v>
                </c:pt>
                <c:pt idx="12">
                  <c:v>2.7370856821612073E-11</c:v>
                </c:pt>
                <c:pt idx="13">
                  <c:v>7.7633794862141246E-11</c:v>
                </c:pt>
                <c:pt idx="14">
                  <c:v>2.154177066404679E-10</c:v>
                </c:pt>
                <c:pt idx="15">
                  <c:v>5.8476334256692367E-10</c:v>
                </c:pt>
                <c:pt idx="16">
                  <c:v>1.5529126985413634E-9</c:v>
                </c:pt>
                <c:pt idx="17">
                  <c:v>4.0344292348816814E-9</c:v>
                </c:pt>
                <c:pt idx="18">
                  <c:v>1.0253811341284478E-8</c:v>
                </c:pt>
                <c:pt idx="19">
                  <c:v>2.5495098992823883E-8</c:v>
                </c:pt>
                <c:pt idx="20">
                  <c:v>6.2014927749717004E-8</c:v>
                </c:pt>
                <c:pt idx="21">
                  <c:v>1.4757199247926277E-7</c:v>
                </c:pt>
                <c:pt idx="22">
                  <c:v>3.4354196828064235E-7</c:v>
                </c:pt>
                <c:pt idx="23">
                  <c:v>7.823909487554923E-7</c:v>
                </c:pt>
                <c:pt idx="24">
                  <c:v>1.74315495655409E-6</c:v>
                </c:pt>
                <c:pt idx="25">
                  <c:v>3.7994114938062831E-6</c:v>
                </c:pt>
                <c:pt idx="26">
                  <c:v>8.101488666490452E-6</c:v>
                </c:pt>
                <c:pt idx="27">
                  <c:v>1.6899796882487886E-5</c:v>
                </c:pt>
                <c:pt idx="28">
                  <c:v>3.4487864259477438E-5</c:v>
                </c:pt>
                <c:pt idx="29">
                  <c:v>6.8852430522042994E-5</c:v>
                </c:pt>
                <c:pt idx="30">
                  <c:v>1.3447464619457142E-4</c:v>
                </c:pt>
                <c:pt idx="31">
                  <c:v>2.5693880770651459E-4</c:v>
                </c:pt>
                <c:pt idx="32">
                  <c:v>4.8027187870904465E-4</c:v>
                </c:pt>
                <c:pt idx="33">
                  <c:v>8.7823910614371454E-4</c:v>
                </c:pt>
                <c:pt idx="34">
                  <c:v>1.5711098237402173E-3</c:v>
                </c:pt>
                <c:pt idx="35">
                  <c:v>2.7495933984103289E-3</c:v>
                </c:pt>
                <c:pt idx="36">
                  <c:v>4.7075893123253738E-3</c:v>
                </c:pt>
                <c:pt idx="37">
                  <c:v>7.884911432985137E-3</c:v>
                </c:pt>
                <c:pt idx="38">
                  <c:v>1.2920021319949369E-2</c:v>
                </c:pt>
                <c:pt idx="39">
                  <c:v>2.0710844152466608E-2</c:v>
                </c:pt>
                <c:pt idx="40">
                  <c:v>3.2478841549970161E-2</c:v>
                </c:pt>
                <c:pt idx="41">
                  <c:v>4.9827766415018231E-2</c:v>
                </c:pt>
                <c:pt idx="42">
                  <c:v>7.4784306175714105E-2</c:v>
                </c:pt>
                <c:pt idx="43">
                  <c:v>0.10980387764468608</c:v>
                </c:pt>
                <c:pt idx="44">
                  <c:v>0.15772227949052373</c:v>
                </c:pt>
                <c:pt idx="45">
                  <c:v>0.22163409593685704</c:v>
                </c:pt>
                <c:pt idx="46">
                  <c:v>0.30468302553613463</c:v>
                </c:pt>
                <c:pt idx="47">
                  <c:v>0.40975862710533312</c:v>
                </c:pt>
                <c:pt idx="48">
                  <c:v>0.53910841649474406</c:v>
                </c:pt>
                <c:pt idx="49">
                  <c:v>0.69389263446314897</c:v>
                </c:pt>
                <c:pt idx="50">
                  <c:v>0.87372870216931453</c:v>
                </c:pt>
                <c:pt idx="51">
                  <c:v>1.0762894597148773</c:v>
                </c:pt>
                <c:pt idx="52">
                  <c:v>1.2970291337097046</c:v>
                </c:pt>
                <c:pt idx="53">
                  <c:v>1.5291093182570585</c:v>
                </c:pt>
                <c:pt idx="54">
                  <c:v>1.7635813520721411</c:v>
                </c:pt>
                <c:pt idx="55">
                  <c:v>1.9898512885235582</c:v>
                </c:pt>
                <c:pt idx="56">
                  <c:v>2.1964124804965439</c:v>
                </c:pt>
                <c:pt idx="57">
                  <c:v>2.3717851440593103</c:v>
                </c:pt>
                <c:pt idx="58">
                  <c:v>2.5055607992967666</c:v>
                </c:pt>
                <c:pt idx="59">
                  <c:v>2.5894212422641401</c:v>
                </c:pt>
                <c:pt idx="60">
                  <c:v>2.617993877991494</c:v>
                </c:pt>
                <c:pt idx="61">
                  <c:v>2.5894212422641401</c:v>
                </c:pt>
                <c:pt idx="62">
                  <c:v>2.5055607992967666</c:v>
                </c:pt>
                <c:pt idx="63">
                  <c:v>2.3717851440593103</c:v>
                </c:pt>
                <c:pt idx="64">
                  <c:v>2.1964124804965439</c:v>
                </c:pt>
                <c:pt idx="65">
                  <c:v>1.9898512885235582</c:v>
                </c:pt>
                <c:pt idx="66">
                  <c:v>1.7635813520721411</c:v>
                </c:pt>
                <c:pt idx="67">
                  <c:v>1.5291093182570585</c:v>
                </c:pt>
                <c:pt idx="68">
                  <c:v>1.2970291337097046</c:v>
                </c:pt>
                <c:pt idx="69">
                  <c:v>1.0762894597148773</c:v>
                </c:pt>
                <c:pt idx="70">
                  <c:v>0.87372870216931453</c:v>
                </c:pt>
                <c:pt idx="71">
                  <c:v>0.69389263446314897</c:v>
                </c:pt>
                <c:pt idx="72">
                  <c:v>0.53910841649474406</c:v>
                </c:pt>
                <c:pt idx="73">
                  <c:v>0.40975862710533312</c:v>
                </c:pt>
                <c:pt idx="74">
                  <c:v>0.30468302553613463</c:v>
                </c:pt>
                <c:pt idx="75">
                  <c:v>0.22163409593685704</c:v>
                </c:pt>
                <c:pt idx="76">
                  <c:v>0.15772227949052373</c:v>
                </c:pt>
                <c:pt idx="77">
                  <c:v>0.10980387764468608</c:v>
                </c:pt>
                <c:pt idx="78">
                  <c:v>7.4784306175714105E-2</c:v>
                </c:pt>
                <c:pt idx="79">
                  <c:v>4.9827766415018231E-2</c:v>
                </c:pt>
                <c:pt idx="80">
                  <c:v>3.2478841549970161E-2</c:v>
                </c:pt>
                <c:pt idx="81">
                  <c:v>2.0710844152466608E-2</c:v>
                </c:pt>
                <c:pt idx="82">
                  <c:v>1.2920021319949369E-2</c:v>
                </c:pt>
                <c:pt idx="83">
                  <c:v>7.884911432985137E-3</c:v>
                </c:pt>
                <c:pt idx="84">
                  <c:v>4.7075893123253738E-3</c:v>
                </c:pt>
                <c:pt idx="85">
                  <c:v>2.7495933984103289E-3</c:v>
                </c:pt>
                <c:pt idx="86">
                  <c:v>1.5711098237402173E-3</c:v>
                </c:pt>
                <c:pt idx="87">
                  <c:v>8.7823910614371454E-4</c:v>
                </c:pt>
                <c:pt idx="88">
                  <c:v>4.8027187870904465E-4</c:v>
                </c:pt>
                <c:pt idx="89">
                  <c:v>2.5693880770651459E-4</c:v>
                </c:pt>
                <c:pt idx="90">
                  <c:v>1.3447464619457142E-4</c:v>
                </c:pt>
                <c:pt idx="91">
                  <c:v>6.8852430522042994E-5</c:v>
                </c:pt>
                <c:pt idx="92">
                  <c:v>3.4487864259477438E-5</c:v>
                </c:pt>
                <c:pt idx="93">
                  <c:v>1.6899796882487886E-5</c:v>
                </c:pt>
                <c:pt idx="94">
                  <c:v>8.101488666490452E-6</c:v>
                </c:pt>
                <c:pt idx="95">
                  <c:v>3.7994114938062831E-6</c:v>
                </c:pt>
                <c:pt idx="96">
                  <c:v>1.74315495655409E-6</c:v>
                </c:pt>
                <c:pt idx="97">
                  <c:v>7.823909487554923E-7</c:v>
                </c:pt>
                <c:pt idx="98">
                  <c:v>3.4354196828064235E-7</c:v>
                </c:pt>
                <c:pt idx="99">
                  <c:v>1.4757199247926277E-7</c:v>
                </c:pt>
                <c:pt idx="100">
                  <c:v>6.2014927749717004E-8</c:v>
                </c:pt>
                <c:pt idx="101">
                  <c:v>2.5495098992823883E-8</c:v>
                </c:pt>
                <c:pt idx="102">
                  <c:v>1.0253811341284478E-8</c:v>
                </c:pt>
                <c:pt idx="103">
                  <c:v>4.0344292348816814E-9</c:v>
                </c:pt>
                <c:pt idx="104">
                  <c:v>1.5529126985413634E-9</c:v>
                </c:pt>
                <c:pt idx="105">
                  <c:v>5.8476334256692367E-10</c:v>
                </c:pt>
                <c:pt idx="106">
                  <c:v>2.154177066404679E-10</c:v>
                </c:pt>
                <c:pt idx="107">
                  <c:v>7.7633794862141246E-11</c:v>
                </c:pt>
                <c:pt idx="108">
                  <c:v>2.7370856821612073E-11</c:v>
                </c:pt>
                <c:pt idx="109">
                  <c:v>9.4404811525977155E-12</c:v>
                </c:pt>
                <c:pt idx="110">
                  <c:v>3.185429705558774E-12</c:v>
                </c:pt>
                <c:pt idx="111">
                  <c:v>1.0515019476743999E-12</c:v>
                </c:pt>
                <c:pt idx="112">
                  <c:v>3.3956294904634098E-13</c:v>
                </c:pt>
                <c:pt idx="113">
                  <c:v>1.0727503662088742E-13</c:v>
                </c:pt>
                <c:pt idx="114">
                  <c:v>3.3154707877399341E-14</c:v>
                </c:pt>
                <c:pt idx="115">
                  <c:v>1.0024434893529742E-14</c:v>
                </c:pt>
                <c:pt idx="116">
                  <c:v>2.9651232681280518E-15</c:v>
                </c:pt>
                <c:pt idx="117">
                  <c:v>8.58012797856978E-16</c:v>
                </c:pt>
                <c:pt idx="118">
                  <c:v>2.4289184739302578E-16</c:v>
                </c:pt>
                <c:pt idx="119">
                  <c:v>6.7266722852812917E-17</c:v>
                </c:pt>
                <c:pt idx="120">
                  <c:v>1.8224505845800306E-17</c:v>
                </c:pt>
                <c:pt idx="121">
                  <c:v>4.8303590315624351E-18</c:v>
                </c:pt>
                <c:pt idx="122">
                  <c:v>1.2524812200288966E-18</c:v>
                </c:pt>
                <c:pt idx="123">
                  <c:v>3.1771022537062355E-19</c:v>
                </c:pt>
                <c:pt idx="124">
                  <c:v>7.8842306719307962E-20</c:v>
                </c:pt>
                <c:pt idx="125">
                  <c:v>1.9140602804368255E-20</c:v>
                </c:pt>
                <c:pt idx="126">
                  <c:v>4.5459019015496739E-21</c:v>
                </c:pt>
                <c:pt idx="127">
                  <c:v>1.0562158189900847E-21</c:v>
                </c:pt>
                <c:pt idx="128">
                  <c:v>2.4007859189044855E-22</c:v>
                </c:pt>
                <c:pt idx="129">
                  <c:v>5.3385382933866363E-23</c:v>
                </c:pt>
                <c:pt idx="130">
                  <c:v>1.1613401715959513E-23</c:v>
                </c:pt>
                <c:pt idx="131">
                  <c:v>2.4715232197012075E-24</c:v>
                </c:pt>
                <c:pt idx="132">
                  <c:v>5.1456246189518103E-25</c:v>
                </c:pt>
                <c:pt idx="133">
                  <c:v>1.0480443613522691E-25</c:v>
                </c:pt>
                <c:pt idx="134">
                  <c:v>2.0882831796281908E-26</c:v>
                </c:pt>
                <c:pt idx="135">
                  <c:v>4.0706829166447933E-27</c:v>
                </c:pt>
                <c:pt idx="136">
                  <c:v>7.7627092178858976E-28</c:v>
                </c:pt>
                <c:pt idx="137">
                  <c:v>1.4481965933009643E-28</c:v>
                </c:pt>
                <c:pt idx="138">
                  <c:v>2.6430774185556292E-29</c:v>
                </c:pt>
                <c:pt idx="139">
                  <c:v>4.7191133238451258E-30</c:v>
                </c:pt>
                <c:pt idx="140">
                  <c:v>8.2428821046570737E-31</c:v>
                </c:pt>
                <c:pt idx="141">
                  <c:v>1.4085294429389906E-31</c:v>
                </c:pt>
                <c:pt idx="142">
                  <c:v>2.3546205522753748E-32</c:v>
                </c:pt>
                <c:pt idx="143">
                  <c:v>3.8507390645844998E-33</c:v>
                </c:pt>
                <c:pt idx="144">
                  <c:v>6.1607758877725696E-34</c:v>
                </c:pt>
                <c:pt idx="145">
                  <c:v>9.642616397613834E-35</c:v>
                </c:pt>
                <c:pt idx="146">
                  <c:v>1.4764628668754608E-35</c:v>
                </c:pt>
                <c:pt idx="147">
                  <c:v>2.2116598164009273E-36</c:v>
                </c:pt>
                <c:pt idx="148">
                  <c:v>3.2410242853512325E-37</c:v>
                </c:pt>
                <c:pt idx="149">
                  <c:v>4.6463765487837392E-38</c:v>
                </c:pt>
                <c:pt idx="150">
                  <c:v>6.5165042027900359E-39</c:v>
                </c:pt>
                <c:pt idx="151">
                  <c:v>8.9409386765738651E-40</c:v>
                </c:pt>
                <c:pt idx="152">
                  <c:v>1.2001062906083287E-40</c:v>
                </c:pt>
                <c:pt idx="153">
                  <c:v>1.5758848040664521E-41</c:v>
                </c:pt>
                <c:pt idx="154">
                  <c:v>2.0244049137504023E-42</c:v>
                </c:pt>
                <c:pt idx="155">
                  <c:v>2.5441250688096799E-43</c:v>
                </c:pt>
                <c:pt idx="156">
                  <c:v>3.1278627744426649E-44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8F-4A5E-A87F-18DEAF04C6D3}"/>
            </c:ext>
          </c:extLst>
        </c:ser>
        <c:ser>
          <c:idx val="1"/>
          <c:order val="1"/>
          <c:tx>
            <c:strRef>
              <c:f>'transversal subsidence-gauss'!$G$8</c:f>
              <c:strCache>
                <c:ptCount val="1"/>
                <c:pt idx="0">
                  <c:v>Tunnel 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'transversal subsidence-gauss'!$D$10:$D$166</c:f>
              <c:numCache>
                <c:formatCode>General</c:formatCode>
                <c:ptCount val="157"/>
                <c:pt idx="0">
                  <c:v>-50</c:v>
                </c:pt>
                <c:pt idx="1">
                  <c:v>-49</c:v>
                </c:pt>
                <c:pt idx="2">
                  <c:v>-48</c:v>
                </c:pt>
                <c:pt idx="3">
                  <c:v>-47</c:v>
                </c:pt>
                <c:pt idx="4">
                  <c:v>-46</c:v>
                </c:pt>
                <c:pt idx="5">
                  <c:v>-45</c:v>
                </c:pt>
                <c:pt idx="6">
                  <c:v>-44</c:v>
                </c:pt>
                <c:pt idx="7">
                  <c:v>-43</c:v>
                </c:pt>
                <c:pt idx="8">
                  <c:v>-42</c:v>
                </c:pt>
                <c:pt idx="9">
                  <c:v>-41</c:v>
                </c:pt>
                <c:pt idx="10">
                  <c:v>-40</c:v>
                </c:pt>
                <c:pt idx="11">
                  <c:v>-39</c:v>
                </c:pt>
                <c:pt idx="12">
                  <c:v>-38</c:v>
                </c:pt>
                <c:pt idx="13">
                  <c:v>-37</c:v>
                </c:pt>
                <c:pt idx="14">
                  <c:v>-36</c:v>
                </c:pt>
                <c:pt idx="15">
                  <c:v>-35</c:v>
                </c:pt>
                <c:pt idx="16">
                  <c:v>-34</c:v>
                </c:pt>
                <c:pt idx="17">
                  <c:v>-33</c:v>
                </c:pt>
                <c:pt idx="18">
                  <c:v>-32</c:v>
                </c:pt>
                <c:pt idx="19">
                  <c:v>-31</c:v>
                </c:pt>
                <c:pt idx="20">
                  <c:v>-30</c:v>
                </c:pt>
                <c:pt idx="21">
                  <c:v>-29</c:v>
                </c:pt>
                <c:pt idx="22">
                  <c:v>-28</c:v>
                </c:pt>
                <c:pt idx="23">
                  <c:v>-27</c:v>
                </c:pt>
                <c:pt idx="24">
                  <c:v>-26</c:v>
                </c:pt>
                <c:pt idx="25">
                  <c:v>-25</c:v>
                </c:pt>
                <c:pt idx="26">
                  <c:v>-24</c:v>
                </c:pt>
                <c:pt idx="27">
                  <c:v>-23</c:v>
                </c:pt>
                <c:pt idx="28">
                  <c:v>-22</c:v>
                </c:pt>
                <c:pt idx="29">
                  <c:v>-21</c:v>
                </c:pt>
                <c:pt idx="30">
                  <c:v>-20</c:v>
                </c:pt>
                <c:pt idx="31">
                  <c:v>-19</c:v>
                </c:pt>
                <c:pt idx="32">
                  <c:v>-18</c:v>
                </c:pt>
                <c:pt idx="33">
                  <c:v>-17</c:v>
                </c:pt>
                <c:pt idx="34">
                  <c:v>-16</c:v>
                </c:pt>
                <c:pt idx="35">
                  <c:v>-15</c:v>
                </c:pt>
                <c:pt idx="36">
                  <c:v>-14</c:v>
                </c:pt>
                <c:pt idx="37">
                  <c:v>-13</c:v>
                </c:pt>
                <c:pt idx="38">
                  <c:v>-12</c:v>
                </c:pt>
                <c:pt idx="39">
                  <c:v>-11</c:v>
                </c:pt>
                <c:pt idx="40">
                  <c:v>-10</c:v>
                </c:pt>
                <c:pt idx="41">
                  <c:v>-9</c:v>
                </c:pt>
                <c:pt idx="42">
                  <c:v>-8</c:v>
                </c:pt>
                <c:pt idx="43">
                  <c:v>-7</c:v>
                </c:pt>
                <c:pt idx="44">
                  <c:v>-6</c:v>
                </c:pt>
                <c:pt idx="45">
                  <c:v>-5</c:v>
                </c:pt>
                <c:pt idx="46">
                  <c:v>-4</c:v>
                </c:pt>
                <c:pt idx="47">
                  <c:v>-3</c:v>
                </c:pt>
                <c:pt idx="48">
                  <c:v>-2</c:v>
                </c:pt>
                <c:pt idx="49">
                  <c:v>-1</c:v>
                </c:pt>
                <c:pt idx="50">
                  <c:v>0</c:v>
                </c:pt>
                <c:pt idx="51">
                  <c:v>1</c:v>
                </c:pt>
                <c:pt idx="52">
                  <c:v>2</c:v>
                </c:pt>
                <c:pt idx="53">
                  <c:v>3</c:v>
                </c:pt>
                <c:pt idx="54">
                  <c:v>4</c:v>
                </c:pt>
                <c:pt idx="55">
                  <c:v>5</c:v>
                </c:pt>
                <c:pt idx="56">
                  <c:v>6</c:v>
                </c:pt>
                <c:pt idx="57">
                  <c:v>7</c:v>
                </c:pt>
                <c:pt idx="58">
                  <c:v>8</c:v>
                </c:pt>
                <c:pt idx="59">
                  <c:v>9</c:v>
                </c:pt>
                <c:pt idx="60">
                  <c:v>10</c:v>
                </c:pt>
                <c:pt idx="61">
                  <c:v>11</c:v>
                </c:pt>
                <c:pt idx="62">
                  <c:v>12</c:v>
                </c:pt>
                <c:pt idx="63">
                  <c:v>13</c:v>
                </c:pt>
                <c:pt idx="64">
                  <c:v>14</c:v>
                </c:pt>
                <c:pt idx="65">
                  <c:v>15</c:v>
                </c:pt>
                <c:pt idx="66">
                  <c:v>16</c:v>
                </c:pt>
                <c:pt idx="67">
                  <c:v>17</c:v>
                </c:pt>
                <c:pt idx="68">
                  <c:v>18</c:v>
                </c:pt>
                <c:pt idx="69">
                  <c:v>19</c:v>
                </c:pt>
                <c:pt idx="70">
                  <c:v>20</c:v>
                </c:pt>
                <c:pt idx="71">
                  <c:v>21</c:v>
                </c:pt>
                <c:pt idx="72">
                  <c:v>22</c:v>
                </c:pt>
                <c:pt idx="73">
                  <c:v>23</c:v>
                </c:pt>
                <c:pt idx="74">
                  <c:v>24</c:v>
                </c:pt>
                <c:pt idx="75">
                  <c:v>25</c:v>
                </c:pt>
                <c:pt idx="76">
                  <c:v>26</c:v>
                </c:pt>
                <c:pt idx="77">
                  <c:v>27</c:v>
                </c:pt>
                <c:pt idx="78">
                  <c:v>28</c:v>
                </c:pt>
                <c:pt idx="79">
                  <c:v>29</c:v>
                </c:pt>
                <c:pt idx="80">
                  <c:v>30</c:v>
                </c:pt>
                <c:pt idx="81">
                  <c:v>31</c:v>
                </c:pt>
                <c:pt idx="82">
                  <c:v>32</c:v>
                </c:pt>
                <c:pt idx="83">
                  <c:v>33</c:v>
                </c:pt>
                <c:pt idx="84">
                  <c:v>34</c:v>
                </c:pt>
                <c:pt idx="85">
                  <c:v>35</c:v>
                </c:pt>
                <c:pt idx="86">
                  <c:v>36</c:v>
                </c:pt>
                <c:pt idx="87">
                  <c:v>37</c:v>
                </c:pt>
                <c:pt idx="88">
                  <c:v>38</c:v>
                </c:pt>
                <c:pt idx="89">
                  <c:v>39</c:v>
                </c:pt>
                <c:pt idx="90">
                  <c:v>40</c:v>
                </c:pt>
                <c:pt idx="91">
                  <c:v>41</c:v>
                </c:pt>
                <c:pt idx="92">
                  <c:v>42</c:v>
                </c:pt>
                <c:pt idx="93">
                  <c:v>43</c:v>
                </c:pt>
                <c:pt idx="94">
                  <c:v>44</c:v>
                </c:pt>
                <c:pt idx="95">
                  <c:v>45</c:v>
                </c:pt>
                <c:pt idx="96">
                  <c:v>46</c:v>
                </c:pt>
                <c:pt idx="97">
                  <c:v>47</c:v>
                </c:pt>
                <c:pt idx="98">
                  <c:v>48</c:v>
                </c:pt>
                <c:pt idx="99">
                  <c:v>49</c:v>
                </c:pt>
                <c:pt idx="100">
                  <c:v>50</c:v>
                </c:pt>
                <c:pt idx="101">
                  <c:v>51</c:v>
                </c:pt>
                <c:pt idx="102">
                  <c:v>52</c:v>
                </c:pt>
                <c:pt idx="103">
                  <c:v>53</c:v>
                </c:pt>
                <c:pt idx="104">
                  <c:v>54</c:v>
                </c:pt>
                <c:pt idx="105">
                  <c:v>55</c:v>
                </c:pt>
                <c:pt idx="106">
                  <c:v>56</c:v>
                </c:pt>
                <c:pt idx="107">
                  <c:v>57</c:v>
                </c:pt>
                <c:pt idx="108">
                  <c:v>58</c:v>
                </c:pt>
                <c:pt idx="109">
                  <c:v>59</c:v>
                </c:pt>
                <c:pt idx="110">
                  <c:v>60</c:v>
                </c:pt>
                <c:pt idx="111">
                  <c:v>61</c:v>
                </c:pt>
                <c:pt idx="112">
                  <c:v>62</c:v>
                </c:pt>
                <c:pt idx="113">
                  <c:v>63</c:v>
                </c:pt>
                <c:pt idx="114">
                  <c:v>64</c:v>
                </c:pt>
                <c:pt idx="115">
                  <c:v>65</c:v>
                </c:pt>
                <c:pt idx="116">
                  <c:v>66</c:v>
                </c:pt>
                <c:pt idx="117">
                  <c:v>67</c:v>
                </c:pt>
                <c:pt idx="118">
                  <c:v>68</c:v>
                </c:pt>
                <c:pt idx="119">
                  <c:v>69</c:v>
                </c:pt>
                <c:pt idx="120">
                  <c:v>70</c:v>
                </c:pt>
                <c:pt idx="121">
                  <c:v>71</c:v>
                </c:pt>
                <c:pt idx="122">
                  <c:v>72</c:v>
                </c:pt>
                <c:pt idx="123">
                  <c:v>73</c:v>
                </c:pt>
                <c:pt idx="124">
                  <c:v>74</c:v>
                </c:pt>
                <c:pt idx="125">
                  <c:v>75</c:v>
                </c:pt>
                <c:pt idx="126">
                  <c:v>76</c:v>
                </c:pt>
                <c:pt idx="127">
                  <c:v>77</c:v>
                </c:pt>
                <c:pt idx="128">
                  <c:v>78</c:v>
                </c:pt>
                <c:pt idx="129">
                  <c:v>79</c:v>
                </c:pt>
                <c:pt idx="130">
                  <c:v>80</c:v>
                </c:pt>
                <c:pt idx="131">
                  <c:v>81</c:v>
                </c:pt>
                <c:pt idx="132">
                  <c:v>82</c:v>
                </c:pt>
                <c:pt idx="133">
                  <c:v>83</c:v>
                </c:pt>
                <c:pt idx="134">
                  <c:v>84</c:v>
                </c:pt>
                <c:pt idx="135">
                  <c:v>85</c:v>
                </c:pt>
                <c:pt idx="136">
                  <c:v>86</c:v>
                </c:pt>
                <c:pt idx="137">
                  <c:v>87</c:v>
                </c:pt>
                <c:pt idx="138">
                  <c:v>88</c:v>
                </c:pt>
                <c:pt idx="139">
                  <c:v>89</c:v>
                </c:pt>
                <c:pt idx="140">
                  <c:v>90</c:v>
                </c:pt>
                <c:pt idx="141">
                  <c:v>91</c:v>
                </c:pt>
                <c:pt idx="142">
                  <c:v>92</c:v>
                </c:pt>
                <c:pt idx="143">
                  <c:v>93</c:v>
                </c:pt>
                <c:pt idx="144">
                  <c:v>94</c:v>
                </c:pt>
                <c:pt idx="145">
                  <c:v>95</c:v>
                </c:pt>
                <c:pt idx="146">
                  <c:v>96</c:v>
                </c:pt>
                <c:pt idx="147">
                  <c:v>97</c:v>
                </c:pt>
                <c:pt idx="148">
                  <c:v>98</c:v>
                </c:pt>
                <c:pt idx="149">
                  <c:v>99</c:v>
                </c:pt>
                <c:pt idx="150">
                  <c:v>100</c:v>
                </c:pt>
                <c:pt idx="151">
                  <c:v>101</c:v>
                </c:pt>
                <c:pt idx="152">
                  <c:v>102</c:v>
                </c:pt>
                <c:pt idx="153">
                  <c:v>103</c:v>
                </c:pt>
                <c:pt idx="154">
                  <c:v>104</c:v>
                </c:pt>
                <c:pt idx="155">
                  <c:v>105</c:v>
                </c:pt>
                <c:pt idx="156">
                  <c:v>106</c:v>
                </c:pt>
              </c:numCache>
            </c:numRef>
          </c:xVal>
          <c:yVal>
            <c:numRef>
              <c:f>'transversal subsidence-gauss'!$L$10:$L$166</c:f>
              <c:numCache>
                <c:formatCode>0.00000</c:formatCode>
                <c:ptCount val="157"/>
                <c:pt idx="0">
                  <c:v>3.185429705558774E-12</c:v>
                </c:pt>
                <c:pt idx="1">
                  <c:v>9.4404811525977155E-12</c:v>
                </c:pt>
                <c:pt idx="2">
                  <c:v>2.7370856821612073E-11</c:v>
                </c:pt>
                <c:pt idx="3">
                  <c:v>7.7633794862141246E-11</c:v>
                </c:pt>
                <c:pt idx="4">
                  <c:v>2.154177066404679E-10</c:v>
                </c:pt>
                <c:pt idx="5">
                  <c:v>5.8476334256692367E-10</c:v>
                </c:pt>
                <c:pt idx="6">
                  <c:v>1.5529126985413634E-9</c:v>
                </c:pt>
                <c:pt idx="7">
                  <c:v>4.0344292348816814E-9</c:v>
                </c:pt>
                <c:pt idx="8">
                  <c:v>1.0253811341284478E-8</c:v>
                </c:pt>
                <c:pt idx="9">
                  <c:v>2.5495098992823883E-8</c:v>
                </c:pt>
                <c:pt idx="10">
                  <c:v>6.2014927749717004E-8</c:v>
                </c:pt>
                <c:pt idx="11">
                  <c:v>1.4757199247926277E-7</c:v>
                </c:pt>
                <c:pt idx="12">
                  <c:v>3.4354196828064235E-7</c:v>
                </c:pt>
                <c:pt idx="13">
                  <c:v>7.823909487554923E-7</c:v>
                </c:pt>
                <c:pt idx="14">
                  <c:v>1.74315495655409E-6</c:v>
                </c:pt>
                <c:pt idx="15">
                  <c:v>3.7994114938062831E-6</c:v>
                </c:pt>
                <c:pt idx="16">
                  <c:v>8.101488666490452E-6</c:v>
                </c:pt>
                <c:pt idx="17">
                  <c:v>1.6899796882487886E-5</c:v>
                </c:pt>
                <c:pt idx="18">
                  <c:v>3.4487864259477438E-5</c:v>
                </c:pt>
                <c:pt idx="19">
                  <c:v>6.8852430522042994E-5</c:v>
                </c:pt>
                <c:pt idx="20">
                  <c:v>1.3447464619457142E-4</c:v>
                </c:pt>
                <c:pt idx="21">
                  <c:v>2.5693880770651459E-4</c:v>
                </c:pt>
                <c:pt idx="22">
                  <c:v>4.8027187870904465E-4</c:v>
                </c:pt>
                <c:pt idx="23">
                  <c:v>8.7823910614371454E-4</c:v>
                </c:pt>
                <c:pt idx="24">
                  <c:v>1.5711098237402173E-3</c:v>
                </c:pt>
                <c:pt idx="25">
                  <c:v>2.7495933984103289E-3</c:v>
                </c:pt>
                <c:pt idx="26">
                  <c:v>4.7075893123253738E-3</c:v>
                </c:pt>
                <c:pt idx="27">
                  <c:v>7.884911432985137E-3</c:v>
                </c:pt>
                <c:pt idx="28">
                  <c:v>1.2920021319949369E-2</c:v>
                </c:pt>
                <c:pt idx="29">
                  <c:v>2.0710844152466608E-2</c:v>
                </c:pt>
                <c:pt idx="30">
                  <c:v>3.2478841549970161E-2</c:v>
                </c:pt>
                <c:pt idx="31">
                  <c:v>4.9827766415018231E-2</c:v>
                </c:pt>
                <c:pt idx="32">
                  <c:v>7.4784306175714105E-2</c:v>
                </c:pt>
                <c:pt idx="33">
                  <c:v>0.10980387764468608</c:v>
                </c:pt>
                <c:pt idx="34">
                  <c:v>0.15772227949052373</c:v>
                </c:pt>
                <c:pt idx="35">
                  <c:v>0.22163409593685704</c:v>
                </c:pt>
                <c:pt idx="36">
                  <c:v>0.30468302553613463</c:v>
                </c:pt>
                <c:pt idx="37">
                  <c:v>0.40975862710533312</c:v>
                </c:pt>
                <c:pt idx="38">
                  <c:v>0.53910841649474406</c:v>
                </c:pt>
                <c:pt idx="39">
                  <c:v>0.69389263446314897</c:v>
                </c:pt>
                <c:pt idx="40">
                  <c:v>0.87372870216931453</c:v>
                </c:pt>
                <c:pt idx="41">
                  <c:v>1.0762894597148773</c:v>
                </c:pt>
                <c:pt idx="42">
                  <c:v>1.2970291337097046</c:v>
                </c:pt>
                <c:pt idx="43">
                  <c:v>1.5291093182570585</c:v>
                </c:pt>
                <c:pt idx="44">
                  <c:v>1.7635813520721411</c:v>
                </c:pt>
                <c:pt idx="45">
                  <c:v>1.9898512885235582</c:v>
                </c:pt>
                <c:pt idx="46">
                  <c:v>2.1964124804965439</c:v>
                </c:pt>
                <c:pt idx="47">
                  <c:v>2.3717851440593103</c:v>
                </c:pt>
                <c:pt idx="48">
                  <c:v>2.5055607992967666</c:v>
                </c:pt>
                <c:pt idx="49">
                  <c:v>2.5894212422641401</c:v>
                </c:pt>
                <c:pt idx="50">
                  <c:v>2.617993877991494</c:v>
                </c:pt>
                <c:pt idx="51">
                  <c:v>2.5894212422641401</c:v>
                </c:pt>
                <c:pt idx="52">
                  <c:v>2.5055607992967666</c:v>
                </c:pt>
                <c:pt idx="53">
                  <c:v>2.3717851440593103</c:v>
                </c:pt>
                <c:pt idx="54">
                  <c:v>2.1964124804965439</c:v>
                </c:pt>
                <c:pt idx="55">
                  <c:v>1.9898512885235582</c:v>
                </c:pt>
                <c:pt idx="56">
                  <c:v>1.7635813520721411</c:v>
                </c:pt>
                <c:pt idx="57">
                  <c:v>1.5291093182570585</c:v>
                </c:pt>
                <c:pt idx="58">
                  <c:v>1.2970291337097046</c:v>
                </c:pt>
                <c:pt idx="59">
                  <c:v>1.0762894597148773</c:v>
                </c:pt>
                <c:pt idx="60">
                  <c:v>0.87372870216931453</c:v>
                </c:pt>
                <c:pt idx="61">
                  <c:v>0.69389263446314897</c:v>
                </c:pt>
                <c:pt idx="62">
                  <c:v>0.53910841649474406</c:v>
                </c:pt>
                <c:pt idx="63">
                  <c:v>0.40975862710533312</c:v>
                </c:pt>
                <c:pt idx="64">
                  <c:v>0.30468302553613463</c:v>
                </c:pt>
                <c:pt idx="65">
                  <c:v>0.22163409593685704</c:v>
                </c:pt>
                <c:pt idx="66">
                  <c:v>0.15772227949052373</c:v>
                </c:pt>
                <c:pt idx="67">
                  <c:v>0.10980387764468608</c:v>
                </c:pt>
                <c:pt idx="68">
                  <c:v>7.4784306175714105E-2</c:v>
                </c:pt>
                <c:pt idx="69">
                  <c:v>4.9827766415018231E-2</c:v>
                </c:pt>
                <c:pt idx="70">
                  <c:v>3.2478841549970161E-2</c:v>
                </c:pt>
                <c:pt idx="71">
                  <c:v>2.0710844152466608E-2</c:v>
                </c:pt>
                <c:pt idx="72">
                  <c:v>1.2920021319949369E-2</c:v>
                </c:pt>
                <c:pt idx="73">
                  <c:v>7.884911432985137E-3</c:v>
                </c:pt>
                <c:pt idx="74">
                  <c:v>4.7075893123253738E-3</c:v>
                </c:pt>
                <c:pt idx="75">
                  <c:v>2.7495933984103289E-3</c:v>
                </c:pt>
                <c:pt idx="76">
                  <c:v>1.5711098237402173E-3</c:v>
                </c:pt>
                <c:pt idx="77">
                  <c:v>8.7823910614371454E-4</c:v>
                </c:pt>
                <c:pt idx="78">
                  <c:v>4.8027187870904465E-4</c:v>
                </c:pt>
                <c:pt idx="79">
                  <c:v>2.5693880770651459E-4</c:v>
                </c:pt>
                <c:pt idx="80">
                  <c:v>1.3447464619457142E-4</c:v>
                </c:pt>
                <c:pt idx="81">
                  <c:v>6.8852430522042994E-5</c:v>
                </c:pt>
                <c:pt idx="82">
                  <c:v>3.4487864259477438E-5</c:v>
                </c:pt>
                <c:pt idx="83">
                  <c:v>1.6899796882487886E-5</c:v>
                </c:pt>
                <c:pt idx="84">
                  <c:v>8.101488666490452E-6</c:v>
                </c:pt>
                <c:pt idx="85">
                  <c:v>3.7994114938062831E-6</c:v>
                </c:pt>
                <c:pt idx="86">
                  <c:v>1.74315495655409E-6</c:v>
                </c:pt>
                <c:pt idx="87">
                  <c:v>7.823909487554923E-7</c:v>
                </c:pt>
                <c:pt idx="88">
                  <c:v>3.4354196828064235E-7</c:v>
                </c:pt>
                <c:pt idx="89">
                  <c:v>1.4757199247926277E-7</c:v>
                </c:pt>
                <c:pt idx="90">
                  <c:v>6.2014927749717004E-8</c:v>
                </c:pt>
                <c:pt idx="91">
                  <c:v>2.5495098992823883E-8</c:v>
                </c:pt>
                <c:pt idx="92">
                  <c:v>1.0253811341284478E-8</c:v>
                </c:pt>
                <c:pt idx="93">
                  <c:v>4.0344292348816814E-9</c:v>
                </c:pt>
                <c:pt idx="94">
                  <c:v>1.5529126985413634E-9</c:v>
                </c:pt>
                <c:pt idx="95">
                  <c:v>5.8476334256692367E-10</c:v>
                </c:pt>
                <c:pt idx="96">
                  <c:v>2.154177066404679E-10</c:v>
                </c:pt>
                <c:pt idx="97">
                  <c:v>7.7633794862141246E-11</c:v>
                </c:pt>
                <c:pt idx="98">
                  <c:v>2.7370856821612073E-11</c:v>
                </c:pt>
                <c:pt idx="99">
                  <c:v>9.4404811525977155E-12</c:v>
                </c:pt>
                <c:pt idx="100">
                  <c:v>3.185429705558774E-12</c:v>
                </c:pt>
                <c:pt idx="101">
                  <c:v>1.0515019476743999E-12</c:v>
                </c:pt>
                <c:pt idx="102">
                  <c:v>3.3956294904634098E-13</c:v>
                </c:pt>
                <c:pt idx="103">
                  <c:v>1.0727503662088742E-13</c:v>
                </c:pt>
                <c:pt idx="104">
                  <c:v>3.3154707877399341E-14</c:v>
                </c:pt>
                <c:pt idx="105">
                  <c:v>1.0024434893529742E-14</c:v>
                </c:pt>
                <c:pt idx="106">
                  <c:v>2.9651232681280518E-15</c:v>
                </c:pt>
                <c:pt idx="107">
                  <c:v>8.58012797856978E-16</c:v>
                </c:pt>
                <c:pt idx="108">
                  <c:v>2.4289184739302578E-16</c:v>
                </c:pt>
                <c:pt idx="109">
                  <c:v>6.7266722852812917E-17</c:v>
                </c:pt>
                <c:pt idx="110">
                  <c:v>1.8224505845800306E-17</c:v>
                </c:pt>
                <c:pt idx="111">
                  <c:v>4.8303590315624351E-18</c:v>
                </c:pt>
                <c:pt idx="112">
                  <c:v>1.2524812200288966E-18</c:v>
                </c:pt>
                <c:pt idx="113">
                  <c:v>3.1771022537062355E-19</c:v>
                </c:pt>
                <c:pt idx="114">
                  <c:v>7.8842306719307962E-20</c:v>
                </c:pt>
                <c:pt idx="115">
                  <c:v>1.9140602804368255E-20</c:v>
                </c:pt>
                <c:pt idx="116">
                  <c:v>4.5459019015496739E-21</c:v>
                </c:pt>
                <c:pt idx="117">
                  <c:v>1.0562158189900847E-21</c:v>
                </c:pt>
                <c:pt idx="118">
                  <c:v>2.4007859189044855E-22</c:v>
                </c:pt>
                <c:pt idx="119">
                  <c:v>5.3385382933866363E-23</c:v>
                </c:pt>
                <c:pt idx="120">
                  <c:v>1.1613401715959513E-23</c:v>
                </c:pt>
                <c:pt idx="121">
                  <c:v>2.4715232197012075E-24</c:v>
                </c:pt>
                <c:pt idx="122">
                  <c:v>5.1456246189518103E-25</c:v>
                </c:pt>
                <c:pt idx="123">
                  <c:v>1.0480443613522691E-25</c:v>
                </c:pt>
                <c:pt idx="124">
                  <c:v>2.0882831796281908E-26</c:v>
                </c:pt>
                <c:pt idx="125">
                  <c:v>4.0706829166447933E-27</c:v>
                </c:pt>
                <c:pt idx="126">
                  <c:v>7.7627092178858976E-28</c:v>
                </c:pt>
                <c:pt idx="127">
                  <c:v>1.4481965933009643E-28</c:v>
                </c:pt>
                <c:pt idx="128">
                  <c:v>2.6430774185556292E-29</c:v>
                </c:pt>
                <c:pt idx="129">
                  <c:v>4.7191133238451258E-30</c:v>
                </c:pt>
                <c:pt idx="130">
                  <c:v>8.2428821046570737E-31</c:v>
                </c:pt>
                <c:pt idx="131">
                  <c:v>1.4085294429389906E-31</c:v>
                </c:pt>
                <c:pt idx="132">
                  <c:v>2.3546205522753748E-32</c:v>
                </c:pt>
                <c:pt idx="133">
                  <c:v>3.8507390645844998E-33</c:v>
                </c:pt>
                <c:pt idx="134">
                  <c:v>6.1607758877725696E-34</c:v>
                </c:pt>
                <c:pt idx="135">
                  <c:v>9.642616397613834E-35</c:v>
                </c:pt>
                <c:pt idx="136">
                  <c:v>1.4764628668754608E-35</c:v>
                </c:pt>
                <c:pt idx="137">
                  <c:v>2.2116598164009273E-36</c:v>
                </c:pt>
                <c:pt idx="138">
                  <c:v>3.2410242853512325E-37</c:v>
                </c:pt>
                <c:pt idx="139">
                  <c:v>4.6463765487837392E-38</c:v>
                </c:pt>
                <c:pt idx="140">
                  <c:v>6.5165042027900359E-39</c:v>
                </c:pt>
                <c:pt idx="141">
                  <c:v>8.9409386765738651E-40</c:v>
                </c:pt>
                <c:pt idx="142">
                  <c:v>1.2001062906083287E-40</c:v>
                </c:pt>
                <c:pt idx="143">
                  <c:v>1.5758848040664521E-41</c:v>
                </c:pt>
                <c:pt idx="144">
                  <c:v>2.0244049137504023E-42</c:v>
                </c:pt>
                <c:pt idx="145">
                  <c:v>2.5441250688096799E-43</c:v>
                </c:pt>
                <c:pt idx="146">
                  <c:v>3.1278627744426649E-44</c:v>
                </c:pt>
                <c:pt idx="147">
                  <c:v>3.7620545196727675E-45</c:v>
                </c:pt>
                <c:pt idx="148">
                  <c:v>4.4266036540409894E-46</c:v>
                </c:pt>
                <c:pt idx="149">
                  <c:v>5.0954711948806826E-47</c:v>
                </c:pt>
                <c:pt idx="150">
                  <c:v>5.7380750339193376E-48</c:v>
                </c:pt>
                <c:pt idx="151">
                  <c:v>6.3214434133028896E-49</c:v>
                </c:pt>
                <c:pt idx="152">
                  <c:v>6.8129381436459894E-50</c:v>
                </c:pt>
                <c:pt idx="153">
                  <c:v>7.1832469415219885E-51</c:v>
                </c:pt>
                <c:pt idx="154">
                  <c:v>7.4092680505772155E-52</c:v>
                </c:pt>
                <c:pt idx="155">
                  <c:v>7.4764937848662378E-53</c:v>
                </c:pt>
                <c:pt idx="156">
                  <c:v>7.3805513454335198E-54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8F-4A5E-A87F-18DEAF04C6D3}"/>
            </c:ext>
          </c:extLst>
        </c:ser>
        <c:ser>
          <c:idx val="2"/>
          <c:order val="2"/>
          <c:tx>
            <c:strRef>
              <c:f>'transversal subsidence-gauss'!$O$4</c:f>
              <c:strCache>
                <c:ptCount val="1"/>
                <c:pt idx="0">
                  <c:v>Total horizontal deformation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'transversal subsidence-gauss'!$G$10:$G$166</c:f>
              <c:numCache>
                <c:formatCode>General</c:formatCode>
                <c:ptCount val="157"/>
                <c:pt idx="0">
                  <c:v>-60</c:v>
                </c:pt>
                <c:pt idx="1">
                  <c:v>-59</c:v>
                </c:pt>
                <c:pt idx="2">
                  <c:v>-58</c:v>
                </c:pt>
                <c:pt idx="3">
                  <c:v>-57</c:v>
                </c:pt>
                <c:pt idx="4">
                  <c:v>-56</c:v>
                </c:pt>
                <c:pt idx="5">
                  <c:v>-55</c:v>
                </c:pt>
                <c:pt idx="6">
                  <c:v>-54</c:v>
                </c:pt>
                <c:pt idx="7">
                  <c:v>-53</c:v>
                </c:pt>
                <c:pt idx="8">
                  <c:v>-52</c:v>
                </c:pt>
                <c:pt idx="9">
                  <c:v>-51</c:v>
                </c:pt>
                <c:pt idx="10">
                  <c:v>-50</c:v>
                </c:pt>
                <c:pt idx="11">
                  <c:v>-49</c:v>
                </c:pt>
                <c:pt idx="12">
                  <c:v>-48</c:v>
                </c:pt>
                <c:pt idx="13">
                  <c:v>-47</c:v>
                </c:pt>
                <c:pt idx="14">
                  <c:v>-46</c:v>
                </c:pt>
                <c:pt idx="15">
                  <c:v>-45</c:v>
                </c:pt>
                <c:pt idx="16">
                  <c:v>-44</c:v>
                </c:pt>
                <c:pt idx="17">
                  <c:v>-43</c:v>
                </c:pt>
                <c:pt idx="18">
                  <c:v>-42</c:v>
                </c:pt>
                <c:pt idx="19">
                  <c:v>-41</c:v>
                </c:pt>
                <c:pt idx="20">
                  <c:v>-40</c:v>
                </c:pt>
                <c:pt idx="21">
                  <c:v>-39</c:v>
                </c:pt>
                <c:pt idx="22">
                  <c:v>-38</c:v>
                </c:pt>
                <c:pt idx="23">
                  <c:v>-37</c:v>
                </c:pt>
                <c:pt idx="24">
                  <c:v>-36</c:v>
                </c:pt>
                <c:pt idx="25">
                  <c:v>-35</c:v>
                </c:pt>
                <c:pt idx="26">
                  <c:v>-34</c:v>
                </c:pt>
                <c:pt idx="27">
                  <c:v>-33</c:v>
                </c:pt>
                <c:pt idx="28">
                  <c:v>-32</c:v>
                </c:pt>
                <c:pt idx="29">
                  <c:v>-31</c:v>
                </c:pt>
                <c:pt idx="30">
                  <c:v>-30</c:v>
                </c:pt>
                <c:pt idx="31">
                  <c:v>-29</c:v>
                </c:pt>
                <c:pt idx="32">
                  <c:v>-28</c:v>
                </c:pt>
                <c:pt idx="33">
                  <c:v>-27</c:v>
                </c:pt>
                <c:pt idx="34">
                  <c:v>-26</c:v>
                </c:pt>
                <c:pt idx="35">
                  <c:v>-25</c:v>
                </c:pt>
                <c:pt idx="36">
                  <c:v>-24</c:v>
                </c:pt>
                <c:pt idx="37">
                  <c:v>-23</c:v>
                </c:pt>
                <c:pt idx="38">
                  <c:v>-22</c:v>
                </c:pt>
                <c:pt idx="39">
                  <c:v>-21</c:v>
                </c:pt>
                <c:pt idx="40">
                  <c:v>-20</c:v>
                </c:pt>
                <c:pt idx="41">
                  <c:v>-19</c:v>
                </c:pt>
                <c:pt idx="42">
                  <c:v>-18</c:v>
                </c:pt>
                <c:pt idx="43">
                  <c:v>-17</c:v>
                </c:pt>
                <c:pt idx="44">
                  <c:v>-16</c:v>
                </c:pt>
                <c:pt idx="45">
                  <c:v>-15</c:v>
                </c:pt>
                <c:pt idx="46">
                  <c:v>-14</c:v>
                </c:pt>
                <c:pt idx="47">
                  <c:v>-13</c:v>
                </c:pt>
                <c:pt idx="48">
                  <c:v>-12</c:v>
                </c:pt>
                <c:pt idx="49">
                  <c:v>-11</c:v>
                </c:pt>
                <c:pt idx="50">
                  <c:v>-10</c:v>
                </c:pt>
                <c:pt idx="51">
                  <c:v>-9</c:v>
                </c:pt>
                <c:pt idx="52">
                  <c:v>-8</c:v>
                </c:pt>
                <c:pt idx="53">
                  <c:v>-7</c:v>
                </c:pt>
                <c:pt idx="54">
                  <c:v>-6</c:v>
                </c:pt>
                <c:pt idx="55">
                  <c:v>-5</c:v>
                </c:pt>
                <c:pt idx="56">
                  <c:v>-4</c:v>
                </c:pt>
                <c:pt idx="57">
                  <c:v>-3</c:v>
                </c:pt>
                <c:pt idx="58">
                  <c:v>-2</c:v>
                </c:pt>
                <c:pt idx="59">
                  <c:v>-1</c:v>
                </c:pt>
                <c:pt idx="60">
                  <c:v>0</c:v>
                </c:pt>
                <c:pt idx="61">
                  <c:v>1</c:v>
                </c:pt>
                <c:pt idx="62">
                  <c:v>2</c:v>
                </c:pt>
                <c:pt idx="63">
                  <c:v>3</c:v>
                </c:pt>
                <c:pt idx="64">
                  <c:v>4</c:v>
                </c:pt>
                <c:pt idx="65">
                  <c:v>5</c:v>
                </c:pt>
                <c:pt idx="66">
                  <c:v>6</c:v>
                </c:pt>
                <c:pt idx="67">
                  <c:v>7</c:v>
                </c:pt>
                <c:pt idx="68">
                  <c:v>8</c:v>
                </c:pt>
                <c:pt idx="69">
                  <c:v>9</c:v>
                </c:pt>
                <c:pt idx="70">
                  <c:v>10</c:v>
                </c:pt>
                <c:pt idx="71">
                  <c:v>11</c:v>
                </c:pt>
                <c:pt idx="72">
                  <c:v>12</c:v>
                </c:pt>
                <c:pt idx="73">
                  <c:v>13</c:v>
                </c:pt>
                <c:pt idx="74">
                  <c:v>14</c:v>
                </c:pt>
                <c:pt idx="75">
                  <c:v>15</c:v>
                </c:pt>
                <c:pt idx="76">
                  <c:v>16</c:v>
                </c:pt>
                <c:pt idx="77">
                  <c:v>17</c:v>
                </c:pt>
                <c:pt idx="78">
                  <c:v>18</c:v>
                </c:pt>
                <c:pt idx="79">
                  <c:v>19</c:v>
                </c:pt>
                <c:pt idx="80">
                  <c:v>20</c:v>
                </c:pt>
                <c:pt idx="81">
                  <c:v>21</c:v>
                </c:pt>
                <c:pt idx="82">
                  <c:v>22</c:v>
                </c:pt>
                <c:pt idx="83">
                  <c:v>23</c:v>
                </c:pt>
                <c:pt idx="84">
                  <c:v>24</c:v>
                </c:pt>
                <c:pt idx="85">
                  <c:v>25</c:v>
                </c:pt>
                <c:pt idx="86">
                  <c:v>26</c:v>
                </c:pt>
                <c:pt idx="87">
                  <c:v>27</c:v>
                </c:pt>
                <c:pt idx="88">
                  <c:v>28</c:v>
                </c:pt>
                <c:pt idx="89">
                  <c:v>29</c:v>
                </c:pt>
                <c:pt idx="90">
                  <c:v>30</c:v>
                </c:pt>
                <c:pt idx="91">
                  <c:v>31</c:v>
                </c:pt>
                <c:pt idx="92">
                  <c:v>32</c:v>
                </c:pt>
                <c:pt idx="93">
                  <c:v>33</c:v>
                </c:pt>
                <c:pt idx="94">
                  <c:v>34</c:v>
                </c:pt>
                <c:pt idx="95">
                  <c:v>35</c:v>
                </c:pt>
                <c:pt idx="96">
                  <c:v>36</c:v>
                </c:pt>
                <c:pt idx="97">
                  <c:v>37</c:v>
                </c:pt>
                <c:pt idx="98">
                  <c:v>38</c:v>
                </c:pt>
                <c:pt idx="99">
                  <c:v>39</c:v>
                </c:pt>
                <c:pt idx="100">
                  <c:v>40</c:v>
                </c:pt>
                <c:pt idx="101">
                  <c:v>41</c:v>
                </c:pt>
                <c:pt idx="102">
                  <c:v>42</c:v>
                </c:pt>
                <c:pt idx="103">
                  <c:v>43</c:v>
                </c:pt>
                <c:pt idx="104">
                  <c:v>44</c:v>
                </c:pt>
                <c:pt idx="105">
                  <c:v>45</c:v>
                </c:pt>
                <c:pt idx="106">
                  <c:v>46</c:v>
                </c:pt>
                <c:pt idx="107">
                  <c:v>47</c:v>
                </c:pt>
                <c:pt idx="108">
                  <c:v>48</c:v>
                </c:pt>
                <c:pt idx="109">
                  <c:v>49</c:v>
                </c:pt>
                <c:pt idx="110">
                  <c:v>50</c:v>
                </c:pt>
                <c:pt idx="111">
                  <c:v>51</c:v>
                </c:pt>
                <c:pt idx="112">
                  <c:v>52</c:v>
                </c:pt>
                <c:pt idx="113">
                  <c:v>53</c:v>
                </c:pt>
                <c:pt idx="114">
                  <c:v>54</c:v>
                </c:pt>
                <c:pt idx="115">
                  <c:v>55</c:v>
                </c:pt>
                <c:pt idx="116">
                  <c:v>56</c:v>
                </c:pt>
                <c:pt idx="117">
                  <c:v>57</c:v>
                </c:pt>
                <c:pt idx="118">
                  <c:v>58</c:v>
                </c:pt>
                <c:pt idx="119">
                  <c:v>59</c:v>
                </c:pt>
                <c:pt idx="120">
                  <c:v>60</c:v>
                </c:pt>
                <c:pt idx="121">
                  <c:v>61</c:v>
                </c:pt>
                <c:pt idx="122">
                  <c:v>62</c:v>
                </c:pt>
                <c:pt idx="123">
                  <c:v>63</c:v>
                </c:pt>
                <c:pt idx="124">
                  <c:v>64</c:v>
                </c:pt>
                <c:pt idx="125">
                  <c:v>65</c:v>
                </c:pt>
                <c:pt idx="126">
                  <c:v>66</c:v>
                </c:pt>
                <c:pt idx="127">
                  <c:v>67</c:v>
                </c:pt>
                <c:pt idx="128">
                  <c:v>68</c:v>
                </c:pt>
                <c:pt idx="129">
                  <c:v>69</c:v>
                </c:pt>
                <c:pt idx="130">
                  <c:v>70</c:v>
                </c:pt>
                <c:pt idx="131">
                  <c:v>71</c:v>
                </c:pt>
                <c:pt idx="132">
                  <c:v>72</c:v>
                </c:pt>
                <c:pt idx="133">
                  <c:v>73</c:v>
                </c:pt>
                <c:pt idx="134">
                  <c:v>74</c:v>
                </c:pt>
                <c:pt idx="135">
                  <c:v>75</c:v>
                </c:pt>
                <c:pt idx="136">
                  <c:v>76</c:v>
                </c:pt>
                <c:pt idx="137">
                  <c:v>77</c:v>
                </c:pt>
                <c:pt idx="138">
                  <c:v>78</c:v>
                </c:pt>
                <c:pt idx="139">
                  <c:v>79</c:v>
                </c:pt>
                <c:pt idx="140">
                  <c:v>80</c:v>
                </c:pt>
                <c:pt idx="141">
                  <c:v>81</c:v>
                </c:pt>
                <c:pt idx="142">
                  <c:v>82</c:v>
                </c:pt>
                <c:pt idx="143">
                  <c:v>83</c:v>
                </c:pt>
                <c:pt idx="144">
                  <c:v>84</c:v>
                </c:pt>
                <c:pt idx="145">
                  <c:v>85</c:v>
                </c:pt>
                <c:pt idx="146">
                  <c:v>86</c:v>
                </c:pt>
                <c:pt idx="147">
                  <c:v>87</c:v>
                </c:pt>
                <c:pt idx="148">
                  <c:v>88</c:v>
                </c:pt>
                <c:pt idx="149">
                  <c:v>89</c:v>
                </c:pt>
                <c:pt idx="150">
                  <c:v>90</c:v>
                </c:pt>
                <c:pt idx="151">
                  <c:v>91</c:v>
                </c:pt>
                <c:pt idx="152">
                  <c:v>92</c:v>
                </c:pt>
                <c:pt idx="153">
                  <c:v>93</c:v>
                </c:pt>
                <c:pt idx="154">
                  <c:v>94</c:v>
                </c:pt>
                <c:pt idx="155">
                  <c:v>95</c:v>
                </c:pt>
                <c:pt idx="156">
                  <c:v>96</c:v>
                </c:pt>
              </c:numCache>
            </c:numRef>
          </c:xVal>
          <c:yVal>
            <c:numRef>
              <c:f>'transversal subsidence-gauss'!$M$10:$M$166</c:f>
              <c:numCache>
                <c:formatCode>0.00000</c:formatCode>
                <c:ptCount val="157"/>
                <c:pt idx="0">
                  <c:v>3.1854479300646196E-12</c:v>
                </c:pt>
                <c:pt idx="1">
                  <c:v>9.4405484193205691E-12</c:v>
                </c:pt>
                <c:pt idx="2">
                  <c:v>2.7371099713459466E-11</c:v>
                </c:pt>
                <c:pt idx="3">
                  <c:v>7.7634652874939105E-11</c:v>
                </c:pt>
                <c:pt idx="4">
                  <c:v>2.1542067176373604E-10</c:v>
                </c:pt>
                <c:pt idx="5">
                  <c:v>5.8477336700181724E-10</c:v>
                </c:pt>
                <c:pt idx="6">
                  <c:v>1.5529458532492407E-9</c:v>
                </c:pt>
                <c:pt idx="7">
                  <c:v>4.0345365099183022E-9</c:v>
                </c:pt>
                <c:pt idx="8">
                  <c:v>1.0254150904233524E-8</c:v>
                </c:pt>
                <c:pt idx="9">
                  <c:v>2.5496150494771559E-8</c:v>
                </c:pt>
                <c:pt idx="10">
                  <c:v>6.2018113179422562E-8</c:v>
                </c:pt>
                <c:pt idx="11">
                  <c:v>1.4758143296041538E-7</c:v>
                </c:pt>
                <c:pt idx="12">
                  <c:v>3.4356933913746395E-7</c:v>
                </c:pt>
                <c:pt idx="13">
                  <c:v>7.8246858255035445E-7</c:v>
                </c:pt>
                <c:pt idx="14">
                  <c:v>1.7433703742607305E-6</c:v>
                </c:pt>
                <c:pt idx="15">
                  <c:v>3.7999962571488499E-6</c:v>
                </c:pt>
                <c:pt idx="16">
                  <c:v>8.1030415791889937E-6</c:v>
                </c:pt>
                <c:pt idx="17">
                  <c:v>1.6903831311722769E-5</c:v>
                </c:pt>
                <c:pt idx="18">
                  <c:v>3.4498118070818721E-5</c:v>
                </c:pt>
                <c:pt idx="19">
                  <c:v>6.8877925621035817E-5</c:v>
                </c:pt>
                <c:pt idx="20">
                  <c:v>1.3453666112232113E-4</c:v>
                </c:pt>
                <c:pt idx="21">
                  <c:v>2.5708637969899383E-4</c:v>
                </c:pt>
                <c:pt idx="22">
                  <c:v>4.8061542067732527E-4</c:v>
                </c:pt>
                <c:pt idx="23">
                  <c:v>8.7902149709247006E-4</c:v>
                </c:pt>
                <c:pt idx="24">
                  <c:v>1.5728529786967714E-3</c:v>
                </c:pt>
                <c:pt idx="25">
                  <c:v>2.753392809904135E-3</c:v>
                </c:pt>
                <c:pt idx="26">
                  <c:v>4.7156908009918638E-3</c:v>
                </c:pt>
                <c:pt idx="27">
                  <c:v>7.9018112298676248E-3</c:v>
                </c:pt>
                <c:pt idx="28">
                  <c:v>1.2954509184208847E-2</c:v>
                </c:pt>
                <c:pt idx="29">
                  <c:v>2.0779696582988651E-2</c:v>
                </c:pt>
                <c:pt idx="30">
                  <c:v>3.2613316196164734E-2</c:v>
                </c:pt>
                <c:pt idx="31">
                  <c:v>5.0084705222724749E-2</c:v>
                </c:pt>
                <c:pt idx="32">
                  <c:v>7.5264578054423145E-2</c:v>
                </c:pt>
                <c:pt idx="33">
                  <c:v>0.11068211675082978</c:v>
                </c:pt>
                <c:pt idx="34">
                  <c:v>0.15929338931426396</c:v>
                </c:pt>
                <c:pt idx="35">
                  <c:v>0.22438368933526737</c:v>
                </c:pt>
                <c:pt idx="36">
                  <c:v>0.30939061484846003</c:v>
                </c:pt>
                <c:pt idx="37">
                  <c:v>0.41764353853831826</c:v>
                </c:pt>
                <c:pt idx="38">
                  <c:v>0.55202843781469346</c:v>
                </c:pt>
                <c:pt idx="39">
                  <c:v>0.71460347861561557</c:v>
                </c:pt>
                <c:pt idx="40">
                  <c:v>0.90620754371928469</c:v>
                </c:pt>
                <c:pt idx="41">
                  <c:v>1.1261172261298955</c:v>
                </c:pt>
                <c:pt idx="42">
                  <c:v>1.3718134398854187</c:v>
                </c:pt>
                <c:pt idx="43">
                  <c:v>1.6389131959017447</c:v>
                </c:pt>
                <c:pt idx="44">
                  <c:v>1.9213036315626648</c:v>
                </c:pt>
                <c:pt idx="45">
                  <c:v>2.2114853844604152</c:v>
                </c:pt>
                <c:pt idx="46">
                  <c:v>2.5010955060326787</c:v>
                </c:pt>
                <c:pt idx="47">
                  <c:v>2.7815437711646434</c:v>
                </c:pt>
                <c:pt idx="48">
                  <c:v>3.0446692157915107</c:v>
                </c:pt>
                <c:pt idx="49">
                  <c:v>3.2833138767272891</c:v>
                </c:pt>
                <c:pt idx="50">
                  <c:v>3.4917225801608085</c:v>
                </c:pt>
                <c:pt idx="51">
                  <c:v>3.6657107019790174</c:v>
                </c:pt>
                <c:pt idx="52">
                  <c:v>3.8025899330064714</c:v>
                </c:pt>
                <c:pt idx="53">
                  <c:v>3.9008944623163688</c:v>
                </c:pt>
                <c:pt idx="54">
                  <c:v>3.959993832568685</c:v>
                </c:pt>
                <c:pt idx="55">
                  <c:v>3.9797025770471164</c:v>
                </c:pt>
                <c:pt idx="56">
                  <c:v>3.959993832568685</c:v>
                </c:pt>
                <c:pt idx="57">
                  <c:v>3.9008944623163688</c:v>
                </c:pt>
                <c:pt idx="58">
                  <c:v>3.8025899330064714</c:v>
                </c:pt>
                <c:pt idx="59">
                  <c:v>3.6657107019790174</c:v>
                </c:pt>
                <c:pt idx="60">
                  <c:v>3.4917225801608085</c:v>
                </c:pt>
                <c:pt idx="61">
                  <c:v>3.2833138767272891</c:v>
                </c:pt>
                <c:pt idx="62">
                  <c:v>3.0446692157915107</c:v>
                </c:pt>
                <c:pt idx="63">
                  <c:v>2.7815437711646434</c:v>
                </c:pt>
                <c:pt idx="64">
                  <c:v>2.5010955060326787</c:v>
                </c:pt>
                <c:pt idx="65">
                  <c:v>2.2114853844604152</c:v>
                </c:pt>
                <c:pt idx="66">
                  <c:v>1.9213036315626648</c:v>
                </c:pt>
                <c:pt idx="67">
                  <c:v>1.6389131959017447</c:v>
                </c:pt>
                <c:pt idx="68">
                  <c:v>1.3718134398854187</c:v>
                </c:pt>
                <c:pt idx="69">
                  <c:v>1.1261172261298955</c:v>
                </c:pt>
                <c:pt idx="70">
                  <c:v>0.90620754371928469</c:v>
                </c:pt>
                <c:pt idx="71">
                  <c:v>0.71460347861561557</c:v>
                </c:pt>
                <c:pt idx="72">
                  <c:v>0.55202843781469346</c:v>
                </c:pt>
                <c:pt idx="73">
                  <c:v>0.41764353853831826</c:v>
                </c:pt>
                <c:pt idx="74">
                  <c:v>0.30939061484846003</c:v>
                </c:pt>
                <c:pt idx="75">
                  <c:v>0.22438368933526737</c:v>
                </c:pt>
                <c:pt idx="76">
                  <c:v>0.15929338931426396</c:v>
                </c:pt>
                <c:pt idx="77">
                  <c:v>0.11068211675082978</c:v>
                </c:pt>
                <c:pt idx="78">
                  <c:v>7.5264578054423145E-2</c:v>
                </c:pt>
                <c:pt idx="79">
                  <c:v>5.0084705222724749E-2</c:v>
                </c:pt>
                <c:pt idx="80">
                  <c:v>3.2613316196164734E-2</c:v>
                </c:pt>
                <c:pt idx="81">
                  <c:v>2.0779696582988651E-2</c:v>
                </c:pt>
                <c:pt idx="82">
                  <c:v>1.2954509184208847E-2</c:v>
                </c:pt>
                <c:pt idx="83">
                  <c:v>7.9018112298676248E-3</c:v>
                </c:pt>
                <c:pt idx="84">
                  <c:v>4.7156908009918638E-3</c:v>
                </c:pt>
                <c:pt idx="85">
                  <c:v>2.753392809904135E-3</c:v>
                </c:pt>
                <c:pt idx="86">
                  <c:v>1.5728529786967714E-3</c:v>
                </c:pt>
                <c:pt idx="87">
                  <c:v>8.7902149709247006E-4</c:v>
                </c:pt>
                <c:pt idx="88">
                  <c:v>4.8061542067732527E-4</c:v>
                </c:pt>
                <c:pt idx="89">
                  <c:v>2.5708637969899383E-4</c:v>
                </c:pt>
                <c:pt idx="90">
                  <c:v>1.3453666112232113E-4</c:v>
                </c:pt>
                <c:pt idx="91">
                  <c:v>6.8877925621035817E-5</c:v>
                </c:pt>
                <c:pt idx="92">
                  <c:v>3.4498118070818721E-5</c:v>
                </c:pt>
                <c:pt idx="93">
                  <c:v>1.6903831311722769E-5</c:v>
                </c:pt>
                <c:pt idx="94">
                  <c:v>8.1030415791889937E-6</c:v>
                </c:pt>
                <c:pt idx="95">
                  <c:v>3.7999962571488499E-6</c:v>
                </c:pt>
                <c:pt idx="96">
                  <c:v>1.7433703742607305E-6</c:v>
                </c:pt>
                <c:pt idx="97">
                  <c:v>7.8246858255035445E-7</c:v>
                </c:pt>
                <c:pt idx="98">
                  <c:v>3.4356933913746395E-7</c:v>
                </c:pt>
                <c:pt idx="99">
                  <c:v>1.4758143296041538E-7</c:v>
                </c:pt>
                <c:pt idx="100">
                  <c:v>6.2018113179422562E-8</c:v>
                </c:pt>
                <c:pt idx="101">
                  <c:v>2.5496150494771559E-8</c:v>
                </c:pt>
                <c:pt idx="102">
                  <c:v>1.0254150904233524E-8</c:v>
                </c:pt>
                <c:pt idx="103">
                  <c:v>4.0345365099183022E-9</c:v>
                </c:pt>
                <c:pt idx="104">
                  <c:v>1.5529458532492407E-9</c:v>
                </c:pt>
                <c:pt idx="105">
                  <c:v>5.8477336700181724E-10</c:v>
                </c:pt>
                <c:pt idx="106">
                  <c:v>2.1542067176373604E-10</c:v>
                </c:pt>
                <c:pt idx="107">
                  <c:v>7.7634652874939105E-11</c:v>
                </c:pt>
                <c:pt idx="108">
                  <c:v>2.7371099713459466E-11</c:v>
                </c:pt>
                <c:pt idx="109">
                  <c:v>9.4405484193205691E-12</c:v>
                </c:pt>
                <c:pt idx="110">
                  <c:v>3.1854479300646196E-12</c:v>
                </c:pt>
                <c:pt idx="111">
                  <c:v>1.0515067780334314E-12</c:v>
                </c:pt>
                <c:pt idx="112">
                  <c:v>3.3956420152756103E-13</c:v>
                </c:pt>
                <c:pt idx="113">
                  <c:v>1.0727535433111279E-13</c:v>
                </c:pt>
                <c:pt idx="114">
                  <c:v>3.3154786719706063E-14</c:v>
                </c:pt>
                <c:pt idx="115">
                  <c:v>1.0024454034132546E-14</c:v>
                </c:pt>
                <c:pt idx="116">
                  <c:v>2.9651278140299532E-15</c:v>
                </c:pt>
                <c:pt idx="117">
                  <c:v>8.5801385407279696E-16</c:v>
                </c:pt>
                <c:pt idx="118">
                  <c:v>2.4289208747161768E-16</c:v>
                </c:pt>
                <c:pt idx="119">
                  <c:v>6.726677623819585E-17</c:v>
                </c:pt>
                <c:pt idx="120">
                  <c:v>1.8224517459202022E-17</c:v>
                </c:pt>
                <c:pt idx="121">
                  <c:v>4.8303615030856545E-18</c:v>
                </c:pt>
                <c:pt idx="122">
                  <c:v>1.2524817345913584E-18</c:v>
                </c:pt>
                <c:pt idx="123">
                  <c:v>3.1771033017505968E-19</c:v>
                </c:pt>
                <c:pt idx="124">
                  <c:v>7.8842327602139759E-20</c:v>
                </c:pt>
                <c:pt idx="125">
                  <c:v>1.9140606875051173E-20</c:v>
                </c:pt>
                <c:pt idx="126">
                  <c:v>4.545902677820596E-21</c:v>
                </c:pt>
                <c:pt idx="127">
                  <c:v>1.056215963809744E-21</c:v>
                </c:pt>
                <c:pt idx="128">
                  <c:v>2.4007861832122274E-22</c:v>
                </c:pt>
                <c:pt idx="129">
                  <c:v>5.3385387652979688E-23</c:v>
                </c:pt>
                <c:pt idx="130">
                  <c:v>1.1613402540247724E-23</c:v>
                </c:pt>
                <c:pt idx="131">
                  <c:v>2.4715233605541517E-24</c:v>
                </c:pt>
                <c:pt idx="132">
                  <c:v>5.1456248544138659E-25</c:v>
                </c:pt>
                <c:pt idx="133">
                  <c:v>1.0480443998596597E-25</c:v>
                </c:pt>
                <c:pt idx="134">
                  <c:v>2.0882832412359496E-26</c:v>
                </c:pt>
                <c:pt idx="135">
                  <c:v>4.0706830130709573E-27</c:v>
                </c:pt>
                <c:pt idx="136">
                  <c:v>7.7627093655321843E-28</c:v>
                </c:pt>
                <c:pt idx="137">
                  <c:v>1.4481966154175624E-28</c:v>
                </c:pt>
                <c:pt idx="138">
                  <c:v>2.6430774509658718E-29</c:v>
                </c:pt>
                <c:pt idx="139">
                  <c:v>4.7191133703088912E-30</c:v>
                </c:pt>
                <c:pt idx="140">
                  <c:v>8.2428821698221151E-31</c:v>
                </c:pt>
                <c:pt idx="141">
                  <c:v>1.4085294518799293E-31</c:v>
                </c:pt>
                <c:pt idx="142">
                  <c:v>2.3546205642764378E-32</c:v>
                </c:pt>
                <c:pt idx="143">
                  <c:v>3.8507390803433477E-33</c:v>
                </c:pt>
                <c:pt idx="144">
                  <c:v>6.160775908016619E-34</c:v>
                </c:pt>
                <c:pt idx="145">
                  <c:v>9.6426164230550838E-35</c:v>
                </c:pt>
                <c:pt idx="146">
                  <c:v>1.4764628700033235E-35</c:v>
                </c:pt>
                <c:pt idx="147">
                  <c:v>2.211659820162982E-36</c:v>
                </c:pt>
                <c:pt idx="148">
                  <c:v>3.2410242897778362E-37</c:v>
                </c:pt>
                <c:pt idx="149">
                  <c:v>4.6463765538792106E-38</c:v>
                </c:pt>
                <c:pt idx="150">
                  <c:v>6.5165042085281107E-39</c:v>
                </c:pt>
                <c:pt idx="151">
                  <c:v>8.9409386828953093E-40</c:v>
                </c:pt>
                <c:pt idx="152">
                  <c:v>1.2001062912896225E-40</c:v>
                </c:pt>
                <c:pt idx="153">
                  <c:v>1.5758848047847767E-41</c:v>
                </c:pt>
                <c:pt idx="154">
                  <c:v>2.0244049144913289E-42</c:v>
                </c:pt>
                <c:pt idx="155">
                  <c:v>2.544125069557329E-43</c:v>
                </c:pt>
                <c:pt idx="156">
                  <c:v>3.12786277518072E-44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F8F-4A5E-A87F-18DEAF04C6D3}"/>
            </c:ext>
          </c:extLst>
        </c:ser>
        <c:ser>
          <c:idx val="3"/>
          <c:order val="3"/>
          <c:tx>
            <c:strRef>
              <c:f>'transversal subsidence-gauss'!$M$1</c:f>
              <c:strCache>
                <c:ptCount val="1"/>
                <c:pt idx="0">
                  <c:v>Foundation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'transversal subsidence-gauss'!$M$3:$M$4</c:f>
              <c:numCache>
                <c:formatCode>General</c:formatCode>
                <c:ptCount val="2"/>
                <c:pt idx="0">
                  <c:v>-22.198671000000001</c:v>
                </c:pt>
                <c:pt idx="1">
                  <c:v>-12.488417999999999</c:v>
                </c:pt>
              </c:numCache>
            </c:numRef>
          </c:xVal>
          <c:yVal>
            <c:numRef>
              <c:f>'transversal subsidence-gauss'!$N$3:$N$4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8F-4A5E-A87F-18DEAF04C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669184"/>
        <c:axId val="298671104"/>
      </c:scatterChart>
      <c:valAx>
        <c:axId val="298669184"/>
        <c:scaling>
          <c:orientation val="minMax"/>
          <c:max val="100"/>
        </c:scaling>
        <c:delete val="0"/>
        <c:axPos val="t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y (m)</a:t>
                </a:r>
              </a:p>
            </c:rich>
          </c:tx>
          <c:layout>
            <c:manualLayout>
              <c:xMode val="edge"/>
              <c:yMode val="edge"/>
              <c:x val="0.90289342964360852"/>
              <c:y val="0.556756756756756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8671104"/>
        <c:crosses val="autoZero"/>
        <c:crossBetween val="midCat"/>
        <c:majorUnit val="20"/>
      </c:valAx>
      <c:valAx>
        <c:axId val="298671104"/>
        <c:scaling>
          <c:orientation val="maxMin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Sv(cm)</a:t>
                </a:r>
              </a:p>
            </c:rich>
          </c:tx>
          <c:layout>
            <c:manualLayout>
              <c:xMode val="edge"/>
              <c:yMode val="edge"/>
              <c:x val="2.4793388429752067E-2"/>
              <c:y val="0.481081081081081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8669184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25400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98270881277767"/>
          <c:y val="0.13942307692307693"/>
          <c:w val="0.84436797279686227"/>
          <c:h val="0.79086538461538458"/>
        </c:manualLayout>
      </c:layout>
      <c:scatterChart>
        <c:scatterStyle val="lineMarker"/>
        <c:varyColors val="0"/>
        <c:ser>
          <c:idx val="0"/>
          <c:order val="0"/>
          <c:tx>
            <c:strRef>
              <c:f>'transversal subsidence-gauss'!$A$8</c:f>
              <c:strCache>
                <c:ptCount val="1"/>
                <c:pt idx="0">
                  <c:v>Tunnel A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'transversal subsidence-gauss'!$G$10:$G$166</c:f>
              <c:numCache>
                <c:formatCode>General</c:formatCode>
                <c:ptCount val="157"/>
                <c:pt idx="0">
                  <c:v>-60</c:v>
                </c:pt>
                <c:pt idx="1">
                  <c:v>-59</c:v>
                </c:pt>
                <c:pt idx="2">
                  <c:v>-58</c:v>
                </c:pt>
                <c:pt idx="3">
                  <c:v>-57</c:v>
                </c:pt>
                <c:pt idx="4">
                  <c:v>-56</c:v>
                </c:pt>
                <c:pt idx="5">
                  <c:v>-55</c:v>
                </c:pt>
                <c:pt idx="6">
                  <c:v>-54</c:v>
                </c:pt>
                <c:pt idx="7">
                  <c:v>-53</c:v>
                </c:pt>
                <c:pt idx="8">
                  <c:v>-52</c:v>
                </c:pt>
                <c:pt idx="9">
                  <c:v>-51</c:v>
                </c:pt>
                <c:pt idx="10">
                  <c:v>-50</c:v>
                </c:pt>
                <c:pt idx="11">
                  <c:v>-49</c:v>
                </c:pt>
                <c:pt idx="12">
                  <c:v>-48</c:v>
                </c:pt>
                <c:pt idx="13">
                  <c:v>-47</c:v>
                </c:pt>
                <c:pt idx="14">
                  <c:v>-46</c:v>
                </c:pt>
                <c:pt idx="15">
                  <c:v>-45</c:v>
                </c:pt>
                <c:pt idx="16">
                  <c:v>-44</c:v>
                </c:pt>
                <c:pt idx="17">
                  <c:v>-43</c:v>
                </c:pt>
                <c:pt idx="18">
                  <c:v>-42</c:v>
                </c:pt>
                <c:pt idx="19">
                  <c:v>-41</c:v>
                </c:pt>
                <c:pt idx="20">
                  <c:v>-40</c:v>
                </c:pt>
                <c:pt idx="21">
                  <c:v>-39</c:v>
                </c:pt>
                <c:pt idx="22">
                  <c:v>-38</c:v>
                </c:pt>
                <c:pt idx="23">
                  <c:v>-37</c:v>
                </c:pt>
                <c:pt idx="24">
                  <c:v>-36</c:v>
                </c:pt>
                <c:pt idx="25">
                  <c:v>-35</c:v>
                </c:pt>
                <c:pt idx="26">
                  <c:v>-34</c:v>
                </c:pt>
                <c:pt idx="27">
                  <c:v>-33</c:v>
                </c:pt>
                <c:pt idx="28">
                  <c:v>-32</c:v>
                </c:pt>
                <c:pt idx="29">
                  <c:v>-31</c:v>
                </c:pt>
                <c:pt idx="30">
                  <c:v>-30</c:v>
                </c:pt>
                <c:pt idx="31">
                  <c:v>-29</c:v>
                </c:pt>
                <c:pt idx="32">
                  <c:v>-28</c:v>
                </c:pt>
                <c:pt idx="33">
                  <c:v>-27</c:v>
                </c:pt>
                <c:pt idx="34">
                  <c:v>-26</c:v>
                </c:pt>
                <c:pt idx="35">
                  <c:v>-25</c:v>
                </c:pt>
                <c:pt idx="36">
                  <c:v>-24</c:v>
                </c:pt>
                <c:pt idx="37">
                  <c:v>-23</c:v>
                </c:pt>
                <c:pt idx="38">
                  <c:v>-22</c:v>
                </c:pt>
                <c:pt idx="39">
                  <c:v>-21</c:v>
                </c:pt>
                <c:pt idx="40">
                  <c:v>-20</c:v>
                </c:pt>
                <c:pt idx="41">
                  <c:v>-19</c:v>
                </c:pt>
                <c:pt idx="42">
                  <c:v>-18</c:v>
                </c:pt>
                <c:pt idx="43">
                  <c:v>-17</c:v>
                </c:pt>
                <c:pt idx="44">
                  <c:v>-16</c:v>
                </c:pt>
                <c:pt idx="45">
                  <c:v>-15</c:v>
                </c:pt>
                <c:pt idx="46">
                  <c:v>-14</c:v>
                </c:pt>
                <c:pt idx="47">
                  <c:v>-13</c:v>
                </c:pt>
                <c:pt idx="48">
                  <c:v>-12</c:v>
                </c:pt>
                <c:pt idx="49">
                  <c:v>-11</c:v>
                </c:pt>
                <c:pt idx="50">
                  <c:v>-10</c:v>
                </c:pt>
                <c:pt idx="51">
                  <c:v>-9</c:v>
                </c:pt>
                <c:pt idx="52">
                  <c:v>-8</c:v>
                </c:pt>
                <c:pt idx="53">
                  <c:v>-7</c:v>
                </c:pt>
                <c:pt idx="54">
                  <c:v>-6</c:v>
                </c:pt>
                <c:pt idx="55">
                  <c:v>-5</c:v>
                </c:pt>
                <c:pt idx="56">
                  <c:v>-4</c:v>
                </c:pt>
                <c:pt idx="57">
                  <c:v>-3</c:v>
                </c:pt>
                <c:pt idx="58">
                  <c:v>-2</c:v>
                </c:pt>
                <c:pt idx="59">
                  <c:v>-1</c:v>
                </c:pt>
                <c:pt idx="60">
                  <c:v>0</c:v>
                </c:pt>
                <c:pt idx="61">
                  <c:v>1</c:v>
                </c:pt>
                <c:pt idx="62">
                  <c:v>2</c:v>
                </c:pt>
                <c:pt idx="63">
                  <c:v>3</c:v>
                </c:pt>
                <c:pt idx="64">
                  <c:v>4</c:v>
                </c:pt>
                <c:pt idx="65">
                  <c:v>5</c:v>
                </c:pt>
                <c:pt idx="66">
                  <c:v>6</c:v>
                </c:pt>
                <c:pt idx="67">
                  <c:v>7</c:v>
                </c:pt>
                <c:pt idx="68">
                  <c:v>8</c:v>
                </c:pt>
                <c:pt idx="69">
                  <c:v>9</c:v>
                </c:pt>
                <c:pt idx="70">
                  <c:v>10</c:v>
                </c:pt>
                <c:pt idx="71">
                  <c:v>11</c:v>
                </c:pt>
                <c:pt idx="72">
                  <c:v>12</c:v>
                </c:pt>
                <c:pt idx="73">
                  <c:v>13</c:v>
                </c:pt>
                <c:pt idx="74">
                  <c:v>14</c:v>
                </c:pt>
                <c:pt idx="75">
                  <c:v>15</c:v>
                </c:pt>
                <c:pt idx="76">
                  <c:v>16</c:v>
                </c:pt>
                <c:pt idx="77">
                  <c:v>17</c:v>
                </c:pt>
                <c:pt idx="78">
                  <c:v>18</c:v>
                </c:pt>
                <c:pt idx="79">
                  <c:v>19</c:v>
                </c:pt>
                <c:pt idx="80">
                  <c:v>20</c:v>
                </c:pt>
                <c:pt idx="81">
                  <c:v>21</c:v>
                </c:pt>
                <c:pt idx="82">
                  <c:v>22</c:v>
                </c:pt>
                <c:pt idx="83">
                  <c:v>23</c:v>
                </c:pt>
                <c:pt idx="84">
                  <c:v>24</c:v>
                </c:pt>
                <c:pt idx="85">
                  <c:v>25</c:v>
                </c:pt>
                <c:pt idx="86">
                  <c:v>26</c:v>
                </c:pt>
                <c:pt idx="87">
                  <c:v>27</c:v>
                </c:pt>
                <c:pt idx="88">
                  <c:v>28</c:v>
                </c:pt>
                <c:pt idx="89">
                  <c:v>29</c:v>
                </c:pt>
                <c:pt idx="90">
                  <c:v>30</c:v>
                </c:pt>
                <c:pt idx="91">
                  <c:v>31</c:v>
                </c:pt>
                <c:pt idx="92">
                  <c:v>32</c:v>
                </c:pt>
                <c:pt idx="93">
                  <c:v>33</c:v>
                </c:pt>
                <c:pt idx="94">
                  <c:v>34</c:v>
                </c:pt>
                <c:pt idx="95">
                  <c:v>35</c:v>
                </c:pt>
                <c:pt idx="96">
                  <c:v>36</c:v>
                </c:pt>
                <c:pt idx="97">
                  <c:v>37</c:v>
                </c:pt>
                <c:pt idx="98">
                  <c:v>38</c:v>
                </c:pt>
                <c:pt idx="99">
                  <c:v>39</c:v>
                </c:pt>
                <c:pt idx="100">
                  <c:v>40</c:v>
                </c:pt>
                <c:pt idx="101">
                  <c:v>41</c:v>
                </c:pt>
                <c:pt idx="102">
                  <c:v>42</c:v>
                </c:pt>
                <c:pt idx="103">
                  <c:v>43</c:v>
                </c:pt>
                <c:pt idx="104">
                  <c:v>44</c:v>
                </c:pt>
                <c:pt idx="105">
                  <c:v>45</c:v>
                </c:pt>
                <c:pt idx="106">
                  <c:v>46</c:v>
                </c:pt>
                <c:pt idx="107">
                  <c:v>47</c:v>
                </c:pt>
                <c:pt idx="108">
                  <c:v>48</c:v>
                </c:pt>
                <c:pt idx="109">
                  <c:v>49</c:v>
                </c:pt>
                <c:pt idx="110">
                  <c:v>50</c:v>
                </c:pt>
                <c:pt idx="111">
                  <c:v>51</c:v>
                </c:pt>
                <c:pt idx="112">
                  <c:v>52</c:v>
                </c:pt>
                <c:pt idx="113">
                  <c:v>53</c:v>
                </c:pt>
                <c:pt idx="114">
                  <c:v>54</c:v>
                </c:pt>
                <c:pt idx="115">
                  <c:v>55</c:v>
                </c:pt>
                <c:pt idx="116">
                  <c:v>56</c:v>
                </c:pt>
                <c:pt idx="117">
                  <c:v>57</c:v>
                </c:pt>
                <c:pt idx="118">
                  <c:v>58</c:v>
                </c:pt>
                <c:pt idx="119">
                  <c:v>59</c:v>
                </c:pt>
                <c:pt idx="120">
                  <c:v>60</c:v>
                </c:pt>
                <c:pt idx="121">
                  <c:v>61</c:v>
                </c:pt>
                <c:pt idx="122">
                  <c:v>62</c:v>
                </c:pt>
                <c:pt idx="123">
                  <c:v>63</c:v>
                </c:pt>
                <c:pt idx="124">
                  <c:v>64</c:v>
                </c:pt>
                <c:pt idx="125">
                  <c:v>65</c:v>
                </c:pt>
                <c:pt idx="126">
                  <c:v>66</c:v>
                </c:pt>
                <c:pt idx="127">
                  <c:v>67</c:v>
                </c:pt>
                <c:pt idx="128">
                  <c:v>68</c:v>
                </c:pt>
                <c:pt idx="129">
                  <c:v>69</c:v>
                </c:pt>
                <c:pt idx="130">
                  <c:v>70</c:v>
                </c:pt>
                <c:pt idx="131">
                  <c:v>71</c:v>
                </c:pt>
                <c:pt idx="132">
                  <c:v>72</c:v>
                </c:pt>
                <c:pt idx="133">
                  <c:v>73</c:v>
                </c:pt>
                <c:pt idx="134">
                  <c:v>74</c:v>
                </c:pt>
                <c:pt idx="135">
                  <c:v>75</c:v>
                </c:pt>
                <c:pt idx="136">
                  <c:v>76</c:v>
                </c:pt>
                <c:pt idx="137">
                  <c:v>77</c:v>
                </c:pt>
                <c:pt idx="138">
                  <c:v>78</c:v>
                </c:pt>
                <c:pt idx="139">
                  <c:v>79</c:v>
                </c:pt>
                <c:pt idx="140">
                  <c:v>80</c:v>
                </c:pt>
                <c:pt idx="141">
                  <c:v>81</c:v>
                </c:pt>
                <c:pt idx="142">
                  <c:v>82</c:v>
                </c:pt>
                <c:pt idx="143">
                  <c:v>83</c:v>
                </c:pt>
                <c:pt idx="144">
                  <c:v>84</c:v>
                </c:pt>
                <c:pt idx="145">
                  <c:v>85</c:v>
                </c:pt>
                <c:pt idx="146">
                  <c:v>86</c:v>
                </c:pt>
                <c:pt idx="147">
                  <c:v>87</c:v>
                </c:pt>
                <c:pt idx="148">
                  <c:v>88</c:v>
                </c:pt>
                <c:pt idx="149">
                  <c:v>89</c:v>
                </c:pt>
                <c:pt idx="150">
                  <c:v>90</c:v>
                </c:pt>
                <c:pt idx="151">
                  <c:v>91</c:v>
                </c:pt>
                <c:pt idx="152">
                  <c:v>92</c:v>
                </c:pt>
                <c:pt idx="153">
                  <c:v>93</c:v>
                </c:pt>
                <c:pt idx="154">
                  <c:v>94</c:v>
                </c:pt>
                <c:pt idx="155">
                  <c:v>95</c:v>
                </c:pt>
                <c:pt idx="156">
                  <c:v>96</c:v>
                </c:pt>
              </c:numCache>
            </c:numRef>
          </c:xVal>
          <c:yVal>
            <c:numRef>
              <c:f>'transversal subsidence-gauss'!$N$10:$N$166</c:f>
              <c:numCache>
                <c:formatCode>General</c:formatCode>
                <c:ptCount val="157"/>
                <c:pt idx="0">
                  <c:v>-9.4782429991450291E-17</c:v>
                </c:pt>
                <c:pt idx="1">
                  <c:v>-3.3812985414271306E-16</c:v>
                </c:pt>
                <c:pt idx="2">
                  <c:v>-1.1793637528424968E-15</c:v>
                </c:pt>
                <c:pt idx="3">
                  <c:v>-4.0217143076506086E-15</c:v>
                </c:pt>
                <c:pt idx="4">
                  <c:v>-1.3407997278383883E-14</c:v>
                </c:pt>
                <c:pt idx="5">
                  <c:v>-4.3701402451710684E-14</c:v>
                </c:pt>
                <c:pt idx="6">
                  <c:v>-1.3924977308507722E-13</c:v>
                </c:pt>
                <c:pt idx="7">
                  <c:v>-4.3376001318633173E-13</c:v>
                </c:pt>
                <c:pt idx="8">
                  <c:v>-1.320833108156023E-12</c:v>
                </c:pt>
                <c:pt idx="9">
                  <c:v>-3.9316653072302868E-12</c:v>
                </c:pt>
                <c:pt idx="10">
                  <c:v>-1.143987288221295E-11</c:v>
                </c:pt>
                <c:pt idx="11">
                  <c:v>-3.2536206053767727E-11</c:v>
                </c:pt>
                <c:pt idx="12">
                  <c:v>-9.0447728509277747E-11</c:v>
                </c:pt>
                <c:pt idx="13">
                  <c:v>-2.4575160577531036E-10</c:v>
                </c:pt>
                <c:pt idx="14">
                  <c:v>-6.5259646711282853E-10</c:v>
                </c:pt>
                <c:pt idx="15">
                  <c:v>-1.6936479032864237E-9</c:v>
                </c:pt>
                <c:pt idx="16">
                  <c:v>-4.2954687144746791E-9</c:v>
                </c:pt>
                <c:pt idx="17">
                  <c:v>-1.0645949297897659E-8</c:v>
                </c:pt>
                <c:pt idx="18">
                  <c:v>-2.5782216993929284E-8</c:v>
                </c:pt>
                <c:pt idx="19">
                  <c:v>-6.1008711051232058E-8</c:v>
                </c:pt>
                <c:pt idx="20">
                  <c:v>-1.4104922433134079E-7</c:v>
                </c:pt>
                <c:pt idx="21">
                  <c:v>-3.1858546195317385E-7</c:v>
                </c:pt>
                <c:pt idx="22">
                  <c:v>-7.0294938639957686E-7</c:v>
                </c:pt>
                <c:pt idx="23">
                  <c:v>-1.5150551751163741E-6</c:v>
                </c:pt>
                <c:pt idx="24">
                  <c:v>-3.1893279575471119E-6</c:v>
                </c:pt>
                <c:pt idx="25">
                  <c:v>-6.5568078920547199E-6</c:v>
                </c:pt>
                <c:pt idx="26">
                  <c:v>-1.3163159500460527E-5</c:v>
                </c:pt>
                <c:pt idx="27">
                  <c:v>-2.580174750371607E-5</c:v>
                </c:pt>
                <c:pt idx="28">
                  <c:v>-4.9374258343129331E-5</c:v>
                </c:pt>
                <c:pt idx="29">
                  <c:v>-9.2225107439996684E-5</c:v>
                </c:pt>
                <c:pt idx="30">
                  <c:v>-1.6812097742350125E-4</c:v>
                </c:pt>
                <c:pt idx="31">
                  <c:v>-2.9904528629911393E-4</c:v>
                </c:pt>
                <c:pt idx="32">
                  <c:v>-5.1892201618174323E-4</c:v>
                </c:pt>
                <c:pt idx="33">
                  <c:v>-8.7823910614371454E-4</c:v>
                </c:pt>
                <c:pt idx="34">
                  <c:v>-1.4492715859229601E-3</c:v>
                </c:pt>
                <c:pt idx="35">
                  <c:v>-2.3311824779755062E-3</c:v>
                </c:pt>
                <c:pt idx="36">
                  <c:v>-3.6537092358212577E-3</c:v>
                </c:pt>
                <c:pt idx="37">
                  <c:v>-5.5774842189428471E-3</c:v>
                </c:pt>
                <c:pt idx="38">
                  <c:v>-8.2884270287558147E-3</c:v>
                </c:pt>
                <c:pt idx="39">
                  <c:v>-1.1983311472579443E-2</c:v>
                </c:pt>
                <c:pt idx="40">
                  <c:v>-1.6843850976669482E-2</c:v>
                </c:pt>
                <c:pt idx="41">
                  <c:v>-2.2997781170242069E-2</c:v>
                </c:pt>
                <c:pt idx="42">
                  <c:v>-3.0467680293809453E-2</c:v>
                </c:pt>
                <c:pt idx="43">
                  <c:v>-3.9111669266214198E-2</c:v>
                </c:pt>
                <c:pt idx="44">
                  <c:v>-4.8564326935948178E-2</c:v>
                </c:pt>
                <c:pt idx="45">
                  <c:v>-5.8190351114285908E-2</c:v>
                </c:pt>
                <c:pt idx="46">
                  <c:v>-6.7066487651163784E-2</c:v>
                </c:pt>
                <c:pt idx="47">
                  <c:v>-7.4007616692549877E-2</c:v>
                </c:pt>
                <c:pt idx="48">
                  <c:v>-7.7649360400477527E-2</c:v>
                </c:pt>
                <c:pt idx="49">
                  <c:v>-7.6591532674624679E-2</c:v>
                </c:pt>
                <c:pt idx="50">
                  <c:v>-6.9594668458113657E-2</c:v>
                </c:pt>
                <c:pt idx="51">
                  <c:v>-5.5807601614845485E-2</c:v>
                </c:pt>
                <c:pt idx="52">
                  <c:v>-3.4990726515259515E-2</c:v>
                </c:pt>
                <c:pt idx="53">
                  <c:v>-7.6909933702915666E-3</c:v>
                </c:pt>
                <c:pt idx="54">
                  <c:v>2.4675623856153423E-2</c:v>
                </c:pt>
                <c:pt idx="55">
                  <c:v>5.9868410967009664E-2</c:v>
                </c:pt>
                <c:pt idx="56">
                  <c:v>9.5007142503417005E-2</c:v>
                </c:pt>
                <c:pt idx="57">
                  <c:v>0.12688562499082728</c:v>
                </c:pt>
                <c:pt idx="58">
                  <c:v>0.15237292469431638</c:v>
                </c:pt>
                <c:pt idx="59">
                  <c:v>0.16883926344163988</c:v>
                </c:pt>
                <c:pt idx="60">
                  <c:v>0.17453292519943295</c:v>
                </c:pt>
                <c:pt idx="61">
                  <c:v>0.16883926344163988</c:v>
                </c:pt>
                <c:pt idx="62">
                  <c:v>0.15237292469431638</c:v>
                </c:pt>
                <c:pt idx="63">
                  <c:v>0.12688562499082728</c:v>
                </c:pt>
                <c:pt idx="64">
                  <c:v>9.5007142503417005E-2</c:v>
                </c:pt>
                <c:pt idx="65">
                  <c:v>5.9868410967009664E-2</c:v>
                </c:pt>
                <c:pt idx="66">
                  <c:v>2.4675623856153423E-2</c:v>
                </c:pt>
                <c:pt idx="67">
                  <c:v>-7.6909933702915666E-3</c:v>
                </c:pt>
                <c:pt idx="68">
                  <c:v>-3.4990726515259515E-2</c:v>
                </c:pt>
                <c:pt idx="69">
                  <c:v>-5.5807601614845485E-2</c:v>
                </c:pt>
                <c:pt idx="70">
                  <c:v>-6.9594668458113657E-2</c:v>
                </c:pt>
                <c:pt idx="71">
                  <c:v>-7.6591532674624679E-2</c:v>
                </c:pt>
                <c:pt idx="72">
                  <c:v>-7.7649360400477527E-2</c:v>
                </c:pt>
                <c:pt idx="73">
                  <c:v>-7.4007616692549877E-2</c:v>
                </c:pt>
                <c:pt idx="74">
                  <c:v>-6.7066487651163784E-2</c:v>
                </c:pt>
                <c:pt idx="75">
                  <c:v>-5.8190351114285908E-2</c:v>
                </c:pt>
                <c:pt idx="76">
                  <c:v>-4.8564326935948178E-2</c:v>
                </c:pt>
                <c:pt idx="77">
                  <c:v>-3.9111669266214198E-2</c:v>
                </c:pt>
                <c:pt idx="78">
                  <c:v>-3.0467680293809453E-2</c:v>
                </c:pt>
                <c:pt idx="79">
                  <c:v>-2.2997781170242069E-2</c:v>
                </c:pt>
                <c:pt idx="80">
                  <c:v>-1.6843850976669482E-2</c:v>
                </c:pt>
                <c:pt idx="81">
                  <c:v>-1.1983311472579443E-2</c:v>
                </c:pt>
                <c:pt idx="82">
                  <c:v>-8.2884270287558147E-3</c:v>
                </c:pt>
                <c:pt idx="83">
                  <c:v>-5.5774842189428471E-3</c:v>
                </c:pt>
                <c:pt idx="84">
                  <c:v>-3.6537092358212577E-3</c:v>
                </c:pt>
                <c:pt idx="85">
                  <c:v>-2.3311824779755062E-3</c:v>
                </c:pt>
                <c:pt idx="86">
                  <c:v>-1.4492715859229601E-3</c:v>
                </c:pt>
                <c:pt idx="87">
                  <c:v>-8.7823910614371454E-4</c:v>
                </c:pt>
                <c:pt idx="88">
                  <c:v>-5.1892201618174323E-4</c:v>
                </c:pt>
                <c:pt idx="89">
                  <c:v>-2.9904528629911393E-4</c:v>
                </c:pt>
                <c:pt idx="90">
                  <c:v>-1.6812097742350125E-4</c:v>
                </c:pt>
                <c:pt idx="91">
                  <c:v>-9.2225107439996684E-5</c:v>
                </c:pt>
                <c:pt idx="92">
                  <c:v>-4.9374258343129331E-5</c:v>
                </c:pt>
                <c:pt idx="93">
                  <c:v>-2.580174750371607E-5</c:v>
                </c:pt>
                <c:pt idx="94">
                  <c:v>-1.3163159500460527E-5</c:v>
                </c:pt>
                <c:pt idx="95">
                  <c:v>-6.5568078920547199E-6</c:v>
                </c:pt>
                <c:pt idx="96">
                  <c:v>-3.1893279575471119E-6</c:v>
                </c:pt>
                <c:pt idx="97">
                  <c:v>-1.5150551751163741E-6</c:v>
                </c:pt>
                <c:pt idx="98">
                  <c:v>-7.0294938639957686E-7</c:v>
                </c:pt>
                <c:pt idx="99">
                  <c:v>-3.1858546195317385E-7</c:v>
                </c:pt>
                <c:pt idx="100">
                  <c:v>-1.4104922433134079E-7</c:v>
                </c:pt>
                <c:pt idx="101">
                  <c:v>-6.1008711051232058E-8</c:v>
                </c:pt>
                <c:pt idx="102">
                  <c:v>-2.5782216993929284E-8</c:v>
                </c:pt>
                <c:pt idx="103">
                  <c:v>-1.0645949297897659E-8</c:v>
                </c:pt>
                <c:pt idx="104">
                  <c:v>-4.2954687144746791E-9</c:v>
                </c:pt>
                <c:pt idx="105">
                  <c:v>-1.6936479032864237E-9</c:v>
                </c:pt>
                <c:pt idx="106">
                  <c:v>-6.5259646711282853E-10</c:v>
                </c:pt>
                <c:pt idx="107">
                  <c:v>-2.4575160577531036E-10</c:v>
                </c:pt>
                <c:pt idx="108">
                  <c:v>-9.0447728509277747E-11</c:v>
                </c:pt>
                <c:pt idx="109">
                  <c:v>-3.2536206053767727E-11</c:v>
                </c:pt>
                <c:pt idx="110">
                  <c:v>-1.143987288221295E-11</c:v>
                </c:pt>
                <c:pt idx="111">
                  <c:v>-3.9316653072302868E-12</c:v>
                </c:pt>
                <c:pt idx="112">
                  <c:v>-1.320833108156023E-12</c:v>
                </c:pt>
                <c:pt idx="113">
                  <c:v>-4.3376001318633173E-13</c:v>
                </c:pt>
                <c:pt idx="114">
                  <c:v>-1.3924977308507722E-13</c:v>
                </c:pt>
                <c:pt idx="115">
                  <c:v>-4.3701402451710684E-14</c:v>
                </c:pt>
                <c:pt idx="116">
                  <c:v>-1.3407997278383883E-14</c:v>
                </c:pt>
                <c:pt idx="117">
                  <c:v>-4.0217143076506086E-15</c:v>
                </c:pt>
                <c:pt idx="118">
                  <c:v>-1.1793637528424968E-15</c:v>
                </c:pt>
                <c:pt idx="119">
                  <c:v>-3.3812985414271306E-16</c:v>
                </c:pt>
                <c:pt idx="120">
                  <c:v>-9.4782429991450291E-17</c:v>
                </c:pt>
                <c:pt idx="121">
                  <c:v>-2.5977039192418121E-17</c:v>
                </c:pt>
                <c:pt idx="122">
                  <c:v>-6.9610924688848812E-18</c:v>
                </c:pt>
                <c:pt idx="123">
                  <c:v>-1.8238920345350609E-18</c:v>
                </c:pt>
                <c:pt idx="124">
                  <c:v>-4.6726414006019111E-19</c:v>
                </c:pt>
                <c:pt idx="125">
                  <c:v>-1.1705086878197618E-19</c:v>
                </c:pt>
                <c:pt idx="126">
                  <c:v>-2.867098458565856E-20</c:v>
                </c:pt>
                <c:pt idx="127">
                  <c:v>-6.8670931551074589E-21</c:v>
                </c:pt>
                <c:pt idx="128">
                  <c:v>-1.6083179925866312E-21</c:v>
                </c:pt>
                <c:pt idx="129">
                  <c:v>-3.6833717295028941E-22</c:v>
                </c:pt>
                <c:pt idx="130">
                  <c:v>-8.2489668466418961E-23</c:v>
                </c:pt>
                <c:pt idx="131">
                  <c:v>-1.8065060482950016E-23</c:v>
                </c:pt>
                <c:pt idx="132">
                  <c:v>-3.8687473986933978E-24</c:v>
                </c:pt>
                <c:pt idx="133">
                  <c:v>-8.1020969443908619E-25</c:v>
                </c:pt>
                <c:pt idx="134">
                  <c:v>-1.6593018804604906E-25</c:v>
                </c:pt>
                <c:pt idx="135">
                  <c:v>-3.3232184238847492E-26</c:v>
                </c:pt>
                <c:pt idx="136">
                  <c:v>-6.5088204852336909E-27</c:v>
                </c:pt>
                <c:pt idx="137">
                  <c:v>-1.2466939763181187E-27</c:v>
                </c:pt>
                <c:pt idx="138">
                  <c:v>-2.3352622294810431E-28</c:v>
                </c:pt>
                <c:pt idx="139">
                  <c:v>-4.2779290942185254E-29</c:v>
                </c:pt>
                <c:pt idx="140">
                  <c:v>-7.6640335296075839E-30</c:v>
                </c:pt>
                <c:pt idx="141">
                  <c:v>-1.3427980689351712E-30</c:v>
                </c:pt>
                <c:pt idx="142">
                  <c:v>-2.3008960138398277E-31</c:v>
                </c:pt>
                <c:pt idx="143">
                  <c:v>-3.8558452114922706E-32</c:v>
                </c:pt>
                <c:pt idx="144">
                  <c:v>-6.3194855875974936E-33</c:v>
                </c:pt>
                <c:pt idx="145">
                  <c:v>-1.0129464912759934E-33</c:v>
                </c:pt>
                <c:pt idx="146">
                  <c:v>-1.5879503281629839E-34</c:v>
                </c:pt>
                <c:pt idx="147">
                  <c:v>-2.4346460941862063E-35</c:v>
                </c:pt>
                <c:pt idx="148">
                  <c:v>-3.6507834142490905E-36</c:v>
                </c:pt>
                <c:pt idx="149">
                  <c:v>-5.3541469573168053E-37</c:v>
                </c:pt>
                <c:pt idx="150">
                  <c:v>-7.6798208789918117E-38</c:v>
                </c:pt>
                <c:pt idx="151">
                  <c:v>-1.0773851546375022E-38</c:v>
                </c:pt>
                <c:pt idx="152">
                  <c:v>-1.4782653572335509E-39</c:v>
                </c:pt>
                <c:pt idx="153">
                  <c:v>-1.9837990187815954E-40</c:v>
                </c:pt>
                <c:pt idx="154">
                  <c:v>-2.6038086685345476E-41</c:v>
                </c:pt>
                <c:pt idx="155">
                  <c:v>-3.3426336786552859E-42</c:v>
                </c:pt>
                <c:pt idx="156">
                  <c:v>-4.1969997375916675E-43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8B-4198-A4EA-8C7CDEAFCE75}"/>
            </c:ext>
          </c:extLst>
        </c:ser>
        <c:ser>
          <c:idx val="1"/>
          <c:order val="1"/>
          <c:tx>
            <c:strRef>
              <c:f>'transversal subsidence-gauss'!$D$8</c:f>
              <c:strCache>
                <c:ptCount val="1"/>
                <c:pt idx="0">
                  <c:v>Tunnel B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'transversal subsidence-gauss'!$G$10:$G$166</c:f>
              <c:numCache>
                <c:formatCode>General</c:formatCode>
                <c:ptCount val="157"/>
                <c:pt idx="0">
                  <c:v>-60</c:v>
                </c:pt>
                <c:pt idx="1">
                  <c:v>-59</c:v>
                </c:pt>
                <c:pt idx="2">
                  <c:v>-58</c:v>
                </c:pt>
                <c:pt idx="3">
                  <c:v>-57</c:v>
                </c:pt>
                <c:pt idx="4">
                  <c:v>-56</c:v>
                </c:pt>
                <c:pt idx="5">
                  <c:v>-55</c:v>
                </c:pt>
                <c:pt idx="6">
                  <c:v>-54</c:v>
                </c:pt>
                <c:pt idx="7">
                  <c:v>-53</c:v>
                </c:pt>
                <c:pt idx="8">
                  <c:v>-52</c:v>
                </c:pt>
                <c:pt idx="9">
                  <c:v>-51</c:v>
                </c:pt>
                <c:pt idx="10">
                  <c:v>-50</c:v>
                </c:pt>
                <c:pt idx="11">
                  <c:v>-49</c:v>
                </c:pt>
                <c:pt idx="12">
                  <c:v>-48</c:v>
                </c:pt>
                <c:pt idx="13">
                  <c:v>-47</c:v>
                </c:pt>
                <c:pt idx="14">
                  <c:v>-46</c:v>
                </c:pt>
                <c:pt idx="15">
                  <c:v>-45</c:v>
                </c:pt>
                <c:pt idx="16">
                  <c:v>-44</c:v>
                </c:pt>
                <c:pt idx="17">
                  <c:v>-43</c:v>
                </c:pt>
                <c:pt idx="18">
                  <c:v>-42</c:v>
                </c:pt>
                <c:pt idx="19">
                  <c:v>-41</c:v>
                </c:pt>
                <c:pt idx="20">
                  <c:v>-40</c:v>
                </c:pt>
                <c:pt idx="21">
                  <c:v>-39</c:v>
                </c:pt>
                <c:pt idx="22">
                  <c:v>-38</c:v>
                </c:pt>
                <c:pt idx="23">
                  <c:v>-37</c:v>
                </c:pt>
                <c:pt idx="24">
                  <c:v>-36</c:v>
                </c:pt>
                <c:pt idx="25">
                  <c:v>-35</c:v>
                </c:pt>
                <c:pt idx="26">
                  <c:v>-34</c:v>
                </c:pt>
                <c:pt idx="27">
                  <c:v>-33</c:v>
                </c:pt>
                <c:pt idx="28">
                  <c:v>-32</c:v>
                </c:pt>
                <c:pt idx="29">
                  <c:v>-31</c:v>
                </c:pt>
                <c:pt idx="30">
                  <c:v>-30</c:v>
                </c:pt>
                <c:pt idx="31">
                  <c:v>-29</c:v>
                </c:pt>
                <c:pt idx="32">
                  <c:v>-28</c:v>
                </c:pt>
                <c:pt idx="33">
                  <c:v>-27</c:v>
                </c:pt>
                <c:pt idx="34">
                  <c:v>-26</c:v>
                </c:pt>
                <c:pt idx="35">
                  <c:v>-25</c:v>
                </c:pt>
                <c:pt idx="36">
                  <c:v>-24</c:v>
                </c:pt>
                <c:pt idx="37">
                  <c:v>-23</c:v>
                </c:pt>
                <c:pt idx="38">
                  <c:v>-22</c:v>
                </c:pt>
                <c:pt idx="39">
                  <c:v>-21</c:v>
                </c:pt>
                <c:pt idx="40">
                  <c:v>-20</c:v>
                </c:pt>
                <c:pt idx="41">
                  <c:v>-19</c:v>
                </c:pt>
                <c:pt idx="42">
                  <c:v>-18</c:v>
                </c:pt>
                <c:pt idx="43">
                  <c:v>-17</c:v>
                </c:pt>
                <c:pt idx="44">
                  <c:v>-16</c:v>
                </c:pt>
                <c:pt idx="45">
                  <c:v>-15</c:v>
                </c:pt>
                <c:pt idx="46">
                  <c:v>-14</c:v>
                </c:pt>
                <c:pt idx="47">
                  <c:v>-13</c:v>
                </c:pt>
                <c:pt idx="48">
                  <c:v>-12</c:v>
                </c:pt>
                <c:pt idx="49">
                  <c:v>-11</c:v>
                </c:pt>
                <c:pt idx="50">
                  <c:v>-10</c:v>
                </c:pt>
                <c:pt idx="51">
                  <c:v>-9</c:v>
                </c:pt>
                <c:pt idx="52">
                  <c:v>-8</c:v>
                </c:pt>
                <c:pt idx="53">
                  <c:v>-7</c:v>
                </c:pt>
                <c:pt idx="54">
                  <c:v>-6</c:v>
                </c:pt>
                <c:pt idx="55">
                  <c:v>-5</c:v>
                </c:pt>
                <c:pt idx="56">
                  <c:v>-4</c:v>
                </c:pt>
                <c:pt idx="57">
                  <c:v>-3</c:v>
                </c:pt>
                <c:pt idx="58">
                  <c:v>-2</c:v>
                </c:pt>
                <c:pt idx="59">
                  <c:v>-1</c:v>
                </c:pt>
                <c:pt idx="60">
                  <c:v>0</c:v>
                </c:pt>
                <c:pt idx="61">
                  <c:v>1</c:v>
                </c:pt>
                <c:pt idx="62">
                  <c:v>2</c:v>
                </c:pt>
                <c:pt idx="63">
                  <c:v>3</c:v>
                </c:pt>
                <c:pt idx="64">
                  <c:v>4</c:v>
                </c:pt>
                <c:pt idx="65">
                  <c:v>5</c:v>
                </c:pt>
                <c:pt idx="66">
                  <c:v>6</c:v>
                </c:pt>
                <c:pt idx="67">
                  <c:v>7</c:v>
                </c:pt>
                <c:pt idx="68">
                  <c:v>8</c:v>
                </c:pt>
                <c:pt idx="69">
                  <c:v>9</c:v>
                </c:pt>
                <c:pt idx="70">
                  <c:v>10</c:v>
                </c:pt>
                <c:pt idx="71">
                  <c:v>11</c:v>
                </c:pt>
                <c:pt idx="72">
                  <c:v>12</c:v>
                </c:pt>
                <c:pt idx="73">
                  <c:v>13</c:v>
                </c:pt>
                <c:pt idx="74">
                  <c:v>14</c:v>
                </c:pt>
                <c:pt idx="75">
                  <c:v>15</c:v>
                </c:pt>
                <c:pt idx="76">
                  <c:v>16</c:v>
                </c:pt>
                <c:pt idx="77">
                  <c:v>17</c:v>
                </c:pt>
                <c:pt idx="78">
                  <c:v>18</c:v>
                </c:pt>
                <c:pt idx="79">
                  <c:v>19</c:v>
                </c:pt>
                <c:pt idx="80">
                  <c:v>20</c:v>
                </c:pt>
                <c:pt idx="81">
                  <c:v>21</c:v>
                </c:pt>
                <c:pt idx="82">
                  <c:v>22</c:v>
                </c:pt>
                <c:pt idx="83">
                  <c:v>23</c:v>
                </c:pt>
                <c:pt idx="84">
                  <c:v>24</c:v>
                </c:pt>
                <c:pt idx="85">
                  <c:v>25</c:v>
                </c:pt>
                <c:pt idx="86">
                  <c:v>26</c:v>
                </c:pt>
                <c:pt idx="87">
                  <c:v>27</c:v>
                </c:pt>
                <c:pt idx="88">
                  <c:v>28</c:v>
                </c:pt>
                <c:pt idx="89">
                  <c:v>29</c:v>
                </c:pt>
                <c:pt idx="90">
                  <c:v>30</c:v>
                </c:pt>
                <c:pt idx="91">
                  <c:v>31</c:v>
                </c:pt>
                <c:pt idx="92">
                  <c:v>32</c:v>
                </c:pt>
                <c:pt idx="93">
                  <c:v>33</c:v>
                </c:pt>
                <c:pt idx="94">
                  <c:v>34</c:v>
                </c:pt>
                <c:pt idx="95">
                  <c:v>35</c:v>
                </c:pt>
                <c:pt idx="96">
                  <c:v>36</c:v>
                </c:pt>
                <c:pt idx="97">
                  <c:v>37</c:v>
                </c:pt>
                <c:pt idx="98">
                  <c:v>38</c:v>
                </c:pt>
                <c:pt idx="99">
                  <c:v>39</c:v>
                </c:pt>
                <c:pt idx="100">
                  <c:v>40</c:v>
                </c:pt>
                <c:pt idx="101">
                  <c:v>41</c:v>
                </c:pt>
                <c:pt idx="102">
                  <c:v>42</c:v>
                </c:pt>
                <c:pt idx="103">
                  <c:v>43</c:v>
                </c:pt>
                <c:pt idx="104">
                  <c:v>44</c:v>
                </c:pt>
                <c:pt idx="105">
                  <c:v>45</c:v>
                </c:pt>
                <c:pt idx="106">
                  <c:v>46</c:v>
                </c:pt>
                <c:pt idx="107">
                  <c:v>47</c:v>
                </c:pt>
                <c:pt idx="108">
                  <c:v>48</c:v>
                </c:pt>
                <c:pt idx="109">
                  <c:v>49</c:v>
                </c:pt>
                <c:pt idx="110">
                  <c:v>50</c:v>
                </c:pt>
                <c:pt idx="111">
                  <c:v>51</c:v>
                </c:pt>
                <c:pt idx="112">
                  <c:v>52</c:v>
                </c:pt>
                <c:pt idx="113">
                  <c:v>53</c:v>
                </c:pt>
                <c:pt idx="114">
                  <c:v>54</c:v>
                </c:pt>
                <c:pt idx="115">
                  <c:v>55</c:v>
                </c:pt>
                <c:pt idx="116">
                  <c:v>56</c:v>
                </c:pt>
                <c:pt idx="117">
                  <c:v>57</c:v>
                </c:pt>
                <c:pt idx="118">
                  <c:v>58</c:v>
                </c:pt>
                <c:pt idx="119">
                  <c:v>59</c:v>
                </c:pt>
                <c:pt idx="120">
                  <c:v>60</c:v>
                </c:pt>
                <c:pt idx="121">
                  <c:v>61</c:v>
                </c:pt>
                <c:pt idx="122">
                  <c:v>62</c:v>
                </c:pt>
                <c:pt idx="123">
                  <c:v>63</c:v>
                </c:pt>
                <c:pt idx="124">
                  <c:v>64</c:v>
                </c:pt>
                <c:pt idx="125">
                  <c:v>65</c:v>
                </c:pt>
                <c:pt idx="126">
                  <c:v>66</c:v>
                </c:pt>
                <c:pt idx="127">
                  <c:v>67</c:v>
                </c:pt>
                <c:pt idx="128">
                  <c:v>68</c:v>
                </c:pt>
                <c:pt idx="129">
                  <c:v>69</c:v>
                </c:pt>
                <c:pt idx="130">
                  <c:v>70</c:v>
                </c:pt>
                <c:pt idx="131">
                  <c:v>71</c:v>
                </c:pt>
                <c:pt idx="132">
                  <c:v>72</c:v>
                </c:pt>
                <c:pt idx="133">
                  <c:v>73</c:v>
                </c:pt>
                <c:pt idx="134">
                  <c:v>74</c:v>
                </c:pt>
                <c:pt idx="135">
                  <c:v>75</c:v>
                </c:pt>
                <c:pt idx="136">
                  <c:v>76</c:v>
                </c:pt>
                <c:pt idx="137">
                  <c:v>77</c:v>
                </c:pt>
                <c:pt idx="138">
                  <c:v>78</c:v>
                </c:pt>
                <c:pt idx="139">
                  <c:v>79</c:v>
                </c:pt>
                <c:pt idx="140">
                  <c:v>80</c:v>
                </c:pt>
                <c:pt idx="141">
                  <c:v>81</c:v>
                </c:pt>
                <c:pt idx="142">
                  <c:v>82</c:v>
                </c:pt>
                <c:pt idx="143">
                  <c:v>83</c:v>
                </c:pt>
                <c:pt idx="144">
                  <c:v>84</c:v>
                </c:pt>
                <c:pt idx="145">
                  <c:v>85</c:v>
                </c:pt>
                <c:pt idx="146">
                  <c:v>86</c:v>
                </c:pt>
                <c:pt idx="147">
                  <c:v>87</c:v>
                </c:pt>
                <c:pt idx="148">
                  <c:v>88</c:v>
                </c:pt>
                <c:pt idx="149">
                  <c:v>89</c:v>
                </c:pt>
                <c:pt idx="150">
                  <c:v>90</c:v>
                </c:pt>
                <c:pt idx="151">
                  <c:v>91</c:v>
                </c:pt>
                <c:pt idx="152">
                  <c:v>92</c:v>
                </c:pt>
                <c:pt idx="153">
                  <c:v>93</c:v>
                </c:pt>
                <c:pt idx="154">
                  <c:v>94</c:v>
                </c:pt>
                <c:pt idx="155">
                  <c:v>95</c:v>
                </c:pt>
                <c:pt idx="156">
                  <c:v>96</c:v>
                </c:pt>
              </c:numCache>
            </c:numRef>
          </c:xVal>
          <c:yVal>
            <c:numRef>
              <c:f>'transversal subsidence-gauss'!$O$10:$O$166</c:f>
              <c:numCache>
                <c:formatCode>0.00000</c:formatCode>
                <c:ptCount val="157"/>
                <c:pt idx="0">
                  <c:v>-1.143987288221295E-11</c:v>
                </c:pt>
                <c:pt idx="1">
                  <c:v>-3.2536206053767727E-11</c:v>
                </c:pt>
                <c:pt idx="2">
                  <c:v>-9.0447728509277747E-11</c:v>
                </c:pt>
                <c:pt idx="3">
                  <c:v>-2.4575160577531036E-10</c:v>
                </c:pt>
                <c:pt idx="4">
                  <c:v>-6.5259646711282853E-10</c:v>
                </c:pt>
                <c:pt idx="5">
                  <c:v>-1.6936479032864237E-9</c:v>
                </c:pt>
                <c:pt idx="6">
                  <c:v>-4.2954687144746791E-9</c:v>
                </c:pt>
                <c:pt idx="7">
                  <c:v>-1.0645949297897659E-8</c:v>
                </c:pt>
                <c:pt idx="8">
                  <c:v>-2.5782216993929284E-8</c:v>
                </c:pt>
                <c:pt idx="9">
                  <c:v>-6.1008711051232058E-8</c:v>
                </c:pt>
                <c:pt idx="10">
                  <c:v>-1.4104922433134079E-7</c:v>
                </c:pt>
                <c:pt idx="11">
                  <c:v>-3.1858546195317385E-7</c:v>
                </c:pt>
                <c:pt idx="12">
                  <c:v>-7.0294938639957686E-7</c:v>
                </c:pt>
                <c:pt idx="13">
                  <c:v>-1.5150551751163741E-6</c:v>
                </c:pt>
                <c:pt idx="14">
                  <c:v>-3.1893279575471119E-6</c:v>
                </c:pt>
                <c:pt idx="15">
                  <c:v>-6.5568078920547199E-6</c:v>
                </c:pt>
                <c:pt idx="16">
                  <c:v>-1.3163159500460527E-5</c:v>
                </c:pt>
                <c:pt idx="17">
                  <c:v>-2.580174750371607E-5</c:v>
                </c:pt>
                <c:pt idx="18">
                  <c:v>-4.9374258343129331E-5</c:v>
                </c:pt>
                <c:pt idx="19">
                  <c:v>-9.2225107439996684E-5</c:v>
                </c:pt>
                <c:pt idx="20">
                  <c:v>-1.6812097742350125E-4</c:v>
                </c:pt>
                <c:pt idx="21">
                  <c:v>-2.9904528629911393E-4</c:v>
                </c:pt>
                <c:pt idx="22">
                  <c:v>-5.1892201618174323E-4</c:v>
                </c:pt>
                <c:pt idx="23">
                  <c:v>-8.7823910614371454E-4</c:v>
                </c:pt>
                <c:pt idx="24">
                  <c:v>-1.4492715859229601E-3</c:v>
                </c:pt>
                <c:pt idx="25">
                  <c:v>-2.3311824779755062E-3</c:v>
                </c:pt>
                <c:pt idx="26">
                  <c:v>-3.6537092358212577E-3</c:v>
                </c:pt>
                <c:pt idx="27">
                  <c:v>-5.5774842189428471E-3</c:v>
                </c:pt>
                <c:pt idx="28">
                  <c:v>-8.2884270287558147E-3</c:v>
                </c:pt>
                <c:pt idx="29">
                  <c:v>-1.1983311472579443E-2</c:v>
                </c:pt>
                <c:pt idx="30">
                  <c:v>-1.6843850976669482E-2</c:v>
                </c:pt>
                <c:pt idx="31">
                  <c:v>-2.2997781170242069E-2</c:v>
                </c:pt>
                <c:pt idx="32">
                  <c:v>-3.0467680293809453E-2</c:v>
                </c:pt>
                <c:pt idx="33">
                  <c:v>-3.9111669266214198E-2</c:v>
                </c:pt>
                <c:pt idx="34">
                  <c:v>-4.8564326935948178E-2</c:v>
                </c:pt>
                <c:pt idx="35">
                  <c:v>-5.8190351114285908E-2</c:v>
                </c:pt>
                <c:pt idx="36">
                  <c:v>-6.7066487651163784E-2</c:v>
                </c:pt>
                <c:pt idx="37">
                  <c:v>-7.4007616692549877E-2</c:v>
                </c:pt>
                <c:pt idx="38">
                  <c:v>-7.7649360400477527E-2</c:v>
                </c:pt>
                <c:pt idx="39">
                  <c:v>-7.6591532674624679E-2</c:v>
                </c:pt>
                <c:pt idx="40">
                  <c:v>-6.9594668458113657E-2</c:v>
                </c:pt>
                <c:pt idx="41">
                  <c:v>-5.5807601614845485E-2</c:v>
                </c:pt>
                <c:pt idx="42">
                  <c:v>-3.4990726515259515E-2</c:v>
                </c:pt>
                <c:pt idx="43">
                  <c:v>-7.6909933702915666E-3</c:v>
                </c:pt>
                <c:pt idx="44">
                  <c:v>2.4675623856153423E-2</c:v>
                </c:pt>
                <c:pt idx="45">
                  <c:v>5.9868410967009664E-2</c:v>
                </c:pt>
                <c:pt idx="46">
                  <c:v>9.5007142503417005E-2</c:v>
                </c:pt>
                <c:pt idx="47">
                  <c:v>0.12688562499082728</c:v>
                </c:pt>
                <c:pt idx="48">
                  <c:v>0.15237292469431638</c:v>
                </c:pt>
                <c:pt idx="49">
                  <c:v>0.16883926344163988</c:v>
                </c:pt>
                <c:pt idx="50">
                  <c:v>0.17453292519943295</c:v>
                </c:pt>
                <c:pt idx="51">
                  <c:v>0.16883926344163988</c:v>
                </c:pt>
                <c:pt idx="52">
                  <c:v>0.15237292469431638</c:v>
                </c:pt>
                <c:pt idx="53">
                  <c:v>0.12688562499082728</c:v>
                </c:pt>
                <c:pt idx="54">
                  <c:v>9.5007142503417005E-2</c:v>
                </c:pt>
                <c:pt idx="55">
                  <c:v>5.9868410967009664E-2</c:v>
                </c:pt>
                <c:pt idx="56">
                  <c:v>2.4675623856153423E-2</c:v>
                </c:pt>
                <c:pt idx="57">
                  <c:v>-7.6909933702915666E-3</c:v>
                </c:pt>
                <c:pt idx="58">
                  <c:v>-3.4990726515259515E-2</c:v>
                </c:pt>
                <c:pt idx="59">
                  <c:v>-5.5807601614845485E-2</c:v>
                </c:pt>
                <c:pt idx="60">
                  <c:v>-6.9594668458113657E-2</c:v>
                </c:pt>
                <c:pt idx="61">
                  <c:v>-7.6591532674624679E-2</c:v>
                </c:pt>
                <c:pt idx="62">
                  <c:v>-7.7649360400477527E-2</c:v>
                </c:pt>
                <c:pt idx="63">
                  <c:v>-7.4007616692549877E-2</c:v>
                </c:pt>
                <c:pt idx="64">
                  <c:v>-6.7066487651163784E-2</c:v>
                </c:pt>
                <c:pt idx="65">
                  <c:v>-5.8190351114285908E-2</c:v>
                </c:pt>
                <c:pt idx="66">
                  <c:v>-4.8564326935948178E-2</c:v>
                </c:pt>
                <c:pt idx="67">
                  <c:v>-3.9111669266214198E-2</c:v>
                </c:pt>
                <c:pt idx="68">
                  <c:v>-3.0467680293809453E-2</c:v>
                </c:pt>
                <c:pt idx="69">
                  <c:v>-2.2997781170242069E-2</c:v>
                </c:pt>
                <c:pt idx="70">
                  <c:v>-1.6843850976669482E-2</c:v>
                </c:pt>
                <c:pt idx="71">
                  <c:v>-1.1983311472579443E-2</c:v>
                </c:pt>
                <c:pt idx="72">
                  <c:v>-8.2884270287558147E-3</c:v>
                </c:pt>
                <c:pt idx="73">
                  <c:v>-5.5774842189428471E-3</c:v>
                </c:pt>
                <c:pt idx="74">
                  <c:v>-3.6537092358212577E-3</c:v>
                </c:pt>
                <c:pt idx="75">
                  <c:v>-2.3311824779755062E-3</c:v>
                </c:pt>
                <c:pt idx="76">
                  <c:v>-1.4492715859229601E-3</c:v>
                </c:pt>
                <c:pt idx="77">
                  <c:v>-8.7823910614371454E-4</c:v>
                </c:pt>
                <c:pt idx="78">
                  <c:v>-5.1892201618174323E-4</c:v>
                </c:pt>
                <c:pt idx="79">
                  <c:v>-2.9904528629911393E-4</c:v>
                </c:pt>
                <c:pt idx="80">
                  <c:v>-1.6812097742350125E-4</c:v>
                </c:pt>
                <c:pt idx="81">
                  <c:v>-9.2225107439996684E-5</c:v>
                </c:pt>
                <c:pt idx="82">
                  <c:v>-4.9374258343129331E-5</c:v>
                </c:pt>
                <c:pt idx="83">
                  <c:v>-2.580174750371607E-5</c:v>
                </c:pt>
                <c:pt idx="84">
                  <c:v>-1.3163159500460527E-5</c:v>
                </c:pt>
                <c:pt idx="85">
                  <c:v>-6.5568078920547199E-6</c:v>
                </c:pt>
                <c:pt idx="86">
                  <c:v>-3.1893279575471119E-6</c:v>
                </c:pt>
                <c:pt idx="87">
                  <c:v>-1.5150551751163741E-6</c:v>
                </c:pt>
                <c:pt idx="88">
                  <c:v>-7.0294938639957686E-7</c:v>
                </c:pt>
                <c:pt idx="89">
                  <c:v>-3.1858546195317385E-7</c:v>
                </c:pt>
                <c:pt idx="90">
                  <c:v>-1.4104922433134079E-7</c:v>
                </c:pt>
                <c:pt idx="91">
                  <c:v>-6.1008711051232058E-8</c:v>
                </c:pt>
                <c:pt idx="92">
                  <c:v>-2.5782216993929284E-8</c:v>
                </c:pt>
                <c:pt idx="93">
                  <c:v>-1.0645949297897659E-8</c:v>
                </c:pt>
                <c:pt idx="94">
                  <c:v>-4.2954687144746791E-9</c:v>
                </c:pt>
                <c:pt idx="95">
                  <c:v>-1.6936479032864237E-9</c:v>
                </c:pt>
                <c:pt idx="96">
                  <c:v>-6.5259646711282853E-10</c:v>
                </c:pt>
                <c:pt idx="97">
                  <c:v>-2.4575160577531036E-10</c:v>
                </c:pt>
                <c:pt idx="98">
                  <c:v>-9.0447728509277747E-11</c:v>
                </c:pt>
                <c:pt idx="99">
                  <c:v>-3.2536206053767727E-11</c:v>
                </c:pt>
                <c:pt idx="100">
                  <c:v>-1.143987288221295E-11</c:v>
                </c:pt>
                <c:pt idx="101">
                  <c:v>-3.9316653072302868E-12</c:v>
                </c:pt>
                <c:pt idx="102">
                  <c:v>-1.320833108156023E-12</c:v>
                </c:pt>
                <c:pt idx="103">
                  <c:v>-4.3376001318633173E-13</c:v>
                </c:pt>
                <c:pt idx="104">
                  <c:v>-1.3924977308507722E-13</c:v>
                </c:pt>
                <c:pt idx="105">
                  <c:v>-4.3701402451710684E-14</c:v>
                </c:pt>
                <c:pt idx="106">
                  <c:v>-1.3407997278383883E-14</c:v>
                </c:pt>
                <c:pt idx="107">
                  <c:v>-4.0217143076506086E-15</c:v>
                </c:pt>
                <c:pt idx="108">
                  <c:v>-1.1793637528424968E-15</c:v>
                </c:pt>
                <c:pt idx="109">
                  <c:v>-3.3812985414271306E-16</c:v>
                </c:pt>
                <c:pt idx="110">
                  <c:v>-9.4782429991450291E-17</c:v>
                </c:pt>
                <c:pt idx="111">
                  <c:v>-2.5977039192418121E-17</c:v>
                </c:pt>
                <c:pt idx="112">
                  <c:v>-6.9610924688848812E-18</c:v>
                </c:pt>
                <c:pt idx="113">
                  <c:v>-1.8238920345350609E-18</c:v>
                </c:pt>
                <c:pt idx="114">
                  <c:v>-4.6726414006019111E-19</c:v>
                </c:pt>
                <c:pt idx="115">
                  <c:v>-1.1705086878197618E-19</c:v>
                </c:pt>
                <c:pt idx="116">
                  <c:v>-2.867098458565856E-20</c:v>
                </c:pt>
                <c:pt idx="117">
                  <c:v>-6.8670931551074589E-21</c:v>
                </c:pt>
                <c:pt idx="118">
                  <c:v>-1.6083179925866312E-21</c:v>
                </c:pt>
                <c:pt idx="119">
                  <c:v>-3.6833717295028941E-22</c:v>
                </c:pt>
                <c:pt idx="120">
                  <c:v>-8.2489668466418961E-23</c:v>
                </c:pt>
                <c:pt idx="121">
                  <c:v>-1.8065060482950016E-23</c:v>
                </c:pt>
                <c:pt idx="122">
                  <c:v>-3.8687473986933978E-24</c:v>
                </c:pt>
                <c:pt idx="123">
                  <c:v>-8.1020969443908619E-25</c:v>
                </c:pt>
                <c:pt idx="124">
                  <c:v>-1.6593018804604906E-25</c:v>
                </c:pt>
                <c:pt idx="125">
                  <c:v>-3.3232184238847492E-26</c:v>
                </c:pt>
                <c:pt idx="126">
                  <c:v>-6.5088204852336909E-27</c:v>
                </c:pt>
                <c:pt idx="127">
                  <c:v>-1.2466939763181187E-27</c:v>
                </c:pt>
                <c:pt idx="128">
                  <c:v>-2.3352622294810431E-28</c:v>
                </c:pt>
                <c:pt idx="129">
                  <c:v>-4.2779290942185254E-29</c:v>
                </c:pt>
                <c:pt idx="130">
                  <c:v>-7.6640335296075839E-30</c:v>
                </c:pt>
                <c:pt idx="131">
                  <c:v>-1.3427980689351712E-30</c:v>
                </c:pt>
                <c:pt idx="132">
                  <c:v>-2.3008960138398277E-31</c:v>
                </c:pt>
                <c:pt idx="133">
                  <c:v>-3.8558452114922706E-32</c:v>
                </c:pt>
                <c:pt idx="134">
                  <c:v>-6.3194855875974936E-33</c:v>
                </c:pt>
                <c:pt idx="135">
                  <c:v>-1.0129464912759934E-33</c:v>
                </c:pt>
                <c:pt idx="136">
                  <c:v>-1.5879503281629839E-34</c:v>
                </c:pt>
                <c:pt idx="137">
                  <c:v>-2.4346460941862063E-35</c:v>
                </c:pt>
                <c:pt idx="138">
                  <c:v>-3.6507834142490905E-36</c:v>
                </c:pt>
                <c:pt idx="139">
                  <c:v>-5.3541469573168053E-37</c:v>
                </c:pt>
                <c:pt idx="140">
                  <c:v>-7.6798208789918117E-38</c:v>
                </c:pt>
                <c:pt idx="141">
                  <c:v>-1.0773851546375022E-38</c:v>
                </c:pt>
                <c:pt idx="142">
                  <c:v>-1.4782653572335509E-39</c:v>
                </c:pt>
                <c:pt idx="143">
                  <c:v>-1.9837990187815954E-40</c:v>
                </c:pt>
                <c:pt idx="144">
                  <c:v>-2.6038086685345476E-41</c:v>
                </c:pt>
                <c:pt idx="145">
                  <c:v>-3.3426336786552859E-42</c:v>
                </c:pt>
                <c:pt idx="146">
                  <c:v>-4.1969997375916675E-43</c:v>
                </c:pt>
                <c:pt idx="147">
                  <c:v>-5.1542039128008742E-44</c:v>
                </c:pt>
                <c:pt idx="148">
                  <c:v>-6.1909705517216162E-45</c:v>
                </c:pt>
                <c:pt idx="149">
                  <c:v>-7.2733133278037585E-46</c:v>
                </c:pt>
                <c:pt idx="150">
                  <c:v>-8.3576492796284109E-47</c:v>
                </c:pt>
                <c:pt idx="151">
                  <c:v>-9.3932544663680539E-48</c:v>
                </c:pt>
                <c:pt idx="152">
                  <c:v>-1.0325946988908716E-48</c:v>
                </c:pt>
                <c:pt idx="153">
                  <c:v>-1.1102665585929024E-49</c:v>
                </c:pt>
                <c:pt idx="154">
                  <c:v>-1.1676423734355919E-50</c:v>
                </c:pt>
                <c:pt idx="155">
                  <c:v>-1.2011002649119678E-51</c:v>
                </c:pt>
                <c:pt idx="156">
                  <c:v>-1.2084733212124694E-52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8B-4198-A4EA-8C7CDEAFCE75}"/>
            </c:ext>
          </c:extLst>
        </c:ser>
        <c:ser>
          <c:idx val="2"/>
          <c:order val="2"/>
          <c:tx>
            <c:strRef>
              <c:f>'transversal subsidence-gauss'!$O$4</c:f>
              <c:strCache>
                <c:ptCount val="1"/>
                <c:pt idx="0">
                  <c:v>Total horizontal deformation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'transversal subsidence-gauss'!$G$10:$G$166</c:f>
              <c:numCache>
                <c:formatCode>General</c:formatCode>
                <c:ptCount val="157"/>
                <c:pt idx="0">
                  <c:v>-60</c:v>
                </c:pt>
                <c:pt idx="1">
                  <c:v>-59</c:v>
                </c:pt>
                <c:pt idx="2">
                  <c:v>-58</c:v>
                </c:pt>
                <c:pt idx="3">
                  <c:v>-57</c:v>
                </c:pt>
                <c:pt idx="4">
                  <c:v>-56</c:v>
                </c:pt>
                <c:pt idx="5">
                  <c:v>-55</c:v>
                </c:pt>
                <c:pt idx="6">
                  <c:v>-54</c:v>
                </c:pt>
                <c:pt idx="7">
                  <c:v>-53</c:v>
                </c:pt>
                <c:pt idx="8">
                  <c:v>-52</c:v>
                </c:pt>
                <c:pt idx="9">
                  <c:v>-51</c:v>
                </c:pt>
                <c:pt idx="10">
                  <c:v>-50</c:v>
                </c:pt>
                <c:pt idx="11">
                  <c:v>-49</c:v>
                </c:pt>
                <c:pt idx="12">
                  <c:v>-48</c:v>
                </c:pt>
                <c:pt idx="13">
                  <c:v>-47</c:v>
                </c:pt>
                <c:pt idx="14">
                  <c:v>-46</c:v>
                </c:pt>
                <c:pt idx="15">
                  <c:v>-45</c:v>
                </c:pt>
                <c:pt idx="16">
                  <c:v>-44</c:v>
                </c:pt>
                <c:pt idx="17">
                  <c:v>-43</c:v>
                </c:pt>
                <c:pt idx="18">
                  <c:v>-42</c:v>
                </c:pt>
                <c:pt idx="19">
                  <c:v>-41</c:v>
                </c:pt>
                <c:pt idx="20">
                  <c:v>-40</c:v>
                </c:pt>
                <c:pt idx="21">
                  <c:v>-39</c:v>
                </c:pt>
                <c:pt idx="22">
                  <c:v>-38</c:v>
                </c:pt>
                <c:pt idx="23">
                  <c:v>-37</c:v>
                </c:pt>
                <c:pt idx="24">
                  <c:v>-36</c:v>
                </c:pt>
                <c:pt idx="25">
                  <c:v>-35</c:v>
                </c:pt>
                <c:pt idx="26">
                  <c:v>-34</c:v>
                </c:pt>
                <c:pt idx="27">
                  <c:v>-33</c:v>
                </c:pt>
                <c:pt idx="28">
                  <c:v>-32</c:v>
                </c:pt>
                <c:pt idx="29">
                  <c:v>-31</c:v>
                </c:pt>
                <c:pt idx="30">
                  <c:v>-30</c:v>
                </c:pt>
                <c:pt idx="31">
                  <c:v>-29</c:v>
                </c:pt>
                <c:pt idx="32">
                  <c:v>-28</c:v>
                </c:pt>
                <c:pt idx="33">
                  <c:v>-27</c:v>
                </c:pt>
                <c:pt idx="34">
                  <c:v>-26</c:v>
                </c:pt>
                <c:pt idx="35">
                  <c:v>-25</c:v>
                </c:pt>
                <c:pt idx="36">
                  <c:v>-24</c:v>
                </c:pt>
                <c:pt idx="37">
                  <c:v>-23</c:v>
                </c:pt>
                <c:pt idx="38">
                  <c:v>-22</c:v>
                </c:pt>
                <c:pt idx="39">
                  <c:v>-21</c:v>
                </c:pt>
                <c:pt idx="40">
                  <c:v>-20</c:v>
                </c:pt>
                <c:pt idx="41">
                  <c:v>-19</c:v>
                </c:pt>
                <c:pt idx="42">
                  <c:v>-18</c:v>
                </c:pt>
                <c:pt idx="43">
                  <c:v>-17</c:v>
                </c:pt>
                <c:pt idx="44">
                  <c:v>-16</c:v>
                </c:pt>
                <c:pt idx="45">
                  <c:v>-15</c:v>
                </c:pt>
                <c:pt idx="46">
                  <c:v>-14</c:v>
                </c:pt>
                <c:pt idx="47">
                  <c:v>-13</c:v>
                </c:pt>
                <c:pt idx="48">
                  <c:v>-12</c:v>
                </c:pt>
                <c:pt idx="49">
                  <c:v>-11</c:v>
                </c:pt>
                <c:pt idx="50">
                  <c:v>-10</c:v>
                </c:pt>
                <c:pt idx="51">
                  <c:v>-9</c:v>
                </c:pt>
                <c:pt idx="52">
                  <c:v>-8</c:v>
                </c:pt>
                <c:pt idx="53">
                  <c:v>-7</c:v>
                </c:pt>
                <c:pt idx="54">
                  <c:v>-6</c:v>
                </c:pt>
                <c:pt idx="55">
                  <c:v>-5</c:v>
                </c:pt>
                <c:pt idx="56">
                  <c:v>-4</c:v>
                </c:pt>
                <c:pt idx="57">
                  <c:v>-3</c:v>
                </c:pt>
                <c:pt idx="58">
                  <c:v>-2</c:v>
                </c:pt>
                <c:pt idx="59">
                  <c:v>-1</c:v>
                </c:pt>
                <c:pt idx="60">
                  <c:v>0</c:v>
                </c:pt>
                <c:pt idx="61">
                  <c:v>1</c:v>
                </c:pt>
                <c:pt idx="62">
                  <c:v>2</c:v>
                </c:pt>
                <c:pt idx="63">
                  <c:v>3</c:v>
                </c:pt>
                <c:pt idx="64">
                  <c:v>4</c:v>
                </c:pt>
                <c:pt idx="65">
                  <c:v>5</c:v>
                </c:pt>
                <c:pt idx="66">
                  <c:v>6</c:v>
                </c:pt>
                <c:pt idx="67">
                  <c:v>7</c:v>
                </c:pt>
                <c:pt idx="68">
                  <c:v>8</c:v>
                </c:pt>
                <c:pt idx="69">
                  <c:v>9</c:v>
                </c:pt>
                <c:pt idx="70">
                  <c:v>10</c:v>
                </c:pt>
                <c:pt idx="71">
                  <c:v>11</c:v>
                </c:pt>
                <c:pt idx="72">
                  <c:v>12</c:v>
                </c:pt>
                <c:pt idx="73">
                  <c:v>13</c:v>
                </c:pt>
                <c:pt idx="74">
                  <c:v>14</c:v>
                </c:pt>
                <c:pt idx="75">
                  <c:v>15</c:v>
                </c:pt>
                <c:pt idx="76">
                  <c:v>16</c:v>
                </c:pt>
                <c:pt idx="77">
                  <c:v>17</c:v>
                </c:pt>
                <c:pt idx="78">
                  <c:v>18</c:v>
                </c:pt>
                <c:pt idx="79">
                  <c:v>19</c:v>
                </c:pt>
                <c:pt idx="80">
                  <c:v>20</c:v>
                </c:pt>
                <c:pt idx="81">
                  <c:v>21</c:v>
                </c:pt>
                <c:pt idx="82">
                  <c:v>22</c:v>
                </c:pt>
                <c:pt idx="83">
                  <c:v>23</c:v>
                </c:pt>
                <c:pt idx="84">
                  <c:v>24</c:v>
                </c:pt>
                <c:pt idx="85">
                  <c:v>25</c:v>
                </c:pt>
                <c:pt idx="86">
                  <c:v>26</c:v>
                </c:pt>
                <c:pt idx="87">
                  <c:v>27</c:v>
                </c:pt>
                <c:pt idx="88">
                  <c:v>28</c:v>
                </c:pt>
                <c:pt idx="89">
                  <c:v>29</c:v>
                </c:pt>
                <c:pt idx="90">
                  <c:v>30</c:v>
                </c:pt>
                <c:pt idx="91">
                  <c:v>31</c:v>
                </c:pt>
                <c:pt idx="92">
                  <c:v>32</c:v>
                </c:pt>
                <c:pt idx="93">
                  <c:v>33</c:v>
                </c:pt>
                <c:pt idx="94">
                  <c:v>34</c:v>
                </c:pt>
                <c:pt idx="95">
                  <c:v>35</c:v>
                </c:pt>
                <c:pt idx="96">
                  <c:v>36</c:v>
                </c:pt>
                <c:pt idx="97">
                  <c:v>37</c:v>
                </c:pt>
                <c:pt idx="98">
                  <c:v>38</c:v>
                </c:pt>
                <c:pt idx="99">
                  <c:v>39</c:v>
                </c:pt>
                <c:pt idx="100">
                  <c:v>40</c:v>
                </c:pt>
                <c:pt idx="101">
                  <c:v>41</c:v>
                </c:pt>
                <c:pt idx="102">
                  <c:v>42</c:v>
                </c:pt>
                <c:pt idx="103">
                  <c:v>43</c:v>
                </c:pt>
                <c:pt idx="104">
                  <c:v>44</c:v>
                </c:pt>
                <c:pt idx="105">
                  <c:v>45</c:v>
                </c:pt>
                <c:pt idx="106">
                  <c:v>46</c:v>
                </c:pt>
                <c:pt idx="107">
                  <c:v>47</c:v>
                </c:pt>
                <c:pt idx="108">
                  <c:v>48</c:v>
                </c:pt>
                <c:pt idx="109">
                  <c:v>49</c:v>
                </c:pt>
                <c:pt idx="110">
                  <c:v>50</c:v>
                </c:pt>
                <c:pt idx="111">
                  <c:v>51</c:v>
                </c:pt>
                <c:pt idx="112">
                  <c:v>52</c:v>
                </c:pt>
                <c:pt idx="113">
                  <c:v>53</c:v>
                </c:pt>
                <c:pt idx="114">
                  <c:v>54</c:v>
                </c:pt>
                <c:pt idx="115">
                  <c:v>55</c:v>
                </c:pt>
                <c:pt idx="116">
                  <c:v>56</c:v>
                </c:pt>
                <c:pt idx="117">
                  <c:v>57</c:v>
                </c:pt>
                <c:pt idx="118">
                  <c:v>58</c:v>
                </c:pt>
                <c:pt idx="119">
                  <c:v>59</c:v>
                </c:pt>
                <c:pt idx="120">
                  <c:v>60</c:v>
                </c:pt>
                <c:pt idx="121">
                  <c:v>61</c:v>
                </c:pt>
                <c:pt idx="122">
                  <c:v>62</c:v>
                </c:pt>
                <c:pt idx="123">
                  <c:v>63</c:v>
                </c:pt>
                <c:pt idx="124">
                  <c:v>64</c:v>
                </c:pt>
                <c:pt idx="125">
                  <c:v>65</c:v>
                </c:pt>
                <c:pt idx="126">
                  <c:v>66</c:v>
                </c:pt>
                <c:pt idx="127">
                  <c:v>67</c:v>
                </c:pt>
                <c:pt idx="128">
                  <c:v>68</c:v>
                </c:pt>
                <c:pt idx="129">
                  <c:v>69</c:v>
                </c:pt>
                <c:pt idx="130">
                  <c:v>70</c:v>
                </c:pt>
                <c:pt idx="131">
                  <c:v>71</c:v>
                </c:pt>
                <c:pt idx="132">
                  <c:v>72</c:v>
                </c:pt>
                <c:pt idx="133">
                  <c:v>73</c:v>
                </c:pt>
                <c:pt idx="134">
                  <c:v>74</c:v>
                </c:pt>
                <c:pt idx="135">
                  <c:v>75</c:v>
                </c:pt>
                <c:pt idx="136">
                  <c:v>76</c:v>
                </c:pt>
                <c:pt idx="137">
                  <c:v>77</c:v>
                </c:pt>
                <c:pt idx="138">
                  <c:v>78</c:v>
                </c:pt>
                <c:pt idx="139">
                  <c:v>79</c:v>
                </c:pt>
                <c:pt idx="140">
                  <c:v>80</c:v>
                </c:pt>
                <c:pt idx="141">
                  <c:v>81</c:v>
                </c:pt>
                <c:pt idx="142">
                  <c:v>82</c:v>
                </c:pt>
                <c:pt idx="143">
                  <c:v>83</c:v>
                </c:pt>
                <c:pt idx="144">
                  <c:v>84</c:v>
                </c:pt>
                <c:pt idx="145">
                  <c:v>85</c:v>
                </c:pt>
                <c:pt idx="146">
                  <c:v>86</c:v>
                </c:pt>
                <c:pt idx="147">
                  <c:v>87</c:v>
                </c:pt>
                <c:pt idx="148">
                  <c:v>88</c:v>
                </c:pt>
                <c:pt idx="149">
                  <c:v>89</c:v>
                </c:pt>
                <c:pt idx="150">
                  <c:v>90</c:v>
                </c:pt>
                <c:pt idx="151">
                  <c:v>91</c:v>
                </c:pt>
                <c:pt idx="152">
                  <c:v>92</c:v>
                </c:pt>
                <c:pt idx="153">
                  <c:v>93</c:v>
                </c:pt>
                <c:pt idx="154">
                  <c:v>94</c:v>
                </c:pt>
                <c:pt idx="155">
                  <c:v>95</c:v>
                </c:pt>
                <c:pt idx="156">
                  <c:v>96</c:v>
                </c:pt>
              </c:numCache>
            </c:numRef>
          </c:xVal>
          <c:yVal>
            <c:numRef>
              <c:f>'transversal subsidence-gauss'!$P$10:$P$166</c:f>
              <c:numCache>
                <c:formatCode>0.00000</c:formatCode>
                <c:ptCount val="157"/>
                <c:pt idx="0">
                  <c:v>-1.1439967664642942E-11</c:v>
                </c:pt>
                <c:pt idx="1">
                  <c:v>-3.2536544183621869E-11</c:v>
                </c:pt>
                <c:pt idx="2">
                  <c:v>-9.0448907873030592E-11</c:v>
                </c:pt>
                <c:pt idx="3">
                  <c:v>-2.45755627489618E-10</c:v>
                </c:pt>
                <c:pt idx="4">
                  <c:v>-6.5260987511010688E-10</c:v>
                </c:pt>
                <c:pt idx="5">
                  <c:v>-1.6936916046888754E-9</c:v>
                </c:pt>
                <c:pt idx="6">
                  <c:v>-4.2956079642477642E-9</c:v>
                </c:pt>
                <c:pt idx="7">
                  <c:v>-1.0646383057910846E-8</c:v>
                </c:pt>
                <c:pt idx="8">
                  <c:v>-2.578353782703744E-8</c:v>
                </c:pt>
                <c:pt idx="9">
                  <c:v>-6.1012642716539293E-8</c:v>
                </c:pt>
                <c:pt idx="10">
                  <c:v>-1.41060664204223E-7</c:v>
                </c:pt>
                <c:pt idx="11">
                  <c:v>-3.186179981592276E-7</c:v>
                </c:pt>
                <c:pt idx="12">
                  <c:v>-7.0303983412808616E-7</c:v>
                </c:pt>
                <c:pt idx="13">
                  <c:v>-1.5153009267221495E-6</c:v>
                </c:pt>
                <c:pt idx="14">
                  <c:v>-3.1899805540142246E-6</c:v>
                </c:pt>
                <c:pt idx="15">
                  <c:v>-6.5585015399580067E-6</c:v>
                </c:pt>
                <c:pt idx="16">
                  <c:v>-1.3167454969175001E-5</c:v>
                </c:pt>
                <c:pt idx="17">
                  <c:v>-2.5812393453013967E-5</c:v>
                </c:pt>
                <c:pt idx="18">
                  <c:v>-4.9400040560123261E-5</c:v>
                </c:pt>
                <c:pt idx="19">
                  <c:v>-9.2286116151047917E-5</c:v>
                </c:pt>
                <c:pt idx="20">
                  <c:v>-1.6826202664783259E-4</c:v>
                </c:pt>
                <c:pt idx="21">
                  <c:v>-2.9936387176106712E-4</c:v>
                </c:pt>
                <c:pt idx="22">
                  <c:v>-5.196249655681428E-4</c:v>
                </c:pt>
                <c:pt idx="23">
                  <c:v>-8.7975416131883086E-4</c:v>
                </c:pt>
                <c:pt idx="24">
                  <c:v>-1.4524609138805073E-3</c:v>
                </c:pt>
                <c:pt idx="25">
                  <c:v>-2.3377392858675611E-3</c:v>
                </c:pt>
                <c:pt idx="26">
                  <c:v>-3.6668723953217183E-3</c:v>
                </c:pt>
                <c:pt idx="27">
                  <c:v>-5.6032859664465629E-3</c:v>
                </c:pt>
                <c:pt idx="28">
                  <c:v>-8.3378012870989442E-3</c:v>
                </c:pt>
                <c:pt idx="29">
                  <c:v>-1.207553658001944E-2</c:v>
                </c:pt>
                <c:pt idx="30">
                  <c:v>-1.7011971954092982E-2</c:v>
                </c:pt>
                <c:pt idx="31">
                  <c:v>-2.3296826456541183E-2</c:v>
                </c:pt>
                <c:pt idx="32">
                  <c:v>-3.0986602309991194E-2</c:v>
                </c:pt>
                <c:pt idx="33">
                  <c:v>-3.9989908372357913E-2</c:v>
                </c:pt>
                <c:pt idx="34">
                  <c:v>-5.0013598521871136E-2</c:v>
                </c:pt>
                <c:pt idx="35">
                  <c:v>-6.0521533592261416E-2</c:v>
                </c:pt>
                <c:pt idx="36">
                  <c:v>-7.072019688698504E-2</c:v>
                </c:pt>
                <c:pt idx="37">
                  <c:v>-7.958510091149272E-2</c:v>
                </c:pt>
                <c:pt idx="38">
                  <c:v>-8.5937787429233345E-2</c:v>
                </c:pt>
                <c:pt idx="39">
                  <c:v>-8.8574844147204124E-2</c:v>
                </c:pt>
                <c:pt idx="40">
                  <c:v>-8.6438519434783145E-2</c:v>
                </c:pt>
                <c:pt idx="41">
                  <c:v>-7.8805382785087558E-2</c:v>
                </c:pt>
                <c:pt idx="42">
                  <c:v>-6.5458406809068975E-2</c:v>
                </c:pt>
                <c:pt idx="43">
                  <c:v>-4.6802662636505767E-2</c:v>
                </c:pt>
                <c:pt idx="44">
                  <c:v>-2.3888703079794755E-2</c:v>
                </c:pt>
                <c:pt idx="45">
                  <c:v>1.6780598527237553E-3</c:v>
                </c:pt>
                <c:pt idx="46">
                  <c:v>2.7940654852253222E-2</c:v>
                </c:pt>
                <c:pt idx="47">
                  <c:v>5.2878008298277407E-2</c:v>
                </c:pt>
                <c:pt idx="48">
                  <c:v>7.4723564293838848E-2</c:v>
                </c:pt>
                <c:pt idx="49">
                  <c:v>9.2247730767015201E-2</c:v>
                </c:pt>
                <c:pt idx="50">
                  <c:v>0.10493825674131929</c:v>
                </c:pt>
                <c:pt idx="51">
                  <c:v>0.11303166182679439</c:v>
                </c:pt>
                <c:pt idx="52">
                  <c:v>0.11738219817905686</c:v>
                </c:pt>
                <c:pt idx="53">
                  <c:v>0.11919463162053572</c:v>
                </c:pt>
                <c:pt idx="54">
                  <c:v>0.11968276635957042</c:v>
                </c:pt>
                <c:pt idx="55">
                  <c:v>0.11973682193401933</c:v>
                </c:pt>
                <c:pt idx="56">
                  <c:v>0.11968276635957042</c:v>
                </c:pt>
                <c:pt idx="57">
                  <c:v>0.11919463162053572</c:v>
                </c:pt>
                <c:pt idx="58">
                  <c:v>0.11738219817905686</c:v>
                </c:pt>
                <c:pt idx="59">
                  <c:v>0.11303166182679439</c:v>
                </c:pt>
                <c:pt idx="60">
                  <c:v>0.10493825674131929</c:v>
                </c:pt>
                <c:pt idx="61">
                  <c:v>9.2247730767015201E-2</c:v>
                </c:pt>
                <c:pt idx="62">
                  <c:v>7.4723564293838848E-2</c:v>
                </c:pt>
                <c:pt idx="63">
                  <c:v>5.2878008298277407E-2</c:v>
                </c:pt>
                <c:pt idx="64">
                  <c:v>2.7940654852253222E-2</c:v>
                </c:pt>
                <c:pt idx="65">
                  <c:v>1.6780598527237553E-3</c:v>
                </c:pt>
                <c:pt idx="66">
                  <c:v>-2.3888703079794755E-2</c:v>
                </c:pt>
                <c:pt idx="67">
                  <c:v>-4.6802662636505767E-2</c:v>
                </c:pt>
                <c:pt idx="68">
                  <c:v>-6.5458406809068975E-2</c:v>
                </c:pt>
                <c:pt idx="69">
                  <c:v>-7.8805382785087558E-2</c:v>
                </c:pt>
                <c:pt idx="70">
                  <c:v>-8.6438519434783145E-2</c:v>
                </c:pt>
                <c:pt idx="71">
                  <c:v>-8.8574844147204124E-2</c:v>
                </c:pt>
                <c:pt idx="72">
                  <c:v>-8.5937787429233345E-2</c:v>
                </c:pt>
                <c:pt idx="73">
                  <c:v>-7.958510091149272E-2</c:v>
                </c:pt>
                <c:pt idx="74">
                  <c:v>-7.072019688698504E-2</c:v>
                </c:pt>
                <c:pt idx="75">
                  <c:v>-6.0521533592261416E-2</c:v>
                </c:pt>
                <c:pt idx="76">
                  <c:v>-5.0013598521871136E-2</c:v>
                </c:pt>
                <c:pt idx="77">
                  <c:v>-3.9989908372357913E-2</c:v>
                </c:pt>
                <c:pt idx="78">
                  <c:v>-3.0986602309991194E-2</c:v>
                </c:pt>
                <c:pt idx="79">
                  <c:v>-2.3296826456541183E-2</c:v>
                </c:pt>
                <c:pt idx="80">
                  <c:v>-1.7011971954092982E-2</c:v>
                </c:pt>
                <c:pt idx="81">
                  <c:v>-1.207553658001944E-2</c:v>
                </c:pt>
                <c:pt idx="82">
                  <c:v>-8.3378012870989442E-3</c:v>
                </c:pt>
                <c:pt idx="83">
                  <c:v>-5.6032859664465629E-3</c:v>
                </c:pt>
                <c:pt idx="84">
                  <c:v>-3.6668723953217183E-3</c:v>
                </c:pt>
                <c:pt idx="85">
                  <c:v>-2.3377392858675611E-3</c:v>
                </c:pt>
                <c:pt idx="86">
                  <c:v>-1.4524609138805073E-3</c:v>
                </c:pt>
                <c:pt idx="87">
                  <c:v>-8.7975416131883086E-4</c:v>
                </c:pt>
                <c:pt idx="88">
                  <c:v>-5.196249655681428E-4</c:v>
                </c:pt>
                <c:pt idx="89">
                  <c:v>-2.9936387176106712E-4</c:v>
                </c:pt>
                <c:pt idx="90">
                  <c:v>-1.6826202664783259E-4</c:v>
                </c:pt>
                <c:pt idx="91">
                  <c:v>-9.2286116151047917E-5</c:v>
                </c:pt>
                <c:pt idx="92">
                  <c:v>-4.9400040560123261E-5</c:v>
                </c:pt>
                <c:pt idx="93">
                  <c:v>-2.5812393453013967E-5</c:v>
                </c:pt>
                <c:pt idx="94">
                  <c:v>-1.3167454969175001E-5</c:v>
                </c:pt>
                <c:pt idx="95">
                  <c:v>-6.5585015399580067E-6</c:v>
                </c:pt>
                <c:pt idx="96">
                  <c:v>-3.1899805540142246E-6</c:v>
                </c:pt>
                <c:pt idx="97">
                  <c:v>-1.5153009267221495E-6</c:v>
                </c:pt>
                <c:pt idx="98">
                  <c:v>-7.0303983412808616E-7</c:v>
                </c:pt>
                <c:pt idx="99">
                  <c:v>-3.186179981592276E-7</c:v>
                </c:pt>
                <c:pt idx="100">
                  <c:v>-1.41060664204223E-7</c:v>
                </c:pt>
                <c:pt idx="101">
                  <c:v>-6.1012642716539293E-8</c:v>
                </c:pt>
                <c:pt idx="102">
                  <c:v>-2.578353782703744E-8</c:v>
                </c:pt>
                <c:pt idx="103">
                  <c:v>-1.0646383057910846E-8</c:v>
                </c:pt>
                <c:pt idx="104">
                  <c:v>-4.2956079642477642E-9</c:v>
                </c:pt>
                <c:pt idx="105">
                  <c:v>-1.6936916046888754E-9</c:v>
                </c:pt>
                <c:pt idx="106">
                  <c:v>-6.5260987511010688E-10</c:v>
                </c:pt>
                <c:pt idx="107">
                  <c:v>-2.45755627489618E-10</c:v>
                </c:pt>
                <c:pt idx="108">
                  <c:v>-9.0448907873030592E-11</c:v>
                </c:pt>
                <c:pt idx="109">
                  <c:v>-3.2536544183621869E-11</c:v>
                </c:pt>
                <c:pt idx="110">
                  <c:v>-1.1439967664642942E-11</c:v>
                </c:pt>
                <c:pt idx="111">
                  <c:v>-3.931691284269479E-12</c:v>
                </c:pt>
                <c:pt idx="112">
                  <c:v>-1.3208400692484919E-12</c:v>
                </c:pt>
                <c:pt idx="113">
                  <c:v>-4.3376183707836625E-13</c:v>
                </c:pt>
                <c:pt idx="114">
                  <c:v>-1.3925024034921728E-13</c:v>
                </c:pt>
                <c:pt idx="115">
                  <c:v>-4.3701519502579468E-14</c:v>
                </c:pt>
                <c:pt idx="116">
                  <c:v>-1.340802594936847E-14</c:v>
                </c:pt>
                <c:pt idx="117">
                  <c:v>-4.0217211747437638E-15</c:v>
                </c:pt>
                <c:pt idx="118">
                  <c:v>-1.1793653611604895E-15</c:v>
                </c:pt>
                <c:pt idx="119">
                  <c:v>-3.3813022247988601E-16</c:v>
                </c:pt>
                <c:pt idx="120">
                  <c:v>-9.4782512481118762E-17</c:v>
                </c:pt>
                <c:pt idx="121">
                  <c:v>-2.5977057257478605E-17</c:v>
                </c:pt>
                <c:pt idx="122">
                  <c:v>-6.9610963376322805E-18</c:v>
                </c:pt>
                <c:pt idx="123">
                  <c:v>-1.8238928447447555E-18</c:v>
                </c:pt>
                <c:pt idx="124">
                  <c:v>-4.6726430599037913E-19</c:v>
                </c:pt>
                <c:pt idx="125">
                  <c:v>-1.1705090201416043E-19</c:v>
                </c:pt>
                <c:pt idx="126">
                  <c:v>-2.8670991094479045E-20</c:v>
                </c:pt>
                <c:pt idx="127">
                  <c:v>-6.8670944018014356E-21</c:v>
                </c:pt>
                <c:pt idx="128">
                  <c:v>-1.6083182261128541E-21</c:v>
                </c:pt>
                <c:pt idx="129">
                  <c:v>-3.6833721572958038E-22</c:v>
                </c:pt>
                <c:pt idx="130">
                  <c:v>-8.2489676130452485E-23</c:v>
                </c:pt>
                <c:pt idx="131">
                  <c:v>-1.8065061825748084E-23</c:v>
                </c:pt>
                <c:pt idx="132">
                  <c:v>-3.8687476287829994E-24</c:v>
                </c:pt>
                <c:pt idx="133">
                  <c:v>-8.1020973299753828E-25</c:v>
                </c:pt>
                <c:pt idx="134">
                  <c:v>-1.6593019436553466E-25</c:v>
                </c:pt>
                <c:pt idx="135">
                  <c:v>-3.3232185251793985E-26</c:v>
                </c:pt>
                <c:pt idx="136">
                  <c:v>-6.5088206440287231E-27</c:v>
                </c:pt>
                <c:pt idx="137">
                  <c:v>-1.2466940006645796E-27</c:v>
                </c:pt>
                <c:pt idx="138">
                  <c:v>-2.3352622659888774E-28</c:v>
                </c:pt>
                <c:pt idx="139">
                  <c:v>-4.2779291477599951E-29</c:v>
                </c:pt>
                <c:pt idx="140">
                  <c:v>-7.6640336064057925E-30</c:v>
                </c:pt>
                <c:pt idx="141">
                  <c:v>-1.3427980797090227E-30</c:v>
                </c:pt>
                <c:pt idx="142">
                  <c:v>-2.3008960286224812E-31</c:v>
                </c:pt>
                <c:pt idx="143">
                  <c:v>-3.8558452313302609E-32</c:v>
                </c:pt>
                <c:pt idx="144">
                  <c:v>-6.3194856136355801E-33</c:v>
                </c:pt>
                <c:pt idx="145">
                  <c:v>-1.012946494618627E-33</c:v>
                </c:pt>
                <c:pt idx="146">
                  <c:v>-1.5879503323599836E-34</c:v>
                </c:pt>
                <c:pt idx="147">
                  <c:v>-2.4346460993404101E-35</c:v>
                </c:pt>
                <c:pt idx="148">
                  <c:v>-3.6507834204400609E-36</c:v>
                </c:pt>
                <c:pt idx="149">
                  <c:v>-5.3541469645901189E-37</c:v>
                </c:pt>
                <c:pt idx="150">
                  <c:v>-7.6798208873494613E-38</c:v>
                </c:pt>
                <c:pt idx="151">
                  <c:v>-1.0773851555768276E-38</c:v>
                </c:pt>
                <c:pt idx="152">
                  <c:v>-1.4782653582661458E-39</c:v>
                </c:pt>
                <c:pt idx="153">
                  <c:v>-1.9837990198918621E-40</c:v>
                </c:pt>
                <c:pt idx="154">
                  <c:v>-2.6038086697021901E-41</c:v>
                </c:pt>
                <c:pt idx="155">
                  <c:v>-3.3426336798563861E-42</c:v>
                </c:pt>
                <c:pt idx="156">
                  <c:v>-4.1969997388001408E-43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8B-4198-A4EA-8C7CDEAFCE75}"/>
            </c:ext>
          </c:extLst>
        </c:ser>
        <c:ser>
          <c:idx val="3"/>
          <c:order val="3"/>
          <c:tx>
            <c:strRef>
              <c:f>'transversal subsidence-gauss'!$M$1</c:f>
              <c:strCache>
                <c:ptCount val="1"/>
                <c:pt idx="0">
                  <c:v>Foundation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'transversal subsidence-gauss'!$M$3:$M$4</c:f>
              <c:numCache>
                <c:formatCode>General</c:formatCode>
                <c:ptCount val="2"/>
                <c:pt idx="0">
                  <c:v>-22.198671000000001</c:v>
                </c:pt>
                <c:pt idx="1">
                  <c:v>-12.488417999999999</c:v>
                </c:pt>
              </c:numCache>
            </c:numRef>
          </c:xVal>
          <c:yVal>
            <c:numRef>
              <c:f>'transversal subsidence-gauss'!$N$3:$N$4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8B-4198-A4EA-8C7CDEAFC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736256"/>
        <c:axId val="298750720"/>
      </c:scatterChart>
      <c:valAx>
        <c:axId val="298736256"/>
        <c:scaling>
          <c:orientation val="minMax"/>
          <c:max val="30"/>
          <c:min val="-30"/>
        </c:scaling>
        <c:delete val="0"/>
        <c:axPos val="t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y (m)</a:t>
                </a:r>
              </a:p>
            </c:rich>
          </c:tx>
          <c:layout>
            <c:manualLayout>
              <c:xMode val="edge"/>
              <c:yMode val="edge"/>
              <c:x val="0.5121957316311071"/>
              <c:y val="3.8461538461538464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8750720"/>
        <c:crosses val="autoZero"/>
        <c:crossBetween val="midCat"/>
      </c:valAx>
      <c:valAx>
        <c:axId val="298750720"/>
        <c:scaling>
          <c:orientation val="maxMin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 sz="1200" b="1" i="0" u="none" strike="noStrike" baseline="0">
                    <a:solidFill>
                      <a:srgbClr val="000000"/>
                    </a:solidFill>
                    <a:latin typeface="Symbol"/>
                  </a:rPr>
                  <a:t>e</a:t>
                </a:r>
                <a:r>
                  <a:rPr lang="it-IT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_h</a:t>
                </a:r>
                <a:r>
                  <a:rPr lang="it-IT" sz="1200" b="1" i="0" u="none" strike="noStrike" baseline="0">
                    <a:solidFill>
                      <a:srgbClr val="000000"/>
                    </a:solidFill>
                    <a:latin typeface="Symbol"/>
                  </a:rPr>
                  <a:t> </a:t>
                </a:r>
                <a:r>
                  <a:rPr lang="it-IT" sz="12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(%)</a:t>
                </a:r>
              </a:p>
            </c:rich>
          </c:tx>
          <c:layout>
            <c:manualLayout>
              <c:xMode val="edge"/>
              <c:yMode val="edge"/>
              <c:x val="2.0905923344947737E-2"/>
              <c:y val="0.463942307692307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98736256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7595895483875357"/>
          <c:y val="0.53846153846153844"/>
          <c:w val="0.27758451925508953"/>
          <c:h val="0.40384615384615385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254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ANDAMENTO DEI CEDIMENTI NEL TEMPO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10"/>
              <c:pt idx="0">
                <c:v>0.97786836367344698</c:v>
              </c:pt>
              <c:pt idx="1">
                <c:v>3.5203261092244098</c:v>
              </c:pt>
              <c:pt idx="2">
                <c:v>8.2140942548569509</c:v>
              </c:pt>
              <c:pt idx="3">
                <c:v>23.4688407281627</c:v>
              </c:pt>
              <c:pt idx="4">
                <c:v>35.203261092244098</c:v>
              </c:pt>
              <c:pt idx="5">
                <c:v>46.9376814563254</c:v>
              </c:pt>
              <c:pt idx="6">
                <c:v>97.786836367344705</c:v>
              </c:pt>
              <c:pt idx="7">
                <c:v>160.37041164244499</c:v>
              </c:pt>
              <c:pt idx="8">
                <c:v>316.82934983019697</c:v>
              </c:pt>
              <c:pt idx="9">
                <c:v>391.14734546937802</c:v>
              </c:pt>
            </c:numLit>
          </c:xVal>
          <c:yVal>
            <c:numLit>
              <c:formatCode>General</c:formatCode>
              <c:ptCount val="10"/>
              <c:pt idx="0">
                <c:v>0.110143627723424</c:v>
              </c:pt>
              <c:pt idx="1">
                <c:v>0.14685817029789899</c:v>
              </c:pt>
              <c:pt idx="2">
                <c:v>0.22028725544684799</c:v>
              </c:pt>
              <c:pt idx="3">
                <c:v>0.29371634059579799</c:v>
              </c:pt>
              <c:pt idx="4">
                <c:v>0.36714542574474701</c:v>
              </c:pt>
              <c:pt idx="5">
                <c:v>0.44057451089369698</c:v>
              </c:pt>
              <c:pt idx="6">
                <c:v>0.514003596042647</c:v>
              </c:pt>
              <c:pt idx="7">
                <c:v>0.58743268119159597</c:v>
              </c:pt>
              <c:pt idx="8">
                <c:v>0.66086176634054605</c:v>
              </c:pt>
              <c:pt idx="9">
                <c:v>0.73429085148949502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2C-4265-B157-0F5D99489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936960"/>
        <c:axId val="104938880"/>
      </c:scatterChart>
      <c:valAx>
        <c:axId val="104936960"/>
        <c:scaling>
          <c:orientation val="minMax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t (giorni)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104938880"/>
        <c:crosses val="autoZero"/>
        <c:crossBetween val="midCat"/>
      </c:valAx>
      <c:valAx>
        <c:axId val="104938880"/>
        <c:scaling>
          <c:orientation val="maxMin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W (cm)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10493696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CATEGORIA DI DANNO DELL'EDIFICIO a LUNGO TERMINE
metodo SPW
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categoria 0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21"/>
              <c:pt idx="0">
                <c:v>0</c:v>
              </c:pt>
              <c:pt idx="1">
                <c:v>2.5000000000000001E-5</c:v>
              </c:pt>
              <c:pt idx="2">
                <c:v>5.0000000000000002E-5</c:v>
              </c:pt>
              <c:pt idx="3">
                <c:v>7.4999999999999899E-5</c:v>
              </c:pt>
              <c:pt idx="4">
                <c:v>1E-4</c:v>
              </c:pt>
              <c:pt idx="5">
                <c:v>1.25E-4</c:v>
              </c:pt>
              <c:pt idx="6">
                <c:v>1.4999999999999901E-4</c:v>
              </c:pt>
              <c:pt idx="7">
                <c:v>1.75E-4</c:v>
              </c:pt>
              <c:pt idx="8">
                <c:v>2.0000000000000001E-4</c:v>
              </c:pt>
              <c:pt idx="9">
                <c:v>2.2499999999999899E-4</c:v>
              </c:pt>
              <c:pt idx="10">
                <c:v>2.5000000000000001E-4</c:v>
              </c:pt>
              <c:pt idx="11">
                <c:v>2.7500000000000002E-4</c:v>
              </c:pt>
              <c:pt idx="12">
                <c:v>2.99999999999999E-4</c:v>
              </c:pt>
              <c:pt idx="13">
                <c:v>3.2499999999999901E-4</c:v>
              </c:pt>
              <c:pt idx="14">
                <c:v>3.5E-4</c:v>
              </c:pt>
              <c:pt idx="15">
                <c:v>3.7500000000000001E-4</c:v>
              </c:pt>
              <c:pt idx="16">
                <c:v>4.0000000000000002E-4</c:v>
              </c:pt>
              <c:pt idx="17">
                <c:v>4.24999999999999E-4</c:v>
              </c:pt>
              <c:pt idx="18">
                <c:v>4.4999999999999901E-4</c:v>
              </c:pt>
              <c:pt idx="19">
                <c:v>4.75E-4</c:v>
              </c:pt>
              <c:pt idx="20">
                <c:v>5.0000000000000001E-4</c:v>
              </c:pt>
            </c:numLit>
          </c:xVal>
          <c:yVal>
            <c:numLit>
              <c:formatCode>General</c:formatCode>
              <c:ptCount val="21"/>
              <c:pt idx="0">
                <c:v>5.1500000000000005E-4</c:v>
              </c:pt>
              <c:pt idx="1">
                <c:v>5.0571059535073999E-4</c:v>
              </c:pt>
              <c:pt idx="2">
                <c:v>4.9584632195872897E-4</c:v>
              </c:pt>
              <c:pt idx="3">
                <c:v>4.8537213171957001E-4</c:v>
              </c:pt>
              <c:pt idx="4">
                <c:v>4.7424761464871898E-4</c:v>
              </c:pt>
              <c:pt idx="5">
                <c:v>4.6242583864874998E-4</c:v>
              </c:pt>
              <c:pt idx="6">
                <c:v>4.4099999999999901E-4</c:v>
              </c:pt>
              <c:pt idx="7">
                <c:v>4.0949999999999998E-4</c:v>
              </c:pt>
              <c:pt idx="8">
                <c:v>3.7800000000000003E-4</c:v>
              </c:pt>
              <c:pt idx="9">
                <c:v>3.4650000000000002E-4</c:v>
              </c:pt>
              <c:pt idx="10">
                <c:v>3.1500000000000001E-4</c:v>
              </c:pt>
              <c:pt idx="11">
                <c:v>2.8350000000000001E-4</c:v>
              </c:pt>
              <c:pt idx="12">
                <c:v>2.52E-4</c:v>
              </c:pt>
              <c:pt idx="13">
                <c:v>2.2049999999999999E-4</c:v>
              </c:pt>
              <c:pt idx="14">
                <c:v>1.8900000000000001E-4</c:v>
              </c:pt>
              <c:pt idx="15">
                <c:v>1.57499999999999E-4</c:v>
              </c:pt>
              <c:pt idx="16">
                <c:v>1.26E-4</c:v>
              </c:pt>
              <c:pt idx="17">
                <c:v>9.4500000000000007E-5</c:v>
              </c:pt>
              <c:pt idx="18">
                <c:v>6.3E-5</c:v>
              </c:pt>
              <c:pt idx="19">
                <c:v>3.15E-5</c:v>
              </c:pt>
              <c:pt idx="2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F6C9-4580-9ECA-91C922A56869}"/>
            </c:ext>
          </c:extLst>
        </c:ser>
        <c:ser>
          <c:idx val="1"/>
          <c:order val="1"/>
          <c:tx>
            <c:v>categoria 1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Lit>
              <c:formatCode>General</c:formatCode>
              <c:ptCount val="31"/>
              <c:pt idx="0">
                <c:v>0</c:v>
              </c:pt>
              <c:pt idx="1">
                <c:v>2.5000000000000001E-5</c:v>
              </c:pt>
              <c:pt idx="2">
                <c:v>5.0000000000000002E-5</c:v>
              </c:pt>
              <c:pt idx="3">
                <c:v>7.4999999999999899E-5</c:v>
              </c:pt>
              <c:pt idx="4">
                <c:v>1E-4</c:v>
              </c:pt>
              <c:pt idx="5">
                <c:v>1.25E-4</c:v>
              </c:pt>
              <c:pt idx="6">
                <c:v>1.4999999999999901E-4</c:v>
              </c:pt>
              <c:pt idx="7">
                <c:v>1.75E-4</c:v>
              </c:pt>
              <c:pt idx="8">
                <c:v>2.0000000000000001E-4</c:v>
              </c:pt>
              <c:pt idx="9">
                <c:v>2.2499999999999899E-4</c:v>
              </c:pt>
              <c:pt idx="10">
                <c:v>2.5000000000000001E-4</c:v>
              </c:pt>
              <c:pt idx="11">
                <c:v>2.7500000000000002E-4</c:v>
              </c:pt>
              <c:pt idx="12">
                <c:v>2.99999999999999E-4</c:v>
              </c:pt>
              <c:pt idx="13">
                <c:v>3.2499999999999901E-4</c:v>
              </c:pt>
              <c:pt idx="14">
                <c:v>3.5E-4</c:v>
              </c:pt>
              <c:pt idx="15">
                <c:v>3.7500000000000001E-4</c:v>
              </c:pt>
              <c:pt idx="16">
                <c:v>4.0000000000000002E-4</c:v>
              </c:pt>
              <c:pt idx="17">
                <c:v>4.24999999999999E-4</c:v>
              </c:pt>
              <c:pt idx="18">
                <c:v>4.4999999999999901E-4</c:v>
              </c:pt>
              <c:pt idx="19">
                <c:v>4.75E-4</c:v>
              </c:pt>
              <c:pt idx="20">
                <c:v>5.0000000000000001E-4</c:v>
              </c:pt>
              <c:pt idx="21">
                <c:v>5.2499999999999899E-4</c:v>
              </c:pt>
              <c:pt idx="22">
                <c:v>5.5000000000000003E-4</c:v>
              </c:pt>
              <c:pt idx="23">
                <c:v>5.7499999999999901E-4</c:v>
              </c:pt>
              <c:pt idx="24">
                <c:v>5.9999999999999897E-4</c:v>
              </c:pt>
              <c:pt idx="25">
                <c:v>6.2500000000000001E-4</c:v>
              </c:pt>
              <c:pt idx="26">
                <c:v>6.4999999999999899E-4</c:v>
              </c:pt>
              <c:pt idx="27">
                <c:v>6.7500000000000004E-4</c:v>
              </c:pt>
              <c:pt idx="28">
                <c:v>6.9999999999999902E-4</c:v>
              </c:pt>
              <c:pt idx="29">
                <c:v>7.2499999999999897E-4</c:v>
              </c:pt>
              <c:pt idx="30">
                <c:v>7.5000000000000002E-4</c:v>
              </c:pt>
            </c:numLit>
          </c:xVal>
          <c:yVal>
            <c:numLit>
              <c:formatCode>General</c:formatCode>
              <c:ptCount val="31"/>
              <c:pt idx="0">
                <c:v>7.6499999999999995E-4</c:v>
              </c:pt>
              <c:pt idx="1">
                <c:v>7.5589329604117995E-4</c:v>
              </c:pt>
              <c:pt idx="2">
                <c:v>7.46414228160208E-4</c:v>
              </c:pt>
              <c:pt idx="3">
                <c:v>7.3654841999694701E-4</c:v>
              </c:pt>
              <c:pt idx="4">
                <c:v>7.2628011125185001E-4</c:v>
              </c:pt>
              <c:pt idx="5">
                <c:v>7.1559197522051601E-4</c:v>
              </c:pt>
              <c:pt idx="6">
                <c:v>7.0446490331314501E-4</c:v>
              </c:pt>
              <c:pt idx="7">
                <c:v>6.9287774895720198E-4</c:v>
              </c:pt>
              <c:pt idx="8">
                <c:v>6.80807021115381E-4</c:v>
              </c:pt>
              <c:pt idx="9">
                <c:v>6.61499999999999E-4</c:v>
              </c:pt>
              <c:pt idx="10">
                <c:v>6.3000000000000003E-4</c:v>
              </c:pt>
              <c:pt idx="11">
                <c:v>5.9849999999999997E-4</c:v>
              </c:pt>
              <c:pt idx="12">
                <c:v>5.6700000000000001E-4</c:v>
              </c:pt>
              <c:pt idx="13">
                <c:v>5.3549999999999995E-4</c:v>
              </c:pt>
              <c:pt idx="14">
                <c:v>5.04E-4</c:v>
              </c:pt>
              <c:pt idx="15">
                <c:v>4.7249999999999902E-4</c:v>
              </c:pt>
              <c:pt idx="16">
                <c:v>4.4099999999999901E-4</c:v>
              </c:pt>
              <c:pt idx="17">
                <c:v>4.0949999999999998E-4</c:v>
              </c:pt>
              <c:pt idx="18">
                <c:v>3.7800000000000003E-4</c:v>
              </c:pt>
              <c:pt idx="19">
                <c:v>3.4650000000000002E-4</c:v>
              </c:pt>
              <c:pt idx="20">
                <c:v>3.1500000000000001E-4</c:v>
              </c:pt>
              <c:pt idx="21">
                <c:v>2.8350000000000001E-4</c:v>
              </c:pt>
              <c:pt idx="22">
                <c:v>2.52E-4</c:v>
              </c:pt>
              <c:pt idx="23">
                <c:v>2.2049999999999999E-4</c:v>
              </c:pt>
              <c:pt idx="24">
                <c:v>1.8900000000000001E-4</c:v>
              </c:pt>
              <c:pt idx="25">
                <c:v>1.57499999999999E-4</c:v>
              </c:pt>
              <c:pt idx="26">
                <c:v>1.26E-4</c:v>
              </c:pt>
              <c:pt idx="27">
                <c:v>9.4499999999999898E-5</c:v>
              </c:pt>
              <c:pt idx="28">
                <c:v>6.3E-5</c:v>
              </c:pt>
              <c:pt idx="29">
                <c:v>3.15E-5</c:v>
              </c:pt>
              <c:pt idx="3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F6C9-4580-9ECA-91C922A56869}"/>
            </c:ext>
          </c:extLst>
        </c:ser>
        <c:ser>
          <c:idx val="2"/>
          <c:order val="2"/>
          <c:tx>
            <c:v>categoria 2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Lit>
              <c:formatCode>General</c:formatCode>
              <c:ptCount val="61"/>
              <c:pt idx="0">
                <c:v>0</c:v>
              </c:pt>
              <c:pt idx="1">
                <c:v>2.5000000000000001E-5</c:v>
              </c:pt>
              <c:pt idx="2">
                <c:v>5.0000000000000002E-5</c:v>
              </c:pt>
              <c:pt idx="3">
                <c:v>7.4999999999999899E-5</c:v>
              </c:pt>
              <c:pt idx="4">
                <c:v>1E-4</c:v>
              </c:pt>
              <c:pt idx="5">
                <c:v>1.25E-4</c:v>
              </c:pt>
              <c:pt idx="6">
                <c:v>1.4999999999999901E-4</c:v>
              </c:pt>
              <c:pt idx="7">
                <c:v>1.75E-4</c:v>
              </c:pt>
              <c:pt idx="8">
                <c:v>2.0000000000000001E-4</c:v>
              </c:pt>
              <c:pt idx="9">
                <c:v>2.2499999999999899E-4</c:v>
              </c:pt>
              <c:pt idx="10">
                <c:v>2.5000000000000001E-4</c:v>
              </c:pt>
              <c:pt idx="11">
                <c:v>2.7500000000000002E-4</c:v>
              </c:pt>
              <c:pt idx="12">
                <c:v>2.99999999999999E-4</c:v>
              </c:pt>
              <c:pt idx="13">
                <c:v>3.2499999999999901E-4</c:v>
              </c:pt>
              <c:pt idx="14">
                <c:v>3.5E-4</c:v>
              </c:pt>
              <c:pt idx="15">
                <c:v>3.7500000000000001E-4</c:v>
              </c:pt>
              <c:pt idx="16">
                <c:v>4.0000000000000002E-4</c:v>
              </c:pt>
              <c:pt idx="17">
                <c:v>4.24999999999999E-4</c:v>
              </c:pt>
              <c:pt idx="18">
                <c:v>4.4999999999999901E-4</c:v>
              </c:pt>
              <c:pt idx="19">
                <c:v>4.75E-4</c:v>
              </c:pt>
              <c:pt idx="20">
                <c:v>5.0000000000000001E-4</c:v>
              </c:pt>
              <c:pt idx="21">
                <c:v>5.2499999999999899E-4</c:v>
              </c:pt>
              <c:pt idx="22">
                <c:v>5.5000000000000003E-4</c:v>
              </c:pt>
              <c:pt idx="23">
                <c:v>5.7499999999999901E-4</c:v>
              </c:pt>
              <c:pt idx="24">
                <c:v>5.9999999999999897E-4</c:v>
              </c:pt>
              <c:pt idx="25">
                <c:v>6.2500000000000001E-4</c:v>
              </c:pt>
              <c:pt idx="26">
                <c:v>6.4999999999999899E-4</c:v>
              </c:pt>
              <c:pt idx="27">
                <c:v>6.7500000000000004E-4</c:v>
              </c:pt>
              <c:pt idx="28">
                <c:v>6.9999999999999902E-4</c:v>
              </c:pt>
              <c:pt idx="29">
                <c:v>7.2499999999999897E-4</c:v>
              </c:pt>
              <c:pt idx="30">
                <c:v>7.5000000000000002E-4</c:v>
              </c:pt>
              <c:pt idx="31">
                <c:v>7.74999999999999E-4</c:v>
              </c:pt>
              <c:pt idx="32">
                <c:v>8.0000000000000004E-4</c:v>
              </c:pt>
              <c:pt idx="33">
                <c:v>8.25E-4</c:v>
              </c:pt>
              <c:pt idx="34">
                <c:v>8.4999999999999898E-4</c:v>
              </c:pt>
              <c:pt idx="35">
                <c:v>8.7500000000000002E-4</c:v>
              </c:pt>
              <c:pt idx="36">
                <c:v>8.99999999999999E-4</c:v>
              </c:pt>
              <c:pt idx="37">
                <c:v>9.2500000000000004E-4</c:v>
              </c:pt>
              <c:pt idx="38">
                <c:v>9.5E-4</c:v>
              </c:pt>
              <c:pt idx="39">
                <c:v>9.7499999999999898E-4</c:v>
              </c:pt>
              <c:pt idx="40">
                <c:v>1E-3</c:v>
              </c:pt>
              <c:pt idx="41">
                <c:v>1.0250000000000001E-3</c:v>
              </c:pt>
              <c:pt idx="42">
                <c:v>1.04999999999999E-3</c:v>
              </c:pt>
              <c:pt idx="43">
                <c:v>1.075E-3</c:v>
              </c:pt>
              <c:pt idx="44">
                <c:v>1.1000000000000001E-3</c:v>
              </c:pt>
              <c:pt idx="45">
                <c:v>1.1249999999999899E-3</c:v>
              </c:pt>
              <c:pt idx="46">
                <c:v>1.15E-3</c:v>
              </c:pt>
              <c:pt idx="47">
                <c:v>1.175E-3</c:v>
              </c:pt>
              <c:pt idx="48">
                <c:v>1.1999999999999899E-3</c:v>
              </c:pt>
              <c:pt idx="49">
                <c:v>1.225E-3</c:v>
              </c:pt>
              <c:pt idx="50">
                <c:v>1.25E-3</c:v>
              </c:pt>
              <c:pt idx="51">
                <c:v>1.2750000000000001E-3</c:v>
              </c:pt>
              <c:pt idx="52">
                <c:v>1.29999999999999E-3</c:v>
              </c:pt>
              <c:pt idx="53">
                <c:v>1.325E-3</c:v>
              </c:pt>
              <c:pt idx="54">
                <c:v>1.3500000000000001E-3</c:v>
              </c:pt>
              <c:pt idx="55">
                <c:v>1.3749999999999899E-3</c:v>
              </c:pt>
              <c:pt idx="56">
                <c:v>1.4E-3</c:v>
              </c:pt>
              <c:pt idx="57">
                <c:v>1.4250000000000001E-3</c:v>
              </c:pt>
              <c:pt idx="58">
                <c:v>1.4499999999999899E-3</c:v>
              </c:pt>
              <c:pt idx="59">
                <c:v>1.475E-3</c:v>
              </c:pt>
              <c:pt idx="60">
                <c:v>1.5E-3</c:v>
              </c:pt>
            </c:numLit>
          </c:xVal>
          <c:yVal>
            <c:numLit>
              <c:formatCode>General</c:formatCode>
              <c:ptCount val="61"/>
              <c:pt idx="0">
                <c:v>1.5299999999999999E-3</c:v>
              </c:pt>
              <c:pt idx="1">
                <c:v>1.52098468927205E-3</c:v>
              </c:pt>
              <c:pt idx="2">
                <c:v>1.5117865920823599E-3</c:v>
              </c:pt>
              <c:pt idx="3">
                <c:v>1.50240235123617E-3</c:v>
              </c:pt>
              <c:pt idx="4">
                <c:v>1.4928284563204099E-3</c:v>
              </c:pt>
              <c:pt idx="5">
                <c:v>1.4830612344067201E-3</c:v>
              </c:pt>
              <c:pt idx="6">
                <c:v>1.4730968399938899E-3</c:v>
              </c:pt>
              <c:pt idx="7">
                <c:v>1.46293124411231E-3</c:v>
              </c:pt>
              <c:pt idx="8">
                <c:v>1.4525602225037E-3</c:v>
              </c:pt>
              <c:pt idx="9">
                <c:v>1.4419793427785199E-3</c:v>
              </c:pt>
              <c:pt idx="10">
                <c:v>1.4311839504410301E-3</c:v>
              </c:pt>
              <c:pt idx="11">
                <c:v>1.4201691536573999E-3</c:v>
              </c:pt>
              <c:pt idx="12">
                <c:v>1.40892980662629E-3</c:v>
              </c:pt>
              <c:pt idx="13">
                <c:v>1.39746049139143E-3</c:v>
              </c:pt>
              <c:pt idx="14">
                <c:v>1.3857554979144E-3</c:v>
              </c:pt>
              <c:pt idx="15">
                <c:v>1.3738088021991899E-3</c:v>
              </c:pt>
              <c:pt idx="16">
                <c:v>1.36161404223076E-3</c:v>
              </c:pt>
              <c:pt idx="17">
                <c:v>1.3491644914538699E-3</c:v>
              </c:pt>
              <c:pt idx="18">
                <c:v>1.33645302947765E-3</c:v>
              </c:pt>
              <c:pt idx="19">
                <c:v>1.3234721096419E-3</c:v>
              </c:pt>
              <c:pt idx="20">
                <c:v>1.31021372302384E-3</c:v>
              </c:pt>
              <c:pt idx="21">
                <c:v>1.2966693583948E-3</c:v>
              </c:pt>
              <c:pt idx="22">
                <c:v>1.2828299575547799E-3</c:v>
              </c:pt>
              <c:pt idx="23">
                <c:v>1.26868586537408E-3</c:v>
              </c:pt>
              <c:pt idx="24">
                <c:v>1.25422677375345E-3</c:v>
              </c:pt>
              <c:pt idx="25">
                <c:v>1.2394416585705E-3</c:v>
              </c:pt>
              <c:pt idx="26">
                <c:v>1.2243187085068899E-3</c:v>
              </c:pt>
              <c:pt idx="27">
                <c:v>1.20884524443784E-3</c:v>
              </c:pt>
              <c:pt idx="28">
                <c:v>1.176E-3</c:v>
              </c:pt>
              <c:pt idx="29">
                <c:v>1.1392500000000001E-3</c:v>
              </c:pt>
              <c:pt idx="30">
                <c:v>1.1025E-3</c:v>
              </c:pt>
              <c:pt idx="31">
                <c:v>1.0657500000000001E-3</c:v>
              </c:pt>
              <c:pt idx="32">
                <c:v>1.029E-3</c:v>
              </c:pt>
              <c:pt idx="33">
                <c:v>9.9225000000000008E-4</c:v>
              </c:pt>
              <c:pt idx="34">
                <c:v>9.5549999999999997E-4</c:v>
              </c:pt>
              <c:pt idx="35">
                <c:v>9.1874999999999899E-4</c:v>
              </c:pt>
              <c:pt idx="36">
                <c:v>8.81999999999999E-4</c:v>
              </c:pt>
              <c:pt idx="37">
                <c:v>8.45249999999999E-4</c:v>
              </c:pt>
              <c:pt idx="38">
                <c:v>8.0849999999999997E-4</c:v>
              </c:pt>
              <c:pt idx="39">
                <c:v>7.7174999999999998E-4</c:v>
              </c:pt>
              <c:pt idx="40">
                <c:v>7.34999999999999E-4</c:v>
              </c:pt>
              <c:pt idx="41">
                <c:v>6.9824999999999998E-4</c:v>
              </c:pt>
              <c:pt idx="42">
                <c:v>6.6149999999999998E-4</c:v>
              </c:pt>
              <c:pt idx="43">
                <c:v>6.2474999999999998E-4</c:v>
              </c:pt>
              <c:pt idx="44">
                <c:v>5.8799999999999901E-4</c:v>
              </c:pt>
              <c:pt idx="45">
                <c:v>5.5124999999999998E-4</c:v>
              </c:pt>
              <c:pt idx="46">
                <c:v>5.1449999999999901E-4</c:v>
              </c:pt>
              <c:pt idx="47">
                <c:v>4.7774999999999998E-4</c:v>
              </c:pt>
              <c:pt idx="48">
                <c:v>4.4099999999999999E-4</c:v>
              </c:pt>
              <c:pt idx="49">
                <c:v>4.0424999999999999E-4</c:v>
              </c:pt>
              <c:pt idx="50">
                <c:v>3.6749999999999901E-4</c:v>
              </c:pt>
              <c:pt idx="51">
                <c:v>3.3074999999999901E-4</c:v>
              </c:pt>
              <c:pt idx="52">
                <c:v>2.9399999999999999E-4</c:v>
              </c:pt>
              <c:pt idx="53">
                <c:v>2.5724999999999902E-4</c:v>
              </c:pt>
              <c:pt idx="54">
                <c:v>2.2049999999999999E-4</c:v>
              </c:pt>
              <c:pt idx="55">
                <c:v>1.8374999999999999E-4</c:v>
              </c:pt>
              <c:pt idx="56">
                <c:v>1.47E-4</c:v>
              </c:pt>
              <c:pt idx="57">
                <c:v>1.1024999999999899E-4</c:v>
              </c:pt>
              <c:pt idx="58">
                <c:v>7.3500000000000201E-5</c:v>
              </c:pt>
              <c:pt idx="59">
                <c:v>3.6749999999999897E-5</c:v>
              </c:pt>
              <c:pt idx="6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F6C9-4580-9ECA-91C922A56869}"/>
            </c:ext>
          </c:extLst>
        </c:ser>
        <c:ser>
          <c:idx val="3"/>
          <c:order val="3"/>
          <c:tx>
            <c:v>categoria 3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Lit>
              <c:formatCode>General</c:formatCode>
              <c:ptCount val="121"/>
              <c:pt idx="0">
                <c:v>0</c:v>
              </c:pt>
              <c:pt idx="1">
                <c:v>2.5000000000000001E-5</c:v>
              </c:pt>
              <c:pt idx="2">
                <c:v>5.0000000000000002E-5</c:v>
              </c:pt>
              <c:pt idx="3">
                <c:v>7.4999999999999899E-5</c:v>
              </c:pt>
              <c:pt idx="4">
                <c:v>1E-4</c:v>
              </c:pt>
              <c:pt idx="5">
                <c:v>1.25E-4</c:v>
              </c:pt>
              <c:pt idx="6">
                <c:v>1.4999999999999901E-4</c:v>
              </c:pt>
              <c:pt idx="7">
                <c:v>1.75E-4</c:v>
              </c:pt>
              <c:pt idx="8">
                <c:v>2.0000000000000001E-4</c:v>
              </c:pt>
              <c:pt idx="9">
                <c:v>2.2499999999999899E-4</c:v>
              </c:pt>
              <c:pt idx="10">
                <c:v>2.5000000000000001E-4</c:v>
              </c:pt>
              <c:pt idx="11">
                <c:v>2.7500000000000002E-4</c:v>
              </c:pt>
              <c:pt idx="12">
                <c:v>2.99999999999999E-4</c:v>
              </c:pt>
              <c:pt idx="13">
                <c:v>3.2499999999999901E-4</c:v>
              </c:pt>
              <c:pt idx="14">
                <c:v>3.5E-4</c:v>
              </c:pt>
              <c:pt idx="15">
                <c:v>3.7500000000000001E-4</c:v>
              </c:pt>
              <c:pt idx="16">
                <c:v>4.0000000000000002E-4</c:v>
              </c:pt>
              <c:pt idx="17">
                <c:v>4.24999999999999E-4</c:v>
              </c:pt>
              <c:pt idx="18">
                <c:v>4.4999999999999901E-4</c:v>
              </c:pt>
              <c:pt idx="19">
                <c:v>4.75E-4</c:v>
              </c:pt>
              <c:pt idx="20">
                <c:v>5.0000000000000001E-4</c:v>
              </c:pt>
              <c:pt idx="21">
                <c:v>5.2499999999999899E-4</c:v>
              </c:pt>
              <c:pt idx="22">
                <c:v>5.5000000000000003E-4</c:v>
              </c:pt>
              <c:pt idx="23">
                <c:v>5.7499999999999901E-4</c:v>
              </c:pt>
              <c:pt idx="24">
                <c:v>5.9999999999999897E-4</c:v>
              </c:pt>
              <c:pt idx="25">
                <c:v>6.2500000000000001E-4</c:v>
              </c:pt>
              <c:pt idx="26">
                <c:v>6.4999999999999899E-4</c:v>
              </c:pt>
              <c:pt idx="27">
                <c:v>6.7500000000000004E-4</c:v>
              </c:pt>
              <c:pt idx="28">
                <c:v>6.9999999999999902E-4</c:v>
              </c:pt>
              <c:pt idx="29">
                <c:v>7.2499999999999897E-4</c:v>
              </c:pt>
              <c:pt idx="30">
                <c:v>7.5000000000000002E-4</c:v>
              </c:pt>
              <c:pt idx="31">
                <c:v>7.74999999999999E-4</c:v>
              </c:pt>
              <c:pt idx="32">
                <c:v>8.0000000000000004E-4</c:v>
              </c:pt>
              <c:pt idx="33">
                <c:v>8.25E-4</c:v>
              </c:pt>
              <c:pt idx="34">
                <c:v>8.4999999999999898E-4</c:v>
              </c:pt>
              <c:pt idx="35">
                <c:v>8.7500000000000002E-4</c:v>
              </c:pt>
              <c:pt idx="36">
                <c:v>8.99999999999999E-4</c:v>
              </c:pt>
              <c:pt idx="37">
                <c:v>9.2500000000000004E-4</c:v>
              </c:pt>
              <c:pt idx="38">
                <c:v>9.5E-4</c:v>
              </c:pt>
              <c:pt idx="39">
                <c:v>9.7499999999999898E-4</c:v>
              </c:pt>
              <c:pt idx="40">
                <c:v>1E-3</c:v>
              </c:pt>
              <c:pt idx="41">
                <c:v>1.0250000000000001E-3</c:v>
              </c:pt>
              <c:pt idx="42">
                <c:v>1.04999999999999E-3</c:v>
              </c:pt>
              <c:pt idx="43">
                <c:v>1.075E-3</c:v>
              </c:pt>
              <c:pt idx="44">
                <c:v>1.1000000000000001E-3</c:v>
              </c:pt>
              <c:pt idx="45">
                <c:v>1.1249999999999899E-3</c:v>
              </c:pt>
              <c:pt idx="46">
                <c:v>1.15E-3</c:v>
              </c:pt>
              <c:pt idx="47">
                <c:v>1.175E-3</c:v>
              </c:pt>
              <c:pt idx="48">
                <c:v>1.1999999999999899E-3</c:v>
              </c:pt>
              <c:pt idx="49">
                <c:v>1.225E-3</c:v>
              </c:pt>
              <c:pt idx="50">
                <c:v>1.25E-3</c:v>
              </c:pt>
              <c:pt idx="51">
                <c:v>1.2750000000000001E-3</c:v>
              </c:pt>
              <c:pt idx="52">
                <c:v>1.29999999999999E-3</c:v>
              </c:pt>
              <c:pt idx="53">
                <c:v>1.325E-3</c:v>
              </c:pt>
              <c:pt idx="54">
                <c:v>1.3500000000000001E-3</c:v>
              </c:pt>
              <c:pt idx="55">
                <c:v>1.3749999999999899E-3</c:v>
              </c:pt>
              <c:pt idx="56">
                <c:v>1.4E-3</c:v>
              </c:pt>
              <c:pt idx="57">
                <c:v>1.4250000000000001E-3</c:v>
              </c:pt>
              <c:pt idx="58">
                <c:v>1.4499999999999899E-3</c:v>
              </c:pt>
              <c:pt idx="59">
                <c:v>1.475E-3</c:v>
              </c:pt>
              <c:pt idx="60">
                <c:v>1.5E-3</c:v>
              </c:pt>
              <c:pt idx="61">
                <c:v>1.5250000000000001E-3</c:v>
              </c:pt>
              <c:pt idx="62">
                <c:v>1.54999999999999E-3</c:v>
              </c:pt>
              <c:pt idx="63">
                <c:v>1.575E-3</c:v>
              </c:pt>
              <c:pt idx="64">
                <c:v>1.6000000000000001E-3</c:v>
              </c:pt>
              <c:pt idx="65">
                <c:v>1.62499999999999E-3</c:v>
              </c:pt>
              <c:pt idx="66">
                <c:v>1.65E-3</c:v>
              </c:pt>
              <c:pt idx="67">
                <c:v>1.6750000000000001E-3</c:v>
              </c:pt>
              <c:pt idx="68">
                <c:v>1.6999999999999899E-3</c:v>
              </c:pt>
              <c:pt idx="69">
                <c:v>1.725E-3</c:v>
              </c:pt>
              <c:pt idx="70">
                <c:v>1.75E-3</c:v>
              </c:pt>
              <c:pt idx="71">
                <c:v>1.7750000000000001E-3</c:v>
              </c:pt>
              <c:pt idx="72">
                <c:v>1.8E-3</c:v>
              </c:pt>
              <c:pt idx="73">
                <c:v>1.825E-3</c:v>
              </c:pt>
              <c:pt idx="74">
                <c:v>1.8500000000000001E-3</c:v>
              </c:pt>
              <c:pt idx="75">
                <c:v>1.87499999999999E-3</c:v>
              </c:pt>
              <c:pt idx="76">
                <c:v>1.9E-3</c:v>
              </c:pt>
              <c:pt idx="77">
                <c:v>1.9250000000000001E-3</c:v>
              </c:pt>
              <c:pt idx="78">
                <c:v>1.9499999999999899E-3</c:v>
              </c:pt>
              <c:pt idx="79">
                <c:v>1.9750000000000002E-3</c:v>
              </c:pt>
              <c:pt idx="80">
                <c:v>2E-3</c:v>
              </c:pt>
              <c:pt idx="81">
                <c:v>2.0249999999999899E-3</c:v>
              </c:pt>
              <c:pt idx="82">
                <c:v>2.0500000000000002E-3</c:v>
              </c:pt>
              <c:pt idx="83">
                <c:v>2.075E-3</c:v>
              </c:pt>
              <c:pt idx="84">
                <c:v>2.0999999999999899E-3</c:v>
              </c:pt>
              <c:pt idx="85">
                <c:v>2.1250000000000002E-3</c:v>
              </c:pt>
              <c:pt idx="86">
                <c:v>2.15E-3</c:v>
              </c:pt>
              <c:pt idx="87">
                <c:v>2.1749999999999899E-3</c:v>
              </c:pt>
              <c:pt idx="88">
                <c:v>2.2000000000000001E-3</c:v>
              </c:pt>
              <c:pt idx="89">
                <c:v>2.225E-3</c:v>
              </c:pt>
              <c:pt idx="90">
                <c:v>2.2499999999999899E-3</c:v>
              </c:pt>
              <c:pt idx="91">
                <c:v>2.2750000000000001E-3</c:v>
              </c:pt>
              <c:pt idx="92">
                <c:v>2.3E-3</c:v>
              </c:pt>
              <c:pt idx="93">
                <c:v>2.3249999999999898E-3</c:v>
              </c:pt>
              <c:pt idx="94">
                <c:v>2.3500000000000001E-3</c:v>
              </c:pt>
              <c:pt idx="95">
                <c:v>2.37499999999999E-3</c:v>
              </c:pt>
              <c:pt idx="96">
                <c:v>2.3999999999999898E-3</c:v>
              </c:pt>
              <c:pt idx="97">
                <c:v>2.4250000000000001E-3</c:v>
              </c:pt>
              <c:pt idx="98">
                <c:v>2.4499999999999899E-3</c:v>
              </c:pt>
              <c:pt idx="99">
                <c:v>2.4750000000000002E-3</c:v>
              </c:pt>
              <c:pt idx="100">
                <c:v>2.5000000000000001E-3</c:v>
              </c:pt>
              <c:pt idx="101">
                <c:v>2.5249999999999899E-3</c:v>
              </c:pt>
              <c:pt idx="102">
                <c:v>2.5500000000000002E-3</c:v>
              </c:pt>
              <c:pt idx="103">
                <c:v>2.575E-3</c:v>
              </c:pt>
              <c:pt idx="104">
                <c:v>2.5999999999999899E-3</c:v>
              </c:pt>
              <c:pt idx="105">
                <c:v>2.6250000000000002E-3</c:v>
              </c:pt>
              <c:pt idx="106">
                <c:v>2.65E-3</c:v>
              </c:pt>
              <c:pt idx="107">
                <c:v>2.6749999999999899E-3</c:v>
              </c:pt>
              <c:pt idx="108">
                <c:v>2.7000000000000001E-3</c:v>
              </c:pt>
              <c:pt idx="109">
                <c:v>2.725E-3</c:v>
              </c:pt>
              <c:pt idx="110">
                <c:v>2.7499999999999899E-3</c:v>
              </c:pt>
              <c:pt idx="111">
                <c:v>2.7750000000000001E-3</c:v>
              </c:pt>
              <c:pt idx="112">
                <c:v>2.8E-3</c:v>
              </c:pt>
              <c:pt idx="113">
                <c:v>2.8249999999999898E-3</c:v>
              </c:pt>
              <c:pt idx="114">
                <c:v>2.8500000000000001E-3</c:v>
              </c:pt>
              <c:pt idx="115">
                <c:v>2.875E-3</c:v>
              </c:pt>
              <c:pt idx="116">
                <c:v>2.8999999999999898E-3</c:v>
              </c:pt>
              <c:pt idx="117">
                <c:v>2.9250000000000001E-3</c:v>
              </c:pt>
              <c:pt idx="118">
                <c:v>2.94999999999999E-3</c:v>
              </c:pt>
              <c:pt idx="119">
                <c:v>2.9750000000000002E-3</c:v>
              </c:pt>
              <c:pt idx="120">
                <c:v>3.0000000000000001E-3</c:v>
              </c:pt>
            </c:numLit>
          </c:xVal>
          <c:yVal>
            <c:numLit>
              <c:formatCode>General</c:formatCode>
              <c:ptCount val="121"/>
              <c:pt idx="0">
                <c:v>3.0599999999999998E-3</c:v>
              </c:pt>
              <c:pt idx="1">
                <c:v>3.05102997772883E-3</c:v>
              </c:pt>
              <c:pt idx="2">
                <c:v>3.0419693785441E-3</c:v>
              </c:pt>
              <c:pt idx="3">
                <c:v>3.0328173906451999E-3</c:v>
              </c:pt>
              <c:pt idx="4">
                <c:v>3.0235731841647198E-3</c:v>
              </c:pt>
              <c:pt idx="5">
                <c:v>3.0142359106413602E-3</c:v>
              </c:pt>
              <c:pt idx="6">
                <c:v>3.0048047024723501E-3</c:v>
              </c:pt>
              <c:pt idx="7">
                <c:v>2.99527867234419E-3</c:v>
              </c:pt>
              <c:pt idx="8">
                <c:v>2.9856569126408298E-3</c:v>
              </c:pt>
              <c:pt idx="9">
                <c:v>2.9759384948281399E-3</c:v>
              </c:pt>
              <c:pt idx="10">
                <c:v>2.9661224688134502E-3</c:v>
              </c:pt>
              <c:pt idx="11">
                <c:v>2.9562078622789702E-3</c:v>
              </c:pt>
              <c:pt idx="12">
                <c:v>2.9461936799877902E-3</c:v>
              </c:pt>
              <c:pt idx="13">
                <c:v>2.93607890306102E-3</c:v>
              </c:pt>
              <c:pt idx="14">
                <c:v>2.92586248822462E-3</c:v>
              </c:pt>
              <c:pt idx="15">
                <c:v>2.9155433670244001E-3</c:v>
              </c:pt>
              <c:pt idx="16">
                <c:v>2.9051204450074E-3</c:v>
              </c:pt>
              <c:pt idx="17">
                <c:v>2.8945926008680299E-3</c:v>
              </c:pt>
              <c:pt idx="18">
                <c:v>2.8839586855570502E-3</c:v>
              </c:pt>
              <c:pt idx="19">
                <c:v>2.8732175213512798E-3</c:v>
              </c:pt>
              <c:pt idx="20">
                <c:v>2.8623679008820601E-3</c:v>
              </c:pt>
              <c:pt idx="21">
                <c:v>2.8514085861201998E-3</c:v>
              </c:pt>
              <c:pt idx="22">
                <c:v>2.8403383073148099E-3</c:v>
              </c:pt>
              <c:pt idx="23">
                <c:v>2.82915576188374E-3</c:v>
              </c:pt>
              <c:pt idx="24">
                <c:v>2.81785961325258E-3</c:v>
              </c:pt>
              <c:pt idx="25">
                <c:v>2.8064484896395299E-3</c:v>
              </c:pt>
              <c:pt idx="26">
                <c:v>2.7949209827828701E-3</c:v>
              </c:pt>
              <c:pt idx="27">
                <c:v>2.7832756466077799E-3</c:v>
              </c:pt>
              <c:pt idx="28">
                <c:v>2.7715109958288001E-3</c:v>
              </c:pt>
              <c:pt idx="29">
                <c:v>2.7596255044842499E-3</c:v>
              </c:pt>
              <c:pt idx="30">
                <c:v>2.7476176043983898E-3</c:v>
              </c:pt>
              <c:pt idx="31">
                <c:v>2.7354856835669901E-3</c:v>
              </c:pt>
              <c:pt idx="32">
                <c:v>2.7232280844615201E-3</c:v>
              </c:pt>
              <c:pt idx="33">
                <c:v>2.7108431022469701E-3</c:v>
              </c:pt>
              <c:pt idx="34">
                <c:v>2.6983289829077498E-3</c:v>
              </c:pt>
              <c:pt idx="35">
                <c:v>2.68568392127592E-3</c:v>
              </c:pt>
              <c:pt idx="36">
                <c:v>2.6729060589552999E-3</c:v>
              </c:pt>
              <c:pt idx="37">
                <c:v>2.65999348213487E-3</c:v>
              </c:pt>
              <c:pt idx="38">
                <c:v>2.6469442192838099E-3</c:v>
              </c:pt>
              <c:pt idx="39">
                <c:v>2.6337562387206601E-3</c:v>
              </c:pt>
              <c:pt idx="40">
                <c:v>2.62042744604768E-3</c:v>
              </c:pt>
              <c:pt idx="41">
                <c:v>2.6069556814414699E-3</c:v>
              </c:pt>
              <c:pt idx="42">
                <c:v>2.59333871678961E-3</c:v>
              </c:pt>
              <c:pt idx="43">
                <c:v>2.5795742526626298E-3</c:v>
              </c:pt>
              <c:pt idx="44">
                <c:v>2.5656599151095598E-3</c:v>
              </c:pt>
              <c:pt idx="45">
                <c:v>2.5515932522641601E-3</c:v>
              </c:pt>
              <c:pt idx="46">
                <c:v>2.5373717307481699E-3</c:v>
              </c:pt>
              <c:pt idx="47">
                <c:v>2.5229927318563502E-3</c:v>
              </c:pt>
              <c:pt idx="48">
                <c:v>2.5084535475069E-3</c:v>
              </c:pt>
              <c:pt idx="49">
                <c:v>2.4937513759394699E-3</c:v>
              </c:pt>
              <c:pt idx="50">
                <c:v>2.478883317141E-3</c:v>
              </c:pt>
              <c:pt idx="51">
                <c:v>2.4638463679783201E-3</c:v>
              </c:pt>
              <c:pt idx="52">
                <c:v>2.4486374170137899E-3</c:v>
              </c:pt>
              <c:pt idx="53">
                <c:v>2.4332532389786301E-3</c:v>
              </c:pt>
              <c:pt idx="54">
                <c:v>2.41769048887569E-3</c:v>
              </c:pt>
              <c:pt idx="55">
                <c:v>2.3887499999999998E-3</c:v>
              </c:pt>
              <c:pt idx="56">
                <c:v>2.3519999999999899E-3</c:v>
              </c:pt>
              <c:pt idx="57">
                <c:v>2.31525E-3</c:v>
              </c:pt>
              <c:pt idx="58">
                <c:v>2.2785000000000001E-3</c:v>
              </c:pt>
              <c:pt idx="59">
                <c:v>2.2417499999999898E-3</c:v>
              </c:pt>
              <c:pt idx="60">
                <c:v>2.20499999999999E-3</c:v>
              </c:pt>
              <c:pt idx="61">
                <c:v>2.16825E-3</c:v>
              </c:pt>
              <c:pt idx="62">
                <c:v>2.1315000000000001E-3</c:v>
              </c:pt>
              <c:pt idx="63">
                <c:v>2.0947499999999898E-3</c:v>
              </c:pt>
              <c:pt idx="64">
                <c:v>2.05799999999999E-3</c:v>
              </c:pt>
              <c:pt idx="65">
                <c:v>2.02125E-3</c:v>
              </c:pt>
              <c:pt idx="66">
                <c:v>1.9845000000000002E-3</c:v>
              </c:pt>
              <c:pt idx="67">
                <c:v>1.94775E-3</c:v>
              </c:pt>
              <c:pt idx="68">
                <c:v>1.9109999999999999E-3</c:v>
              </c:pt>
              <c:pt idx="69">
                <c:v>1.87425E-3</c:v>
              </c:pt>
              <c:pt idx="70">
                <c:v>1.83749999999999E-3</c:v>
              </c:pt>
              <c:pt idx="71">
                <c:v>1.8007499999999901E-3</c:v>
              </c:pt>
              <c:pt idx="72">
                <c:v>1.76399999999999E-3</c:v>
              </c:pt>
              <c:pt idx="73">
                <c:v>1.7272500000000001E-3</c:v>
              </c:pt>
              <c:pt idx="74">
                <c:v>1.69049999999999E-3</c:v>
              </c:pt>
              <c:pt idx="75">
                <c:v>1.6537500000000001E-3</c:v>
              </c:pt>
              <c:pt idx="76">
                <c:v>1.6169999999999999E-3</c:v>
              </c:pt>
              <c:pt idx="77">
                <c:v>1.5802499999999901E-3</c:v>
              </c:pt>
              <c:pt idx="78">
                <c:v>1.5435E-3</c:v>
              </c:pt>
              <c:pt idx="79">
                <c:v>1.5067499999999901E-3</c:v>
              </c:pt>
              <c:pt idx="80">
                <c:v>1.47E-3</c:v>
              </c:pt>
              <c:pt idx="81">
                <c:v>1.4332500000000001E-3</c:v>
              </c:pt>
              <c:pt idx="82">
                <c:v>1.3965E-3</c:v>
              </c:pt>
              <c:pt idx="83">
                <c:v>1.3597499999999901E-3</c:v>
              </c:pt>
              <c:pt idx="84">
                <c:v>1.323E-3</c:v>
              </c:pt>
              <c:pt idx="85">
                <c:v>1.2862499999999901E-3</c:v>
              </c:pt>
              <c:pt idx="86">
                <c:v>1.2495E-3</c:v>
              </c:pt>
              <c:pt idx="87">
                <c:v>1.2127500000000001E-3</c:v>
              </c:pt>
              <c:pt idx="88">
                <c:v>1.17599999999999E-3</c:v>
              </c:pt>
              <c:pt idx="89">
                <c:v>1.1392500000000001E-3</c:v>
              </c:pt>
              <c:pt idx="90">
                <c:v>1.1025E-3</c:v>
              </c:pt>
              <c:pt idx="91">
                <c:v>1.0657500000000001E-3</c:v>
              </c:pt>
              <c:pt idx="92">
                <c:v>1.029E-3</c:v>
              </c:pt>
              <c:pt idx="93">
                <c:v>9.9225000000000008E-4</c:v>
              </c:pt>
              <c:pt idx="94">
                <c:v>9.5549999999999997E-4</c:v>
              </c:pt>
              <c:pt idx="95">
                <c:v>9.1874999999999997E-4</c:v>
              </c:pt>
              <c:pt idx="96">
                <c:v>8.8199999999999997E-4</c:v>
              </c:pt>
              <c:pt idx="97">
                <c:v>8.45249999999999E-4</c:v>
              </c:pt>
              <c:pt idx="98">
                <c:v>8.0849999999999997E-4</c:v>
              </c:pt>
              <c:pt idx="99">
                <c:v>7.71749999999999E-4</c:v>
              </c:pt>
              <c:pt idx="100">
                <c:v>7.34999999999999E-4</c:v>
              </c:pt>
              <c:pt idx="101">
                <c:v>6.9824999999999998E-4</c:v>
              </c:pt>
              <c:pt idx="102">
                <c:v>6.61499999999999E-4</c:v>
              </c:pt>
              <c:pt idx="103">
                <c:v>6.2474999999999998E-4</c:v>
              </c:pt>
              <c:pt idx="104">
                <c:v>5.8799999999999998E-4</c:v>
              </c:pt>
              <c:pt idx="105">
                <c:v>5.5124999999999998E-4</c:v>
              </c:pt>
              <c:pt idx="106">
                <c:v>5.1449999999999901E-4</c:v>
              </c:pt>
              <c:pt idx="107">
                <c:v>4.7774999999999998E-4</c:v>
              </c:pt>
              <c:pt idx="108">
                <c:v>4.4099999999999999E-4</c:v>
              </c:pt>
              <c:pt idx="109">
                <c:v>4.0424999999999901E-4</c:v>
              </c:pt>
              <c:pt idx="110">
                <c:v>3.6749999999999999E-4</c:v>
              </c:pt>
              <c:pt idx="111">
                <c:v>3.3074999999999901E-4</c:v>
              </c:pt>
              <c:pt idx="112">
                <c:v>2.9399999999999999E-4</c:v>
              </c:pt>
              <c:pt idx="113">
                <c:v>2.5724999999999999E-4</c:v>
              </c:pt>
              <c:pt idx="114">
                <c:v>2.2049999999999899E-4</c:v>
              </c:pt>
              <c:pt idx="115">
                <c:v>1.8374999999999999E-4</c:v>
              </c:pt>
              <c:pt idx="116">
                <c:v>1.47E-4</c:v>
              </c:pt>
              <c:pt idx="117">
                <c:v>1.1025E-4</c:v>
              </c:pt>
              <c:pt idx="118">
                <c:v>7.3499999999999903E-5</c:v>
              </c:pt>
              <c:pt idx="119">
                <c:v>3.6749999999999599E-5</c:v>
              </c:pt>
              <c:pt idx="12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F6C9-4580-9ECA-91C922A56869}"/>
            </c:ext>
          </c:extLst>
        </c:ser>
        <c:ser>
          <c:idx val="4"/>
          <c:order val="4"/>
          <c:tx>
            <c:v>categoria di anno 2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1.38873415563008E-3</c:v>
              </c:pt>
            </c:numLit>
          </c:xVal>
          <c:yVal>
            <c:numLit>
              <c:formatCode>General</c:formatCode>
              <c:ptCount val="1"/>
              <c:pt idx="0">
                <c:v>9.7557394444268398E-4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F6C9-4580-9ECA-91C922A56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985728"/>
        <c:axId val="104988032"/>
      </c:scatterChart>
      <c:valAx>
        <c:axId val="104985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eh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104988032"/>
        <c:crosses val="autoZero"/>
        <c:crossBetween val="midCat"/>
      </c:valAx>
      <c:valAx>
        <c:axId val="104988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Dh/Lh 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10498572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t>Cedimenti del pc per cinematismo profondo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cd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11"/>
              <c:pt idx="0">
                <c:v>0.05</c:v>
              </c:pt>
              <c:pt idx="1">
                <c:v>0.1</c:v>
              </c:pt>
              <c:pt idx="2">
                <c:v>0.15</c:v>
              </c:pt>
              <c:pt idx="3">
                <c:v>0.233333333333333</c:v>
              </c:pt>
              <c:pt idx="4">
                <c:v>0.33333333333333298</c:v>
              </c:pt>
              <c:pt idx="5">
                <c:v>0.45</c:v>
              </c:pt>
              <c:pt idx="6">
                <c:v>0.58333333333333304</c:v>
              </c:pt>
              <c:pt idx="7">
                <c:v>0.76666666666666605</c:v>
              </c:pt>
              <c:pt idx="8">
                <c:v>0.96666666666666601</c:v>
              </c:pt>
              <c:pt idx="9">
                <c:v>1.2166666666666599</c:v>
              </c:pt>
              <c:pt idx="10">
                <c:v>1.5</c:v>
              </c:pt>
            </c:numLit>
          </c:xVal>
          <c:yVal>
            <c:numLit>
              <c:formatCode>General</c:formatCode>
              <c:ptCount val="11"/>
              <c:pt idx="0">
                <c:v>0.69</c:v>
              </c:pt>
              <c:pt idx="1">
                <c:v>0.78</c:v>
              </c:pt>
              <c:pt idx="2">
                <c:v>0.86</c:v>
              </c:pt>
              <c:pt idx="3">
                <c:v>0.94</c:v>
              </c:pt>
              <c:pt idx="4">
                <c:v>0.97</c:v>
              </c:pt>
              <c:pt idx="5">
                <c:v>0.93</c:v>
              </c:pt>
              <c:pt idx="6">
                <c:v>0.71</c:v>
              </c:pt>
              <c:pt idx="7">
                <c:v>0.26</c:v>
              </c:pt>
              <c:pt idx="8">
                <c:v>0.03</c:v>
              </c:pt>
              <c:pt idx="9">
                <c:v>4.0000000000000504E-3</c:v>
              </c:pt>
              <c:pt idx="1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FE-40E5-A180-30A925B5E43B}"/>
            </c:ext>
          </c:extLst>
        </c:ser>
        <c:ser>
          <c:idx val="1"/>
          <c:order val="1"/>
          <c:tx>
            <c:v>cnd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Lit>
              <c:formatCode>General</c:formatCode>
              <c:ptCount val="13"/>
              <c:pt idx="0">
                <c:v>1.6666666666666601E-2</c:v>
              </c:pt>
              <c:pt idx="1">
                <c:v>4.9999999999999899E-2</c:v>
              </c:pt>
              <c:pt idx="2">
                <c:v>9.9999999999999895E-2</c:v>
              </c:pt>
              <c:pt idx="3">
                <c:v>0.18333333333333299</c:v>
              </c:pt>
              <c:pt idx="4">
                <c:v>0.28333333333333299</c:v>
              </c:pt>
              <c:pt idx="5">
                <c:v>0.38333333333333303</c:v>
              </c:pt>
              <c:pt idx="6">
                <c:v>0.5</c:v>
              </c:pt>
              <c:pt idx="7">
                <c:v>0.66666666666666596</c:v>
              </c:pt>
              <c:pt idx="8">
                <c:v>0.86666666666666603</c:v>
              </c:pt>
              <c:pt idx="9">
                <c:v>1.0833333333333299</c:v>
              </c:pt>
              <c:pt idx="10">
                <c:v>1.3</c:v>
              </c:pt>
              <c:pt idx="11">
                <c:v>1.6666666666666601</c:v>
              </c:pt>
              <c:pt idx="12">
                <c:v>2.0833333333333299</c:v>
              </c:pt>
            </c:numLit>
          </c:xVal>
          <c:yVal>
            <c:numLit>
              <c:formatCode>General</c:formatCode>
              <c:ptCount val="13"/>
              <c:pt idx="0">
                <c:v>0.43</c:v>
              </c:pt>
              <c:pt idx="1">
                <c:v>0.51</c:v>
              </c:pt>
              <c:pt idx="2">
                <c:v>0.56999999999999995</c:v>
              </c:pt>
              <c:pt idx="3">
                <c:v>0.66</c:v>
              </c:pt>
              <c:pt idx="4">
                <c:v>0.76</c:v>
              </c:pt>
              <c:pt idx="5">
                <c:v>0.87</c:v>
              </c:pt>
              <c:pt idx="6">
                <c:v>0.96</c:v>
              </c:pt>
              <c:pt idx="7">
                <c:v>0.99</c:v>
              </c:pt>
              <c:pt idx="8">
                <c:v>0.93</c:v>
              </c:pt>
              <c:pt idx="9">
                <c:v>0.64</c:v>
              </c:pt>
              <c:pt idx="10">
                <c:v>0.17</c:v>
              </c:pt>
              <c:pt idx="11">
                <c:v>0.03</c:v>
              </c:pt>
              <c:pt idx="12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FFE-40E5-A180-30A925B5E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537920"/>
        <c:axId val="297539840"/>
      </c:scatterChart>
      <c:valAx>
        <c:axId val="297537920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5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t>X/H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297539840"/>
        <c:crosses val="autoZero"/>
        <c:crossBetween val="midCat"/>
      </c:valAx>
      <c:valAx>
        <c:axId val="297539840"/>
        <c:scaling>
          <c:orientation val="maxMin"/>
          <c:max val="1"/>
        </c:scaling>
        <c:delete val="0"/>
        <c:axPos val="l"/>
        <c:title>
          <c:tx>
            <c:rich>
              <a:bodyPr/>
              <a:lstStyle/>
              <a:p>
                <a:pPr>
                  <a:defRPr sz="125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t>W/Wmax(%)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29753792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9052563270603507E-2"/>
          <c:y val="7.3846181582850653E-2"/>
          <c:w val="0.92277741726151852"/>
          <c:h val="0.84461570185385437"/>
        </c:manualLayout>
      </c:layout>
      <c:scatterChart>
        <c:scatterStyle val="lineMarker"/>
        <c:varyColors val="0"/>
        <c:ser>
          <c:idx val="0"/>
          <c:order val="0"/>
          <c:tx>
            <c:v>Load bearing walls-Hogging</c:v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'Benchmark-Burland'!$D$4:$D$204</c:f>
              <c:numCache>
                <c:formatCode>General</c:formatCode>
                <c:ptCount val="201"/>
                <c:pt idx="0">
                  <c:v>10</c:v>
                </c:pt>
                <c:pt idx="1">
                  <c:v>9.9499999999999993</c:v>
                </c:pt>
                <c:pt idx="2">
                  <c:v>9.9</c:v>
                </c:pt>
                <c:pt idx="3">
                  <c:v>9.85</c:v>
                </c:pt>
                <c:pt idx="4">
                  <c:v>9.8000000000000007</c:v>
                </c:pt>
                <c:pt idx="5">
                  <c:v>9.75</c:v>
                </c:pt>
                <c:pt idx="6">
                  <c:v>9.6999999999999993</c:v>
                </c:pt>
                <c:pt idx="7">
                  <c:v>9.65</c:v>
                </c:pt>
                <c:pt idx="8">
                  <c:v>9.6</c:v>
                </c:pt>
                <c:pt idx="9">
                  <c:v>9.5500000000000007</c:v>
                </c:pt>
                <c:pt idx="10">
                  <c:v>9.5</c:v>
                </c:pt>
                <c:pt idx="11">
                  <c:v>9.4499999999999993</c:v>
                </c:pt>
                <c:pt idx="12">
                  <c:v>9.4</c:v>
                </c:pt>
                <c:pt idx="13">
                  <c:v>9.35</c:v>
                </c:pt>
                <c:pt idx="14">
                  <c:v>9.3000000000000007</c:v>
                </c:pt>
                <c:pt idx="15">
                  <c:v>9.25</c:v>
                </c:pt>
                <c:pt idx="16">
                  <c:v>9.1999999999999993</c:v>
                </c:pt>
                <c:pt idx="17">
                  <c:v>9.15</c:v>
                </c:pt>
                <c:pt idx="18">
                  <c:v>9.1</c:v>
                </c:pt>
                <c:pt idx="19">
                  <c:v>9.0500000000000007</c:v>
                </c:pt>
                <c:pt idx="20">
                  <c:v>9</c:v>
                </c:pt>
                <c:pt idx="21">
                  <c:v>8.9499999999999993</c:v>
                </c:pt>
                <c:pt idx="22">
                  <c:v>8.9</c:v>
                </c:pt>
                <c:pt idx="23">
                  <c:v>8.85</c:v>
                </c:pt>
                <c:pt idx="24">
                  <c:v>8.8000000000000007</c:v>
                </c:pt>
                <c:pt idx="25">
                  <c:v>8.75</c:v>
                </c:pt>
                <c:pt idx="26">
                  <c:v>8.6999999999999993</c:v>
                </c:pt>
                <c:pt idx="27">
                  <c:v>8.65</c:v>
                </c:pt>
                <c:pt idx="28">
                  <c:v>8.6</c:v>
                </c:pt>
                <c:pt idx="29">
                  <c:v>8.5500000000000007</c:v>
                </c:pt>
                <c:pt idx="30">
                  <c:v>8.5</c:v>
                </c:pt>
                <c:pt idx="31">
                  <c:v>8.4499999999999993</c:v>
                </c:pt>
                <c:pt idx="32">
                  <c:v>8.4</c:v>
                </c:pt>
                <c:pt idx="33">
                  <c:v>8.35</c:v>
                </c:pt>
                <c:pt idx="34">
                  <c:v>8.3000000000000007</c:v>
                </c:pt>
                <c:pt idx="35">
                  <c:v>8.25</c:v>
                </c:pt>
                <c:pt idx="36">
                  <c:v>8.1999999999999993</c:v>
                </c:pt>
                <c:pt idx="37">
                  <c:v>8.15</c:v>
                </c:pt>
                <c:pt idx="38">
                  <c:v>8.1</c:v>
                </c:pt>
                <c:pt idx="39">
                  <c:v>8.0500000000000007</c:v>
                </c:pt>
                <c:pt idx="40">
                  <c:v>8</c:v>
                </c:pt>
                <c:pt idx="41">
                  <c:v>7.95</c:v>
                </c:pt>
                <c:pt idx="42">
                  <c:v>7.9</c:v>
                </c:pt>
                <c:pt idx="43">
                  <c:v>7.85</c:v>
                </c:pt>
                <c:pt idx="44">
                  <c:v>7.8</c:v>
                </c:pt>
                <c:pt idx="45">
                  <c:v>7.75</c:v>
                </c:pt>
                <c:pt idx="46">
                  <c:v>7.7</c:v>
                </c:pt>
                <c:pt idx="47">
                  <c:v>7.65</c:v>
                </c:pt>
                <c:pt idx="48">
                  <c:v>7.6</c:v>
                </c:pt>
                <c:pt idx="49">
                  <c:v>7.55</c:v>
                </c:pt>
                <c:pt idx="50">
                  <c:v>7.5</c:v>
                </c:pt>
                <c:pt idx="51">
                  <c:v>7.45</c:v>
                </c:pt>
                <c:pt idx="52">
                  <c:v>7.4</c:v>
                </c:pt>
                <c:pt idx="53">
                  <c:v>7.35</c:v>
                </c:pt>
                <c:pt idx="54">
                  <c:v>7.3</c:v>
                </c:pt>
                <c:pt idx="55">
                  <c:v>7.25</c:v>
                </c:pt>
                <c:pt idx="56">
                  <c:v>7.2</c:v>
                </c:pt>
                <c:pt idx="57">
                  <c:v>7.15</c:v>
                </c:pt>
                <c:pt idx="58">
                  <c:v>7.1</c:v>
                </c:pt>
                <c:pt idx="59">
                  <c:v>7.05</c:v>
                </c:pt>
                <c:pt idx="60">
                  <c:v>7</c:v>
                </c:pt>
                <c:pt idx="61">
                  <c:v>6.95</c:v>
                </c:pt>
                <c:pt idx="62">
                  <c:v>6.9</c:v>
                </c:pt>
                <c:pt idx="63">
                  <c:v>6.85</c:v>
                </c:pt>
                <c:pt idx="64">
                  <c:v>6.8</c:v>
                </c:pt>
                <c:pt idx="65">
                  <c:v>6.75</c:v>
                </c:pt>
                <c:pt idx="66">
                  <c:v>6.7</c:v>
                </c:pt>
                <c:pt idx="67">
                  <c:v>6.65</c:v>
                </c:pt>
                <c:pt idx="68">
                  <c:v>6.6</c:v>
                </c:pt>
                <c:pt idx="69">
                  <c:v>6.55</c:v>
                </c:pt>
                <c:pt idx="70">
                  <c:v>6.5</c:v>
                </c:pt>
                <c:pt idx="71">
                  <c:v>6.45</c:v>
                </c:pt>
                <c:pt idx="72">
                  <c:v>6.4</c:v>
                </c:pt>
                <c:pt idx="73">
                  <c:v>6.35</c:v>
                </c:pt>
                <c:pt idx="74">
                  <c:v>6.3</c:v>
                </c:pt>
                <c:pt idx="75">
                  <c:v>6.25</c:v>
                </c:pt>
                <c:pt idx="76">
                  <c:v>6.2</c:v>
                </c:pt>
                <c:pt idx="77">
                  <c:v>6.15</c:v>
                </c:pt>
                <c:pt idx="78">
                  <c:v>6.1</c:v>
                </c:pt>
                <c:pt idx="79">
                  <c:v>6.05</c:v>
                </c:pt>
                <c:pt idx="80">
                  <c:v>6</c:v>
                </c:pt>
                <c:pt idx="81">
                  <c:v>5.95</c:v>
                </c:pt>
                <c:pt idx="82">
                  <c:v>5.9</c:v>
                </c:pt>
                <c:pt idx="83">
                  <c:v>5.85</c:v>
                </c:pt>
                <c:pt idx="84">
                  <c:v>5.8</c:v>
                </c:pt>
                <c:pt idx="85">
                  <c:v>5.75</c:v>
                </c:pt>
                <c:pt idx="86">
                  <c:v>5.7</c:v>
                </c:pt>
                <c:pt idx="87">
                  <c:v>5.65</c:v>
                </c:pt>
                <c:pt idx="88">
                  <c:v>5.6</c:v>
                </c:pt>
                <c:pt idx="89">
                  <c:v>5.55</c:v>
                </c:pt>
                <c:pt idx="90">
                  <c:v>5.5</c:v>
                </c:pt>
                <c:pt idx="91">
                  <c:v>5.45</c:v>
                </c:pt>
                <c:pt idx="92">
                  <c:v>5.4</c:v>
                </c:pt>
                <c:pt idx="93">
                  <c:v>5.35</c:v>
                </c:pt>
                <c:pt idx="94">
                  <c:v>5.3</c:v>
                </c:pt>
                <c:pt idx="95">
                  <c:v>5.25</c:v>
                </c:pt>
                <c:pt idx="96">
                  <c:v>5.2</c:v>
                </c:pt>
                <c:pt idx="97">
                  <c:v>5.15</c:v>
                </c:pt>
                <c:pt idx="98">
                  <c:v>5.0999999999999996</c:v>
                </c:pt>
                <c:pt idx="99">
                  <c:v>5.05</c:v>
                </c:pt>
                <c:pt idx="100">
                  <c:v>5</c:v>
                </c:pt>
                <c:pt idx="101">
                  <c:v>4.95</c:v>
                </c:pt>
                <c:pt idx="102">
                  <c:v>4.9000000000000004</c:v>
                </c:pt>
                <c:pt idx="103">
                  <c:v>4.8499999999999996</c:v>
                </c:pt>
                <c:pt idx="104">
                  <c:v>4.8</c:v>
                </c:pt>
                <c:pt idx="105">
                  <c:v>4.75</c:v>
                </c:pt>
                <c:pt idx="106">
                  <c:v>4.7</c:v>
                </c:pt>
                <c:pt idx="107">
                  <c:v>4.6500000000000004</c:v>
                </c:pt>
                <c:pt idx="108">
                  <c:v>4.5999999999999996</c:v>
                </c:pt>
                <c:pt idx="109">
                  <c:v>4.55</c:v>
                </c:pt>
                <c:pt idx="110">
                  <c:v>4.5</c:v>
                </c:pt>
                <c:pt idx="111">
                  <c:v>4.45</c:v>
                </c:pt>
                <c:pt idx="112">
                  <c:v>4.4000000000000004</c:v>
                </c:pt>
                <c:pt idx="113">
                  <c:v>4.3499999999999996</c:v>
                </c:pt>
                <c:pt idx="114">
                  <c:v>4.3</c:v>
                </c:pt>
                <c:pt idx="115">
                  <c:v>4.25</c:v>
                </c:pt>
                <c:pt idx="116">
                  <c:v>4.2</c:v>
                </c:pt>
                <c:pt idx="117">
                  <c:v>4.1500000000000004</c:v>
                </c:pt>
                <c:pt idx="118">
                  <c:v>4.0999999999999996</c:v>
                </c:pt>
                <c:pt idx="119">
                  <c:v>4.05</c:v>
                </c:pt>
                <c:pt idx="120">
                  <c:v>4</c:v>
                </c:pt>
                <c:pt idx="121">
                  <c:v>3.95</c:v>
                </c:pt>
                <c:pt idx="122">
                  <c:v>3.9</c:v>
                </c:pt>
                <c:pt idx="123">
                  <c:v>3.85</c:v>
                </c:pt>
                <c:pt idx="124">
                  <c:v>3.8</c:v>
                </c:pt>
                <c:pt idx="125">
                  <c:v>3.75</c:v>
                </c:pt>
                <c:pt idx="126">
                  <c:v>3.7</c:v>
                </c:pt>
                <c:pt idx="127">
                  <c:v>3.65</c:v>
                </c:pt>
                <c:pt idx="128">
                  <c:v>3.6</c:v>
                </c:pt>
                <c:pt idx="129">
                  <c:v>3.55</c:v>
                </c:pt>
                <c:pt idx="130">
                  <c:v>3.5</c:v>
                </c:pt>
                <c:pt idx="131">
                  <c:v>3.45</c:v>
                </c:pt>
                <c:pt idx="132">
                  <c:v>3.4</c:v>
                </c:pt>
                <c:pt idx="133">
                  <c:v>3.35</c:v>
                </c:pt>
                <c:pt idx="134">
                  <c:v>3.3</c:v>
                </c:pt>
                <c:pt idx="135">
                  <c:v>3.25</c:v>
                </c:pt>
                <c:pt idx="136">
                  <c:v>3.2</c:v>
                </c:pt>
                <c:pt idx="137">
                  <c:v>3.15</c:v>
                </c:pt>
                <c:pt idx="138">
                  <c:v>3.1</c:v>
                </c:pt>
                <c:pt idx="139">
                  <c:v>3.05</c:v>
                </c:pt>
                <c:pt idx="140">
                  <c:v>3</c:v>
                </c:pt>
                <c:pt idx="141">
                  <c:v>2.95</c:v>
                </c:pt>
                <c:pt idx="142">
                  <c:v>2.9</c:v>
                </c:pt>
                <c:pt idx="143">
                  <c:v>2.85</c:v>
                </c:pt>
                <c:pt idx="144">
                  <c:v>2.8</c:v>
                </c:pt>
                <c:pt idx="145">
                  <c:v>2.75</c:v>
                </c:pt>
                <c:pt idx="146">
                  <c:v>2.7</c:v>
                </c:pt>
                <c:pt idx="147">
                  <c:v>2.65</c:v>
                </c:pt>
                <c:pt idx="148">
                  <c:v>2.6</c:v>
                </c:pt>
                <c:pt idx="149">
                  <c:v>2.5499999999999998</c:v>
                </c:pt>
                <c:pt idx="150">
                  <c:v>2.5</c:v>
                </c:pt>
                <c:pt idx="151">
                  <c:v>2.4500000000000002</c:v>
                </c:pt>
                <c:pt idx="152">
                  <c:v>2.4</c:v>
                </c:pt>
                <c:pt idx="153">
                  <c:v>2.35</c:v>
                </c:pt>
                <c:pt idx="154">
                  <c:v>2.2999999999999998</c:v>
                </c:pt>
                <c:pt idx="155">
                  <c:v>2.25</c:v>
                </c:pt>
                <c:pt idx="156">
                  <c:v>2.2000000000000002</c:v>
                </c:pt>
                <c:pt idx="157">
                  <c:v>2.15</c:v>
                </c:pt>
                <c:pt idx="158">
                  <c:v>2.1</c:v>
                </c:pt>
                <c:pt idx="159">
                  <c:v>2.0499999999999998</c:v>
                </c:pt>
                <c:pt idx="160">
                  <c:v>2</c:v>
                </c:pt>
                <c:pt idx="161">
                  <c:v>1.95</c:v>
                </c:pt>
                <c:pt idx="162">
                  <c:v>1.9</c:v>
                </c:pt>
                <c:pt idx="163">
                  <c:v>1.85</c:v>
                </c:pt>
                <c:pt idx="164">
                  <c:v>1.8</c:v>
                </c:pt>
                <c:pt idx="165">
                  <c:v>1.75</c:v>
                </c:pt>
                <c:pt idx="166">
                  <c:v>1.7</c:v>
                </c:pt>
                <c:pt idx="167">
                  <c:v>1.65</c:v>
                </c:pt>
                <c:pt idx="168">
                  <c:v>1.6</c:v>
                </c:pt>
                <c:pt idx="169">
                  <c:v>1.55</c:v>
                </c:pt>
                <c:pt idx="170">
                  <c:v>1.5</c:v>
                </c:pt>
                <c:pt idx="171">
                  <c:v>1.45</c:v>
                </c:pt>
                <c:pt idx="172">
                  <c:v>1.4</c:v>
                </c:pt>
                <c:pt idx="173">
                  <c:v>1.35</c:v>
                </c:pt>
                <c:pt idx="174">
                  <c:v>1.3</c:v>
                </c:pt>
                <c:pt idx="175">
                  <c:v>1.25</c:v>
                </c:pt>
                <c:pt idx="176">
                  <c:v>1.2</c:v>
                </c:pt>
                <c:pt idx="177">
                  <c:v>1.1499999999999999</c:v>
                </c:pt>
                <c:pt idx="178">
                  <c:v>1.1000000000000001</c:v>
                </c:pt>
                <c:pt idx="179">
                  <c:v>1.05</c:v>
                </c:pt>
                <c:pt idx="180">
                  <c:v>1</c:v>
                </c:pt>
                <c:pt idx="181">
                  <c:v>0.95</c:v>
                </c:pt>
                <c:pt idx="182">
                  <c:v>0.9</c:v>
                </c:pt>
                <c:pt idx="183">
                  <c:v>0.85</c:v>
                </c:pt>
                <c:pt idx="184">
                  <c:v>0.8</c:v>
                </c:pt>
                <c:pt idx="185">
                  <c:v>0.75</c:v>
                </c:pt>
                <c:pt idx="186">
                  <c:v>0.7</c:v>
                </c:pt>
                <c:pt idx="187">
                  <c:v>0.65</c:v>
                </c:pt>
                <c:pt idx="188">
                  <c:v>0.6</c:v>
                </c:pt>
                <c:pt idx="189">
                  <c:v>0.55000000000000004</c:v>
                </c:pt>
                <c:pt idx="190">
                  <c:v>0.5</c:v>
                </c:pt>
                <c:pt idx="191">
                  <c:v>0.45</c:v>
                </c:pt>
                <c:pt idx="192">
                  <c:v>0.4</c:v>
                </c:pt>
                <c:pt idx="193">
                  <c:v>0.35</c:v>
                </c:pt>
                <c:pt idx="194">
                  <c:v>0.3</c:v>
                </c:pt>
                <c:pt idx="195">
                  <c:v>0.25</c:v>
                </c:pt>
                <c:pt idx="196">
                  <c:v>0.2</c:v>
                </c:pt>
                <c:pt idx="197">
                  <c:v>0.15</c:v>
                </c:pt>
                <c:pt idx="198">
                  <c:v>0.1</c:v>
                </c:pt>
                <c:pt idx="199">
                  <c:v>0.05</c:v>
                </c:pt>
                <c:pt idx="200">
                  <c:v>0</c:v>
                </c:pt>
              </c:numCache>
            </c:numRef>
          </c:xVal>
          <c:yVal>
            <c:numRef>
              <c:f>'Benchmark-Burland'!$P$4:$P$204</c:f>
              <c:numCache>
                <c:formatCode>0.0000000000</c:formatCode>
                <c:ptCount val="201"/>
                <c:pt idx="0">
                  <c:v>0.85833333333333339</c:v>
                </c:pt>
                <c:pt idx="1">
                  <c:v>0.85429229480737023</c:v>
                </c:pt>
                <c:pt idx="2">
                  <c:v>0.85025252525252526</c:v>
                </c:pt>
                <c:pt idx="3">
                  <c:v>0.84621404399323175</c:v>
                </c:pt>
                <c:pt idx="4">
                  <c:v>0.84217687074829928</c:v>
                </c:pt>
                <c:pt idx="5">
                  <c:v>0.83814102564102566</c:v>
                </c:pt>
                <c:pt idx="6">
                  <c:v>0.83410652920962203</c:v>
                </c:pt>
                <c:pt idx="7">
                  <c:v>0.83007340241796201</c:v>
                </c:pt>
                <c:pt idx="8">
                  <c:v>0.82604166666666667</c:v>
                </c:pt>
                <c:pt idx="9">
                  <c:v>0.82201134380453744</c:v>
                </c:pt>
                <c:pt idx="10">
                  <c:v>0.81798245614035081</c:v>
                </c:pt>
                <c:pt idx="11">
                  <c:v>0.81395502645502638</c:v>
                </c:pt>
                <c:pt idx="12">
                  <c:v>0.80992907801418434</c:v>
                </c:pt>
                <c:pt idx="13">
                  <c:v>0.80590463458110517</c:v>
                </c:pt>
                <c:pt idx="14">
                  <c:v>0.80188172043010753</c:v>
                </c:pt>
                <c:pt idx="15">
                  <c:v>0.79786036036036045</c:v>
                </c:pt>
                <c:pt idx="16">
                  <c:v>0.79384057971014499</c:v>
                </c:pt>
                <c:pt idx="17">
                  <c:v>0.78982240437158469</c:v>
                </c:pt>
                <c:pt idx="18">
                  <c:v>0.78580586080586079</c:v>
                </c:pt>
                <c:pt idx="19">
                  <c:v>0.78179097605893189</c:v>
                </c:pt>
                <c:pt idx="20">
                  <c:v>0.77777777777777779</c:v>
                </c:pt>
                <c:pt idx="21">
                  <c:v>0.77376629422718812</c:v>
                </c:pt>
                <c:pt idx="22">
                  <c:v>0.76975655430711609</c:v>
                </c:pt>
                <c:pt idx="23">
                  <c:v>0.76574858757062148</c:v>
                </c:pt>
                <c:pt idx="24">
                  <c:v>0.76174242424242422</c:v>
                </c:pt>
                <c:pt idx="25">
                  <c:v>0.75773809523809521</c:v>
                </c:pt>
                <c:pt idx="26">
                  <c:v>0.75373563218390804</c:v>
                </c:pt>
                <c:pt idx="27">
                  <c:v>0.74973506743737961</c:v>
                </c:pt>
                <c:pt idx="28">
                  <c:v>0.74573643410852719</c:v>
                </c:pt>
                <c:pt idx="29">
                  <c:v>0.74173976608187142</c:v>
                </c:pt>
                <c:pt idx="30">
                  <c:v>0.73774509803921573</c:v>
                </c:pt>
                <c:pt idx="31">
                  <c:v>0.73375246548323481</c:v>
                </c:pt>
                <c:pt idx="32">
                  <c:v>0.72976190476190472</c:v>
                </c:pt>
                <c:pt idx="33">
                  <c:v>0.72577345309381236</c:v>
                </c:pt>
                <c:pt idx="34">
                  <c:v>0.72178714859437754</c:v>
                </c:pt>
                <c:pt idx="35">
                  <c:v>0.71780303030303028</c:v>
                </c:pt>
                <c:pt idx="36">
                  <c:v>0.71382113821138216</c:v>
                </c:pt>
                <c:pt idx="37">
                  <c:v>0.70984151329243361</c:v>
                </c:pt>
                <c:pt idx="38">
                  <c:v>0.70586419753086427</c:v>
                </c:pt>
                <c:pt idx="39">
                  <c:v>0.70188923395445124</c:v>
                </c:pt>
                <c:pt idx="40">
                  <c:v>0.69791666666666663</c:v>
                </c:pt>
                <c:pt idx="41">
                  <c:v>0.69394654088050312</c:v>
                </c:pt>
                <c:pt idx="42">
                  <c:v>0.68997890295358655</c:v>
                </c:pt>
                <c:pt idx="43">
                  <c:v>0.68601380042462845</c:v>
                </c:pt>
                <c:pt idx="44">
                  <c:v>0.68205128205128207</c:v>
                </c:pt>
                <c:pt idx="45">
                  <c:v>0.67809139784946237</c:v>
                </c:pt>
                <c:pt idx="46">
                  <c:v>0.67413419913419914</c:v>
                </c:pt>
                <c:pt idx="47">
                  <c:v>0.67017973856209145</c:v>
                </c:pt>
                <c:pt idx="48">
                  <c:v>0.66622807017543861</c:v>
                </c:pt>
                <c:pt idx="49">
                  <c:v>0.66227924944812355</c:v>
                </c:pt>
                <c:pt idx="50">
                  <c:v>0.65833333333333333</c:v>
                </c:pt>
                <c:pt idx="51">
                  <c:v>0.65439038031319907</c:v>
                </c:pt>
                <c:pt idx="52">
                  <c:v>0.65045045045045047</c:v>
                </c:pt>
                <c:pt idx="53">
                  <c:v>0.64651360544217695</c:v>
                </c:pt>
                <c:pt idx="54">
                  <c:v>0.64257990867579906</c:v>
                </c:pt>
                <c:pt idx="55">
                  <c:v>0.63864942528735624</c:v>
                </c:pt>
                <c:pt idx="56">
                  <c:v>0.63472222222222219</c:v>
                </c:pt>
                <c:pt idx="57">
                  <c:v>0.63079836829836833</c:v>
                </c:pt>
                <c:pt idx="58">
                  <c:v>0.62687793427230043</c:v>
                </c:pt>
                <c:pt idx="59">
                  <c:v>0.62296099290780149</c:v>
                </c:pt>
                <c:pt idx="60">
                  <c:v>0.61904761904761907</c:v>
                </c:pt>
                <c:pt idx="61">
                  <c:v>0.61513788968824945</c:v>
                </c:pt>
                <c:pt idx="62">
                  <c:v>0.61123188405797102</c:v>
                </c:pt>
                <c:pt idx="63">
                  <c:v>0.60732968369829676</c:v>
                </c:pt>
                <c:pt idx="64">
                  <c:v>0.60343137254901957</c:v>
                </c:pt>
                <c:pt idx="65">
                  <c:v>0.59953703703703698</c:v>
                </c:pt>
                <c:pt idx="66">
                  <c:v>0.59564676616915424</c:v>
                </c:pt>
                <c:pt idx="67">
                  <c:v>0.59176065162907276</c:v>
                </c:pt>
                <c:pt idx="68">
                  <c:v>0.58787878787878789</c:v>
                </c:pt>
                <c:pt idx="69">
                  <c:v>0.58400127226463094</c:v>
                </c:pt>
                <c:pt idx="70">
                  <c:v>0.58012820512820507</c:v>
                </c:pt>
                <c:pt idx="71">
                  <c:v>0.57625968992248056</c:v>
                </c:pt>
                <c:pt idx="72">
                  <c:v>0.57239583333333333</c:v>
                </c:pt>
                <c:pt idx="73">
                  <c:v>0.5685367454068242</c:v>
                </c:pt>
                <c:pt idx="74">
                  <c:v>0.56468253968253967</c:v>
                </c:pt>
                <c:pt idx="75">
                  <c:v>0.56083333333333341</c:v>
                </c:pt>
                <c:pt idx="76">
                  <c:v>0.55698924731182797</c:v>
                </c:pt>
                <c:pt idx="77">
                  <c:v>0.553150406504065</c:v>
                </c:pt>
                <c:pt idx="78">
                  <c:v>0.5493169398907104</c:v>
                </c:pt>
                <c:pt idx="79">
                  <c:v>0.5454889807162534</c:v>
                </c:pt>
                <c:pt idx="80">
                  <c:v>0.54166666666666663</c:v>
                </c:pt>
                <c:pt idx="81">
                  <c:v>0.53785014005602239</c:v>
                </c:pt>
                <c:pt idx="82">
                  <c:v>0.53403954802259879</c:v>
                </c:pt>
                <c:pt idx="83">
                  <c:v>0.53023504273504274</c:v>
                </c:pt>
                <c:pt idx="84">
                  <c:v>0.52643678160919538</c:v>
                </c:pt>
                <c:pt idx="85">
                  <c:v>0.52264492753623193</c:v>
                </c:pt>
                <c:pt idx="86">
                  <c:v>0.51885964912280702</c:v>
                </c:pt>
                <c:pt idx="87">
                  <c:v>0.51508112094395275</c:v>
                </c:pt>
                <c:pt idx="88">
                  <c:v>0.51130952380952377</c:v>
                </c:pt>
                <c:pt idx="89">
                  <c:v>0.50754504504504505</c:v>
                </c:pt>
                <c:pt idx="90">
                  <c:v>0.50378787878787878</c:v>
                </c:pt>
                <c:pt idx="91">
                  <c:v>0.50003822629969419</c:v>
                </c:pt>
                <c:pt idx="92">
                  <c:v>0.49629629629629629</c:v>
                </c:pt>
                <c:pt idx="93">
                  <c:v>0.49256230529595019</c:v>
                </c:pt>
                <c:pt idx="94">
                  <c:v>0.48883647798742136</c:v>
                </c:pt>
                <c:pt idx="95">
                  <c:v>0.48511904761904762</c:v>
                </c:pt>
                <c:pt idx="96">
                  <c:v>0.48141025641025642</c:v>
                </c:pt>
                <c:pt idx="97">
                  <c:v>0.47771035598705497</c:v>
                </c:pt>
                <c:pt idx="98">
                  <c:v>0.47401960784313724</c:v>
                </c:pt>
                <c:pt idx="99">
                  <c:v>0.47033828382838283</c:v>
                </c:pt>
                <c:pt idx="100">
                  <c:v>0.46666666666666667</c:v>
                </c:pt>
                <c:pt idx="101">
                  <c:v>0.46300505050505047</c:v>
                </c:pt>
                <c:pt idx="102">
                  <c:v>0.45935374149659863</c:v>
                </c:pt>
                <c:pt idx="103">
                  <c:v>0.45571305841924398</c:v>
                </c:pt>
                <c:pt idx="104">
                  <c:v>0.45208333333333334</c:v>
                </c:pt>
                <c:pt idx="105">
                  <c:v>0.44846491228070173</c:v>
                </c:pt>
                <c:pt idx="106">
                  <c:v>0.44485815602836881</c:v>
                </c:pt>
                <c:pt idx="107">
                  <c:v>0.44126344086021507</c:v>
                </c:pt>
                <c:pt idx="108">
                  <c:v>0.4376811594202899</c:v>
                </c:pt>
                <c:pt idx="109">
                  <c:v>0.43411172161172162</c:v>
                </c:pt>
                <c:pt idx="110">
                  <c:v>0.43055555555555558</c:v>
                </c:pt>
                <c:pt idx="111">
                  <c:v>0.42701310861423225</c:v>
                </c:pt>
                <c:pt idx="112">
                  <c:v>0.42348484848484846</c:v>
                </c:pt>
                <c:pt idx="113">
                  <c:v>0.41997126436781607</c:v>
                </c:pt>
                <c:pt idx="114">
                  <c:v>0.41647286821705426</c:v>
                </c:pt>
                <c:pt idx="115">
                  <c:v>0.4129901960784314</c:v>
                </c:pt>
                <c:pt idx="116">
                  <c:v>0.40952380952380951</c:v>
                </c:pt>
                <c:pt idx="117">
                  <c:v>0.40607429718875498</c:v>
                </c:pt>
                <c:pt idx="118">
                  <c:v>0.40264227642276423</c:v>
                </c:pt>
                <c:pt idx="119">
                  <c:v>0.39922839506172841</c:v>
                </c:pt>
                <c:pt idx="120">
                  <c:v>0.39583333333333331</c:v>
                </c:pt>
                <c:pt idx="121">
                  <c:v>0.392457805907173</c:v>
                </c:pt>
                <c:pt idx="122">
                  <c:v>0.38910256410256411</c:v>
                </c:pt>
                <c:pt idx="123">
                  <c:v>0.38576839826839826</c:v>
                </c:pt>
                <c:pt idx="124">
                  <c:v>0.38245614035087716</c:v>
                </c:pt>
                <c:pt idx="125">
                  <c:v>0.37916666666666665</c:v>
                </c:pt>
                <c:pt idx="126">
                  <c:v>0.37590090090090089</c:v>
                </c:pt>
                <c:pt idx="127">
                  <c:v>0.37265981735159814</c:v>
                </c:pt>
                <c:pt idx="128">
                  <c:v>0.36944444444444446</c:v>
                </c:pt>
                <c:pt idx="129">
                  <c:v>0.36625586854460096</c:v>
                </c:pt>
                <c:pt idx="130">
                  <c:v>0.36309523809523814</c:v>
                </c:pt>
                <c:pt idx="131">
                  <c:v>0.359963768115942</c:v>
                </c:pt>
                <c:pt idx="132">
                  <c:v>0.35686274509803922</c:v>
                </c:pt>
                <c:pt idx="133">
                  <c:v>0.35379353233830846</c:v>
                </c:pt>
                <c:pt idx="134">
                  <c:v>0.35075757575757577</c:v>
                </c:pt>
                <c:pt idx="135">
                  <c:v>0.34775641025641024</c:v>
                </c:pt>
                <c:pt idx="136">
                  <c:v>0.34479166666666666</c:v>
                </c:pt>
                <c:pt idx="137">
                  <c:v>0.34186507936507937</c:v>
                </c:pt>
                <c:pt idx="138">
                  <c:v>0.33897849462365592</c:v>
                </c:pt>
                <c:pt idx="139">
                  <c:v>0.33613387978142073</c:v>
                </c:pt>
                <c:pt idx="140">
                  <c:v>0.33333333333333331</c:v>
                </c:pt>
                <c:pt idx="141">
                  <c:v>0.33057909604519775</c:v>
                </c:pt>
                <c:pt idx="142">
                  <c:v>0.32787356321839078</c:v>
                </c:pt>
                <c:pt idx="143">
                  <c:v>0.32521929824561402</c:v>
                </c:pt>
                <c:pt idx="144">
                  <c:v>0.32261904761904764</c:v>
                </c:pt>
                <c:pt idx="145">
                  <c:v>0.32007575757575757</c:v>
                </c:pt>
                <c:pt idx="146">
                  <c:v>0.31759259259259259</c:v>
                </c:pt>
                <c:pt idx="147">
                  <c:v>0.31517295597484274</c:v>
                </c:pt>
                <c:pt idx="148">
                  <c:v>0.31282051282051282</c:v>
                </c:pt>
                <c:pt idx="149">
                  <c:v>0.31053921568627452</c:v>
                </c:pt>
                <c:pt idx="150">
                  <c:v>0.30833333333333335</c:v>
                </c:pt>
                <c:pt idx="151">
                  <c:v>0.30620748299319728</c:v>
                </c:pt>
                <c:pt idx="152">
                  <c:v>0.3041666666666667</c:v>
                </c:pt>
                <c:pt idx="153">
                  <c:v>0.3022163120567376</c:v>
                </c:pt>
                <c:pt idx="154">
                  <c:v>0.30036231884057973</c:v>
                </c:pt>
                <c:pt idx="155">
                  <c:v>0.2986111111111111</c:v>
                </c:pt>
                <c:pt idx="156">
                  <c:v>0.29696969696969694</c:v>
                </c:pt>
                <c:pt idx="157">
                  <c:v>0.29544573643410854</c:v>
                </c:pt>
                <c:pt idx="158">
                  <c:v>0.294047619047619</c:v>
                </c:pt>
                <c:pt idx="159">
                  <c:v>0.29278455284552846</c:v>
                </c:pt>
                <c:pt idx="160">
                  <c:v>0.29166666666666663</c:v>
                </c:pt>
                <c:pt idx="161">
                  <c:v>0.29070512820512817</c:v>
                </c:pt>
                <c:pt idx="162">
                  <c:v>0.28991228070175434</c:v>
                </c:pt>
                <c:pt idx="163">
                  <c:v>0.28930180180180182</c:v>
                </c:pt>
                <c:pt idx="164">
                  <c:v>0.28888888888888886</c:v>
                </c:pt>
                <c:pt idx="165">
                  <c:v>0.28869047619047616</c:v>
                </c:pt>
                <c:pt idx="166">
                  <c:v>0.2887254901960784</c:v>
                </c:pt>
                <c:pt idx="167">
                  <c:v>0.28901515151515156</c:v>
                </c:pt>
                <c:pt idx="168">
                  <c:v>0.2895833333333333</c:v>
                </c:pt>
                <c:pt idx="169">
                  <c:v>0.29045698924731184</c:v>
                </c:pt>
                <c:pt idx="170">
                  <c:v>0.29166666666666663</c:v>
                </c:pt>
                <c:pt idx="171">
                  <c:v>0.29324712643678164</c:v>
                </c:pt>
                <c:pt idx="172">
                  <c:v>0.29523809523809524</c:v>
                </c:pt>
                <c:pt idx="173">
                  <c:v>0.29768518518518516</c:v>
                </c:pt>
                <c:pt idx="174">
                  <c:v>0.30064102564102568</c:v>
                </c:pt>
                <c:pt idx="175">
                  <c:v>0.3041666666666667</c:v>
                </c:pt>
                <c:pt idx="176">
                  <c:v>0.30833333333333335</c:v>
                </c:pt>
                <c:pt idx="177">
                  <c:v>0.31322463768115943</c:v>
                </c:pt>
                <c:pt idx="178">
                  <c:v>0.31893939393939391</c:v>
                </c:pt>
                <c:pt idx="179">
                  <c:v>0.32559523809523805</c:v>
                </c:pt>
                <c:pt idx="180">
                  <c:v>0.33333333333333331</c:v>
                </c:pt>
                <c:pt idx="181">
                  <c:v>0.34232456140350875</c:v>
                </c:pt>
                <c:pt idx="182">
                  <c:v>0.3527777777777778</c:v>
                </c:pt>
                <c:pt idx="183">
                  <c:v>0.3649509803921569</c:v>
                </c:pt>
                <c:pt idx="184">
                  <c:v>0.37916666666666665</c:v>
                </c:pt>
                <c:pt idx="185">
                  <c:v>0.39583333333333331</c:v>
                </c:pt>
                <c:pt idx="186">
                  <c:v>0.4154761904761905</c:v>
                </c:pt>
                <c:pt idx="187">
                  <c:v>0.43878205128205128</c:v>
                </c:pt>
                <c:pt idx="188">
                  <c:v>0.46666666666666667</c:v>
                </c:pt>
                <c:pt idx="189">
                  <c:v>0.50037878787878787</c:v>
                </c:pt>
                <c:pt idx="190">
                  <c:v>0.54166666666666663</c:v>
                </c:pt>
                <c:pt idx="191">
                  <c:v>0.59305555555555556</c:v>
                </c:pt>
                <c:pt idx="192">
                  <c:v>0.65833333333333333</c:v>
                </c:pt>
                <c:pt idx="193">
                  <c:v>0.74345238095238098</c:v>
                </c:pt>
                <c:pt idx="194">
                  <c:v>0.85833333333333339</c:v>
                </c:pt>
                <c:pt idx="195">
                  <c:v>1.0208333333333333</c:v>
                </c:pt>
                <c:pt idx="196">
                  <c:v>1.0133333333333334</c:v>
                </c:pt>
                <c:pt idx="197">
                  <c:v>1.0075000000000001</c:v>
                </c:pt>
                <c:pt idx="198">
                  <c:v>1.0033333333333334</c:v>
                </c:pt>
                <c:pt idx="199">
                  <c:v>1.0008333333333332</c:v>
                </c:pt>
                <c:pt idx="20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F5-4027-8AC7-90C0B72B6D0E}"/>
            </c:ext>
          </c:extLst>
        </c:ser>
        <c:ser>
          <c:idx val="1"/>
          <c:order val="1"/>
          <c:tx>
            <c:v>Load bearing walls-Sagging</c:v>
          </c:tx>
          <c:spPr>
            <a:ln w="381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'Benchmark-Burland'!$D$4:$D$204</c:f>
              <c:numCache>
                <c:formatCode>General</c:formatCode>
                <c:ptCount val="201"/>
                <c:pt idx="0">
                  <c:v>10</c:v>
                </c:pt>
                <c:pt idx="1">
                  <c:v>9.9499999999999993</c:v>
                </c:pt>
                <c:pt idx="2">
                  <c:v>9.9</c:v>
                </c:pt>
                <c:pt idx="3">
                  <c:v>9.85</c:v>
                </c:pt>
                <c:pt idx="4">
                  <c:v>9.8000000000000007</c:v>
                </c:pt>
                <c:pt idx="5">
                  <c:v>9.75</c:v>
                </c:pt>
                <c:pt idx="6">
                  <c:v>9.6999999999999993</c:v>
                </c:pt>
                <c:pt idx="7">
                  <c:v>9.65</c:v>
                </c:pt>
                <c:pt idx="8">
                  <c:v>9.6</c:v>
                </c:pt>
                <c:pt idx="9">
                  <c:v>9.5500000000000007</c:v>
                </c:pt>
                <c:pt idx="10">
                  <c:v>9.5</c:v>
                </c:pt>
                <c:pt idx="11">
                  <c:v>9.4499999999999993</c:v>
                </c:pt>
                <c:pt idx="12">
                  <c:v>9.4</c:v>
                </c:pt>
                <c:pt idx="13">
                  <c:v>9.35</c:v>
                </c:pt>
                <c:pt idx="14">
                  <c:v>9.3000000000000007</c:v>
                </c:pt>
                <c:pt idx="15">
                  <c:v>9.25</c:v>
                </c:pt>
                <c:pt idx="16">
                  <c:v>9.1999999999999993</c:v>
                </c:pt>
                <c:pt idx="17">
                  <c:v>9.15</c:v>
                </c:pt>
                <c:pt idx="18">
                  <c:v>9.1</c:v>
                </c:pt>
                <c:pt idx="19">
                  <c:v>9.0500000000000007</c:v>
                </c:pt>
                <c:pt idx="20">
                  <c:v>9</c:v>
                </c:pt>
                <c:pt idx="21">
                  <c:v>8.9499999999999993</c:v>
                </c:pt>
                <c:pt idx="22">
                  <c:v>8.9</c:v>
                </c:pt>
                <c:pt idx="23">
                  <c:v>8.85</c:v>
                </c:pt>
                <c:pt idx="24">
                  <c:v>8.8000000000000007</c:v>
                </c:pt>
                <c:pt idx="25">
                  <c:v>8.75</c:v>
                </c:pt>
                <c:pt idx="26">
                  <c:v>8.6999999999999993</c:v>
                </c:pt>
                <c:pt idx="27">
                  <c:v>8.65</c:v>
                </c:pt>
                <c:pt idx="28">
                  <c:v>8.6</c:v>
                </c:pt>
                <c:pt idx="29">
                  <c:v>8.5500000000000007</c:v>
                </c:pt>
                <c:pt idx="30">
                  <c:v>8.5</c:v>
                </c:pt>
                <c:pt idx="31">
                  <c:v>8.4499999999999993</c:v>
                </c:pt>
                <c:pt idx="32">
                  <c:v>8.4</c:v>
                </c:pt>
                <c:pt idx="33">
                  <c:v>8.35</c:v>
                </c:pt>
                <c:pt idx="34">
                  <c:v>8.3000000000000007</c:v>
                </c:pt>
                <c:pt idx="35">
                  <c:v>8.25</c:v>
                </c:pt>
                <c:pt idx="36">
                  <c:v>8.1999999999999993</c:v>
                </c:pt>
                <c:pt idx="37">
                  <c:v>8.15</c:v>
                </c:pt>
                <c:pt idx="38">
                  <c:v>8.1</c:v>
                </c:pt>
                <c:pt idx="39">
                  <c:v>8.0500000000000007</c:v>
                </c:pt>
                <c:pt idx="40">
                  <c:v>8</c:v>
                </c:pt>
                <c:pt idx="41">
                  <c:v>7.95</c:v>
                </c:pt>
                <c:pt idx="42">
                  <c:v>7.9</c:v>
                </c:pt>
                <c:pt idx="43">
                  <c:v>7.85</c:v>
                </c:pt>
                <c:pt idx="44">
                  <c:v>7.8</c:v>
                </c:pt>
                <c:pt idx="45">
                  <c:v>7.75</c:v>
                </c:pt>
                <c:pt idx="46">
                  <c:v>7.7</c:v>
                </c:pt>
                <c:pt idx="47">
                  <c:v>7.65</c:v>
                </c:pt>
                <c:pt idx="48">
                  <c:v>7.6</c:v>
                </c:pt>
                <c:pt idx="49">
                  <c:v>7.55</c:v>
                </c:pt>
                <c:pt idx="50">
                  <c:v>7.5</c:v>
                </c:pt>
                <c:pt idx="51">
                  <c:v>7.45</c:v>
                </c:pt>
                <c:pt idx="52">
                  <c:v>7.4</c:v>
                </c:pt>
                <c:pt idx="53">
                  <c:v>7.35</c:v>
                </c:pt>
                <c:pt idx="54">
                  <c:v>7.3</c:v>
                </c:pt>
                <c:pt idx="55">
                  <c:v>7.25</c:v>
                </c:pt>
                <c:pt idx="56">
                  <c:v>7.2</c:v>
                </c:pt>
                <c:pt idx="57">
                  <c:v>7.15</c:v>
                </c:pt>
                <c:pt idx="58">
                  <c:v>7.1</c:v>
                </c:pt>
                <c:pt idx="59">
                  <c:v>7.05</c:v>
                </c:pt>
                <c:pt idx="60">
                  <c:v>7</c:v>
                </c:pt>
                <c:pt idx="61">
                  <c:v>6.95</c:v>
                </c:pt>
                <c:pt idx="62">
                  <c:v>6.9</c:v>
                </c:pt>
                <c:pt idx="63">
                  <c:v>6.85</c:v>
                </c:pt>
                <c:pt idx="64">
                  <c:v>6.8</c:v>
                </c:pt>
                <c:pt idx="65">
                  <c:v>6.75</c:v>
                </c:pt>
                <c:pt idx="66">
                  <c:v>6.7</c:v>
                </c:pt>
                <c:pt idx="67">
                  <c:v>6.65</c:v>
                </c:pt>
                <c:pt idx="68">
                  <c:v>6.6</c:v>
                </c:pt>
                <c:pt idx="69">
                  <c:v>6.55</c:v>
                </c:pt>
                <c:pt idx="70">
                  <c:v>6.5</c:v>
                </c:pt>
                <c:pt idx="71">
                  <c:v>6.45</c:v>
                </c:pt>
                <c:pt idx="72">
                  <c:v>6.4</c:v>
                </c:pt>
                <c:pt idx="73">
                  <c:v>6.35</c:v>
                </c:pt>
                <c:pt idx="74">
                  <c:v>6.3</c:v>
                </c:pt>
                <c:pt idx="75">
                  <c:v>6.25</c:v>
                </c:pt>
                <c:pt idx="76">
                  <c:v>6.2</c:v>
                </c:pt>
                <c:pt idx="77">
                  <c:v>6.15</c:v>
                </c:pt>
                <c:pt idx="78">
                  <c:v>6.1</c:v>
                </c:pt>
                <c:pt idx="79">
                  <c:v>6.05</c:v>
                </c:pt>
                <c:pt idx="80">
                  <c:v>6</c:v>
                </c:pt>
                <c:pt idx="81">
                  <c:v>5.95</c:v>
                </c:pt>
                <c:pt idx="82">
                  <c:v>5.9</c:v>
                </c:pt>
                <c:pt idx="83">
                  <c:v>5.85</c:v>
                </c:pt>
                <c:pt idx="84">
                  <c:v>5.8</c:v>
                </c:pt>
                <c:pt idx="85">
                  <c:v>5.75</c:v>
                </c:pt>
                <c:pt idx="86">
                  <c:v>5.7</c:v>
                </c:pt>
                <c:pt idx="87">
                  <c:v>5.65</c:v>
                </c:pt>
                <c:pt idx="88">
                  <c:v>5.6</c:v>
                </c:pt>
                <c:pt idx="89">
                  <c:v>5.55</c:v>
                </c:pt>
                <c:pt idx="90">
                  <c:v>5.5</c:v>
                </c:pt>
                <c:pt idx="91">
                  <c:v>5.45</c:v>
                </c:pt>
                <c:pt idx="92">
                  <c:v>5.4</c:v>
                </c:pt>
                <c:pt idx="93">
                  <c:v>5.35</c:v>
                </c:pt>
                <c:pt idx="94">
                  <c:v>5.3</c:v>
                </c:pt>
                <c:pt idx="95">
                  <c:v>5.25</c:v>
                </c:pt>
                <c:pt idx="96">
                  <c:v>5.2</c:v>
                </c:pt>
                <c:pt idx="97">
                  <c:v>5.15</c:v>
                </c:pt>
                <c:pt idx="98">
                  <c:v>5.0999999999999996</c:v>
                </c:pt>
                <c:pt idx="99">
                  <c:v>5.05</c:v>
                </c:pt>
                <c:pt idx="100">
                  <c:v>5</c:v>
                </c:pt>
                <c:pt idx="101">
                  <c:v>4.95</c:v>
                </c:pt>
                <c:pt idx="102">
                  <c:v>4.9000000000000004</c:v>
                </c:pt>
                <c:pt idx="103">
                  <c:v>4.8499999999999996</c:v>
                </c:pt>
                <c:pt idx="104">
                  <c:v>4.8</c:v>
                </c:pt>
                <c:pt idx="105">
                  <c:v>4.75</c:v>
                </c:pt>
                <c:pt idx="106">
                  <c:v>4.7</c:v>
                </c:pt>
                <c:pt idx="107">
                  <c:v>4.6500000000000004</c:v>
                </c:pt>
                <c:pt idx="108">
                  <c:v>4.5999999999999996</c:v>
                </c:pt>
                <c:pt idx="109">
                  <c:v>4.55</c:v>
                </c:pt>
                <c:pt idx="110">
                  <c:v>4.5</c:v>
                </c:pt>
                <c:pt idx="111">
                  <c:v>4.45</c:v>
                </c:pt>
                <c:pt idx="112">
                  <c:v>4.4000000000000004</c:v>
                </c:pt>
                <c:pt idx="113">
                  <c:v>4.3499999999999996</c:v>
                </c:pt>
                <c:pt idx="114">
                  <c:v>4.3</c:v>
                </c:pt>
                <c:pt idx="115">
                  <c:v>4.25</c:v>
                </c:pt>
                <c:pt idx="116">
                  <c:v>4.2</c:v>
                </c:pt>
                <c:pt idx="117">
                  <c:v>4.1500000000000004</c:v>
                </c:pt>
                <c:pt idx="118">
                  <c:v>4.0999999999999996</c:v>
                </c:pt>
                <c:pt idx="119">
                  <c:v>4.05</c:v>
                </c:pt>
                <c:pt idx="120">
                  <c:v>4</c:v>
                </c:pt>
                <c:pt idx="121">
                  <c:v>3.95</c:v>
                </c:pt>
                <c:pt idx="122">
                  <c:v>3.9</c:v>
                </c:pt>
                <c:pt idx="123">
                  <c:v>3.85</c:v>
                </c:pt>
                <c:pt idx="124">
                  <c:v>3.8</c:v>
                </c:pt>
                <c:pt idx="125">
                  <c:v>3.75</c:v>
                </c:pt>
                <c:pt idx="126">
                  <c:v>3.7</c:v>
                </c:pt>
                <c:pt idx="127">
                  <c:v>3.65</c:v>
                </c:pt>
                <c:pt idx="128">
                  <c:v>3.6</c:v>
                </c:pt>
                <c:pt idx="129">
                  <c:v>3.55</c:v>
                </c:pt>
                <c:pt idx="130">
                  <c:v>3.5</c:v>
                </c:pt>
                <c:pt idx="131">
                  <c:v>3.45</c:v>
                </c:pt>
                <c:pt idx="132">
                  <c:v>3.4</c:v>
                </c:pt>
                <c:pt idx="133">
                  <c:v>3.35</c:v>
                </c:pt>
                <c:pt idx="134">
                  <c:v>3.3</c:v>
                </c:pt>
                <c:pt idx="135">
                  <c:v>3.25</c:v>
                </c:pt>
                <c:pt idx="136">
                  <c:v>3.2</c:v>
                </c:pt>
                <c:pt idx="137">
                  <c:v>3.15</c:v>
                </c:pt>
                <c:pt idx="138">
                  <c:v>3.1</c:v>
                </c:pt>
                <c:pt idx="139">
                  <c:v>3.05</c:v>
                </c:pt>
                <c:pt idx="140">
                  <c:v>3</c:v>
                </c:pt>
                <c:pt idx="141">
                  <c:v>2.95</c:v>
                </c:pt>
                <c:pt idx="142">
                  <c:v>2.9</c:v>
                </c:pt>
                <c:pt idx="143">
                  <c:v>2.85</c:v>
                </c:pt>
                <c:pt idx="144">
                  <c:v>2.8</c:v>
                </c:pt>
                <c:pt idx="145">
                  <c:v>2.75</c:v>
                </c:pt>
                <c:pt idx="146">
                  <c:v>2.7</c:v>
                </c:pt>
                <c:pt idx="147">
                  <c:v>2.65</c:v>
                </c:pt>
                <c:pt idx="148">
                  <c:v>2.6</c:v>
                </c:pt>
                <c:pt idx="149">
                  <c:v>2.5499999999999998</c:v>
                </c:pt>
                <c:pt idx="150">
                  <c:v>2.5</c:v>
                </c:pt>
                <c:pt idx="151">
                  <c:v>2.4500000000000002</c:v>
                </c:pt>
                <c:pt idx="152">
                  <c:v>2.4</c:v>
                </c:pt>
                <c:pt idx="153">
                  <c:v>2.35</c:v>
                </c:pt>
                <c:pt idx="154">
                  <c:v>2.2999999999999998</c:v>
                </c:pt>
                <c:pt idx="155">
                  <c:v>2.25</c:v>
                </c:pt>
                <c:pt idx="156">
                  <c:v>2.2000000000000002</c:v>
                </c:pt>
                <c:pt idx="157">
                  <c:v>2.15</c:v>
                </c:pt>
                <c:pt idx="158">
                  <c:v>2.1</c:v>
                </c:pt>
                <c:pt idx="159">
                  <c:v>2.0499999999999998</c:v>
                </c:pt>
                <c:pt idx="160">
                  <c:v>2</c:v>
                </c:pt>
                <c:pt idx="161">
                  <c:v>1.95</c:v>
                </c:pt>
                <c:pt idx="162">
                  <c:v>1.9</c:v>
                </c:pt>
                <c:pt idx="163">
                  <c:v>1.85</c:v>
                </c:pt>
                <c:pt idx="164">
                  <c:v>1.8</c:v>
                </c:pt>
                <c:pt idx="165">
                  <c:v>1.75</c:v>
                </c:pt>
                <c:pt idx="166">
                  <c:v>1.7</c:v>
                </c:pt>
                <c:pt idx="167">
                  <c:v>1.65</c:v>
                </c:pt>
                <c:pt idx="168">
                  <c:v>1.6</c:v>
                </c:pt>
                <c:pt idx="169">
                  <c:v>1.55</c:v>
                </c:pt>
                <c:pt idx="170">
                  <c:v>1.5</c:v>
                </c:pt>
                <c:pt idx="171">
                  <c:v>1.45</c:v>
                </c:pt>
                <c:pt idx="172">
                  <c:v>1.4</c:v>
                </c:pt>
                <c:pt idx="173">
                  <c:v>1.35</c:v>
                </c:pt>
                <c:pt idx="174">
                  <c:v>1.3</c:v>
                </c:pt>
                <c:pt idx="175">
                  <c:v>1.25</c:v>
                </c:pt>
                <c:pt idx="176">
                  <c:v>1.2</c:v>
                </c:pt>
                <c:pt idx="177">
                  <c:v>1.1499999999999999</c:v>
                </c:pt>
                <c:pt idx="178">
                  <c:v>1.1000000000000001</c:v>
                </c:pt>
                <c:pt idx="179">
                  <c:v>1.05</c:v>
                </c:pt>
                <c:pt idx="180">
                  <c:v>1</c:v>
                </c:pt>
                <c:pt idx="181">
                  <c:v>0.95</c:v>
                </c:pt>
                <c:pt idx="182">
                  <c:v>0.9</c:v>
                </c:pt>
                <c:pt idx="183">
                  <c:v>0.85</c:v>
                </c:pt>
                <c:pt idx="184">
                  <c:v>0.8</c:v>
                </c:pt>
                <c:pt idx="185">
                  <c:v>0.75</c:v>
                </c:pt>
                <c:pt idx="186">
                  <c:v>0.7</c:v>
                </c:pt>
                <c:pt idx="187">
                  <c:v>0.65</c:v>
                </c:pt>
                <c:pt idx="188">
                  <c:v>0.6</c:v>
                </c:pt>
                <c:pt idx="189">
                  <c:v>0.55000000000000004</c:v>
                </c:pt>
                <c:pt idx="190">
                  <c:v>0.5</c:v>
                </c:pt>
                <c:pt idx="191">
                  <c:v>0.45</c:v>
                </c:pt>
                <c:pt idx="192">
                  <c:v>0.4</c:v>
                </c:pt>
                <c:pt idx="193">
                  <c:v>0.35</c:v>
                </c:pt>
                <c:pt idx="194">
                  <c:v>0.3</c:v>
                </c:pt>
                <c:pt idx="195">
                  <c:v>0.25</c:v>
                </c:pt>
                <c:pt idx="196">
                  <c:v>0.2</c:v>
                </c:pt>
                <c:pt idx="197">
                  <c:v>0.15</c:v>
                </c:pt>
                <c:pt idx="198">
                  <c:v>0.1</c:v>
                </c:pt>
                <c:pt idx="199">
                  <c:v>0.05</c:v>
                </c:pt>
                <c:pt idx="200">
                  <c:v>0</c:v>
                </c:pt>
              </c:numCache>
            </c:numRef>
          </c:xVal>
          <c:yVal>
            <c:numRef>
              <c:f>'Benchmark-Burland'!$S$4:$S$204</c:f>
              <c:numCache>
                <c:formatCode>0.0000000000</c:formatCode>
                <c:ptCount val="201"/>
                <c:pt idx="0">
                  <c:v>1.7316666666666667</c:v>
                </c:pt>
                <c:pt idx="1">
                  <c:v>1.7236599664991625</c:v>
                </c:pt>
                <c:pt idx="2">
                  <c:v>1.7156565656565657</c:v>
                </c:pt>
                <c:pt idx="3">
                  <c:v>1.7076565143824027</c:v>
                </c:pt>
                <c:pt idx="4">
                  <c:v>1.6996598639455782</c:v>
                </c:pt>
                <c:pt idx="5">
                  <c:v>1.6916666666666667</c:v>
                </c:pt>
                <c:pt idx="6">
                  <c:v>1.6836769759450172</c:v>
                </c:pt>
                <c:pt idx="7">
                  <c:v>1.6756908462867013</c:v>
                </c:pt>
                <c:pt idx="8">
                  <c:v>1.6677083333333333</c:v>
                </c:pt>
                <c:pt idx="9">
                  <c:v>1.6597294938917975</c:v>
                </c:pt>
                <c:pt idx="10">
                  <c:v>1.6517543859649122</c:v>
                </c:pt>
                <c:pt idx="11">
                  <c:v>1.6437830687830688</c:v>
                </c:pt>
                <c:pt idx="12">
                  <c:v>1.6358156028368793</c:v>
                </c:pt>
                <c:pt idx="13">
                  <c:v>1.6278520499108735</c:v>
                </c:pt>
                <c:pt idx="14">
                  <c:v>1.6198924731182796</c:v>
                </c:pt>
                <c:pt idx="15">
                  <c:v>1.611936936936937</c:v>
                </c:pt>
                <c:pt idx="16">
                  <c:v>1.6039855072463769</c:v>
                </c:pt>
                <c:pt idx="17">
                  <c:v>1.5960382513661202</c:v>
                </c:pt>
                <c:pt idx="18">
                  <c:v>1.588095238095238</c:v>
                </c:pt>
                <c:pt idx="19">
                  <c:v>1.5801565377532227</c:v>
                </c:pt>
                <c:pt idx="20">
                  <c:v>1.5722222222222222</c:v>
                </c:pt>
                <c:pt idx="21">
                  <c:v>1.564292364990689</c:v>
                </c:pt>
                <c:pt idx="22">
                  <c:v>1.556367041198502</c:v>
                </c:pt>
                <c:pt idx="23">
                  <c:v>1.548446327683616</c:v>
                </c:pt>
                <c:pt idx="24">
                  <c:v>1.540530303030303</c:v>
                </c:pt>
                <c:pt idx="25">
                  <c:v>1.5326190476190475</c:v>
                </c:pt>
                <c:pt idx="26">
                  <c:v>1.5247126436781608</c:v>
                </c:pt>
                <c:pt idx="27">
                  <c:v>1.5168111753371869</c:v>
                </c:pt>
                <c:pt idx="28">
                  <c:v>1.5089147286821705</c:v>
                </c:pt>
                <c:pt idx="29">
                  <c:v>1.5010233918128655</c:v>
                </c:pt>
                <c:pt idx="30">
                  <c:v>1.4931372549019608</c:v>
                </c:pt>
                <c:pt idx="31">
                  <c:v>1.4852564102564103</c:v>
                </c:pt>
                <c:pt idx="32">
                  <c:v>1.4773809523809522</c:v>
                </c:pt>
                <c:pt idx="33">
                  <c:v>1.4695109780439122</c:v>
                </c:pt>
                <c:pt idx="34">
                  <c:v>1.4616465863453816</c:v>
                </c:pt>
                <c:pt idx="35">
                  <c:v>1.4537878787878789</c:v>
                </c:pt>
                <c:pt idx="36">
                  <c:v>1.4459349593495936</c:v>
                </c:pt>
                <c:pt idx="37">
                  <c:v>1.4380879345603272</c:v>
                </c:pt>
                <c:pt idx="38">
                  <c:v>1.4302469135802469</c:v>
                </c:pt>
                <c:pt idx="39">
                  <c:v>1.4224120082815734</c:v>
                </c:pt>
                <c:pt idx="40">
                  <c:v>1.4145833333333333</c:v>
                </c:pt>
                <c:pt idx="41">
                  <c:v>1.4067610062893081</c:v>
                </c:pt>
                <c:pt idx="42">
                  <c:v>1.3989451476793249</c:v>
                </c:pt>
                <c:pt idx="43">
                  <c:v>1.391135881104034</c:v>
                </c:pt>
                <c:pt idx="44">
                  <c:v>1.3833333333333333</c:v>
                </c:pt>
                <c:pt idx="45">
                  <c:v>1.3755376344086023</c:v>
                </c:pt>
                <c:pt idx="46">
                  <c:v>1.3677489177489179</c:v>
                </c:pt>
                <c:pt idx="47">
                  <c:v>1.3599673202614377</c:v>
                </c:pt>
                <c:pt idx="48">
                  <c:v>1.3521929824561403</c:v>
                </c:pt>
                <c:pt idx="49">
                  <c:v>1.3444260485651214</c:v>
                </c:pt>
                <c:pt idx="50">
                  <c:v>1.3366666666666667</c:v>
                </c:pt>
                <c:pt idx="51">
                  <c:v>1.3289149888143177</c:v>
                </c:pt>
                <c:pt idx="52">
                  <c:v>1.3211711711711713</c:v>
                </c:pt>
                <c:pt idx="53">
                  <c:v>1.3134353741496601</c:v>
                </c:pt>
                <c:pt idx="54">
                  <c:v>1.3057077625570774</c:v>
                </c:pt>
                <c:pt idx="55">
                  <c:v>1.2979885057471263</c:v>
                </c:pt>
                <c:pt idx="56">
                  <c:v>1.2902777777777779</c:v>
                </c:pt>
                <c:pt idx="57">
                  <c:v>1.2825757575757575</c:v>
                </c:pt>
                <c:pt idx="58">
                  <c:v>1.2748826291079813</c:v>
                </c:pt>
                <c:pt idx="59">
                  <c:v>1.2671985815602838</c:v>
                </c:pt>
                <c:pt idx="60">
                  <c:v>1.2595238095238095</c:v>
                </c:pt>
                <c:pt idx="61">
                  <c:v>1.2518585131894486</c:v>
                </c:pt>
                <c:pt idx="62">
                  <c:v>1.2442028985507245</c:v>
                </c:pt>
                <c:pt idx="63">
                  <c:v>1.2365571776155717</c:v>
                </c:pt>
                <c:pt idx="64">
                  <c:v>1.2289215686274511</c:v>
                </c:pt>
                <c:pt idx="65">
                  <c:v>1.2212962962962963</c:v>
                </c:pt>
                <c:pt idx="66">
                  <c:v>1.213681592039801</c:v>
                </c:pt>
                <c:pt idx="67">
                  <c:v>1.2060776942355891</c:v>
                </c:pt>
                <c:pt idx="68">
                  <c:v>1.1984848484848485</c:v>
                </c:pt>
                <c:pt idx="69">
                  <c:v>1.1909033078880407</c:v>
                </c:pt>
                <c:pt idx="70">
                  <c:v>1.1833333333333333</c:v>
                </c:pt>
                <c:pt idx="71">
                  <c:v>1.1757751937984495</c:v>
                </c:pt>
                <c:pt idx="72">
                  <c:v>1.1682291666666667</c:v>
                </c:pt>
                <c:pt idx="73">
                  <c:v>1.1606955380577428</c:v>
                </c:pt>
                <c:pt idx="74">
                  <c:v>1.1531746031746033</c:v>
                </c:pt>
                <c:pt idx="75">
                  <c:v>1.1456666666666668</c:v>
                </c:pt>
                <c:pt idx="76">
                  <c:v>1.1381720430107527</c:v>
                </c:pt>
                <c:pt idx="77">
                  <c:v>1.130691056910569</c:v>
                </c:pt>
                <c:pt idx="78">
                  <c:v>1.1232240437158469</c:v>
                </c:pt>
                <c:pt idx="79">
                  <c:v>1.115771349862259</c:v>
                </c:pt>
                <c:pt idx="80">
                  <c:v>1.1083333333333334</c:v>
                </c:pt>
                <c:pt idx="81">
                  <c:v>1.1009103641456583</c:v>
                </c:pt>
                <c:pt idx="82">
                  <c:v>1.093502824858757</c:v>
                </c:pt>
                <c:pt idx="83">
                  <c:v>1.086111111111111</c:v>
                </c:pt>
                <c:pt idx="84">
                  <c:v>1.0787356321839081</c:v>
                </c:pt>
                <c:pt idx="85">
                  <c:v>1.0713768115942028</c:v>
                </c:pt>
                <c:pt idx="86">
                  <c:v>1.0640350877192981</c:v>
                </c:pt>
                <c:pt idx="87">
                  <c:v>1.0567109144542772</c:v>
                </c:pt>
                <c:pt idx="88">
                  <c:v>1.049404761904762</c:v>
                </c:pt>
                <c:pt idx="89">
                  <c:v>1.0421171171171171</c:v>
                </c:pt>
                <c:pt idx="90">
                  <c:v>1.0348484848484849</c:v>
                </c:pt>
                <c:pt idx="91">
                  <c:v>1.0275993883792049</c:v>
                </c:pt>
                <c:pt idx="92">
                  <c:v>1.0203703703703704</c:v>
                </c:pt>
                <c:pt idx="93">
                  <c:v>1.0131619937694705</c:v>
                </c:pt>
                <c:pt idx="94">
                  <c:v>1.0059748427672957</c:v>
                </c:pt>
                <c:pt idx="95">
                  <c:v>0.99880952380952381</c:v>
                </c:pt>
                <c:pt idx="96">
                  <c:v>0.9916666666666667</c:v>
                </c:pt>
                <c:pt idx="97">
                  <c:v>0.98454692556634305</c:v>
                </c:pt>
                <c:pt idx="98">
                  <c:v>0.97745098039215683</c:v>
                </c:pt>
                <c:pt idx="99">
                  <c:v>0.97037953795379539</c:v>
                </c:pt>
                <c:pt idx="100">
                  <c:v>0.96333333333333337</c:v>
                </c:pt>
                <c:pt idx="101">
                  <c:v>0.95631313131313123</c:v>
                </c:pt>
                <c:pt idx="102">
                  <c:v>0.94931972789115648</c:v>
                </c:pt>
                <c:pt idx="103">
                  <c:v>0.94235395189003435</c:v>
                </c:pt>
                <c:pt idx="104">
                  <c:v>0.93541666666666679</c:v>
                </c:pt>
                <c:pt idx="105">
                  <c:v>0.92850877192982451</c:v>
                </c:pt>
                <c:pt idx="106">
                  <c:v>0.92163120567375889</c:v>
                </c:pt>
                <c:pt idx="107">
                  <c:v>0.91478494623655915</c:v>
                </c:pt>
                <c:pt idx="108">
                  <c:v>0.90797101449275364</c:v>
                </c:pt>
                <c:pt idx="109">
                  <c:v>0.9011904761904761</c:v>
                </c:pt>
                <c:pt idx="110">
                  <c:v>0.89444444444444438</c:v>
                </c:pt>
                <c:pt idx="111">
                  <c:v>0.8877340823970038</c:v>
                </c:pt>
                <c:pt idx="112">
                  <c:v>0.88106060606060599</c:v>
                </c:pt>
                <c:pt idx="113">
                  <c:v>0.87442528735632186</c:v>
                </c:pt>
                <c:pt idx="114">
                  <c:v>0.86782945736434103</c:v>
                </c:pt>
                <c:pt idx="115">
                  <c:v>0.86127450980392162</c:v>
                </c:pt>
                <c:pt idx="116">
                  <c:v>0.85476190476190472</c:v>
                </c:pt>
                <c:pt idx="117">
                  <c:v>0.84829317269076299</c:v>
                </c:pt>
                <c:pt idx="118">
                  <c:v>0.84186991869918704</c:v>
                </c:pt>
                <c:pt idx="119">
                  <c:v>0.83549382716049392</c:v>
                </c:pt>
                <c:pt idx="120">
                  <c:v>0.82916666666666661</c:v>
                </c:pt>
                <c:pt idx="121">
                  <c:v>0.82289029535864977</c:v>
                </c:pt>
                <c:pt idx="122">
                  <c:v>0.81666666666666665</c:v>
                </c:pt>
                <c:pt idx="123">
                  <c:v>0.81049783549783561</c:v>
                </c:pt>
                <c:pt idx="124">
                  <c:v>0.80438596491228065</c:v>
                </c:pt>
                <c:pt idx="125">
                  <c:v>0.79833333333333334</c:v>
                </c:pt>
                <c:pt idx="126">
                  <c:v>0.79234234234234235</c:v>
                </c:pt>
                <c:pt idx="127">
                  <c:v>0.78641552511415513</c:v>
                </c:pt>
                <c:pt idx="128">
                  <c:v>0.78055555555555556</c:v>
                </c:pt>
                <c:pt idx="129">
                  <c:v>0.77476525821596243</c:v>
                </c:pt>
                <c:pt idx="130">
                  <c:v>0.76904761904761909</c:v>
                </c:pt>
                <c:pt idx="131">
                  <c:v>0.76340579710144918</c:v>
                </c:pt>
                <c:pt idx="132">
                  <c:v>0.75784313725490193</c:v>
                </c:pt>
                <c:pt idx="133">
                  <c:v>0.75236318407960201</c:v>
                </c:pt>
                <c:pt idx="134">
                  <c:v>0.74696969696969706</c:v>
                </c:pt>
                <c:pt idx="135">
                  <c:v>0.7416666666666667</c:v>
                </c:pt>
                <c:pt idx="136">
                  <c:v>0.73645833333333333</c:v>
                </c:pt>
                <c:pt idx="137">
                  <c:v>0.73134920634920642</c:v>
                </c:pt>
                <c:pt idx="138">
                  <c:v>0.72634408602150546</c:v>
                </c:pt>
                <c:pt idx="139">
                  <c:v>0.72144808743169397</c:v>
                </c:pt>
                <c:pt idx="140">
                  <c:v>0.71666666666666667</c:v>
                </c:pt>
                <c:pt idx="141">
                  <c:v>0.71200564971751412</c:v>
                </c:pt>
                <c:pt idx="142">
                  <c:v>0.70747126436781615</c:v>
                </c:pt>
                <c:pt idx="143">
                  <c:v>0.7030701754385964</c:v>
                </c:pt>
                <c:pt idx="144">
                  <c:v>0.69880952380952377</c:v>
                </c:pt>
                <c:pt idx="145">
                  <c:v>0.6946969696969697</c:v>
                </c:pt>
                <c:pt idx="146">
                  <c:v>0.69074074074074077</c:v>
                </c:pt>
                <c:pt idx="147">
                  <c:v>0.68694968553459124</c:v>
                </c:pt>
                <c:pt idx="148">
                  <c:v>0.68333333333333335</c:v>
                </c:pt>
                <c:pt idx="149">
                  <c:v>0.67990196078431375</c:v>
                </c:pt>
                <c:pt idx="150">
                  <c:v>0.67666666666666675</c:v>
                </c:pt>
                <c:pt idx="151">
                  <c:v>0.67363945578231288</c:v>
                </c:pt>
                <c:pt idx="152">
                  <c:v>0.67083333333333339</c:v>
                </c:pt>
                <c:pt idx="153">
                  <c:v>0.66826241134751774</c:v>
                </c:pt>
                <c:pt idx="154">
                  <c:v>0.66594202898550725</c:v>
                </c:pt>
                <c:pt idx="155">
                  <c:v>0.66388888888888886</c:v>
                </c:pt>
                <c:pt idx="156">
                  <c:v>0.66212121212121211</c:v>
                </c:pt>
                <c:pt idx="157">
                  <c:v>0.6606589147286821</c:v>
                </c:pt>
                <c:pt idx="158">
                  <c:v>0.65952380952380951</c:v>
                </c:pt>
                <c:pt idx="159">
                  <c:v>0.65873983739837394</c:v>
                </c:pt>
                <c:pt idx="160">
                  <c:v>0.65833333333333333</c:v>
                </c:pt>
                <c:pt idx="161">
                  <c:v>0.65833333333333333</c:v>
                </c:pt>
                <c:pt idx="162">
                  <c:v>0.65877192982456134</c:v>
                </c:pt>
                <c:pt idx="163">
                  <c:v>0.65968468468468466</c:v>
                </c:pt>
                <c:pt idx="164">
                  <c:v>0.6611111111111112</c:v>
                </c:pt>
                <c:pt idx="165">
                  <c:v>0.66309523809523818</c:v>
                </c:pt>
                <c:pt idx="166">
                  <c:v>0.665686274509804</c:v>
                </c:pt>
                <c:pt idx="167">
                  <c:v>0.66893939393939394</c:v>
                </c:pt>
                <c:pt idx="168">
                  <c:v>0.67291666666666661</c:v>
                </c:pt>
                <c:pt idx="169">
                  <c:v>0.67768817204301079</c:v>
                </c:pt>
                <c:pt idx="170">
                  <c:v>0.68333333333333335</c:v>
                </c:pt>
                <c:pt idx="171">
                  <c:v>0.68994252873563222</c:v>
                </c:pt>
                <c:pt idx="172">
                  <c:v>0.69761904761904758</c:v>
                </c:pt>
                <c:pt idx="173">
                  <c:v>0.70648148148148149</c:v>
                </c:pt>
                <c:pt idx="174">
                  <c:v>0.71666666666666667</c:v>
                </c:pt>
                <c:pt idx="175">
                  <c:v>0.72833333333333339</c:v>
                </c:pt>
                <c:pt idx="176">
                  <c:v>0.7416666666666667</c:v>
                </c:pt>
                <c:pt idx="177">
                  <c:v>0.75688405797101443</c:v>
                </c:pt>
                <c:pt idx="178">
                  <c:v>0.77424242424242429</c:v>
                </c:pt>
                <c:pt idx="179">
                  <c:v>0.79404761904761911</c:v>
                </c:pt>
                <c:pt idx="180">
                  <c:v>0.81666666666666665</c:v>
                </c:pt>
                <c:pt idx="181">
                  <c:v>0.84254385964912282</c:v>
                </c:pt>
                <c:pt idx="182">
                  <c:v>0.87222222222222234</c:v>
                </c:pt>
                <c:pt idx="183">
                  <c:v>0.90637254901960795</c:v>
                </c:pt>
                <c:pt idx="184">
                  <c:v>0.9458333333333333</c:v>
                </c:pt>
                <c:pt idx="185">
                  <c:v>0.9916666666666667</c:v>
                </c:pt>
                <c:pt idx="186">
                  <c:v>1.0452380952380953</c:v>
                </c:pt>
                <c:pt idx="187">
                  <c:v>1.1083333333333334</c:v>
                </c:pt>
                <c:pt idx="188">
                  <c:v>1.0923076923076922</c:v>
                </c:pt>
                <c:pt idx="189">
                  <c:v>1.0775641025641025</c:v>
                </c:pt>
                <c:pt idx="190">
                  <c:v>1.0641025641025641</c:v>
                </c:pt>
                <c:pt idx="191">
                  <c:v>1.051923076923077</c:v>
                </c:pt>
                <c:pt idx="192">
                  <c:v>1.0410256410256411</c:v>
                </c:pt>
                <c:pt idx="193">
                  <c:v>1.0314102564102563</c:v>
                </c:pt>
                <c:pt idx="194">
                  <c:v>1.023076923076923</c:v>
                </c:pt>
                <c:pt idx="195">
                  <c:v>1.016025641025641</c:v>
                </c:pt>
                <c:pt idx="196">
                  <c:v>1.0102564102564102</c:v>
                </c:pt>
                <c:pt idx="197">
                  <c:v>1.0057692307692307</c:v>
                </c:pt>
                <c:pt idx="198">
                  <c:v>1.0025641025641026</c:v>
                </c:pt>
                <c:pt idx="199">
                  <c:v>1.0006410256410256</c:v>
                </c:pt>
                <c:pt idx="20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F5-4027-8AC7-90C0B72B6D0E}"/>
            </c:ext>
          </c:extLst>
        </c:ser>
        <c:ser>
          <c:idx val="2"/>
          <c:order val="2"/>
          <c:tx>
            <c:v>Framed building-Sagging or Hogging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'Benchmark-Burland'!$D$4:$D$204</c:f>
              <c:numCache>
                <c:formatCode>General</c:formatCode>
                <c:ptCount val="201"/>
                <c:pt idx="0">
                  <c:v>10</c:v>
                </c:pt>
                <c:pt idx="1">
                  <c:v>9.9499999999999993</c:v>
                </c:pt>
                <c:pt idx="2">
                  <c:v>9.9</c:v>
                </c:pt>
                <c:pt idx="3">
                  <c:v>9.85</c:v>
                </c:pt>
                <c:pt idx="4">
                  <c:v>9.8000000000000007</c:v>
                </c:pt>
                <c:pt idx="5">
                  <c:v>9.75</c:v>
                </c:pt>
                <c:pt idx="6">
                  <c:v>9.6999999999999993</c:v>
                </c:pt>
                <c:pt idx="7">
                  <c:v>9.65</c:v>
                </c:pt>
                <c:pt idx="8">
                  <c:v>9.6</c:v>
                </c:pt>
                <c:pt idx="9">
                  <c:v>9.5500000000000007</c:v>
                </c:pt>
                <c:pt idx="10">
                  <c:v>9.5</c:v>
                </c:pt>
                <c:pt idx="11">
                  <c:v>9.4499999999999993</c:v>
                </c:pt>
                <c:pt idx="12">
                  <c:v>9.4</c:v>
                </c:pt>
                <c:pt idx="13">
                  <c:v>9.35</c:v>
                </c:pt>
                <c:pt idx="14">
                  <c:v>9.3000000000000007</c:v>
                </c:pt>
                <c:pt idx="15">
                  <c:v>9.25</c:v>
                </c:pt>
                <c:pt idx="16">
                  <c:v>9.1999999999999993</c:v>
                </c:pt>
                <c:pt idx="17">
                  <c:v>9.15</c:v>
                </c:pt>
                <c:pt idx="18">
                  <c:v>9.1</c:v>
                </c:pt>
                <c:pt idx="19">
                  <c:v>9.0500000000000007</c:v>
                </c:pt>
                <c:pt idx="20">
                  <c:v>9</c:v>
                </c:pt>
                <c:pt idx="21">
                  <c:v>8.9499999999999993</c:v>
                </c:pt>
                <c:pt idx="22">
                  <c:v>8.9</c:v>
                </c:pt>
                <c:pt idx="23">
                  <c:v>8.85</c:v>
                </c:pt>
                <c:pt idx="24">
                  <c:v>8.8000000000000007</c:v>
                </c:pt>
                <c:pt idx="25">
                  <c:v>8.75</c:v>
                </c:pt>
                <c:pt idx="26">
                  <c:v>8.6999999999999993</c:v>
                </c:pt>
                <c:pt idx="27">
                  <c:v>8.65</c:v>
                </c:pt>
                <c:pt idx="28">
                  <c:v>8.6</c:v>
                </c:pt>
                <c:pt idx="29">
                  <c:v>8.5500000000000007</c:v>
                </c:pt>
                <c:pt idx="30">
                  <c:v>8.5</c:v>
                </c:pt>
                <c:pt idx="31">
                  <c:v>8.4499999999999993</c:v>
                </c:pt>
                <c:pt idx="32">
                  <c:v>8.4</c:v>
                </c:pt>
                <c:pt idx="33">
                  <c:v>8.35</c:v>
                </c:pt>
                <c:pt idx="34">
                  <c:v>8.3000000000000007</c:v>
                </c:pt>
                <c:pt idx="35">
                  <c:v>8.25</c:v>
                </c:pt>
                <c:pt idx="36">
                  <c:v>8.1999999999999993</c:v>
                </c:pt>
                <c:pt idx="37">
                  <c:v>8.15</c:v>
                </c:pt>
                <c:pt idx="38">
                  <c:v>8.1</c:v>
                </c:pt>
                <c:pt idx="39">
                  <c:v>8.0500000000000007</c:v>
                </c:pt>
                <c:pt idx="40">
                  <c:v>8</c:v>
                </c:pt>
                <c:pt idx="41">
                  <c:v>7.95</c:v>
                </c:pt>
                <c:pt idx="42">
                  <c:v>7.9</c:v>
                </c:pt>
                <c:pt idx="43">
                  <c:v>7.85</c:v>
                </c:pt>
                <c:pt idx="44">
                  <c:v>7.8</c:v>
                </c:pt>
                <c:pt idx="45">
                  <c:v>7.75</c:v>
                </c:pt>
                <c:pt idx="46">
                  <c:v>7.7</c:v>
                </c:pt>
                <c:pt idx="47">
                  <c:v>7.65</c:v>
                </c:pt>
                <c:pt idx="48">
                  <c:v>7.6</c:v>
                </c:pt>
                <c:pt idx="49">
                  <c:v>7.55</c:v>
                </c:pt>
                <c:pt idx="50">
                  <c:v>7.5</c:v>
                </c:pt>
                <c:pt idx="51">
                  <c:v>7.45</c:v>
                </c:pt>
                <c:pt idx="52">
                  <c:v>7.4</c:v>
                </c:pt>
                <c:pt idx="53">
                  <c:v>7.35</c:v>
                </c:pt>
                <c:pt idx="54">
                  <c:v>7.3</c:v>
                </c:pt>
                <c:pt idx="55">
                  <c:v>7.25</c:v>
                </c:pt>
                <c:pt idx="56">
                  <c:v>7.2</c:v>
                </c:pt>
                <c:pt idx="57">
                  <c:v>7.15</c:v>
                </c:pt>
                <c:pt idx="58">
                  <c:v>7.1</c:v>
                </c:pt>
                <c:pt idx="59">
                  <c:v>7.05</c:v>
                </c:pt>
                <c:pt idx="60">
                  <c:v>7</c:v>
                </c:pt>
                <c:pt idx="61">
                  <c:v>6.95</c:v>
                </c:pt>
                <c:pt idx="62">
                  <c:v>6.9</c:v>
                </c:pt>
                <c:pt idx="63">
                  <c:v>6.85</c:v>
                </c:pt>
                <c:pt idx="64">
                  <c:v>6.8</c:v>
                </c:pt>
                <c:pt idx="65">
                  <c:v>6.75</c:v>
                </c:pt>
                <c:pt idx="66">
                  <c:v>6.7</c:v>
                </c:pt>
                <c:pt idx="67">
                  <c:v>6.65</c:v>
                </c:pt>
                <c:pt idx="68">
                  <c:v>6.6</c:v>
                </c:pt>
                <c:pt idx="69">
                  <c:v>6.55</c:v>
                </c:pt>
                <c:pt idx="70">
                  <c:v>6.5</c:v>
                </c:pt>
                <c:pt idx="71">
                  <c:v>6.45</c:v>
                </c:pt>
                <c:pt idx="72">
                  <c:v>6.4</c:v>
                </c:pt>
                <c:pt idx="73">
                  <c:v>6.35</c:v>
                </c:pt>
                <c:pt idx="74">
                  <c:v>6.3</c:v>
                </c:pt>
                <c:pt idx="75">
                  <c:v>6.25</c:v>
                </c:pt>
                <c:pt idx="76">
                  <c:v>6.2</c:v>
                </c:pt>
                <c:pt idx="77">
                  <c:v>6.15</c:v>
                </c:pt>
                <c:pt idx="78">
                  <c:v>6.1</c:v>
                </c:pt>
                <c:pt idx="79">
                  <c:v>6.05</c:v>
                </c:pt>
                <c:pt idx="80">
                  <c:v>6</c:v>
                </c:pt>
                <c:pt idx="81">
                  <c:v>5.95</c:v>
                </c:pt>
                <c:pt idx="82">
                  <c:v>5.9</c:v>
                </c:pt>
                <c:pt idx="83">
                  <c:v>5.85</c:v>
                </c:pt>
                <c:pt idx="84">
                  <c:v>5.8</c:v>
                </c:pt>
                <c:pt idx="85">
                  <c:v>5.75</c:v>
                </c:pt>
                <c:pt idx="86">
                  <c:v>5.7</c:v>
                </c:pt>
                <c:pt idx="87">
                  <c:v>5.65</c:v>
                </c:pt>
                <c:pt idx="88">
                  <c:v>5.6</c:v>
                </c:pt>
                <c:pt idx="89">
                  <c:v>5.55</c:v>
                </c:pt>
                <c:pt idx="90">
                  <c:v>5.5</c:v>
                </c:pt>
                <c:pt idx="91">
                  <c:v>5.45</c:v>
                </c:pt>
                <c:pt idx="92">
                  <c:v>5.4</c:v>
                </c:pt>
                <c:pt idx="93">
                  <c:v>5.35</c:v>
                </c:pt>
                <c:pt idx="94">
                  <c:v>5.3</c:v>
                </c:pt>
                <c:pt idx="95">
                  <c:v>5.25</c:v>
                </c:pt>
                <c:pt idx="96">
                  <c:v>5.2</c:v>
                </c:pt>
                <c:pt idx="97">
                  <c:v>5.15</c:v>
                </c:pt>
                <c:pt idx="98">
                  <c:v>5.0999999999999996</c:v>
                </c:pt>
                <c:pt idx="99">
                  <c:v>5.05</c:v>
                </c:pt>
                <c:pt idx="100">
                  <c:v>5</c:v>
                </c:pt>
                <c:pt idx="101">
                  <c:v>4.95</c:v>
                </c:pt>
                <c:pt idx="102">
                  <c:v>4.9000000000000004</c:v>
                </c:pt>
                <c:pt idx="103">
                  <c:v>4.8499999999999996</c:v>
                </c:pt>
                <c:pt idx="104">
                  <c:v>4.8</c:v>
                </c:pt>
                <c:pt idx="105">
                  <c:v>4.75</c:v>
                </c:pt>
                <c:pt idx="106">
                  <c:v>4.7</c:v>
                </c:pt>
                <c:pt idx="107">
                  <c:v>4.6500000000000004</c:v>
                </c:pt>
                <c:pt idx="108">
                  <c:v>4.5999999999999996</c:v>
                </c:pt>
                <c:pt idx="109">
                  <c:v>4.55</c:v>
                </c:pt>
                <c:pt idx="110">
                  <c:v>4.5</c:v>
                </c:pt>
                <c:pt idx="111">
                  <c:v>4.45</c:v>
                </c:pt>
                <c:pt idx="112">
                  <c:v>4.4000000000000004</c:v>
                </c:pt>
                <c:pt idx="113">
                  <c:v>4.3499999999999996</c:v>
                </c:pt>
                <c:pt idx="114">
                  <c:v>4.3</c:v>
                </c:pt>
                <c:pt idx="115">
                  <c:v>4.25</c:v>
                </c:pt>
                <c:pt idx="116">
                  <c:v>4.2</c:v>
                </c:pt>
                <c:pt idx="117">
                  <c:v>4.1500000000000004</c:v>
                </c:pt>
                <c:pt idx="118">
                  <c:v>4.0999999999999996</c:v>
                </c:pt>
                <c:pt idx="119">
                  <c:v>4.05</c:v>
                </c:pt>
                <c:pt idx="120">
                  <c:v>4</c:v>
                </c:pt>
                <c:pt idx="121">
                  <c:v>3.95</c:v>
                </c:pt>
                <c:pt idx="122">
                  <c:v>3.9</c:v>
                </c:pt>
                <c:pt idx="123">
                  <c:v>3.85</c:v>
                </c:pt>
                <c:pt idx="124">
                  <c:v>3.8</c:v>
                </c:pt>
                <c:pt idx="125">
                  <c:v>3.75</c:v>
                </c:pt>
                <c:pt idx="126">
                  <c:v>3.7</c:v>
                </c:pt>
                <c:pt idx="127">
                  <c:v>3.65</c:v>
                </c:pt>
                <c:pt idx="128">
                  <c:v>3.6</c:v>
                </c:pt>
                <c:pt idx="129">
                  <c:v>3.55</c:v>
                </c:pt>
                <c:pt idx="130">
                  <c:v>3.5</c:v>
                </c:pt>
                <c:pt idx="131">
                  <c:v>3.45</c:v>
                </c:pt>
                <c:pt idx="132">
                  <c:v>3.4</c:v>
                </c:pt>
                <c:pt idx="133">
                  <c:v>3.35</c:v>
                </c:pt>
                <c:pt idx="134">
                  <c:v>3.3</c:v>
                </c:pt>
                <c:pt idx="135">
                  <c:v>3.25</c:v>
                </c:pt>
                <c:pt idx="136">
                  <c:v>3.2</c:v>
                </c:pt>
                <c:pt idx="137">
                  <c:v>3.15</c:v>
                </c:pt>
                <c:pt idx="138">
                  <c:v>3.1</c:v>
                </c:pt>
                <c:pt idx="139">
                  <c:v>3.05</c:v>
                </c:pt>
                <c:pt idx="140">
                  <c:v>3</c:v>
                </c:pt>
                <c:pt idx="141">
                  <c:v>2.95</c:v>
                </c:pt>
                <c:pt idx="142">
                  <c:v>2.9</c:v>
                </c:pt>
                <c:pt idx="143">
                  <c:v>2.85</c:v>
                </c:pt>
                <c:pt idx="144">
                  <c:v>2.8</c:v>
                </c:pt>
                <c:pt idx="145">
                  <c:v>2.75</c:v>
                </c:pt>
                <c:pt idx="146">
                  <c:v>2.7</c:v>
                </c:pt>
                <c:pt idx="147">
                  <c:v>2.65</c:v>
                </c:pt>
                <c:pt idx="148">
                  <c:v>2.6</c:v>
                </c:pt>
                <c:pt idx="149">
                  <c:v>2.5499999999999998</c:v>
                </c:pt>
                <c:pt idx="150">
                  <c:v>2.5</c:v>
                </c:pt>
                <c:pt idx="151">
                  <c:v>2.4500000000000002</c:v>
                </c:pt>
                <c:pt idx="152">
                  <c:v>2.4</c:v>
                </c:pt>
                <c:pt idx="153">
                  <c:v>2.35</c:v>
                </c:pt>
                <c:pt idx="154">
                  <c:v>2.2999999999999998</c:v>
                </c:pt>
                <c:pt idx="155">
                  <c:v>2.25</c:v>
                </c:pt>
                <c:pt idx="156">
                  <c:v>2.2000000000000002</c:v>
                </c:pt>
                <c:pt idx="157">
                  <c:v>2.15</c:v>
                </c:pt>
                <c:pt idx="158">
                  <c:v>2.1</c:v>
                </c:pt>
                <c:pt idx="159">
                  <c:v>2.0499999999999998</c:v>
                </c:pt>
                <c:pt idx="160">
                  <c:v>2</c:v>
                </c:pt>
                <c:pt idx="161">
                  <c:v>1.95</c:v>
                </c:pt>
                <c:pt idx="162">
                  <c:v>1.9</c:v>
                </c:pt>
                <c:pt idx="163">
                  <c:v>1.85</c:v>
                </c:pt>
                <c:pt idx="164">
                  <c:v>1.8</c:v>
                </c:pt>
                <c:pt idx="165">
                  <c:v>1.75</c:v>
                </c:pt>
                <c:pt idx="166">
                  <c:v>1.7</c:v>
                </c:pt>
                <c:pt idx="167">
                  <c:v>1.65</c:v>
                </c:pt>
                <c:pt idx="168">
                  <c:v>1.6</c:v>
                </c:pt>
                <c:pt idx="169">
                  <c:v>1.55</c:v>
                </c:pt>
                <c:pt idx="170">
                  <c:v>1.5</c:v>
                </c:pt>
                <c:pt idx="171">
                  <c:v>1.45</c:v>
                </c:pt>
                <c:pt idx="172">
                  <c:v>1.4</c:v>
                </c:pt>
                <c:pt idx="173">
                  <c:v>1.35</c:v>
                </c:pt>
                <c:pt idx="174">
                  <c:v>1.3</c:v>
                </c:pt>
                <c:pt idx="175">
                  <c:v>1.25</c:v>
                </c:pt>
                <c:pt idx="176">
                  <c:v>1.2</c:v>
                </c:pt>
                <c:pt idx="177">
                  <c:v>1.1499999999999999</c:v>
                </c:pt>
                <c:pt idx="178">
                  <c:v>1.1000000000000001</c:v>
                </c:pt>
                <c:pt idx="179">
                  <c:v>1.05</c:v>
                </c:pt>
                <c:pt idx="180">
                  <c:v>1</c:v>
                </c:pt>
                <c:pt idx="181">
                  <c:v>0.95</c:v>
                </c:pt>
                <c:pt idx="182">
                  <c:v>0.9</c:v>
                </c:pt>
                <c:pt idx="183">
                  <c:v>0.85</c:v>
                </c:pt>
                <c:pt idx="184">
                  <c:v>0.8</c:v>
                </c:pt>
                <c:pt idx="185">
                  <c:v>0.75</c:v>
                </c:pt>
                <c:pt idx="186">
                  <c:v>0.7</c:v>
                </c:pt>
                <c:pt idx="187">
                  <c:v>0.65</c:v>
                </c:pt>
                <c:pt idx="188">
                  <c:v>0.6</c:v>
                </c:pt>
                <c:pt idx="189">
                  <c:v>0.55000000000000004</c:v>
                </c:pt>
                <c:pt idx="190">
                  <c:v>0.5</c:v>
                </c:pt>
                <c:pt idx="191">
                  <c:v>0.45</c:v>
                </c:pt>
                <c:pt idx="192">
                  <c:v>0.4</c:v>
                </c:pt>
                <c:pt idx="193">
                  <c:v>0.35</c:v>
                </c:pt>
                <c:pt idx="194">
                  <c:v>0.3</c:v>
                </c:pt>
                <c:pt idx="195">
                  <c:v>0.25</c:v>
                </c:pt>
                <c:pt idx="196">
                  <c:v>0.2</c:v>
                </c:pt>
                <c:pt idx="197">
                  <c:v>0.15</c:v>
                </c:pt>
                <c:pt idx="198">
                  <c:v>0.1</c:v>
                </c:pt>
                <c:pt idx="199">
                  <c:v>0.05</c:v>
                </c:pt>
                <c:pt idx="200">
                  <c:v>0</c:v>
                </c:pt>
              </c:numCache>
            </c:numRef>
          </c:xVal>
          <c:yVal>
            <c:numRef>
              <c:f>'Benchmark-Burland'!$V$4:$V$204</c:f>
              <c:numCache>
                <c:formatCode>General</c:formatCode>
                <c:ptCount val="201"/>
                <c:pt idx="0">
                  <c:v>1.9791666666666667</c:v>
                </c:pt>
                <c:pt idx="1">
                  <c:v>1.9724036850921274</c:v>
                </c:pt>
                <c:pt idx="2">
                  <c:v>1.9656565656565657</c:v>
                </c:pt>
                <c:pt idx="3">
                  <c:v>1.9589255499153975</c:v>
                </c:pt>
                <c:pt idx="4">
                  <c:v>1.9522108843537413</c:v>
                </c:pt>
                <c:pt idx="5">
                  <c:v>1.9455128205128205</c:v>
                </c:pt>
                <c:pt idx="6">
                  <c:v>1.9388316151202749</c:v>
                </c:pt>
                <c:pt idx="7">
                  <c:v>1.9321675302245251</c:v>
                </c:pt>
                <c:pt idx="8">
                  <c:v>1.9255208333333336</c:v>
                </c:pt>
                <c:pt idx="9">
                  <c:v>1.9188917975567188</c:v>
                </c:pt>
                <c:pt idx="10">
                  <c:v>1.9122807017543859</c:v>
                </c:pt>
                <c:pt idx="11">
                  <c:v>1.9056878306878307</c:v>
                </c:pt>
                <c:pt idx="12">
                  <c:v>1.8991134751773049</c:v>
                </c:pt>
                <c:pt idx="13">
                  <c:v>1.8925579322638146</c:v>
                </c:pt>
                <c:pt idx="14">
                  <c:v>1.8860215053763441</c:v>
                </c:pt>
                <c:pt idx="15">
                  <c:v>1.8795045045045047</c:v>
                </c:pt>
                <c:pt idx="16">
                  <c:v>1.8730072463768117</c:v>
                </c:pt>
                <c:pt idx="17">
                  <c:v>1.8665300546448087</c:v>
                </c:pt>
                <c:pt idx="18">
                  <c:v>1.8600732600732601</c:v>
                </c:pt>
                <c:pt idx="19">
                  <c:v>1.8536372007366482</c:v>
                </c:pt>
                <c:pt idx="20">
                  <c:v>1.8472222222222223</c:v>
                </c:pt>
                <c:pt idx="21">
                  <c:v>1.840828677839851</c:v>
                </c:pt>
                <c:pt idx="22">
                  <c:v>1.8344569288389514</c:v>
                </c:pt>
                <c:pt idx="23">
                  <c:v>1.8281073446327685</c:v>
                </c:pt>
                <c:pt idx="24">
                  <c:v>1.821780303030303</c:v>
                </c:pt>
                <c:pt idx="25">
                  <c:v>1.8154761904761905</c:v>
                </c:pt>
                <c:pt idx="26">
                  <c:v>1.8091954022988506</c:v>
                </c:pt>
                <c:pt idx="27">
                  <c:v>1.8029383429672448</c:v>
                </c:pt>
                <c:pt idx="28">
                  <c:v>1.7967054263565891</c:v>
                </c:pt>
                <c:pt idx="29">
                  <c:v>1.7904970760233918</c:v>
                </c:pt>
                <c:pt idx="30">
                  <c:v>1.7843137254901962</c:v>
                </c:pt>
                <c:pt idx="31">
                  <c:v>1.778155818540434</c:v>
                </c:pt>
                <c:pt idx="32">
                  <c:v>1.7720238095238094</c:v>
                </c:pt>
                <c:pt idx="33">
                  <c:v>1.7659181636726546</c:v>
                </c:pt>
                <c:pt idx="34">
                  <c:v>1.7598393574297189</c:v>
                </c:pt>
                <c:pt idx="35">
                  <c:v>1.7537878787878789</c:v>
                </c:pt>
                <c:pt idx="36">
                  <c:v>1.7477642276422765</c:v>
                </c:pt>
                <c:pt idx="37">
                  <c:v>1.7417689161554193</c:v>
                </c:pt>
                <c:pt idx="38">
                  <c:v>1.7358024691358025</c:v>
                </c:pt>
                <c:pt idx="39">
                  <c:v>1.7298654244306417</c:v>
                </c:pt>
                <c:pt idx="40">
                  <c:v>1.7239583333333333</c:v>
                </c:pt>
                <c:pt idx="41">
                  <c:v>1.7180817610062893</c:v>
                </c:pt>
                <c:pt idx="42">
                  <c:v>1.7122362869198313</c:v>
                </c:pt>
                <c:pt idx="43">
                  <c:v>1.7064225053078557</c:v>
                </c:pt>
                <c:pt idx="44">
                  <c:v>1.7006410256410256</c:v>
                </c:pt>
                <c:pt idx="45">
                  <c:v>1.6948924731182795</c:v>
                </c:pt>
                <c:pt idx="46">
                  <c:v>1.6891774891774891</c:v>
                </c:pt>
                <c:pt idx="47">
                  <c:v>1.6834967320261438</c:v>
                </c:pt>
                <c:pt idx="48">
                  <c:v>1.6778508771929823</c:v>
                </c:pt>
                <c:pt idx="49">
                  <c:v>1.6722406181015452</c:v>
                </c:pt>
                <c:pt idx="50">
                  <c:v>1.6666666666666667</c:v>
                </c:pt>
                <c:pt idx="51">
                  <c:v>1.661129753914989</c:v>
                </c:pt>
                <c:pt idx="52">
                  <c:v>1.6556306306306308</c:v>
                </c:pt>
                <c:pt idx="53">
                  <c:v>1.6501700680272111</c:v>
                </c:pt>
                <c:pt idx="54">
                  <c:v>1.6447488584474885</c:v>
                </c:pt>
                <c:pt idx="55">
                  <c:v>1.639367816091954</c:v>
                </c:pt>
                <c:pt idx="56">
                  <c:v>1.6340277777777779</c:v>
                </c:pt>
                <c:pt idx="57">
                  <c:v>1.6287296037296037</c:v>
                </c:pt>
                <c:pt idx="58">
                  <c:v>1.6234741784037559</c:v>
                </c:pt>
                <c:pt idx="59">
                  <c:v>1.6182624113475179</c:v>
                </c:pt>
                <c:pt idx="60">
                  <c:v>1.6130952380952381</c:v>
                </c:pt>
                <c:pt idx="61">
                  <c:v>1.6079736211031177</c:v>
                </c:pt>
                <c:pt idx="62">
                  <c:v>1.6028985507246376</c:v>
                </c:pt>
                <c:pt idx="63">
                  <c:v>1.5978710462287102</c:v>
                </c:pt>
                <c:pt idx="64">
                  <c:v>1.592892156862745</c:v>
                </c:pt>
                <c:pt idx="65">
                  <c:v>1.5879629629629628</c:v>
                </c:pt>
                <c:pt idx="66">
                  <c:v>1.5830845771144277</c:v>
                </c:pt>
                <c:pt idx="67">
                  <c:v>1.5782581453634086</c:v>
                </c:pt>
                <c:pt idx="68">
                  <c:v>1.5734848484848487</c:v>
                </c:pt>
                <c:pt idx="69">
                  <c:v>1.568765903307888</c:v>
                </c:pt>
                <c:pt idx="70">
                  <c:v>1.5641025641025641</c:v>
                </c:pt>
                <c:pt idx="71">
                  <c:v>1.5594961240310077</c:v>
                </c:pt>
                <c:pt idx="72">
                  <c:v>1.5549479166666667</c:v>
                </c:pt>
                <c:pt idx="73">
                  <c:v>1.5504593175853019</c:v>
                </c:pt>
                <c:pt idx="74">
                  <c:v>1.5460317460317461</c:v>
                </c:pt>
                <c:pt idx="75">
                  <c:v>1.5416666666666667</c:v>
                </c:pt>
                <c:pt idx="76">
                  <c:v>1.5373655913978497</c:v>
                </c:pt>
                <c:pt idx="77">
                  <c:v>1.5331300813008129</c:v>
                </c:pt>
                <c:pt idx="78">
                  <c:v>1.5289617486338796</c:v>
                </c:pt>
                <c:pt idx="79">
                  <c:v>1.524862258953168</c:v>
                </c:pt>
                <c:pt idx="80">
                  <c:v>1.5208333333333333</c:v>
                </c:pt>
                <c:pt idx="81">
                  <c:v>1.5168767507002801</c:v>
                </c:pt>
                <c:pt idx="82">
                  <c:v>1.5129943502824856</c:v>
                </c:pt>
                <c:pt idx="83">
                  <c:v>1.5091880341880342</c:v>
                </c:pt>
                <c:pt idx="84">
                  <c:v>1.5054597701149426</c:v>
                </c:pt>
                <c:pt idx="85">
                  <c:v>1.5018115942028984</c:v>
                </c:pt>
                <c:pt idx="86">
                  <c:v>1.4982456140350875</c:v>
                </c:pt>
                <c:pt idx="87">
                  <c:v>1.4947640117994099</c:v>
                </c:pt>
                <c:pt idx="88">
                  <c:v>1.4913690476190475</c:v>
                </c:pt>
                <c:pt idx="89">
                  <c:v>1.4880630630630631</c:v>
                </c:pt>
                <c:pt idx="90">
                  <c:v>1.4848484848484849</c:v>
                </c:pt>
                <c:pt idx="91">
                  <c:v>1.4817278287461773</c:v>
                </c:pt>
                <c:pt idx="92">
                  <c:v>1.4787037037037036</c:v>
                </c:pt>
                <c:pt idx="93">
                  <c:v>1.475778816199377</c:v>
                </c:pt>
                <c:pt idx="94">
                  <c:v>1.4729559748427672</c:v>
                </c:pt>
                <c:pt idx="95">
                  <c:v>1.4702380952380953</c:v>
                </c:pt>
                <c:pt idx="96">
                  <c:v>1.4676282051282052</c:v>
                </c:pt>
                <c:pt idx="97">
                  <c:v>1.4651294498381877</c:v>
                </c:pt>
                <c:pt idx="98">
                  <c:v>1.4627450980392158</c:v>
                </c:pt>
                <c:pt idx="99">
                  <c:v>1.4604785478547855</c:v>
                </c:pt>
                <c:pt idx="100">
                  <c:v>1.4583333333333335</c:v>
                </c:pt>
                <c:pt idx="101">
                  <c:v>1.4563131313131312</c:v>
                </c:pt>
                <c:pt idx="102">
                  <c:v>1.454421768707483</c:v>
                </c:pt>
                <c:pt idx="103">
                  <c:v>1.4526632302405498</c:v>
                </c:pt>
                <c:pt idx="104">
                  <c:v>1.4510416666666668</c:v>
                </c:pt>
                <c:pt idx="105">
                  <c:v>1.4495614035087718</c:v>
                </c:pt>
                <c:pt idx="106">
                  <c:v>1.4482269503546099</c:v>
                </c:pt>
                <c:pt idx="107">
                  <c:v>1.4470430107526882</c:v>
                </c:pt>
                <c:pt idx="108">
                  <c:v>1.4460144927536231</c:v>
                </c:pt>
                <c:pt idx="109">
                  <c:v>1.4451465201465201</c:v>
                </c:pt>
                <c:pt idx="110">
                  <c:v>1.4444444444444444</c:v>
                </c:pt>
                <c:pt idx="111">
                  <c:v>1.4439138576779027</c:v>
                </c:pt>
                <c:pt idx="112">
                  <c:v>1.4435606060606059</c:v>
                </c:pt>
                <c:pt idx="113">
                  <c:v>1.4433908045977011</c:v>
                </c:pt>
                <c:pt idx="114">
                  <c:v>1.4434108527131784</c:v>
                </c:pt>
                <c:pt idx="115">
                  <c:v>1.4436274509803921</c:v>
                </c:pt>
                <c:pt idx="116">
                  <c:v>1.4440476190476188</c:v>
                </c:pt>
                <c:pt idx="117">
                  <c:v>1.4446787148594378</c:v>
                </c:pt>
                <c:pt idx="118">
                  <c:v>1.4455284552845529</c:v>
                </c:pt>
                <c:pt idx="119">
                  <c:v>1.4466049382716051</c:v>
                </c:pt>
                <c:pt idx="120">
                  <c:v>1.4479166666666665</c:v>
                </c:pt>
                <c:pt idx="121">
                  <c:v>1.4494725738396625</c:v>
                </c:pt>
                <c:pt idx="122">
                  <c:v>1.4512820512820512</c:v>
                </c:pt>
                <c:pt idx="123">
                  <c:v>1.4533549783549784</c:v>
                </c:pt>
                <c:pt idx="124">
                  <c:v>1.4557017543859647</c:v>
                </c:pt>
                <c:pt idx="125">
                  <c:v>1.4583333333333335</c:v>
                </c:pt>
                <c:pt idx="126">
                  <c:v>1.4612612612612614</c:v>
                </c:pt>
                <c:pt idx="127">
                  <c:v>1.4644977168949771</c:v>
                </c:pt>
                <c:pt idx="128">
                  <c:v>1.4680555555555554</c:v>
                </c:pt>
                <c:pt idx="129">
                  <c:v>1.4719483568075118</c:v>
                </c:pt>
                <c:pt idx="130">
                  <c:v>1.4761904761904763</c:v>
                </c:pt>
                <c:pt idx="131">
                  <c:v>1.4807971014492753</c:v>
                </c:pt>
                <c:pt idx="132">
                  <c:v>1.4857843137254902</c:v>
                </c:pt>
                <c:pt idx="133">
                  <c:v>1.4911691542288557</c:v>
                </c:pt>
                <c:pt idx="134">
                  <c:v>1.4969696969696971</c:v>
                </c:pt>
                <c:pt idx="135">
                  <c:v>1.5032051282051282</c:v>
                </c:pt>
                <c:pt idx="136">
                  <c:v>1.5098958333333332</c:v>
                </c:pt>
                <c:pt idx="137">
                  <c:v>1.517063492063492</c:v>
                </c:pt>
                <c:pt idx="138">
                  <c:v>1.5125333333333333</c:v>
                </c:pt>
                <c:pt idx="139">
                  <c:v>1.4961333333333333</c:v>
                </c:pt>
                <c:pt idx="140">
                  <c:v>1.48</c:v>
                </c:pt>
                <c:pt idx="141">
                  <c:v>1.4641333333333333</c:v>
                </c:pt>
                <c:pt idx="142">
                  <c:v>1.4485333333333332</c:v>
                </c:pt>
                <c:pt idx="143">
                  <c:v>1.4332</c:v>
                </c:pt>
                <c:pt idx="144">
                  <c:v>1.4181333333333335</c:v>
                </c:pt>
                <c:pt idx="145">
                  <c:v>1.4033333333333333</c:v>
                </c:pt>
                <c:pt idx="146">
                  <c:v>1.3888</c:v>
                </c:pt>
                <c:pt idx="147">
                  <c:v>1.3745333333333334</c:v>
                </c:pt>
                <c:pt idx="148">
                  <c:v>1.3605333333333334</c:v>
                </c:pt>
                <c:pt idx="149">
                  <c:v>1.3468</c:v>
                </c:pt>
                <c:pt idx="150">
                  <c:v>1.3333333333333335</c:v>
                </c:pt>
                <c:pt idx="151">
                  <c:v>1.3201333333333334</c:v>
                </c:pt>
                <c:pt idx="152">
                  <c:v>1.3071999999999999</c:v>
                </c:pt>
                <c:pt idx="153">
                  <c:v>1.2945333333333333</c:v>
                </c:pt>
                <c:pt idx="154">
                  <c:v>1.2821333333333333</c:v>
                </c:pt>
                <c:pt idx="155">
                  <c:v>1.27</c:v>
                </c:pt>
                <c:pt idx="156">
                  <c:v>1.2581333333333333</c:v>
                </c:pt>
                <c:pt idx="157">
                  <c:v>1.2465333333333333</c:v>
                </c:pt>
                <c:pt idx="158">
                  <c:v>1.2352000000000001</c:v>
                </c:pt>
                <c:pt idx="159">
                  <c:v>1.2241333333333333</c:v>
                </c:pt>
                <c:pt idx="160">
                  <c:v>1.2133333333333334</c:v>
                </c:pt>
                <c:pt idx="161">
                  <c:v>1.2028000000000001</c:v>
                </c:pt>
                <c:pt idx="162">
                  <c:v>1.1925333333333334</c:v>
                </c:pt>
                <c:pt idx="163">
                  <c:v>1.1825333333333334</c:v>
                </c:pt>
                <c:pt idx="164">
                  <c:v>1.1728000000000001</c:v>
                </c:pt>
                <c:pt idx="165">
                  <c:v>1.1633333333333333</c:v>
                </c:pt>
                <c:pt idx="166">
                  <c:v>1.1541333333333332</c:v>
                </c:pt>
                <c:pt idx="167">
                  <c:v>1.1452</c:v>
                </c:pt>
                <c:pt idx="168">
                  <c:v>1.1365333333333334</c:v>
                </c:pt>
                <c:pt idx="169">
                  <c:v>1.1281333333333334</c:v>
                </c:pt>
                <c:pt idx="170">
                  <c:v>1.1200000000000001</c:v>
                </c:pt>
                <c:pt idx="171">
                  <c:v>1.1121333333333334</c:v>
                </c:pt>
                <c:pt idx="172">
                  <c:v>1.1045333333333334</c:v>
                </c:pt>
                <c:pt idx="173">
                  <c:v>1.0972</c:v>
                </c:pt>
                <c:pt idx="174">
                  <c:v>1.0901333333333334</c:v>
                </c:pt>
                <c:pt idx="175">
                  <c:v>1.0833333333333333</c:v>
                </c:pt>
                <c:pt idx="176">
                  <c:v>1.0768</c:v>
                </c:pt>
                <c:pt idx="177">
                  <c:v>1.0705333333333333</c:v>
                </c:pt>
                <c:pt idx="178">
                  <c:v>1.0645333333333333</c:v>
                </c:pt>
                <c:pt idx="179">
                  <c:v>1.0588</c:v>
                </c:pt>
                <c:pt idx="180">
                  <c:v>1.0533333333333332</c:v>
                </c:pt>
                <c:pt idx="181">
                  <c:v>1.0481333333333334</c:v>
                </c:pt>
                <c:pt idx="182">
                  <c:v>1.0431999999999999</c:v>
                </c:pt>
                <c:pt idx="183">
                  <c:v>1.0385333333333333</c:v>
                </c:pt>
                <c:pt idx="184">
                  <c:v>1.0341333333333333</c:v>
                </c:pt>
                <c:pt idx="185">
                  <c:v>1.03</c:v>
                </c:pt>
                <c:pt idx="186">
                  <c:v>1.0261333333333333</c:v>
                </c:pt>
                <c:pt idx="187">
                  <c:v>1.0225333333333333</c:v>
                </c:pt>
                <c:pt idx="188">
                  <c:v>1.0192000000000001</c:v>
                </c:pt>
                <c:pt idx="189">
                  <c:v>1.0161333333333333</c:v>
                </c:pt>
                <c:pt idx="190">
                  <c:v>1.0133333333333334</c:v>
                </c:pt>
                <c:pt idx="191">
                  <c:v>1.0107999999999999</c:v>
                </c:pt>
                <c:pt idx="192">
                  <c:v>1.0085333333333333</c:v>
                </c:pt>
                <c:pt idx="193">
                  <c:v>1.0065333333333333</c:v>
                </c:pt>
                <c:pt idx="194">
                  <c:v>1.0047999999999999</c:v>
                </c:pt>
                <c:pt idx="195">
                  <c:v>1.0033333333333334</c:v>
                </c:pt>
                <c:pt idx="196">
                  <c:v>1.0021333333333333</c:v>
                </c:pt>
                <c:pt idx="197">
                  <c:v>1.0012000000000001</c:v>
                </c:pt>
                <c:pt idx="198">
                  <c:v>1.0005333333333333</c:v>
                </c:pt>
                <c:pt idx="199">
                  <c:v>1.0001333333333333</c:v>
                </c:pt>
                <c:pt idx="20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F5-4027-8AC7-90C0B72B6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171584"/>
        <c:axId val="105173760"/>
      </c:scatterChart>
      <c:valAx>
        <c:axId val="105171584"/>
        <c:scaling>
          <c:orientation val="minMax"/>
          <c:max val="1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2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it-IT"/>
                  <a:t>L/H</a:t>
                </a:r>
              </a:p>
            </c:rich>
          </c:tx>
          <c:layout>
            <c:manualLayout>
              <c:xMode val="edge"/>
              <c:yMode val="edge"/>
              <c:x val="0.5009733939000649"/>
              <c:y val="0.95538493842115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105173760"/>
        <c:crosses val="autoZero"/>
        <c:crossBetween val="midCat"/>
        <c:majorUnit val="1"/>
      </c:valAx>
      <c:valAx>
        <c:axId val="10517376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 sz="24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</a:t>
                </a:r>
                <a:r>
                  <a:rPr lang="it-IT" sz="2400" b="0" i="0" u="none" strike="noStrike" baseline="0">
                    <a:solidFill>
                      <a:srgbClr val="000000"/>
                    </a:solidFill>
                    <a:latin typeface="GreekC"/>
                    <a:cs typeface="GreekC"/>
                  </a:rPr>
                  <a:t>D</a:t>
                </a:r>
                <a:r>
                  <a:rPr lang="it-IT" sz="24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/L)/</a:t>
                </a:r>
                <a:r>
                  <a:rPr lang="it-IT" sz="2400" b="0" i="0" u="none" strike="noStrike" baseline="0">
                    <a:solidFill>
                      <a:srgbClr val="000000"/>
                    </a:solidFill>
                    <a:latin typeface="GreekC"/>
                    <a:cs typeface="GreekC"/>
                  </a:rPr>
                  <a:t>e_</a:t>
                </a:r>
                <a:r>
                  <a:rPr lang="it-IT" sz="24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lim</a:t>
                </a:r>
              </a:p>
            </c:rich>
          </c:tx>
          <c:layout>
            <c:manualLayout>
              <c:xMode val="edge"/>
              <c:yMode val="edge"/>
              <c:x val="3.2446463335496431E-3"/>
              <c:y val="0.4238463153644255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105171584"/>
        <c:crosses val="autoZero"/>
        <c:crossBetween val="midCat"/>
        <c:majorUnit val="1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9240752757949386"/>
          <c:y val="6.0000022536066157E-2"/>
          <c:w val="0.26800778715120049"/>
          <c:h val="0.17000006385218744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8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Radio" firstButton="1" fmlaLink="$G$16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image" Target="../media/image2.jpeg"/><Relationship Id="rId9" Type="http://schemas.openxmlformats.org/officeDocument/2006/relationships/chart" Target="../charts/chart8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26" Type="http://schemas.openxmlformats.org/officeDocument/2006/relationships/chart" Target="../charts/chart34.xml"/><Relationship Id="rId3" Type="http://schemas.openxmlformats.org/officeDocument/2006/relationships/chart" Target="../charts/chart11.xml"/><Relationship Id="rId21" Type="http://schemas.openxmlformats.org/officeDocument/2006/relationships/chart" Target="../charts/chart29.xml"/><Relationship Id="rId7" Type="http://schemas.openxmlformats.org/officeDocument/2006/relationships/chart" Target="../charts/chart15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25" Type="http://schemas.openxmlformats.org/officeDocument/2006/relationships/chart" Target="../charts/chart33.xml"/><Relationship Id="rId2" Type="http://schemas.openxmlformats.org/officeDocument/2006/relationships/chart" Target="../charts/chart10.xml"/><Relationship Id="rId16" Type="http://schemas.openxmlformats.org/officeDocument/2006/relationships/chart" Target="../charts/chart24.xml"/><Relationship Id="rId20" Type="http://schemas.openxmlformats.org/officeDocument/2006/relationships/chart" Target="../charts/chart28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11" Type="http://schemas.openxmlformats.org/officeDocument/2006/relationships/chart" Target="../charts/chart19.xml"/><Relationship Id="rId24" Type="http://schemas.openxmlformats.org/officeDocument/2006/relationships/chart" Target="../charts/chart32.xml"/><Relationship Id="rId5" Type="http://schemas.openxmlformats.org/officeDocument/2006/relationships/chart" Target="../charts/chart13.xml"/><Relationship Id="rId15" Type="http://schemas.openxmlformats.org/officeDocument/2006/relationships/chart" Target="../charts/chart23.xml"/><Relationship Id="rId23" Type="http://schemas.openxmlformats.org/officeDocument/2006/relationships/chart" Target="../charts/chart31.xml"/><Relationship Id="rId10" Type="http://schemas.openxmlformats.org/officeDocument/2006/relationships/chart" Target="../charts/chart18.xml"/><Relationship Id="rId19" Type="http://schemas.openxmlformats.org/officeDocument/2006/relationships/chart" Target="../charts/chart27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14" Type="http://schemas.openxmlformats.org/officeDocument/2006/relationships/chart" Target="../charts/chart22.xml"/><Relationship Id="rId22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chart" Target="../charts/chart3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image" Target="../media/image5.emf"/><Relationship Id="rId5" Type="http://schemas.openxmlformats.org/officeDocument/2006/relationships/chart" Target="../charts/chart38.xml"/><Relationship Id="rId4" Type="http://schemas.openxmlformats.org/officeDocument/2006/relationships/image" Target="../media/image4.emf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21.emf"/><Relationship Id="rId3" Type="http://schemas.openxmlformats.org/officeDocument/2006/relationships/chart" Target="../charts/chart39.xml"/><Relationship Id="rId7" Type="http://schemas.openxmlformats.org/officeDocument/2006/relationships/image" Target="../media/image15.emf"/><Relationship Id="rId12" Type="http://schemas.openxmlformats.org/officeDocument/2006/relationships/image" Target="../media/image20.emf"/><Relationship Id="rId2" Type="http://schemas.openxmlformats.org/officeDocument/2006/relationships/image" Target="../media/image13.wmf"/><Relationship Id="rId1" Type="http://schemas.openxmlformats.org/officeDocument/2006/relationships/image" Target="../media/image12.emf"/><Relationship Id="rId6" Type="http://schemas.openxmlformats.org/officeDocument/2006/relationships/image" Target="../media/image14.emf"/><Relationship Id="rId11" Type="http://schemas.openxmlformats.org/officeDocument/2006/relationships/image" Target="../media/image19.emf"/><Relationship Id="rId5" Type="http://schemas.openxmlformats.org/officeDocument/2006/relationships/chart" Target="../charts/chart41.xml"/><Relationship Id="rId10" Type="http://schemas.openxmlformats.org/officeDocument/2006/relationships/image" Target="../media/image18.emf"/><Relationship Id="rId4" Type="http://schemas.openxmlformats.org/officeDocument/2006/relationships/chart" Target="../charts/chart40.xml"/><Relationship Id="rId9" Type="http://schemas.openxmlformats.org/officeDocument/2006/relationships/image" Target="../media/image17.emf"/><Relationship Id="rId14" Type="http://schemas.openxmlformats.org/officeDocument/2006/relationships/image" Target="../media/image22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wmf"/><Relationship Id="rId1" Type="http://schemas.openxmlformats.org/officeDocument/2006/relationships/image" Target="../media/image7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68580</xdr:colOff>
      <xdr:row>57</xdr:row>
      <xdr:rowOff>0</xdr:rowOff>
    </xdr:from>
    <xdr:to>
      <xdr:col>5</xdr:col>
      <xdr:colOff>802005</xdr:colOff>
      <xdr:row>73</xdr:row>
      <xdr:rowOff>158115</xdr:rowOff>
    </xdr:to>
    <xdr:graphicFrame macro="">
      <xdr:nvGraphicFramePr>
        <xdr:cNvPr id="2067929" name="Chart 1">
          <a:extLst>
            <a:ext uri="{FF2B5EF4-FFF2-40B4-BE49-F238E27FC236}">
              <a16:creationId xmlns:a16="http://schemas.microsoft.com/office/drawing/2014/main" id="{00000000-0008-0000-0000-0000D98D1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90</xdr:row>
      <xdr:rowOff>104775</xdr:rowOff>
    </xdr:from>
    <xdr:to>
      <xdr:col>5</xdr:col>
      <xdr:colOff>762000</xdr:colOff>
      <xdr:row>107</xdr:row>
      <xdr:rowOff>104775</xdr:rowOff>
    </xdr:to>
    <xdr:graphicFrame macro="">
      <xdr:nvGraphicFramePr>
        <xdr:cNvPr id="2067930" name="Chart 31">
          <a:extLst>
            <a:ext uri="{FF2B5EF4-FFF2-40B4-BE49-F238E27FC236}">
              <a16:creationId xmlns:a16="http://schemas.microsoft.com/office/drawing/2014/main" id="{00000000-0008-0000-0000-0000DA8D1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45720</xdr:colOff>
      <xdr:row>73</xdr:row>
      <xdr:rowOff>161925</xdr:rowOff>
    </xdr:from>
    <xdr:to>
      <xdr:col>5</xdr:col>
      <xdr:colOff>788670</xdr:colOff>
      <xdr:row>90</xdr:row>
      <xdr:rowOff>161925</xdr:rowOff>
    </xdr:to>
    <xdr:graphicFrame macro="">
      <xdr:nvGraphicFramePr>
        <xdr:cNvPr id="2067931" name="Chart 32">
          <a:extLst>
            <a:ext uri="{FF2B5EF4-FFF2-40B4-BE49-F238E27FC236}">
              <a16:creationId xmlns:a16="http://schemas.microsoft.com/office/drawing/2014/main" id="{00000000-0008-0000-0000-0000DB8D1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95250</xdr:colOff>
      <xdr:row>0</xdr:row>
      <xdr:rowOff>38100</xdr:rowOff>
    </xdr:from>
    <xdr:to>
      <xdr:col>1</xdr:col>
      <xdr:colOff>180975</xdr:colOff>
      <xdr:row>1</xdr:row>
      <xdr:rowOff>142875</xdr:rowOff>
    </xdr:to>
    <xdr:pic>
      <xdr:nvPicPr>
        <xdr:cNvPr id="2067932" name="Picture 1" descr="GEODATA_engineering">
          <a:extLst>
            <a:ext uri="{FF2B5EF4-FFF2-40B4-BE49-F238E27FC236}">
              <a16:creationId xmlns:a16="http://schemas.microsoft.com/office/drawing/2014/main" id="{00000000-0008-0000-0000-0000DC8D1F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38100"/>
          <a:ext cx="135255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109</xdr:row>
      <xdr:rowOff>20955</xdr:rowOff>
    </xdr:from>
    <xdr:to>
      <xdr:col>5</xdr:col>
      <xdr:colOff>655320</xdr:colOff>
      <xdr:row>126</xdr:row>
      <xdr:rowOff>15240</xdr:rowOff>
    </xdr:to>
    <xdr:graphicFrame macro="">
      <xdr:nvGraphicFramePr>
        <xdr:cNvPr id="2067933" name="Chart 40">
          <a:extLst>
            <a:ext uri="{FF2B5EF4-FFF2-40B4-BE49-F238E27FC236}">
              <a16:creationId xmlns:a16="http://schemas.microsoft.com/office/drawing/2014/main" id="{00000000-0008-0000-0000-0000DD8D1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0</xdr:col>
      <xdr:colOff>0</xdr:colOff>
      <xdr:row>127</xdr:row>
      <xdr:rowOff>20955</xdr:rowOff>
    </xdr:from>
    <xdr:to>
      <xdr:col>5</xdr:col>
      <xdr:colOff>636270</xdr:colOff>
      <xdr:row>144</xdr:row>
      <xdr:rowOff>15240</xdr:rowOff>
    </xdr:to>
    <xdr:graphicFrame macro="">
      <xdr:nvGraphicFramePr>
        <xdr:cNvPr id="2067934" name="Chart 41">
          <a:extLst>
            <a:ext uri="{FF2B5EF4-FFF2-40B4-BE49-F238E27FC236}">
              <a16:creationId xmlns:a16="http://schemas.microsoft.com/office/drawing/2014/main" id="{00000000-0008-0000-0000-0000DE8D1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0</xdr:colOff>
      <xdr:row>145</xdr:row>
      <xdr:rowOff>91440</xdr:rowOff>
    </xdr:from>
    <xdr:to>
      <xdr:col>5</xdr:col>
      <xdr:colOff>621030</xdr:colOff>
      <xdr:row>162</xdr:row>
      <xdr:rowOff>91440</xdr:rowOff>
    </xdr:to>
    <xdr:graphicFrame macro="">
      <xdr:nvGraphicFramePr>
        <xdr:cNvPr id="2067935" name="Chart 42">
          <a:extLst>
            <a:ext uri="{FF2B5EF4-FFF2-40B4-BE49-F238E27FC236}">
              <a16:creationId xmlns:a16="http://schemas.microsoft.com/office/drawing/2014/main" id="{00000000-0008-0000-0000-0000DF8D1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168</xdr:row>
      <xdr:rowOff>38100</xdr:rowOff>
    </xdr:from>
    <xdr:to>
      <xdr:col>5</xdr:col>
      <xdr:colOff>742950</xdr:colOff>
      <xdr:row>185</xdr:row>
      <xdr:rowOff>28575</xdr:rowOff>
    </xdr:to>
    <xdr:graphicFrame macro="">
      <xdr:nvGraphicFramePr>
        <xdr:cNvPr id="2067936" name="Chart 43">
          <a:extLst>
            <a:ext uri="{FF2B5EF4-FFF2-40B4-BE49-F238E27FC236}">
              <a16:creationId xmlns:a16="http://schemas.microsoft.com/office/drawing/2014/main" id="{00000000-0008-0000-0000-0000E08D1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186</xdr:row>
      <xdr:rowOff>47625</xdr:rowOff>
    </xdr:from>
    <xdr:to>
      <xdr:col>5</xdr:col>
      <xdr:colOff>742950</xdr:colOff>
      <xdr:row>203</xdr:row>
      <xdr:rowOff>47625</xdr:rowOff>
    </xdr:to>
    <xdr:graphicFrame macro="">
      <xdr:nvGraphicFramePr>
        <xdr:cNvPr id="2067937" name="Chart 44">
          <a:extLst>
            <a:ext uri="{FF2B5EF4-FFF2-40B4-BE49-F238E27FC236}">
              <a16:creationId xmlns:a16="http://schemas.microsoft.com/office/drawing/2014/main" id="{00000000-0008-0000-0000-0000E18D1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323850</xdr:colOff>
      <xdr:row>1</xdr:row>
      <xdr:rowOff>152400</xdr:rowOff>
    </xdr:from>
    <xdr:to>
      <xdr:col>11</xdr:col>
      <xdr:colOff>1257300</xdr:colOff>
      <xdr:row>12</xdr:row>
      <xdr:rowOff>66675</xdr:rowOff>
    </xdr:to>
    <xdr:grpSp>
      <xdr:nvGrpSpPr>
        <xdr:cNvPr id="2067938" name="Group 45">
          <a:extLst>
            <a:ext uri="{FF2B5EF4-FFF2-40B4-BE49-F238E27FC236}">
              <a16:creationId xmlns:a16="http://schemas.microsoft.com/office/drawing/2014/main" id="{00000000-0008-0000-0000-0000E28D1F00}"/>
            </a:ext>
          </a:extLst>
        </xdr:cNvPr>
        <xdr:cNvGrpSpPr>
          <a:grpSpLocks/>
        </xdr:cNvGrpSpPr>
      </xdr:nvGrpSpPr>
      <xdr:grpSpPr bwMode="auto">
        <a:xfrm>
          <a:off x="7639050" y="403860"/>
          <a:ext cx="4766310" cy="1765935"/>
          <a:chOff x="656" y="691"/>
          <a:chExt cx="426" cy="157"/>
        </a:xfrm>
      </xdr:grpSpPr>
      <xdr:grpSp>
        <xdr:nvGrpSpPr>
          <xdr:cNvPr id="2067939" name="Group 46">
            <a:extLst>
              <a:ext uri="{FF2B5EF4-FFF2-40B4-BE49-F238E27FC236}">
                <a16:creationId xmlns:a16="http://schemas.microsoft.com/office/drawing/2014/main" id="{00000000-0008-0000-0000-0000E38D1F00}"/>
              </a:ext>
            </a:extLst>
          </xdr:cNvPr>
          <xdr:cNvGrpSpPr>
            <a:grpSpLocks/>
          </xdr:cNvGrpSpPr>
        </xdr:nvGrpSpPr>
        <xdr:grpSpPr bwMode="auto">
          <a:xfrm>
            <a:off x="656" y="691"/>
            <a:ext cx="426" cy="157"/>
            <a:chOff x="602" y="690"/>
            <a:chExt cx="426" cy="157"/>
          </a:xfrm>
        </xdr:grpSpPr>
        <xdr:sp macro="" textlink="">
          <xdr:nvSpPr>
            <xdr:cNvPr id="2067942" name="Line 47">
              <a:extLst>
                <a:ext uri="{FF2B5EF4-FFF2-40B4-BE49-F238E27FC236}">
                  <a16:creationId xmlns:a16="http://schemas.microsoft.com/office/drawing/2014/main" id="{00000000-0008-0000-0000-0000E68D1F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02" y="778"/>
              <a:ext cx="426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067943" name="Oval 48">
              <a:extLst>
                <a:ext uri="{FF2B5EF4-FFF2-40B4-BE49-F238E27FC236}">
                  <a16:creationId xmlns:a16="http://schemas.microsoft.com/office/drawing/2014/main" id="{00000000-0008-0000-0000-0000E78D1F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02" y="811"/>
              <a:ext cx="39" cy="36"/>
            </a:xfrm>
            <a:prstGeom prst="ellipse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67944" name="Line 49">
              <a:extLst>
                <a:ext uri="{FF2B5EF4-FFF2-40B4-BE49-F238E27FC236}">
                  <a16:creationId xmlns:a16="http://schemas.microsoft.com/office/drawing/2014/main" id="{00000000-0008-0000-0000-0000E88D1F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21" y="690"/>
              <a:ext cx="0" cy="156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prstDash val="dash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067945" name="Rectangle 50">
              <a:extLst>
                <a:ext uri="{FF2B5EF4-FFF2-40B4-BE49-F238E27FC236}">
                  <a16:creationId xmlns:a16="http://schemas.microsoft.com/office/drawing/2014/main" id="{00000000-0008-0000-0000-0000E98D1F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43" y="711"/>
              <a:ext cx="117" cy="67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2067946" name="Line 51">
              <a:extLst>
                <a:ext uri="{FF2B5EF4-FFF2-40B4-BE49-F238E27FC236}">
                  <a16:creationId xmlns:a16="http://schemas.microsoft.com/office/drawing/2014/main" id="{00000000-0008-0000-0000-0000EA8D1F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63" y="798"/>
              <a:ext cx="58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067947" name="Line 52">
              <a:extLst>
                <a:ext uri="{FF2B5EF4-FFF2-40B4-BE49-F238E27FC236}">
                  <a16:creationId xmlns:a16="http://schemas.microsoft.com/office/drawing/2014/main" id="{00000000-0008-0000-0000-0000EB8D1F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43" y="797"/>
              <a:ext cx="120" cy="1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317" name="Text Box 53">
              <a:extLst>
                <a:ext uri="{FF2B5EF4-FFF2-40B4-BE49-F238E27FC236}">
                  <a16:creationId xmlns:a16="http://schemas.microsoft.com/office/drawing/2014/main" id="{00000000-0008-0000-0000-0000352C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670" y="802"/>
              <a:ext cx="132" cy="26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         L2                      d</a:t>
              </a:r>
            </a:p>
          </xdr:txBody>
        </xdr:sp>
        <xdr:sp macro="" textlink="">
          <xdr:nvSpPr>
            <xdr:cNvPr id="2067949" name="Line 54">
              <a:extLst>
                <a:ext uri="{FF2B5EF4-FFF2-40B4-BE49-F238E27FC236}">
                  <a16:creationId xmlns:a16="http://schemas.microsoft.com/office/drawing/2014/main" id="{00000000-0008-0000-0000-0000ED8D1F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79" y="712"/>
              <a:ext cx="0" cy="6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319" name="Text Box 55">
              <a:extLst>
                <a:ext uri="{FF2B5EF4-FFF2-40B4-BE49-F238E27FC236}">
                  <a16:creationId xmlns:a16="http://schemas.microsoft.com/office/drawing/2014/main" id="{00000000-0008-0000-0000-0000372C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787" y="722"/>
              <a:ext cx="25" cy="2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</a:t>
              </a:r>
            </a:p>
          </xdr:txBody>
        </xdr:sp>
      </xdr:grpSp>
      <xdr:sp macro="" textlink="">
        <xdr:nvSpPr>
          <xdr:cNvPr id="11320" name="Text Box 56">
            <a:extLst>
              <a:ext uri="{FF2B5EF4-FFF2-40B4-BE49-F238E27FC236}">
                <a16:creationId xmlns:a16="http://schemas.microsoft.com/office/drawing/2014/main" id="{00000000-0008-0000-0000-0000382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47" y="692"/>
            <a:ext cx="27" cy="30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it-IT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&lt;0</a:t>
            </a:r>
          </a:p>
        </xdr:txBody>
      </xdr:sp>
      <xdr:sp macro="" textlink="">
        <xdr:nvSpPr>
          <xdr:cNvPr id="11321" name="Text Box 57">
            <a:extLst>
              <a:ext uri="{FF2B5EF4-FFF2-40B4-BE49-F238E27FC236}">
                <a16:creationId xmlns:a16="http://schemas.microsoft.com/office/drawing/2014/main" id="{00000000-0008-0000-0000-0000392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80" y="692"/>
            <a:ext cx="32" cy="30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it-IT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&gt;0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883920</xdr:colOff>
          <xdr:row>22</xdr:row>
          <xdr:rowOff>30480</xdr:rowOff>
        </xdr:from>
        <xdr:to>
          <xdr:col>2</xdr:col>
          <xdr:colOff>45720</xdr:colOff>
          <xdr:row>23</xdr:row>
          <xdr:rowOff>144780</xdr:rowOff>
        </xdr:to>
        <xdr:sp macro="" textlink="">
          <xdr:nvSpPr>
            <xdr:cNvPr id="11322" name="CheckBox1" descr="Yes" hidden="1">
              <a:extLst>
                <a:ext uri="{63B3BB69-23CF-44E3-9099-C40C66FF867C}">
                  <a14:compatExt spid="_x0000_s11322"/>
                </a:ext>
                <a:ext uri="{FF2B5EF4-FFF2-40B4-BE49-F238E27FC236}">
                  <a16:creationId xmlns:a16="http://schemas.microsoft.com/office/drawing/2014/main" id="{00000000-0008-0000-0000-00003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18</xdr:row>
          <xdr:rowOff>60960</xdr:rowOff>
        </xdr:from>
        <xdr:to>
          <xdr:col>2</xdr:col>
          <xdr:colOff>914400</xdr:colOff>
          <xdr:row>19</xdr:row>
          <xdr:rowOff>114300</xdr:rowOff>
        </xdr:to>
        <xdr:sp macro="" textlink="">
          <xdr:nvSpPr>
            <xdr:cNvPr id="11292" name="Option 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0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99" mc:Ignorable="a14" a14:legacySpreadsheetColorIndex="4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Masonry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1051560</xdr:colOff>
          <xdr:row>18</xdr:row>
          <xdr:rowOff>60960</xdr:rowOff>
        </xdr:from>
        <xdr:to>
          <xdr:col>3</xdr:col>
          <xdr:colOff>381000</xdr:colOff>
          <xdr:row>19</xdr:row>
          <xdr:rowOff>137160</xdr:rowOff>
        </xdr:to>
        <xdr:sp macro="" textlink="">
          <xdr:nvSpPr>
            <xdr:cNvPr id="11293" name="Option Button 29" hidden="1">
              <a:extLst>
                <a:ext uri="{63B3BB69-23CF-44E3-9099-C40C66FF867C}">
                  <a14:compatExt spid="_x0000_s11293"/>
                </a:ext>
                <a:ext uri="{FF2B5EF4-FFF2-40B4-BE49-F238E27FC236}">
                  <a16:creationId xmlns:a16="http://schemas.microsoft.com/office/drawing/2014/main" id="{00000000-0008-0000-0000-00001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CC99" mc:Ignorable="a14" a14:legacySpreadsheetColorIndex="4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Framed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graphicFrame macro="">
      <xdr:nvGraphicFramePr>
        <xdr:cNvPr id="1683359" name="Chart 1">
          <a:extLst>
            <a:ext uri="{FF2B5EF4-FFF2-40B4-BE49-F238E27FC236}">
              <a16:creationId xmlns:a16="http://schemas.microsoft.com/office/drawing/2014/main" id="{00000000-0008-0000-0100-00009FAF1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0</xdr:row>
      <xdr:rowOff>0</xdr:rowOff>
    </xdr:from>
    <xdr:to>
      <xdr:col>21</xdr:col>
      <xdr:colOff>419100</xdr:colOff>
      <xdr:row>0</xdr:row>
      <xdr:rowOff>0</xdr:rowOff>
    </xdr:to>
    <xdr:graphicFrame macro="">
      <xdr:nvGraphicFramePr>
        <xdr:cNvPr id="1683360" name="Chart 2">
          <a:extLst>
            <a:ext uri="{FF2B5EF4-FFF2-40B4-BE49-F238E27FC236}">
              <a16:creationId xmlns:a16="http://schemas.microsoft.com/office/drawing/2014/main" id="{00000000-0008-0000-0100-0000A0AF1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graphicFrame macro="">
      <xdr:nvGraphicFramePr>
        <xdr:cNvPr id="1683361" name="Chart 3">
          <a:extLst>
            <a:ext uri="{FF2B5EF4-FFF2-40B4-BE49-F238E27FC236}">
              <a16:creationId xmlns:a16="http://schemas.microsoft.com/office/drawing/2014/main" id="{00000000-0008-0000-0100-0000A1AF1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1104900</xdr:colOff>
      <xdr:row>0</xdr:row>
      <xdr:rowOff>0</xdr:rowOff>
    </xdr:from>
    <xdr:to>
      <xdr:col>21</xdr:col>
      <xdr:colOff>76200</xdr:colOff>
      <xdr:row>0</xdr:row>
      <xdr:rowOff>0</xdr:rowOff>
    </xdr:to>
    <xdr:graphicFrame macro="">
      <xdr:nvGraphicFramePr>
        <xdr:cNvPr id="1683362" name="Chart 4">
          <a:extLst>
            <a:ext uri="{FF2B5EF4-FFF2-40B4-BE49-F238E27FC236}">
              <a16:creationId xmlns:a16="http://schemas.microsoft.com/office/drawing/2014/main" id="{00000000-0008-0000-0100-0000A2AF1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3</xdr:col>
      <xdr:colOff>85725</xdr:colOff>
      <xdr:row>0</xdr:row>
      <xdr:rowOff>0</xdr:rowOff>
    </xdr:to>
    <xdr:graphicFrame macro="">
      <xdr:nvGraphicFramePr>
        <xdr:cNvPr id="1683363" name="Chart 5">
          <a:extLst>
            <a:ext uri="{FF2B5EF4-FFF2-40B4-BE49-F238E27FC236}">
              <a16:creationId xmlns:a16="http://schemas.microsoft.com/office/drawing/2014/main" id="{00000000-0008-0000-0100-0000A3AF1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624986</xdr:colOff>
      <xdr:row>48</xdr:row>
      <xdr:rowOff>27109</xdr:rowOff>
    </xdr:from>
    <xdr:to>
      <xdr:col>26</xdr:col>
      <xdr:colOff>49824</xdr:colOff>
      <xdr:row>75</xdr:row>
      <xdr:rowOff>2197</xdr:rowOff>
    </xdr:to>
    <xdr:graphicFrame macro="">
      <xdr:nvGraphicFramePr>
        <xdr:cNvPr id="1683364" name="Chart 6">
          <a:extLst>
            <a:ext uri="{FF2B5EF4-FFF2-40B4-BE49-F238E27FC236}">
              <a16:creationId xmlns:a16="http://schemas.microsoft.com/office/drawing/2014/main" id="{00000000-0008-0000-0100-0000A4AF1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247650</xdr:colOff>
      <xdr:row>48</xdr:row>
      <xdr:rowOff>57150</xdr:rowOff>
    </xdr:from>
    <xdr:to>
      <xdr:col>33</xdr:col>
      <xdr:colOff>409575</xdr:colOff>
      <xdr:row>74</xdr:row>
      <xdr:rowOff>152400</xdr:rowOff>
    </xdr:to>
    <xdr:graphicFrame macro="">
      <xdr:nvGraphicFramePr>
        <xdr:cNvPr id="1683365" name="Chart 7">
          <a:extLst>
            <a:ext uri="{FF2B5EF4-FFF2-40B4-BE49-F238E27FC236}">
              <a16:creationId xmlns:a16="http://schemas.microsoft.com/office/drawing/2014/main" id="{00000000-0008-0000-0100-0000A5AF1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33</xdr:col>
      <xdr:colOff>466725</xdr:colOff>
      <xdr:row>48</xdr:row>
      <xdr:rowOff>85725</xdr:rowOff>
    </xdr:from>
    <xdr:to>
      <xdr:col>41</xdr:col>
      <xdr:colOff>47625</xdr:colOff>
      <xdr:row>74</xdr:row>
      <xdr:rowOff>123825</xdr:rowOff>
    </xdr:to>
    <xdr:graphicFrame macro="">
      <xdr:nvGraphicFramePr>
        <xdr:cNvPr id="1683366" name="Chart 8">
          <a:extLst>
            <a:ext uri="{FF2B5EF4-FFF2-40B4-BE49-F238E27FC236}">
              <a16:creationId xmlns:a16="http://schemas.microsoft.com/office/drawing/2014/main" id="{00000000-0008-0000-0100-0000A6AF1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133350</xdr:colOff>
      <xdr:row>48</xdr:row>
      <xdr:rowOff>66675</xdr:rowOff>
    </xdr:from>
    <xdr:to>
      <xdr:col>48</xdr:col>
      <xdr:colOff>200025</xdr:colOff>
      <xdr:row>75</xdr:row>
      <xdr:rowOff>9525</xdr:rowOff>
    </xdr:to>
    <xdr:graphicFrame macro="">
      <xdr:nvGraphicFramePr>
        <xdr:cNvPr id="1683367" name="Chart 9">
          <a:extLst>
            <a:ext uri="{FF2B5EF4-FFF2-40B4-BE49-F238E27FC236}">
              <a16:creationId xmlns:a16="http://schemas.microsoft.com/office/drawing/2014/main" id="{00000000-0008-0000-0100-0000A7AF1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628650</xdr:colOff>
      <xdr:row>76</xdr:row>
      <xdr:rowOff>28575</xdr:rowOff>
    </xdr:from>
    <xdr:to>
      <xdr:col>26</xdr:col>
      <xdr:colOff>76200</xdr:colOff>
      <xdr:row>102</xdr:row>
      <xdr:rowOff>47625</xdr:rowOff>
    </xdr:to>
    <xdr:graphicFrame macro="">
      <xdr:nvGraphicFramePr>
        <xdr:cNvPr id="1683368" name="Chart 10">
          <a:extLst>
            <a:ext uri="{FF2B5EF4-FFF2-40B4-BE49-F238E27FC236}">
              <a16:creationId xmlns:a16="http://schemas.microsoft.com/office/drawing/2014/main" id="{00000000-0008-0000-0100-0000A8AF1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26</xdr:col>
      <xdr:colOff>180975</xdr:colOff>
      <xdr:row>76</xdr:row>
      <xdr:rowOff>28575</xdr:rowOff>
    </xdr:from>
    <xdr:to>
      <xdr:col>33</xdr:col>
      <xdr:colOff>228600</xdr:colOff>
      <xdr:row>102</xdr:row>
      <xdr:rowOff>47625</xdr:rowOff>
    </xdr:to>
    <xdr:graphicFrame macro="">
      <xdr:nvGraphicFramePr>
        <xdr:cNvPr id="1683369" name="Chart 11">
          <a:extLst>
            <a:ext uri="{FF2B5EF4-FFF2-40B4-BE49-F238E27FC236}">
              <a16:creationId xmlns:a16="http://schemas.microsoft.com/office/drawing/2014/main" id="{00000000-0008-0000-0100-0000A9AF1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33</xdr:col>
      <xdr:colOff>342900</xdr:colOff>
      <xdr:row>76</xdr:row>
      <xdr:rowOff>9525</xdr:rowOff>
    </xdr:from>
    <xdr:to>
      <xdr:col>40</xdr:col>
      <xdr:colOff>361950</xdr:colOff>
      <xdr:row>102</xdr:row>
      <xdr:rowOff>66675</xdr:rowOff>
    </xdr:to>
    <xdr:graphicFrame macro="">
      <xdr:nvGraphicFramePr>
        <xdr:cNvPr id="1683370" name="Chart 12">
          <a:extLst>
            <a:ext uri="{FF2B5EF4-FFF2-40B4-BE49-F238E27FC236}">
              <a16:creationId xmlns:a16="http://schemas.microsoft.com/office/drawing/2014/main" id="{00000000-0008-0000-0100-0000AAAF1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40</xdr:col>
      <xdr:colOff>466725</xdr:colOff>
      <xdr:row>76</xdr:row>
      <xdr:rowOff>9525</xdr:rowOff>
    </xdr:from>
    <xdr:to>
      <xdr:col>47</xdr:col>
      <xdr:colOff>457200</xdr:colOff>
      <xdr:row>102</xdr:row>
      <xdr:rowOff>85725</xdr:rowOff>
    </xdr:to>
    <xdr:graphicFrame macro="">
      <xdr:nvGraphicFramePr>
        <xdr:cNvPr id="1683371" name="Chart 13">
          <a:extLst>
            <a:ext uri="{FF2B5EF4-FFF2-40B4-BE49-F238E27FC236}">
              <a16:creationId xmlns:a16="http://schemas.microsoft.com/office/drawing/2014/main" id="{00000000-0008-0000-0100-0000ABAF1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800100</xdr:colOff>
      <xdr:row>0</xdr:row>
      <xdr:rowOff>0</xdr:rowOff>
    </xdr:from>
    <xdr:to>
      <xdr:col>13</xdr:col>
      <xdr:colOff>200025</xdr:colOff>
      <xdr:row>0</xdr:row>
      <xdr:rowOff>0</xdr:rowOff>
    </xdr:to>
    <xdr:graphicFrame macro="">
      <xdr:nvGraphicFramePr>
        <xdr:cNvPr id="1683372" name="Chart 14">
          <a:extLst>
            <a:ext uri="{FF2B5EF4-FFF2-40B4-BE49-F238E27FC236}">
              <a16:creationId xmlns:a16="http://schemas.microsoft.com/office/drawing/2014/main" id="{00000000-0008-0000-0100-0000ACAF1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342900</xdr:colOff>
      <xdr:row>0</xdr:row>
      <xdr:rowOff>0</xdr:rowOff>
    </xdr:from>
    <xdr:to>
      <xdr:col>22</xdr:col>
      <xdr:colOff>200025</xdr:colOff>
      <xdr:row>0</xdr:row>
      <xdr:rowOff>0</xdr:rowOff>
    </xdr:to>
    <xdr:graphicFrame macro="">
      <xdr:nvGraphicFramePr>
        <xdr:cNvPr id="1683373" name="Chart 15">
          <a:extLst>
            <a:ext uri="{FF2B5EF4-FFF2-40B4-BE49-F238E27FC236}">
              <a16:creationId xmlns:a16="http://schemas.microsoft.com/office/drawing/2014/main" id="{00000000-0008-0000-0100-0000ADAF1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10</xdr:row>
      <xdr:rowOff>0</xdr:rowOff>
    </xdr:from>
    <xdr:to>
      <xdr:col>0</xdr:col>
      <xdr:colOff>0</xdr:colOff>
      <xdr:row>34</xdr:row>
      <xdr:rowOff>66675</xdr:rowOff>
    </xdr:to>
    <xdr:graphicFrame macro="">
      <xdr:nvGraphicFramePr>
        <xdr:cNvPr id="1683374" name="Chart 16">
          <a:extLst>
            <a:ext uri="{FF2B5EF4-FFF2-40B4-BE49-F238E27FC236}">
              <a16:creationId xmlns:a16="http://schemas.microsoft.com/office/drawing/2014/main" id="{00000000-0008-0000-0100-0000AEAF1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2</xdr:row>
      <xdr:rowOff>0</xdr:rowOff>
    </xdr:from>
    <xdr:to>
      <xdr:col>0</xdr:col>
      <xdr:colOff>0</xdr:colOff>
      <xdr:row>9</xdr:row>
      <xdr:rowOff>95250</xdr:rowOff>
    </xdr:to>
    <xdr:graphicFrame macro="">
      <xdr:nvGraphicFramePr>
        <xdr:cNvPr id="1683375" name="Chart 17">
          <a:extLst>
            <a:ext uri="{FF2B5EF4-FFF2-40B4-BE49-F238E27FC236}">
              <a16:creationId xmlns:a16="http://schemas.microsoft.com/office/drawing/2014/main" id="{00000000-0008-0000-0100-0000AFAF1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20</xdr:col>
      <xdr:colOff>57150</xdr:colOff>
      <xdr:row>2</xdr:row>
      <xdr:rowOff>0</xdr:rowOff>
    </xdr:from>
    <xdr:to>
      <xdr:col>38</xdr:col>
      <xdr:colOff>19050</xdr:colOff>
      <xdr:row>39</xdr:row>
      <xdr:rowOff>95250</xdr:rowOff>
    </xdr:to>
    <xdr:grpSp>
      <xdr:nvGrpSpPr>
        <xdr:cNvPr id="1683376" name="Group 50">
          <a:extLst>
            <a:ext uri="{FF2B5EF4-FFF2-40B4-BE49-F238E27FC236}">
              <a16:creationId xmlns:a16="http://schemas.microsoft.com/office/drawing/2014/main" id="{00000000-0008-0000-0100-0000B0AF1900}"/>
            </a:ext>
          </a:extLst>
        </xdr:cNvPr>
        <xdr:cNvGrpSpPr>
          <a:grpSpLocks/>
        </xdr:cNvGrpSpPr>
      </xdr:nvGrpSpPr>
      <xdr:grpSpPr bwMode="auto">
        <a:xfrm>
          <a:off x="15632430" y="487680"/>
          <a:ext cx="10294620" cy="7440930"/>
          <a:chOff x="1587" y="52"/>
          <a:chExt cx="1049" cy="721"/>
        </a:xfrm>
      </xdr:grpSpPr>
      <xdr:graphicFrame macro="">
        <xdr:nvGraphicFramePr>
          <xdr:cNvPr id="1683387" name="Chart 19">
            <a:extLst>
              <a:ext uri="{FF2B5EF4-FFF2-40B4-BE49-F238E27FC236}">
                <a16:creationId xmlns:a16="http://schemas.microsoft.com/office/drawing/2014/main" id="{00000000-0008-0000-0100-0000BBAF1900}"/>
              </a:ext>
            </a:extLst>
          </xdr:cNvPr>
          <xdr:cNvGraphicFramePr>
            <a:graphicFrameLocks/>
          </xdr:cNvGraphicFramePr>
        </xdr:nvGraphicFramePr>
        <xdr:xfrm>
          <a:off x="1587" y="52"/>
          <a:ext cx="1049" cy="72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1044" name="Text Box 20">
            <a:extLst>
              <a:ext uri="{FF2B5EF4-FFF2-40B4-BE49-F238E27FC236}">
                <a16:creationId xmlns:a16="http://schemas.microsoft.com/office/drawing/2014/main" id="{00000000-0008-0000-0100-0000140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456" y="339"/>
            <a:ext cx="120" cy="68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36576" tIns="32004" rIns="36576" bIns="0" anchor="t" upright="1"/>
          <a:lstStyle/>
          <a:p>
            <a:pPr algn="ctr" rtl="0">
              <a:defRPr sz="1000"/>
            </a:pPr>
            <a:r>
              <a:rPr lang="it-IT" sz="16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LEGEND:</a:t>
            </a:r>
          </a:p>
          <a:p>
            <a:pPr algn="ctr" rtl="0">
              <a:defRPr sz="1000"/>
            </a:pPr>
            <a:r>
              <a:rPr lang="it-IT" sz="16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z/D</a:t>
            </a:r>
          </a:p>
        </xdr:txBody>
      </xdr:sp>
    </xdr:grpSp>
    <xdr:clientData/>
  </xdr:twoCellAnchor>
  <xdr:twoCellAnchor>
    <xdr:from>
      <xdr:col>0</xdr:col>
      <xdr:colOff>0</xdr:colOff>
      <xdr:row>19</xdr:row>
      <xdr:rowOff>152400</xdr:rowOff>
    </xdr:from>
    <xdr:to>
      <xdr:col>3</xdr:col>
      <xdr:colOff>247650</xdr:colOff>
      <xdr:row>39</xdr:row>
      <xdr:rowOff>152400</xdr:rowOff>
    </xdr:to>
    <xdr:graphicFrame macro="">
      <xdr:nvGraphicFramePr>
        <xdr:cNvPr id="1683377" name="Chart 21">
          <a:extLst>
            <a:ext uri="{FF2B5EF4-FFF2-40B4-BE49-F238E27FC236}">
              <a16:creationId xmlns:a16="http://schemas.microsoft.com/office/drawing/2014/main" id="{00000000-0008-0000-0100-0000B1AF1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</xdr:col>
      <xdr:colOff>295275</xdr:colOff>
      <xdr:row>19</xdr:row>
      <xdr:rowOff>152400</xdr:rowOff>
    </xdr:from>
    <xdr:to>
      <xdr:col>10</xdr:col>
      <xdr:colOff>133350</xdr:colOff>
      <xdr:row>40</xdr:row>
      <xdr:rowOff>47625</xdr:rowOff>
    </xdr:to>
    <xdr:graphicFrame macro="">
      <xdr:nvGraphicFramePr>
        <xdr:cNvPr id="1683378" name="Chart 22">
          <a:extLst>
            <a:ext uri="{FF2B5EF4-FFF2-40B4-BE49-F238E27FC236}">
              <a16:creationId xmlns:a16="http://schemas.microsoft.com/office/drawing/2014/main" id="{00000000-0008-0000-0100-0000B2AF1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10</xdr:col>
      <xdr:colOff>200025</xdr:colOff>
      <xdr:row>19</xdr:row>
      <xdr:rowOff>152400</xdr:rowOff>
    </xdr:from>
    <xdr:to>
      <xdr:col>17</xdr:col>
      <xdr:colOff>38100</xdr:colOff>
      <xdr:row>40</xdr:row>
      <xdr:rowOff>47625</xdr:rowOff>
    </xdr:to>
    <xdr:graphicFrame macro="">
      <xdr:nvGraphicFramePr>
        <xdr:cNvPr id="1683379" name="Chart 23">
          <a:extLst>
            <a:ext uri="{FF2B5EF4-FFF2-40B4-BE49-F238E27FC236}">
              <a16:creationId xmlns:a16="http://schemas.microsoft.com/office/drawing/2014/main" id="{00000000-0008-0000-0100-0000B3AF1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0</xdr:colOff>
      <xdr:row>40</xdr:row>
      <xdr:rowOff>9525</xdr:rowOff>
    </xdr:from>
    <xdr:to>
      <xdr:col>3</xdr:col>
      <xdr:colOff>200025</xdr:colOff>
      <xdr:row>59</xdr:row>
      <xdr:rowOff>66675</xdr:rowOff>
    </xdr:to>
    <xdr:graphicFrame macro="">
      <xdr:nvGraphicFramePr>
        <xdr:cNvPr id="1683380" name="Chart 24">
          <a:extLst>
            <a:ext uri="{FF2B5EF4-FFF2-40B4-BE49-F238E27FC236}">
              <a16:creationId xmlns:a16="http://schemas.microsoft.com/office/drawing/2014/main" id="{00000000-0008-0000-0100-0000B4AF1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</xdr:col>
      <xdr:colOff>0</xdr:colOff>
      <xdr:row>40</xdr:row>
      <xdr:rowOff>0</xdr:rowOff>
    </xdr:from>
    <xdr:to>
      <xdr:col>10</xdr:col>
      <xdr:colOff>66675</xdr:colOff>
      <xdr:row>59</xdr:row>
      <xdr:rowOff>28575</xdr:rowOff>
    </xdr:to>
    <xdr:graphicFrame macro="">
      <xdr:nvGraphicFramePr>
        <xdr:cNvPr id="1683381" name="Chart 25">
          <a:extLst>
            <a:ext uri="{FF2B5EF4-FFF2-40B4-BE49-F238E27FC236}">
              <a16:creationId xmlns:a16="http://schemas.microsoft.com/office/drawing/2014/main" id="{00000000-0008-0000-0100-0000B5AF1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10</xdr:col>
      <xdr:colOff>0</xdr:colOff>
      <xdr:row>40</xdr:row>
      <xdr:rowOff>0</xdr:rowOff>
    </xdr:from>
    <xdr:to>
      <xdr:col>17</xdr:col>
      <xdr:colOff>0</xdr:colOff>
      <xdr:row>59</xdr:row>
      <xdr:rowOff>9525</xdr:rowOff>
    </xdr:to>
    <xdr:graphicFrame macro="">
      <xdr:nvGraphicFramePr>
        <xdr:cNvPr id="1683382" name="Chart 26">
          <a:extLst>
            <a:ext uri="{FF2B5EF4-FFF2-40B4-BE49-F238E27FC236}">
              <a16:creationId xmlns:a16="http://schemas.microsoft.com/office/drawing/2014/main" id="{00000000-0008-0000-0100-0000B6AF1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847725</xdr:colOff>
      <xdr:row>61</xdr:row>
      <xdr:rowOff>133350</xdr:rowOff>
    </xdr:from>
    <xdr:to>
      <xdr:col>12</xdr:col>
      <xdr:colOff>295275</xdr:colOff>
      <xdr:row>103</xdr:row>
      <xdr:rowOff>38100</xdr:rowOff>
    </xdr:to>
    <xdr:graphicFrame macro="">
      <xdr:nvGraphicFramePr>
        <xdr:cNvPr id="1683383" name="Chart 27">
          <a:extLst>
            <a:ext uri="{FF2B5EF4-FFF2-40B4-BE49-F238E27FC236}">
              <a16:creationId xmlns:a16="http://schemas.microsoft.com/office/drawing/2014/main" id="{00000000-0008-0000-0100-0000B7AF1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10</xdr:col>
      <xdr:colOff>381000</xdr:colOff>
      <xdr:row>1</xdr:row>
      <xdr:rowOff>57150</xdr:rowOff>
    </xdr:from>
    <xdr:to>
      <xdr:col>19</xdr:col>
      <xdr:colOff>276225</xdr:colOff>
      <xdr:row>18</xdr:row>
      <xdr:rowOff>0</xdr:rowOff>
    </xdr:to>
    <xdr:grpSp>
      <xdr:nvGrpSpPr>
        <xdr:cNvPr id="1683384" name="Group 51">
          <a:extLst>
            <a:ext uri="{FF2B5EF4-FFF2-40B4-BE49-F238E27FC236}">
              <a16:creationId xmlns:a16="http://schemas.microsoft.com/office/drawing/2014/main" id="{00000000-0008-0000-0100-0000B8AF1900}"/>
            </a:ext>
          </a:extLst>
        </xdr:cNvPr>
        <xdr:cNvGrpSpPr>
          <a:grpSpLocks/>
        </xdr:cNvGrpSpPr>
      </xdr:nvGrpSpPr>
      <xdr:grpSpPr bwMode="auto">
        <a:xfrm>
          <a:off x="8945880" y="300990"/>
          <a:ext cx="6204585" cy="3691890"/>
          <a:chOff x="1716" y="497"/>
          <a:chExt cx="628" cy="374"/>
        </a:xfrm>
      </xdr:grpSpPr>
      <xdr:graphicFrame macro="">
        <xdr:nvGraphicFramePr>
          <xdr:cNvPr id="1683385" name="Chart 48">
            <a:extLst>
              <a:ext uri="{FF2B5EF4-FFF2-40B4-BE49-F238E27FC236}">
                <a16:creationId xmlns:a16="http://schemas.microsoft.com/office/drawing/2014/main" id="{00000000-0008-0000-0100-0000B9AF1900}"/>
              </a:ext>
            </a:extLst>
          </xdr:cNvPr>
          <xdr:cNvGraphicFramePr>
            <a:graphicFrameLocks/>
          </xdr:cNvGraphicFramePr>
        </xdr:nvGraphicFramePr>
        <xdr:xfrm>
          <a:off x="1716" y="497"/>
          <a:ext cx="628" cy="3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1073" name="Text Box 49">
            <a:extLst>
              <a:ext uri="{FF2B5EF4-FFF2-40B4-BE49-F238E27FC236}">
                <a16:creationId xmlns:a16="http://schemas.microsoft.com/office/drawing/2014/main" id="{00000000-0008-0000-0100-0000310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217" y="643"/>
            <a:ext cx="94" cy="38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it-IT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LEGEND:</a:t>
            </a:r>
          </a:p>
          <a:p>
            <a:pPr algn="ctr" rtl="0">
              <a:defRPr sz="1000"/>
            </a:pPr>
            <a:r>
              <a:rPr lang="it-IT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z/D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161925</xdr:colOff>
      <xdr:row>0</xdr:row>
      <xdr:rowOff>47625</xdr:rowOff>
    </xdr:from>
    <xdr:to>
      <xdr:col>19</xdr:col>
      <xdr:colOff>409575</xdr:colOff>
      <xdr:row>1</xdr:row>
      <xdr:rowOff>47625</xdr:rowOff>
    </xdr:to>
    <xdr:sp macro="" textlink="">
      <xdr:nvSpPr>
        <xdr:cNvPr id="7170" name="Text Box 2">
          <a:extLst>
            <a:ext uri="{FF2B5EF4-FFF2-40B4-BE49-F238E27FC236}">
              <a16:creationId xmlns:a16="http://schemas.microsoft.com/office/drawing/2014/main" id="{00000000-0008-0000-0200-0000021C0000}"/>
            </a:ext>
          </a:extLst>
        </xdr:cNvPr>
        <xdr:cNvSpPr txBox="1">
          <a:spLocks noChangeArrowheads="1"/>
        </xdr:cNvSpPr>
      </xdr:nvSpPr>
      <xdr:spPr bwMode="auto">
        <a:xfrm>
          <a:off x="15382875" y="47625"/>
          <a:ext cx="247650" cy="2095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it-IT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z0</a:t>
          </a:r>
        </a:p>
      </xdr:txBody>
    </xdr:sp>
    <xdr:clientData/>
  </xdr:twoCellAnchor>
  <xdr:twoCellAnchor>
    <xdr:from>
      <xdr:col>18</xdr:col>
      <xdr:colOff>276225</xdr:colOff>
      <xdr:row>0</xdr:row>
      <xdr:rowOff>190500</xdr:rowOff>
    </xdr:from>
    <xdr:to>
      <xdr:col>22</xdr:col>
      <xdr:colOff>228600</xdr:colOff>
      <xdr:row>6</xdr:row>
      <xdr:rowOff>142875</xdr:rowOff>
    </xdr:to>
    <xdr:grpSp>
      <xdr:nvGrpSpPr>
        <xdr:cNvPr id="1190565" name="Group 3">
          <a:extLst>
            <a:ext uri="{FF2B5EF4-FFF2-40B4-BE49-F238E27FC236}">
              <a16:creationId xmlns:a16="http://schemas.microsoft.com/office/drawing/2014/main" id="{00000000-0008-0000-0200-0000A52A1200}"/>
            </a:ext>
          </a:extLst>
        </xdr:cNvPr>
        <xdr:cNvGrpSpPr>
          <a:grpSpLocks/>
        </xdr:cNvGrpSpPr>
      </xdr:nvGrpSpPr>
      <xdr:grpSpPr bwMode="auto">
        <a:xfrm>
          <a:off x="15292107" y="190500"/>
          <a:ext cx="2462493" cy="1046069"/>
          <a:chOff x="640" y="0"/>
          <a:chExt cx="251" cy="101"/>
        </a:xfrm>
      </xdr:grpSpPr>
      <xdr:grpSp>
        <xdr:nvGrpSpPr>
          <xdr:cNvPr id="1190571" name="Group 4">
            <a:extLst>
              <a:ext uri="{FF2B5EF4-FFF2-40B4-BE49-F238E27FC236}">
                <a16:creationId xmlns:a16="http://schemas.microsoft.com/office/drawing/2014/main" id="{00000000-0008-0000-0200-0000AB2A1200}"/>
              </a:ext>
            </a:extLst>
          </xdr:cNvPr>
          <xdr:cNvGrpSpPr>
            <a:grpSpLocks/>
          </xdr:cNvGrpSpPr>
        </xdr:nvGrpSpPr>
        <xdr:grpSpPr bwMode="auto">
          <a:xfrm>
            <a:off x="640" y="0"/>
            <a:ext cx="251" cy="101"/>
            <a:chOff x="640" y="0"/>
            <a:chExt cx="251" cy="101"/>
          </a:xfrm>
        </xdr:grpSpPr>
        <xdr:grpSp>
          <xdr:nvGrpSpPr>
            <xdr:cNvPr id="1190574" name="Group 5">
              <a:extLst>
                <a:ext uri="{FF2B5EF4-FFF2-40B4-BE49-F238E27FC236}">
                  <a16:creationId xmlns:a16="http://schemas.microsoft.com/office/drawing/2014/main" id="{00000000-0008-0000-0200-0000AE2A1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40" y="0"/>
              <a:ext cx="251" cy="101"/>
              <a:chOff x="342" y="4"/>
              <a:chExt cx="184" cy="84"/>
            </a:xfrm>
          </xdr:grpSpPr>
          <xdr:sp macro="" textlink="">
            <xdr:nvSpPr>
              <xdr:cNvPr id="1190577" name="Rectangle 6">
                <a:extLst>
                  <a:ext uri="{FF2B5EF4-FFF2-40B4-BE49-F238E27FC236}">
                    <a16:creationId xmlns:a16="http://schemas.microsoft.com/office/drawing/2014/main" id="{00000000-0008-0000-0200-0000B12A1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342" y="4"/>
                <a:ext cx="184" cy="84"/>
              </a:xfrm>
              <a:prstGeom prst="rect">
                <a:avLst/>
              </a:prstGeom>
              <a:solidFill>
                <a:srgbClr val="FFFFFF"/>
              </a:soli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0578" name="Oval 7">
                <a:extLst>
                  <a:ext uri="{FF2B5EF4-FFF2-40B4-BE49-F238E27FC236}">
                    <a16:creationId xmlns:a16="http://schemas.microsoft.com/office/drawing/2014/main" id="{00000000-0008-0000-0200-0000B22A1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385" y="36"/>
                <a:ext cx="23" cy="24"/>
              </a:xfrm>
              <a:prstGeom prst="ellipse">
                <a:avLst/>
              </a:prstGeom>
              <a:solidFill>
                <a:srgbClr val="FFFFFF"/>
              </a:soli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90579" name="Oval 8">
                <a:extLst>
                  <a:ext uri="{FF2B5EF4-FFF2-40B4-BE49-F238E27FC236}">
                    <a16:creationId xmlns:a16="http://schemas.microsoft.com/office/drawing/2014/main" id="{00000000-0008-0000-0200-0000B32A1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448" y="35"/>
                <a:ext cx="26" cy="25"/>
              </a:xfrm>
              <a:prstGeom prst="ellipse">
                <a:avLst/>
              </a:prstGeom>
              <a:solidFill>
                <a:srgbClr val="FFFFFF"/>
              </a:soli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sp macro="" textlink="">
          <xdr:nvSpPr>
            <xdr:cNvPr id="1190575" name="Line 9">
              <a:extLst>
                <a:ext uri="{FF2B5EF4-FFF2-40B4-BE49-F238E27FC236}">
                  <a16:creationId xmlns:a16="http://schemas.microsoft.com/office/drawing/2014/main" id="{00000000-0008-0000-0200-0000AF2A12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801" y="9"/>
              <a:ext cx="0" cy="42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90576" name="Line 10">
              <a:extLst>
                <a:ext uri="{FF2B5EF4-FFF2-40B4-BE49-F238E27FC236}">
                  <a16:creationId xmlns:a16="http://schemas.microsoft.com/office/drawing/2014/main" id="{00000000-0008-0000-0200-0000B02A1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01" y="51"/>
              <a:ext cx="44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7179" name="Text Box 11">
            <a:extLst>
              <a:ext uri="{FF2B5EF4-FFF2-40B4-BE49-F238E27FC236}">
                <a16:creationId xmlns:a16="http://schemas.microsoft.com/office/drawing/2014/main" id="{00000000-0008-0000-0200-00000B1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29" y="81"/>
            <a:ext cx="60" cy="16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it-IT" sz="6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D gallerie</a:t>
            </a:r>
          </a:p>
        </xdr:txBody>
      </xdr:sp>
      <xdr:sp macro="" textlink="">
        <xdr:nvSpPr>
          <xdr:cNvPr id="1190573" name="Line 12">
            <a:extLst>
              <a:ext uri="{FF2B5EF4-FFF2-40B4-BE49-F238E27FC236}">
                <a16:creationId xmlns:a16="http://schemas.microsoft.com/office/drawing/2014/main" id="{00000000-0008-0000-0200-0000AD2A1200}"/>
              </a:ext>
            </a:extLst>
          </xdr:cNvPr>
          <xdr:cNvSpPr>
            <a:spLocks noChangeShapeType="1"/>
          </xdr:cNvSpPr>
        </xdr:nvSpPr>
        <xdr:spPr bwMode="auto">
          <a:xfrm>
            <a:off x="718" y="75"/>
            <a:ext cx="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 editAs="oneCell">
    <xdr:from>
      <xdr:col>19</xdr:col>
      <xdr:colOff>28575</xdr:colOff>
      <xdr:row>21</xdr:row>
      <xdr:rowOff>38100</xdr:rowOff>
    </xdr:from>
    <xdr:to>
      <xdr:col>23</xdr:col>
      <xdr:colOff>1333500</xdr:colOff>
      <xdr:row>33</xdr:row>
      <xdr:rowOff>0</xdr:rowOff>
    </xdr:to>
    <xdr:pic>
      <xdr:nvPicPr>
        <xdr:cNvPr id="1190566" name="Picture 20">
          <a:extLst>
            <a:ext uri="{FF2B5EF4-FFF2-40B4-BE49-F238E27FC236}">
              <a16:creationId xmlns:a16="http://schemas.microsoft.com/office/drawing/2014/main" id="{00000000-0008-0000-0200-0000A62A1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9525" y="3552825"/>
          <a:ext cx="3743325" cy="1905000"/>
        </a:xfrm>
        <a:prstGeom prst="rect">
          <a:avLst/>
        </a:prstGeom>
        <a:noFill/>
        <a:ln w="31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28575</xdr:colOff>
      <xdr:row>33</xdr:row>
      <xdr:rowOff>85725</xdr:rowOff>
    </xdr:from>
    <xdr:to>
      <xdr:col>23</xdr:col>
      <xdr:colOff>1552575</xdr:colOff>
      <xdr:row>45</xdr:row>
      <xdr:rowOff>28575</xdr:rowOff>
    </xdr:to>
    <xdr:pic>
      <xdr:nvPicPr>
        <xdr:cNvPr id="1190567" name="Picture 22">
          <a:extLst>
            <a:ext uri="{FF2B5EF4-FFF2-40B4-BE49-F238E27FC236}">
              <a16:creationId xmlns:a16="http://schemas.microsoft.com/office/drawing/2014/main" id="{00000000-0008-0000-0200-0000A72A1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9525" y="5543550"/>
          <a:ext cx="3962400" cy="1885950"/>
        </a:xfrm>
        <a:prstGeom prst="rect">
          <a:avLst/>
        </a:prstGeom>
        <a:noFill/>
        <a:ln w="31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9525</xdr:colOff>
      <xdr:row>8</xdr:row>
      <xdr:rowOff>9525</xdr:rowOff>
    </xdr:from>
    <xdr:to>
      <xdr:col>23</xdr:col>
      <xdr:colOff>1276350</xdr:colOff>
      <xdr:row>20</xdr:row>
      <xdr:rowOff>85725</xdr:rowOff>
    </xdr:to>
    <xdr:pic>
      <xdr:nvPicPr>
        <xdr:cNvPr id="1190568" name="Picture 656">
          <a:extLst>
            <a:ext uri="{FF2B5EF4-FFF2-40B4-BE49-F238E27FC236}">
              <a16:creationId xmlns:a16="http://schemas.microsoft.com/office/drawing/2014/main" id="{00000000-0008-0000-0200-0000A82A1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30475" y="1409700"/>
          <a:ext cx="3705225" cy="2028825"/>
        </a:xfrm>
        <a:prstGeom prst="rect">
          <a:avLst/>
        </a:prstGeom>
        <a:noFill/>
        <a:ln w="31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44</xdr:col>
      <xdr:colOff>161925</xdr:colOff>
      <xdr:row>331</xdr:row>
      <xdr:rowOff>28575</xdr:rowOff>
    </xdr:from>
    <xdr:to>
      <xdr:col>68</xdr:col>
      <xdr:colOff>247650</xdr:colOff>
      <xdr:row>367</xdr:row>
      <xdr:rowOff>28575</xdr:rowOff>
    </xdr:to>
    <xdr:graphicFrame macro="">
      <xdr:nvGraphicFramePr>
        <xdr:cNvPr id="1190569" name="Chart 660">
          <a:extLst>
            <a:ext uri="{FF2B5EF4-FFF2-40B4-BE49-F238E27FC236}">
              <a16:creationId xmlns:a16="http://schemas.microsoft.com/office/drawing/2014/main" id="{00000000-0008-0000-0200-0000A92A1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371475</xdr:colOff>
      <xdr:row>0</xdr:row>
      <xdr:rowOff>171450</xdr:rowOff>
    </xdr:from>
    <xdr:to>
      <xdr:col>19</xdr:col>
      <xdr:colOff>371475</xdr:colOff>
      <xdr:row>4</xdr:row>
      <xdr:rowOff>19050</xdr:rowOff>
    </xdr:to>
    <xdr:sp macro="" textlink="">
      <xdr:nvSpPr>
        <xdr:cNvPr id="1190570" name="Line 1">
          <a:extLst>
            <a:ext uri="{FF2B5EF4-FFF2-40B4-BE49-F238E27FC236}">
              <a16:creationId xmlns:a16="http://schemas.microsoft.com/office/drawing/2014/main" id="{00000000-0008-0000-0200-0000AA2A1200}"/>
            </a:ext>
          </a:extLst>
        </xdr:cNvPr>
        <xdr:cNvSpPr>
          <a:spLocks noChangeShapeType="1"/>
        </xdr:cNvSpPr>
      </xdr:nvSpPr>
      <xdr:spPr bwMode="auto">
        <a:xfrm flipV="1">
          <a:off x="15592425" y="171450"/>
          <a:ext cx="0" cy="5619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8</xdr:row>
          <xdr:rowOff>38100</xdr:rowOff>
        </xdr:from>
        <xdr:to>
          <xdr:col>17</xdr:col>
          <xdr:colOff>373380</xdr:colOff>
          <xdr:row>9</xdr:row>
          <xdr:rowOff>76200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2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10</xdr:row>
          <xdr:rowOff>7620</xdr:rowOff>
        </xdr:from>
        <xdr:to>
          <xdr:col>17</xdr:col>
          <xdr:colOff>365760</xdr:colOff>
          <xdr:row>11</xdr:row>
          <xdr:rowOff>60960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2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12</xdr:row>
          <xdr:rowOff>0</xdr:rowOff>
        </xdr:from>
        <xdr:to>
          <xdr:col>17</xdr:col>
          <xdr:colOff>365760</xdr:colOff>
          <xdr:row>13</xdr:row>
          <xdr:rowOff>45720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2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A+B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38100</xdr:colOff>
          <xdr:row>18</xdr:row>
          <xdr:rowOff>30480</xdr:rowOff>
        </xdr:from>
        <xdr:to>
          <xdr:col>39</xdr:col>
          <xdr:colOff>594360</xdr:colOff>
          <xdr:row>18</xdr:row>
          <xdr:rowOff>160020</xdr:rowOff>
        </xdr:to>
        <xdr:sp macro="" textlink="">
          <xdr:nvSpPr>
            <xdr:cNvPr id="7827" name="CommandButton1" hidden="1">
              <a:extLst>
                <a:ext uri="{63B3BB69-23CF-44E3-9099-C40C66FF867C}">
                  <a14:compatExt spid="_x0000_s7827"/>
                </a:ext>
                <a:ext uri="{FF2B5EF4-FFF2-40B4-BE49-F238E27FC236}">
                  <a16:creationId xmlns:a16="http://schemas.microsoft.com/office/drawing/2014/main" id="{00000000-0008-0000-0200-000093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47625</xdr:colOff>
      <xdr:row>0</xdr:row>
      <xdr:rowOff>9525</xdr:rowOff>
    </xdr:from>
    <xdr:to>
      <xdr:col>19</xdr:col>
      <xdr:colOff>47625</xdr:colOff>
      <xdr:row>3</xdr:row>
      <xdr:rowOff>28575</xdr:rowOff>
    </xdr:to>
    <xdr:sp macro="" textlink="">
      <xdr:nvSpPr>
        <xdr:cNvPr id="2656418" name="Line 1">
          <a:extLst>
            <a:ext uri="{FF2B5EF4-FFF2-40B4-BE49-F238E27FC236}">
              <a16:creationId xmlns:a16="http://schemas.microsoft.com/office/drawing/2014/main" id="{00000000-0008-0000-0300-0000A2882800}"/>
            </a:ext>
          </a:extLst>
        </xdr:cNvPr>
        <xdr:cNvSpPr>
          <a:spLocks noChangeShapeType="1"/>
        </xdr:cNvSpPr>
      </xdr:nvSpPr>
      <xdr:spPr bwMode="auto">
        <a:xfrm flipV="1">
          <a:off x="14811375" y="9525"/>
          <a:ext cx="0" cy="5715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161925</xdr:colOff>
      <xdr:row>0</xdr:row>
      <xdr:rowOff>47625</xdr:rowOff>
    </xdr:from>
    <xdr:to>
      <xdr:col>19</xdr:col>
      <xdr:colOff>409575</xdr:colOff>
      <xdr:row>1</xdr:row>
      <xdr:rowOff>47625</xdr:rowOff>
    </xdr:to>
    <xdr:sp macro="" textlink="">
      <xdr:nvSpPr>
        <xdr:cNvPr id="8194" name="Text Box 2">
          <a:extLst>
            <a:ext uri="{FF2B5EF4-FFF2-40B4-BE49-F238E27FC236}">
              <a16:creationId xmlns:a16="http://schemas.microsoft.com/office/drawing/2014/main" id="{00000000-0008-0000-0300-000002200000}"/>
            </a:ext>
          </a:extLst>
        </xdr:cNvPr>
        <xdr:cNvSpPr txBox="1">
          <a:spLocks noChangeArrowheads="1"/>
        </xdr:cNvSpPr>
      </xdr:nvSpPr>
      <xdr:spPr bwMode="auto">
        <a:xfrm>
          <a:off x="14925675" y="47625"/>
          <a:ext cx="247650" cy="2190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it-IT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z0</a:t>
          </a:r>
        </a:p>
      </xdr:txBody>
    </xdr:sp>
    <xdr:clientData/>
  </xdr:twoCellAnchor>
  <xdr:twoCellAnchor>
    <xdr:from>
      <xdr:col>18</xdr:col>
      <xdr:colOff>95250</xdr:colOff>
      <xdr:row>0</xdr:row>
      <xdr:rowOff>0</xdr:rowOff>
    </xdr:from>
    <xdr:to>
      <xdr:col>22</xdr:col>
      <xdr:colOff>47625</xdr:colOff>
      <xdr:row>5</xdr:row>
      <xdr:rowOff>152400</xdr:rowOff>
    </xdr:to>
    <xdr:grpSp>
      <xdr:nvGrpSpPr>
        <xdr:cNvPr id="2656420" name="Group 3">
          <a:extLst>
            <a:ext uri="{FF2B5EF4-FFF2-40B4-BE49-F238E27FC236}">
              <a16:creationId xmlns:a16="http://schemas.microsoft.com/office/drawing/2014/main" id="{00000000-0008-0000-0300-0000A4882800}"/>
            </a:ext>
          </a:extLst>
        </xdr:cNvPr>
        <xdr:cNvGrpSpPr>
          <a:grpSpLocks/>
        </xdr:cNvGrpSpPr>
      </xdr:nvGrpSpPr>
      <xdr:grpSpPr bwMode="auto">
        <a:xfrm>
          <a:off x="14660336" y="0"/>
          <a:ext cx="2434318" cy="1045029"/>
          <a:chOff x="640" y="0"/>
          <a:chExt cx="251" cy="101"/>
        </a:xfrm>
      </xdr:grpSpPr>
      <xdr:grpSp>
        <xdr:nvGrpSpPr>
          <xdr:cNvPr id="2656427" name="Group 4">
            <a:extLst>
              <a:ext uri="{FF2B5EF4-FFF2-40B4-BE49-F238E27FC236}">
                <a16:creationId xmlns:a16="http://schemas.microsoft.com/office/drawing/2014/main" id="{00000000-0008-0000-0300-0000AB882800}"/>
              </a:ext>
            </a:extLst>
          </xdr:cNvPr>
          <xdr:cNvGrpSpPr>
            <a:grpSpLocks/>
          </xdr:cNvGrpSpPr>
        </xdr:nvGrpSpPr>
        <xdr:grpSpPr bwMode="auto">
          <a:xfrm>
            <a:off x="640" y="0"/>
            <a:ext cx="251" cy="101"/>
            <a:chOff x="640" y="0"/>
            <a:chExt cx="251" cy="101"/>
          </a:xfrm>
        </xdr:grpSpPr>
        <xdr:grpSp>
          <xdr:nvGrpSpPr>
            <xdr:cNvPr id="2656430" name="Group 5">
              <a:extLst>
                <a:ext uri="{FF2B5EF4-FFF2-40B4-BE49-F238E27FC236}">
                  <a16:creationId xmlns:a16="http://schemas.microsoft.com/office/drawing/2014/main" id="{00000000-0008-0000-0300-0000AE8828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40" y="0"/>
              <a:ext cx="251" cy="101"/>
              <a:chOff x="342" y="4"/>
              <a:chExt cx="184" cy="84"/>
            </a:xfrm>
          </xdr:grpSpPr>
          <xdr:sp macro="" textlink="">
            <xdr:nvSpPr>
              <xdr:cNvPr id="2656433" name="Rectangle 6">
                <a:extLst>
                  <a:ext uri="{FF2B5EF4-FFF2-40B4-BE49-F238E27FC236}">
                    <a16:creationId xmlns:a16="http://schemas.microsoft.com/office/drawing/2014/main" id="{00000000-0008-0000-0300-0000B18828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342" y="4"/>
                <a:ext cx="184" cy="84"/>
              </a:xfrm>
              <a:prstGeom prst="rect">
                <a:avLst/>
              </a:prstGeom>
              <a:solidFill>
                <a:srgbClr val="FFFFFF"/>
              </a:soli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656434" name="Oval 7">
                <a:extLst>
                  <a:ext uri="{FF2B5EF4-FFF2-40B4-BE49-F238E27FC236}">
                    <a16:creationId xmlns:a16="http://schemas.microsoft.com/office/drawing/2014/main" id="{00000000-0008-0000-0300-0000B28828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385" y="36"/>
                <a:ext cx="23" cy="24"/>
              </a:xfrm>
              <a:prstGeom prst="ellipse">
                <a:avLst/>
              </a:prstGeom>
              <a:solidFill>
                <a:srgbClr val="FFFFFF"/>
              </a:soli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656435" name="Oval 8">
                <a:extLst>
                  <a:ext uri="{FF2B5EF4-FFF2-40B4-BE49-F238E27FC236}">
                    <a16:creationId xmlns:a16="http://schemas.microsoft.com/office/drawing/2014/main" id="{00000000-0008-0000-0300-0000B38828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448" y="35"/>
                <a:ext cx="26" cy="25"/>
              </a:xfrm>
              <a:prstGeom prst="ellipse">
                <a:avLst/>
              </a:prstGeom>
              <a:solidFill>
                <a:srgbClr val="FFFFFF"/>
              </a:soli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sp macro="" textlink="">
          <xdr:nvSpPr>
            <xdr:cNvPr id="2656431" name="Line 9">
              <a:extLst>
                <a:ext uri="{FF2B5EF4-FFF2-40B4-BE49-F238E27FC236}">
                  <a16:creationId xmlns:a16="http://schemas.microsoft.com/office/drawing/2014/main" id="{00000000-0008-0000-0300-0000AF8828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801" y="9"/>
              <a:ext cx="0" cy="42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656432" name="Line 10">
              <a:extLst>
                <a:ext uri="{FF2B5EF4-FFF2-40B4-BE49-F238E27FC236}">
                  <a16:creationId xmlns:a16="http://schemas.microsoft.com/office/drawing/2014/main" id="{00000000-0008-0000-0300-0000B08828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01" y="51"/>
              <a:ext cx="44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8203" name="Text Box 11">
            <a:extLst>
              <a:ext uri="{FF2B5EF4-FFF2-40B4-BE49-F238E27FC236}">
                <a16:creationId xmlns:a16="http://schemas.microsoft.com/office/drawing/2014/main" id="{00000000-0008-0000-0300-00000B2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29" y="81"/>
            <a:ext cx="60" cy="19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it-IT" sz="6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D gallerie</a:t>
            </a:r>
          </a:p>
        </xdr:txBody>
      </xdr:sp>
      <xdr:sp macro="" textlink="">
        <xdr:nvSpPr>
          <xdr:cNvPr id="2656429" name="Line 12">
            <a:extLst>
              <a:ext uri="{FF2B5EF4-FFF2-40B4-BE49-F238E27FC236}">
                <a16:creationId xmlns:a16="http://schemas.microsoft.com/office/drawing/2014/main" id="{00000000-0008-0000-0300-0000AD882800}"/>
              </a:ext>
            </a:extLst>
          </xdr:cNvPr>
          <xdr:cNvSpPr>
            <a:spLocks noChangeShapeType="1"/>
          </xdr:cNvSpPr>
        </xdr:nvSpPr>
        <xdr:spPr bwMode="auto">
          <a:xfrm>
            <a:off x="718" y="75"/>
            <a:ext cx="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32</xdr:col>
      <xdr:colOff>381000</xdr:colOff>
      <xdr:row>46</xdr:row>
      <xdr:rowOff>38100</xdr:rowOff>
    </xdr:from>
    <xdr:to>
      <xdr:col>46</xdr:col>
      <xdr:colOff>552450</xdr:colOff>
      <xdr:row>69</xdr:row>
      <xdr:rowOff>66675</xdr:rowOff>
    </xdr:to>
    <xdr:graphicFrame macro="">
      <xdr:nvGraphicFramePr>
        <xdr:cNvPr id="2656421" name="Chart 16">
          <a:extLst>
            <a:ext uri="{FF2B5EF4-FFF2-40B4-BE49-F238E27FC236}">
              <a16:creationId xmlns:a16="http://schemas.microsoft.com/office/drawing/2014/main" id="{00000000-0008-0000-0300-0000A5882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228600</xdr:colOff>
      <xdr:row>15</xdr:row>
      <xdr:rowOff>0</xdr:rowOff>
    </xdr:from>
    <xdr:to>
      <xdr:col>31</xdr:col>
      <xdr:colOff>571500</xdr:colOff>
      <xdr:row>25</xdr:row>
      <xdr:rowOff>142875</xdr:rowOff>
    </xdr:to>
    <xdr:graphicFrame macro="">
      <xdr:nvGraphicFramePr>
        <xdr:cNvPr id="2656422" name="Chart 17">
          <a:extLst>
            <a:ext uri="{FF2B5EF4-FFF2-40B4-BE49-F238E27FC236}">
              <a16:creationId xmlns:a16="http://schemas.microsoft.com/office/drawing/2014/main" id="{00000000-0008-0000-0300-0000A6882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33</xdr:col>
      <xdr:colOff>228600</xdr:colOff>
      <xdr:row>26</xdr:row>
      <xdr:rowOff>114300</xdr:rowOff>
    </xdr:from>
    <xdr:to>
      <xdr:col>39</xdr:col>
      <xdr:colOff>323850</xdr:colOff>
      <xdr:row>39</xdr:row>
      <xdr:rowOff>57150</xdr:rowOff>
    </xdr:to>
    <xdr:pic>
      <xdr:nvPicPr>
        <xdr:cNvPr id="2656423" name="Picture 18">
          <a:extLst>
            <a:ext uri="{FF2B5EF4-FFF2-40B4-BE49-F238E27FC236}">
              <a16:creationId xmlns:a16="http://schemas.microsoft.com/office/drawing/2014/main" id="{00000000-0008-0000-0300-0000A78828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26750" y="4419600"/>
          <a:ext cx="3752850" cy="2047875"/>
        </a:xfrm>
        <a:prstGeom prst="rect">
          <a:avLst/>
        </a:prstGeom>
        <a:noFill/>
        <a:ln w="31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342900</xdr:colOff>
      <xdr:row>40</xdr:row>
      <xdr:rowOff>76200</xdr:rowOff>
    </xdr:from>
    <xdr:to>
      <xdr:col>31</xdr:col>
      <xdr:colOff>428625</xdr:colOff>
      <xdr:row>52</xdr:row>
      <xdr:rowOff>28575</xdr:rowOff>
    </xdr:to>
    <xdr:pic>
      <xdr:nvPicPr>
        <xdr:cNvPr id="2656424" name="Picture 19">
          <a:extLst>
            <a:ext uri="{FF2B5EF4-FFF2-40B4-BE49-F238E27FC236}">
              <a16:creationId xmlns:a16="http://schemas.microsoft.com/office/drawing/2014/main" id="{00000000-0008-0000-0300-0000A88828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0" y="6648450"/>
          <a:ext cx="3743325" cy="1895475"/>
        </a:xfrm>
        <a:prstGeom prst="rect">
          <a:avLst/>
        </a:prstGeom>
        <a:noFill/>
        <a:ln w="31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22</xdr:col>
      <xdr:colOff>304800</xdr:colOff>
      <xdr:row>74</xdr:row>
      <xdr:rowOff>0</xdr:rowOff>
    </xdr:from>
    <xdr:to>
      <xdr:col>35</xdr:col>
      <xdr:colOff>581025</xdr:colOff>
      <xdr:row>98</xdr:row>
      <xdr:rowOff>76200</xdr:rowOff>
    </xdr:to>
    <xdr:graphicFrame macro="">
      <xdr:nvGraphicFramePr>
        <xdr:cNvPr id="2656425" name="Chart 20">
          <a:extLst>
            <a:ext uri="{FF2B5EF4-FFF2-40B4-BE49-F238E27FC236}">
              <a16:creationId xmlns:a16="http://schemas.microsoft.com/office/drawing/2014/main" id="{00000000-0008-0000-0300-0000A9882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24</xdr:col>
      <xdr:colOff>228600</xdr:colOff>
      <xdr:row>58</xdr:row>
      <xdr:rowOff>76200</xdr:rowOff>
    </xdr:from>
    <xdr:to>
      <xdr:col>30</xdr:col>
      <xdr:colOff>542925</xdr:colOff>
      <xdr:row>70</xdr:row>
      <xdr:rowOff>19050</xdr:rowOff>
    </xdr:to>
    <xdr:pic>
      <xdr:nvPicPr>
        <xdr:cNvPr id="2656426" name="Picture 21">
          <a:extLst>
            <a:ext uri="{FF2B5EF4-FFF2-40B4-BE49-F238E27FC236}">
              <a16:creationId xmlns:a16="http://schemas.microsoft.com/office/drawing/2014/main" id="{00000000-0008-0000-0300-0000AA8828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40350" y="9563100"/>
          <a:ext cx="3971925" cy="1885950"/>
        </a:xfrm>
        <a:prstGeom prst="rect">
          <a:avLst/>
        </a:prstGeom>
        <a:noFill/>
        <a:ln w="31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342900</xdr:colOff>
          <xdr:row>7</xdr:row>
          <xdr:rowOff>38100</xdr:rowOff>
        </xdr:from>
        <xdr:to>
          <xdr:col>17</xdr:col>
          <xdr:colOff>327660</xdr:colOff>
          <xdr:row>8</xdr:row>
          <xdr:rowOff>76200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3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342900</xdr:colOff>
          <xdr:row>9</xdr:row>
          <xdr:rowOff>38100</xdr:rowOff>
        </xdr:from>
        <xdr:to>
          <xdr:col>17</xdr:col>
          <xdr:colOff>327660</xdr:colOff>
          <xdr:row>10</xdr:row>
          <xdr:rowOff>83820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3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342900</xdr:colOff>
          <xdr:row>11</xdr:row>
          <xdr:rowOff>45720</xdr:rowOff>
        </xdr:from>
        <xdr:to>
          <xdr:col>17</xdr:col>
          <xdr:colOff>327660</xdr:colOff>
          <xdr:row>12</xdr:row>
          <xdr:rowOff>99060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3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A+B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456760</xdr:colOff>
      <xdr:row>86</xdr:row>
      <xdr:rowOff>112539</xdr:rowOff>
    </xdr:from>
    <xdr:to>
      <xdr:col>46</xdr:col>
      <xdr:colOff>863552</xdr:colOff>
      <xdr:row>105</xdr:row>
      <xdr:rowOff>29456</xdr:rowOff>
    </xdr:to>
    <xdr:pic>
      <xdr:nvPicPr>
        <xdr:cNvPr id="203684" name="Picture 2941">
          <a:extLst>
            <a:ext uri="{FF2B5EF4-FFF2-40B4-BE49-F238E27FC236}">
              <a16:creationId xmlns:a16="http://schemas.microsoft.com/office/drawing/2014/main" id="{00000000-0008-0000-0400-0000A41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214448" y="15361919"/>
          <a:ext cx="5302348" cy="3124349"/>
        </a:xfrm>
        <a:prstGeom prst="rect">
          <a:avLst/>
        </a:prstGeom>
        <a:noFill/>
        <a:ln w="3175" algn="ctr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203685" name="Picture 4">
          <a:extLst>
            <a:ext uri="{FF2B5EF4-FFF2-40B4-BE49-F238E27FC236}">
              <a16:creationId xmlns:a16="http://schemas.microsoft.com/office/drawing/2014/main" id="{00000000-0008-0000-0400-0000A51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graphicFrame macro="">
      <xdr:nvGraphicFramePr>
        <xdr:cNvPr id="203686" name="Chart 7">
          <a:extLst>
            <a:ext uri="{FF2B5EF4-FFF2-40B4-BE49-F238E27FC236}">
              <a16:creationId xmlns:a16="http://schemas.microsoft.com/office/drawing/2014/main" id="{00000000-0008-0000-0400-0000A61B0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9525</xdr:colOff>
      <xdr:row>612</xdr:row>
      <xdr:rowOff>0</xdr:rowOff>
    </xdr:from>
    <xdr:to>
      <xdr:col>7</xdr:col>
      <xdr:colOff>409575</xdr:colOff>
      <xdr:row>612</xdr:row>
      <xdr:rowOff>0</xdr:rowOff>
    </xdr:to>
    <xdr:graphicFrame macro="">
      <xdr:nvGraphicFramePr>
        <xdr:cNvPr id="203687" name="Chart 9">
          <a:extLst>
            <a:ext uri="{FF2B5EF4-FFF2-40B4-BE49-F238E27FC236}">
              <a16:creationId xmlns:a16="http://schemas.microsoft.com/office/drawing/2014/main" id="{00000000-0008-0000-0400-0000A71B0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0</xdr:colOff>
      <xdr:row>66</xdr:row>
      <xdr:rowOff>19050</xdr:rowOff>
    </xdr:from>
    <xdr:to>
      <xdr:col>37</xdr:col>
      <xdr:colOff>0</xdr:colOff>
      <xdr:row>68</xdr:row>
      <xdr:rowOff>0</xdr:rowOff>
    </xdr:to>
    <xdr:graphicFrame macro="">
      <xdr:nvGraphicFramePr>
        <xdr:cNvPr id="203688" name="Chart 10">
          <a:extLst>
            <a:ext uri="{FF2B5EF4-FFF2-40B4-BE49-F238E27FC236}">
              <a16:creationId xmlns:a16="http://schemas.microsoft.com/office/drawing/2014/main" id="{00000000-0008-0000-0400-0000A81B0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13</xdr:col>
      <xdr:colOff>561975</xdr:colOff>
      <xdr:row>1</xdr:row>
      <xdr:rowOff>57150</xdr:rowOff>
    </xdr:from>
    <xdr:to>
      <xdr:col>19</xdr:col>
      <xdr:colOff>476250</xdr:colOff>
      <xdr:row>16</xdr:row>
      <xdr:rowOff>142875</xdr:rowOff>
    </xdr:to>
    <xdr:pic>
      <xdr:nvPicPr>
        <xdr:cNvPr id="203689" name="Picture 1482">
          <a:extLst>
            <a:ext uri="{FF2B5EF4-FFF2-40B4-BE49-F238E27FC236}">
              <a16:creationId xmlns:a16="http://schemas.microsoft.com/office/drawing/2014/main" id="{00000000-0008-0000-0400-0000A91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92650" y="285750"/>
          <a:ext cx="3905250" cy="2581275"/>
        </a:xfrm>
        <a:prstGeom prst="rect">
          <a:avLst/>
        </a:prstGeom>
        <a:noFill/>
        <a:ln w="3175" algn="ctr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62480</xdr:colOff>
      <xdr:row>15</xdr:row>
      <xdr:rowOff>115098</xdr:rowOff>
    </xdr:from>
    <xdr:to>
      <xdr:col>11</xdr:col>
      <xdr:colOff>749945</xdr:colOff>
      <xdr:row>38</xdr:row>
      <xdr:rowOff>65275</xdr:rowOff>
    </xdr:to>
    <xdr:pic>
      <xdr:nvPicPr>
        <xdr:cNvPr id="203690" name="Picture 1533">
          <a:extLst>
            <a:ext uri="{FF2B5EF4-FFF2-40B4-BE49-F238E27FC236}">
              <a16:creationId xmlns:a16="http://schemas.microsoft.com/office/drawing/2014/main" id="{00000000-0008-0000-0400-0000AA1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527" t="2904" r="24561" b="2904"/>
        <a:stretch>
          <a:fillRect/>
        </a:stretch>
      </xdr:blipFill>
      <xdr:spPr bwMode="auto">
        <a:xfrm>
          <a:off x="14258060" y="2672860"/>
          <a:ext cx="2746463" cy="3889131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33</xdr:col>
      <xdr:colOff>201343</xdr:colOff>
      <xdr:row>68</xdr:row>
      <xdr:rowOff>0</xdr:rowOff>
    </xdr:from>
    <xdr:to>
      <xdr:col>37</xdr:col>
      <xdr:colOff>444596</xdr:colOff>
      <xdr:row>84</xdr:row>
      <xdr:rowOff>12163</xdr:rowOff>
    </xdr:to>
    <xdr:pic>
      <xdr:nvPicPr>
        <xdr:cNvPr id="203691" name="Picture 2939">
          <a:extLst>
            <a:ext uri="{FF2B5EF4-FFF2-40B4-BE49-F238E27FC236}">
              <a16:creationId xmlns:a16="http://schemas.microsoft.com/office/drawing/2014/main" id="{00000000-0008-0000-0400-0000AB1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572295" y="12098216"/>
          <a:ext cx="4604241" cy="27131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</xdr:col>
      <xdr:colOff>457200</xdr:colOff>
      <xdr:row>0</xdr:row>
      <xdr:rowOff>114300</xdr:rowOff>
    </xdr:from>
    <xdr:to>
      <xdr:col>30</xdr:col>
      <xdr:colOff>257175</xdr:colOff>
      <xdr:row>11</xdr:row>
      <xdr:rowOff>19050</xdr:rowOff>
    </xdr:to>
    <xdr:pic>
      <xdr:nvPicPr>
        <xdr:cNvPr id="203692" name="Picture 2948">
          <a:extLst>
            <a:ext uri="{FF2B5EF4-FFF2-40B4-BE49-F238E27FC236}">
              <a16:creationId xmlns:a16="http://schemas.microsoft.com/office/drawing/2014/main" id="{00000000-0008-0000-0400-0000AC1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79350" y="114300"/>
          <a:ext cx="3038475" cy="1800225"/>
        </a:xfrm>
        <a:prstGeom prst="rect">
          <a:avLst/>
        </a:prstGeom>
        <a:noFill/>
        <a:ln w="3175" algn="ctr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57150</xdr:colOff>
      <xdr:row>0</xdr:row>
      <xdr:rowOff>104775</xdr:rowOff>
    </xdr:from>
    <xdr:to>
      <xdr:col>25</xdr:col>
      <xdr:colOff>409575</xdr:colOff>
      <xdr:row>17</xdr:row>
      <xdr:rowOff>19050</xdr:rowOff>
    </xdr:to>
    <xdr:pic>
      <xdr:nvPicPr>
        <xdr:cNvPr id="203693" name="Picture 2949">
          <a:extLst>
            <a:ext uri="{FF2B5EF4-FFF2-40B4-BE49-F238E27FC236}">
              <a16:creationId xmlns:a16="http://schemas.microsoft.com/office/drawing/2014/main" id="{00000000-0008-0000-0400-0000AD1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26500" y="104775"/>
          <a:ext cx="3705225" cy="2809875"/>
        </a:xfrm>
        <a:prstGeom prst="rect">
          <a:avLst/>
        </a:prstGeom>
        <a:noFill/>
        <a:ln w="3175" algn="ctr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243117</xdr:colOff>
      <xdr:row>103</xdr:row>
      <xdr:rowOff>28136</xdr:rowOff>
    </xdr:from>
    <xdr:to>
      <xdr:col>40</xdr:col>
      <xdr:colOff>199507</xdr:colOff>
      <xdr:row>110</xdr:row>
      <xdr:rowOff>119114</xdr:rowOff>
    </xdr:to>
    <xdr:pic>
      <xdr:nvPicPr>
        <xdr:cNvPr id="203694" name="Picture 2952">
          <a:extLst>
            <a:ext uri="{FF2B5EF4-FFF2-40B4-BE49-F238E27FC236}">
              <a16:creationId xmlns:a16="http://schemas.microsoft.com/office/drawing/2014/main" id="{00000000-0008-0000-0400-0000AE1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79497" y="18147324"/>
          <a:ext cx="6877698" cy="1272662"/>
        </a:xfrm>
        <a:prstGeom prst="rect">
          <a:avLst/>
        </a:prstGeom>
        <a:noFill/>
        <a:ln w="3175" algn="ctr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466725</xdr:colOff>
      <xdr:row>12</xdr:row>
      <xdr:rowOff>0</xdr:rowOff>
    </xdr:from>
    <xdr:to>
      <xdr:col>30</xdr:col>
      <xdr:colOff>523875</xdr:colOff>
      <xdr:row>17</xdr:row>
      <xdr:rowOff>28575</xdr:rowOff>
    </xdr:to>
    <xdr:pic>
      <xdr:nvPicPr>
        <xdr:cNvPr id="203695" name="Picture 2953">
          <a:extLst>
            <a:ext uri="{FF2B5EF4-FFF2-40B4-BE49-F238E27FC236}">
              <a16:creationId xmlns:a16="http://schemas.microsoft.com/office/drawing/2014/main" id="{00000000-0008-0000-0400-0000AF1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88875" y="2057400"/>
          <a:ext cx="3295650" cy="866775"/>
        </a:xfrm>
        <a:prstGeom prst="rect">
          <a:avLst/>
        </a:prstGeom>
        <a:noFill/>
        <a:ln w="3175" algn="ctr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259756</xdr:colOff>
      <xdr:row>86</xdr:row>
      <xdr:rowOff>17508</xdr:rowOff>
    </xdr:from>
    <xdr:to>
      <xdr:col>40</xdr:col>
      <xdr:colOff>194239</xdr:colOff>
      <xdr:row>97</xdr:row>
      <xdr:rowOff>68332</xdr:rowOff>
    </xdr:to>
    <xdr:pic>
      <xdr:nvPicPr>
        <xdr:cNvPr id="203696" name="Picture 2954">
          <a:extLst>
            <a:ext uri="{FF2B5EF4-FFF2-40B4-BE49-F238E27FC236}">
              <a16:creationId xmlns:a16="http://schemas.microsoft.com/office/drawing/2014/main" id="{00000000-0008-0000-0400-0000B01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96136" y="15266888"/>
          <a:ext cx="6855791" cy="1907756"/>
        </a:xfrm>
        <a:prstGeom prst="rect">
          <a:avLst/>
        </a:prstGeom>
        <a:noFill/>
        <a:ln w="3175" algn="ctr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247092</xdr:colOff>
      <xdr:row>98</xdr:row>
      <xdr:rowOff>58280</xdr:rowOff>
    </xdr:from>
    <xdr:to>
      <xdr:col>40</xdr:col>
      <xdr:colOff>223077</xdr:colOff>
      <xdr:row>102</xdr:row>
      <xdr:rowOff>74189</xdr:rowOff>
    </xdr:to>
    <xdr:pic>
      <xdr:nvPicPr>
        <xdr:cNvPr id="203697" name="Picture 2955">
          <a:extLst>
            <a:ext uri="{FF2B5EF4-FFF2-40B4-BE49-F238E27FC236}">
              <a16:creationId xmlns:a16="http://schemas.microsoft.com/office/drawing/2014/main" id="{00000000-0008-0000-0400-0000B11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83472" y="17333408"/>
          <a:ext cx="6897293" cy="691157"/>
        </a:xfrm>
        <a:prstGeom prst="rect">
          <a:avLst/>
        </a:prstGeom>
        <a:noFill/>
        <a:ln w="3175" algn="ctr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202767" name="Object 15" hidden="1">
              <a:extLst>
                <a:ext uri="{63B3BB69-23CF-44E3-9099-C40C66FF867C}">
                  <a14:compatExt spid="_x0000_s202767"/>
                </a:ext>
                <a:ext uri="{FF2B5EF4-FFF2-40B4-BE49-F238E27FC236}">
                  <a16:creationId xmlns:a16="http://schemas.microsoft.com/office/drawing/2014/main" id="{00000000-0008-0000-0400-00000F1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202768" name="Object 16" hidden="1">
              <a:extLst>
                <a:ext uri="{63B3BB69-23CF-44E3-9099-C40C66FF867C}">
                  <a14:compatExt spid="_x0000_s202768"/>
                </a:ext>
                <a:ext uri="{FF2B5EF4-FFF2-40B4-BE49-F238E27FC236}">
                  <a16:creationId xmlns:a16="http://schemas.microsoft.com/office/drawing/2014/main" id="{00000000-0008-0000-0400-0000101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202769" name="Object 17" hidden="1">
              <a:extLst>
                <a:ext uri="{63B3BB69-23CF-44E3-9099-C40C66FF867C}">
                  <a14:compatExt spid="_x0000_s202769"/>
                </a:ext>
                <a:ext uri="{FF2B5EF4-FFF2-40B4-BE49-F238E27FC236}">
                  <a16:creationId xmlns:a16="http://schemas.microsoft.com/office/drawing/2014/main" id="{00000000-0008-0000-0400-0000111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202770" name="Object 18" hidden="1">
              <a:extLst>
                <a:ext uri="{63B3BB69-23CF-44E3-9099-C40C66FF867C}">
                  <a14:compatExt spid="_x0000_s202770"/>
                </a:ext>
                <a:ext uri="{FF2B5EF4-FFF2-40B4-BE49-F238E27FC236}">
                  <a16:creationId xmlns:a16="http://schemas.microsoft.com/office/drawing/2014/main" id="{00000000-0008-0000-0400-0000121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202771" name="Object 19" hidden="1">
              <a:extLst>
                <a:ext uri="{63B3BB69-23CF-44E3-9099-C40C66FF867C}">
                  <a14:compatExt spid="_x0000_s202771"/>
                </a:ext>
                <a:ext uri="{FF2B5EF4-FFF2-40B4-BE49-F238E27FC236}">
                  <a16:creationId xmlns:a16="http://schemas.microsoft.com/office/drawing/2014/main" id="{00000000-0008-0000-0400-0000131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21</xdr:row>
          <xdr:rowOff>60960</xdr:rowOff>
        </xdr:from>
        <xdr:to>
          <xdr:col>0</xdr:col>
          <xdr:colOff>0</xdr:colOff>
          <xdr:row>23</xdr:row>
          <xdr:rowOff>99060</xdr:rowOff>
        </xdr:to>
        <xdr:sp macro="" textlink="">
          <xdr:nvSpPr>
            <xdr:cNvPr id="202773" name="Button 21" hidden="1">
              <a:extLst>
                <a:ext uri="{63B3BB69-23CF-44E3-9099-C40C66FF867C}">
                  <a14:compatExt spid="_x0000_s202773"/>
                </a:ext>
                <a:ext uri="{FF2B5EF4-FFF2-40B4-BE49-F238E27FC236}">
                  <a16:creationId xmlns:a16="http://schemas.microsoft.com/office/drawing/2014/main" id="{00000000-0008-0000-0400-0000151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1209675</xdr:colOff>
      <xdr:row>36</xdr:row>
      <xdr:rowOff>19050</xdr:rowOff>
    </xdr:from>
    <xdr:to>
      <xdr:col>13</xdr:col>
      <xdr:colOff>400050</xdr:colOff>
      <xdr:row>75</xdr:row>
      <xdr:rowOff>38100</xdr:rowOff>
    </xdr:to>
    <xdr:pic>
      <xdr:nvPicPr>
        <xdr:cNvPr id="203907" name="Picture 1033">
          <a:extLst>
            <a:ext uri="{FF2B5EF4-FFF2-40B4-BE49-F238E27FC236}">
              <a16:creationId xmlns:a16="http://schemas.microsoft.com/office/drawing/2014/main" id="{00000000-0008-0000-0500-0000831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0" y="6429375"/>
          <a:ext cx="8191500" cy="6858000"/>
        </a:xfrm>
        <a:prstGeom prst="rect">
          <a:avLst/>
        </a:prstGeom>
        <a:noFill/>
        <a:ln w="31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144</xdr:col>
      <xdr:colOff>0</xdr:colOff>
      <xdr:row>0</xdr:row>
      <xdr:rowOff>38100</xdr:rowOff>
    </xdr:from>
    <xdr:to>
      <xdr:col>152</xdr:col>
      <xdr:colOff>581025</xdr:colOff>
      <xdr:row>28</xdr:row>
      <xdr:rowOff>57150</xdr:rowOff>
    </xdr:to>
    <xdr:pic>
      <xdr:nvPicPr>
        <xdr:cNvPr id="203908" name="Picture 1034">
          <a:extLst>
            <a:ext uri="{FF2B5EF4-FFF2-40B4-BE49-F238E27FC236}">
              <a16:creationId xmlns:a16="http://schemas.microsoft.com/office/drawing/2014/main" id="{00000000-0008-0000-0500-0000841C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032800" y="38100"/>
          <a:ext cx="6619875" cy="4991100"/>
        </a:xfrm>
        <a:prstGeom prst="rect">
          <a:avLst/>
        </a:prstGeom>
        <a:noFill/>
        <a:ln w="3175" algn="ctr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52024</xdr:colOff>
      <xdr:row>2</xdr:row>
      <xdr:rowOff>95258</xdr:rowOff>
    </xdr:from>
    <xdr:to>
      <xdr:col>48</xdr:col>
      <xdr:colOff>277694</xdr:colOff>
      <xdr:row>79</xdr:row>
      <xdr:rowOff>9523</xdr:rowOff>
    </xdr:to>
    <xdr:graphicFrame macro="">
      <xdr:nvGraphicFramePr>
        <xdr:cNvPr id="204866" name="Chart 1025">
          <a:extLst>
            <a:ext uri="{FF2B5EF4-FFF2-40B4-BE49-F238E27FC236}">
              <a16:creationId xmlns:a16="http://schemas.microsoft.com/office/drawing/2014/main" id="{00000000-0008-0000-0600-000042200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60960</xdr:colOff>
          <xdr:row>0</xdr:row>
          <xdr:rowOff>83820</xdr:rowOff>
        </xdr:from>
        <xdr:to>
          <xdr:col>23</xdr:col>
          <xdr:colOff>22860</xdr:colOff>
          <xdr:row>0</xdr:row>
          <xdr:rowOff>419100</xdr:rowOff>
        </xdr:to>
        <xdr:sp macro="" textlink="">
          <xdr:nvSpPr>
            <xdr:cNvPr id="205825" name="Button 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8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Elabora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wmf"/><Relationship Id="rId12" Type="http://schemas.openxmlformats.org/officeDocument/2006/relationships/oleObject" Target="../embeddings/oleObject5.bin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comments" Target="../comments2.xml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9.emf"/><Relationship Id="rId1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4.xml"/><Relationship Id="rId4" Type="http://schemas.openxmlformats.org/officeDocument/2006/relationships/ctrlProp" Target="../ctrlProps/ctrlProp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indexed="10"/>
    <pageSetUpPr fitToPage="1"/>
  </sheetPr>
  <dimension ref="A1:X176"/>
  <sheetViews>
    <sheetView showGridLines="0" tabSelected="1" view="pageBreakPreview" topLeftCell="A57" zoomScaleNormal="100" zoomScaleSheetLayoutView="100" zoomScalePageLayoutView="55" workbookViewId="0">
      <selection activeCell="H48" sqref="H48"/>
    </sheetView>
  </sheetViews>
  <sheetFormatPr defaultColWidth="9.109375" defaultRowHeight="13.2"/>
  <cols>
    <col min="1" max="1" width="19" style="81" customWidth="1"/>
    <col min="2" max="2" width="19.33203125" style="81" customWidth="1"/>
    <col min="3" max="3" width="21.33203125" style="81" customWidth="1"/>
    <col min="4" max="4" width="7.33203125" style="81" customWidth="1"/>
    <col min="5" max="5" width="10.6640625" style="81" customWidth="1"/>
    <col min="6" max="6" width="12.88671875" style="81" customWidth="1"/>
    <col min="7" max="7" width="16.109375" style="81" customWidth="1"/>
    <col min="8" max="8" width="17.33203125" style="81" customWidth="1"/>
    <col min="9" max="9" width="13.5546875" style="81" customWidth="1"/>
    <col min="10" max="10" width="13" style="81" customWidth="1"/>
    <col min="11" max="11" width="12" style="81" bestFit="1" customWidth="1"/>
    <col min="12" max="12" width="22.109375" style="81" customWidth="1"/>
    <col min="13" max="13" width="13.6640625" style="81" customWidth="1"/>
    <col min="14" max="14" width="21.5546875" style="81" customWidth="1"/>
    <col min="15" max="15" width="15.44140625" style="81" bestFit="1" customWidth="1"/>
    <col min="16" max="16" width="21" style="81" bestFit="1" customWidth="1"/>
    <col min="17" max="17" width="9.44140625" style="81" bestFit="1" customWidth="1"/>
    <col min="18" max="18" width="14.88671875" style="81" customWidth="1"/>
    <col min="19" max="20" width="9.33203125" style="81" bestFit="1" customWidth="1"/>
    <col min="21" max="16384" width="9.109375" style="81"/>
  </cols>
  <sheetData>
    <row r="1" spans="1:22" ht="20.25" customHeight="1">
      <c r="A1" s="854"/>
      <c r="B1" s="1112" t="s">
        <v>301</v>
      </c>
      <c r="C1" s="1112"/>
      <c r="D1" s="1112"/>
      <c r="E1" s="1112"/>
      <c r="F1" s="1112"/>
      <c r="G1" s="728"/>
      <c r="H1" s="732" t="b">
        <v>1</v>
      </c>
      <c r="I1" s="733"/>
      <c r="J1" s="733"/>
      <c r="K1" s="734"/>
      <c r="L1" s="735"/>
      <c r="M1" s="716"/>
      <c r="N1" s="716"/>
      <c r="O1" s="716"/>
      <c r="P1" s="716"/>
      <c r="Q1" s="716"/>
      <c r="R1" s="717"/>
      <c r="S1" s="1104" t="s">
        <v>146</v>
      </c>
      <c r="T1" s="1104"/>
      <c r="U1" s="609"/>
      <c r="V1" s="609"/>
    </row>
    <row r="2" spans="1:22" s="66" customFormat="1">
      <c r="A2" s="858"/>
      <c r="B2" s="1113"/>
      <c r="C2" s="1113"/>
      <c r="D2" s="1113"/>
      <c r="E2" s="1113"/>
      <c r="F2" s="1113"/>
      <c r="G2" s="728"/>
      <c r="H2" s="736"/>
      <c r="I2" s="714"/>
      <c r="J2" s="714"/>
      <c r="K2" s="715"/>
      <c r="L2" s="737"/>
      <c r="R2" s="717"/>
      <c r="S2" s="613">
        <v>1</v>
      </c>
      <c r="T2" s="613">
        <f>+F14</f>
        <v>12.5</v>
      </c>
      <c r="U2" s="609"/>
      <c r="V2" s="609"/>
    </row>
    <row r="3" spans="1:22" s="66" customFormat="1">
      <c r="A3" s="67"/>
      <c r="B3" s="67"/>
      <c r="C3" s="67"/>
      <c r="D3" s="191"/>
      <c r="E3" s="67"/>
      <c r="F3" s="67"/>
      <c r="G3" s="67"/>
      <c r="H3" s="738"/>
      <c r="I3" s="713"/>
      <c r="J3" s="713"/>
      <c r="K3" s="713"/>
      <c r="L3" s="737"/>
      <c r="R3" s="716"/>
      <c r="S3" s="609">
        <v>2</v>
      </c>
      <c r="T3" s="609">
        <f>+F15</f>
        <v>12.5</v>
      </c>
      <c r="U3" s="609"/>
      <c r="V3" s="609"/>
    </row>
    <row r="4" spans="1:22" s="66" customFormat="1">
      <c r="A4" s="892" t="s">
        <v>380</v>
      </c>
      <c r="B4" s="894" t="s">
        <v>672</v>
      </c>
      <c r="C4" s="589"/>
      <c r="E4" s="893"/>
      <c r="F4" s="891" t="s">
        <v>173</v>
      </c>
      <c r="G4" s="67"/>
      <c r="H4" s="738"/>
      <c r="I4" s="713"/>
      <c r="J4" s="713"/>
      <c r="K4" s="713"/>
      <c r="L4" s="737"/>
      <c r="P4" s="67"/>
      <c r="Q4" s="67"/>
      <c r="R4" s="67"/>
      <c r="S4" s="601"/>
      <c r="T4" s="601"/>
    </row>
    <row r="5" spans="1:22" s="66" customFormat="1">
      <c r="A5" s="892" t="s">
        <v>381</v>
      </c>
      <c r="B5" s="894" t="s">
        <v>682</v>
      </c>
      <c r="C5" s="191"/>
      <c r="E5" s="842"/>
      <c r="F5" s="891" t="s">
        <v>174</v>
      </c>
      <c r="G5" s="67"/>
      <c r="H5" s="738"/>
      <c r="I5" s="713"/>
      <c r="J5" s="713"/>
      <c r="K5" s="713"/>
      <c r="L5" s="737"/>
      <c r="P5" s="67"/>
      <c r="Q5" s="67"/>
      <c r="R5" s="67"/>
      <c r="S5" s="601"/>
      <c r="T5" s="601"/>
    </row>
    <row r="6" spans="1:22" s="66" customFormat="1">
      <c r="A6" s="892" t="s">
        <v>382</v>
      </c>
      <c r="B6" s="894" t="s">
        <v>673</v>
      </c>
      <c r="C6" s="192"/>
      <c r="F6" s="67"/>
      <c r="G6" s="67"/>
      <c r="H6" s="738"/>
      <c r="I6" s="713"/>
      <c r="J6" s="713"/>
      <c r="K6" s="713"/>
      <c r="L6" s="737"/>
      <c r="P6" s="1105"/>
      <c r="Q6" s="1105"/>
      <c r="R6" s="1105"/>
      <c r="S6" s="67"/>
      <c r="T6" s="67"/>
    </row>
    <row r="7" spans="1:22" s="66" customFormat="1">
      <c r="A7" s="892" t="s">
        <v>383</v>
      </c>
      <c r="B7" s="896" t="s">
        <v>922</v>
      </c>
      <c r="C7" s="190"/>
      <c r="D7" s="191"/>
      <c r="E7" s="67"/>
      <c r="F7" s="67"/>
      <c r="G7" s="729"/>
      <c r="H7" s="739"/>
      <c r="I7" s="713"/>
      <c r="J7" s="713"/>
      <c r="K7" s="713"/>
      <c r="L7" s="737"/>
      <c r="P7" s="1105"/>
      <c r="Q7" s="1105"/>
      <c r="R7" s="1105"/>
      <c r="S7" s="67"/>
      <c r="T7" s="67"/>
    </row>
    <row r="8" spans="1:22" s="67" customFormat="1">
      <c r="G8" s="730"/>
      <c r="H8" s="739"/>
      <c r="I8" s="713"/>
      <c r="J8" s="713"/>
      <c r="K8" s="713"/>
      <c r="L8" s="737"/>
      <c r="P8" s="1105"/>
      <c r="Q8" s="1105"/>
      <c r="R8" s="1105"/>
    </row>
    <row r="9" spans="1:22" s="67" customFormat="1" ht="12.75" customHeight="1">
      <c r="A9" s="890" t="s">
        <v>379</v>
      </c>
      <c r="B9" s="895">
        <v>42273</v>
      </c>
      <c r="C9" s="1111" t="s">
        <v>340</v>
      </c>
      <c r="D9" s="1111"/>
      <c r="E9" s="903" t="s">
        <v>683</v>
      </c>
      <c r="F9" s="903"/>
      <c r="G9" s="731"/>
      <c r="H9" s="738"/>
      <c r="I9" s="713"/>
      <c r="J9" s="713"/>
      <c r="K9" s="713"/>
      <c r="L9" s="737"/>
      <c r="P9" s="1105"/>
      <c r="Q9" s="1105"/>
      <c r="R9" s="1105"/>
    </row>
    <row r="10" spans="1:22" s="66" customFormat="1">
      <c r="A10" s="67"/>
      <c r="B10" s="67"/>
      <c r="C10" s="192"/>
      <c r="D10" s="67"/>
      <c r="E10" s="67"/>
      <c r="F10" s="67"/>
      <c r="G10" s="67"/>
      <c r="H10" s="68"/>
      <c r="I10" s="67"/>
      <c r="J10" s="67"/>
      <c r="K10" s="67"/>
      <c r="L10" s="72"/>
      <c r="P10" s="1069"/>
      <c r="Q10" s="1069"/>
      <c r="R10" s="1069"/>
      <c r="S10" s="67"/>
      <c r="T10" s="67"/>
    </row>
    <row r="11" spans="1:22" ht="14.4">
      <c r="A11" s="1108" t="s">
        <v>354</v>
      </c>
      <c r="B11" s="1109"/>
      <c r="C11" s="1109"/>
      <c r="D11" s="1109"/>
      <c r="E11" s="1110"/>
      <c r="F11" s="1110"/>
      <c r="G11" s="716"/>
      <c r="H11" s="68"/>
      <c r="I11" s="67"/>
      <c r="J11" s="67"/>
      <c r="K11" s="67"/>
      <c r="L11" s="72"/>
      <c r="M11" s="716"/>
      <c r="N11" s="716"/>
      <c r="O11" s="716"/>
      <c r="P11" s="717"/>
      <c r="Q11" s="717"/>
      <c r="R11" s="717"/>
      <c r="S11" s="46"/>
      <c r="T11" s="46"/>
    </row>
    <row r="12" spans="1:22">
      <c r="A12" s="830" t="s">
        <v>345</v>
      </c>
      <c r="B12" s="831">
        <v>-22.198671000000001</v>
      </c>
      <c r="C12" s="830" t="s">
        <v>299</v>
      </c>
      <c r="D12" s="831">
        <v>5</v>
      </c>
      <c r="E12" s="1106" t="s">
        <v>300</v>
      </c>
      <c r="F12" s="1107"/>
      <c r="G12" s="716"/>
      <c r="H12" s="740"/>
      <c r="I12" s="717"/>
      <c r="J12" s="717"/>
      <c r="K12" s="717" t="s">
        <v>338</v>
      </c>
      <c r="L12" s="741"/>
      <c r="M12" s="716"/>
      <c r="N12" s="716"/>
      <c r="O12" s="716"/>
      <c r="P12" s="717"/>
      <c r="Q12" s="717"/>
      <c r="R12" s="717"/>
      <c r="S12" s="46"/>
      <c r="T12" s="46"/>
    </row>
    <row r="13" spans="1:22" ht="13.8" thickBot="1">
      <c r="A13" s="835" t="s">
        <v>346</v>
      </c>
      <c r="B13" s="831">
        <v>-12.488417999999999</v>
      </c>
      <c r="C13" s="830" t="s">
        <v>294</v>
      </c>
      <c r="D13" s="864">
        <v>5</v>
      </c>
      <c r="E13" s="1107"/>
      <c r="F13" s="1107"/>
      <c r="G13" s="716"/>
      <c r="H13" s="742"/>
      <c r="I13" s="743"/>
      <c r="J13" s="743"/>
      <c r="K13" s="743"/>
      <c r="L13" s="744"/>
      <c r="M13" s="716"/>
      <c r="N13" s="716"/>
      <c r="O13" s="716"/>
      <c r="P13" s="717"/>
      <c r="Q13" s="717"/>
      <c r="R13" s="717"/>
      <c r="S13" s="601"/>
      <c r="T13" s="601"/>
    </row>
    <row r="14" spans="1:22">
      <c r="A14" s="886" t="s">
        <v>273</v>
      </c>
      <c r="B14" s="887">
        <f>IF('Burland damage classification'!G5="Only 2 inflection points",'Burland damage classification'!G7,'Burland damage classification'!G5)</f>
        <v>-22.198671000000001</v>
      </c>
      <c r="C14" s="832"/>
      <c r="D14" s="833"/>
      <c r="E14" s="888" t="s">
        <v>182</v>
      </c>
      <c r="F14" s="889">
        <f>IF($G$16=1,2.6,IF($G$16=2,12.5,"choose type building"))</f>
        <v>12.5</v>
      </c>
      <c r="G14" s="865"/>
      <c r="H14" s="865"/>
      <c r="I14" s="865"/>
      <c r="J14" s="716"/>
      <c r="K14" s="716"/>
      <c r="L14" s="716"/>
      <c r="M14" s="716"/>
      <c r="N14" s="716"/>
      <c r="O14" s="716"/>
      <c r="P14" s="717"/>
      <c r="Q14" s="717"/>
      <c r="R14" s="717"/>
      <c r="S14" s="601"/>
      <c r="T14" s="601"/>
    </row>
    <row r="15" spans="1:22" ht="14.25" customHeight="1" thickBot="1">
      <c r="A15" s="886" t="s">
        <v>274</v>
      </c>
      <c r="B15" s="887">
        <f>IF('Burland damage classification'!G6="Only 2 inflection points",'Burland damage classification'!G8,'Burland damage classification'!G6)</f>
        <v>-12.488417999999999</v>
      </c>
      <c r="C15" s="832"/>
      <c r="D15" s="833"/>
      <c r="E15" s="888" t="s">
        <v>183</v>
      </c>
      <c r="F15" s="889">
        <f>IF($G$16=1,0.5,IF($G$16=2,12.5,"choose type building"))</f>
        <v>12.5</v>
      </c>
      <c r="G15" s="866"/>
      <c r="H15" s="867"/>
      <c r="I15" s="868"/>
      <c r="J15" s="685"/>
      <c r="K15" s="695"/>
      <c r="L15" s="67"/>
      <c r="M15" s="67"/>
      <c r="N15" s="716"/>
      <c r="O15" s="716"/>
      <c r="P15" s="717"/>
      <c r="Q15" s="717"/>
      <c r="R15" s="717"/>
      <c r="S15" s="601"/>
      <c r="T15" s="601"/>
    </row>
    <row r="16" spans="1:22" s="588" customFormat="1" ht="12.75" customHeight="1">
      <c r="A16" s="1086" t="s">
        <v>341</v>
      </c>
      <c r="B16" s="1086"/>
      <c r="C16" s="1086"/>
      <c r="D16" s="831">
        <v>0</v>
      </c>
      <c r="E16" s="832"/>
      <c r="F16" s="832"/>
      <c r="G16" s="869">
        <v>2</v>
      </c>
      <c r="H16" s="870" t="s">
        <v>333</v>
      </c>
      <c r="I16" s="871" t="s">
        <v>334</v>
      </c>
      <c r="J16" s="718"/>
      <c r="K16" s="718"/>
      <c r="L16" s="597"/>
      <c r="M16" s="597"/>
      <c r="N16" s="718"/>
      <c r="O16" s="718"/>
      <c r="P16" s="691"/>
      <c r="Q16" s="691"/>
      <c r="R16" s="691"/>
      <c r="S16" s="692"/>
      <c r="T16" s="692"/>
    </row>
    <row r="17" spans="1:20">
      <c r="A17" s="1086" t="s">
        <v>342</v>
      </c>
      <c r="B17" s="1086"/>
      <c r="C17" s="1086"/>
      <c r="D17" s="831">
        <v>7</v>
      </c>
      <c r="E17" s="832"/>
      <c r="F17" s="832"/>
      <c r="G17" s="869">
        <f>VLOOKUP(G16,S2:T3,2)</f>
        <v>12.5</v>
      </c>
      <c r="H17" s="872">
        <v>1</v>
      </c>
      <c r="I17" s="873">
        <v>1</v>
      </c>
      <c r="J17" s="716"/>
      <c r="K17" s="716"/>
      <c r="L17" s="67"/>
      <c r="M17" s="67"/>
      <c r="N17" s="716"/>
      <c r="O17" s="716"/>
      <c r="P17" s="590"/>
      <c r="Q17" s="590"/>
      <c r="R17" s="590"/>
      <c r="S17" s="46"/>
      <c r="T17" s="46"/>
    </row>
    <row r="18" spans="1:20">
      <c r="B18" s="857"/>
      <c r="C18" s="833" t="s">
        <v>17</v>
      </c>
      <c r="D18" s="833"/>
      <c r="E18" s="834"/>
      <c r="F18" s="832"/>
      <c r="G18" s="869"/>
      <c r="H18" s="872">
        <v>2</v>
      </c>
      <c r="I18" s="873">
        <v>1.25</v>
      </c>
      <c r="J18" s="716"/>
      <c r="K18" s="716"/>
      <c r="L18" s="67"/>
      <c r="M18" s="67"/>
      <c r="N18" s="716"/>
      <c r="O18" s="716"/>
      <c r="P18" s="693"/>
      <c r="Q18" s="590"/>
      <c r="R18" s="694"/>
      <c r="S18" s="46"/>
      <c r="T18" s="46"/>
    </row>
    <row r="19" spans="1:20" ht="12.75" customHeight="1">
      <c r="A19" s="1079" t="s">
        <v>347</v>
      </c>
      <c r="B19" s="1079"/>
      <c r="C19" s="833"/>
      <c r="D19" s="833"/>
      <c r="E19" s="832"/>
      <c r="F19" s="832"/>
      <c r="G19" s="869"/>
      <c r="H19" s="872">
        <v>3</v>
      </c>
      <c r="I19" s="873">
        <v>1.5</v>
      </c>
      <c r="J19" s="716"/>
      <c r="K19" s="716"/>
      <c r="L19" s="67"/>
      <c r="M19" s="67"/>
      <c r="N19" s="716"/>
      <c r="O19" s="716"/>
      <c r="P19" s="693"/>
      <c r="Q19" s="590"/>
      <c r="R19" s="590"/>
      <c r="S19" s="46"/>
      <c r="T19" s="46"/>
    </row>
    <row r="20" spans="1:20">
      <c r="A20" s="1079"/>
      <c r="B20" s="1079"/>
      <c r="C20" s="46"/>
      <c r="D20" s="46"/>
      <c r="E20" s="46"/>
      <c r="F20" s="46"/>
      <c r="G20" s="865"/>
      <c r="H20" s="872">
        <v>4</v>
      </c>
      <c r="I20" s="873">
        <v>1.75</v>
      </c>
      <c r="J20" s="716"/>
      <c r="K20" s="716"/>
      <c r="L20" s="67"/>
      <c r="M20" s="67"/>
      <c r="N20" s="716"/>
      <c r="O20" s="716"/>
      <c r="P20" s="719"/>
      <c r="Q20" s="590"/>
      <c r="R20" s="694"/>
      <c r="S20" s="46"/>
      <c r="T20" s="46"/>
    </row>
    <row r="21" spans="1:20" ht="13.8" thickBot="1">
      <c r="G21" s="869"/>
      <c r="H21" s="874">
        <v>5</v>
      </c>
      <c r="I21" s="875">
        <v>2</v>
      </c>
      <c r="J21" s="716"/>
      <c r="K21" s="716"/>
      <c r="L21" s="67"/>
      <c r="M21" s="67"/>
      <c r="N21" s="716"/>
      <c r="O21" s="716"/>
      <c r="P21" s="720"/>
      <c r="Q21" s="590"/>
      <c r="R21" s="590"/>
      <c r="S21" s="46"/>
      <c r="T21" s="46"/>
    </row>
    <row r="22" spans="1:20" ht="14.4">
      <c r="A22" s="1092" t="s">
        <v>353</v>
      </c>
      <c r="B22" s="1093"/>
      <c r="C22" s="1093"/>
      <c r="D22" s="1093"/>
      <c r="E22" s="1094"/>
      <c r="F22" s="1094"/>
      <c r="G22" s="869"/>
      <c r="H22" s="876"/>
      <c r="I22" s="877"/>
      <c r="J22" s="696"/>
      <c r="K22" s="695"/>
      <c r="L22" s="67"/>
      <c r="M22" s="67"/>
      <c r="N22" s="716"/>
      <c r="O22" s="716"/>
      <c r="P22" s="720"/>
      <c r="Q22" s="590"/>
      <c r="R22" s="590"/>
      <c r="S22" s="46"/>
      <c r="T22" s="46"/>
    </row>
    <row r="23" spans="1:20">
      <c r="A23" s="1095" t="s">
        <v>356</v>
      </c>
      <c r="B23" s="1096"/>
      <c r="C23" s="829"/>
      <c r="D23" s="829"/>
      <c r="E23" s="829"/>
      <c r="F23" s="829"/>
      <c r="G23" s="869"/>
      <c r="H23" s="876"/>
      <c r="I23" s="877"/>
      <c r="J23" s="716"/>
      <c r="K23" s="716"/>
      <c r="L23" s="67"/>
      <c r="M23" s="67"/>
      <c r="N23" s="716"/>
      <c r="O23" s="716"/>
      <c r="P23" s="720"/>
      <c r="Q23" s="590"/>
      <c r="R23" s="590"/>
      <c r="S23" s="46"/>
      <c r="T23" s="46"/>
    </row>
    <row r="24" spans="1:20">
      <c r="A24" s="1097"/>
      <c r="B24" s="1097"/>
      <c r="C24" s="829"/>
      <c r="D24" s="829"/>
      <c r="E24" s="829"/>
      <c r="F24" s="829"/>
      <c r="G24" s="869"/>
      <c r="H24" s="876"/>
      <c r="I24" s="877"/>
      <c r="J24" s="696"/>
      <c r="K24" s="695"/>
      <c r="L24" s="67"/>
      <c r="M24" s="67"/>
      <c r="P24" s="73"/>
      <c r="Q24" s="590"/>
      <c r="R24" s="590"/>
      <c r="S24" s="46"/>
      <c r="T24" s="46"/>
    </row>
    <row r="25" spans="1:20" ht="15" thickBot="1">
      <c r="A25" s="1083" t="s">
        <v>343</v>
      </c>
      <c r="B25" s="1084"/>
      <c r="C25" s="1084"/>
      <c r="D25" s="1084"/>
      <c r="E25" s="1085"/>
      <c r="F25" s="1085"/>
      <c r="G25" s="866"/>
      <c r="H25" s="876"/>
      <c r="I25" s="877"/>
      <c r="J25" s="696"/>
      <c r="K25" s="695"/>
      <c r="L25" s="67"/>
      <c r="M25" s="67"/>
      <c r="P25" s="73"/>
      <c r="Q25" s="590"/>
      <c r="R25" s="590"/>
      <c r="S25" s="46"/>
      <c r="T25" s="46"/>
    </row>
    <row r="26" spans="1:20">
      <c r="A26" s="835" t="s">
        <v>392</v>
      </c>
      <c r="B26" s="831">
        <v>7.5</v>
      </c>
      <c r="C26" s="830" t="s">
        <v>349</v>
      </c>
      <c r="D26" s="831">
        <v>0.45</v>
      </c>
      <c r="E26" s="856" t="s">
        <v>271</v>
      </c>
      <c r="F26" s="860">
        <f>B26</f>
        <v>7.5</v>
      </c>
      <c r="G26" s="869"/>
      <c r="H26" s="878" t="s">
        <v>361</v>
      </c>
      <c r="I26" s="879" t="s">
        <v>30</v>
      </c>
      <c r="J26" s="696"/>
      <c r="K26" s="695"/>
      <c r="L26" s="67"/>
      <c r="M26" s="67"/>
      <c r="P26" s="46"/>
      <c r="Q26" s="46"/>
      <c r="R26" s="46"/>
      <c r="S26" s="46"/>
      <c r="T26" s="46"/>
    </row>
    <row r="27" spans="1:20">
      <c r="A27" s="835"/>
      <c r="B27" s="861"/>
      <c r="C27" s="830" t="s">
        <v>350</v>
      </c>
      <c r="D27" s="836"/>
      <c r="E27" s="830" t="s">
        <v>351</v>
      </c>
      <c r="F27" s="837">
        <v>0.01</v>
      </c>
      <c r="G27" s="869"/>
      <c r="H27" s="880">
        <f>'Burland damage classification'!P25*100</f>
        <v>3.3333333333333333E-2</v>
      </c>
      <c r="I27" s="881">
        <v>0</v>
      </c>
      <c r="J27" s="696"/>
      <c r="K27" s="695"/>
      <c r="L27" s="67"/>
      <c r="M27" s="67"/>
    </row>
    <row r="28" spans="1:20">
      <c r="A28" s="835"/>
      <c r="B28" s="861"/>
      <c r="C28" s="1073" t="s">
        <v>352</v>
      </c>
      <c r="D28" s="1074"/>
      <c r="E28" s="1075"/>
      <c r="F28" s="831">
        <v>15</v>
      </c>
      <c r="G28" s="869"/>
      <c r="H28" s="880">
        <f>'Burland damage classification'!P26*100</f>
        <v>0.05</v>
      </c>
      <c r="I28" s="881">
        <v>1</v>
      </c>
      <c r="J28" s="696"/>
      <c r="K28" s="695"/>
      <c r="L28" s="67"/>
      <c r="M28" s="67"/>
    </row>
    <row r="29" spans="1:20">
      <c r="B29" s="848"/>
      <c r="C29" s="833" t="s">
        <v>12</v>
      </c>
      <c r="D29" s="833" t="s">
        <v>9</v>
      </c>
      <c r="E29" s="1080"/>
      <c r="F29" s="1081"/>
      <c r="G29" s="865"/>
      <c r="H29" s="880">
        <f>'Burland damage classification'!P27*100</f>
        <v>0.1</v>
      </c>
      <c r="I29" s="881">
        <v>2</v>
      </c>
      <c r="J29" s="696"/>
      <c r="K29" s="695"/>
      <c r="L29" s="67"/>
      <c r="M29" s="67"/>
    </row>
    <row r="30" spans="1:20">
      <c r="A30" s="843"/>
      <c r="B30" s="844"/>
      <c r="C30" s="861">
        <f>+(D26*F28)/(F26*(F28/F26)^D30)</f>
        <v>0.45</v>
      </c>
      <c r="D30" s="831">
        <v>1</v>
      </c>
      <c r="E30" s="1082"/>
      <c r="F30" s="1081"/>
      <c r="G30" s="865"/>
      <c r="H30" s="880">
        <f>'Burland damage classification'!P28*100</f>
        <v>0.2</v>
      </c>
      <c r="I30" s="881">
        <v>3</v>
      </c>
      <c r="J30" s="696"/>
      <c r="K30" s="695"/>
      <c r="L30" s="67"/>
      <c r="M30" s="67"/>
    </row>
    <row r="31" spans="1:20" ht="13.8" thickBot="1">
      <c r="A31" s="839"/>
      <c r="B31" s="839"/>
      <c r="C31" s="849"/>
      <c r="D31" s="849"/>
      <c r="E31" s="839"/>
      <c r="F31" s="839"/>
      <c r="G31" s="882" t="s">
        <v>335</v>
      </c>
      <c r="H31" s="883">
        <f>H30</f>
        <v>0.2</v>
      </c>
      <c r="I31" s="884" t="s">
        <v>11</v>
      </c>
      <c r="J31" s="696"/>
      <c r="K31" s="695"/>
      <c r="L31" s="67"/>
      <c r="M31" s="67"/>
    </row>
    <row r="32" spans="1:20">
      <c r="B32" s="841"/>
      <c r="C32" s="1076" t="s">
        <v>270</v>
      </c>
      <c r="D32" s="1077"/>
      <c r="E32" s="1078"/>
      <c r="F32" s="831">
        <v>10</v>
      </c>
      <c r="G32" s="46"/>
      <c r="H32" s="695"/>
      <c r="I32" s="696"/>
      <c r="J32" s="696"/>
      <c r="K32" s="695"/>
      <c r="L32" s="67"/>
      <c r="M32" s="67"/>
    </row>
    <row r="33" spans="1:13" ht="19.5" customHeight="1">
      <c r="A33" s="839"/>
      <c r="B33" s="839"/>
      <c r="C33" s="839"/>
      <c r="D33" s="839"/>
      <c r="E33" s="839"/>
      <c r="F33" s="839"/>
      <c r="G33" s="270"/>
      <c r="H33" s="695"/>
      <c r="I33" s="696"/>
      <c r="J33" s="696"/>
      <c r="K33" s="695"/>
      <c r="L33" s="67"/>
      <c r="M33" s="67"/>
    </row>
    <row r="34" spans="1:13" ht="14.4">
      <c r="A34" s="1098" t="s">
        <v>344</v>
      </c>
      <c r="B34" s="1099"/>
      <c r="C34" s="1099"/>
      <c r="D34" s="1099"/>
      <c r="E34" s="1100"/>
      <c r="F34" s="1100"/>
      <c r="G34" s="46"/>
      <c r="H34" s="695"/>
      <c r="I34" s="696"/>
      <c r="J34" s="696"/>
      <c r="K34" s="695"/>
      <c r="L34" s="67"/>
      <c r="M34" s="67"/>
    </row>
    <row r="35" spans="1:13">
      <c r="A35" s="835" t="s">
        <v>392</v>
      </c>
      <c r="B35" s="831">
        <v>7.5</v>
      </c>
      <c r="C35" s="830" t="s">
        <v>349</v>
      </c>
      <c r="D35" s="831">
        <v>0.45</v>
      </c>
      <c r="E35" s="856" t="s">
        <v>272</v>
      </c>
      <c r="F35" s="860">
        <f>B35</f>
        <v>7.5</v>
      </c>
      <c r="G35" s="46"/>
      <c r="H35" s="695"/>
      <c r="I35" s="696"/>
      <c r="J35" s="696"/>
      <c r="K35" s="695"/>
      <c r="L35" s="67"/>
      <c r="M35" s="67"/>
    </row>
    <row r="36" spans="1:13">
      <c r="A36" s="835"/>
      <c r="B36" s="917"/>
      <c r="C36" s="830" t="s">
        <v>350</v>
      </c>
      <c r="D36" s="840"/>
      <c r="E36" s="830" t="s">
        <v>351</v>
      </c>
      <c r="F36" s="837">
        <v>0.01</v>
      </c>
      <c r="G36" s="46"/>
      <c r="H36" s="695"/>
      <c r="I36" s="696"/>
      <c r="J36" s="696"/>
      <c r="K36" s="695"/>
      <c r="L36" s="67"/>
      <c r="M36" s="67"/>
    </row>
    <row r="37" spans="1:13" ht="12.75" customHeight="1">
      <c r="A37" s="835"/>
      <c r="B37" s="917"/>
      <c r="C37" s="1073" t="s">
        <v>352</v>
      </c>
      <c r="D37" s="1074"/>
      <c r="E37" s="1075"/>
      <c r="F37" s="831">
        <v>15</v>
      </c>
      <c r="H37" s="695"/>
      <c r="I37" s="696"/>
      <c r="J37" s="696"/>
      <c r="K37" s="695"/>
      <c r="L37" s="67"/>
      <c r="M37" s="67"/>
    </row>
    <row r="38" spans="1:13">
      <c r="A38" s="838"/>
      <c r="B38" s="850"/>
      <c r="C38" s="833" t="s">
        <v>12</v>
      </c>
      <c r="D38" s="833" t="s">
        <v>9</v>
      </c>
      <c r="E38" s="1080"/>
      <c r="F38" s="1101"/>
      <c r="H38" s="695"/>
      <c r="I38" s="696"/>
      <c r="J38" s="696"/>
      <c r="K38" s="695"/>
      <c r="L38" s="67"/>
      <c r="M38" s="67"/>
    </row>
    <row r="39" spans="1:13">
      <c r="A39" s="1090"/>
      <c r="B39" s="1091"/>
      <c r="C39" s="862">
        <f>+(D35*F37)/(F35*(F37/F35)^D39)</f>
        <v>0.45</v>
      </c>
      <c r="D39" s="863">
        <v>1</v>
      </c>
      <c r="E39" s="1102"/>
      <c r="F39" s="1103"/>
      <c r="G39" s="46"/>
      <c r="H39" s="695"/>
      <c r="I39" s="696"/>
      <c r="J39" s="696"/>
      <c r="K39" s="695"/>
      <c r="L39" s="67"/>
      <c r="M39" s="67"/>
    </row>
    <row r="40" spans="1:13" ht="12.75" customHeight="1">
      <c r="A40" s="1072"/>
      <c r="B40" s="1072"/>
      <c r="C40" s="1072"/>
      <c r="D40" s="1072"/>
      <c r="E40" s="1072"/>
      <c r="F40" s="1072"/>
      <c r="H40" s="695"/>
      <c r="I40" s="696"/>
      <c r="J40" s="696"/>
      <c r="K40" s="695"/>
      <c r="L40" s="67"/>
      <c r="M40" s="67"/>
    </row>
    <row r="41" spans="1:13" ht="14.4">
      <c r="A41" s="1092" t="s">
        <v>355</v>
      </c>
      <c r="B41" s="1093"/>
      <c r="C41" s="1093"/>
      <c r="D41" s="1093"/>
      <c r="E41" s="1094"/>
      <c r="F41" s="1094"/>
      <c r="H41" s="695"/>
      <c r="I41" s="696"/>
      <c r="J41" s="696"/>
      <c r="K41" s="695"/>
      <c r="L41" s="67"/>
      <c r="M41" s="67"/>
    </row>
    <row r="42" spans="1:13">
      <c r="A42" s="46"/>
      <c r="B42" s="46"/>
      <c r="C42" s="46"/>
      <c r="D42" s="46"/>
      <c r="E42" s="46"/>
      <c r="F42" s="46"/>
      <c r="H42" s="695"/>
      <c r="I42" s="696"/>
      <c r="J42" s="696"/>
      <c r="K42" s="695"/>
      <c r="L42" s="67"/>
      <c r="M42" s="67"/>
    </row>
    <row r="43" spans="1:13" ht="13.8">
      <c r="A43" s="1088" t="s">
        <v>328</v>
      </c>
      <c r="B43" s="1089"/>
      <c r="C43" s="1089"/>
      <c r="D43" s="1089"/>
      <c r="E43" s="46"/>
      <c r="F43" s="46"/>
      <c r="H43" s="695"/>
      <c r="I43" s="696"/>
      <c r="J43" s="696"/>
      <c r="K43" s="695"/>
      <c r="L43" s="67"/>
      <c r="M43" s="67"/>
    </row>
    <row r="44" spans="1:13" ht="13.8">
      <c r="A44" s="852" t="s">
        <v>360</v>
      </c>
      <c r="B44" s="852" t="s">
        <v>357</v>
      </c>
      <c r="C44" s="46"/>
      <c r="D44" s="46"/>
      <c r="E44" s="46"/>
      <c r="F44" s="46"/>
      <c r="H44" s="695"/>
      <c r="I44" s="696"/>
      <c r="J44" s="696"/>
      <c r="K44" s="695"/>
      <c r="L44" s="67"/>
      <c r="M44" s="67"/>
    </row>
    <row r="45" spans="1:13" ht="13.8">
      <c r="A45" s="853" t="str">
        <f>CONCATENATE("1/",TRUNC('Damage classification-Rankin'!G1036,0))</f>
        <v>1/2902</v>
      </c>
      <c r="B45" s="853">
        <f>'Damage classification-Rankin'!AO18</f>
        <v>29.187980224351527</v>
      </c>
      <c r="C45" s="46"/>
      <c r="D45" s="46"/>
      <c r="E45" s="46"/>
      <c r="F45" s="46"/>
      <c r="H45" s="695"/>
      <c r="I45" s="696"/>
      <c r="J45" s="696"/>
      <c r="K45" s="695"/>
      <c r="L45" s="67"/>
      <c r="M45" s="67"/>
    </row>
    <row r="46" spans="1:13">
      <c r="A46" s="745" t="s">
        <v>324</v>
      </c>
      <c r="B46" s="745">
        <f>IF(F14=2.6,"",'Damage classification-Rankin'!AL20)</f>
        <v>1</v>
      </c>
      <c r="C46" s="745">
        <f>IF(F14=2.6,"",'Damage classification-Rankin'!AN20)</f>
        <v>2</v>
      </c>
      <c r="D46" s="613"/>
      <c r="E46" s="46"/>
      <c r="F46" s="46"/>
      <c r="H46" s="695"/>
      <c r="I46" s="696"/>
      <c r="J46" s="696"/>
      <c r="K46" s="695"/>
      <c r="L46" s="67"/>
      <c r="M46" s="67"/>
    </row>
    <row r="47" spans="1:13">
      <c r="A47" s="745" t="s">
        <v>325</v>
      </c>
      <c r="B47" s="745" t="str">
        <f>IF(F14=2.6,"",'Damage classification-Rankin'!AL19)</f>
        <v>Negligible</v>
      </c>
      <c r="C47" s="746" t="str">
        <f>IF(F14=2.6,"",'Damage classification-Rankin'!AN19)</f>
        <v>Slight</v>
      </c>
      <c r="D47" s="613"/>
      <c r="E47" s="46"/>
      <c r="F47" s="46"/>
      <c r="H47" s="845"/>
      <c r="I47" s="846"/>
      <c r="J47" s="696"/>
      <c r="K47" s="695"/>
      <c r="L47" s="67"/>
      <c r="M47" s="67"/>
    </row>
    <row r="48" spans="1:13">
      <c r="A48" s="73"/>
      <c r="B48" s="73"/>
      <c r="C48" s="73"/>
      <c r="D48" s="46"/>
      <c r="E48" s="46"/>
      <c r="F48" s="46"/>
      <c r="H48" s="845"/>
      <c r="I48" s="846"/>
      <c r="J48" s="696"/>
      <c r="K48" s="695"/>
      <c r="L48" s="46"/>
      <c r="M48" s="46"/>
    </row>
    <row r="49" spans="1:11">
      <c r="A49" s="1087" t="s">
        <v>326</v>
      </c>
      <c r="B49" s="1087"/>
      <c r="C49" s="1087"/>
      <c r="D49" s="46"/>
      <c r="E49" s="46"/>
      <c r="F49" s="46"/>
      <c r="H49" s="42"/>
      <c r="I49" s="847"/>
      <c r="K49" s="684"/>
    </row>
    <row r="50" spans="1:11" ht="14.4">
      <c r="A50" s="1067" t="s">
        <v>358</v>
      </c>
      <c r="B50" s="1068"/>
      <c r="C50" s="859">
        <f>'Burland damage classification'!FD80</f>
        <v>6.9044338690355103E-2</v>
      </c>
      <c r="D50" s="46"/>
      <c r="E50" s="46"/>
      <c r="F50" s="46"/>
      <c r="H50" s="511"/>
      <c r="I50" s="347"/>
      <c r="J50" s="493"/>
      <c r="K50" s="493"/>
    </row>
    <row r="51" spans="1:11" ht="13.8">
      <c r="A51" s="1070" t="s">
        <v>348</v>
      </c>
      <c r="B51" s="1070"/>
      <c r="C51" s="851">
        <f>'Burland damage classification'!FE80</f>
        <v>2</v>
      </c>
      <c r="D51" s="46"/>
      <c r="E51" s="46"/>
      <c r="F51" s="46"/>
      <c r="H51" s="340"/>
      <c r="I51" s="340"/>
    </row>
    <row r="52" spans="1:11" ht="13.8">
      <c r="A52" s="1071" t="s">
        <v>359</v>
      </c>
      <c r="B52" s="1071"/>
      <c r="C52" s="855" t="str">
        <f>'Burland damage classification'!FF80</f>
        <v>Slight</v>
      </c>
      <c r="D52" s="46"/>
      <c r="E52" s="46"/>
      <c r="F52" s="46"/>
      <c r="H52" s="340"/>
      <c r="I52" s="340"/>
    </row>
    <row r="53" spans="1:11">
      <c r="A53" s="46"/>
      <c r="B53" s="46"/>
      <c r="C53" s="46"/>
      <c r="D53" s="46"/>
      <c r="E53" s="46"/>
      <c r="F53" s="46"/>
      <c r="G53" s="46"/>
      <c r="H53" s="340"/>
      <c r="I53" s="340"/>
    </row>
    <row r="54" spans="1:11">
      <c r="A54" s="46"/>
      <c r="B54" s="46"/>
      <c r="C54" s="46"/>
      <c r="D54" s="46"/>
      <c r="E54" s="46"/>
      <c r="F54" s="46"/>
      <c r="H54" s="340"/>
      <c r="I54" s="340"/>
    </row>
    <row r="55" spans="1:11">
      <c r="H55" s="340"/>
      <c r="I55" s="340"/>
    </row>
    <row r="57" spans="1:11" ht="13.8">
      <c r="A57" s="827"/>
      <c r="B57" s="828"/>
    </row>
    <row r="109" spans="1:2" ht="13.8">
      <c r="A109" s="827"/>
      <c r="B109" s="828"/>
    </row>
    <row r="129" spans="16:24">
      <c r="P129" s="46"/>
      <c r="Q129" s="46"/>
      <c r="R129" s="46"/>
      <c r="S129" s="46"/>
      <c r="T129" s="46"/>
      <c r="U129" s="46"/>
      <c r="V129" s="46"/>
      <c r="W129" s="46"/>
      <c r="X129" s="46"/>
    </row>
    <row r="130" spans="16:24">
      <c r="P130" s="46"/>
      <c r="Q130" s="46"/>
      <c r="R130" s="46"/>
      <c r="S130" s="46"/>
      <c r="T130" s="46"/>
      <c r="U130" s="46"/>
      <c r="V130" s="46"/>
      <c r="W130" s="46"/>
      <c r="X130" s="46"/>
    </row>
    <row r="131" spans="16:24">
      <c r="P131" s="46"/>
      <c r="Q131" s="46"/>
      <c r="R131" s="46"/>
      <c r="S131" s="46"/>
      <c r="T131" s="46"/>
      <c r="U131" s="46"/>
      <c r="V131" s="46"/>
      <c r="W131" s="46"/>
      <c r="X131" s="46"/>
    </row>
    <row r="132" spans="16:24">
      <c r="P132" s="46"/>
      <c r="Q132" s="697"/>
      <c r="R132" s="690"/>
      <c r="S132" s="46"/>
      <c r="T132" s="46"/>
      <c r="U132" s="46"/>
      <c r="V132" s="46"/>
      <c r="W132" s="46"/>
      <c r="X132" s="46"/>
    </row>
    <row r="133" spans="16:24">
      <c r="P133" s="46"/>
      <c r="Q133" s="130"/>
      <c r="R133" s="130"/>
      <c r="S133" s="46"/>
      <c r="T133" s="46"/>
      <c r="U133" s="46"/>
      <c r="V133" s="46"/>
      <c r="W133" s="46"/>
      <c r="X133" s="46"/>
    </row>
    <row r="134" spans="16:24">
      <c r="P134" s="46"/>
      <c r="Q134" s="696"/>
      <c r="R134" s="696"/>
      <c r="S134" s="46"/>
      <c r="T134" s="46"/>
      <c r="U134" s="46"/>
      <c r="V134" s="46"/>
      <c r="W134" s="46"/>
      <c r="X134" s="46"/>
    </row>
    <row r="135" spans="16:24">
      <c r="P135" s="46"/>
      <c r="Q135" s="696"/>
      <c r="R135" s="696"/>
      <c r="S135" s="46"/>
      <c r="T135" s="46"/>
      <c r="U135" s="46"/>
      <c r="V135" s="46"/>
      <c r="W135" s="46"/>
      <c r="X135" s="46"/>
    </row>
    <row r="136" spans="16:24">
      <c r="P136" s="46"/>
      <c r="Q136" s="696"/>
      <c r="R136" s="696"/>
      <c r="S136" s="46"/>
      <c r="T136" s="46"/>
      <c r="U136" s="46"/>
      <c r="V136" s="46"/>
      <c r="W136" s="46"/>
      <c r="X136" s="46"/>
    </row>
    <row r="137" spans="16:24">
      <c r="P137" s="46"/>
      <c r="Q137" s="696"/>
      <c r="R137" s="696"/>
      <c r="S137" s="46"/>
      <c r="T137" s="46"/>
      <c r="U137" s="46"/>
      <c r="V137" s="46"/>
      <c r="W137" s="46"/>
      <c r="X137" s="46"/>
    </row>
    <row r="138" spans="16:24">
      <c r="P138" s="46"/>
      <c r="Q138" s="696"/>
      <c r="R138" s="696"/>
      <c r="S138" s="46"/>
      <c r="T138" s="46"/>
      <c r="U138" s="46"/>
      <c r="V138" s="46"/>
      <c r="W138" s="46"/>
      <c r="X138" s="46"/>
    </row>
    <row r="139" spans="16:24">
      <c r="P139" s="46"/>
      <c r="Q139" s="696"/>
      <c r="R139" s="696"/>
      <c r="S139" s="46"/>
      <c r="T139" s="46"/>
      <c r="U139" s="46"/>
      <c r="V139" s="46"/>
      <c r="W139" s="46"/>
      <c r="X139" s="46"/>
    </row>
    <row r="140" spans="16:24">
      <c r="P140" s="46"/>
      <c r="Q140" s="696"/>
      <c r="R140" s="696"/>
      <c r="S140" s="46"/>
      <c r="T140" s="46"/>
      <c r="U140" s="46"/>
      <c r="V140" s="46"/>
      <c r="W140" s="46"/>
      <c r="X140" s="46"/>
    </row>
    <row r="141" spans="16:24">
      <c r="P141" s="46"/>
      <c r="Q141" s="696"/>
      <c r="R141" s="696"/>
      <c r="S141" s="46"/>
      <c r="T141" s="46"/>
      <c r="U141" s="46"/>
      <c r="V141" s="46"/>
      <c r="W141" s="46"/>
      <c r="X141" s="46"/>
    </row>
    <row r="142" spans="16:24">
      <c r="P142" s="46"/>
      <c r="Q142" s="696"/>
      <c r="R142" s="696"/>
      <c r="S142" s="46"/>
      <c r="T142" s="46"/>
      <c r="U142" s="46"/>
      <c r="V142" s="46"/>
      <c r="W142" s="46"/>
      <c r="X142" s="46"/>
    </row>
    <row r="143" spans="16:24">
      <c r="P143" s="46"/>
      <c r="Q143" s="696"/>
      <c r="R143" s="696"/>
      <c r="S143" s="46"/>
      <c r="T143" s="46"/>
      <c r="U143" s="46"/>
      <c r="V143" s="46"/>
      <c r="W143" s="46"/>
      <c r="X143" s="46"/>
    </row>
    <row r="144" spans="16:24">
      <c r="P144" s="46"/>
      <c r="Q144" s="696"/>
      <c r="R144" s="696"/>
      <c r="S144" s="46"/>
      <c r="T144" s="46"/>
      <c r="U144" s="46"/>
      <c r="V144" s="46"/>
      <c r="W144" s="46"/>
      <c r="X144" s="46"/>
    </row>
    <row r="145" spans="16:24">
      <c r="P145" s="46"/>
      <c r="Q145" s="696"/>
      <c r="R145" s="696"/>
      <c r="S145" s="46"/>
      <c r="T145" s="46"/>
      <c r="U145" s="46"/>
      <c r="V145" s="46"/>
      <c r="W145" s="46"/>
      <c r="X145" s="46"/>
    </row>
    <row r="146" spans="16:24">
      <c r="P146" s="46"/>
      <c r="Q146" s="696"/>
      <c r="R146" s="696"/>
      <c r="S146" s="46"/>
      <c r="T146" s="46"/>
      <c r="U146" s="46"/>
      <c r="V146" s="46"/>
      <c r="W146" s="46"/>
      <c r="X146" s="46"/>
    </row>
    <row r="147" spans="16:24">
      <c r="P147" s="46"/>
      <c r="Q147" s="696"/>
      <c r="R147" s="696"/>
      <c r="S147" s="46"/>
      <c r="T147" s="46"/>
      <c r="U147" s="46"/>
      <c r="V147" s="46"/>
      <c r="W147" s="46"/>
      <c r="X147" s="46"/>
    </row>
    <row r="148" spans="16:24">
      <c r="P148" s="46"/>
      <c r="Q148" s="696"/>
      <c r="R148" s="696"/>
      <c r="S148" s="46"/>
      <c r="T148" s="46"/>
      <c r="U148" s="46"/>
      <c r="V148" s="46"/>
      <c r="W148" s="46"/>
      <c r="X148" s="46"/>
    </row>
    <row r="149" spans="16:24">
      <c r="P149" s="46"/>
      <c r="Q149" s="696"/>
      <c r="R149" s="696"/>
      <c r="S149" s="46"/>
      <c r="T149" s="46"/>
      <c r="U149" s="46"/>
      <c r="V149" s="46"/>
      <c r="W149" s="46"/>
      <c r="X149" s="46"/>
    </row>
    <row r="150" spans="16:24">
      <c r="P150" s="46"/>
      <c r="Q150" s="696"/>
      <c r="R150" s="696"/>
      <c r="S150" s="46"/>
      <c r="T150" s="46"/>
      <c r="U150" s="46"/>
      <c r="V150" s="46"/>
      <c r="W150" s="46"/>
      <c r="X150" s="46"/>
    </row>
    <row r="151" spans="16:24">
      <c r="P151" s="46"/>
      <c r="Q151" s="696"/>
      <c r="R151" s="696"/>
      <c r="S151" s="46"/>
      <c r="T151" s="46"/>
      <c r="U151" s="46"/>
      <c r="V151" s="46"/>
      <c r="W151" s="46"/>
      <c r="X151" s="46"/>
    </row>
    <row r="152" spans="16:24">
      <c r="P152" s="46"/>
      <c r="Q152" s="696"/>
      <c r="R152" s="696"/>
      <c r="S152" s="46"/>
      <c r="T152" s="46"/>
      <c r="U152" s="46"/>
      <c r="V152" s="46"/>
      <c r="W152" s="46"/>
      <c r="X152" s="46"/>
    </row>
    <row r="153" spans="16:24">
      <c r="P153" s="46"/>
      <c r="Q153" s="696"/>
      <c r="R153" s="696"/>
      <c r="S153" s="46"/>
      <c r="T153" s="46"/>
      <c r="U153" s="46"/>
      <c r="V153" s="46"/>
      <c r="W153" s="46"/>
      <c r="X153" s="46"/>
    </row>
    <row r="154" spans="16:24">
      <c r="P154" s="46"/>
      <c r="Q154" s="696"/>
      <c r="R154" s="696"/>
      <c r="S154" s="46"/>
      <c r="T154" s="46"/>
      <c r="U154" s="46"/>
      <c r="V154" s="46"/>
      <c r="W154" s="46"/>
      <c r="X154" s="46"/>
    </row>
    <row r="155" spans="16:24">
      <c r="P155" s="46"/>
      <c r="Q155" s="696"/>
      <c r="R155" s="696"/>
      <c r="S155" s="46"/>
      <c r="T155" s="46"/>
      <c r="U155" s="46"/>
      <c r="V155" s="46"/>
      <c r="W155" s="46"/>
      <c r="X155" s="46"/>
    </row>
    <row r="156" spans="16:24">
      <c r="P156" s="46"/>
      <c r="Q156" s="696"/>
      <c r="R156" s="696"/>
      <c r="S156" s="46"/>
      <c r="T156" s="46"/>
      <c r="U156" s="46"/>
      <c r="V156" s="46"/>
      <c r="W156" s="46"/>
      <c r="X156" s="46"/>
    </row>
    <row r="157" spans="16:24">
      <c r="P157" s="46"/>
      <c r="Q157" s="696"/>
      <c r="R157" s="696"/>
      <c r="S157" s="46"/>
      <c r="T157" s="46"/>
      <c r="U157" s="46"/>
      <c r="V157" s="46"/>
      <c r="W157" s="46"/>
      <c r="X157" s="46"/>
    </row>
    <row r="158" spans="16:24">
      <c r="P158" s="46"/>
      <c r="Q158" s="696"/>
      <c r="R158" s="696"/>
      <c r="S158" s="46"/>
      <c r="T158" s="46"/>
      <c r="U158" s="46"/>
      <c r="V158" s="46"/>
      <c r="W158" s="46"/>
      <c r="X158" s="46"/>
    </row>
    <row r="159" spans="16:24">
      <c r="P159" s="46"/>
      <c r="Q159" s="696"/>
      <c r="R159" s="696"/>
      <c r="S159" s="46"/>
      <c r="T159" s="46"/>
      <c r="U159" s="46"/>
      <c r="V159" s="46"/>
      <c r="W159" s="46"/>
      <c r="X159" s="46"/>
    </row>
    <row r="160" spans="16:24">
      <c r="P160" s="46"/>
      <c r="Q160" s="696"/>
      <c r="R160" s="696"/>
      <c r="S160" s="46"/>
      <c r="T160" s="46"/>
      <c r="U160" s="46"/>
      <c r="V160" s="46"/>
      <c r="W160" s="46"/>
      <c r="X160" s="46"/>
    </row>
    <row r="161" spans="1:24">
      <c r="P161" s="46"/>
      <c r="Q161" s="696"/>
      <c r="R161" s="696"/>
      <c r="S161" s="46"/>
      <c r="T161" s="46"/>
      <c r="U161" s="46"/>
      <c r="V161" s="46"/>
      <c r="W161" s="46"/>
      <c r="X161" s="46"/>
    </row>
    <row r="162" spans="1:24">
      <c r="P162" s="46"/>
      <c r="Q162" s="696"/>
      <c r="R162" s="696"/>
      <c r="S162" s="46"/>
      <c r="T162" s="46"/>
      <c r="U162" s="46"/>
      <c r="V162" s="46"/>
      <c r="W162" s="46"/>
      <c r="X162" s="46"/>
    </row>
    <row r="163" spans="1:24">
      <c r="P163" s="46"/>
      <c r="Q163" s="696"/>
      <c r="R163" s="696"/>
      <c r="S163" s="46"/>
      <c r="T163" s="46"/>
      <c r="U163" s="46"/>
      <c r="V163" s="46"/>
      <c r="W163" s="46"/>
      <c r="X163" s="46"/>
    </row>
    <row r="164" spans="1:24">
      <c r="P164" s="46"/>
      <c r="Q164" s="696"/>
      <c r="R164" s="696"/>
      <c r="S164" s="46"/>
      <c r="T164" s="46"/>
      <c r="U164" s="46"/>
      <c r="V164" s="46"/>
      <c r="W164" s="46"/>
      <c r="X164" s="46"/>
    </row>
    <row r="165" spans="1:24">
      <c r="P165" s="46"/>
      <c r="Q165" s="696"/>
      <c r="R165" s="696"/>
      <c r="S165" s="46"/>
      <c r="T165" s="46"/>
      <c r="U165" s="46"/>
      <c r="V165" s="46"/>
      <c r="W165" s="46"/>
      <c r="X165" s="46"/>
    </row>
    <row r="166" spans="1:24">
      <c r="K166" s="493"/>
      <c r="L166" s="493"/>
      <c r="M166" s="493"/>
      <c r="N166" s="493"/>
      <c r="O166" s="493"/>
      <c r="P166" s="73"/>
      <c r="Q166" s="46"/>
      <c r="R166" s="46"/>
      <c r="S166" s="46"/>
      <c r="T166" s="46"/>
      <c r="U166" s="46"/>
      <c r="V166" s="46"/>
      <c r="W166" s="46"/>
      <c r="X166" s="46"/>
    </row>
    <row r="167" spans="1:24">
      <c r="P167" s="46"/>
      <c r="Q167" s="46"/>
      <c r="R167" s="46"/>
      <c r="S167" s="46"/>
      <c r="T167" s="46"/>
      <c r="U167" s="46"/>
      <c r="V167" s="46"/>
      <c r="W167" s="46"/>
      <c r="X167" s="46"/>
    </row>
    <row r="168" spans="1:24" ht="13.8">
      <c r="A168" s="827"/>
      <c r="B168" s="828"/>
      <c r="P168" s="46"/>
      <c r="Q168" s="46"/>
      <c r="R168" s="46"/>
      <c r="S168" s="46"/>
      <c r="T168" s="46"/>
      <c r="U168" s="46"/>
      <c r="V168" s="46"/>
      <c r="W168" s="46"/>
      <c r="X168" s="46"/>
    </row>
    <row r="169" spans="1:24">
      <c r="P169" s="46"/>
      <c r="Q169" s="46"/>
      <c r="R169" s="46"/>
      <c r="S169" s="46"/>
      <c r="T169" s="46"/>
      <c r="U169" s="46"/>
      <c r="V169" s="46"/>
      <c r="W169" s="46"/>
      <c r="X169" s="46"/>
    </row>
    <row r="170" spans="1:24">
      <c r="P170" s="46"/>
      <c r="Q170" s="46"/>
      <c r="R170" s="46"/>
      <c r="S170" s="46"/>
      <c r="T170" s="46"/>
      <c r="U170" s="46"/>
      <c r="V170" s="46"/>
      <c r="W170" s="46"/>
      <c r="X170" s="46"/>
    </row>
    <row r="171" spans="1:24">
      <c r="P171" s="46"/>
      <c r="Q171" s="46"/>
      <c r="R171" s="46"/>
      <c r="S171" s="46"/>
      <c r="T171" s="46"/>
      <c r="U171" s="46"/>
      <c r="V171" s="46"/>
      <c r="W171" s="46"/>
      <c r="X171" s="46"/>
    </row>
    <row r="172" spans="1:24">
      <c r="P172" s="46"/>
      <c r="Q172" s="46"/>
      <c r="R172" s="46"/>
      <c r="S172" s="46"/>
      <c r="T172" s="46"/>
      <c r="U172" s="46"/>
      <c r="V172" s="46"/>
      <c r="W172" s="46"/>
      <c r="X172" s="46"/>
    </row>
    <row r="173" spans="1:24">
      <c r="P173" s="46"/>
      <c r="Q173" s="46"/>
      <c r="R173" s="46"/>
      <c r="S173" s="46"/>
      <c r="T173" s="46"/>
      <c r="U173" s="46"/>
      <c r="V173" s="46"/>
      <c r="W173" s="46"/>
      <c r="X173" s="46"/>
    </row>
    <row r="174" spans="1:24">
      <c r="P174" s="46"/>
      <c r="Q174" s="46"/>
      <c r="R174" s="46"/>
      <c r="S174" s="46"/>
      <c r="T174" s="46"/>
      <c r="U174" s="46"/>
      <c r="V174" s="46"/>
      <c r="W174" s="46"/>
      <c r="X174" s="46"/>
    </row>
    <row r="175" spans="1:24">
      <c r="P175" s="46"/>
      <c r="Q175" s="46"/>
      <c r="R175" s="46"/>
      <c r="S175" s="46"/>
      <c r="T175" s="46"/>
      <c r="U175" s="46"/>
      <c r="V175" s="46"/>
      <c r="W175" s="46"/>
      <c r="X175" s="46"/>
    </row>
    <row r="176" spans="1:24">
      <c r="P176" s="46"/>
      <c r="Q176" s="46"/>
      <c r="R176" s="46"/>
      <c r="S176" s="46"/>
      <c r="T176" s="46"/>
      <c r="U176" s="46"/>
      <c r="V176" s="46"/>
      <c r="W176" s="46"/>
      <c r="X176" s="46"/>
    </row>
  </sheetData>
  <mergeCells count="27">
    <mergeCell ref="S1:T1"/>
    <mergeCell ref="P6:R9"/>
    <mergeCell ref="E12:F13"/>
    <mergeCell ref="A11:F11"/>
    <mergeCell ref="C9:D9"/>
    <mergeCell ref="B1:F2"/>
    <mergeCell ref="A41:F41"/>
    <mergeCell ref="A23:B24"/>
    <mergeCell ref="A34:F34"/>
    <mergeCell ref="E38:F39"/>
    <mergeCell ref="A22:F22"/>
    <mergeCell ref="A50:B50"/>
    <mergeCell ref="P10:R10"/>
    <mergeCell ref="A51:B51"/>
    <mergeCell ref="A52:B52"/>
    <mergeCell ref="A40:F40"/>
    <mergeCell ref="C28:E28"/>
    <mergeCell ref="C37:E37"/>
    <mergeCell ref="C32:E32"/>
    <mergeCell ref="A19:B20"/>
    <mergeCell ref="E29:F30"/>
    <mergeCell ref="A25:F25"/>
    <mergeCell ref="A16:C16"/>
    <mergeCell ref="A17:C17"/>
    <mergeCell ref="A49:C49"/>
    <mergeCell ref="A43:D43"/>
    <mergeCell ref="A39:B39"/>
  </mergeCells>
  <phoneticPr fontId="5" type="noConversion"/>
  <printOptions horizontalCentered="1"/>
  <pageMargins left="0.23622047244094488" right="0.23622047244094488" top="0.3543307086614173" bottom="0.3543307086614173" header="0.31496062992125984" footer="0.31496062992125984"/>
  <pageSetup paperSize="9" orientation="portrait" r:id="rId1"/>
  <headerFooter alignWithMargins="0"/>
  <rowBreaks count="1" manualBreakCount="1">
    <brk id="108" max="16383" man="1"/>
  </rowBreaks>
  <colBreaks count="2" manualBreakCount="2">
    <brk id="6" max="1048575" man="1"/>
    <brk id="12" max="1048575" man="1"/>
  </colBreaks>
  <drawing r:id="rId2"/>
  <legacyDrawing r:id="rId3"/>
  <controls>
    <mc:AlternateContent xmlns:mc="http://schemas.openxmlformats.org/markup-compatibility/2006">
      <mc:Choice Requires="x14">
        <control shapeId="11322" r:id="rId4" name="CheckBox1">
          <controlPr defaultSize="0" autoFill="0" autoLine="0" altText="Yes" linkedCell="H1" r:id="rId5">
            <anchor moveWithCells="1">
              <from>
                <xdr:col>1</xdr:col>
                <xdr:colOff>883920</xdr:colOff>
                <xdr:row>22</xdr:row>
                <xdr:rowOff>30480</xdr:rowOff>
              </from>
              <to>
                <xdr:col>2</xdr:col>
                <xdr:colOff>45720</xdr:colOff>
                <xdr:row>23</xdr:row>
                <xdr:rowOff>152400</xdr:rowOff>
              </to>
            </anchor>
          </controlPr>
        </control>
      </mc:Choice>
      <mc:Fallback>
        <control shapeId="11322" r:id="rId4" name="CheckBox1"/>
      </mc:Fallback>
    </mc:AlternateContent>
    <mc:AlternateContent xmlns:mc="http://schemas.openxmlformats.org/markup-compatibility/2006">
      <mc:Choice Requires="x14">
        <control shapeId="11292" r:id="rId6" name="Option Button 28">
          <controlPr defaultSize="0" autoFill="0" autoLine="0" autoPict="0">
            <anchor moveWithCells="1" sizeWithCells="1">
              <from>
                <xdr:col>2</xdr:col>
                <xdr:colOff>137160</xdr:colOff>
                <xdr:row>18</xdr:row>
                <xdr:rowOff>60960</xdr:rowOff>
              </from>
              <to>
                <xdr:col>2</xdr:col>
                <xdr:colOff>914400</xdr:colOff>
                <xdr:row>19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93" r:id="rId7" name="Option Button 29">
          <controlPr defaultSize="0" autoFill="0" autoLine="0" autoPict="0">
            <anchor moveWithCells="1" sizeWithCells="1">
              <from>
                <xdr:col>2</xdr:col>
                <xdr:colOff>1051560</xdr:colOff>
                <xdr:row>18</xdr:row>
                <xdr:rowOff>60960</xdr:rowOff>
              </from>
              <to>
                <xdr:col>3</xdr:col>
                <xdr:colOff>381000</xdr:colOff>
                <xdr:row>19</xdr:row>
                <xdr:rowOff>137160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0"/>
  <dimension ref="A1:S216"/>
  <sheetViews>
    <sheetView zoomScale="25" zoomScaleNormal="25" workbookViewId="0">
      <selection activeCell="S32" sqref="S32"/>
    </sheetView>
  </sheetViews>
  <sheetFormatPr defaultColWidth="8" defaultRowHeight="13.2"/>
  <cols>
    <col min="1" max="1" width="25.44140625" style="2" customWidth="1"/>
    <col min="2" max="2" width="17.88671875" style="2" customWidth="1"/>
    <col min="3" max="10" width="10.109375" style="2" customWidth="1"/>
    <col min="11" max="19" width="10.109375" style="154" customWidth="1"/>
    <col min="20" max="23" width="10.109375" style="2" customWidth="1"/>
    <col min="24" max="16384" width="8" style="2"/>
  </cols>
  <sheetData>
    <row r="1" spans="1:19" ht="20.100000000000001" customHeight="1">
      <c r="A1" s="143" t="s">
        <v>34</v>
      </c>
      <c r="B1" s="144" t="s">
        <v>35</v>
      </c>
      <c r="C1" s="145">
        <f>+'IN-OUT'!B35</f>
        <v>7.5</v>
      </c>
      <c r="D1" s="146" t="s">
        <v>9</v>
      </c>
    </row>
    <row r="2" spans="1:19" ht="20.100000000000001" customHeight="1">
      <c r="A2" s="143" t="s">
        <v>36</v>
      </c>
      <c r="B2" s="144" t="s">
        <v>37</v>
      </c>
      <c r="C2" s="145">
        <f>+'IN-OUT'!B36</f>
        <v>0</v>
      </c>
      <c r="D2" s="146" t="s">
        <v>9</v>
      </c>
    </row>
    <row r="3" spans="1:19" ht="20.100000000000001" customHeight="1">
      <c r="A3" s="147" t="s">
        <v>38</v>
      </c>
      <c r="B3" s="148" t="s">
        <v>39</v>
      </c>
      <c r="C3" s="149">
        <f>+'IN-OUT'!B37</f>
        <v>0</v>
      </c>
      <c r="D3" s="146" t="s">
        <v>9</v>
      </c>
      <c r="H3" s="1"/>
      <c r="I3" s="1"/>
      <c r="J3" s="1"/>
    </row>
    <row r="4" spans="1:19" ht="20.100000000000001" customHeight="1">
      <c r="A4" s="150" t="s">
        <v>0</v>
      </c>
      <c r="B4" s="150">
        <f>+C1+(C2+C3)*2</f>
        <v>7.5</v>
      </c>
      <c r="C4" s="150" t="s">
        <v>1</v>
      </c>
      <c r="D4" s="150">
        <f>+B4^2/4*PI()</f>
        <v>44.178646691106465</v>
      </c>
      <c r="E4" s="1"/>
      <c r="F4" s="1"/>
      <c r="G4" s="1"/>
      <c r="H4" s="1"/>
      <c r="I4" s="1"/>
      <c r="J4" s="1"/>
    </row>
    <row r="5" spans="1:19" s="1" customFormat="1" ht="20.100000000000001" customHeight="1">
      <c r="A5" s="1114" t="s">
        <v>2</v>
      </c>
      <c r="B5" s="1114"/>
      <c r="C5" s="183">
        <f>+'IN-OUT'!F27*100</f>
        <v>1</v>
      </c>
      <c r="D5" s="183">
        <f>+C5</f>
        <v>1</v>
      </c>
      <c r="E5" s="183">
        <f>+C5</f>
        <v>1</v>
      </c>
      <c r="F5" s="183">
        <f>+C5</f>
        <v>1</v>
      </c>
      <c r="G5" s="183">
        <f>+C5</f>
        <v>1</v>
      </c>
      <c r="H5" s="183">
        <f>+C5</f>
        <v>1</v>
      </c>
      <c r="I5" s="184">
        <f>+C5</f>
        <v>1</v>
      </c>
      <c r="J5" s="183">
        <f>+C5</f>
        <v>1</v>
      </c>
      <c r="K5" s="155"/>
      <c r="L5" s="155"/>
      <c r="M5" s="155"/>
      <c r="N5" s="155"/>
      <c r="O5" s="155"/>
      <c r="P5" s="155"/>
      <c r="Q5" s="155"/>
      <c r="R5" s="155"/>
      <c r="S5" s="155"/>
    </row>
    <row r="6" spans="1:19" s="1" customFormat="1" ht="20.100000000000001" customHeight="1">
      <c r="A6" s="3" t="s">
        <v>145</v>
      </c>
      <c r="B6" s="4" t="s">
        <v>3</v>
      </c>
      <c r="C6" s="4">
        <v>0.5</v>
      </c>
      <c r="D6" s="4">
        <v>0.7</v>
      </c>
      <c r="E6" s="4">
        <v>1</v>
      </c>
      <c r="F6" s="4">
        <v>1.5</v>
      </c>
      <c r="G6" s="4">
        <v>2</v>
      </c>
      <c r="H6" s="4">
        <v>2.5</v>
      </c>
      <c r="I6" s="4">
        <v>3</v>
      </c>
      <c r="J6" s="4">
        <v>3.5</v>
      </c>
      <c r="K6" s="155"/>
      <c r="L6" s="155"/>
      <c r="M6" s="155"/>
      <c r="N6" s="155"/>
      <c r="O6" s="155"/>
      <c r="P6" s="155"/>
      <c r="Q6" s="155"/>
      <c r="R6" s="155"/>
      <c r="S6" s="155"/>
    </row>
    <row r="7" spans="1:19" s="1" customFormat="1" ht="20.100000000000001" customHeight="1">
      <c r="K7" s="156"/>
      <c r="L7" s="155"/>
      <c r="M7" s="155"/>
      <c r="N7" s="155"/>
      <c r="O7" s="155"/>
      <c r="P7" s="155"/>
      <c r="Q7" s="155"/>
      <c r="R7" s="155"/>
      <c r="S7" s="155"/>
    </row>
    <row r="8" spans="1:19" s="1" customFormat="1" ht="20.100000000000001" customHeight="1">
      <c r="B8" s="151" t="s">
        <v>4</v>
      </c>
      <c r="C8" s="153">
        <f>+'IN-OUT'!D26</f>
        <v>0.45</v>
      </c>
      <c r="D8" s="153">
        <f>+$C$8</f>
        <v>0.45</v>
      </c>
      <c r="E8" s="153">
        <f t="shared" ref="E8:J8" si="0">+$C$8</f>
        <v>0.45</v>
      </c>
      <c r="F8" s="153">
        <f t="shared" si="0"/>
        <v>0.45</v>
      </c>
      <c r="G8" s="153">
        <f t="shared" si="0"/>
        <v>0.45</v>
      </c>
      <c r="H8" s="153">
        <f t="shared" si="0"/>
        <v>0.45</v>
      </c>
      <c r="I8" s="153">
        <f t="shared" si="0"/>
        <v>0.45</v>
      </c>
      <c r="J8" s="153">
        <f t="shared" si="0"/>
        <v>0.45</v>
      </c>
      <c r="K8" s="155"/>
      <c r="L8" s="155"/>
      <c r="M8" s="155"/>
      <c r="N8" s="155"/>
      <c r="O8" s="155"/>
      <c r="P8" s="155"/>
      <c r="Q8" s="155"/>
      <c r="R8" s="155"/>
      <c r="S8" s="155"/>
    </row>
    <row r="9" spans="1:19" s="1" customFormat="1" ht="20.100000000000001" customHeight="1">
      <c r="B9" s="151" t="s">
        <v>5</v>
      </c>
      <c r="C9" s="152">
        <f t="shared" ref="C9:J9" si="1">$B$4/2+$B$4*C6</f>
        <v>7.5</v>
      </c>
      <c r="D9" s="152">
        <f t="shared" si="1"/>
        <v>9</v>
      </c>
      <c r="E9" s="152">
        <f t="shared" si="1"/>
        <v>11.25</v>
      </c>
      <c r="F9" s="152">
        <f t="shared" si="1"/>
        <v>15</v>
      </c>
      <c r="G9" s="152">
        <f t="shared" si="1"/>
        <v>18.75</v>
      </c>
      <c r="H9" s="152">
        <f t="shared" si="1"/>
        <v>22.5</v>
      </c>
      <c r="I9" s="152">
        <f t="shared" si="1"/>
        <v>26.25</v>
      </c>
      <c r="J9" s="152">
        <f t="shared" si="1"/>
        <v>30</v>
      </c>
      <c r="K9" s="155"/>
      <c r="L9" s="155"/>
      <c r="M9" s="155"/>
      <c r="N9" s="155"/>
      <c r="O9" s="155"/>
      <c r="P9" s="155"/>
      <c r="Q9" s="155"/>
      <c r="R9" s="155"/>
      <c r="S9" s="155"/>
    </row>
    <row r="10" spans="1:19" s="5" customFormat="1" ht="20.100000000000001" customHeight="1">
      <c r="A10" s="1"/>
      <c r="B10" s="151" t="s">
        <v>6</v>
      </c>
      <c r="C10" s="152">
        <f t="shared" ref="C10:J10" si="2">+C8*C9</f>
        <v>3.375</v>
      </c>
      <c r="D10" s="152">
        <f t="shared" si="2"/>
        <v>4.05</v>
      </c>
      <c r="E10" s="152">
        <f t="shared" si="2"/>
        <v>5.0625</v>
      </c>
      <c r="F10" s="152">
        <f t="shared" si="2"/>
        <v>6.75</v>
      </c>
      <c r="G10" s="152">
        <f t="shared" si="2"/>
        <v>8.4375</v>
      </c>
      <c r="H10" s="152">
        <f t="shared" si="2"/>
        <v>10.125</v>
      </c>
      <c r="I10" s="152">
        <f t="shared" si="2"/>
        <v>11.8125</v>
      </c>
      <c r="J10" s="152">
        <f t="shared" si="2"/>
        <v>13.5</v>
      </c>
      <c r="K10" s="154"/>
      <c r="L10" s="154"/>
      <c r="M10" s="154"/>
      <c r="N10" s="154"/>
      <c r="O10" s="154"/>
      <c r="P10" s="154"/>
      <c r="Q10" s="154"/>
      <c r="R10" s="154"/>
      <c r="S10" s="154"/>
    </row>
    <row r="12" spans="1:19" ht="20.399999999999999">
      <c r="B12" s="142" t="s">
        <v>143</v>
      </c>
      <c r="C12" s="41">
        <f t="shared" ref="C12:J12" si="3">+(C5/100*PI()*$B$4^2/4)/(SQRT(2*PI())*C10)</f>
        <v>5.2221422388145859E-2</v>
      </c>
      <c r="D12" s="41">
        <f t="shared" si="3"/>
        <v>4.3517851990121544E-2</v>
      </c>
      <c r="E12" s="41">
        <f t="shared" si="3"/>
        <v>3.4814281592097235E-2</v>
      </c>
      <c r="F12" s="41">
        <f t="shared" si="3"/>
        <v>2.611071119407293E-2</v>
      </c>
      <c r="G12" s="41">
        <f t="shared" si="3"/>
        <v>2.0888568955258341E-2</v>
      </c>
      <c r="H12" s="41">
        <f t="shared" si="3"/>
        <v>1.7407140796048617E-2</v>
      </c>
      <c r="I12" s="41">
        <f t="shared" si="3"/>
        <v>1.4920406396613102E-2</v>
      </c>
      <c r="J12" s="41">
        <f t="shared" si="3"/>
        <v>1.3055355597036465E-2</v>
      </c>
      <c r="K12" s="157"/>
      <c r="L12" s="157"/>
      <c r="M12" s="157"/>
      <c r="N12" s="157"/>
      <c r="O12" s="157"/>
      <c r="P12" s="157"/>
      <c r="Q12" s="157"/>
      <c r="R12" s="157"/>
      <c r="S12" s="157"/>
    </row>
    <row r="13" spans="1:19">
      <c r="K13" s="157"/>
      <c r="L13" s="157"/>
      <c r="M13" s="157"/>
      <c r="N13" s="157"/>
      <c r="O13" s="157"/>
      <c r="P13" s="157"/>
      <c r="Q13" s="157"/>
      <c r="R13" s="157"/>
      <c r="S13" s="157"/>
    </row>
    <row r="14" spans="1:19">
      <c r="B14" s="161" t="s">
        <v>136</v>
      </c>
      <c r="C14" s="161" t="s">
        <v>144</v>
      </c>
      <c r="D14" s="161" t="s">
        <v>144</v>
      </c>
      <c r="E14" s="161" t="s">
        <v>144</v>
      </c>
      <c r="F14" s="161" t="s">
        <v>144</v>
      </c>
      <c r="G14" s="161" t="s">
        <v>144</v>
      </c>
      <c r="H14" s="161" t="s">
        <v>144</v>
      </c>
      <c r="I14" s="161" t="s">
        <v>144</v>
      </c>
      <c r="J14" s="161" t="s">
        <v>144</v>
      </c>
      <c r="K14" s="157"/>
      <c r="L14" s="157"/>
      <c r="M14" s="157"/>
      <c r="N14" s="157"/>
      <c r="O14" s="157"/>
      <c r="P14" s="157"/>
      <c r="Q14" s="157"/>
      <c r="R14" s="157"/>
      <c r="S14" s="157"/>
    </row>
    <row r="15" spans="1:19">
      <c r="B15" s="159" t="s">
        <v>9</v>
      </c>
      <c r="C15" s="159" t="s">
        <v>10</v>
      </c>
      <c r="D15" s="159" t="s">
        <v>10</v>
      </c>
      <c r="E15" s="159" t="s">
        <v>10</v>
      </c>
      <c r="F15" s="159" t="s">
        <v>10</v>
      </c>
      <c r="G15" s="159" t="s">
        <v>10</v>
      </c>
      <c r="H15" s="159" t="s">
        <v>10</v>
      </c>
      <c r="I15" s="159" t="s">
        <v>10</v>
      </c>
      <c r="J15" s="159" t="s">
        <v>10</v>
      </c>
      <c r="K15" s="157"/>
      <c r="L15" s="157"/>
      <c r="M15" s="157"/>
      <c r="N15" s="157"/>
      <c r="O15" s="157"/>
      <c r="P15" s="157"/>
      <c r="Q15" s="157"/>
      <c r="R15" s="157"/>
      <c r="S15" s="157"/>
    </row>
    <row r="16" spans="1:19">
      <c r="B16" s="160">
        <v>-50</v>
      </c>
      <c r="C16" s="160">
        <f t="shared" ref="C16:J25" si="4">-C$12*EXP((-($B16^2)/(2*C$10^2)))*1000</f>
        <v>-1.1445803695731549E-46</v>
      </c>
      <c r="D16" s="160">
        <f t="shared" si="4"/>
        <v>-3.4833660510973849E-32</v>
      </c>
      <c r="E16" s="160">
        <f t="shared" si="4"/>
        <v>-2.2902859179500746E-20</v>
      </c>
      <c r="F16" s="160">
        <f t="shared" si="4"/>
        <v>-3.1770064769852054E-11</v>
      </c>
      <c r="G16" s="160">
        <f t="shared" si="4"/>
        <v>-4.948075339080439E-7</v>
      </c>
      <c r="H16" s="160">
        <f t="shared" si="4"/>
        <v>-8.8157752222011137E-5</v>
      </c>
      <c r="I16" s="160">
        <f t="shared" si="4"/>
        <v>-1.9197006744129702E-3</v>
      </c>
      <c r="J16" s="160">
        <f t="shared" si="4"/>
        <v>-1.3711613256731776E-2</v>
      </c>
      <c r="K16" s="158"/>
      <c r="L16" s="158"/>
      <c r="M16" s="158"/>
      <c r="N16" s="158"/>
      <c r="O16" s="158"/>
      <c r="P16" s="158"/>
      <c r="Q16" s="158"/>
      <c r="R16" s="158"/>
      <c r="S16" s="158"/>
    </row>
    <row r="17" spans="2:19">
      <c r="B17" s="160">
        <v>-49.5</v>
      </c>
      <c r="C17" s="160">
        <f t="shared" si="4"/>
        <v>-1.0163994491027566E-45</v>
      </c>
      <c r="D17" s="160">
        <f t="shared" si="4"/>
        <v>-1.5871676929689183E-31</v>
      </c>
      <c r="E17" s="160">
        <f t="shared" si="4"/>
        <v>-6.0451749036181212E-20</v>
      </c>
      <c r="F17" s="160">
        <f t="shared" si="4"/>
        <v>-5.4843180431878832E-11</v>
      </c>
      <c r="G17" s="160">
        <f t="shared" si="4"/>
        <v>-7.0175126470923077E-7</v>
      </c>
      <c r="H17" s="160">
        <f t="shared" si="4"/>
        <v>-1.1236739177701235E-4</v>
      </c>
      <c r="I17" s="160">
        <f t="shared" si="4"/>
        <v>-2.2943274725664609E-3</v>
      </c>
      <c r="J17" s="160">
        <f t="shared" si="4"/>
        <v>-1.5716820321528668E-2</v>
      </c>
      <c r="K17" s="158"/>
      <c r="L17" s="158"/>
      <c r="M17" s="158"/>
      <c r="N17" s="158"/>
      <c r="O17" s="158"/>
      <c r="P17" s="158"/>
      <c r="Q17" s="158"/>
      <c r="R17" s="158"/>
      <c r="S17" s="158"/>
    </row>
    <row r="18" spans="2:19">
      <c r="B18" s="160">
        <v>-49</v>
      </c>
      <c r="C18" s="160">
        <f t="shared" si="4"/>
        <v>-8.8297967808821387E-45</v>
      </c>
      <c r="D18" s="160">
        <f t="shared" si="4"/>
        <v>-7.1224134581367714E-31</v>
      </c>
      <c r="E18" s="160">
        <f t="shared" si="4"/>
        <v>-1.5801258032103983E-19</v>
      </c>
      <c r="F18" s="160">
        <f t="shared" si="4"/>
        <v>-9.415517697760198E-11</v>
      </c>
      <c r="G18" s="160">
        <f t="shared" si="4"/>
        <v>-9.91756395966647E-7</v>
      </c>
      <c r="H18" s="160">
        <f t="shared" si="4"/>
        <v>-1.4287656448756753E-4</v>
      </c>
      <c r="I18" s="160">
        <f t="shared" si="4"/>
        <v>-2.7371536929266657E-3</v>
      </c>
      <c r="J18" s="160">
        <f t="shared" si="4"/>
        <v>-1.7990576535416841E-2</v>
      </c>
      <c r="K18" s="158"/>
      <c r="L18" s="158"/>
      <c r="M18" s="158"/>
      <c r="N18" s="158"/>
      <c r="O18" s="158"/>
      <c r="P18" s="158"/>
      <c r="Q18" s="158"/>
      <c r="R18" s="158"/>
      <c r="S18" s="158"/>
    </row>
    <row r="19" spans="2:19">
      <c r="B19" s="160">
        <v>-48.5</v>
      </c>
      <c r="C19" s="160">
        <f t="shared" si="4"/>
        <v>-7.5042130453638544E-44</v>
      </c>
      <c r="D19" s="160">
        <f t="shared" si="4"/>
        <v>-3.1478368385623495E-30</v>
      </c>
      <c r="E19" s="160">
        <f t="shared" si="4"/>
        <v>-4.0901391745196983E-19</v>
      </c>
      <c r="F19" s="160">
        <f t="shared" si="4"/>
        <v>-1.6076178353988096E-10</v>
      </c>
      <c r="G19" s="160">
        <f t="shared" si="4"/>
        <v>-1.3966954600479371E-6</v>
      </c>
      <c r="H19" s="160">
        <f t="shared" si="4"/>
        <v>-1.8122687600427364E-4</v>
      </c>
      <c r="I19" s="160">
        <f t="shared" si="4"/>
        <v>-3.2596040830539462E-3</v>
      </c>
      <c r="J19" s="160">
        <f t="shared" si="4"/>
        <v>-2.0565048313065666E-2</v>
      </c>
      <c r="K19" s="158"/>
      <c r="L19" s="158"/>
      <c r="M19" s="158"/>
      <c r="N19" s="158"/>
      <c r="O19" s="158"/>
      <c r="P19" s="158"/>
      <c r="Q19" s="158"/>
      <c r="R19" s="158"/>
      <c r="S19" s="158"/>
    </row>
    <row r="20" spans="2:19">
      <c r="B20" s="160">
        <v>-48</v>
      </c>
      <c r="C20" s="160">
        <f t="shared" si="4"/>
        <v>-6.2391835400945462E-43</v>
      </c>
      <c r="D20" s="160">
        <f t="shared" si="4"/>
        <v>-1.370180909963356E-29</v>
      </c>
      <c r="E20" s="160">
        <f t="shared" si="4"/>
        <v>-1.0484509878236641E-18</v>
      </c>
      <c r="F20" s="160">
        <f t="shared" si="4"/>
        <v>-2.7298480092387586E-10</v>
      </c>
      <c r="G20" s="160">
        <f t="shared" si="4"/>
        <v>-1.9600779293163596E-6</v>
      </c>
      <c r="H20" s="160">
        <f t="shared" si="4"/>
        <v>-2.2931112023084999E-4</v>
      </c>
      <c r="I20" s="160">
        <f t="shared" si="4"/>
        <v>-3.8748278527983618E-3</v>
      </c>
      <c r="J20" s="160">
        <f t="shared" si="4"/>
        <v>-2.347570519315622E-2</v>
      </c>
      <c r="K20" s="158"/>
      <c r="L20" s="158"/>
      <c r="M20" s="158"/>
      <c r="N20" s="158"/>
      <c r="O20" s="158"/>
      <c r="P20" s="158"/>
      <c r="Q20" s="158"/>
      <c r="R20" s="158"/>
      <c r="S20" s="158"/>
    </row>
    <row r="21" spans="2:19">
      <c r="B21" s="160">
        <v>-47.5</v>
      </c>
      <c r="C21" s="160">
        <f t="shared" si="4"/>
        <v>-5.0747952828869297E-42</v>
      </c>
      <c r="D21" s="160">
        <f t="shared" si="4"/>
        <v>-5.8738692846794903E-29</v>
      </c>
      <c r="E21" s="160">
        <f t="shared" si="4"/>
        <v>-2.6614714203300807E-18</v>
      </c>
      <c r="F21" s="160">
        <f t="shared" si="4"/>
        <v>-4.6101086282558854E-10</v>
      </c>
      <c r="G21" s="160">
        <f t="shared" si="4"/>
        <v>-2.741068324789523E-6</v>
      </c>
      <c r="H21" s="160">
        <f t="shared" si="4"/>
        <v>-2.8944665459446035E-4</v>
      </c>
      <c r="I21" s="160">
        <f t="shared" si="4"/>
        <v>-4.59792479054377E-3</v>
      </c>
      <c r="J21" s="160">
        <f t="shared" si="4"/>
        <v>-2.676158427374362E-2</v>
      </c>
      <c r="K21" s="158"/>
      <c r="L21" s="158"/>
      <c r="M21" s="158"/>
      <c r="N21" s="158"/>
      <c r="O21" s="158"/>
      <c r="P21" s="158"/>
      <c r="Q21" s="158"/>
      <c r="R21" s="158"/>
      <c r="S21" s="158"/>
    </row>
    <row r="22" spans="2:19">
      <c r="B22" s="160">
        <v>-47</v>
      </c>
      <c r="C22" s="160">
        <f t="shared" si="4"/>
        <v>-4.0381035637372569E-41</v>
      </c>
      <c r="D22" s="160">
        <f t="shared" si="4"/>
        <v>-2.4799978777678035E-28</v>
      </c>
      <c r="E22" s="160">
        <f t="shared" si="4"/>
        <v>-6.6905081973203257E-18</v>
      </c>
      <c r="F22" s="160">
        <f t="shared" si="4"/>
        <v>-7.7428507896299171E-10</v>
      </c>
      <c r="G22" s="160">
        <f t="shared" si="4"/>
        <v>-3.8198058465599969E-6</v>
      </c>
      <c r="H22" s="160">
        <f t="shared" si="4"/>
        <v>-3.6446250803876841E-4</v>
      </c>
      <c r="I22" s="160">
        <f t="shared" si="4"/>
        <v>-5.4461952114163653E-3</v>
      </c>
      <c r="J22" s="160">
        <f t="shared" si="4"/>
        <v>-3.0465566120862354E-2</v>
      </c>
      <c r="K22" s="158"/>
      <c r="L22" s="158"/>
      <c r="M22" s="158"/>
      <c r="N22" s="158"/>
      <c r="O22" s="158"/>
      <c r="P22" s="158"/>
      <c r="Q22" s="158"/>
      <c r="R22" s="158"/>
      <c r="S22" s="158"/>
    </row>
    <row r="23" spans="2:19">
      <c r="B23" s="160">
        <v>-46.5</v>
      </c>
      <c r="C23" s="160">
        <f t="shared" si="4"/>
        <v>-3.1434353869211774E-40</v>
      </c>
      <c r="D23" s="160">
        <f t="shared" si="4"/>
        <v>-1.0312382354189609E-27</v>
      </c>
      <c r="E23" s="160">
        <f t="shared" si="4"/>
        <v>-1.6655590469276557E-17</v>
      </c>
      <c r="F23" s="160">
        <f t="shared" si="4"/>
        <v>-1.2933249667481545E-9</v>
      </c>
      <c r="G23" s="160">
        <f t="shared" si="4"/>
        <v>-5.3044165658875138E-6</v>
      </c>
      <c r="H23" s="160">
        <f t="shared" si="4"/>
        <v>-4.5780242739408409E-4</v>
      </c>
      <c r="I23" s="160">
        <f t="shared" si="4"/>
        <v>-6.4394153038748667E-3</v>
      </c>
      <c r="J23" s="160">
        <f t="shared" si="4"/>
        <v>-3.4634661348747479E-2</v>
      </c>
      <c r="K23" s="158"/>
      <c r="L23" s="158"/>
      <c r="M23" s="158"/>
      <c r="N23" s="158"/>
      <c r="O23" s="158"/>
      <c r="P23" s="158"/>
      <c r="Q23" s="158"/>
      <c r="R23" s="158"/>
      <c r="S23" s="158"/>
    </row>
    <row r="24" spans="2:19">
      <c r="B24" s="160">
        <v>-46</v>
      </c>
      <c r="C24" s="160">
        <f t="shared" si="4"/>
        <v>-2.3938657014969563E-39</v>
      </c>
      <c r="D24" s="160">
        <f t="shared" si="4"/>
        <v>-4.2232556454510187E-27</v>
      </c>
      <c r="E24" s="160">
        <f t="shared" si="4"/>
        <v>-4.1060533407078138E-17</v>
      </c>
      <c r="F24" s="160">
        <f t="shared" si="4"/>
        <v>-2.1484807781498784E-9</v>
      </c>
      <c r="G24" s="160">
        <f t="shared" si="4"/>
        <v>-7.3402163678362471E-6</v>
      </c>
      <c r="H24" s="160">
        <f t="shared" si="4"/>
        <v>-5.7364634309045408E-4</v>
      </c>
      <c r="I24" s="160">
        <f t="shared" si="4"/>
        <v>-7.60013938798333E-3</v>
      </c>
      <c r="J24" s="160">
        <f t="shared" si="4"/>
        <v>-3.9320306847980255E-2</v>
      </c>
      <c r="K24" s="158"/>
      <c r="L24" s="158"/>
      <c r="M24" s="158"/>
      <c r="N24" s="158"/>
      <c r="O24" s="158"/>
      <c r="P24" s="158"/>
      <c r="Q24" s="158"/>
      <c r="R24" s="158"/>
      <c r="S24" s="158"/>
    </row>
    <row r="25" spans="2:19">
      <c r="B25" s="160">
        <v>-45.5</v>
      </c>
      <c r="C25" s="160">
        <f t="shared" si="4"/>
        <v>-1.7834592322808737E-38</v>
      </c>
      <c r="D25" s="160">
        <f t="shared" si="4"/>
        <v>-1.7033990544093081E-26</v>
      </c>
      <c r="E25" s="160">
        <f t="shared" si="4"/>
        <v>-1.0024270247592855E-16</v>
      </c>
      <c r="F25" s="160">
        <f t="shared" si="4"/>
        <v>-3.5495420342338597E-9</v>
      </c>
      <c r="G25" s="160">
        <f t="shared" si="4"/>
        <v>-1.0121736018999041E-5</v>
      </c>
      <c r="H25" s="160">
        <f t="shared" si="4"/>
        <v>-7.1705302825471893E-4</v>
      </c>
      <c r="I25" s="160">
        <f t="shared" si="4"/>
        <v>-8.9540305120573635E-3</v>
      </c>
      <c r="J25" s="160">
        <f t="shared" si="4"/>
        <v>-4.4578670396728429E-2</v>
      </c>
      <c r="K25" s="158"/>
      <c r="L25" s="158"/>
      <c r="M25" s="158"/>
      <c r="N25" s="158"/>
      <c r="O25" s="158"/>
      <c r="P25" s="158"/>
      <c r="Q25" s="158"/>
      <c r="R25" s="158"/>
      <c r="S25" s="158"/>
    </row>
    <row r="26" spans="2:19">
      <c r="B26" s="160">
        <v>-45</v>
      </c>
      <c r="C26" s="160">
        <f t="shared" ref="C26:J35" si="5">-C$12*EXP((-($B26^2)/(2*C$10^2)))*1000</f>
        <v>-1.2998545234532888E-37</v>
      </c>
      <c r="D26" s="160">
        <f t="shared" si="5"/>
        <v>-6.7665313564892894E-26</v>
      </c>
      <c r="E26" s="160">
        <f t="shared" si="5"/>
        <v>-2.4235086404376054E-16</v>
      </c>
      <c r="F26" s="160">
        <f t="shared" si="5"/>
        <v>-5.8321705344703196E-9</v>
      </c>
      <c r="G26" s="160">
        <f t="shared" si="5"/>
        <v>-1.3908364269214981E-5</v>
      </c>
      <c r="H26" s="160">
        <f t="shared" si="5"/>
        <v>-8.9412703348396971E-4</v>
      </c>
      <c r="I26" s="160">
        <f t="shared" si="5"/>
        <v>-1.0530220689583005E-2</v>
      </c>
      <c r="J26" s="160">
        <f t="shared" si="5"/>
        <v>-5.0470962130562312E-2</v>
      </c>
      <c r="K26" s="158"/>
      <c r="L26" s="158"/>
      <c r="M26" s="158"/>
      <c r="N26" s="158"/>
      <c r="O26" s="158"/>
      <c r="P26" s="158"/>
      <c r="Q26" s="158"/>
      <c r="R26" s="158"/>
      <c r="S26" s="158"/>
    </row>
    <row r="27" spans="2:19">
      <c r="B27" s="160">
        <v>-44.5</v>
      </c>
      <c r="C27" s="160">
        <f t="shared" si="5"/>
        <v>-9.2681802798776205E-37</v>
      </c>
      <c r="D27" s="160">
        <f t="shared" si="5"/>
        <v>-2.6472591733945689E-25</v>
      </c>
      <c r="E27" s="160">
        <f t="shared" si="5"/>
        <v>-5.8022976651483097E-16</v>
      </c>
      <c r="F27" s="160">
        <f t="shared" si="5"/>
        <v>-9.5302686930453132E-9</v>
      </c>
      <c r="G27" s="160">
        <f t="shared" si="5"/>
        <v>-1.9044606877706782E-5</v>
      </c>
      <c r="H27" s="160">
        <f t="shared" si="5"/>
        <v>-1.1122132993446187E-3</v>
      </c>
      <c r="I27" s="160">
        <f t="shared" si="5"/>
        <v>-1.2361701910526067E-2</v>
      </c>
      <c r="J27" s="160">
        <f t="shared" si="5"/>
        <v>-5.7063751068948343E-2</v>
      </c>
      <c r="K27" s="158"/>
      <c r="L27" s="158"/>
      <c r="M27" s="158"/>
      <c r="N27" s="158"/>
      <c r="O27" s="158"/>
      <c r="P27" s="158"/>
      <c r="Q27" s="158"/>
      <c r="R27" s="158"/>
      <c r="S27" s="158"/>
    </row>
    <row r="28" spans="2:19">
      <c r="B28" s="160">
        <v>-44</v>
      </c>
      <c r="C28" s="160">
        <f t="shared" si="5"/>
        <v>-6.4649080961722239E-36</v>
      </c>
      <c r="D28" s="160">
        <f t="shared" si="5"/>
        <v>-1.0200171914574522E-24</v>
      </c>
      <c r="E28" s="160">
        <f t="shared" si="5"/>
        <v>-1.3756851960525325E-15</v>
      </c>
      <c r="F28" s="160">
        <f t="shared" si="5"/>
        <v>-1.5488063330510856E-8</v>
      </c>
      <c r="G28" s="160">
        <f t="shared" si="5"/>
        <v>-2.5986205797005788E-5</v>
      </c>
      <c r="H28" s="160">
        <f t="shared" si="5"/>
        <v>-1.3801231749859071E-3</v>
      </c>
      <c r="I28" s="160">
        <f t="shared" si="5"/>
        <v>-1.4485748845530578E-2</v>
      </c>
      <c r="J28" s="160">
        <f t="shared" si="5"/>
        <v>-6.4429284602696646E-2</v>
      </c>
      <c r="K28" s="158"/>
      <c r="L28" s="158"/>
      <c r="M28" s="158"/>
      <c r="N28" s="158"/>
      <c r="O28" s="158"/>
      <c r="P28" s="158"/>
      <c r="Q28" s="158"/>
      <c r="R28" s="158"/>
      <c r="S28" s="158"/>
    </row>
    <row r="29" spans="2:19">
      <c r="B29" s="160">
        <v>-43.5</v>
      </c>
      <c r="C29" s="160">
        <f t="shared" si="5"/>
        <v>-4.4116230531360012E-35</v>
      </c>
      <c r="D29" s="160">
        <f t="shared" si="5"/>
        <v>-3.8707862293184113E-24</v>
      </c>
      <c r="E29" s="160">
        <f t="shared" si="5"/>
        <v>-3.2299942496630162E-15</v>
      </c>
      <c r="F29" s="160">
        <f t="shared" si="5"/>
        <v>-2.5032609600037952E-8</v>
      </c>
      <c r="G29" s="160">
        <f t="shared" si="5"/>
        <v>-3.533366118279155E-5</v>
      </c>
      <c r="H29" s="160">
        <f t="shared" si="5"/>
        <v>-1.7083958978343693E-3</v>
      </c>
      <c r="I29" s="160">
        <f t="shared" si="5"/>
        <v>-1.694437389325721E-2</v>
      </c>
      <c r="J29" s="160">
        <f t="shared" si="5"/>
        <v>-7.264580853801042E-2</v>
      </c>
      <c r="K29" s="158"/>
      <c r="L29" s="158"/>
      <c r="M29" s="158"/>
      <c r="N29" s="158"/>
      <c r="O29" s="158"/>
      <c r="P29" s="158"/>
      <c r="Q29" s="158"/>
      <c r="R29" s="158"/>
      <c r="S29" s="158"/>
    </row>
    <row r="30" spans="2:19">
      <c r="B30" s="160">
        <v>-43</v>
      </c>
      <c r="C30" s="160">
        <f t="shared" si="5"/>
        <v>-2.9451173151966675E-34</v>
      </c>
      <c r="D30" s="160">
        <f t="shared" si="5"/>
        <v>-1.446676908938194E-23</v>
      </c>
      <c r="E30" s="160">
        <f t="shared" si="5"/>
        <v>-7.51014048438088E-15</v>
      </c>
      <c r="F30" s="160">
        <f t="shared" si="5"/>
        <v>-4.0237609977047645E-8</v>
      </c>
      <c r="G30" s="160">
        <f t="shared" si="5"/>
        <v>-4.7875057931013832E-5</v>
      </c>
      <c r="H30" s="160">
        <f t="shared" si="5"/>
        <v>-2.1095999082180079E-3</v>
      </c>
      <c r="I30" s="160">
        <f t="shared" si="5"/>
        <v>-1.9784814895613859E-2</v>
      </c>
      <c r="J30" s="160">
        <f t="shared" si="5"/>
        <v>-8.1797884971441082E-2</v>
      </c>
      <c r="K30" s="158"/>
      <c r="L30" s="158"/>
      <c r="M30" s="158"/>
      <c r="N30" s="158"/>
      <c r="O30" s="158"/>
      <c r="P30" s="158"/>
      <c r="Q30" s="158"/>
      <c r="R30" s="158"/>
      <c r="S30" s="158"/>
    </row>
    <row r="31" spans="2:19">
      <c r="B31" s="160">
        <v>-42.5</v>
      </c>
      <c r="C31" s="160">
        <f t="shared" si="5"/>
        <v>-1.9234236873501562E-33</v>
      </c>
      <c r="D31" s="160">
        <f t="shared" si="5"/>
        <v>-5.325060889558809E-23</v>
      </c>
      <c r="E31" s="160">
        <f t="shared" si="5"/>
        <v>-1.7292508556453812E-14</v>
      </c>
      <c r="F31" s="160">
        <f t="shared" si="5"/>
        <v>-6.432432935878745E-8</v>
      </c>
      <c r="G31" s="160">
        <f t="shared" si="5"/>
        <v>-6.4640527265121271E-5</v>
      </c>
      <c r="H31" s="160">
        <f t="shared" si="5"/>
        <v>-2.5986786742763107E-3</v>
      </c>
      <c r="I31" s="160">
        <f t="shared" si="5"/>
        <v>-2.3060055458556442E-2</v>
      </c>
      <c r="J31" s="160">
        <f t="shared" si="5"/>
        <v>-9.1976704938535728E-2</v>
      </c>
      <c r="K31" s="158"/>
      <c r="L31" s="158"/>
      <c r="M31" s="158"/>
      <c r="N31" s="158"/>
      <c r="O31" s="158"/>
      <c r="P31" s="158"/>
      <c r="Q31" s="158"/>
      <c r="R31" s="158"/>
      <c r="S31" s="158"/>
    </row>
    <row r="32" spans="2:19">
      <c r="B32" s="160">
        <v>-42</v>
      </c>
      <c r="C32" s="160">
        <f t="shared" si="5"/>
        <v>-1.2288969908550753E-32</v>
      </c>
      <c r="D32" s="160">
        <f t="shared" si="5"/>
        <v>-1.9304487349095002E-22</v>
      </c>
      <c r="E32" s="160">
        <f t="shared" si="5"/>
        <v>-3.9430434608611798E-14</v>
      </c>
      <c r="F32" s="160">
        <f t="shared" si="5"/>
        <v>-1.0226697198245262E-7</v>
      </c>
      <c r="G32" s="160">
        <f t="shared" si="5"/>
        <v>-8.6971182217182022E-5</v>
      </c>
      <c r="H32" s="160">
        <f t="shared" si="5"/>
        <v>-3.1933459750811098E-3</v>
      </c>
      <c r="I32" s="160">
        <f t="shared" si="5"/>
        <v>-2.6829377363607108E-2</v>
      </c>
      <c r="J32" s="160">
        <f t="shared" si="5"/>
        <v>-0.10328039244029635</v>
      </c>
      <c r="K32" s="158"/>
      <c r="L32" s="158"/>
      <c r="M32" s="158"/>
      <c r="N32" s="158"/>
      <c r="O32" s="158"/>
      <c r="P32" s="158"/>
      <c r="Q32" s="158"/>
      <c r="R32" s="158"/>
      <c r="S32" s="158"/>
    </row>
    <row r="33" spans="2:19">
      <c r="B33" s="160">
        <v>-41.5</v>
      </c>
      <c r="C33" s="160">
        <f t="shared" si="5"/>
        <v>-7.6811131182811037E-32</v>
      </c>
      <c r="D33" s="160">
        <f t="shared" si="5"/>
        <v>-6.8924342866244404E-22</v>
      </c>
      <c r="E33" s="160">
        <f t="shared" si="5"/>
        <v>-8.9036638481005114E-14</v>
      </c>
      <c r="F33" s="160">
        <f t="shared" si="5"/>
        <v>-1.6170094842075199E-7</v>
      </c>
      <c r="G33" s="160">
        <f t="shared" si="5"/>
        <v>-1.1660596365342278E-4</v>
      </c>
      <c r="H33" s="160">
        <f t="shared" si="5"/>
        <v>-3.9145358199653415E-3</v>
      </c>
      <c r="I33" s="160">
        <f t="shared" si="5"/>
        <v>-3.1158944033965491E-2</v>
      </c>
      <c r="J33" s="160">
        <f t="shared" si="5"/>
        <v>-0.1158142961092703</v>
      </c>
      <c r="K33" s="158"/>
      <c r="L33" s="158"/>
      <c r="M33" s="158"/>
      <c r="N33" s="158"/>
      <c r="O33" s="158"/>
      <c r="P33" s="158"/>
      <c r="Q33" s="158"/>
      <c r="R33" s="158"/>
      <c r="S33" s="158"/>
    </row>
    <row r="34" spans="2:19">
      <c r="B34" s="160">
        <v>-41</v>
      </c>
      <c r="C34" s="160">
        <f t="shared" si="5"/>
        <v>-4.6967884630240959E-31</v>
      </c>
      <c r="D34" s="160">
        <f t="shared" si="5"/>
        <v>-2.4236374898019662E-21</v>
      </c>
      <c r="E34" s="160">
        <f t="shared" si="5"/>
        <v>-1.990992264845315E-13</v>
      </c>
      <c r="F34" s="160">
        <f t="shared" si="5"/>
        <v>-2.5427682328143579E-7</v>
      </c>
      <c r="G34" s="160">
        <f t="shared" si="5"/>
        <v>-1.5579053069895925E-4</v>
      </c>
      <c r="H34" s="160">
        <f t="shared" si="5"/>
        <v>-4.7869123540053736E-3</v>
      </c>
      <c r="I34" s="160">
        <f t="shared" si="5"/>
        <v>-3.6122413426570306E-2</v>
      </c>
      <c r="J34" s="160">
        <f t="shared" si="5"/>
        <v>-0.12969126443518089</v>
      </c>
      <c r="K34" s="158"/>
      <c r="L34" s="158"/>
      <c r="M34" s="158"/>
      <c r="N34" s="158"/>
      <c r="O34" s="158"/>
      <c r="P34" s="158"/>
      <c r="Q34" s="158"/>
      <c r="R34" s="158"/>
      <c r="S34" s="158"/>
    </row>
    <row r="35" spans="2:19">
      <c r="B35" s="160">
        <v>-40.5</v>
      </c>
      <c r="C35" s="160">
        <f t="shared" si="5"/>
        <v>-2.8096097398932037E-30</v>
      </c>
      <c r="D35" s="160">
        <f t="shared" si="5"/>
        <v>-8.3935050409663202E-21</v>
      </c>
      <c r="E35" s="160">
        <f t="shared" si="5"/>
        <v>-4.4089382555510129E-13</v>
      </c>
      <c r="F35" s="160">
        <f t="shared" si="5"/>
        <v>-3.9766560260577204E-7</v>
      </c>
      <c r="G35" s="160">
        <f t="shared" si="5"/>
        <v>-2.0741313538430494E-4</v>
      </c>
      <c r="H35" s="160">
        <f t="shared" si="5"/>
        <v>-5.8394451957114917E-3</v>
      </c>
      <c r="I35" s="160">
        <f t="shared" si="5"/>
        <v>-4.1801578056147884E-2</v>
      </c>
      <c r="J35" s="160">
        <f t="shared" si="5"/>
        <v>-0.14503190013300038</v>
      </c>
      <c r="K35" s="158"/>
      <c r="L35" s="158"/>
      <c r="M35" s="158"/>
      <c r="N35" s="158"/>
      <c r="O35" s="158"/>
      <c r="P35" s="158"/>
      <c r="Q35" s="158"/>
      <c r="R35" s="158"/>
      <c r="S35" s="158"/>
    </row>
    <row r="36" spans="2:19">
      <c r="B36" s="160">
        <v>-40</v>
      </c>
      <c r="C36" s="160">
        <f t="shared" ref="C36:J45" si="6">-C$12*EXP((-($B36^2)/(2*C$10^2)))*1000</f>
        <v>-1.6442170919560271E-29</v>
      </c>
      <c r="D36" s="160">
        <f t="shared" si="6"/>
        <v>-2.8628573974375935E-20</v>
      </c>
      <c r="E36" s="160">
        <f t="shared" si="6"/>
        <v>-9.6685664719987778E-13</v>
      </c>
      <c r="F36" s="160">
        <f t="shared" si="6"/>
        <v>-6.1850941738505488E-7</v>
      </c>
      <c r="G36" s="160">
        <f t="shared" si="6"/>
        <v>-2.7517334427701995E-4</v>
      </c>
      <c r="H36" s="160">
        <f t="shared" si="6"/>
        <v>-7.1060556534821365E-3</v>
      </c>
      <c r="I36" s="160">
        <f t="shared" si="6"/>
        <v>-4.8287029118760205E-2</v>
      </c>
      <c r="J36" s="160">
        <f t="shared" si="6"/>
        <v>-0.16196478890927379</v>
      </c>
      <c r="K36" s="158"/>
      <c r="L36" s="158"/>
      <c r="M36" s="158"/>
      <c r="N36" s="158"/>
      <c r="O36" s="158"/>
      <c r="P36" s="158"/>
      <c r="Q36" s="158"/>
      <c r="R36" s="158"/>
      <c r="S36" s="158"/>
    </row>
    <row r="37" spans="2:19">
      <c r="B37" s="160">
        <v>-39.5</v>
      </c>
      <c r="C37" s="160">
        <f t="shared" si="6"/>
        <v>-9.4132691544377995E-29</v>
      </c>
      <c r="D37" s="160">
        <f t="shared" si="6"/>
        <v>-9.6169363649975455E-20</v>
      </c>
      <c r="E37" s="160">
        <f t="shared" si="6"/>
        <v>-2.0996832531593655E-12</v>
      </c>
      <c r="F37" s="160">
        <f t="shared" si="6"/>
        <v>-9.5673496512540744E-7</v>
      </c>
      <c r="G37" s="160">
        <f t="shared" si="6"/>
        <v>-3.6379051606061895E-4</v>
      </c>
      <c r="H37" s="160">
        <f t="shared" si="6"/>
        <v>-8.62633915056772E-3</v>
      </c>
      <c r="I37" s="160">
        <f t="shared" si="6"/>
        <v>-5.5678840871576429E-2</v>
      </c>
      <c r="J37" s="160">
        <f t="shared" si="6"/>
        <v>-0.18062669757080754</v>
      </c>
      <c r="K37" s="158"/>
      <c r="L37" s="158"/>
      <c r="M37" s="158"/>
      <c r="N37" s="158"/>
      <c r="O37" s="158"/>
      <c r="P37" s="158"/>
      <c r="Q37" s="158"/>
      <c r="R37" s="158"/>
      <c r="S37" s="158"/>
    </row>
    <row r="38" spans="2:19">
      <c r="B38" s="160">
        <v>-39</v>
      </c>
      <c r="C38" s="160">
        <f t="shared" si="6"/>
        <v>-5.2721766631805745E-28</v>
      </c>
      <c r="D38" s="160">
        <f t="shared" si="6"/>
        <v>-3.1816648879303046E-19</v>
      </c>
      <c r="E38" s="160">
        <f t="shared" si="6"/>
        <v>-4.5155339077460929E-12</v>
      </c>
      <c r="F38" s="160">
        <f t="shared" si="6"/>
        <v>-1.4718176800765047E-6</v>
      </c>
      <c r="G38" s="160">
        <f t="shared" si="6"/>
        <v>-4.7926011690214233E-4</v>
      </c>
      <c r="H38" s="160">
        <f t="shared" si="6"/>
        <v>-1.044636893073359E-2</v>
      </c>
      <c r="I38" s="160">
        <f t="shared" si="6"/>
        <v>-6.4087270545025582E-2</v>
      </c>
      <c r="J38" s="160">
        <f t="shared" si="6"/>
        <v>-0.20116273612945124</v>
      </c>
      <c r="K38" s="158"/>
      <c r="L38" s="158"/>
      <c r="M38" s="158"/>
      <c r="N38" s="158"/>
      <c r="O38" s="158"/>
      <c r="P38" s="158"/>
      <c r="Q38" s="158"/>
      <c r="R38" s="158"/>
      <c r="S38" s="158"/>
    </row>
    <row r="39" spans="2:19">
      <c r="B39" s="160">
        <v>-38.5</v>
      </c>
      <c r="C39" s="160">
        <f t="shared" si="6"/>
        <v>-2.8887342570053657E-27</v>
      </c>
      <c r="D39" s="160">
        <f t="shared" si="6"/>
        <v>-1.0366992740494532E-18</v>
      </c>
      <c r="E39" s="160">
        <f t="shared" si="6"/>
        <v>-9.616744055685071E-12</v>
      </c>
      <c r="F39" s="160">
        <f t="shared" si="6"/>
        <v>-2.2518187181082814E-6</v>
      </c>
      <c r="G39" s="160">
        <f t="shared" si="6"/>
        <v>-6.2916725445211934E-4</v>
      </c>
      <c r="H39" s="160">
        <f t="shared" si="6"/>
        <v>-1.2619585693648249E-2</v>
      </c>
      <c r="I39" s="160">
        <f t="shared" si="6"/>
        <v>-7.3633468117367595E-2</v>
      </c>
      <c r="J39" s="160">
        <f t="shared" si="6"/>
        <v>-0.22372647829395814</v>
      </c>
      <c r="K39" s="158"/>
      <c r="L39" s="158"/>
      <c r="M39" s="158"/>
      <c r="N39" s="158"/>
      <c r="O39" s="158"/>
      <c r="P39" s="158"/>
      <c r="Q39" s="158"/>
      <c r="R39" s="158"/>
      <c r="S39" s="158"/>
    </row>
    <row r="40" spans="2:19">
      <c r="B40" s="160">
        <v>-38</v>
      </c>
      <c r="C40" s="160">
        <f t="shared" si="6"/>
        <v>-1.5484364587383116E-26</v>
      </c>
      <c r="D40" s="160">
        <f t="shared" si="6"/>
        <v>-3.3268392754126009E-18</v>
      </c>
      <c r="E40" s="160">
        <f t="shared" si="6"/>
        <v>-2.0281993259063779E-11</v>
      </c>
      <c r="F40" s="160">
        <f t="shared" si="6"/>
        <v>-3.4263354059869045E-6</v>
      </c>
      <c r="G40" s="160">
        <f t="shared" si="6"/>
        <v>-8.2306823061019515E-4</v>
      </c>
      <c r="H40" s="160">
        <f t="shared" si="6"/>
        <v>-1.5207777194384174E-2</v>
      </c>
      <c r="I40" s="160">
        <f t="shared" si="6"/>
        <v>-8.445018927618976E-2</v>
      </c>
      <c r="J40" s="160">
        <f t="shared" si="6"/>
        <v>-0.24848003451146625</v>
      </c>
      <c r="K40" s="158"/>
      <c r="L40" s="158"/>
      <c r="M40" s="158"/>
      <c r="N40" s="158"/>
      <c r="O40" s="158"/>
      <c r="P40" s="158"/>
      <c r="Q40" s="158"/>
      <c r="R40" s="158"/>
      <c r="S40" s="158"/>
    </row>
    <row r="41" spans="2:19">
      <c r="B41" s="160">
        <v>-37.5</v>
      </c>
      <c r="C41" s="160">
        <f t="shared" si="6"/>
        <v>-8.1198376277871484E-26</v>
      </c>
      <c r="D41" s="160">
        <f t="shared" si="6"/>
        <v>-1.0514569883615821E-17</v>
      </c>
      <c r="E41" s="160">
        <f t="shared" si="6"/>
        <v>-4.2360086359802726E-11</v>
      </c>
      <c r="F41" s="160">
        <f t="shared" si="6"/>
        <v>-5.1849355589891343E-6</v>
      </c>
      <c r="G41" s="160">
        <f t="shared" si="6"/>
        <v>-1.0729524401807636E-3</v>
      </c>
      <c r="H41" s="160">
        <f t="shared" si="6"/>
        <v>-1.8282151008975699E-2</v>
      </c>
      <c r="I41" s="160">
        <f t="shared" si="6"/>
        <v>-9.6682503834638639E-2</v>
      </c>
      <c r="J41" s="160">
        <f t="shared" si="6"/>
        <v>-0.27559407153395138</v>
      </c>
      <c r="K41" s="158"/>
      <c r="L41" s="158"/>
      <c r="M41" s="158"/>
      <c r="N41" s="158"/>
      <c r="O41" s="158"/>
      <c r="P41" s="158"/>
      <c r="Q41" s="158"/>
      <c r="R41" s="158"/>
      <c r="S41" s="158"/>
    </row>
    <row r="42" spans="2:19">
      <c r="B42" s="160">
        <v>-37</v>
      </c>
      <c r="C42" s="160">
        <f t="shared" si="6"/>
        <v>-4.1655222690241279E-25</v>
      </c>
      <c r="D42" s="160">
        <f t="shared" si="6"/>
        <v>-3.272893473212263E-17</v>
      </c>
      <c r="E42" s="160">
        <f t="shared" si="6"/>
        <v>-8.7612619648193657E-11</v>
      </c>
      <c r="F42" s="160">
        <f t="shared" si="6"/>
        <v>-7.8032207315489172E-6</v>
      </c>
      <c r="G42" s="160">
        <f t="shared" si="6"/>
        <v>-1.3937985562759549E-3</v>
      </c>
      <c r="H42" s="160">
        <f t="shared" si="6"/>
        <v>-2.1924502591616723E-2</v>
      </c>
      <c r="I42" s="160">
        <f t="shared" si="6"/>
        <v>-0.11048849077281626</v>
      </c>
      <c r="J42" s="160">
        <f t="shared" si="6"/>
        <v>-0.30524777234622286</v>
      </c>
      <c r="K42" s="158"/>
      <c r="L42" s="158"/>
      <c r="M42" s="158"/>
      <c r="N42" s="158"/>
      <c r="O42" s="158"/>
      <c r="P42" s="158"/>
      <c r="Q42" s="158"/>
      <c r="R42" s="158"/>
      <c r="S42" s="158"/>
    </row>
    <row r="43" spans="2:19">
      <c r="B43" s="160">
        <v>-36.5</v>
      </c>
      <c r="C43" s="160">
        <f t="shared" si="6"/>
        <v>-2.0905460373986879E-24</v>
      </c>
      <c r="D43" s="160">
        <f t="shared" si="6"/>
        <v>-1.0033510155242171E-16</v>
      </c>
      <c r="E43" s="160">
        <f t="shared" si="6"/>
        <v>-1.7944861955777556E-10</v>
      </c>
      <c r="F43" s="160">
        <f t="shared" si="6"/>
        <v>-1.167942496618551E-5</v>
      </c>
      <c r="G43" s="160">
        <f t="shared" si="6"/>
        <v>-1.8042406127238776E-3</v>
      </c>
      <c r="H43" s="160">
        <f t="shared" si="6"/>
        <v>-2.622847940371454E-2</v>
      </c>
      <c r="I43" s="160">
        <f t="shared" si="6"/>
        <v>-0.12603990994954037</v>
      </c>
      <c r="J43" s="160">
        <f t="shared" si="6"/>
        <v>-0.33762873020891143</v>
      </c>
      <c r="K43" s="158"/>
      <c r="L43" s="158"/>
      <c r="M43" s="158"/>
      <c r="N43" s="158"/>
      <c r="O43" s="158"/>
      <c r="P43" s="158"/>
      <c r="Q43" s="158"/>
      <c r="R43" s="158"/>
      <c r="S43" s="158"/>
    </row>
    <row r="44" spans="2:19">
      <c r="B44" s="160">
        <v>-36</v>
      </c>
      <c r="C44" s="160">
        <f t="shared" si="6"/>
        <v>-1.0264036097871945E-23</v>
      </c>
      <c r="D44" s="160">
        <f t="shared" si="6"/>
        <v>-3.0293858005470071E-16</v>
      </c>
      <c r="E44" s="160">
        <f t="shared" si="6"/>
        <v>-3.6397973456516777E-10</v>
      </c>
      <c r="F44" s="160">
        <f t="shared" si="6"/>
        <v>-1.7385455336518728E-5</v>
      </c>
      <c r="G44" s="160">
        <f t="shared" si="6"/>
        <v>-2.3273612758140444E-3</v>
      </c>
      <c r="H44" s="160">
        <f t="shared" si="6"/>
        <v>-3.1300940257541619E-2</v>
      </c>
      <c r="I44" s="160">
        <f t="shared" si="6"/>
        <v>-0.1435228393918849</v>
      </c>
      <c r="J44" s="160">
        <f t="shared" si="6"/>
        <v>-0.37293277054972929</v>
      </c>
      <c r="K44" s="158"/>
      <c r="L44" s="158"/>
      <c r="M44" s="158"/>
      <c r="N44" s="158"/>
      <c r="O44" s="158"/>
      <c r="P44" s="158"/>
      <c r="Q44" s="158"/>
      <c r="R44" s="158"/>
      <c r="S44" s="158"/>
    </row>
    <row r="45" spans="2:19">
      <c r="B45" s="160">
        <v>-35.5</v>
      </c>
      <c r="C45" s="160">
        <f t="shared" si="6"/>
        <v>-4.9299755466634562E-23</v>
      </c>
      <c r="D45" s="160">
        <f t="shared" si="6"/>
        <v>-9.008177657155652E-16</v>
      </c>
      <c r="E45" s="160">
        <f t="shared" si="6"/>
        <v>-7.3110189999865529E-10</v>
      </c>
      <c r="F45" s="160">
        <f t="shared" si="6"/>
        <v>-2.573758051416073E-5</v>
      </c>
      <c r="G45" s="160">
        <f t="shared" si="6"/>
        <v>-2.9916312357523354E-3</v>
      </c>
      <c r="H45" s="160">
        <f t="shared" si="6"/>
        <v>-3.7263407067609736E-2</v>
      </c>
      <c r="I45" s="160">
        <f t="shared" si="6"/>
        <v>-0.1631382659373414</v>
      </c>
      <c r="J45" s="160">
        <f t="shared" si="6"/>
        <v>-0.411363694486228</v>
      </c>
      <c r="K45" s="158"/>
      <c r="L45" s="158"/>
      <c r="M45" s="158"/>
      <c r="N45" s="158"/>
      <c r="O45" s="158"/>
      <c r="P45" s="158"/>
      <c r="Q45" s="158"/>
      <c r="R45" s="158"/>
      <c r="S45" s="158"/>
    </row>
    <row r="46" spans="2:19">
      <c r="B46" s="160">
        <v>-35</v>
      </c>
      <c r="C46" s="160">
        <f t="shared" ref="C46:J55" si="7">-C$12*EXP((-($B46^2)/(2*C$10^2)))*1000</f>
        <v>-2.3165384818914007E-22</v>
      </c>
      <c r="D46" s="160">
        <f t="shared" si="7"/>
        <v>-2.6381529227282202E-15</v>
      </c>
      <c r="E46" s="160">
        <f t="shared" si="7"/>
        <v>-1.4542606321356737E-9</v>
      </c>
      <c r="F46" s="160">
        <f t="shared" si="7"/>
        <v>-3.7893647138062326E-5</v>
      </c>
      <c r="G46" s="160">
        <f t="shared" si="7"/>
        <v>-3.8320151700973323E-3</v>
      </c>
      <c r="H46" s="160">
        <f t="shared" si="7"/>
        <v>-4.4253603925374765E-2</v>
      </c>
      <c r="I46" s="160">
        <f t="shared" si="7"/>
        <v>-0.18510261589631291</v>
      </c>
      <c r="J46" s="160">
        <f t="shared" si="7"/>
        <v>-0.45313293789027503</v>
      </c>
      <c r="K46" s="158"/>
      <c r="L46" s="158"/>
      <c r="M46" s="158"/>
      <c r="N46" s="158"/>
      <c r="O46" s="158"/>
      <c r="P46" s="158"/>
      <c r="Q46" s="158"/>
      <c r="R46" s="158"/>
      <c r="S46" s="158"/>
    </row>
    <row r="47" spans="2:19">
      <c r="B47" s="160">
        <v>-34.5</v>
      </c>
      <c r="C47" s="160">
        <f t="shared" si="7"/>
        <v>-1.064884320387019E-21</v>
      </c>
      <c r="D47" s="160">
        <f t="shared" si="7"/>
        <v>-7.6092815917001311E-15</v>
      </c>
      <c r="E47" s="160">
        <f t="shared" si="7"/>
        <v>-2.8646410375331706E-9</v>
      </c>
      <c r="F47" s="160">
        <f t="shared" si="7"/>
        <v>-5.5485836146884297E-5</v>
      </c>
      <c r="G47" s="160">
        <f t="shared" si="7"/>
        <v>-4.891266048241593E-3</v>
      </c>
      <c r="H47" s="160">
        <f t="shared" si="7"/>
        <v>-5.2427075797307002E-2</v>
      </c>
      <c r="I47" s="160">
        <f t="shared" si="7"/>
        <v>-0.20964821134361053</v>
      </c>
      <c r="J47" s="160">
        <f t="shared" si="7"/>
        <v>-0.49845914011510489</v>
      </c>
      <c r="K47" s="158"/>
      <c r="L47" s="158"/>
      <c r="M47" s="158"/>
      <c r="N47" s="158"/>
      <c r="O47" s="158"/>
      <c r="P47" s="158"/>
      <c r="Q47" s="158"/>
      <c r="R47" s="158"/>
      <c r="S47" s="158"/>
    </row>
    <row r="48" spans="2:19">
      <c r="B48" s="160">
        <v>-34</v>
      </c>
      <c r="C48" s="160">
        <f t="shared" si="7"/>
        <v>-4.7888750462170246E-21</v>
      </c>
      <c r="D48" s="160">
        <f t="shared" si="7"/>
        <v>-2.1615635695567265E-14</v>
      </c>
      <c r="E48" s="160">
        <f t="shared" si="7"/>
        <v>-5.5880694770536888E-9</v>
      </c>
      <c r="F48" s="160">
        <f t="shared" si="7"/>
        <v>-8.0800659081401609E-5</v>
      </c>
      <c r="G48" s="160">
        <f t="shared" si="7"/>
        <v>-6.2214305507713435E-3</v>
      </c>
      <c r="H48" s="160">
        <f t="shared" si="7"/>
        <v>-6.1958876189575816E-2</v>
      </c>
      <c r="I48" s="160">
        <f t="shared" si="7"/>
        <v>-0.23702363666155893</v>
      </c>
      <c r="J48" s="160">
        <f t="shared" si="7"/>
        <v>-0.54756761680613719</v>
      </c>
      <c r="K48" s="158"/>
      <c r="L48" s="158"/>
      <c r="M48" s="158"/>
      <c r="N48" s="158"/>
      <c r="O48" s="158"/>
      <c r="P48" s="158"/>
      <c r="Q48" s="158"/>
      <c r="R48" s="158"/>
      <c r="S48" s="158"/>
    </row>
    <row r="49" spans="2:19">
      <c r="B49" s="160">
        <v>-33.5</v>
      </c>
      <c r="C49" s="160">
        <f t="shared" si="7"/>
        <v>-2.1068457371198567E-20</v>
      </c>
      <c r="D49" s="160">
        <f t="shared" si="7"/>
        <v>-6.0474604221445724E-14</v>
      </c>
      <c r="E49" s="160">
        <f t="shared" si="7"/>
        <v>-1.0794859931485709E-8</v>
      </c>
      <c r="F49" s="160">
        <f t="shared" si="7"/>
        <v>-1.1702124421615948E-4</v>
      </c>
      <c r="G49" s="160">
        <f t="shared" si="7"/>
        <v>-7.8855889448723113E-3</v>
      </c>
      <c r="H49" s="160">
        <f t="shared" si="7"/>
        <v>-7.3045309829887356E-2</v>
      </c>
      <c r="I49" s="160">
        <f t="shared" si="7"/>
        <v>-0.26749399907120364</v>
      </c>
      <c r="J49" s="160">
        <f t="shared" si="7"/>
        <v>-0.60068973161220873</v>
      </c>
      <c r="K49" s="158"/>
      <c r="L49" s="158"/>
      <c r="M49" s="158"/>
      <c r="N49" s="158"/>
      <c r="O49" s="158"/>
      <c r="P49" s="158"/>
      <c r="Q49" s="158"/>
      <c r="R49" s="158"/>
      <c r="S49" s="158"/>
    </row>
    <row r="50" spans="2:19">
      <c r="B50" s="160">
        <v>-33</v>
      </c>
      <c r="C50" s="160">
        <f t="shared" si="7"/>
        <v>-9.067762355427183E-20</v>
      </c>
      <c r="D50" s="160">
        <f t="shared" si="7"/>
        <v>-1.6663212150668539E-13</v>
      </c>
      <c r="E50" s="160">
        <f t="shared" si="7"/>
        <v>-2.0650751107347808E-8</v>
      </c>
      <c r="F50" s="160">
        <f t="shared" si="7"/>
        <v>-1.6855108766551855E-4</v>
      </c>
      <c r="G50" s="160">
        <f t="shared" si="7"/>
        <v>-9.9598527431061113E-3</v>
      </c>
      <c r="H50" s="160">
        <f t="shared" si="7"/>
        <v>-8.5905712803595519E-2</v>
      </c>
      <c r="I50" s="160">
        <f t="shared" si="7"/>
        <v>-0.30134106613065931</v>
      </c>
      <c r="J50" s="160">
        <f t="shared" si="7"/>
        <v>-0.65806216210903412</v>
      </c>
      <c r="K50" s="158"/>
      <c r="L50" s="158"/>
      <c r="M50" s="158"/>
      <c r="N50" s="158"/>
      <c r="O50" s="158"/>
      <c r="P50" s="158"/>
      <c r="Q50" s="158"/>
      <c r="R50" s="158"/>
      <c r="S50" s="158"/>
    </row>
    <row r="51" spans="2:19">
      <c r="B51" s="160">
        <v>-32.5</v>
      </c>
      <c r="C51" s="160">
        <f t="shared" si="7"/>
        <v>-3.8179978655163661E-19</v>
      </c>
      <c r="D51" s="160">
        <f t="shared" si="7"/>
        <v>-4.5219429497845441E-13</v>
      </c>
      <c r="E51" s="160">
        <f t="shared" si="7"/>
        <v>-3.9121754166536616E-8</v>
      </c>
      <c r="F51" s="160">
        <f t="shared" si="7"/>
        <v>-2.414434606286492E-4</v>
      </c>
      <c r="G51" s="160">
        <f t="shared" si="7"/>
        <v>-1.2535642716880308E-2</v>
      </c>
      <c r="H51" s="160">
        <f t="shared" si="7"/>
        <v>-0.10078424867362769</v>
      </c>
      <c r="I51" s="160">
        <f t="shared" si="7"/>
        <v>-0.33886326258100918</v>
      </c>
      <c r="J51" s="160">
        <f t="shared" si="7"/>
        <v>-0.71992605584524716</v>
      </c>
      <c r="K51" s="158"/>
      <c r="L51" s="158"/>
      <c r="M51" s="158"/>
      <c r="N51" s="158"/>
      <c r="O51" s="158"/>
      <c r="P51" s="158"/>
      <c r="Q51" s="158"/>
      <c r="R51" s="158"/>
      <c r="S51" s="158"/>
    </row>
    <row r="52" spans="2:19">
      <c r="B52" s="160">
        <v>-32</v>
      </c>
      <c r="C52" s="160">
        <f t="shared" si="7"/>
        <v>-1.5726764817354964E-18</v>
      </c>
      <c r="D52" s="160">
        <f t="shared" si="7"/>
        <v>-1.2085708089998471E-12</v>
      </c>
      <c r="E52" s="160">
        <f t="shared" si="7"/>
        <v>-7.3394651643848121E-8</v>
      </c>
      <c r="F52" s="160">
        <f t="shared" si="7"/>
        <v>-3.43966680346275E-4</v>
      </c>
      <c r="G52" s="160">
        <f t="shared" si="7"/>
        <v>-1.5722268161769373E-2</v>
      </c>
      <c r="H52" s="160">
        <f t="shared" si="7"/>
        <v>-0.11795169495125661</v>
      </c>
      <c r="I52" s="160">
        <f t="shared" si="7"/>
        <v>-0.38037550851146312</v>
      </c>
      <c r="J52" s="160">
        <f t="shared" si="7"/>
        <v>-0.78652607312577094</v>
      </c>
      <c r="K52" s="158"/>
      <c r="L52" s="158"/>
      <c r="M52" s="158"/>
      <c r="N52" s="158"/>
      <c r="O52" s="158"/>
      <c r="P52" s="158"/>
      <c r="Q52" s="158"/>
      <c r="R52" s="158"/>
      <c r="S52" s="158"/>
    </row>
    <row r="53" spans="2:19">
      <c r="B53" s="160">
        <v>-31.5</v>
      </c>
      <c r="C53" s="160">
        <f t="shared" si="7"/>
        <v>-6.3374020908104854E-18</v>
      </c>
      <c r="D53" s="160">
        <f t="shared" si="7"/>
        <v>-3.1812645664995999E-12</v>
      </c>
      <c r="E53" s="160">
        <f t="shared" si="7"/>
        <v>-1.3635596264327012E-7</v>
      </c>
      <c r="F53" s="160">
        <f t="shared" si="7"/>
        <v>-4.8734256261383007E-4</v>
      </c>
      <c r="G53" s="160">
        <f t="shared" si="7"/>
        <v>-1.9649825532015421E-2</v>
      </c>
      <c r="H53" s="160">
        <f t="shared" si="7"/>
        <v>-0.13770718992039513</v>
      </c>
      <c r="I53" s="160">
        <f t="shared" si="7"/>
        <v>-0.42620888062826201</v>
      </c>
      <c r="J53" s="160">
        <f t="shared" si="7"/>
        <v>-0.85810931395879253</v>
      </c>
      <c r="K53" s="158"/>
      <c r="L53" s="158"/>
      <c r="M53" s="158"/>
      <c r="N53" s="158"/>
      <c r="O53" s="158"/>
      <c r="P53" s="158"/>
      <c r="Q53" s="158"/>
      <c r="R53" s="158"/>
      <c r="S53" s="158"/>
    </row>
    <row r="54" spans="2:19">
      <c r="B54" s="160">
        <v>-31</v>
      </c>
      <c r="C54" s="160">
        <f t="shared" si="7"/>
        <v>-2.4983385703914836E-17</v>
      </c>
      <c r="D54" s="160">
        <f t="shared" si="7"/>
        <v>-8.2472306845132222E-12</v>
      </c>
      <c r="E54" s="160">
        <f t="shared" si="7"/>
        <v>-2.5086927829543355E-7</v>
      </c>
      <c r="F54" s="160">
        <f t="shared" si="7"/>
        <v>-6.8670364109112625E-4</v>
      </c>
      <c r="G54" s="160">
        <f t="shared" si="7"/>
        <v>-2.4472430482091429E-2</v>
      </c>
      <c r="H54" s="160">
        <f t="shared" si="7"/>
        <v>-0.16037990531976393</v>
      </c>
      <c r="I54" s="160">
        <f t="shared" si="7"/>
        <v>-0.47671007847750613</v>
      </c>
      <c r="J54" s="160">
        <f t="shared" si="7"/>
        <v>-0.93492412751108722</v>
      </c>
      <c r="K54" s="158"/>
      <c r="L54" s="158"/>
      <c r="M54" s="158"/>
      <c r="N54" s="158"/>
      <c r="O54" s="158"/>
      <c r="P54" s="158"/>
      <c r="Q54" s="158"/>
      <c r="R54" s="158"/>
      <c r="S54" s="158"/>
    </row>
    <row r="55" spans="2:19">
      <c r="B55" s="160">
        <v>-30.5</v>
      </c>
      <c r="C55" s="160">
        <f t="shared" si="7"/>
        <v>-9.6351722360458728E-17</v>
      </c>
      <c r="D55" s="160">
        <f t="shared" si="7"/>
        <v>-2.105703228400703E-11</v>
      </c>
      <c r="E55" s="160">
        <f t="shared" si="7"/>
        <v>-4.5707182753291931E-7</v>
      </c>
      <c r="F55" s="160">
        <f t="shared" si="7"/>
        <v>-9.6232417830631413E-4</v>
      </c>
      <c r="G55" s="160">
        <f t="shared" si="7"/>
        <v>-3.0371791780413274E-2</v>
      </c>
      <c r="H55" s="160">
        <f t="shared" si="7"/>
        <v>-0.18633060583834379</v>
      </c>
      <c r="I55" s="160">
        <f t="shared" si="7"/>
        <v>-0.53224067782124118</v>
      </c>
      <c r="J55" s="160">
        <f t="shared" si="7"/>
        <v>-1.0172188034401299</v>
      </c>
      <c r="K55" s="158"/>
      <c r="L55" s="158"/>
      <c r="M55" s="158"/>
      <c r="N55" s="158"/>
      <c r="O55" s="158"/>
      <c r="P55" s="158"/>
      <c r="Q55" s="158"/>
      <c r="R55" s="158"/>
      <c r="S55" s="158"/>
    </row>
    <row r="56" spans="2:19">
      <c r="B56" s="160">
        <v>-30</v>
      </c>
      <c r="C56" s="160">
        <f t="shared" ref="C56:J65" si="8">-C$12*EXP((-($B56^2)/(2*C$10^2)))*1000</f>
        <v>-3.6352629606564088E-16</v>
      </c>
      <c r="D56" s="160">
        <f t="shared" si="8"/>
        <v>-5.2950107949753217E-11</v>
      </c>
      <c r="E56" s="160">
        <f t="shared" si="8"/>
        <v>-8.246792231800731E-7</v>
      </c>
      <c r="F56" s="160">
        <f t="shared" si="8"/>
        <v>-1.3411905502259548E-3</v>
      </c>
      <c r="G56" s="160">
        <f t="shared" si="8"/>
        <v>-3.7561128309049951E-2</v>
      </c>
      <c r="H56" s="160">
        <f t="shared" si="8"/>
        <v>-0.21595305187903172</v>
      </c>
      <c r="I56" s="160">
        <f t="shared" si="8"/>
        <v>-0.59317615402778312</v>
      </c>
      <c r="J56" s="160">
        <f t="shared" si="8"/>
        <v>-1.105240145596996</v>
      </c>
      <c r="K56" s="158"/>
      <c r="L56" s="158"/>
      <c r="M56" s="158"/>
      <c r="N56" s="158"/>
      <c r="O56" s="158"/>
      <c r="P56" s="158"/>
      <c r="Q56" s="158"/>
      <c r="R56" s="158"/>
      <c r="S56" s="158"/>
    </row>
    <row r="57" spans="2:19">
      <c r="B57" s="160">
        <v>-29.5</v>
      </c>
      <c r="C57" s="160">
        <f t="shared" si="8"/>
        <v>-1.3417769905016181E-15</v>
      </c>
      <c r="D57" s="160">
        <f t="shared" si="8"/>
        <v>-1.3113457197364416E-10</v>
      </c>
      <c r="E57" s="160">
        <f t="shared" si="8"/>
        <v>-1.4734970788324906E-6</v>
      </c>
      <c r="F57" s="160">
        <f t="shared" si="8"/>
        <v>-1.8589881096066645E-3</v>
      </c>
      <c r="G57" s="160">
        <f t="shared" si="8"/>
        <v>-4.6289421267342291E-2</v>
      </c>
      <c r="H57" s="160">
        <f t="shared" si="8"/>
        <v>-0.24967519770803537</v>
      </c>
      <c r="I57" s="160">
        <f t="shared" si="8"/>
        <v>-0.65990465933802811</v>
      </c>
      <c r="J57" s="160">
        <f t="shared" si="8"/>
        <v>-1.1992319298162579</v>
      </c>
      <c r="K57" s="158"/>
      <c r="L57" s="158"/>
      <c r="M57" s="158"/>
      <c r="N57" s="158"/>
      <c r="O57" s="158"/>
      <c r="P57" s="158"/>
      <c r="Q57" s="158"/>
      <c r="R57" s="158"/>
      <c r="S57" s="158"/>
    </row>
    <row r="58" spans="2:19">
      <c r="B58" s="160">
        <v>-29</v>
      </c>
      <c r="C58" s="160">
        <f t="shared" si="8"/>
        <v>-4.8449913744945252E-15</v>
      </c>
      <c r="D58" s="160">
        <f t="shared" si="8"/>
        <v>-3.198513753949316E-10</v>
      </c>
      <c r="E58" s="160">
        <f t="shared" si="8"/>
        <v>-2.6072167147519811E-6</v>
      </c>
      <c r="F58" s="160">
        <f t="shared" si="8"/>
        <v>-2.5625938467515545E-3</v>
      </c>
      <c r="G58" s="160">
        <f t="shared" si="8"/>
        <v>-5.6845982621138859E-2</v>
      </c>
      <c r="H58" s="160">
        <f t="shared" si="8"/>
        <v>-0.2879601330627648</v>
      </c>
      <c r="I58" s="160">
        <f t="shared" si="8"/>
        <v>-0.73282553923283245</v>
      </c>
      <c r="J58" s="160">
        <f t="shared" si="8"/>
        <v>-1.2994332488210247</v>
      </c>
      <c r="K58" s="158"/>
      <c r="L58" s="158"/>
      <c r="M58" s="158"/>
      <c r="N58" s="158"/>
      <c r="O58" s="158"/>
      <c r="P58" s="158"/>
      <c r="Q58" s="158"/>
      <c r="R58" s="158"/>
      <c r="S58" s="158"/>
    </row>
    <row r="59" spans="2:19">
      <c r="B59" s="160">
        <v>-28.5</v>
      </c>
      <c r="C59" s="160">
        <f t="shared" si="8"/>
        <v>-1.7114879109533817E-14</v>
      </c>
      <c r="D59" s="160">
        <f t="shared" si="8"/>
        <v>-7.6835143804264752E-10</v>
      </c>
      <c r="E59" s="160">
        <f t="shared" si="8"/>
        <v>-4.5684472079825379E-6</v>
      </c>
      <c r="F59" s="160">
        <f t="shared" si="8"/>
        <v>-3.5131766363375467E-3</v>
      </c>
      <c r="G59" s="160">
        <f t="shared" si="8"/>
        <v>-6.9565307691431613E-2</v>
      </c>
      <c r="H59" s="160">
        <f t="shared" si="8"/>
        <v>-0.331306712681955</v>
      </c>
      <c r="I59" s="160">
        <f t="shared" si="8"/>
        <v>-0.81234757487177622</v>
      </c>
      <c r="J59" s="160">
        <f t="shared" si="8"/>
        <v>-1.4060767486639227</v>
      </c>
      <c r="K59" s="158"/>
      <c r="L59" s="158"/>
      <c r="M59" s="158"/>
      <c r="N59" s="158"/>
      <c r="O59" s="158"/>
      <c r="P59" s="158"/>
      <c r="Q59" s="158"/>
      <c r="R59" s="158"/>
      <c r="S59" s="158"/>
    </row>
    <row r="60" spans="2:19">
      <c r="B60" s="160">
        <v>-28</v>
      </c>
      <c r="C60" s="160">
        <f t="shared" si="8"/>
        <v>-5.9145651912917713E-14</v>
      </c>
      <c r="D60" s="160">
        <f t="shared" si="8"/>
        <v>-1.8178257901695921E-9</v>
      </c>
      <c r="E60" s="160">
        <f t="shared" si="8"/>
        <v>-7.9272711993235595E-6</v>
      </c>
      <c r="F60" s="160">
        <f t="shared" si="8"/>
        <v>-4.7900189626216656E-3</v>
      </c>
      <c r="G60" s="160">
        <f t="shared" si="8"/>
        <v>-8.483216452377422E-2</v>
      </c>
      <c r="H60" s="160">
        <f t="shared" si="8"/>
        <v>-0.38024981520328011</v>
      </c>
      <c r="I60" s="160">
        <f t="shared" si="8"/>
        <v>-0.89888694071516684</v>
      </c>
      <c r="J60" s="160">
        <f t="shared" si="8"/>
        <v>-1.5193867625874191</v>
      </c>
      <c r="K60" s="158"/>
      <c r="L60" s="158"/>
      <c r="M60" s="158"/>
      <c r="N60" s="158"/>
      <c r="O60" s="158"/>
      <c r="P60" s="158"/>
      <c r="Q60" s="158"/>
      <c r="R60" s="158"/>
      <c r="S60" s="158"/>
    </row>
    <row r="61" spans="2:19">
      <c r="B61" s="160">
        <v>-27.5</v>
      </c>
      <c r="C61" s="160">
        <f t="shared" si="8"/>
        <v>-1.9995854580802249E-13</v>
      </c>
      <c r="D61" s="160">
        <f t="shared" si="8"/>
        <v>-4.2357008408043122E-9</v>
      </c>
      <c r="E61" s="160">
        <f t="shared" si="8"/>
        <v>-1.362204930643622E-5</v>
      </c>
      <c r="F61" s="160">
        <f t="shared" si="8"/>
        <v>-6.4951849091591527E-3</v>
      </c>
      <c r="G61" s="160">
        <f t="shared" si="8"/>
        <v>-0.10308685536431463</v>
      </c>
      <c r="H61" s="160">
        <f t="shared" si="8"/>
        <v>-0.4353601706097347</v>
      </c>
      <c r="I61" s="160">
        <f t="shared" si="8"/>
        <v>-0.99286486898754078</v>
      </c>
      <c r="J61" s="160">
        <f t="shared" si="8"/>
        <v>-1.6395773497065955</v>
      </c>
      <c r="K61" s="158"/>
      <c r="L61" s="158"/>
      <c r="M61" s="158"/>
      <c r="N61" s="158"/>
      <c r="O61" s="158"/>
      <c r="P61" s="158"/>
      <c r="Q61" s="158"/>
      <c r="R61" s="158"/>
      <c r="S61" s="158"/>
    </row>
    <row r="62" spans="2:19">
      <c r="B62" s="160">
        <v>-27</v>
      </c>
      <c r="C62" s="160">
        <f t="shared" si="8"/>
        <v>-6.6134073833265201E-13</v>
      </c>
      <c r="D62" s="160">
        <f t="shared" si="8"/>
        <v>-9.7202842241172001E-9</v>
      </c>
      <c r="E62" s="160">
        <f t="shared" si="8"/>
        <v>-2.3180607115358304E-5</v>
      </c>
      <c r="F62" s="160">
        <f t="shared" si="8"/>
        <v>-8.759167793567238E-3</v>
      </c>
      <c r="G62" s="160">
        <f t="shared" si="8"/>
        <v>-0.1248305663205342</v>
      </c>
      <c r="H62" s="160">
        <f t="shared" si="8"/>
        <v>-0.4972436940663057</v>
      </c>
      <c r="I62" s="160">
        <f t="shared" si="8"/>
        <v>-1.0947050155940936</v>
      </c>
      <c r="J62" s="160">
        <f t="shared" si="8"/>
        <v>-1.766850247479627</v>
      </c>
      <c r="K62" s="158"/>
      <c r="L62" s="158"/>
      <c r="M62" s="158"/>
      <c r="N62" s="158"/>
      <c r="O62" s="158"/>
      <c r="P62" s="158"/>
      <c r="Q62" s="158"/>
      <c r="R62" s="158"/>
      <c r="S62" s="158"/>
    </row>
    <row r="63" spans="2:19">
      <c r="B63" s="160">
        <v>-26.5</v>
      </c>
      <c r="C63" s="160">
        <f t="shared" si="8"/>
        <v>-2.1398273869842023E-12</v>
      </c>
      <c r="D63" s="160">
        <f t="shared" si="8"/>
        <v>-2.1969153090148448E-8</v>
      </c>
      <c r="E63" s="160">
        <f t="shared" si="8"/>
        <v>-3.9063467485448717E-5</v>
      </c>
      <c r="F63" s="160">
        <f t="shared" si="8"/>
        <v>-1.174765577027018E-2</v>
      </c>
      <c r="G63" s="160">
        <f t="shared" si="8"/>
        <v>-0.150630700340423</v>
      </c>
      <c r="H63" s="160">
        <f t="shared" si="8"/>
        <v>-0.56654026374455901</v>
      </c>
      <c r="I63" s="160">
        <f t="shared" si="8"/>
        <v>-1.2048305254558052</v>
      </c>
      <c r="J63" s="160">
        <f t="shared" si="8"/>
        <v>-1.9013927485192847</v>
      </c>
      <c r="K63" s="158"/>
      <c r="L63" s="158"/>
      <c r="M63" s="158"/>
      <c r="N63" s="158"/>
      <c r="O63" s="158"/>
      <c r="P63" s="158"/>
      <c r="Q63" s="158"/>
      <c r="R63" s="158"/>
      <c r="S63" s="158"/>
    </row>
    <row r="64" spans="2:19">
      <c r="B64" s="160">
        <v>-26</v>
      </c>
      <c r="C64" s="160">
        <f t="shared" si="8"/>
        <v>-6.7733008616191406E-12</v>
      </c>
      <c r="D64" s="160">
        <f t="shared" si="8"/>
        <v>-4.8902192708170768E-8</v>
      </c>
      <c r="E64" s="160">
        <f t="shared" si="8"/>
        <v>-6.5189913115339419E-5</v>
      </c>
      <c r="F64" s="160">
        <f t="shared" si="8"/>
        <v>-1.5669553396100388E-2</v>
      </c>
      <c r="G64" s="160">
        <f t="shared" si="8"/>
        <v>-0.18112606635654435</v>
      </c>
      <c r="H64" s="160">
        <f t="shared" si="8"/>
        <v>-0.64392188125352945</v>
      </c>
      <c r="I64" s="160">
        <f t="shared" si="8"/>
        <v>-1.3236607989709201</v>
      </c>
      <c r="J64" s="160">
        <f t="shared" si="8"/>
        <v>-2.0433755138945244</v>
      </c>
      <c r="K64" s="158"/>
      <c r="L64" s="158"/>
      <c r="M64" s="158"/>
      <c r="N64" s="158"/>
      <c r="O64" s="158"/>
      <c r="P64" s="158"/>
      <c r="Q64" s="158"/>
      <c r="R64" s="158"/>
      <c r="S64" s="158"/>
    </row>
    <row r="65" spans="2:19">
      <c r="B65" s="160">
        <v>-25.5</v>
      </c>
      <c r="C65" s="160">
        <f t="shared" si="8"/>
        <v>-2.0974429242588661E-11</v>
      </c>
      <c r="D65" s="160">
        <f t="shared" si="8"/>
        <v>-1.0720721559797906E-7</v>
      </c>
      <c r="E65" s="160">
        <f t="shared" si="8"/>
        <v>-1.0773421210853546E-4</v>
      </c>
      <c r="F65" s="160">
        <f t="shared" si="8"/>
        <v>-2.0786389687090047E-2</v>
      </c>
      <c r="G65" s="160">
        <f t="shared" si="8"/>
        <v>-0.21703177429415116</v>
      </c>
      <c r="H65" s="160">
        <f t="shared" si="8"/>
        <v>-0.73009015574151626</v>
      </c>
      <c r="I65" s="160">
        <f t="shared" si="8"/>
        <v>-1.4516079654173155</v>
      </c>
      <c r="J65" s="160">
        <f t="shared" si="8"/>
        <v>-2.1929503366547975</v>
      </c>
      <c r="K65" s="158"/>
      <c r="L65" s="158"/>
      <c r="M65" s="158"/>
      <c r="N65" s="158"/>
      <c r="O65" s="158"/>
      <c r="P65" s="158"/>
      <c r="Q65" s="158"/>
      <c r="R65" s="158"/>
      <c r="S65" s="158"/>
    </row>
    <row r="66" spans="2:19">
      <c r="B66" s="160">
        <v>-25</v>
      </c>
      <c r="C66" s="160">
        <f t="shared" ref="C66:J75" si="9">-C$12*EXP((-($B66^2)/(2*C$10^2)))*1000</f>
        <v>-6.3540129539704109E-11</v>
      </c>
      <c r="D66" s="160">
        <f t="shared" si="9"/>
        <v>-2.314730140949576E-7</v>
      </c>
      <c r="E66" s="160">
        <f t="shared" si="9"/>
        <v>-1.7631550444402227E-4</v>
      </c>
      <c r="F66" s="160">
        <f t="shared" si="9"/>
        <v>-2.7423226513463551E-2</v>
      </c>
      <c r="G66" s="160">
        <f t="shared" si="9"/>
        <v>-0.25914366225483804</v>
      </c>
      <c r="H66" s="160">
        <f t="shared" si="9"/>
        <v>-0.8257730567520366</v>
      </c>
      <c r="I66" s="160">
        <f t="shared" si="9"/>
        <v>-1.5890730735506333</v>
      </c>
      <c r="J66" s="160">
        <f t="shared" si="9"/>
        <v>-2.3502478708599908</v>
      </c>
      <c r="K66" s="158"/>
      <c r="L66" s="158"/>
      <c r="M66" s="158"/>
      <c r="N66" s="158"/>
      <c r="O66" s="158"/>
      <c r="P66" s="158"/>
      <c r="Q66" s="158"/>
      <c r="R66" s="158"/>
      <c r="S66" s="158"/>
    </row>
    <row r="67" spans="2:19">
      <c r="B67" s="160">
        <v>-24.5</v>
      </c>
      <c r="C67" s="160">
        <f t="shared" si="9"/>
        <v>-1.8831035395520396E-10</v>
      </c>
      <c r="D67" s="160">
        <f t="shared" si="9"/>
        <v>-4.9221787744994165E-7</v>
      </c>
      <c r="E67" s="160">
        <f t="shared" si="9"/>
        <v>-2.8575312897513507E-4</v>
      </c>
      <c r="F67" s="160">
        <f t="shared" si="9"/>
        <v>-3.5981153070833681E-2</v>
      </c>
      <c r="G67" s="160">
        <f t="shared" si="9"/>
        <v>-0.30834205931828457</v>
      </c>
      <c r="H67" s="160">
        <f t="shared" si="9"/>
        <v>-0.93172088663526631</v>
      </c>
      <c r="I67" s="160">
        <f t="shared" si="9"/>
        <v>-1.7364420143856218</v>
      </c>
      <c r="J67" s="160">
        <f t="shared" si="9"/>
        <v>-2.5153753428933472</v>
      </c>
      <c r="K67" s="158"/>
      <c r="L67" s="158"/>
      <c r="M67" s="158"/>
      <c r="N67" s="158"/>
      <c r="O67" s="158"/>
      <c r="P67" s="158"/>
      <c r="Q67" s="158"/>
      <c r="R67" s="158"/>
      <c r="S67" s="158"/>
    </row>
    <row r="68" spans="2:19">
      <c r="B68" s="160">
        <v>-24</v>
      </c>
      <c r="C68" s="160">
        <f t="shared" si="9"/>
        <v>-5.4596960184775171E-10</v>
      </c>
      <c r="D68" s="160">
        <f t="shared" si="9"/>
        <v>-1.0308490289750913E-6</v>
      </c>
      <c r="E68" s="160">
        <f t="shared" si="9"/>
        <v>-4.5862224046169998E-4</v>
      </c>
      <c r="F68" s="160">
        <f t="shared" si="9"/>
        <v>-4.6951410386312439E-2</v>
      </c>
      <c r="G68" s="160">
        <f t="shared" si="9"/>
        <v>-0.36559466595007473</v>
      </c>
      <c r="H68" s="160">
        <f t="shared" si="9"/>
        <v>-1.048701430834361</v>
      </c>
      <c r="I68" s="160">
        <f t="shared" si="9"/>
        <v>-1.8940811961222284</v>
      </c>
      <c r="J68" s="160">
        <f t="shared" si="9"/>
        <v>-2.688414263250233</v>
      </c>
      <c r="K68" s="158"/>
      <c r="L68" s="158"/>
      <c r="M68" s="158"/>
      <c r="N68" s="158"/>
      <c r="O68" s="158"/>
      <c r="P68" s="158"/>
      <c r="Q68" s="158"/>
      <c r="R68" s="158"/>
      <c r="S68" s="158"/>
    </row>
    <row r="69" spans="2:19">
      <c r="B69" s="160">
        <v>-23.5</v>
      </c>
      <c r="C69" s="160">
        <f t="shared" si="9"/>
        <v>-1.5485701579259834E-9</v>
      </c>
      <c r="D69" s="160">
        <f t="shared" si="9"/>
        <v>-2.1262455386031208E-6</v>
      </c>
      <c r="E69" s="160">
        <f t="shared" si="9"/>
        <v>-7.2892501607753682E-4</v>
      </c>
      <c r="F69" s="160">
        <f t="shared" si="9"/>
        <v>-6.0931132241724709E-2</v>
      </c>
      <c r="G69" s="160">
        <f t="shared" si="9"/>
        <v>-0.43195831498556542</v>
      </c>
      <c r="H69" s="160">
        <f t="shared" si="9"/>
        <v>-1.1774942537517938</v>
      </c>
      <c r="I69" s="160">
        <f t="shared" si="9"/>
        <v>-2.0623329963333514</v>
      </c>
      <c r="J69" s="160">
        <f t="shared" si="9"/>
        <v>-2.8694181583080618</v>
      </c>
      <c r="K69" s="158"/>
      <c r="L69" s="158"/>
      <c r="M69" s="158"/>
      <c r="N69" s="158"/>
      <c r="O69" s="158"/>
      <c r="P69" s="158"/>
      <c r="Q69" s="158"/>
      <c r="R69" s="158"/>
      <c r="S69" s="158"/>
    </row>
    <row r="70" spans="2:19">
      <c r="B70" s="160">
        <v>-23</v>
      </c>
      <c r="C70" s="160">
        <f t="shared" si="9"/>
        <v>-4.2969615562997568E-9</v>
      </c>
      <c r="D70" s="160">
        <f t="shared" si="9"/>
        <v>-4.319290666747239E-6</v>
      </c>
      <c r="E70" s="160">
        <f t="shared" si="9"/>
        <v>-1.1472926861809082E-3</v>
      </c>
      <c r="F70" s="160">
        <f t="shared" si="9"/>
        <v>-7.864061369596051E-2</v>
      </c>
      <c r="G70" s="160">
        <f t="shared" si="9"/>
        <v>-0.50857936070924981</v>
      </c>
      <c r="H70" s="160">
        <f t="shared" si="9"/>
        <v>-1.3188841191826426</v>
      </c>
      <c r="I70" s="160">
        <f t="shared" si="9"/>
        <v>-2.2415110217982628</v>
      </c>
      <c r="J70" s="160">
        <f t="shared" si="9"/>
        <v>-3.0584103427681231</v>
      </c>
      <c r="K70" s="158"/>
      <c r="L70" s="158"/>
      <c r="M70" s="158"/>
      <c r="N70" s="158"/>
      <c r="O70" s="158"/>
      <c r="P70" s="158"/>
      <c r="Q70" s="158"/>
      <c r="R70" s="158"/>
      <c r="S70" s="158"/>
    </row>
    <row r="71" spans="2:19">
      <c r="B71" s="160">
        <v>-22.5</v>
      </c>
      <c r="C71" s="160">
        <f t="shared" si="9"/>
        <v>-1.1664341068940639E-8</v>
      </c>
      <c r="D71" s="160">
        <f t="shared" si="9"/>
        <v>-8.6415592649818908E-6</v>
      </c>
      <c r="E71" s="160">
        <f t="shared" si="9"/>
        <v>-1.7882540669679394E-3</v>
      </c>
      <c r="F71" s="160">
        <f t="shared" si="9"/>
        <v>-0.10094192426112462</v>
      </c>
      <c r="G71" s="160">
        <f t="shared" si="9"/>
        <v>-0.59669243287956675</v>
      </c>
      <c r="H71" s="160">
        <f t="shared" si="9"/>
        <v>-1.4736535274626614</v>
      </c>
      <c r="I71" s="160">
        <f t="shared" si="9"/>
        <v>-2.4318952116664954</v>
      </c>
      <c r="J71" s="160">
        <f t="shared" si="9"/>
        <v>-3.2553817544940791</v>
      </c>
      <c r="K71" s="158"/>
      <c r="L71" s="158"/>
      <c r="M71" s="158"/>
      <c r="N71" s="158"/>
      <c r="O71" s="158"/>
      <c r="P71" s="158"/>
      <c r="Q71" s="158"/>
      <c r="R71" s="158"/>
      <c r="S71" s="158"/>
    </row>
    <row r="72" spans="2:19">
      <c r="B72" s="160">
        <v>-22</v>
      </c>
      <c r="C72" s="160">
        <f t="shared" si="9"/>
        <v>-3.0976126661021712E-8</v>
      </c>
      <c r="D72" s="160">
        <f t="shared" si="9"/>
        <v>-1.7027561633045275E-5</v>
      </c>
      <c r="E72" s="160">
        <f t="shared" si="9"/>
        <v>-2.7602463499718142E-3</v>
      </c>
      <c r="F72" s="160">
        <f t="shared" si="9"/>
        <v>-0.12885856920539329</v>
      </c>
      <c r="G72" s="160">
        <f t="shared" si="9"/>
        <v>-0.69761728792158928</v>
      </c>
      <c r="H72" s="160">
        <f t="shared" si="9"/>
        <v>-1.6425743764515319</v>
      </c>
      <c r="I72" s="160">
        <f t="shared" si="9"/>
        <v>-2.6337268248853589</v>
      </c>
      <c r="J72" s="160">
        <f t="shared" si="9"/>
        <v>-3.4602888743310811</v>
      </c>
      <c r="K72" s="158"/>
      <c r="L72" s="158"/>
      <c r="M72" s="158"/>
      <c r="N72" s="158"/>
      <c r="O72" s="158"/>
      <c r="P72" s="158"/>
      <c r="Q72" s="158"/>
      <c r="R72" s="158"/>
      <c r="S72" s="158"/>
    </row>
    <row r="73" spans="2:19">
      <c r="B73" s="160">
        <v>-21.5</v>
      </c>
      <c r="C73" s="160">
        <f t="shared" si="9"/>
        <v>-8.0475219954095289E-8</v>
      </c>
      <c r="D73" s="160">
        <f t="shared" si="9"/>
        <v>-3.3044065583964309E-5</v>
      </c>
      <c r="E73" s="160">
        <f t="shared" si="9"/>
        <v>-4.2191998164360159E-3</v>
      </c>
      <c r="F73" s="160">
        <f t="shared" si="9"/>
        <v>-0.16359576994288216</v>
      </c>
      <c r="G73" s="160">
        <f t="shared" si="9"/>
        <v>-0.81275349218900705</v>
      </c>
      <c r="H73" s="160">
        <f t="shared" si="9"/>
        <v>-1.8263987701330695</v>
      </c>
      <c r="I73" s="160">
        <f t="shared" si="9"/>
        <v>-2.8472033579274929</v>
      </c>
      <c r="J73" s="160">
        <f t="shared" si="9"/>
        <v>-3.6730517541507477</v>
      </c>
      <c r="K73" s="158"/>
      <c r="L73" s="158"/>
      <c r="M73" s="158"/>
      <c r="N73" s="158"/>
      <c r="O73" s="158"/>
      <c r="P73" s="158"/>
      <c r="Q73" s="158"/>
      <c r="R73" s="158"/>
      <c r="S73" s="158"/>
    </row>
    <row r="74" spans="2:19">
      <c r="B74" s="160">
        <v>-21</v>
      </c>
      <c r="C74" s="160">
        <f t="shared" si="9"/>
        <v>-2.0453394396490523E-7</v>
      </c>
      <c r="D74" s="160">
        <f t="shared" si="9"/>
        <v>-6.3156078563437199E-5</v>
      </c>
      <c r="E74" s="160">
        <f t="shared" si="9"/>
        <v>-6.3866919501622196E-3</v>
      </c>
      <c r="F74" s="160">
        <f t="shared" si="9"/>
        <v>-0.20656078488059271</v>
      </c>
      <c r="G74" s="160">
        <f t="shared" si="9"/>
        <v>-0.94357268339818767</v>
      </c>
      <c r="H74" s="160">
        <f t="shared" si="9"/>
        <v>-2.025849016783225</v>
      </c>
      <c r="I74" s="160">
        <f t="shared" si="9"/>
        <v>-3.0724734437145518</v>
      </c>
      <c r="J74" s="160">
        <f t="shared" si="9"/>
        <v>-3.8935521768092332</v>
      </c>
      <c r="K74" s="158"/>
      <c r="L74" s="158"/>
      <c r="M74" s="158"/>
      <c r="N74" s="158"/>
      <c r="O74" s="158"/>
      <c r="P74" s="158"/>
      <c r="Q74" s="158"/>
      <c r="R74" s="158"/>
      <c r="S74" s="158"/>
    </row>
    <row r="75" spans="2:19">
      <c r="B75" s="160">
        <v>-20.5</v>
      </c>
      <c r="C75" s="160">
        <f t="shared" si="9"/>
        <v>-5.0855364656287158E-7</v>
      </c>
      <c r="D75" s="160">
        <f t="shared" si="9"/>
        <v>-1.188823834243683E-4</v>
      </c>
      <c r="E75" s="160">
        <f t="shared" si="9"/>
        <v>-9.5738247080107471E-3</v>
      </c>
      <c r="F75" s="160">
        <f t="shared" si="9"/>
        <v>-0.25938252887036178</v>
      </c>
      <c r="G75" s="160">
        <f t="shared" si="9"/>
        <v>-1.0916081771686896</v>
      </c>
      <c r="H75" s="160">
        <f t="shared" si="9"/>
        <v>-2.2416068780917642</v>
      </c>
      <c r="I75" s="160">
        <f t="shared" si="9"/>
        <v>-3.3096317871469654</v>
      </c>
      <c r="J75" s="160">
        <f t="shared" si="9"/>
        <v>-4.1216319719083243</v>
      </c>
      <c r="K75" s="158"/>
      <c r="L75" s="158"/>
      <c r="M75" s="158"/>
      <c r="N75" s="158"/>
      <c r="O75" s="158"/>
      <c r="P75" s="158"/>
      <c r="Q75" s="158"/>
      <c r="R75" s="158"/>
      <c r="S75" s="158"/>
    </row>
    <row r="76" spans="2:19">
      <c r="B76" s="160">
        <v>-20</v>
      </c>
      <c r="C76" s="160">
        <f t="shared" ref="C76:J85" si="10">-C$12*EXP((-($B76^2)/(2*C$10^2)))*1000</f>
        <v>-1.2370188347701098E-6</v>
      </c>
      <c r="D76" s="160">
        <f t="shared" si="10"/>
        <v>-2.2039438055502784E-4</v>
      </c>
      <c r="E76" s="160">
        <f t="shared" si="10"/>
        <v>-1.4212111306964273E-2</v>
      </c>
      <c r="F76" s="160">
        <f t="shared" si="10"/>
        <v>-0.32392957781854759</v>
      </c>
      <c r="G76" s="160">
        <f t="shared" si="10"/>
        <v>-1.2584417170012332</v>
      </c>
      <c r="H76" s="160">
        <f t="shared" si="10"/>
        <v>-2.4743021510219529</v>
      </c>
      <c r="I76" s="160">
        <f t="shared" si="10"/>
        <v>-3.5587141967131117</v>
      </c>
      <c r="J76" s="160">
        <f t="shared" si="10"/>
        <v>-4.3570915111951329</v>
      </c>
      <c r="K76" s="158"/>
      <c r="L76" s="158"/>
      <c r="M76" s="158"/>
      <c r="N76" s="158"/>
      <c r="O76" s="158"/>
      <c r="P76" s="158"/>
      <c r="Q76" s="158"/>
      <c r="R76" s="158"/>
      <c r="S76" s="158"/>
    </row>
    <row r="77" spans="2:19">
      <c r="B77" s="160">
        <v>-19.5</v>
      </c>
      <c r="C77" s="160">
        <f t="shared" si="10"/>
        <v>-2.9436353601530093E-6</v>
      </c>
      <c r="D77" s="160">
        <f t="shared" si="10"/>
        <v>-4.0240576771441531E-4</v>
      </c>
      <c r="E77" s="160">
        <f t="shared" si="10"/>
        <v>-2.089273786146718E-2</v>
      </c>
      <c r="F77" s="160">
        <f t="shared" si="10"/>
        <v>-0.40232547225890247</v>
      </c>
      <c r="G77" s="160">
        <f t="shared" si="10"/>
        <v>-1.4456872086792001</v>
      </c>
      <c r="H77" s="160">
        <f t="shared" si="10"/>
        <v>-2.7245006851926989</v>
      </c>
      <c r="I77" s="160">
        <f t="shared" si="10"/>
        <v>-3.8196927751593495</v>
      </c>
      <c r="J77" s="160">
        <f t="shared" si="10"/>
        <v>-4.5996884071092907</v>
      </c>
      <c r="K77" s="158"/>
      <c r="L77" s="158"/>
      <c r="M77" s="158"/>
      <c r="N77" s="158"/>
      <c r="O77" s="158"/>
      <c r="P77" s="158"/>
      <c r="Q77" s="158"/>
      <c r="R77" s="158"/>
      <c r="S77" s="158"/>
    </row>
    <row r="78" spans="2:19">
      <c r="B78" s="160">
        <v>-19</v>
      </c>
      <c r="C78" s="160">
        <f t="shared" si="10"/>
        <v>-6.8526708119738089E-6</v>
      </c>
      <c r="D78" s="160">
        <f t="shared" si="10"/>
        <v>-7.2361663648615084E-4</v>
      </c>
      <c r="E78" s="160">
        <f t="shared" si="10"/>
        <v>-3.0415554388768348E-2</v>
      </c>
      <c r="F78" s="160">
        <f t="shared" si="10"/>
        <v>-0.49696006902293249</v>
      </c>
      <c r="G78" s="160">
        <f t="shared" si="10"/>
        <v>-1.6549713343762738</v>
      </c>
      <c r="H78" s="160">
        <f t="shared" si="10"/>
        <v>-2.9926919597516632</v>
      </c>
      <c r="I78" s="160">
        <f t="shared" si="10"/>
        <v>-4.0924713350520676</v>
      </c>
      <c r="J78" s="160">
        <f t="shared" si="10"/>
        <v>-4.8491364373751118</v>
      </c>
      <c r="K78" s="158"/>
      <c r="L78" s="158"/>
      <c r="M78" s="158"/>
      <c r="N78" s="158"/>
      <c r="O78" s="158"/>
      <c r="P78" s="158"/>
      <c r="Q78" s="158"/>
      <c r="R78" s="158"/>
      <c r="S78" s="158"/>
    </row>
    <row r="79" spans="2:19">
      <c r="B79" s="160">
        <v>-18.5</v>
      </c>
      <c r="C79" s="160">
        <f t="shared" si="10"/>
        <v>-1.5606441463097834E-5</v>
      </c>
      <c r="D79" s="160">
        <f t="shared" si="10"/>
        <v>-1.2815441000720714E-3</v>
      </c>
      <c r="E79" s="160">
        <f t="shared" si="10"/>
        <v>-4.3849005183233446E-2</v>
      </c>
      <c r="F79" s="160">
        <f t="shared" si="10"/>
        <v>-0.61049554469244571</v>
      </c>
      <c r="G79" s="160">
        <f t="shared" si="10"/>
        <v>-1.8879110076972525</v>
      </c>
      <c r="H79" s="160">
        <f t="shared" si="10"/>
        <v>-3.2792763646081142</v>
      </c>
      <c r="I79" s="160">
        <f t="shared" si="10"/>
        <v>-4.3768811071553611</v>
      </c>
      <c r="J79" s="160">
        <f t="shared" si="10"/>
        <v>-5.1051047176309705</v>
      </c>
      <c r="K79" s="158"/>
      <c r="L79" s="158"/>
      <c r="M79" s="158"/>
      <c r="N79" s="158"/>
      <c r="O79" s="158"/>
      <c r="P79" s="158"/>
      <c r="Q79" s="158"/>
      <c r="R79" s="158"/>
      <c r="S79" s="158"/>
    </row>
    <row r="80" spans="2:19">
      <c r="B80" s="160">
        <v>-18</v>
      </c>
      <c r="C80" s="160">
        <f t="shared" si="10"/>
        <v>-3.4770910673037455E-5</v>
      </c>
      <c r="D80" s="160">
        <f t="shared" si="10"/>
        <v>-2.2353175837099247E-3</v>
      </c>
      <c r="E80" s="160">
        <f t="shared" si="10"/>
        <v>-6.2601880515083239E-2</v>
      </c>
      <c r="F80" s="160">
        <f t="shared" si="10"/>
        <v>-0.74586554109945857</v>
      </c>
      <c r="G80" s="160">
        <f t="shared" si="10"/>
        <v>-2.1460877080412315</v>
      </c>
      <c r="H80" s="160">
        <f t="shared" si="10"/>
        <v>-3.5845523510003101</v>
      </c>
      <c r="I80" s="160">
        <f t="shared" si="10"/>
        <v>-4.6726768107904055</v>
      </c>
      <c r="J80" s="160">
        <f t="shared" si="10"/>
        <v>-5.3672171428834909</v>
      </c>
      <c r="K80" s="158"/>
      <c r="L80" s="158"/>
      <c r="M80" s="158"/>
      <c r="N80" s="158"/>
      <c r="O80" s="158"/>
      <c r="P80" s="158"/>
      <c r="Q80" s="158"/>
      <c r="R80" s="158"/>
      <c r="S80" s="158"/>
    </row>
    <row r="81" spans="2:19">
      <c r="B81" s="160">
        <v>-17.5</v>
      </c>
      <c r="C81" s="160">
        <f t="shared" si="10"/>
        <v>-7.5787294276124652E-5</v>
      </c>
      <c r="D81" s="160">
        <f t="shared" si="10"/>
        <v>-3.8399500898101957E-3</v>
      </c>
      <c r="E81" s="160">
        <f t="shared" si="10"/>
        <v>-8.8507207850749531E-2</v>
      </c>
      <c r="F81" s="160">
        <f t="shared" si="10"/>
        <v>-0.90626587578055007</v>
      </c>
      <c r="G81" s="160">
        <f t="shared" si="10"/>
        <v>-2.4310188201398701</v>
      </c>
      <c r="H81" s="160">
        <f t="shared" si="10"/>
        <v>-3.908703635141157</v>
      </c>
      <c r="I81" s="160">
        <f t="shared" si="10"/>
        <v>-4.9795331556515805</v>
      </c>
      <c r="J81" s="160">
        <f t="shared" si="10"/>
        <v>-5.6350521170686445</v>
      </c>
      <c r="K81" s="158"/>
      <c r="L81" s="158"/>
      <c r="M81" s="158"/>
      <c r="N81" s="158"/>
      <c r="O81" s="158"/>
      <c r="P81" s="158"/>
      <c r="Q81" s="158"/>
      <c r="R81" s="158"/>
      <c r="S81" s="158"/>
    </row>
    <row r="82" spans="2:19">
      <c r="B82" s="160">
        <v>-17</v>
      </c>
      <c r="C82" s="160">
        <f t="shared" si="10"/>
        <v>-1.6160131816280322E-4</v>
      </c>
      <c r="D82" s="160">
        <f t="shared" si="10"/>
        <v>-6.4966966856907773E-3</v>
      </c>
      <c r="E82" s="160">
        <f t="shared" si="10"/>
        <v>-0.12391775237915163</v>
      </c>
      <c r="F82" s="160">
        <f t="shared" si="10"/>
        <v>-1.0951352336122744</v>
      </c>
      <c r="G82" s="160">
        <f t="shared" si="10"/>
        <v>-2.744126200950614</v>
      </c>
      <c r="H82" s="160">
        <f t="shared" si="10"/>
        <v>-4.2517866555540982</v>
      </c>
      <c r="I82" s="160">
        <f t="shared" si="10"/>
        <v>-5.2970418438569018</v>
      </c>
      <c r="J82" s="160">
        <f t="shared" si="10"/>
        <v>-5.9081425881977934</v>
      </c>
      <c r="K82" s="158"/>
      <c r="L82" s="158"/>
      <c r="M82" s="158"/>
      <c r="N82" s="158"/>
      <c r="O82" s="158"/>
      <c r="P82" s="158"/>
      <c r="Q82" s="158"/>
      <c r="R82" s="158"/>
      <c r="S82" s="158"/>
    </row>
    <row r="83" spans="2:19">
      <c r="B83" s="160">
        <v>-16.5</v>
      </c>
      <c r="C83" s="160">
        <f t="shared" si="10"/>
        <v>-3.3710217533103711E-4</v>
      </c>
      <c r="D83" s="160">
        <f t="shared" si="10"/>
        <v>-1.082530818193192E-2</v>
      </c>
      <c r="E83" s="160">
        <f t="shared" si="10"/>
        <v>-0.17181142560719104</v>
      </c>
      <c r="F83" s="160">
        <f t="shared" si="10"/>
        <v>-1.3161243242180682</v>
      </c>
      <c r="G83" s="160">
        <f t="shared" si="10"/>
        <v>-3.0867022992988979</v>
      </c>
      <c r="H83" s="160">
        <f t="shared" si="10"/>
        <v>-4.6137184991081082</v>
      </c>
      <c r="I83" s="160">
        <f t="shared" si="10"/>
        <v>-5.6247091392475594</v>
      </c>
      <c r="J83" s="160">
        <f t="shared" si="10"/>
        <v>-6.1859764044711811</v>
      </c>
      <c r="K83" s="158"/>
      <c r="L83" s="158"/>
      <c r="M83" s="158"/>
      <c r="N83" s="158"/>
      <c r="O83" s="158"/>
      <c r="P83" s="158"/>
      <c r="Q83" s="158"/>
      <c r="R83" s="158"/>
      <c r="S83" s="158"/>
    </row>
    <row r="84" spans="2:19">
      <c r="B84" s="160">
        <v>-16</v>
      </c>
      <c r="C84" s="160">
        <f t="shared" si="10"/>
        <v>-6.8793336069254999E-4</v>
      </c>
      <c r="D84" s="160">
        <f t="shared" si="10"/>
        <v>-1.7765139133705345E-2</v>
      </c>
      <c r="E84" s="160">
        <f t="shared" si="10"/>
        <v>-0.23590338990251322</v>
      </c>
      <c r="F84" s="160">
        <f t="shared" si="10"/>
        <v>-1.5730521462515419</v>
      </c>
      <c r="G84" s="160">
        <f t="shared" si="10"/>
        <v>-3.4598742612539271</v>
      </c>
      <c r="H84" s="160">
        <f t="shared" si="10"/>
        <v>-4.9942655221239383</v>
      </c>
      <c r="I84" s="160">
        <f t="shared" si="10"/>
        <v>-5.9619540680793808</v>
      </c>
      <c r="J84" s="160">
        <f t="shared" si="10"/>
        <v>-6.4679970043655572</v>
      </c>
      <c r="K84" s="158"/>
      <c r="L84" s="158"/>
      <c r="M84" s="158"/>
      <c r="N84" s="158"/>
      <c r="O84" s="158"/>
      <c r="P84" s="158"/>
      <c r="Q84" s="158"/>
      <c r="R84" s="158"/>
      <c r="S84" s="158"/>
    </row>
    <row r="85" spans="2:19">
      <c r="B85" s="160">
        <v>-15.5</v>
      </c>
      <c r="C85" s="160">
        <f t="shared" si="10"/>
        <v>-1.3734072821822525E-3</v>
      </c>
      <c r="D85" s="160">
        <f t="shared" si="10"/>
        <v>-2.8712937372121008E-2</v>
      </c>
      <c r="E85" s="160">
        <f t="shared" si="10"/>
        <v>-0.32075981063952785</v>
      </c>
      <c r="F85" s="160">
        <f t="shared" si="10"/>
        <v>-1.8698482550221744</v>
      </c>
      <c r="G85" s="160">
        <f t="shared" si="10"/>
        <v>-3.8645665631736499</v>
      </c>
      <c r="H85" s="160">
        <f t="shared" si="10"/>
        <v>-5.3930329007160323</v>
      </c>
      <c r="I85" s="160">
        <f t="shared" si="10"/>
        <v>-6.3081073112419341</v>
      </c>
      <c r="J85" s="160">
        <f t="shared" si="10"/>
        <v>-6.753604451062313</v>
      </c>
      <c r="K85" s="158"/>
      <c r="L85" s="158"/>
      <c r="M85" s="158"/>
      <c r="N85" s="158"/>
      <c r="O85" s="158"/>
      <c r="P85" s="158"/>
      <c r="Q85" s="158"/>
      <c r="R85" s="158"/>
      <c r="S85" s="158"/>
    </row>
    <row r="86" spans="2:19">
      <c r="B86" s="160">
        <v>-15</v>
      </c>
      <c r="C86" s="160">
        <f t="shared" ref="C86:J95" si="11">-C$12*EXP((-($B86^2)/(2*C$10^2)))*1000</f>
        <v>-2.6823811004519096E-3</v>
      </c>
      <c r="D86" s="160">
        <f t="shared" si="11"/>
        <v>-4.5705377522439201E-2</v>
      </c>
      <c r="E86" s="160">
        <f t="shared" si="11"/>
        <v>-0.43190610375806343</v>
      </c>
      <c r="F86" s="160">
        <f t="shared" si="11"/>
        <v>-2.210480291193992</v>
      </c>
      <c r="G86" s="160">
        <f t="shared" si="11"/>
        <v>-4.3014628212003725</v>
      </c>
      <c r="H86" s="160">
        <f t="shared" si="11"/>
        <v>-5.809455348260177</v>
      </c>
      <c r="I86" s="160">
        <f t="shared" si="11"/>
        <v>-6.6624108429918625</v>
      </c>
      <c r="J86" s="160">
        <f t="shared" si="11"/>
        <v>-7.0421568186982366</v>
      </c>
      <c r="K86" s="158"/>
      <c r="L86" s="158"/>
      <c r="M86" s="158"/>
      <c r="N86" s="158"/>
      <c r="O86" s="158"/>
      <c r="P86" s="158"/>
      <c r="Q86" s="158"/>
      <c r="R86" s="158"/>
      <c r="S86" s="158"/>
    </row>
    <row r="87" spans="2:19">
      <c r="B87" s="160">
        <v>-14.5</v>
      </c>
      <c r="C87" s="160">
        <f t="shared" si="11"/>
        <v>-5.1251876935031089E-3</v>
      </c>
      <c r="D87" s="160">
        <f t="shared" si="11"/>
        <v>-7.1653538744211306E-2</v>
      </c>
      <c r="E87" s="160">
        <f t="shared" si="11"/>
        <v>-0.5759202661255296</v>
      </c>
      <c r="F87" s="160">
        <f t="shared" si="11"/>
        <v>-2.5988664976420495</v>
      </c>
      <c r="G87" s="160">
        <f t="shared" si="11"/>
        <v>-4.770967526896591</v>
      </c>
      <c r="H87" s="160">
        <f t="shared" si="11"/>
        <v>-6.2427892371004301</v>
      </c>
      <c r="I87" s="160">
        <f t="shared" si="11"/>
        <v>-7.0240183649095433</v>
      </c>
      <c r="J87" s="160">
        <f t="shared" si="11"/>
        <v>-7.3329719348171825</v>
      </c>
      <c r="K87" s="158"/>
      <c r="L87" s="158"/>
      <c r="M87" s="158"/>
      <c r="N87" s="158"/>
      <c r="O87" s="158"/>
      <c r="P87" s="158"/>
      <c r="Q87" s="158"/>
      <c r="R87" s="158"/>
      <c r="S87" s="158"/>
    </row>
    <row r="88" spans="2:19">
      <c r="B88" s="160">
        <v>-14</v>
      </c>
      <c r="C88" s="160">
        <f t="shared" si="11"/>
        <v>-9.5800379252433312E-3</v>
      </c>
      <c r="D88" s="160">
        <f t="shared" si="11"/>
        <v>-0.11063400981343692</v>
      </c>
      <c r="E88" s="160">
        <f t="shared" si="11"/>
        <v>-0.76049963040656021</v>
      </c>
      <c r="F88" s="160">
        <f t="shared" si="11"/>
        <v>-3.0387735251748382</v>
      </c>
      <c r="G88" s="160">
        <f t="shared" si="11"/>
        <v>-5.2731685495915244</v>
      </c>
      <c r="H88" s="160">
        <f t="shared" si="11"/>
        <v>-6.6921063559710667</v>
      </c>
      <c r="I88" s="160">
        <f t="shared" si="11"/>
        <v>-7.3919965764177782</v>
      </c>
      <c r="J88" s="160">
        <f t="shared" si="11"/>
        <v>-7.62532948010689</v>
      </c>
      <c r="K88" s="158"/>
      <c r="L88" s="158"/>
      <c r="M88" s="158"/>
      <c r="N88" s="158"/>
      <c r="O88" s="158"/>
      <c r="P88" s="158"/>
      <c r="Q88" s="158"/>
      <c r="R88" s="158"/>
      <c r="S88" s="158"/>
    </row>
    <row r="89" spans="2:19">
      <c r="B89" s="160">
        <v>-13.5</v>
      </c>
      <c r="C89" s="160">
        <f t="shared" si="11"/>
        <v>-1.7518335587134476E-2</v>
      </c>
      <c r="D89" s="160">
        <f t="shared" si="11"/>
        <v>-0.16823654043520767</v>
      </c>
      <c r="E89" s="160">
        <f t="shared" si="11"/>
        <v>-0.99448738813261139</v>
      </c>
      <c r="F89" s="160">
        <f t="shared" si="11"/>
        <v>-3.5337004949592541</v>
      </c>
      <c r="G89" s="160">
        <f t="shared" si="11"/>
        <v>-5.8078013226504268</v>
      </c>
      <c r="H89" s="160">
        <f t="shared" si="11"/>
        <v>-7.1562895238446531</v>
      </c>
      <c r="I89" s="160">
        <f t="shared" si="11"/>
        <v>-7.7653273147953463</v>
      </c>
      <c r="J89" s="160">
        <f t="shared" si="11"/>
        <v>-7.9184734430535473</v>
      </c>
      <c r="K89" s="158"/>
      <c r="L89" s="158"/>
      <c r="M89" s="158"/>
      <c r="N89" s="158"/>
      <c r="O89" s="158"/>
      <c r="P89" s="158"/>
      <c r="Q89" s="158"/>
      <c r="R89" s="158"/>
      <c r="S89" s="158"/>
    </row>
    <row r="90" spans="2:19">
      <c r="B90" s="160">
        <v>-13</v>
      </c>
      <c r="C90" s="160">
        <f t="shared" si="11"/>
        <v>-3.1339106792200776E-2</v>
      </c>
      <c r="D90" s="160">
        <f t="shared" si="11"/>
        <v>-0.25196062168406919</v>
      </c>
      <c r="E90" s="160">
        <f t="shared" si="11"/>
        <v>-1.2878437625070589</v>
      </c>
      <c r="F90" s="160">
        <f t="shared" si="11"/>
        <v>-4.0867510277890489</v>
      </c>
      <c r="G90" s="160">
        <f t="shared" si="11"/>
        <v>-6.3742156891038446</v>
      </c>
      <c r="H90" s="160">
        <f t="shared" si="11"/>
        <v>-7.6340302648686498</v>
      </c>
      <c r="I90" s="160">
        <f t="shared" si="11"/>
        <v>-8.1429105882570028</v>
      </c>
      <c r="J90" s="160">
        <f t="shared" si="11"/>
        <v>-8.2116149235742899</v>
      </c>
      <c r="K90" s="158"/>
      <c r="L90" s="158"/>
      <c r="M90" s="158"/>
      <c r="N90" s="158"/>
      <c r="O90" s="158"/>
      <c r="P90" s="158"/>
      <c r="Q90" s="158"/>
      <c r="R90" s="158"/>
      <c r="S90" s="158"/>
    </row>
    <row r="91" spans="2:19">
      <c r="B91" s="160">
        <v>-12.5</v>
      </c>
      <c r="C91" s="160">
        <f t="shared" si="11"/>
        <v>-5.4846453026927103E-2</v>
      </c>
      <c r="D91" s="160">
        <f t="shared" si="11"/>
        <v>-0.37164276262332724</v>
      </c>
      <c r="E91" s="160">
        <f t="shared" si="11"/>
        <v>-1.6515461135040732</v>
      </c>
      <c r="F91" s="160">
        <f t="shared" si="11"/>
        <v>-4.7004957417199815</v>
      </c>
      <c r="G91" s="160">
        <f t="shared" si="11"/>
        <v>-6.971346417912212</v>
      </c>
      <c r="H91" s="160">
        <f t="shared" si="11"/>
        <v>-8.123828727683545</v>
      </c>
      <c r="I91" s="160">
        <f t="shared" si="11"/>
        <v>-8.523568515456649</v>
      </c>
      <c r="J91" s="160">
        <f t="shared" si="11"/>
        <v>-8.5039352760343494</v>
      </c>
      <c r="K91" s="158"/>
      <c r="L91" s="158"/>
      <c r="M91" s="158"/>
      <c r="N91" s="158"/>
      <c r="O91" s="158"/>
      <c r="P91" s="158"/>
      <c r="Q91" s="158"/>
      <c r="R91" s="158"/>
      <c r="S91" s="158"/>
    </row>
    <row r="92" spans="2:19">
      <c r="B92" s="160">
        <v>-12</v>
      </c>
      <c r="C92" s="160">
        <f t="shared" si="11"/>
        <v>-9.3902820772624879E-2</v>
      </c>
      <c r="D92" s="160">
        <f t="shared" si="11"/>
        <v>-0.53988262969757927</v>
      </c>
      <c r="E92" s="160">
        <f t="shared" si="11"/>
        <v>-2.0974028616687219</v>
      </c>
      <c r="F92" s="160">
        <f t="shared" si="11"/>
        <v>-5.3768285265004661</v>
      </c>
      <c r="G92" s="160">
        <f t="shared" si="11"/>
        <v>-7.5976884120138557</v>
      </c>
      <c r="H92" s="160">
        <f t="shared" si="11"/>
        <v>-8.6239960058207412</v>
      </c>
      <c r="I92" s="160">
        <f t="shared" si="11"/>
        <v>-8.9060501738251912</v>
      </c>
      <c r="J92" s="160">
        <f t="shared" si="11"/>
        <v>-8.7945895783637766</v>
      </c>
      <c r="K92" s="158"/>
      <c r="L92" s="158"/>
      <c r="M92" s="158"/>
      <c r="N92" s="158"/>
      <c r="O92" s="158"/>
      <c r="P92" s="158"/>
      <c r="Q92" s="158"/>
      <c r="R92" s="158"/>
      <c r="S92" s="158"/>
    </row>
    <row r="93" spans="2:19">
      <c r="B93" s="160">
        <v>-11.5</v>
      </c>
      <c r="C93" s="160">
        <f t="shared" si="11"/>
        <v>-0.15728122739192102</v>
      </c>
      <c r="D93" s="160">
        <f t="shared" si="11"/>
        <v>-0.77242032992507226</v>
      </c>
      <c r="E93" s="160">
        <f t="shared" si="11"/>
        <v>-2.6377682383652852</v>
      </c>
      <c r="F93" s="160">
        <f t="shared" si="11"/>
        <v>-6.1168206855362461</v>
      </c>
      <c r="G93" s="160">
        <f t="shared" si="11"/>
        <v>-8.2512776102100496</v>
      </c>
      <c r="H93" s="160">
        <f t="shared" si="11"/>
        <v>-9.1326589842910497</v>
      </c>
      <c r="I93" s="160">
        <f t="shared" si="11"/>
        <v>-9.2890373476219317</v>
      </c>
      <c r="J93" s="160">
        <f t="shared" si="11"/>
        <v>-9.0827104103033118</v>
      </c>
      <c r="K93" s="158"/>
      <c r="L93" s="158"/>
      <c r="M93" s="158"/>
      <c r="N93" s="158"/>
      <c r="O93" s="158"/>
      <c r="P93" s="158"/>
      <c r="Q93" s="158"/>
      <c r="R93" s="158"/>
      <c r="S93" s="158"/>
    </row>
    <row r="94" spans="2:19">
      <c r="B94" s="160">
        <v>-11</v>
      </c>
      <c r="C94" s="160">
        <f t="shared" si="11"/>
        <v>-0.25771713841078658</v>
      </c>
      <c r="D94" s="160">
        <f t="shared" si="11"/>
        <v>-1.088400426524337</v>
      </c>
      <c r="E94" s="160">
        <f t="shared" si="11"/>
        <v>-3.2851487529030639</v>
      </c>
      <c r="F94" s="160">
        <f t="shared" si="11"/>
        <v>-6.9205777486621622</v>
      </c>
      <c r="G94" s="160">
        <f t="shared" si="11"/>
        <v>-8.9296785346356948</v>
      </c>
      <c r="H94" s="160">
        <f t="shared" si="11"/>
        <v>-9.6477678012696373</v>
      </c>
      <c r="I94" s="160">
        <f t="shared" si="11"/>
        <v>-9.6711511546191069</v>
      </c>
      <c r="J94" s="160">
        <f t="shared" si="11"/>
        <v>-9.3674119201766342</v>
      </c>
      <c r="K94" s="158"/>
      <c r="L94" s="158"/>
      <c r="M94" s="158"/>
      <c r="N94" s="158"/>
      <c r="O94" s="158"/>
      <c r="P94" s="158"/>
      <c r="Q94" s="158"/>
      <c r="R94" s="158"/>
      <c r="S94" s="158"/>
    </row>
    <row r="95" spans="2:19">
      <c r="B95" s="160">
        <v>-10.5</v>
      </c>
      <c r="C95" s="160">
        <f t="shared" si="11"/>
        <v>-0.41312156976118541</v>
      </c>
      <c r="D95" s="160">
        <f t="shared" si="11"/>
        <v>-1.5104431263009166</v>
      </c>
      <c r="E95" s="160">
        <f t="shared" si="11"/>
        <v>-4.0516980335664501</v>
      </c>
      <c r="F95" s="160">
        <f t="shared" si="11"/>
        <v>-7.7871043536184663</v>
      </c>
      <c r="G95" s="160">
        <f t="shared" si="11"/>
        <v>-9.6299793527282702</v>
      </c>
      <c r="H95" s="160">
        <f t="shared" si="11"/>
        <v>-10.167105973475852</v>
      </c>
      <c r="I95" s="160">
        <f t="shared" si="11"/>
        <v>-10.050959518130032</v>
      </c>
      <c r="J95" s="160">
        <f t="shared" si="11"/>
        <v>-9.6477941560543616</v>
      </c>
      <c r="K95" s="158"/>
      <c r="L95" s="158"/>
      <c r="M95" s="158"/>
      <c r="N95" s="158"/>
      <c r="O95" s="158"/>
      <c r="P95" s="158"/>
      <c r="Q95" s="158"/>
      <c r="R95" s="158"/>
      <c r="S95" s="158"/>
    </row>
    <row r="96" spans="2:19">
      <c r="B96" s="160">
        <v>-10</v>
      </c>
      <c r="C96" s="160">
        <f t="shared" ref="C96:J105" si="12">-C$12*EXP((-($B96^2)/(2*C$10^2)))*1000</f>
        <v>-0.64785915563709517</v>
      </c>
      <c r="D96" s="160">
        <f t="shared" si="12"/>
        <v>-2.0644326418800913</v>
      </c>
      <c r="E96" s="160">
        <f t="shared" si="12"/>
        <v>-4.9486043020439059</v>
      </c>
      <c r="F96" s="160">
        <f t="shared" si="12"/>
        <v>-8.7141830223902659</v>
      </c>
      <c r="G96" s="160">
        <f t="shared" si="12"/>
        <v>-10.348795206984891</v>
      </c>
      <c r="H96" s="160">
        <f t="shared" si="12"/>
        <v>-10.688303190087941</v>
      </c>
      <c r="I96" s="160">
        <f t="shared" si="12"/>
        <v>-10.426985438821308</v>
      </c>
      <c r="J96" s="160">
        <f t="shared" si="12"/>
        <v>-9.9229476337914715</v>
      </c>
      <c r="K96" s="158"/>
      <c r="L96" s="158"/>
      <c r="M96" s="158"/>
      <c r="N96" s="158"/>
      <c r="O96" s="158"/>
      <c r="P96" s="158"/>
      <c r="Q96" s="158"/>
      <c r="R96" s="158"/>
      <c r="S96" s="158"/>
    </row>
    <row r="97" spans="2:19">
      <c r="B97" s="160">
        <v>-9.5</v>
      </c>
      <c r="C97" s="160">
        <f t="shared" si="12"/>
        <v>-0.99392013804586499</v>
      </c>
      <c r="D97" s="160">
        <f t="shared" si="12"/>
        <v>-2.7789307460850594</v>
      </c>
      <c r="E97" s="160">
        <f t="shared" si="12"/>
        <v>-5.9853839195033265</v>
      </c>
      <c r="F97" s="160">
        <f t="shared" si="12"/>
        <v>-9.6982728747502236</v>
      </c>
      <c r="G97" s="160">
        <f t="shared" si="12"/>
        <v>-11.082280418303736</v>
      </c>
      <c r="H97" s="160">
        <f t="shared" si="12"/>
        <v>-11.208850733600638</v>
      </c>
      <c r="I97" s="160">
        <f t="shared" si="12"/>
        <v>-10.797716008618092</v>
      </c>
      <c r="J97" s="160">
        <f t="shared" si="12"/>
        <v>-10.191958111231745</v>
      </c>
      <c r="K97" s="158"/>
      <c r="L97" s="158"/>
      <c r="M97" s="158"/>
      <c r="N97" s="158"/>
      <c r="O97" s="158"/>
      <c r="P97" s="158"/>
      <c r="Q97" s="158"/>
      <c r="R97" s="158"/>
      <c r="S97" s="158"/>
    </row>
    <row r="98" spans="2:19">
      <c r="B98" s="160">
        <v>-9</v>
      </c>
      <c r="C98" s="160">
        <f t="shared" si="12"/>
        <v>-1.4917310821989171</v>
      </c>
      <c r="D98" s="160">
        <f t="shared" si="12"/>
        <v>-3.6841338186566528</v>
      </c>
      <c r="E98" s="160">
        <f t="shared" si="12"/>
        <v>-7.1691047020006202</v>
      </c>
      <c r="F98" s="160">
        <f t="shared" si="12"/>
        <v>-10.734434285766982</v>
      </c>
      <c r="G98" s="160">
        <f t="shared" si="12"/>
        <v>-11.826149991495621</v>
      </c>
      <c r="H98" s="160">
        <f t="shared" si="12"/>
        <v>-11.726119437818369</v>
      </c>
      <c r="I98" s="160">
        <f t="shared" si="12"/>
        <v>-11.161612097222775</v>
      </c>
      <c r="J98" s="160">
        <f t="shared" si="12"/>
        <v>-10.453911534926393</v>
      </c>
      <c r="K98" s="158"/>
      <c r="L98" s="158"/>
      <c r="M98" s="158"/>
      <c r="N98" s="158"/>
      <c r="O98" s="158"/>
      <c r="P98" s="158"/>
      <c r="Q98" s="158"/>
      <c r="R98" s="158"/>
      <c r="S98" s="158"/>
    </row>
    <row r="99" spans="2:19">
      <c r="B99" s="160">
        <v>-8.5</v>
      </c>
      <c r="C99" s="160">
        <f t="shared" si="12"/>
        <v>-2.1902704672245488</v>
      </c>
      <c r="D99" s="160">
        <f t="shared" si="12"/>
        <v>-4.8103174266108164</v>
      </c>
      <c r="E99" s="160">
        <f t="shared" si="12"/>
        <v>-8.5035733111081964</v>
      </c>
      <c r="F99" s="160">
        <f t="shared" si="12"/>
        <v>-11.816285176395587</v>
      </c>
      <c r="G99" s="160">
        <f t="shared" si="12"/>
        <v>-12.575710648033583</v>
      </c>
      <c r="H99" s="160">
        <f t="shared" si="12"/>
        <v>-12.23738004416292</v>
      </c>
      <c r="I99" s="160">
        <f t="shared" si="12"/>
        <v>-11.517118630529504</v>
      </c>
      <c r="J99" s="160">
        <f t="shared" si="12"/>
        <v>-10.707899123053654</v>
      </c>
      <c r="K99" s="158"/>
      <c r="L99" s="158"/>
      <c r="M99" s="158"/>
      <c r="N99" s="158"/>
      <c r="O99" s="158"/>
      <c r="P99" s="158"/>
      <c r="Q99" s="158"/>
      <c r="R99" s="158"/>
      <c r="S99" s="158"/>
    </row>
    <row r="100" spans="2:19">
      <c r="B100" s="160">
        <v>-8</v>
      </c>
      <c r="C100" s="160">
        <f t="shared" si="12"/>
        <v>-3.1461042925030838</v>
      </c>
      <c r="D100" s="160">
        <f t="shared" si="12"/>
        <v>-6.1857553775548828</v>
      </c>
      <c r="E100" s="160">
        <f t="shared" si="12"/>
        <v>-9.9885310442478765</v>
      </c>
      <c r="F100" s="160">
        <f t="shared" si="12"/>
        <v>-12.935994008731114</v>
      </c>
      <c r="G100" s="160">
        <f t="shared" si="12"/>
        <v>-13.325901385913172</v>
      </c>
      <c r="H100" s="160">
        <f t="shared" si="12"/>
        <v>-12.739825768719593</v>
      </c>
      <c r="I100" s="160">
        <f t="shared" si="12"/>
        <v>-11.86267536973422</v>
      </c>
      <c r="J100" s="160">
        <f t="shared" si="12"/>
        <v>-10.953022545893235</v>
      </c>
      <c r="K100" s="158"/>
      <c r="L100" s="158"/>
      <c r="M100" s="158"/>
      <c r="N100" s="158"/>
      <c r="O100" s="158"/>
      <c r="P100" s="158"/>
      <c r="Q100" s="158"/>
      <c r="R100" s="158"/>
      <c r="S100" s="158"/>
    </row>
    <row r="101" spans="2:19">
      <c r="B101" s="160">
        <v>-7.5</v>
      </c>
      <c r="C101" s="160">
        <f t="shared" si="12"/>
        <v>-4.4209605823879841</v>
      </c>
      <c r="D101" s="160">
        <f t="shared" si="12"/>
        <v>-7.8341595695332993</v>
      </c>
      <c r="E101" s="160">
        <f t="shared" si="12"/>
        <v>-11.618910696520354</v>
      </c>
      <c r="F101" s="160">
        <f t="shared" si="12"/>
        <v>-14.084313637396473</v>
      </c>
      <c r="G101" s="160">
        <f t="shared" si="12"/>
        <v>-14.071343325382042</v>
      </c>
      <c r="H101" s="160">
        <f t="shared" si="12"/>
        <v>-13.230596845055295</v>
      </c>
      <c r="I101" s="160">
        <f t="shared" si="12"/>
        <v>-12.196728090412064</v>
      </c>
      <c r="J101" s="160">
        <f t="shared" si="12"/>
        <v>-11.188399163242419</v>
      </c>
      <c r="K101" s="158"/>
      <c r="L101" s="158"/>
      <c r="M101" s="158"/>
      <c r="N101" s="158"/>
      <c r="O101" s="158"/>
      <c r="P101" s="158"/>
      <c r="Q101" s="158"/>
      <c r="R101" s="158"/>
      <c r="S101" s="158"/>
    </row>
    <row r="102" spans="2:19">
      <c r="B102" s="160">
        <v>-7</v>
      </c>
      <c r="C102" s="160">
        <f t="shared" si="12"/>
        <v>-6.0775470503496765</v>
      </c>
      <c r="D102" s="160">
        <f t="shared" si="12"/>
        <v>-9.7717590878528924</v>
      </c>
      <c r="E102" s="160">
        <f t="shared" si="12"/>
        <v>-13.384212711942133</v>
      </c>
      <c r="F102" s="160">
        <f t="shared" si="12"/>
        <v>-15.25065896021378</v>
      </c>
      <c r="G102" s="160">
        <f t="shared" si="12"/>
        <v>-14.806398349005388</v>
      </c>
      <c r="H102" s="160">
        <f t="shared" si="12"/>
        <v>-13.706806762940833</v>
      </c>
      <c r="I102" s="160">
        <f t="shared" si="12"/>
        <v>-12.51774005244941</v>
      </c>
      <c r="J102" s="160">
        <f t="shared" si="12"/>
        <v>-11.413167276593587</v>
      </c>
      <c r="K102" s="158"/>
      <c r="L102" s="158"/>
      <c r="M102" s="158"/>
      <c r="N102" s="158"/>
      <c r="O102" s="158"/>
      <c r="P102" s="158"/>
      <c r="Q102" s="158"/>
      <c r="R102" s="158"/>
      <c r="S102" s="158"/>
    </row>
    <row r="103" spans="2:19">
      <c r="B103" s="160">
        <v>-6.5</v>
      </c>
      <c r="C103" s="160">
        <f t="shared" si="12"/>
        <v>-8.1735020555780977</v>
      </c>
      <c r="D103" s="160">
        <f t="shared" si="12"/>
        <v>-12.004214742385715</v>
      </c>
      <c r="E103" s="160">
        <f t="shared" si="12"/>
        <v>-15.2680605297373</v>
      </c>
      <c r="F103" s="160">
        <f t="shared" si="12"/>
        <v>-16.42322984714858</v>
      </c>
      <c r="G103" s="160">
        <f t="shared" si="12"/>
        <v>-15.525235792586331</v>
      </c>
      <c r="H103" s="160">
        <f t="shared" si="12"/>
        <v>-14.165569881812674</v>
      </c>
      <c r="I103" s="160">
        <f t="shared" si="12"/>
        <v>-12.824203644651421</v>
      </c>
      <c r="J103" s="160">
        <f t="shared" si="12"/>
        <v>-11.626491352755341</v>
      </c>
      <c r="K103" s="158"/>
      <c r="L103" s="158"/>
      <c r="M103" s="158"/>
      <c r="N103" s="158"/>
      <c r="O103" s="158"/>
      <c r="P103" s="158"/>
      <c r="Q103" s="158"/>
      <c r="R103" s="158"/>
      <c r="S103" s="158"/>
    </row>
    <row r="104" spans="2:19">
      <c r="B104" s="160">
        <v>-6</v>
      </c>
      <c r="C104" s="160">
        <f t="shared" si="12"/>
        <v>-10.753657053000932</v>
      </c>
      <c r="D104" s="160">
        <f t="shared" si="12"/>
        <v>-14.523638370650442</v>
      </c>
      <c r="E104" s="160">
        <f t="shared" si="12"/>
        <v>-17.247992011641482</v>
      </c>
      <c r="F104" s="160">
        <f t="shared" si="12"/>
        <v>-17.589179156727553</v>
      </c>
      <c r="G104" s="160">
        <f t="shared" si="12"/>
        <v>-16.221906197915143</v>
      </c>
      <c r="H104" s="160">
        <f t="shared" si="12"/>
        <v>-14.604030061190977</v>
      </c>
      <c r="I104" s="160">
        <f t="shared" si="12"/>
        <v>-13.114652082253411</v>
      </c>
      <c r="J104" s="160">
        <f t="shared" si="12"/>
        <v>-11.827567174915776</v>
      </c>
      <c r="K104" s="158"/>
      <c r="L104" s="158"/>
      <c r="M104" s="158"/>
      <c r="N104" s="158"/>
      <c r="O104" s="158"/>
      <c r="P104" s="158"/>
      <c r="Q104" s="158"/>
      <c r="R104" s="158"/>
      <c r="S104" s="158"/>
    </row>
    <row r="105" spans="2:19">
      <c r="B105" s="160">
        <v>-5.5</v>
      </c>
      <c r="C105" s="160">
        <f t="shared" si="12"/>
        <v>-13.841155497324324</v>
      </c>
      <c r="D105" s="160">
        <f t="shared" si="12"/>
        <v>-17.306042419331792</v>
      </c>
      <c r="E105" s="160">
        <f t="shared" si="12"/>
        <v>-19.295535602539275</v>
      </c>
      <c r="F105" s="160">
        <f t="shared" si="12"/>
        <v>-18.734823840353268</v>
      </c>
      <c r="G105" s="160">
        <f t="shared" si="12"/>
        <v>-16.890420907485208</v>
      </c>
      <c r="H105" s="160">
        <f t="shared" si="12"/>
        <v>-15.019389919332825</v>
      </c>
      <c r="I105" s="160">
        <f t="shared" si="12"/>
        <v>-13.387671031579924</v>
      </c>
      <c r="J105" s="160">
        <f t="shared" si="12"/>
        <v>-12.01562687693502</v>
      </c>
      <c r="K105" s="158"/>
      <c r="L105" s="158"/>
      <c r="M105" s="158"/>
      <c r="N105" s="158"/>
      <c r="O105" s="158"/>
      <c r="P105" s="158"/>
      <c r="Q105" s="158"/>
      <c r="R105" s="158"/>
      <c r="S105" s="158"/>
    </row>
    <row r="106" spans="2:19">
      <c r="B106" s="160">
        <v>-5</v>
      </c>
      <c r="C106" s="160">
        <f t="shared" ref="C106:J115" si="13">-C$12*EXP((-($B106^2)/(2*C$10^2)))*1000</f>
        <v>-17.428366044780532</v>
      </c>
      <c r="D106" s="160">
        <f t="shared" si="13"/>
        <v>-20.309571819208863</v>
      </c>
      <c r="E106" s="160">
        <f t="shared" si="13"/>
        <v>-21.376606380175883</v>
      </c>
      <c r="F106" s="160">
        <f t="shared" si="13"/>
        <v>-19.845895267582943</v>
      </c>
      <c r="G106" s="160">
        <f t="shared" si="13"/>
        <v>-17.524836073429174</v>
      </c>
      <c r="H106" s="160">
        <f t="shared" si="13"/>
        <v>-15.408940307042517</v>
      </c>
      <c r="I106" s="160">
        <f t="shared" si="13"/>
        <v>-13.641910033827648</v>
      </c>
      <c r="J106" s="160">
        <f t="shared" si="13"/>
        <v>-12.189943816927865</v>
      </c>
      <c r="K106" s="158"/>
      <c r="L106" s="158"/>
      <c r="M106" s="158"/>
      <c r="N106" s="158"/>
      <c r="O106" s="158"/>
      <c r="P106" s="158"/>
      <c r="Q106" s="158"/>
      <c r="R106" s="158"/>
      <c r="S106" s="158"/>
    </row>
    <row r="107" spans="2:19">
      <c r="B107" s="160">
        <v>-4.5</v>
      </c>
      <c r="C107" s="160">
        <f t="shared" si="13"/>
        <v>-21.468868571533964</v>
      </c>
      <c r="D107" s="160">
        <f t="shared" si="13"/>
        <v>-23.473856062327449</v>
      </c>
      <c r="E107" s="160">
        <f t="shared" si="13"/>
        <v>-23.452238875636738</v>
      </c>
      <c r="F107" s="160">
        <f t="shared" si="13"/>
        <v>-20.907823069852785</v>
      </c>
      <c r="G107" s="160">
        <f t="shared" si="13"/>
        <v>-18.119339475846136</v>
      </c>
      <c r="H107" s="160">
        <f t="shared" si="13"/>
        <v>-15.770089566554367</v>
      </c>
      <c r="I107" s="160">
        <f t="shared" si="13"/>
        <v>-13.876093599477812</v>
      </c>
      <c r="J107" s="160">
        <f t="shared" si="13"/>
        <v>-12.349837246961583</v>
      </c>
      <c r="K107" s="158"/>
      <c r="L107" s="158"/>
      <c r="M107" s="158"/>
      <c r="N107" s="158"/>
      <c r="O107" s="158"/>
      <c r="P107" s="158"/>
      <c r="Q107" s="158"/>
      <c r="R107" s="158"/>
      <c r="S107" s="158"/>
    </row>
    <row r="108" spans="2:19">
      <c r="B108" s="160">
        <v>-4</v>
      </c>
      <c r="C108" s="160">
        <f t="shared" si="13"/>
        <v>-25.871988017462229</v>
      </c>
      <c r="D108" s="160">
        <f t="shared" si="13"/>
        <v>-26.720757975219854</v>
      </c>
      <c r="E108" s="160">
        <f t="shared" si="13"/>
        <v>-25.479651537439185</v>
      </c>
      <c r="F108" s="160">
        <f t="shared" si="13"/>
        <v>-21.906045091786471</v>
      </c>
      <c r="G108" s="160">
        <f t="shared" si="13"/>
        <v>-18.668338406539021</v>
      </c>
      <c r="H108" s="160">
        <f t="shared" si="13"/>
        <v>-16.100392136361656</v>
      </c>
      <c r="I108" s="160">
        <f t="shared" si="13"/>
        <v>-14.089031846220223</v>
      </c>
      <c r="J108" s="160">
        <f t="shared" si="13"/>
        <v>-12.494676736948609</v>
      </c>
      <c r="K108" s="158"/>
      <c r="L108" s="158"/>
      <c r="M108" s="158"/>
      <c r="N108" s="158"/>
      <c r="O108" s="158"/>
      <c r="P108" s="158"/>
      <c r="Q108" s="158"/>
      <c r="R108" s="158"/>
      <c r="S108" s="158"/>
    </row>
    <row r="109" spans="2:19">
      <c r="B109" s="160">
        <v>-3.5</v>
      </c>
      <c r="C109" s="160">
        <f t="shared" si="13"/>
        <v>-30.50131792042756</v>
      </c>
      <c r="D109" s="160">
        <f t="shared" si="13"/>
        <v>-29.956686597050457</v>
      </c>
      <c r="E109" s="160">
        <f t="shared" si="13"/>
        <v>-27.413613525881665</v>
      </c>
      <c r="F109" s="160">
        <f t="shared" si="13"/>
        <v>-22.826334553187174</v>
      </c>
      <c r="G109" s="160">
        <f t="shared" si="13"/>
        <v>-19.166546779055633</v>
      </c>
      <c r="H109" s="160">
        <f t="shared" si="13"/>
        <v>-16.397576062225205</v>
      </c>
      <c r="I109" s="160">
        <f t="shared" si="13"/>
        <v>-14.279630556512696</v>
      </c>
      <c r="J109" s="160">
        <f t="shared" si="13"/>
        <v>-12.623886312551081</v>
      </c>
      <c r="K109" s="158"/>
      <c r="L109" s="158"/>
      <c r="M109" s="158"/>
      <c r="N109" s="158"/>
      <c r="O109" s="158"/>
      <c r="P109" s="158"/>
      <c r="Q109" s="158"/>
      <c r="R109" s="158"/>
      <c r="S109" s="158"/>
    </row>
    <row r="110" spans="2:19">
      <c r="B110" s="160">
        <v>-3</v>
      </c>
      <c r="C110" s="160">
        <f t="shared" si="13"/>
        <v>-35.178358313455107</v>
      </c>
      <c r="D110" s="160">
        <f t="shared" si="13"/>
        <v>-33.076492112638235</v>
      </c>
      <c r="E110" s="160">
        <f t="shared" si="13"/>
        <v>-29.208060122381955</v>
      </c>
      <c r="F110" s="160">
        <f t="shared" si="13"/>
        <v>-23.655134349831552</v>
      </c>
      <c r="G110" s="160">
        <f t="shared" si="13"/>
        <v>-19.609069579604363</v>
      </c>
      <c r="H110" s="160">
        <f t="shared" si="13"/>
        <v>-16.659568982598145</v>
      </c>
      <c r="I110" s="160">
        <f t="shared" si="13"/>
        <v>-14.44690053599024</v>
      </c>
      <c r="J110" s="160">
        <f t="shared" si="13"/>
        <v>-12.736948269119816</v>
      </c>
      <c r="K110" s="158"/>
      <c r="L110" s="158"/>
      <c r="M110" s="158"/>
      <c r="N110" s="158"/>
      <c r="O110" s="158"/>
      <c r="P110" s="158"/>
      <c r="Q110" s="158"/>
      <c r="R110" s="158"/>
      <c r="S110" s="158"/>
    </row>
    <row r="111" spans="2:19">
      <c r="B111" s="160">
        <v>-2.5</v>
      </c>
      <c r="C111" s="160">
        <f t="shared" si="13"/>
        <v>-39.691790535165886</v>
      </c>
      <c r="D111" s="160">
        <f t="shared" si="13"/>
        <v>-35.968785994592402</v>
      </c>
      <c r="E111" s="160">
        <f t="shared" si="13"/>
        <v>-30.817880614085034</v>
      </c>
      <c r="F111" s="160">
        <f t="shared" si="13"/>
        <v>-24.379887633855731</v>
      </c>
      <c r="G111" s="160">
        <f t="shared" si="13"/>
        <v>-19.991482779117774</v>
      </c>
      <c r="H111" s="160">
        <f t="shared" si="13"/>
        <v>-16.884522173386291</v>
      </c>
      <c r="I111" s="160">
        <f t="shared" si="13"/>
        <v>-14.589966160829251</v>
      </c>
      <c r="J111" s="160">
        <f t="shared" si="13"/>
        <v>-12.833406626343798</v>
      </c>
      <c r="K111" s="158"/>
      <c r="L111" s="158"/>
      <c r="M111" s="158"/>
      <c r="N111" s="158"/>
      <c r="O111" s="158"/>
      <c r="P111" s="158"/>
      <c r="Q111" s="158"/>
      <c r="R111" s="158"/>
      <c r="S111" s="158"/>
    </row>
    <row r="112" spans="2:19">
      <c r="B112" s="160">
        <v>-2</v>
      </c>
      <c r="C112" s="160">
        <f t="shared" si="13"/>
        <v>-43.812090183572941</v>
      </c>
      <c r="D112" s="160">
        <f t="shared" si="13"/>
        <v>-38.522350767606298</v>
      </c>
      <c r="E112" s="160">
        <f t="shared" si="13"/>
        <v>-32.200784272723311</v>
      </c>
      <c r="F112" s="160">
        <f t="shared" si="13"/>
        <v>-24.989353473897218</v>
      </c>
      <c r="G112" s="160">
        <f t="shared" si="13"/>
        <v>-20.309906885948021</v>
      </c>
      <c r="H112" s="160">
        <f t="shared" si="13"/>
        <v>-17.070832262149121</v>
      </c>
      <c r="I112" s="160">
        <f t="shared" si="13"/>
        <v>-14.708073010780421</v>
      </c>
      <c r="J112" s="160">
        <f t="shared" si="13"/>
        <v>-12.912870191359589</v>
      </c>
      <c r="K112" s="158"/>
      <c r="L112" s="158"/>
      <c r="M112" s="158"/>
      <c r="N112" s="158"/>
      <c r="O112" s="158"/>
      <c r="P112" s="158"/>
      <c r="Q112" s="158"/>
      <c r="R112" s="158"/>
      <c r="S112" s="158"/>
    </row>
    <row r="113" spans="2:19">
      <c r="B113" s="160">
        <v>-1.5</v>
      </c>
      <c r="C113" s="160">
        <f t="shared" si="13"/>
        <v>-47.310268699663105</v>
      </c>
      <c r="D113" s="160">
        <f t="shared" si="13"/>
        <v>-40.633146056426213</v>
      </c>
      <c r="E113" s="160">
        <f t="shared" si="13"/>
        <v>-33.31913796519629</v>
      </c>
      <c r="F113" s="160">
        <f t="shared" si="13"/>
        <v>-25.473896538239632</v>
      </c>
      <c r="G113" s="160">
        <f t="shared" si="13"/>
        <v>-20.56107243103045</v>
      </c>
      <c r="H113" s="160">
        <f t="shared" si="13"/>
        <v>-17.217160255146116</v>
      </c>
      <c r="I113" s="160">
        <f t="shared" si="13"/>
        <v>-14.800594494795398</v>
      </c>
      <c r="J113" s="160">
        <f t="shared" si="13"/>
        <v>-12.975015201530626</v>
      </c>
      <c r="K113" s="158"/>
      <c r="L113" s="158"/>
      <c r="M113" s="158"/>
      <c r="N113" s="158"/>
      <c r="O113" s="158"/>
      <c r="P113" s="158"/>
      <c r="Q113" s="158"/>
      <c r="R113" s="158"/>
      <c r="S113" s="158"/>
    </row>
    <row r="114" spans="2:19">
      <c r="B114" s="160">
        <v>-1</v>
      </c>
      <c r="C114" s="160">
        <f t="shared" si="13"/>
        <v>-49.978706947794436</v>
      </c>
      <c r="D114" s="160">
        <f t="shared" si="13"/>
        <v>-42.211305433465725</v>
      </c>
      <c r="E114" s="160">
        <f t="shared" si="13"/>
        <v>-34.141664524298243</v>
      </c>
      <c r="F114" s="160">
        <f t="shared" si="13"/>
        <v>-25.825740382719179</v>
      </c>
      <c r="G114" s="160">
        <f t="shared" si="13"/>
        <v>-20.742375840590231</v>
      </c>
      <c r="H114" s="160">
        <f t="shared" si="13"/>
        <v>-17.322447561452101</v>
      </c>
      <c r="I114" s="160">
        <f t="shared" si="13"/>
        <v>-14.867037387841584</v>
      </c>
      <c r="J114" s="160">
        <f t="shared" si="13"/>
        <v>-13.01958752191425</v>
      </c>
      <c r="K114" s="158"/>
      <c r="L114" s="158"/>
      <c r="M114" s="158"/>
      <c r="N114" s="158"/>
      <c r="O114" s="158"/>
      <c r="P114" s="158"/>
      <c r="Q114" s="158"/>
      <c r="R114" s="158"/>
      <c r="S114" s="158"/>
    </row>
    <row r="115" spans="2:19">
      <c r="B115" s="160">
        <v>-0.5</v>
      </c>
      <c r="C115" s="160">
        <f t="shared" si="13"/>
        <v>-51.651480765438357</v>
      </c>
      <c r="D115" s="160">
        <f t="shared" si="13"/>
        <v>-43.187472076840777</v>
      </c>
      <c r="E115" s="160">
        <f t="shared" si="13"/>
        <v>-34.644895122904202</v>
      </c>
      <c r="F115" s="160">
        <f t="shared" si="13"/>
        <v>-26.0391750438285</v>
      </c>
      <c r="G115" s="160">
        <f t="shared" si="13"/>
        <v>-20.851924361486592</v>
      </c>
      <c r="H115" s="160">
        <f t="shared" si="13"/>
        <v>-17.385928745915265</v>
      </c>
      <c r="I115" s="160">
        <f t="shared" si="13"/>
        <v>-14.907046210453782</v>
      </c>
      <c r="J115" s="160">
        <f t="shared" si="13"/>
        <v>-13.046404376545947</v>
      </c>
      <c r="K115" s="158"/>
      <c r="L115" s="158"/>
      <c r="M115" s="158"/>
      <c r="N115" s="158"/>
      <c r="O115" s="158"/>
      <c r="P115" s="158"/>
      <c r="Q115" s="158"/>
      <c r="R115" s="158"/>
      <c r="S115" s="158"/>
    </row>
    <row r="116" spans="2:19">
      <c r="B116" s="160">
        <v>0</v>
      </c>
      <c r="C116" s="160">
        <f t="shared" ref="C116:J125" si="14">-C$12*EXP((-($B116^2)/(2*C$10^2)))*1000</f>
        <v>-52.221422388145861</v>
      </c>
      <c r="D116" s="160">
        <f t="shared" si="14"/>
        <v>-43.517851990121542</v>
      </c>
      <c r="E116" s="160">
        <f t="shared" si="14"/>
        <v>-34.814281592097238</v>
      </c>
      <c r="F116" s="160">
        <f t="shared" si="14"/>
        <v>-26.11071119407293</v>
      </c>
      <c r="G116" s="160">
        <f t="shared" si="14"/>
        <v>-20.888568955258339</v>
      </c>
      <c r="H116" s="160">
        <f t="shared" si="14"/>
        <v>-17.407140796048619</v>
      </c>
      <c r="I116" s="160">
        <f t="shared" si="14"/>
        <v>-14.920406396613103</v>
      </c>
      <c r="J116" s="160">
        <f t="shared" si="14"/>
        <v>-13.055355597036465</v>
      </c>
      <c r="K116" s="158"/>
      <c r="L116" s="158"/>
      <c r="M116" s="158"/>
      <c r="N116" s="158"/>
      <c r="O116" s="158"/>
      <c r="P116" s="158"/>
      <c r="Q116" s="158"/>
      <c r="R116" s="158"/>
      <c r="S116" s="158"/>
    </row>
    <row r="117" spans="2:19">
      <c r="B117" s="160">
        <v>0.5</v>
      </c>
      <c r="C117" s="160">
        <f t="shared" si="14"/>
        <v>-51.651480765438357</v>
      </c>
      <c r="D117" s="160">
        <f t="shared" si="14"/>
        <v>-43.187472076840777</v>
      </c>
      <c r="E117" s="160">
        <f t="shared" si="14"/>
        <v>-34.644895122904202</v>
      </c>
      <c r="F117" s="160">
        <f t="shared" si="14"/>
        <v>-26.0391750438285</v>
      </c>
      <c r="G117" s="160">
        <f t="shared" si="14"/>
        <v>-20.851924361486592</v>
      </c>
      <c r="H117" s="160">
        <f t="shared" si="14"/>
        <v>-17.385928745915265</v>
      </c>
      <c r="I117" s="160">
        <f t="shared" si="14"/>
        <v>-14.907046210453782</v>
      </c>
      <c r="J117" s="160">
        <f t="shared" si="14"/>
        <v>-13.046404376545947</v>
      </c>
      <c r="K117" s="158"/>
      <c r="L117" s="158"/>
      <c r="M117" s="158"/>
      <c r="N117" s="158"/>
      <c r="O117" s="158"/>
      <c r="P117" s="158"/>
      <c r="Q117" s="158"/>
      <c r="R117" s="158"/>
      <c r="S117" s="158"/>
    </row>
    <row r="118" spans="2:19">
      <c r="B118" s="160">
        <v>1</v>
      </c>
      <c r="C118" s="160">
        <f t="shared" si="14"/>
        <v>-49.978706947794436</v>
      </c>
      <c r="D118" s="160">
        <f t="shared" si="14"/>
        <v>-42.211305433465725</v>
      </c>
      <c r="E118" s="160">
        <f t="shared" si="14"/>
        <v>-34.141664524298243</v>
      </c>
      <c r="F118" s="160">
        <f t="shared" si="14"/>
        <v>-25.825740382719179</v>
      </c>
      <c r="G118" s="160">
        <f t="shared" si="14"/>
        <v>-20.742375840590231</v>
      </c>
      <c r="H118" s="160">
        <f t="shared" si="14"/>
        <v>-17.322447561452101</v>
      </c>
      <c r="I118" s="160">
        <f t="shared" si="14"/>
        <v>-14.867037387841584</v>
      </c>
      <c r="J118" s="160">
        <f t="shared" si="14"/>
        <v>-13.01958752191425</v>
      </c>
      <c r="K118" s="158"/>
      <c r="L118" s="158"/>
      <c r="M118" s="158"/>
      <c r="N118" s="158"/>
      <c r="O118" s="158"/>
      <c r="P118" s="158"/>
      <c r="Q118" s="158"/>
      <c r="R118" s="158"/>
      <c r="S118" s="158"/>
    </row>
    <row r="119" spans="2:19">
      <c r="B119" s="160">
        <v>1.5</v>
      </c>
      <c r="C119" s="160">
        <f t="shared" si="14"/>
        <v>-47.310268699663105</v>
      </c>
      <c r="D119" s="160">
        <f t="shared" si="14"/>
        <v>-40.633146056426213</v>
      </c>
      <c r="E119" s="160">
        <f t="shared" si="14"/>
        <v>-33.31913796519629</v>
      </c>
      <c r="F119" s="160">
        <f t="shared" si="14"/>
        <v>-25.473896538239632</v>
      </c>
      <c r="G119" s="160">
        <f t="shared" si="14"/>
        <v>-20.56107243103045</v>
      </c>
      <c r="H119" s="160">
        <f t="shared" si="14"/>
        <v>-17.217160255146116</v>
      </c>
      <c r="I119" s="160">
        <f t="shared" si="14"/>
        <v>-14.800594494795398</v>
      </c>
      <c r="J119" s="160">
        <f t="shared" si="14"/>
        <v>-12.975015201530626</v>
      </c>
      <c r="K119" s="158"/>
      <c r="L119" s="158"/>
      <c r="M119" s="158"/>
      <c r="N119" s="158"/>
      <c r="O119" s="158"/>
      <c r="P119" s="158"/>
      <c r="Q119" s="158"/>
      <c r="R119" s="158"/>
      <c r="S119" s="158"/>
    </row>
    <row r="120" spans="2:19">
      <c r="B120" s="160">
        <v>2</v>
      </c>
      <c r="C120" s="160">
        <f t="shared" si="14"/>
        <v>-43.812090183572941</v>
      </c>
      <c r="D120" s="160">
        <f t="shared" si="14"/>
        <v>-38.522350767606298</v>
      </c>
      <c r="E120" s="160">
        <f t="shared" si="14"/>
        <v>-32.200784272723311</v>
      </c>
      <c r="F120" s="160">
        <f t="shared" si="14"/>
        <v>-24.989353473897218</v>
      </c>
      <c r="G120" s="160">
        <f t="shared" si="14"/>
        <v>-20.309906885948021</v>
      </c>
      <c r="H120" s="160">
        <f t="shared" si="14"/>
        <v>-17.070832262149121</v>
      </c>
      <c r="I120" s="160">
        <f t="shared" si="14"/>
        <v>-14.708073010780421</v>
      </c>
      <c r="J120" s="160">
        <f t="shared" si="14"/>
        <v>-12.912870191359589</v>
      </c>
      <c r="K120" s="158"/>
      <c r="L120" s="158"/>
      <c r="M120" s="158"/>
      <c r="N120" s="158"/>
      <c r="O120" s="158"/>
      <c r="P120" s="158"/>
      <c r="Q120" s="158"/>
      <c r="R120" s="158"/>
      <c r="S120" s="158"/>
    </row>
    <row r="121" spans="2:19">
      <c r="B121" s="160">
        <v>2.5</v>
      </c>
      <c r="C121" s="160">
        <f t="shared" si="14"/>
        <v>-39.691790535165886</v>
      </c>
      <c r="D121" s="160">
        <f t="shared" si="14"/>
        <v>-35.968785994592402</v>
      </c>
      <c r="E121" s="160">
        <f t="shared" si="14"/>
        <v>-30.817880614085034</v>
      </c>
      <c r="F121" s="160">
        <f t="shared" si="14"/>
        <v>-24.379887633855731</v>
      </c>
      <c r="G121" s="160">
        <f t="shared" si="14"/>
        <v>-19.991482779117774</v>
      </c>
      <c r="H121" s="160">
        <f t="shared" si="14"/>
        <v>-16.884522173386291</v>
      </c>
      <c r="I121" s="160">
        <f t="shared" si="14"/>
        <v>-14.589966160829251</v>
      </c>
      <c r="J121" s="160">
        <f t="shared" si="14"/>
        <v>-12.833406626343798</v>
      </c>
      <c r="K121" s="158"/>
      <c r="L121" s="158"/>
      <c r="M121" s="158"/>
      <c r="N121" s="158"/>
      <c r="O121" s="158"/>
      <c r="P121" s="158"/>
      <c r="Q121" s="158"/>
      <c r="R121" s="158"/>
      <c r="S121" s="158"/>
    </row>
    <row r="122" spans="2:19">
      <c r="B122" s="160">
        <v>3</v>
      </c>
      <c r="C122" s="160">
        <f t="shared" si="14"/>
        <v>-35.178358313455107</v>
      </c>
      <c r="D122" s="160">
        <f t="shared" si="14"/>
        <v>-33.076492112638235</v>
      </c>
      <c r="E122" s="160">
        <f t="shared" si="14"/>
        <v>-29.208060122381955</v>
      </c>
      <c r="F122" s="160">
        <f t="shared" si="14"/>
        <v>-23.655134349831552</v>
      </c>
      <c r="G122" s="160">
        <f t="shared" si="14"/>
        <v>-19.609069579604363</v>
      </c>
      <c r="H122" s="160">
        <f t="shared" si="14"/>
        <v>-16.659568982598145</v>
      </c>
      <c r="I122" s="160">
        <f t="shared" si="14"/>
        <v>-14.44690053599024</v>
      </c>
      <c r="J122" s="160">
        <f t="shared" si="14"/>
        <v>-12.736948269119816</v>
      </c>
      <c r="K122" s="158"/>
      <c r="L122" s="158"/>
      <c r="M122" s="158"/>
      <c r="N122" s="158"/>
      <c r="O122" s="158"/>
      <c r="P122" s="158"/>
      <c r="Q122" s="158"/>
      <c r="R122" s="158"/>
      <c r="S122" s="158"/>
    </row>
    <row r="123" spans="2:19">
      <c r="B123" s="160">
        <v>3.5</v>
      </c>
      <c r="C123" s="160">
        <f t="shared" si="14"/>
        <v>-30.50131792042756</v>
      </c>
      <c r="D123" s="160">
        <f t="shared" si="14"/>
        <v>-29.956686597050457</v>
      </c>
      <c r="E123" s="160">
        <f t="shared" si="14"/>
        <v>-27.413613525881665</v>
      </c>
      <c r="F123" s="160">
        <f t="shared" si="14"/>
        <v>-22.826334553187174</v>
      </c>
      <c r="G123" s="160">
        <f t="shared" si="14"/>
        <v>-19.166546779055633</v>
      </c>
      <c r="H123" s="160">
        <f t="shared" si="14"/>
        <v>-16.397576062225205</v>
      </c>
      <c r="I123" s="160">
        <f t="shared" si="14"/>
        <v>-14.279630556512696</v>
      </c>
      <c r="J123" s="160">
        <f t="shared" si="14"/>
        <v>-12.623886312551081</v>
      </c>
      <c r="K123" s="158"/>
      <c r="L123" s="158"/>
      <c r="M123" s="158"/>
      <c r="N123" s="158"/>
      <c r="O123" s="158"/>
      <c r="P123" s="158"/>
      <c r="Q123" s="158"/>
      <c r="R123" s="158"/>
      <c r="S123" s="158"/>
    </row>
    <row r="124" spans="2:19">
      <c r="B124" s="160">
        <v>4</v>
      </c>
      <c r="C124" s="160">
        <f t="shared" si="14"/>
        <v>-25.871988017462229</v>
      </c>
      <c r="D124" s="160">
        <f t="shared" si="14"/>
        <v>-26.720757975219854</v>
      </c>
      <c r="E124" s="160">
        <f t="shared" si="14"/>
        <v>-25.479651537439185</v>
      </c>
      <c r="F124" s="160">
        <f t="shared" si="14"/>
        <v>-21.906045091786471</v>
      </c>
      <c r="G124" s="160">
        <f t="shared" si="14"/>
        <v>-18.668338406539021</v>
      </c>
      <c r="H124" s="160">
        <f t="shared" si="14"/>
        <v>-16.100392136361656</v>
      </c>
      <c r="I124" s="160">
        <f t="shared" si="14"/>
        <v>-14.089031846220223</v>
      </c>
      <c r="J124" s="160">
        <f t="shared" si="14"/>
        <v>-12.494676736948609</v>
      </c>
      <c r="K124" s="158"/>
      <c r="L124" s="158"/>
      <c r="M124" s="158"/>
      <c r="N124" s="158"/>
      <c r="O124" s="158"/>
      <c r="P124" s="158"/>
      <c r="Q124" s="158"/>
      <c r="R124" s="158"/>
      <c r="S124" s="158"/>
    </row>
    <row r="125" spans="2:19">
      <c r="B125" s="160">
        <v>4.5</v>
      </c>
      <c r="C125" s="160">
        <f t="shared" si="14"/>
        <v>-21.468868571533964</v>
      </c>
      <c r="D125" s="160">
        <f t="shared" si="14"/>
        <v>-23.473856062327449</v>
      </c>
      <c r="E125" s="160">
        <f t="shared" si="14"/>
        <v>-23.452238875636738</v>
      </c>
      <c r="F125" s="160">
        <f t="shared" si="14"/>
        <v>-20.907823069852785</v>
      </c>
      <c r="G125" s="160">
        <f t="shared" si="14"/>
        <v>-18.119339475846136</v>
      </c>
      <c r="H125" s="160">
        <f t="shared" si="14"/>
        <v>-15.770089566554367</v>
      </c>
      <c r="I125" s="160">
        <f t="shared" si="14"/>
        <v>-13.876093599477812</v>
      </c>
      <c r="J125" s="160">
        <f t="shared" si="14"/>
        <v>-12.349837246961583</v>
      </c>
      <c r="K125" s="158"/>
      <c r="L125" s="158"/>
      <c r="M125" s="158"/>
      <c r="N125" s="158"/>
      <c r="O125" s="158"/>
      <c r="P125" s="158"/>
      <c r="Q125" s="158"/>
      <c r="R125" s="158"/>
      <c r="S125" s="158"/>
    </row>
    <row r="126" spans="2:19">
      <c r="B126" s="160">
        <v>5</v>
      </c>
      <c r="C126" s="160">
        <f t="shared" ref="C126:J135" si="15">-C$12*EXP((-($B126^2)/(2*C$10^2)))*1000</f>
        <v>-17.428366044780532</v>
      </c>
      <c r="D126" s="160">
        <f t="shared" si="15"/>
        <v>-20.309571819208863</v>
      </c>
      <c r="E126" s="160">
        <f t="shared" si="15"/>
        <v>-21.376606380175883</v>
      </c>
      <c r="F126" s="160">
        <f t="shared" si="15"/>
        <v>-19.845895267582943</v>
      </c>
      <c r="G126" s="160">
        <f t="shared" si="15"/>
        <v>-17.524836073429174</v>
      </c>
      <c r="H126" s="160">
        <f t="shared" si="15"/>
        <v>-15.408940307042517</v>
      </c>
      <c r="I126" s="160">
        <f t="shared" si="15"/>
        <v>-13.641910033827648</v>
      </c>
      <c r="J126" s="160">
        <f t="shared" si="15"/>
        <v>-12.189943816927865</v>
      </c>
      <c r="K126" s="158"/>
      <c r="L126" s="158"/>
      <c r="M126" s="158"/>
      <c r="N126" s="158"/>
      <c r="O126" s="158"/>
      <c r="P126" s="158"/>
      <c r="Q126" s="158"/>
      <c r="R126" s="158"/>
      <c r="S126" s="158"/>
    </row>
    <row r="127" spans="2:19">
      <c r="B127" s="160">
        <v>5.5</v>
      </c>
      <c r="C127" s="160">
        <f t="shared" si="15"/>
        <v>-13.841155497324324</v>
      </c>
      <c r="D127" s="160">
        <f t="shared" si="15"/>
        <v>-17.306042419331792</v>
      </c>
      <c r="E127" s="160">
        <f t="shared" si="15"/>
        <v>-19.295535602539275</v>
      </c>
      <c r="F127" s="160">
        <f t="shared" si="15"/>
        <v>-18.734823840353268</v>
      </c>
      <c r="G127" s="160">
        <f t="shared" si="15"/>
        <v>-16.890420907485208</v>
      </c>
      <c r="H127" s="160">
        <f t="shared" si="15"/>
        <v>-15.019389919332825</v>
      </c>
      <c r="I127" s="160">
        <f t="shared" si="15"/>
        <v>-13.387671031579924</v>
      </c>
      <c r="J127" s="160">
        <f t="shared" si="15"/>
        <v>-12.01562687693502</v>
      </c>
      <c r="K127" s="158"/>
      <c r="L127" s="158"/>
      <c r="M127" s="158"/>
      <c r="N127" s="158"/>
      <c r="O127" s="158"/>
      <c r="P127" s="158"/>
      <c r="Q127" s="158"/>
      <c r="R127" s="158"/>
      <c r="S127" s="158"/>
    </row>
    <row r="128" spans="2:19">
      <c r="B128" s="160">
        <v>6</v>
      </c>
      <c r="C128" s="160">
        <f t="shared" si="15"/>
        <v>-10.753657053000932</v>
      </c>
      <c r="D128" s="160">
        <f t="shared" si="15"/>
        <v>-14.523638370650442</v>
      </c>
      <c r="E128" s="160">
        <f t="shared" si="15"/>
        <v>-17.247992011641482</v>
      </c>
      <c r="F128" s="160">
        <f t="shared" si="15"/>
        <v>-17.589179156727553</v>
      </c>
      <c r="G128" s="160">
        <f t="shared" si="15"/>
        <v>-16.221906197915143</v>
      </c>
      <c r="H128" s="160">
        <f t="shared" si="15"/>
        <v>-14.604030061190977</v>
      </c>
      <c r="I128" s="160">
        <f t="shared" si="15"/>
        <v>-13.114652082253411</v>
      </c>
      <c r="J128" s="160">
        <f t="shared" si="15"/>
        <v>-11.827567174915776</v>
      </c>
      <c r="K128" s="158"/>
      <c r="L128" s="158"/>
      <c r="M128" s="158"/>
      <c r="N128" s="158"/>
      <c r="O128" s="158"/>
      <c r="P128" s="158"/>
      <c r="Q128" s="158"/>
      <c r="R128" s="158"/>
      <c r="S128" s="158"/>
    </row>
    <row r="129" spans="2:19">
      <c r="B129" s="160">
        <v>6.5</v>
      </c>
      <c r="C129" s="160">
        <f t="shared" si="15"/>
        <v>-8.1735020555780977</v>
      </c>
      <c r="D129" s="160">
        <f t="shared" si="15"/>
        <v>-12.004214742385715</v>
      </c>
      <c r="E129" s="160">
        <f t="shared" si="15"/>
        <v>-15.2680605297373</v>
      </c>
      <c r="F129" s="160">
        <f t="shared" si="15"/>
        <v>-16.42322984714858</v>
      </c>
      <c r="G129" s="160">
        <f t="shared" si="15"/>
        <v>-15.525235792586331</v>
      </c>
      <c r="H129" s="160">
        <f t="shared" si="15"/>
        <v>-14.165569881812674</v>
      </c>
      <c r="I129" s="160">
        <f t="shared" si="15"/>
        <v>-12.824203644651421</v>
      </c>
      <c r="J129" s="160">
        <f t="shared" si="15"/>
        <v>-11.626491352755341</v>
      </c>
      <c r="K129" s="158"/>
      <c r="L129" s="158"/>
      <c r="M129" s="158"/>
      <c r="N129" s="158"/>
      <c r="O129" s="158"/>
      <c r="P129" s="158"/>
      <c r="Q129" s="158"/>
      <c r="R129" s="158"/>
      <c r="S129" s="158"/>
    </row>
    <row r="130" spans="2:19">
      <c r="B130" s="160">
        <v>7</v>
      </c>
      <c r="C130" s="160">
        <f t="shared" si="15"/>
        <v>-6.0775470503496765</v>
      </c>
      <c r="D130" s="160">
        <f t="shared" si="15"/>
        <v>-9.7717590878528924</v>
      </c>
      <c r="E130" s="160">
        <f t="shared" si="15"/>
        <v>-13.384212711942133</v>
      </c>
      <c r="F130" s="160">
        <f t="shared" si="15"/>
        <v>-15.25065896021378</v>
      </c>
      <c r="G130" s="160">
        <f t="shared" si="15"/>
        <v>-14.806398349005388</v>
      </c>
      <c r="H130" s="160">
        <f t="shared" si="15"/>
        <v>-13.706806762940833</v>
      </c>
      <c r="I130" s="160">
        <f t="shared" si="15"/>
        <v>-12.51774005244941</v>
      </c>
      <c r="J130" s="160">
        <f t="shared" si="15"/>
        <v>-11.413167276593587</v>
      </c>
      <c r="K130" s="158"/>
      <c r="L130" s="158"/>
      <c r="M130" s="158"/>
      <c r="N130" s="158"/>
      <c r="O130" s="158"/>
      <c r="P130" s="158"/>
      <c r="Q130" s="158"/>
      <c r="R130" s="158"/>
      <c r="S130" s="158"/>
    </row>
    <row r="131" spans="2:19">
      <c r="B131" s="160">
        <v>7.5</v>
      </c>
      <c r="C131" s="160">
        <f t="shared" si="15"/>
        <v>-4.4209605823879841</v>
      </c>
      <c r="D131" s="160">
        <f t="shared" si="15"/>
        <v>-7.8341595695332993</v>
      </c>
      <c r="E131" s="160">
        <f t="shared" si="15"/>
        <v>-11.618910696520354</v>
      </c>
      <c r="F131" s="160">
        <f t="shared" si="15"/>
        <v>-14.084313637396473</v>
      </c>
      <c r="G131" s="160">
        <f t="shared" si="15"/>
        <v>-14.071343325382042</v>
      </c>
      <c r="H131" s="160">
        <f t="shared" si="15"/>
        <v>-13.230596845055295</v>
      </c>
      <c r="I131" s="160">
        <f t="shared" si="15"/>
        <v>-12.196728090412064</v>
      </c>
      <c r="J131" s="160">
        <f t="shared" si="15"/>
        <v>-11.188399163242419</v>
      </c>
      <c r="K131" s="158"/>
      <c r="L131" s="158"/>
      <c r="M131" s="158"/>
      <c r="N131" s="158"/>
      <c r="O131" s="158"/>
      <c r="P131" s="158"/>
      <c r="Q131" s="158"/>
      <c r="R131" s="158"/>
      <c r="S131" s="158"/>
    </row>
    <row r="132" spans="2:19">
      <c r="B132" s="160">
        <v>8</v>
      </c>
      <c r="C132" s="160">
        <f t="shared" si="15"/>
        <v>-3.1461042925030838</v>
      </c>
      <c r="D132" s="160">
        <f t="shared" si="15"/>
        <v>-6.1857553775548828</v>
      </c>
      <c r="E132" s="160">
        <f t="shared" si="15"/>
        <v>-9.9885310442478765</v>
      </c>
      <c r="F132" s="160">
        <f t="shared" si="15"/>
        <v>-12.935994008731114</v>
      </c>
      <c r="G132" s="160">
        <f t="shared" si="15"/>
        <v>-13.325901385913172</v>
      </c>
      <c r="H132" s="160">
        <f t="shared" si="15"/>
        <v>-12.739825768719593</v>
      </c>
      <c r="I132" s="160">
        <f t="shared" si="15"/>
        <v>-11.86267536973422</v>
      </c>
      <c r="J132" s="160">
        <f t="shared" si="15"/>
        <v>-10.953022545893235</v>
      </c>
      <c r="K132" s="158"/>
      <c r="L132" s="158"/>
      <c r="M132" s="158"/>
      <c r="N132" s="158"/>
      <c r="O132" s="158"/>
      <c r="P132" s="158"/>
      <c r="Q132" s="158"/>
      <c r="R132" s="158"/>
      <c r="S132" s="158"/>
    </row>
    <row r="133" spans="2:19">
      <c r="B133" s="160">
        <v>8.5</v>
      </c>
      <c r="C133" s="160">
        <f t="shared" si="15"/>
        <v>-2.1902704672245488</v>
      </c>
      <c r="D133" s="160">
        <f t="shared" si="15"/>
        <v>-4.8103174266108164</v>
      </c>
      <c r="E133" s="160">
        <f t="shared" si="15"/>
        <v>-8.5035733111081964</v>
      </c>
      <c r="F133" s="160">
        <f t="shared" si="15"/>
        <v>-11.816285176395587</v>
      </c>
      <c r="G133" s="160">
        <f t="shared" si="15"/>
        <v>-12.575710648033583</v>
      </c>
      <c r="H133" s="160">
        <f t="shared" si="15"/>
        <v>-12.23738004416292</v>
      </c>
      <c r="I133" s="160">
        <f t="shared" si="15"/>
        <v>-11.517118630529504</v>
      </c>
      <c r="J133" s="160">
        <f t="shared" si="15"/>
        <v>-10.707899123053654</v>
      </c>
      <c r="K133" s="158"/>
      <c r="L133" s="158"/>
      <c r="M133" s="158"/>
      <c r="N133" s="158"/>
      <c r="O133" s="158"/>
      <c r="P133" s="158"/>
      <c r="Q133" s="158"/>
      <c r="R133" s="158"/>
      <c r="S133" s="158"/>
    </row>
    <row r="134" spans="2:19">
      <c r="B134" s="160">
        <v>9</v>
      </c>
      <c r="C134" s="160">
        <f t="shared" si="15"/>
        <v>-1.4917310821989171</v>
      </c>
      <c r="D134" s="160">
        <f t="shared" si="15"/>
        <v>-3.6841338186566528</v>
      </c>
      <c r="E134" s="160">
        <f t="shared" si="15"/>
        <v>-7.1691047020006202</v>
      </c>
      <c r="F134" s="160">
        <f t="shared" si="15"/>
        <v>-10.734434285766982</v>
      </c>
      <c r="G134" s="160">
        <f t="shared" si="15"/>
        <v>-11.826149991495621</v>
      </c>
      <c r="H134" s="160">
        <f t="shared" si="15"/>
        <v>-11.726119437818369</v>
      </c>
      <c r="I134" s="160">
        <f t="shared" si="15"/>
        <v>-11.161612097222775</v>
      </c>
      <c r="J134" s="160">
        <f t="shared" si="15"/>
        <v>-10.453911534926393</v>
      </c>
      <c r="K134" s="158"/>
      <c r="L134" s="158"/>
      <c r="M134" s="158"/>
      <c r="N134" s="158"/>
      <c r="O134" s="158"/>
      <c r="P134" s="158"/>
      <c r="Q134" s="158"/>
      <c r="R134" s="158"/>
      <c r="S134" s="158"/>
    </row>
    <row r="135" spans="2:19">
      <c r="B135" s="160">
        <v>9.5</v>
      </c>
      <c r="C135" s="160">
        <f t="shared" si="15"/>
        <v>-0.99392013804586499</v>
      </c>
      <c r="D135" s="160">
        <f t="shared" si="15"/>
        <v>-2.7789307460850594</v>
      </c>
      <c r="E135" s="160">
        <f t="shared" si="15"/>
        <v>-5.9853839195033265</v>
      </c>
      <c r="F135" s="160">
        <f t="shared" si="15"/>
        <v>-9.6982728747502236</v>
      </c>
      <c r="G135" s="160">
        <f t="shared" si="15"/>
        <v>-11.082280418303736</v>
      </c>
      <c r="H135" s="160">
        <f t="shared" si="15"/>
        <v>-11.208850733600638</v>
      </c>
      <c r="I135" s="160">
        <f t="shared" si="15"/>
        <v>-10.797716008618092</v>
      </c>
      <c r="J135" s="160">
        <f t="shared" si="15"/>
        <v>-10.191958111231745</v>
      </c>
      <c r="K135" s="158"/>
      <c r="L135" s="158"/>
      <c r="M135" s="158"/>
      <c r="N135" s="158"/>
      <c r="O135" s="158"/>
      <c r="P135" s="158"/>
      <c r="Q135" s="158"/>
      <c r="R135" s="158"/>
      <c r="S135" s="158"/>
    </row>
    <row r="136" spans="2:19">
      <c r="B136" s="160">
        <v>10</v>
      </c>
      <c r="C136" s="160">
        <f t="shared" ref="C136:J145" si="16">-C$12*EXP((-($B136^2)/(2*C$10^2)))*1000</f>
        <v>-0.64785915563709517</v>
      </c>
      <c r="D136" s="160">
        <f t="shared" si="16"/>
        <v>-2.0644326418800913</v>
      </c>
      <c r="E136" s="160">
        <f t="shared" si="16"/>
        <v>-4.9486043020439059</v>
      </c>
      <c r="F136" s="160">
        <f t="shared" si="16"/>
        <v>-8.7141830223902659</v>
      </c>
      <c r="G136" s="160">
        <f t="shared" si="16"/>
        <v>-10.348795206984891</v>
      </c>
      <c r="H136" s="160">
        <f t="shared" si="16"/>
        <v>-10.688303190087941</v>
      </c>
      <c r="I136" s="160">
        <f t="shared" si="16"/>
        <v>-10.426985438821308</v>
      </c>
      <c r="J136" s="160">
        <f t="shared" si="16"/>
        <v>-9.9229476337914715</v>
      </c>
      <c r="K136" s="158"/>
      <c r="L136" s="158"/>
      <c r="M136" s="158"/>
      <c r="N136" s="158"/>
      <c r="O136" s="158"/>
      <c r="P136" s="158"/>
      <c r="Q136" s="158"/>
      <c r="R136" s="158"/>
      <c r="S136" s="158"/>
    </row>
    <row r="137" spans="2:19">
      <c r="B137" s="160">
        <v>10.5</v>
      </c>
      <c r="C137" s="160">
        <f t="shared" si="16"/>
        <v>-0.41312156976118541</v>
      </c>
      <c r="D137" s="160">
        <f t="shared" si="16"/>
        <v>-1.5104431263009166</v>
      </c>
      <c r="E137" s="160">
        <f t="shared" si="16"/>
        <v>-4.0516980335664501</v>
      </c>
      <c r="F137" s="160">
        <f t="shared" si="16"/>
        <v>-7.7871043536184663</v>
      </c>
      <c r="G137" s="160">
        <f t="shared" si="16"/>
        <v>-9.6299793527282702</v>
      </c>
      <c r="H137" s="160">
        <f t="shared" si="16"/>
        <v>-10.167105973475852</v>
      </c>
      <c r="I137" s="160">
        <f t="shared" si="16"/>
        <v>-10.050959518130032</v>
      </c>
      <c r="J137" s="160">
        <f t="shared" si="16"/>
        <v>-9.6477941560543616</v>
      </c>
      <c r="K137" s="158"/>
      <c r="L137" s="158"/>
      <c r="M137" s="158"/>
      <c r="N137" s="158"/>
      <c r="O137" s="158"/>
      <c r="P137" s="158"/>
      <c r="Q137" s="158"/>
      <c r="R137" s="158"/>
      <c r="S137" s="158"/>
    </row>
    <row r="138" spans="2:19">
      <c r="B138" s="160">
        <v>11</v>
      </c>
      <c r="C138" s="160">
        <f t="shared" si="16"/>
        <v>-0.25771713841078658</v>
      </c>
      <c r="D138" s="160">
        <f t="shared" si="16"/>
        <v>-1.088400426524337</v>
      </c>
      <c r="E138" s="160">
        <f t="shared" si="16"/>
        <v>-3.2851487529030639</v>
      </c>
      <c r="F138" s="160">
        <f t="shared" si="16"/>
        <v>-6.9205777486621622</v>
      </c>
      <c r="G138" s="160">
        <f t="shared" si="16"/>
        <v>-8.9296785346356948</v>
      </c>
      <c r="H138" s="160">
        <f t="shared" si="16"/>
        <v>-9.6477678012696373</v>
      </c>
      <c r="I138" s="160">
        <f t="shared" si="16"/>
        <v>-9.6711511546191069</v>
      </c>
      <c r="J138" s="160">
        <f t="shared" si="16"/>
        <v>-9.3674119201766342</v>
      </c>
      <c r="K138" s="158"/>
      <c r="L138" s="158"/>
      <c r="M138" s="158"/>
      <c r="N138" s="158"/>
      <c r="O138" s="158"/>
      <c r="P138" s="158"/>
      <c r="Q138" s="158"/>
      <c r="R138" s="158"/>
      <c r="S138" s="158"/>
    </row>
    <row r="139" spans="2:19">
      <c r="B139" s="160">
        <v>11.5</v>
      </c>
      <c r="C139" s="160">
        <f t="shared" si="16"/>
        <v>-0.15728122739192102</v>
      </c>
      <c r="D139" s="160">
        <f t="shared" si="16"/>
        <v>-0.77242032992507226</v>
      </c>
      <c r="E139" s="160">
        <f t="shared" si="16"/>
        <v>-2.6377682383652852</v>
      </c>
      <c r="F139" s="160">
        <f t="shared" si="16"/>
        <v>-6.1168206855362461</v>
      </c>
      <c r="G139" s="160">
        <f t="shared" si="16"/>
        <v>-8.2512776102100496</v>
      </c>
      <c r="H139" s="160">
        <f t="shared" si="16"/>
        <v>-9.1326589842910497</v>
      </c>
      <c r="I139" s="160">
        <f t="shared" si="16"/>
        <v>-9.2890373476219317</v>
      </c>
      <c r="J139" s="160">
        <f t="shared" si="16"/>
        <v>-9.0827104103033118</v>
      </c>
      <c r="K139" s="158"/>
      <c r="L139" s="158"/>
      <c r="M139" s="158"/>
      <c r="N139" s="158"/>
      <c r="O139" s="158"/>
      <c r="P139" s="158"/>
      <c r="Q139" s="158"/>
      <c r="R139" s="158"/>
      <c r="S139" s="158"/>
    </row>
    <row r="140" spans="2:19">
      <c r="B140" s="160">
        <v>12</v>
      </c>
      <c r="C140" s="160">
        <f t="shared" si="16"/>
        <v>-9.3902820772624879E-2</v>
      </c>
      <c r="D140" s="160">
        <f t="shared" si="16"/>
        <v>-0.53988262969757927</v>
      </c>
      <c r="E140" s="160">
        <f t="shared" si="16"/>
        <v>-2.0974028616687219</v>
      </c>
      <c r="F140" s="160">
        <f t="shared" si="16"/>
        <v>-5.3768285265004661</v>
      </c>
      <c r="G140" s="160">
        <f t="shared" si="16"/>
        <v>-7.5976884120138557</v>
      </c>
      <c r="H140" s="160">
        <f t="shared" si="16"/>
        <v>-8.6239960058207412</v>
      </c>
      <c r="I140" s="160">
        <f t="shared" si="16"/>
        <v>-8.9060501738251912</v>
      </c>
      <c r="J140" s="160">
        <f t="shared" si="16"/>
        <v>-8.7945895783637766</v>
      </c>
      <c r="K140" s="158"/>
      <c r="L140" s="158"/>
      <c r="M140" s="158"/>
      <c r="N140" s="158"/>
      <c r="O140" s="158"/>
      <c r="P140" s="158"/>
      <c r="Q140" s="158"/>
      <c r="R140" s="158"/>
      <c r="S140" s="158"/>
    </row>
    <row r="141" spans="2:19">
      <c r="B141" s="160">
        <v>12.5</v>
      </c>
      <c r="C141" s="160">
        <f t="shared" si="16"/>
        <v>-5.4846453026927103E-2</v>
      </c>
      <c r="D141" s="160">
        <f t="shared" si="16"/>
        <v>-0.37164276262332724</v>
      </c>
      <c r="E141" s="160">
        <f t="shared" si="16"/>
        <v>-1.6515461135040732</v>
      </c>
      <c r="F141" s="160">
        <f t="shared" si="16"/>
        <v>-4.7004957417199815</v>
      </c>
      <c r="G141" s="160">
        <f t="shared" si="16"/>
        <v>-6.971346417912212</v>
      </c>
      <c r="H141" s="160">
        <f t="shared" si="16"/>
        <v>-8.123828727683545</v>
      </c>
      <c r="I141" s="160">
        <f t="shared" si="16"/>
        <v>-8.523568515456649</v>
      </c>
      <c r="J141" s="160">
        <f t="shared" si="16"/>
        <v>-8.5039352760343494</v>
      </c>
      <c r="K141" s="158"/>
      <c r="L141" s="158"/>
      <c r="M141" s="158"/>
      <c r="N141" s="158"/>
      <c r="O141" s="158"/>
      <c r="P141" s="158"/>
      <c r="Q141" s="158"/>
      <c r="R141" s="158"/>
      <c r="S141" s="158"/>
    </row>
    <row r="142" spans="2:19">
      <c r="B142" s="160">
        <v>13</v>
      </c>
      <c r="C142" s="160">
        <f t="shared" si="16"/>
        <v>-3.1339106792200776E-2</v>
      </c>
      <c r="D142" s="160">
        <f t="shared" si="16"/>
        <v>-0.25196062168406919</v>
      </c>
      <c r="E142" s="160">
        <f t="shared" si="16"/>
        <v>-1.2878437625070589</v>
      </c>
      <c r="F142" s="160">
        <f t="shared" si="16"/>
        <v>-4.0867510277890489</v>
      </c>
      <c r="G142" s="160">
        <f t="shared" si="16"/>
        <v>-6.3742156891038446</v>
      </c>
      <c r="H142" s="160">
        <f t="shared" si="16"/>
        <v>-7.6340302648686498</v>
      </c>
      <c r="I142" s="160">
        <f t="shared" si="16"/>
        <v>-8.1429105882570028</v>
      </c>
      <c r="J142" s="160">
        <f t="shared" si="16"/>
        <v>-8.2116149235742899</v>
      </c>
      <c r="K142" s="158"/>
      <c r="L142" s="158"/>
      <c r="M142" s="158"/>
      <c r="N142" s="158"/>
      <c r="O142" s="158"/>
      <c r="P142" s="158"/>
      <c r="Q142" s="158"/>
      <c r="R142" s="158"/>
      <c r="S142" s="158"/>
    </row>
    <row r="143" spans="2:19">
      <c r="B143" s="160">
        <v>13.5</v>
      </c>
      <c r="C143" s="160">
        <f t="shared" si="16"/>
        <v>-1.7518335587134476E-2</v>
      </c>
      <c r="D143" s="160">
        <f t="shared" si="16"/>
        <v>-0.16823654043520767</v>
      </c>
      <c r="E143" s="160">
        <f t="shared" si="16"/>
        <v>-0.99448738813261139</v>
      </c>
      <c r="F143" s="160">
        <f t="shared" si="16"/>
        <v>-3.5337004949592541</v>
      </c>
      <c r="G143" s="160">
        <f t="shared" si="16"/>
        <v>-5.8078013226504268</v>
      </c>
      <c r="H143" s="160">
        <f t="shared" si="16"/>
        <v>-7.1562895238446531</v>
      </c>
      <c r="I143" s="160">
        <f t="shared" si="16"/>
        <v>-7.7653273147953463</v>
      </c>
      <c r="J143" s="160">
        <f t="shared" si="16"/>
        <v>-7.9184734430535473</v>
      </c>
      <c r="K143" s="158"/>
      <c r="L143" s="158"/>
      <c r="M143" s="158"/>
      <c r="N143" s="158"/>
      <c r="O143" s="158"/>
      <c r="P143" s="158"/>
      <c r="Q143" s="158"/>
      <c r="R143" s="158"/>
      <c r="S143" s="158"/>
    </row>
    <row r="144" spans="2:19">
      <c r="B144" s="160">
        <v>14</v>
      </c>
      <c r="C144" s="160">
        <f t="shared" si="16"/>
        <v>-9.5800379252433312E-3</v>
      </c>
      <c r="D144" s="160">
        <f t="shared" si="16"/>
        <v>-0.11063400981343692</v>
      </c>
      <c r="E144" s="160">
        <f t="shared" si="16"/>
        <v>-0.76049963040656021</v>
      </c>
      <c r="F144" s="160">
        <f t="shared" si="16"/>
        <v>-3.0387735251748382</v>
      </c>
      <c r="G144" s="160">
        <f t="shared" si="16"/>
        <v>-5.2731685495915244</v>
      </c>
      <c r="H144" s="160">
        <f t="shared" si="16"/>
        <v>-6.6921063559710667</v>
      </c>
      <c r="I144" s="160">
        <f t="shared" si="16"/>
        <v>-7.3919965764177782</v>
      </c>
      <c r="J144" s="160">
        <f t="shared" si="16"/>
        <v>-7.62532948010689</v>
      </c>
      <c r="K144" s="158"/>
      <c r="L144" s="158"/>
      <c r="M144" s="158"/>
      <c r="N144" s="158"/>
      <c r="O144" s="158"/>
      <c r="P144" s="158"/>
      <c r="Q144" s="158"/>
      <c r="R144" s="158"/>
      <c r="S144" s="158"/>
    </row>
    <row r="145" spans="2:19">
      <c r="B145" s="160">
        <v>14.5</v>
      </c>
      <c r="C145" s="160">
        <f t="shared" si="16"/>
        <v>-5.1251876935031089E-3</v>
      </c>
      <c r="D145" s="160">
        <f t="shared" si="16"/>
        <v>-7.1653538744211306E-2</v>
      </c>
      <c r="E145" s="160">
        <f t="shared" si="16"/>
        <v>-0.5759202661255296</v>
      </c>
      <c r="F145" s="160">
        <f t="shared" si="16"/>
        <v>-2.5988664976420495</v>
      </c>
      <c r="G145" s="160">
        <f t="shared" si="16"/>
        <v>-4.770967526896591</v>
      </c>
      <c r="H145" s="160">
        <f t="shared" si="16"/>
        <v>-6.2427892371004301</v>
      </c>
      <c r="I145" s="160">
        <f t="shared" si="16"/>
        <v>-7.0240183649095433</v>
      </c>
      <c r="J145" s="160">
        <f t="shared" si="16"/>
        <v>-7.3329719348171825</v>
      </c>
      <c r="K145" s="158"/>
      <c r="L145" s="158"/>
      <c r="M145" s="158"/>
      <c r="N145" s="158"/>
      <c r="O145" s="158"/>
      <c r="P145" s="158"/>
      <c r="Q145" s="158"/>
      <c r="R145" s="158"/>
      <c r="S145" s="158"/>
    </row>
    <row r="146" spans="2:19">
      <c r="B146" s="160">
        <v>15</v>
      </c>
      <c r="C146" s="160">
        <f t="shared" ref="C146:J155" si="17">-C$12*EXP((-($B146^2)/(2*C$10^2)))*1000</f>
        <v>-2.6823811004519096E-3</v>
      </c>
      <c r="D146" s="160">
        <f t="shared" si="17"/>
        <v>-4.5705377522439201E-2</v>
      </c>
      <c r="E146" s="160">
        <f t="shared" si="17"/>
        <v>-0.43190610375806343</v>
      </c>
      <c r="F146" s="160">
        <f t="shared" si="17"/>
        <v>-2.210480291193992</v>
      </c>
      <c r="G146" s="160">
        <f t="shared" si="17"/>
        <v>-4.3014628212003725</v>
      </c>
      <c r="H146" s="160">
        <f t="shared" si="17"/>
        <v>-5.809455348260177</v>
      </c>
      <c r="I146" s="160">
        <f t="shared" si="17"/>
        <v>-6.6624108429918625</v>
      </c>
      <c r="J146" s="160">
        <f t="shared" si="17"/>
        <v>-7.0421568186982366</v>
      </c>
      <c r="K146" s="158"/>
      <c r="L146" s="158"/>
      <c r="M146" s="158"/>
      <c r="N146" s="158"/>
      <c r="O146" s="158"/>
      <c r="P146" s="158"/>
      <c r="Q146" s="158"/>
      <c r="R146" s="158"/>
      <c r="S146" s="158"/>
    </row>
    <row r="147" spans="2:19">
      <c r="B147" s="160">
        <v>15.5</v>
      </c>
      <c r="C147" s="160">
        <f t="shared" si="17"/>
        <v>-1.3734072821822525E-3</v>
      </c>
      <c r="D147" s="160">
        <f t="shared" si="17"/>
        <v>-2.8712937372121008E-2</v>
      </c>
      <c r="E147" s="160">
        <f t="shared" si="17"/>
        <v>-0.32075981063952785</v>
      </c>
      <c r="F147" s="160">
        <f t="shared" si="17"/>
        <v>-1.8698482550221744</v>
      </c>
      <c r="G147" s="160">
        <f t="shared" si="17"/>
        <v>-3.8645665631736499</v>
      </c>
      <c r="H147" s="160">
        <f t="shared" si="17"/>
        <v>-5.3930329007160323</v>
      </c>
      <c r="I147" s="160">
        <f t="shared" si="17"/>
        <v>-6.3081073112419341</v>
      </c>
      <c r="J147" s="160">
        <f t="shared" si="17"/>
        <v>-6.753604451062313</v>
      </c>
      <c r="K147" s="158"/>
      <c r="L147" s="158"/>
      <c r="M147" s="158"/>
      <c r="N147" s="158"/>
      <c r="O147" s="158"/>
      <c r="P147" s="158"/>
      <c r="Q147" s="158"/>
      <c r="R147" s="158"/>
      <c r="S147" s="158"/>
    </row>
    <row r="148" spans="2:19">
      <c r="B148" s="160">
        <v>16</v>
      </c>
      <c r="C148" s="160">
        <f t="shared" si="17"/>
        <v>-6.8793336069254999E-4</v>
      </c>
      <c r="D148" s="160">
        <f t="shared" si="17"/>
        <v>-1.7765139133705345E-2</v>
      </c>
      <c r="E148" s="160">
        <f t="shared" si="17"/>
        <v>-0.23590338990251322</v>
      </c>
      <c r="F148" s="160">
        <f t="shared" si="17"/>
        <v>-1.5730521462515419</v>
      </c>
      <c r="G148" s="160">
        <f t="shared" si="17"/>
        <v>-3.4598742612539271</v>
      </c>
      <c r="H148" s="160">
        <f t="shared" si="17"/>
        <v>-4.9942655221239383</v>
      </c>
      <c r="I148" s="160">
        <f t="shared" si="17"/>
        <v>-5.9619540680793808</v>
      </c>
      <c r="J148" s="160">
        <f t="shared" si="17"/>
        <v>-6.4679970043655572</v>
      </c>
      <c r="K148" s="158"/>
      <c r="L148" s="158"/>
      <c r="M148" s="158"/>
      <c r="N148" s="158"/>
      <c r="O148" s="158"/>
      <c r="P148" s="158"/>
      <c r="Q148" s="158"/>
      <c r="R148" s="158"/>
      <c r="S148" s="158"/>
    </row>
    <row r="149" spans="2:19">
      <c r="B149" s="160">
        <v>16.5</v>
      </c>
      <c r="C149" s="160">
        <f t="shared" si="17"/>
        <v>-3.3710217533103711E-4</v>
      </c>
      <c r="D149" s="160">
        <f t="shared" si="17"/>
        <v>-1.082530818193192E-2</v>
      </c>
      <c r="E149" s="160">
        <f t="shared" si="17"/>
        <v>-0.17181142560719104</v>
      </c>
      <c r="F149" s="160">
        <f t="shared" si="17"/>
        <v>-1.3161243242180682</v>
      </c>
      <c r="G149" s="160">
        <f t="shared" si="17"/>
        <v>-3.0867022992988979</v>
      </c>
      <c r="H149" s="160">
        <f t="shared" si="17"/>
        <v>-4.6137184991081082</v>
      </c>
      <c r="I149" s="160">
        <f t="shared" si="17"/>
        <v>-5.6247091392475594</v>
      </c>
      <c r="J149" s="160">
        <f t="shared" si="17"/>
        <v>-6.1859764044711811</v>
      </c>
      <c r="K149" s="158"/>
      <c r="L149" s="158"/>
      <c r="M149" s="158"/>
      <c r="N149" s="158"/>
      <c r="O149" s="158"/>
      <c r="P149" s="158"/>
      <c r="Q149" s="158"/>
      <c r="R149" s="158"/>
      <c r="S149" s="158"/>
    </row>
    <row r="150" spans="2:19">
      <c r="B150" s="160">
        <v>17</v>
      </c>
      <c r="C150" s="160">
        <f t="shared" si="17"/>
        <v>-1.6160131816280322E-4</v>
      </c>
      <c r="D150" s="160">
        <f t="shared" si="17"/>
        <v>-6.4966966856907773E-3</v>
      </c>
      <c r="E150" s="160">
        <f t="shared" si="17"/>
        <v>-0.12391775237915163</v>
      </c>
      <c r="F150" s="160">
        <f t="shared" si="17"/>
        <v>-1.0951352336122744</v>
      </c>
      <c r="G150" s="160">
        <f t="shared" si="17"/>
        <v>-2.744126200950614</v>
      </c>
      <c r="H150" s="160">
        <f t="shared" si="17"/>
        <v>-4.2517866555540982</v>
      </c>
      <c r="I150" s="160">
        <f t="shared" si="17"/>
        <v>-5.2970418438569018</v>
      </c>
      <c r="J150" s="160">
        <f t="shared" si="17"/>
        <v>-5.9081425881977934</v>
      </c>
      <c r="K150" s="158"/>
      <c r="L150" s="158"/>
      <c r="M150" s="158"/>
      <c r="N150" s="158"/>
      <c r="O150" s="158"/>
      <c r="P150" s="158"/>
      <c r="Q150" s="158"/>
      <c r="R150" s="158"/>
      <c r="S150" s="158"/>
    </row>
    <row r="151" spans="2:19">
      <c r="B151" s="160">
        <v>17.5</v>
      </c>
      <c r="C151" s="160">
        <f t="shared" si="17"/>
        <v>-7.5787294276124652E-5</v>
      </c>
      <c r="D151" s="160">
        <f t="shared" si="17"/>
        <v>-3.8399500898101957E-3</v>
      </c>
      <c r="E151" s="160">
        <f t="shared" si="17"/>
        <v>-8.8507207850749531E-2</v>
      </c>
      <c r="F151" s="160">
        <f t="shared" si="17"/>
        <v>-0.90626587578055007</v>
      </c>
      <c r="G151" s="160">
        <f t="shared" si="17"/>
        <v>-2.4310188201398701</v>
      </c>
      <c r="H151" s="160">
        <f t="shared" si="17"/>
        <v>-3.908703635141157</v>
      </c>
      <c r="I151" s="160">
        <f t="shared" si="17"/>
        <v>-4.9795331556515805</v>
      </c>
      <c r="J151" s="160">
        <f t="shared" si="17"/>
        <v>-5.6350521170686445</v>
      </c>
      <c r="K151" s="158"/>
      <c r="L151" s="158"/>
      <c r="M151" s="158"/>
      <c r="N151" s="158"/>
      <c r="O151" s="158"/>
      <c r="P151" s="158"/>
      <c r="Q151" s="158"/>
      <c r="R151" s="158"/>
      <c r="S151" s="158"/>
    </row>
    <row r="152" spans="2:19">
      <c r="B152" s="160">
        <v>18</v>
      </c>
      <c r="C152" s="160">
        <f t="shared" si="17"/>
        <v>-3.4770910673037455E-5</v>
      </c>
      <c r="D152" s="160">
        <f t="shared" si="17"/>
        <v>-2.2353175837099247E-3</v>
      </c>
      <c r="E152" s="160">
        <f t="shared" si="17"/>
        <v>-6.2601880515083239E-2</v>
      </c>
      <c r="F152" s="160">
        <f t="shared" si="17"/>
        <v>-0.74586554109945857</v>
      </c>
      <c r="G152" s="160">
        <f t="shared" si="17"/>
        <v>-2.1460877080412315</v>
      </c>
      <c r="H152" s="160">
        <f t="shared" si="17"/>
        <v>-3.5845523510003101</v>
      </c>
      <c r="I152" s="160">
        <f t="shared" si="17"/>
        <v>-4.6726768107904055</v>
      </c>
      <c r="J152" s="160">
        <f t="shared" si="17"/>
        <v>-5.3672171428834909</v>
      </c>
      <c r="K152" s="158"/>
      <c r="L152" s="158"/>
      <c r="M152" s="158"/>
      <c r="N152" s="158"/>
      <c r="O152" s="158"/>
      <c r="P152" s="158"/>
      <c r="Q152" s="158"/>
      <c r="R152" s="158"/>
      <c r="S152" s="158"/>
    </row>
    <row r="153" spans="2:19">
      <c r="B153" s="160">
        <v>18.5</v>
      </c>
      <c r="C153" s="160">
        <f t="shared" si="17"/>
        <v>-1.5606441463097834E-5</v>
      </c>
      <c r="D153" s="160">
        <f t="shared" si="17"/>
        <v>-1.2815441000720714E-3</v>
      </c>
      <c r="E153" s="160">
        <f t="shared" si="17"/>
        <v>-4.3849005183233446E-2</v>
      </c>
      <c r="F153" s="160">
        <f t="shared" si="17"/>
        <v>-0.61049554469244571</v>
      </c>
      <c r="G153" s="160">
        <f t="shared" si="17"/>
        <v>-1.8879110076972525</v>
      </c>
      <c r="H153" s="160">
        <f t="shared" si="17"/>
        <v>-3.2792763646081142</v>
      </c>
      <c r="I153" s="160">
        <f t="shared" si="17"/>
        <v>-4.3768811071553611</v>
      </c>
      <c r="J153" s="160">
        <f t="shared" si="17"/>
        <v>-5.1051047176309705</v>
      </c>
      <c r="K153" s="158"/>
      <c r="L153" s="158"/>
      <c r="M153" s="158"/>
      <c r="N153" s="158"/>
      <c r="O153" s="158"/>
      <c r="P153" s="158"/>
      <c r="Q153" s="158"/>
      <c r="R153" s="158"/>
      <c r="S153" s="158"/>
    </row>
    <row r="154" spans="2:19">
      <c r="B154" s="160">
        <v>19</v>
      </c>
      <c r="C154" s="160">
        <f t="shared" si="17"/>
        <v>-6.8526708119738089E-6</v>
      </c>
      <c r="D154" s="160">
        <f t="shared" si="17"/>
        <v>-7.2361663648615084E-4</v>
      </c>
      <c r="E154" s="160">
        <f t="shared" si="17"/>
        <v>-3.0415554388768348E-2</v>
      </c>
      <c r="F154" s="160">
        <f t="shared" si="17"/>
        <v>-0.49696006902293249</v>
      </c>
      <c r="G154" s="160">
        <f t="shared" si="17"/>
        <v>-1.6549713343762738</v>
      </c>
      <c r="H154" s="160">
        <f t="shared" si="17"/>
        <v>-2.9926919597516632</v>
      </c>
      <c r="I154" s="160">
        <f t="shared" si="17"/>
        <v>-4.0924713350520676</v>
      </c>
      <c r="J154" s="160">
        <f t="shared" si="17"/>
        <v>-4.8491364373751118</v>
      </c>
      <c r="K154" s="158"/>
      <c r="L154" s="158"/>
      <c r="M154" s="158"/>
      <c r="N154" s="158"/>
      <c r="O154" s="158"/>
      <c r="P154" s="158"/>
      <c r="Q154" s="158"/>
      <c r="R154" s="158"/>
      <c r="S154" s="158"/>
    </row>
    <row r="155" spans="2:19">
      <c r="B155" s="160">
        <v>19.5</v>
      </c>
      <c r="C155" s="160">
        <f t="shared" si="17"/>
        <v>-2.9436353601530093E-6</v>
      </c>
      <c r="D155" s="160">
        <f t="shared" si="17"/>
        <v>-4.0240576771441531E-4</v>
      </c>
      <c r="E155" s="160">
        <f t="shared" si="17"/>
        <v>-2.089273786146718E-2</v>
      </c>
      <c r="F155" s="160">
        <f t="shared" si="17"/>
        <v>-0.40232547225890247</v>
      </c>
      <c r="G155" s="160">
        <f t="shared" si="17"/>
        <v>-1.4456872086792001</v>
      </c>
      <c r="H155" s="160">
        <f t="shared" si="17"/>
        <v>-2.7245006851926989</v>
      </c>
      <c r="I155" s="160">
        <f t="shared" si="17"/>
        <v>-3.8196927751593495</v>
      </c>
      <c r="J155" s="160">
        <f t="shared" si="17"/>
        <v>-4.5996884071092907</v>
      </c>
      <c r="K155" s="158"/>
      <c r="L155" s="158"/>
      <c r="M155" s="158"/>
      <c r="N155" s="158"/>
      <c r="O155" s="158"/>
      <c r="P155" s="158"/>
      <c r="Q155" s="158"/>
      <c r="R155" s="158"/>
      <c r="S155" s="158"/>
    </row>
    <row r="156" spans="2:19">
      <c r="B156" s="160">
        <v>20</v>
      </c>
      <c r="C156" s="160">
        <f t="shared" ref="C156:J165" si="18">-C$12*EXP((-($B156^2)/(2*C$10^2)))*1000</f>
        <v>-1.2370188347701098E-6</v>
      </c>
      <c r="D156" s="160">
        <f t="shared" si="18"/>
        <v>-2.2039438055502784E-4</v>
      </c>
      <c r="E156" s="160">
        <f t="shared" si="18"/>
        <v>-1.4212111306964273E-2</v>
      </c>
      <c r="F156" s="160">
        <f t="shared" si="18"/>
        <v>-0.32392957781854759</v>
      </c>
      <c r="G156" s="160">
        <f t="shared" si="18"/>
        <v>-1.2584417170012332</v>
      </c>
      <c r="H156" s="160">
        <f t="shared" si="18"/>
        <v>-2.4743021510219529</v>
      </c>
      <c r="I156" s="160">
        <f t="shared" si="18"/>
        <v>-3.5587141967131117</v>
      </c>
      <c r="J156" s="160">
        <f t="shared" si="18"/>
        <v>-4.3570915111951329</v>
      </c>
      <c r="K156" s="158"/>
      <c r="L156" s="158"/>
      <c r="M156" s="158"/>
      <c r="N156" s="158"/>
      <c r="O156" s="158"/>
      <c r="P156" s="158"/>
      <c r="Q156" s="158"/>
      <c r="R156" s="158"/>
      <c r="S156" s="158"/>
    </row>
    <row r="157" spans="2:19">
      <c r="B157" s="160">
        <v>20.5</v>
      </c>
      <c r="C157" s="160">
        <f t="shared" si="18"/>
        <v>-5.0855364656287158E-7</v>
      </c>
      <c r="D157" s="160">
        <f t="shared" si="18"/>
        <v>-1.188823834243683E-4</v>
      </c>
      <c r="E157" s="160">
        <f t="shared" si="18"/>
        <v>-9.5738247080107471E-3</v>
      </c>
      <c r="F157" s="160">
        <f t="shared" si="18"/>
        <v>-0.25938252887036178</v>
      </c>
      <c r="G157" s="160">
        <f t="shared" si="18"/>
        <v>-1.0916081771686896</v>
      </c>
      <c r="H157" s="160">
        <f t="shared" si="18"/>
        <v>-2.2416068780917642</v>
      </c>
      <c r="I157" s="160">
        <f t="shared" si="18"/>
        <v>-3.3096317871469654</v>
      </c>
      <c r="J157" s="160">
        <f t="shared" si="18"/>
        <v>-4.1216319719083243</v>
      </c>
      <c r="K157" s="158"/>
      <c r="L157" s="158"/>
      <c r="M157" s="158"/>
      <c r="N157" s="158"/>
      <c r="O157" s="158"/>
      <c r="P157" s="158"/>
      <c r="Q157" s="158"/>
      <c r="R157" s="158"/>
      <c r="S157" s="158"/>
    </row>
    <row r="158" spans="2:19">
      <c r="B158" s="160">
        <v>21</v>
      </c>
      <c r="C158" s="160">
        <f t="shared" si="18"/>
        <v>-2.0453394396490523E-7</v>
      </c>
      <c r="D158" s="160">
        <f t="shared" si="18"/>
        <v>-6.3156078563437199E-5</v>
      </c>
      <c r="E158" s="160">
        <f t="shared" si="18"/>
        <v>-6.3866919501622196E-3</v>
      </c>
      <c r="F158" s="160">
        <f t="shared" si="18"/>
        <v>-0.20656078488059271</v>
      </c>
      <c r="G158" s="160">
        <f t="shared" si="18"/>
        <v>-0.94357268339818767</v>
      </c>
      <c r="H158" s="160">
        <f t="shared" si="18"/>
        <v>-2.025849016783225</v>
      </c>
      <c r="I158" s="160">
        <f t="shared" si="18"/>
        <v>-3.0724734437145518</v>
      </c>
      <c r="J158" s="160">
        <f t="shared" si="18"/>
        <v>-3.8935521768092332</v>
      </c>
      <c r="K158" s="158"/>
      <c r="L158" s="158"/>
      <c r="M158" s="158"/>
      <c r="N158" s="158"/>
      <c r="O158" s="158"/>
      <c r="P158" s="158"/>
      <c r="Q158" s="158"/>
      <c r="R158" s="158"/>
      <c r="S158" s="158"/>
    </row>
    <row r="159" spans="2:19">
      <c r="B159" s="160">
        <v>21.5</v>
      </c>
      <c r="C159" s="160">
        <f t="shared" si="18"/>
        <v>-8.0475219954095289E-8</v>
      </c>
      <c r="D159" s="160">
        <f t="shared" si="18"/>
        <v>-3.3044065583964309E-5</v>
      </c>
      <c r="E159" s="160">
        <f t="shared" si="18"/>
        <v>-4.2191998164360159E-3</v>
      </c>
      <c r="F159" s="160">
        <f t="shared" si="18"/>
        <v>-0.16359576994288216</v>
      </c>
      <c r="G159" s="160">
        <f t="shared" si="18"/>
        <v>-0.81275349218900705</v>
      </c>
      <c r="H159" s="160">
        <f t="shared" si="18"/>
        <v>-1.8263987701330695</v>
      </c>
      <c r="I159" s="160">
        <f t="shared" si="18"/>
        <v>-2.8472033579274929</v>
      </c>
      <c r="J159" s="160">
        <f t="shared" si="18"/>
        <v>-3.6730517541507477</v>
      </c>
      <c r="K159" s="158"/>
      <c r="L159" s="158"/>
      <c r="M159" s="158"/>
      <c r="N159" s="158"/>
      <c r="O159" s="158"/>
      <c r="P159" s="158"/>
      <c r="Q159" s="158"/>
      <c r="R159" s="158"/>
      <c r="S159" s="158"/>
    </row>
    <row r="160" spans="2:19">
      <c r="B160" s="160">
        <v>22</v>
      </c>
      <c r="C160" s="160">
        <f t="shared" si="18"/>
        <v>-3.0976126661021712E-8</v>
      </c>
      <c r="D160" s="160">
        <f t="shared" si="18"/>
        <v>-1.7027561633045275E-5</v>
      </c>
      <c r="E160" s="160">
        <f t="shared" si="18"/>
        <v>-2.7602463499718142E-3</v>
      </c>
      <c r="F160" s="160">
        <f t="shared" si="18"/>
        <v>-0.12885856920539329</v>
      </c>
      <c r="G160" s="160">
        <f t="shared" si="18"/>
        <v>-0.69761728792158928</v>
      </c>
      <c r="H160" s="160">
        <f t="shared" si="18"/>
        <v>-1.6425743764515319</v>
      </c>
      <c r="I160" s="160">
        <f t="shared" si="18"/>
        <v>-2.6337268248853589</v>
      </c>
      <c r="J160" s="160">
        <f t="shared" si="18"/>
        <v>-3.4602888743310811</v>
      </c>
      <c r="K160" s="158"/>
      <c r="L160" s="158"/>
      <c r="M160" s="158"/>
      <c r="N160" s="158"/>
      <c r="O160" s="158"/>
      <c r="P160" s="158"/>
      <c r="Q160" s="158"/>
      <c r="R160" s="158"/>
      <c r="S160" s="158"/>
    </row>
    <row r="161" spans="2:19">
      <c r="B161" s="160">
        <v>22.5</v>
      </c>
      <c r="C161" s="160">
        <f t="shared" si="18"/>
        <v>-1.1664341068940639E-8</v>
      </c>
      <c r="D161" s="160">
        <f t="shared" si="18"/>
        <v>-8.6415592649818908E-6</v>
      </c>
      <c r="E161" s="160">
        <f t="shared" si="18"/>
        <v>-1.7882540669679394E-3</v>
      </c>
      <c r="F161" s="160">
        <f t="shared" si="18"/>
        <v>-0.10094192426112462</v>
      </c>
      <c r="G161" s="160">
        <f t="shared" si="18"/>
        <v>-0.59669243287956675</v>
      </c>
      <c r="H161" s="160">
        <f t="shared" si="18"/>
        <v>-1.4736535274626614</v>
      </c>
      <c r="I161" s="160">
        <f t="shared" si="18"/>
        <v>-2.4318952116664954</v>
      </c>
      <c r="J161" s="160">
        <f t="shared" si="18"/>
        <v>-3.2553817544940791</v>
      </c>
      <c r="K161" s="158"/>
      <c r="L161" s="158"/>
      <c r="M161" s="158"/>
      <c r="N161" s="158"/>
      <c r="O161" s="158"/>
      <c r="P161" s="158"/>
      <c r="Q161" s="158"/>
      <c r="R161" s="158"/>
      <c r="S161" s="158"/>
    </row>
    <row r="162" spans="2:19">
      <c r="B162" s="160">
        <v>23</v>
      </c>
      <c r="C162" s="160">
        <f t="shared" si="18"/>
        <v>-4.2969615562997568E-9</v>
      </c>
      <c r="D162" s="160">
        <f t="shared" si="18"/>
        <v>-4.319290666747239E-6</v>
      </c>
      <c r="E162" s="160">
        <f t="shared" si="18"/>
        <v>-1.1472926861809082E-3</v>
      </c>
      <c r="F162" s="160">
        <f t="shared" si="18"/>
        <v>-7.864061369596051E-2</v>
      </c>
      <c r="G162" s="160">
        <f t="shared" si="18"/>
        <v>-0.50857936070924981</v>
      </c>
      <c r="H162" s="160">
        <f t="shared" si="18"/>
        <v>-1.3188841191826426</v>
      </c>
      <c r="I162" s="160">
        <f t="shared" si="18"/>
        <v>-2.2415110217982628</v>
      </c>
      <c r="J162" s="160">
        <f t="shared" si="18"/>
        <v>-3.0584103427681231</v>
      </c>
      <c r="K162" s="158"/>
      <c r="L162" s="158"/>
      <c r="M162" s="158"/>
      <c r="N162" s="158"/>
      <c r="O162" s="158"/>
      <c r="P162" s="158"/>
      <c r="Q162" s="158"/>
      <c r="R162" s="158"/>
      <c r="S162" s="158"/>
    </row>
    <row r="163" spans="2:19">
      <c r="B163" s="160">
        <v>23.5</v>
      </c>
      <c r="C163" s="160">
        <f t="shared" si="18"/>
        <v>-1.5485701579259834E-9</v>
      </c>
      <c r="D163" s="160">
        <f t="shared" si="18"/>
        <v>-2.1262455386031208E-6</v>
      </c>
      <c r="E163" s="160">
        <f t="shared" si="18"/>
        <v>-7.2892501607753682E-4</v>
      </c>
      <c r="F163" s="160">
        <f t="shared" si="18"/>
        <v>-6.0931132241724709E-2</v>
      </c>
      <c r="G163" s="160">
        <f t="shared" si="18"/>
        <v>-0.43195831498556542</v>
      </c>
      <c r="H163" s="160">
        <f t="shared" si="18"/>
        <v>-1.1774942537517938</v>
      </c>
      <c r="I163" s="160">
        <f t="shared" si="18"/>
        <v>-2.0623329963333514</v>
      </c>
      <c r="J163" s="160">
        <f t="shared" si="18"/>
        <v>-2.8694181583080618</v>
      </c>
      <c r="K163" s="158"/>
      <c r="L163" s="158"/>
      <c r="M163" s="158"/>
      <c r="N163" s="158"/>
      <c r="O163" s="158"/>
      <c r="P163" s="158"/>
      <c r="Q163" s="158"/>
      <c r="R163" s="158"/>
      <c r="S163" s="158"/>
    </row>
    <row r="164" spans="2:19">
      <c r="B164" s="160">
        <v>24</v>
      </c>
      <c r="C164" s="160">
        <f t="shared" si="18"/>
        <v>-5.4596960184775171E-10</v>
      </c>
      <c r="D164" s="160">
        <f t="shared" si="18"/>
        <v>-1.0308490289750913E-6</v>
      </c>
      <c r="E164" s="160">
        <f t="shared" si="18"/>
        <v>-4.5862224046169998E-4</v>
      </c>
      <c r="F164" s="160">
        <f t="shared" si="18"/>
        <v>-4.6951410386312439E-2</v>
      </c>
      <c r="G164" s="160">
        <f t="shared" si="18"/>
        <v>-0.36559466595007473</v>
      </c>
      <c r="H164" s="160">
        <f t="shared" si="18"/>
        <v>-1.048701430834361</v>
      </c>
      <c r="I164" s="160">
        <f t="shared" si="18"/>
        <v>-1.8940811961222284</v>
      </c>
      <c r="J164" s="160">
        <f t="shared" si="18"/>
        <v>-2.688414263250233</v>
      </c>
      <c r="K164" s="158"/>
      <c r="L164" s="158"/>
      <c r="M164" s="158"/>
      <c r="N164" s="158"/>
      <c r="O164" s="158"/>
      <c r="P164" s="158"/>
      <c r="Q164" s="158"/>
      <c r="R164" s="158"/>
      <c r="S164" s="158"/>
    </row>
    <row r="165" spans="2:19">
      <c r="B165" s="160">
        <v>24.5</v>
      </c>
      <c r="C165" s="160">
        <f t="shared" si="18"/>
        <v>-1.8831035395520396E-10</v>
      </c>
      <c r="D165" s="160">
        <f t="shared" si="18"/>
        <v>-4.9221787744994165E-7</v>
      </c>
      <c r="E165" s="160">
        <f t="shared" si="18"/>
        <v>-2.8575312897513507E-4</v>
      </c>
      <c r="F165" s="160">
        <f t="shared" si="18"/>
        <v>-3.5981153070833681E-2</v>
      </c>
      <c r="G165" s="160">
        <f t="shared" si="18"/>
        <v>-0.30834205931828457</v>
      </c>
      <c r="H165" s="160">
        <f t="shared" si="18"/>
        <v>-0.93172088663526631</v>
      </c>
      <c r="I165" s="160">
        <f t="shared" si="18"/>
        <v>-1.7364420143856218</v>
      </c>
      <c r="J165" s="160">
        <f t="shared" si="18"/>
        <v>-2.5153753428933472</v>
      </c>
      <c r="K165" s="158"/>
      <c r="L165" s="158"/>
      <c r="M165" s="158"/>
      <c r="N165" s="158"/>
      <c r="O165" s="158"/>
      <c r="P165" s="158"/>
      <c r="Q165" s="158"/>
      <c r="R165" s="158"/>
      <c r="S165" s="158"/>
    </row>
    <row r="166" spans="2:19">
      <c r="B166" s="160">
        <v>25</v>
      </c>
      <c r="C166" s="160">
        <f t="shared" ref="C166:J175" si="19">-C$12*EXP((-($B166^2)/(2*C$10^2)))*1000</f>
        <v>-6.3540129539704109E-11</v>
      </c>
      <c r="D166" s="160">
        <f t="shared" si="19"/>
        <v>-2.314730140949576E-7</v>
      </c>
      <c r="E166" s="160">
        <f t="shared" si="19"/>
        <v>-1.7631550444402227E-4</v>
      </c>
      <c r="F166" s="160">
        <f t="shared" si="19"/>
        <v>-2.7423226513463551E-2</v>
      </c>
      <c r="G166" s="160">
        <f t="shared" si="19"/>
        <v>-0.25914366225483804</v>
      </c>
      <c r="H166" s="160">
        <f t="shared" si="19"/>
        <v>-0.8257730567520366</v>
      </c>
      <c r="I166" s="160">
        <f t="shared" si="19"/>
        <v>-1.5890730735506333</v>
      </c>
      <c r="J166" s="160">
        <f t="shared" si="19"/>
        <v>-2.3502478708599908</v>
      </c>
      <c r="K166" s="158"/>
      <c r="L166" s="158"/>
      <c r="M166" s="158"/>
      <c r="N166" s="158"/>
      <c r="O166" s="158"/>
      <c r="P166" s="158"/>
      <c r="Q166" s="158"/>
      <c r="R166" s="158"/>
      <c r="S166" s="158"/>
    </row>
    <row r="167" spans="2:19">
      <c r="B167" s="160">
        <v>25.5</v>
      </c>
      <c r="C167" s="160">
        <f t="shared" si="19"/>
        <v>-2.0974429242588661E-11</v>
      </c>
      <c r="D167" s="160">
        <f t="shared" si="19"/>
        <v>-1.0720721559797906E-7</v>
      </c>
      <c r="E167" s="160">
        <f t="shared" si="19"/>
        <v>-1.0773421210853546E-4</v>
      </c>
      <c r="F167" s="160">
        <f t="shared" si="19"/>
        <v>-2.0786389687090047E-2</v>
      </c>
      <c r="G167" s="160">
        <f t="shared" si="19"/>
        <v>-0.21703177429415116</v>
      </c>
      <c r="H167" s="160">
        <f t="shared" si="19"/>
        <v>-0.73009015574151626</v>
      </c>
      <c r="I167" s="160">
        <f t="shared" si="19"/>
        <v>-1.4516079654173155</v>
      </c>
      <c r="J167" s="160">
        <f t="shared" si="19"/>
        <v>-2.1929503366547975</v>
      </c>
      <c r="K167" s="158"/>
      <c r="L167" s="158"/>
      <c r="M167" s="158"/>
      <c r="N167" s="158"/>
      <c r="O167" s="158"/>
      <c r="P167" s="158"/>
      <c r="Q167" s="158"/>
      <c r="R167" s="158"/>
      <c r="S167" s="158"/>
    </row>
    <row r="168" spans="2:19">
      <c r="B168" s="160">
        <v>26</v>
      </c>
      <c r="C168" s="160">
        <f t="shared" si="19"/>
        <v>-6.7733008616191406E-12</v>
      </c>
      <c r="D168" s="160">
        <f t="shared" si="19"/>
        <v>-4.8902192708170768E-8</v>
      </c>
      <c r="E168" s="160">
        <f t="shared" si="19"/>
        <v>-6.5189913115339419E-5</v>
      </c>
      <c r="F168" s="160">
        <f t="shared" si="19"/>
        <v>-1.5669553396100388E-2</v>
      </c>
      <c r="G168" s="160">
        <f t="shared" si="19"/>
        <v>-0.18112606635654435</v>
      </c>
      <c r="H168" s="160">
        <f t="shared" si="19"/>
        <v>-0.64392188125352945</v>
      </c>
      <c r="I168" s="160">
        <f t="shared" si="19"/>
        <v>-1.3236607989709201</v>
      </c>
      <c r="J168" s="160">
        <f t="shared" si="19"/>
        <v>-2.0433755138945244</v>
      </c>
      <c r="K168" s="158"/>
      <c r="L168" s="158"/>
      <c r="M168" s="158"/>
      <c r="N168" s="158"/>
      <c r="O168" s="158"/>
      <c r="P168" s="158"/>
      <c r="Q168" s="158"/>
      <c r="R168" s="158"/>
      <c r="S168" s="158"/>
    </row>
    <row r="169" spans="2:19">
      <c r="B169" s="160">
        <v>26.5</v>
      </c>
      <c r="C169" s="160">
        <f t="shared" si="19"/>
        <v>-2.1398273869842023E-12</v>
      </c>
      <c r="D169" s="160">
        <f t="shared" si="19"/>
        <v>-2.1969153090148448E-8</v>
      </c>
      <c r="E169" s="160">
        <f t="shared" si="19"/>
        <v>-3.9063467485448717E-5</v>
      </c>
      <c r="F169" s="160">
        <f t="shared" si="19"/>
        <v>-1.174765577027018E-2</v>
      </c>
      <c r="G169" s="160">
        <f t="shared" si="19"/>
        <v>-0.150630700340423</v>
      </c>
      <c r="H169" s="160">
        <f t="shared" si="19"/>
        <v>-0.56654026374455901</v>
      </c>
      <c r="I169" s="160">
        <f t="shared" si="19"/>
        <v>-1.2048305254558052</v>
      </c>
      <c r="J169" s="160">
        <f t="shared" si="19"/>
        <v>-1.9013927485192847</v>
      </c>
      <c r="K169" s="158"/>
      <c r="L169" s="158"/>
      <c r="M169" s="158"/>
      <c r="N169" s="158"/>
      <c r="O169" s="158"/>
      <c r="P169" s="158"/>
      <c r="Q169" s="158"/>
      <c r="R169" s="158"/>
      <c r="S169" s="158"/>
    </row>
    <row r="170" spans="2:19">
      <c r="B170" s="160">
        <v>27</v>
      </c>
      <c r="C170" s="160">
        <f t="shared" si="19"/>
        <v>-6.6134073833265201E-13</v>
      </c>
      <c r="D170" s="160">
        <f t="shared" si="19"/>
        <v>-9.7202842241172001E-9</v>
      </c>
      <c r="E170" s="160">
        <f t="shared" si="19"/>
        <v>-2.3180607115358304E-5</v>
      </c>
      <c r="F170" s="160">
        <f t="shared" si="19"/>
        <v>-8.759167793567238E-3</v>
      </c>
      <c r="G170" s="160">
        <f t="shared" si="19"/>
        <v>-0.1248305663205342</v>
      </c>
      <c r="H170" s="160">
        <f t="shared" si="19"/>
        <v>-0.4972436940663057</v>
      </c>
      <c r="I170" s="160">
        <f t="shared" si="19"/>
        <v>-1.0947050155940936</v>
      </c>
      <c r="J170" s="160">
        <f t="shared" si="19"/>
        <v>-1.766850247479627</v>
      </c>
      <c r="K170" s="158"/>
      <c r="L170" s="158"/>
      <c r="M170" s="158"/>
      <c r="N170" s="158"/>
      <c r="O170" s="158"/>
      <c r="P170" s="158"/>
      <c r="Q170" s="158"/>
      <c r="R170" s="158"/>
      <c r="S170" s="158"/>
    </row>
    <row r="171" spans="2:19">
      <c r="B171" s="160">
        <v>27.5</v>
      </c>
      <c r="C171" s="160">
        <f t="shared" si="19"/>
        <v>-1.9995854580802249E-13</v>
      </c>
      <c r="D171" s="160">
        <f t="shared" si="19"/>
        <v>-4.2357008408043122E-9</v>
      </c>
      <c r="E171" s="160">
        <f t="shared" si="19"/>
        <v>-1.362204930643622E-5</v>
      </c>
      <c r="F171" s="160">
        <f t="shared" si="19"/>
        <v>-6.4951849091591527E-3</v>
      </c>
      <c r="G171" s="160">
        <f t="shared" si="19"/>
        <v>-0.10308685536431463</v>
      </c>
      <c r="H171" s="160">
        <f t="shared" si="19"/>
        <v>-0.4353601706097347</v>
      </c>
      <c r="I171" s="160">
        <f t="shared" si="19"/>
        <v>-0.99286486898754078</v>
      </c>
      <c r="J171" s="160">
        <f t="shared" si="19"/>
        <v>-1.6395773497065955</v>
      </c>
      <c r="K171" s="158"/>
      <c r="L171" s="158"/>
      <c r="M171" s="158"/>
      <c r="N171" s="158"/>
      <c r="O171" s="158"/>
      <c r="P171" s="158"/>
      <c r="Q171" s="158"/>
      <c r="R171" s="158"/>
      <c r="S171" s="158"/>
    </row>
    <row r="172" spans="2:19">
      <c r="B172" s="160">
        <v>28</v>
      </c>
      <c r="C172" s="160">
        <f t="shared" si="19"/>
        <v>-5.9145651912917713E-14</v>
      </c>
      <c r="D172" s="160">
        <f t="shared" si="19"/>
        <v>-1.8178257901695921E-9</v>
      </c>
      <c r="E172" s="160">
        <f t="shared" si="19"/>
        <v>-7.9272711993235595E-6</v>
      </c>
      <c r="F172" s="160">
        <f t="shared" si="19"/>
        <v>-4.7900189626216656E-3</v>
      </c>
      <c r="G172" s="160">
        <f t="shared" si="19"/>
        <v>-8.483216452377422E-2</v>
      </c>
      <c r="H172" s="160">
        <f t="shared" si="19"/>
        <v>-0.38024981520328011</v>
      </c>
      <c r="I172" s="160">
        <f t="shared" si="19"/>
        <v>-0.89888694071516684</v>
      </c>
      <c r="J172" s="160">
        <f t="shared" si="19"/>
        <v>-1.5193867625874191</v>
      </c>
      <c r="K172" s="158"/>
      <c r="L172" s="158"/>
      <c r="M172" s="158"/>
      <c r="N172" s="158"/>
      <c r="O172" s="158"/>
      <c r="P172" s="158"/>
      <c r="Q172" s="158"/>
      <c r="R172" s="158"/>
      <c r="S172" s="158"/>
    </row>
    <row r="173" spans="2:19">
      <c r="B173" s="160">
        <v>28.5</v>
      </c>
      <c r="C173" s="160">
        <f t="shared" si="19"/>
        <v>-1.7114879109533817E-14</v>
      </c>
      <c r="D173" s="160">
        <f t="shared" si="19"/>
        <v>-7.6835143804264752E-10</v>
      </c>
      <c r="E173" s="160">
        <f t="shared" si="19"/>
        <v>-4.5684472079825379E-6</v>
      </c>
      <c r="F173" s="160">
        <f t="shared" si="19"/>
        <v>-3.5131766363375467E-3</v>
      </c>
      <c r="G173" s="160">
        <f t="shared" si="19"/>
        <v>-6.9565307691431613E-2</v>
      </c>
      <c r="H173" s="160">
        <f t="shared" si="19"/>
        <v>-0.331306712681955</v>
      </c>
      <c r="I173" s="160">
        <f t="shared" si="19"/>
        <v>-0.81234757487177622</v>
      </c>
      <c r="J173" s="160">
        <f t="shared" si="19"/>
        <v>-1.4060767486639227</v>
      </c>
      <c r="K173" s="158"/>
      <c r="L173" s="158"/>
      <c r="M173" s="158"/>
      <c r="N173" s="158"/>
      <c r="O173" s="158"/>
      <c r="P173" s="158"/>
      <c r="Q173" s="158"/>
      <c r="R173" s="158"/>
      <c r="S173" s="158"/>
    </row>
    <row r="174" spans="2:19">
      <c r="B174" s="160">
        <v>29</v>
      </c>
      <c r="C174" s="160">
        <f t="shared" si="19"/>
        <v>-4.8449913744945252E-15</v>
      </c>
      <c r="D174" s="160">
        <f t="shared" si="19"/>
        <v>-3.198513753949316E-10</v>
      </c>
      <c r="E174" s="160">
        <f t="shared" si="19"/>
        <v>-2.6072167147519811E-6</v>
      </c>
      <c r="F174" s="160">
        <f t="shared" si="19"/>
        <v>-2.5625938467515545E-3</v>
      </c>
      <c r="G174" s="160">
        <f t="shared" si="19"/>
        <v>-5.6845982621138859E-2</v>
      </c>
      <c r="H174" s="160">
        <f t="shared" si="19"/>
        <v>-0.2879601330627648</v>
      </c>
      <c r="I174" s="160">
        <f t="shared" si="19"/>
        <v>-0.73282553923283245</v>
      </c>
      <c r="J174" s="160">
        <f t="shared" si="19"/>
        <v>-1.2994332488210247</v>
      </c>
      <c r="K174" s="158"/>
      <c r="L174" s="158"/>
      <c r="M174" s="158"/>
      <c r="N174" s="158"/>
      <c r="O174" s="158"/>
      <c r="P174" s="158"/>
      <c r="Q174" s="158"/>
      <c r="R174" s="158"/>
      <c r="S174" s="158"/>
    </row>
    <row r="175" spans="2:19">
      <c r="B175" s="160">
        <v>29.5</v>
      </c>
      <c r="C175" s="160">
        <f t="shared" si="19"/>
        <v>-1.3417769905016181E-15</v>
      </c>
      <c r="D175" s="160">
        <f t="shared" si="19"/>
        <v>-1.3113457197364416E-10</v>
      </c>
      <c r="E175" s="160">
        <f t="shared" si="19"/>
        <v>-1.4734970788324906E-6</v>
      </c>
      <c r="F175" s="160">
        <f t="shared" si="19"/>
        <v>-1.8589881096066645E-3</v>
      </c>
      <c r="G175" s="160">
        <f t="shared" si="19"/>
        <v>-4.6289421267342291E-2</v>
      </c>
      <c r="H175" s="160">
        <f t="shared" si="19"/>
        <v>-0.24967519770803537</v>
      </c>
      <c r="I175" s="160">
        <f t="shared" si="19"/>
        <v>-0.65990465933802811</v>
      </c>
      <c r="J175" s="160">
        <f t="shared" si="19"/>
        <v>-1.1992319298162579</v>
      </c>
      <c r="K175" s="158"/>
      <c r="L175" s="158"/>
      <c r="M175" s="158"/>
      <c r="N175" s="158"/>
      <c r="O175" s="158"/>
      <c r="P175" s="158"/>
      <c r="Q175" s="158"/>
      <c r="R175" s="158"/>
      <c r="S175" s="158"/>
    </row>
    <row r="176" spans="2:19">
      <c r="B176" s="160">
        <v>30</v>
      </c>
      <c r="C176" s="160">
        <f t="shared" ref="C176:J185" si="20">-C$12*EXP((-($B176^2)/(2*C$10^2)))*1000</f>
        <v>-3.6352629606564088E-16</v>
      </c>
      <c r="D176" s="160">
        <f t="shared" si="20"/>
        <v>-5.2950107949753217E-11</v>
      </c>
      <c r="E176" s="160">
        <f t="shared" si="20"/>
        <v>-8.246792231800731E-7</v>
      </c>
      <c r="F176" s="160">
        <f t="shared" si="20"/>
        <v>-1.3411905502259548E-3</v>
      </c>
      <c r="G176" s="160">
        <f t="shared" si="20"/>
        <v>-3.7561128309049951E-2</v>
      </c>
      <c r="H176" s="160">
        <f t="shared" si="20"/>
        <v>-0.21595305187903172</v>
      </c>
      <c r="I176" s="160">
        <f t="shared" si="20"/>
        <v>-0.59317615402778312</v>
      </c>
      <c r="J176" s="160">
        <f t="shared" si="20"/>
        <v>-1.105240145596996</v>
      </c>
      <c r="K176" s="158"/>
      <c r="L176" s="158"/>
      <c r="M176" s="158"/>
      <c r="N176" s="158"/>
      <c r="O176" s="158"/>
      <c r="P176" s="158"/>
      <c r="Q176" s="158"/>
      <c r="R176" s="158"/>
      <c r="S176" s="158"/>
    </row>
    <row r="177" spans="2:19">
      <c r="B177" s="160">
        <v>30.5</v>
      </c>
      <c r="C177" s="160">
        <f t="shared" si="20"/>
        <v>-9.6351722360458728E-17</v>
      </c>
      <c r="D177" s="160">
        <f t="shared" si="20"/>
        <v>-2.105703228400703E-11</v>
      </c>
      <c r="E177" s="160">
        <f t="shared" si="20"/>
        <v>-4.5707182753291931E-7</v>
      </c>
      <c r="F177" s="160">
        <f t="shared" si="20"/>
        <v>-9.6232417830631413E-4</v>
      </c>
      <c r="G177" s="160">
        <f t="shared" si="20"/>
        <v>-3.0371791780413274E-2</v>
      </c>
      <c r="H177" s="160">
        <f t="shared" si="20"/>
        <v>-0.18633060583834379</v>
      </c>
      <c r="I177" s="160">
        <f t="shared" si="20"/>
        <v>-0.53224067782124118</v>
      </c>
      <c r="J177" s="160">
        <f t="shared" si="20"/>
        <v>-1.0172188034401299</v>
      </c>
      <c r="K177" s="158"/>
      <c r="L177" s="158"/>
      <c r="M177" s="158"/>
      <c r="N177" s="158"/>
      <c r="O177" s="158"/>
      <c r="P177" s="158"/>
      <c r="Q177" s="158"/>
      <c r="R177" s="158"/>
      <c r="S177" s="158"/>
    </row>
    <row r="178" spans="2:19">
      <c r="B178" s="160">
        <v>31</v>
      </c>
      <c r="C178" s="160">
        <f t="shared" si="20"/>
        <v>-2.4983385703914836E-17</v>
      </c>
      <c r="D178" s="160">
        <f t="shared" si="20"/>
        <v>-8.2472306845132222E-12</v>
      </c>
      <c r="E178" s="160">
        <f t="shared" si="20"/>
        <v>-2.5086927829543355E-7</v>
      </c>
      <c r="F178" s="160">
        <f t="shared" si="20"/>
        <v>-6.8670364109112625E-4</v>
      </c>
      <c r="G178" s="160">
        <f t="shared" si="20"/>
        <v>-2.4472430482091429E-2</v>
      </c>
      <c r="H178" s="160">
        <f t="shared" si="20"/>
        <v>-0.16037990531976393</v>
      </c>
      <c r="I178" s="160">
        <f t="shared" si="20"/>
        <v>-0.47671007847750613</v>
      </c>
      <c r="J178" s="160">
        <f t="shared" si="20"/>
        <v>-0.93492412751108722</v>
      </c>
      <c r="K178" s="158"/>
      <c r="L178" s="158"/>
      <c r="M178" s="158"/>
      <c r="N178" s="158"/>
      <c r="O178" s="158"/>
      <c r="P178" s="158"/>
      <c r="Q178" s="158"/>
      <c r="R178" s="158"/>
      <c r="S178" s="158"/>
    </row>
    <row r="179" spans="2:19">
      <c r="B179" s="160">
        <v>31.5</v>
      </c>
      <c r="C179" s="160">
        <f t="shared" si="20"/>
        <v>-6.3374020908104854E-18</v>
      </c>
      <c r="D179" s="160">
        <f t="shared" si="20"/>
        <v>-3.1812645664995999E-12</v>
      </c>
      <c r="E179" s="160">
        <f t="shared" si="20"/>
        <v>-1.3635596264327012E-7</v>
      </c>
      <c r="F179" s="160">
        <f t="shared" si="20"/>
        <v>-4.8734256261383007E-4</v>
      </c>
      <c r="G179" s="160">
        <f t="shared" si="20"/>
        <v>-1.9649825532015421E-2</v>
      </c>
      <c r="H179" s="160">
        <f t="shared" si="20"/>
        <v>-0.13770718992039513</v>
      </c>
      <c r="I179" s="160">
        <f t="shared" si="20"/>
        <v>-0.42620888062826201</v>
      </c>
      <c r="J179" s="160">
        <f t="shared" si="20"/>
        <v>-0.85810931395879253</v>
      </c>
      <c r="K179" s="158"/>
      <c r="L179" s="158"/>
      <c r="M179" s="158"/>
      <c r="N179" s="158"/>
      <c r="O179" s="158"/>
      <c r="P179" s="158"/>
      <c r="Q179" s="158"/>
      <c r="R179" s="158"/>
      <c r="S179" s="158"/>
    </row>
    <row r="180" spans="2:19">
      <c r="B180" s="160">
        <v>32</v>
      </c>
      <c r="C180" s="160">
        <f t="shared" si="20"/>
        <v>-1.5726764817354964E-18</v>
      </c>
      <c r="D180" s="160">
        <f t="shared" si="20"/>
        <v>-1.2085708089998471E-12</v>
      </c>
      <c r="E180" s="160">
        <f t="shared" si="20"/>
        <v>-7.3394651643848121E-8</v>
      </c>
      <c r="F180" s="160">
        <f t="shared" si="20"/>
        <v>-3.43966680346275E-4</v>
      </c>
      <c r="G180" s="160">
        <f t="shared" si="20"/>
        <v>-1.5722268161769373E-2</v>
      </c>
      <c r="H180" s="160">
        <f t="shared" si="20"/>
        <v>-0.11795169495125661</v>
      </c>
      <c r="I180" s="160">
        <f t="shared" si="20"/>
        <v>-0.38037550851146312</v>
      </c>
      <c r="J180" s="160">
        <f t="shared" si="20"/>
        <v>-0.78652607312577094</v>
      </c>
      <c r="K180" s="158"/>
      <c r="L180" s="158"/>
      <c r="M180" s="158"/>
      <c r="N180" s="158"/>
      <c r="O180" s="158"/>
      <c r="P180" s="158"/>
      <c r="Q180" s="158"/>
      <c r="R180" s="158"/>
      <c r="S180" s="158"/>
    </row>
    <row r="181" spans="2:19">
      <c r="B181" s="160">
        <v>32.5</v>
      </c>
      <c r="C181" s="160">
        <f t="shared" si="20"/>
        <v>-3.8179978655163661E-19</v>
      </c>
      <c r="D181" s="160">
        <f t="shared" si="20"/>
        <v>-4.5219429497845441E-13</v>
      </c>
      <c r="E181" s="160">
        <f t="shared" si="20"/>
        <v>-3.9121754166536616E-8</v>
      </c>
      <c r="F181" s="160">
        <f t="shared" si="20"/>
        <v>-2.414434606286492E-4</v>
      </c>
      <c r="G181" s="160">
        <f t="shared" si="20"/>
        <v>-1.2535642716880308E-2</v>
      </c>
      <c r="H181" s="160">
        <f t="shared" si="20"/>
        <v>-0.10078424867362769</v>
      </c>
      <c r="I181" s="160">
        <f t="shared" si="20"/>
        <v>-0.33886326258100918</v>
      </c>
      <c r="J181" s="160">
        <f t="shared" si="20"/>
        <v>-0.71992605584524716</v>
      </c>
      <c r="K181" s="158"/>
      <c r="L181" s="158"/>
      <c r="M181" s="158"/>
      <c r="N181" s="158"/>
      <c r="O181" s="158"/>
      <c r="P181" s="158"/>
      <c r="Q181" s="158"/>
      <c r="R181" s="158"/>
      <c r="S181" s="158"/>
    </row>
    <row r="182" spans="2:19">
      <c r="B182" s="160">
        <v>33</v>
      </c>
      <c r="C182" s="160">
        <f t="shared" si="20"/>
        <v>-9.067762355427183E-20</v>
      </c>
      <c r="D182" s="160">
        <f t="shared" si="20"/>
        <v>-1.6663212150668539E-13</v>
      </c>
      <c r="E182" s="160">
        <f t="shared" si="20"/>
        <v>-2.0650751107347808E-8</v>
      </c>
      <c r="F182" s="160">
        <f t="shared" si="20"/>
        <v>-1.6855108766551855E-4</v>
      </c>
      <c r="G182" s="160">
        <f t="shared" si="20"/>
        <v>-9.9598527431061113E-3</v>
      </c>
      <c r="H182" s="160">
        <f t="shared" si="20"/>
        <v>-8.5905712803595519E-2</v>
      </c>
      <c r="I182" s="160">
        <f t="shared" si="20"/>
        <v>-0.30134106613065931</v>
      </c>
      <c r="J182" s="160">
        <f t="shared" si="20"/>
        <v>-0.65806216210903412</v>
      </c>
      <c r="K182" s="158"/>
      <c r="L182" s="158"/>
      <c r="M182" s="158"/>
      <c r="N182" s="158"/>
      <c r="O182" s="158"/>
      <c r="P182" s="158"/>
      <c r="Q182" s="158"/>
      <c r="R182" s="158"/>
      <c r="S182" s="158"/>
    </row>
    <row r="183" spans="2:19">
      <c r="B183" s="160">
        <v>33.5</v>
      </c>
      <c r="C183" s="160">
        <f t="shared" si="20"/>
        <v>-2.1068457371198567E-20</v>
      </c>
      <c r="D183" s="160">
        <f t="shared" si="20"/>
        <v>-6.0474604221445724E-14</v>
      </c>
      <c r="E183" s="160">
        <f t="shared" si="20"/>
        <v>-1.0794859931485709E-8</v>
      </c>
      <c r="F183" s="160">
        <f t="shared" si="20"/>
        <v>-1.1702124421615948E-4</v>
      </c>
      <c r="G183" s="160">
        <f t="shared" si="20"/>
        <v>-7.8855889448723113E-3</v>
      </c>
      <c r="H183" s="160">
        <f t="shared" si="20"/>
        <v>-7.3045309829887356E-2</v>
      </c>
      <c r="I183" s="160">
        <f t="shared" si="20"/>
        <v>-0.26749399907120364</v>
      </c>
      <c r="J183" s="160">
        <f t="shared" si="20"/>
        <v>-0.60068973161220873</v>
      </c>
      <c r="K183" s="158"/>
      <c r="L183" s="158"/>
      <c r="M183" s="158"/>
      <c r="N183" s="158"/>
      <c r="O183" s="158"/>
      <c r="P183" s="158"/>
      <c r="Q183" s="158"/>
      <c r="R183" s="158"/>
      <c r="S183" s="158"/>
    </row>
    <row r="184" spans="2:19">
      <c r="B184" s="160">
        <v>34</v>
      </c>
      <c r="C184" s="160">
        <f t="shared" si="20"/>
        <v>-4.7888750462170246E-21</v>
      </c>
      <c r="D184" s="160">
        <f t="shared" si="20"/>
        <v>-2.1615635695567265E-14</v>
      </c>
      <c r="E184" s="160">
        <f t="shared" si="20"/>
        <v>-5.5880694770536888E-9</v>
      </c>
      <c r="F184" s="160">
        <f t="shared" si="20"/>
        <v>-8.0800659081401609E-5</v>
      </c>
      <c r="G184" s="160">
        <f t="shared" si="20"/>
        <v>-6.2214305507713435E-3</v>
      </c>
      <c r="H184" s="160">
        <f t="shared" si="20"/>
        <v>-6.1958876189575816E-2</v>
      </c>
      <c r="I184" s="160">
        <f t="shared" si="20"/>
        <v>-0.23702363666155893</v>
      </c>
      <c r="J184" s="160">
        <f t="shared" si="20"/>
        <v>-0.54756761680613719</v>
      </c>
      <c r="K184" s="158"/>
      <c r="L184" s="158"/>
      <c r="M184" s="158"/>
      <c r="N184" s="158"/>
      <c r="O184" s="158"/>
      <c r="P184" s="158"/>
      <c r="Q184" s="158"/>
      <c r="R184" s="158"/>
      <c r="S184" s="158"/>
    </row>
    <row r="185" spans="2:19">
      <c r="B185" s="160">
        <v>34.5</v>
      </c>
      <c r="C185" s="160">
        <f t="shared" si="20"/>
        <v>-1.064884320387019E-21</v>
      </c>
      <c r="D185" s="160">
        <f t="shared" si="20"/>
        <v>-7.6092815917001311E-15</v>
      </c>
      <c r="E185" s="160">
        <f t="shared" si="20"/>
        <v>-2.8646410375331706E-9</v>
      </c>
      <c r="F185" s="160">
        <f t="shared" si="20"/>
        <v>-5.5485836146884297E-5</v>
      </c>
      <c r="G185" s="160">
        <f t="shared" si="20"/>
        <v>-4.891266048241593E-3</v>
      </c>
      <c r="H185" s="160">
        <f t="shared" si="20"/>
        <v>-5.2427075797307002E-2</v>
      </c>
      <c r="I185" s="160">
        <f t="shared" si="20"/>
        <v>-0.20964821134361053</v>
      </c>
      <c r="J185" s="160">
        <f t="shared" si="20"/>
        <v>-0.49845914011510489</v>
      </c>
      <c r="K185" s="158"/>
      <c r="L185" s="158"/>
      <c r="M185" s="158"/>
      <c r="N185" s="158"/>
      <c r="O185" s="158"/>
      <c r="P185" s="158"/>
      <c r="Q185" s="158"/>
      <c r="R185" s="158"/>
      <c r="S185" s="158"/>
    </row>
    <row r="186" spans="2:19">
      <c r="B186" s="160">
        <v>35</v>
      </c>
      <c r="C186" s="160">
        <f t="shared" ref="C186:J195" si="21">-C$12*EXP((-($B186^2)/(2*C$10^2)))*1000</f>
        <v>-2.3165384818914007E-22</v>
      </c>
      <c r="D186" s="160">
        <f t="shared" si="21"/>
        <v>-2.6381529227282202E-15</v>
      </c>
      <c r="E186" s="160">
        <f t="shared" si="21"/>
        <v>-1.4542606321356737E-9</v>
      </c>
      <c r="F186" s="160">
        <f t="shared" si="21"/>
        <v>-3.7893647138062326E-5</v>
      </c>
      <c r="G186" s="160">
        <f t="shared" si="21"/>
        <v>-3.8320151700973323E-3</v>
      </c>
      <c r="H186" s="160">
        <f t="shared" si="21"/>
        <v>-4.4253603925374765E-2</v>
      </c>
      <c r="I186" s="160">
        <f t="shared" si="21"/>
        <v>-0.18510261589631291</v>
      </c>
      <c r="J186" s="160">
        <f t="shared" si="21"/>
        <v>-0.45313293789027503</v>
      </c>
      <c r="K186" s="158"/>
      <c r="L186" s="158"/>
      <c r="M186" s="158"/>
      <c r="N186" s="158"/>
      <c r="O186" s="158"/>
      <c r="P186" s="158"/>
      <c r="Q186" s="158"/>
      <c r="R186" s="158"/>
      <c r="S186" s="158"/>
    </row>
    <row r="187" spans="2:19">
      <c r="B187" s="160">
        <v>35.5</v>
      </c>
      <c r="C187" s="160">
        <f t="shared" si="21"/>
        <v>-4.9299755466634562E-23</v>
      </c>
      <c r="D187" s="160">
        <f t="shared" si="21"/>
        <v>-9.008177657155652E-16</v>
      </c>
      <c r="E187" s="160">
        <f t="shared" si="21"/>
        <v>-7.3110189999865529E-10</v>
      </c>
      <c r="F187" s="160">
        <f t="shared" si="21"/>
        <v>-2.573758051416073E-5</v>
      </c>
      <c r="G187" s="160">
        <f t="shared" si="21"/>
        <v>-2.9916312357523354E-3</v>
      </c>
      <c r="H187" s="160">
        <f t="shared" si="21"/>
        <v>-3.7263407067609736E-2</v>
      </c>
      <c r="I187" s="160">
        <f t="shared" si="21"/>
        <v>-0.1631382659373414</v>
      </c>
      <c r="J187" s="160">
        <f t="shared" si="21"/>
        <v>-0.411363694486228</v>
      </c>
      <c r="K187" s="158"/>
      <c r="L187" s="158"/>
      <c r="M187" s="158"/>
      <c r="N187" s="158"/>
      <c r="O187" s="158"/>
      <c r="P187" s="158"/>
      <c r="Q187" s="158"/>
      <c r="R187" s="158"/>
      <c r="S187" s="158"/>
    </row>
    <row r="188" spans="2:19">
      <c r="B188" s="160">
        <v>36</v>
      </c>
      <c r="C188" s="160">
        <f t="shared" si="21"/>
        <v>-1.0264036097871945E-23</v>
      </c>
      <c r="D188" s="160">
        <f t="shared" si="21"/>
        <v>-3.0293858005470071E-16</v>
      </c>
      <c r="E188" s="160">
        <f t="shared" si="21"/>
        <v>-3.6397973456516777E-10</v>
      </c>
      <c r="F188" s="160">
        <f t="shared" si="21"/>
        <v>-1.7385455336518728E-5</v>
      </c>
      <c r="G188" s="160">
        <f t="shared" si="21"/>
        <v>-2.3273612758140444E-3</v>
      </c>
      <c r="H188" s="160">
        <f t="shared" si="21"/>
        <v>-3.1300940257541619E-2</v>
      </c>
      <c r="I188" s="160">
        <f t="shared" si="21"/>
        <v>-0.1435228393918849</v>
      </c>
      <c r="J188" s="160">
        <f t="shared" si="21"/>
        <v>-0.37293277054972929</v>
      </c>
      <c r="K188" s="158"/>
      <c r="L188" s="158"/>
      <c r="M188" s="158"/>
      <c r="N188" s="158"/>
      <c r="O188" s="158"/>
      <c r="P188" s="158"/>
      <c r="Q188" s="158"/>
      <c r="R188" s="158"/>
      <c r="S188" s="158"/>
    </row>
    <row r="189" spans="2:19">
      <c r="B189" s="160">
        <v>36.5</v>
      </c>
      <c r="C189" s="160">
        <f t="shared" si="21"/>
        <v>-2.0905460373986879E-24</v>
      </c>
      <c r="D189" s="160">
        <f t="shared" si="21"/>
        <v>-1.0033510155242171E-16</v>
      </c>
      <c r="E189" s="160">
        <f t="shared" si="21"/>
        <v>-1.7944861955777556E-10</v>
      </c>
      <c r="F189" s="160">
        <f t="shared" si="21"/>
        <v>-1.167942496618551E-5</v>
      </c>
      <c r="G189" s="160">
        <f t="shared" si="21"/>
        <v>-1.8042406127238776E-3</v>
      </c>
      <c r="H189" s="160">
        <f t="shared" si="21"/>
        <v>-2.622847940371454E-2</v>
      </c>
      <c r="I189" s="160">
        <f t="shared" si="21"/>
        <v>-0.12603990994954037</v>
      </c>
      <c r="J189" s="160">
        <f t="shared" si="21"/>
        <v>-0.33762873020891143</v>
      </c>
      <c r="K189" s="158"/>
      <c r="L189" s="158"/>
      <c r="M189" s="158"/>
      <c r="N189" s="158"/>
      <c r="O189" s="158"/>
      <c r="P189" s="158"/>
      <c r="Q189" s="158"/>
      <c r="R189" s="158"/>
      <c r="S189" s="158"/>
    </row>
    <row r="190" spans="2:19">
      <c r="B190" s="160">
        <v>37</v>
      </c>
      <c r="C190" s="160">
        <f t="shared" si="21"/>
        <v>-4.1655222690241279E-25</v>
      </c>
      <c r="D190" s="160">
        <f t="shared" si="21"/>
        <v>-3.272893473212263E-17</v>
      </c>
      <c r="E190" s="160">
        <f t="shared" si="21"/>
        <v>-8.7612619648193657E-11</v>
      </c>
      <c r="F190" s="160">
        <f t="shared" si="21"/>
        <v>-7.8032207315489172E-6</v>
      </c>
      <c r="G190" s="160">
        <f t="shared" si="21"/>
        <v>-1.3937985562759549E-3</v>
      </c>
      <c r="H190" s="160">
        <f t="shared" si="21"/>
        <v>-2.1924502591616723E-2</v>
      </c>
      <c r="I190" s="160">
        <f t="shared" si="21"/>
        <v>-0.11048849077281626</v>
      </c>
      <c r="J190" s="160">
        <f t="shared" si="21"/>
        <v>-0.30524777234622286</v>
      </c>
      <c r="K190" s="158"/>
      <c r="L190" s="158"/>
      <c r="M190" s="158"/>
      <c r="N190" s="158"/>
      <c r="O190" s="158"/>
      <c r="P190" s="158"/>
      <c r="Q190" s="158"/>
      <c r="R190" s="158"/>
      <c r="S190" s="158"/>
    </row>
    <row r="191" spans="2:19">
      <c r="B191" s="160">
        <v>37.5</v>
      </c>
      <c r="C191" s="160">
        <f t="shared" si="21"/>
        <v>-8.1198376277871484E-26</v>
      </c>
      <c r="D191" s="160">
        <f t="shared" si="21"/>
        <v>-1.0514569883615821E-17</v>
      </c>
      <c r="E191" s="160">
        <f t="shared" si="21"/>
        <v>-4.2360086359802726E-11</v>
      </c>
      <c r="F191" s="160">
        <f t="shared" si="21"/>
        <v>-5.1849355589891343E-6</v>
      </c>
      <c r="G191" s="160">
        <f t="shared" si="21"/>
        <v>-1.0729524401807636E-3</v>
      </c>
      <c r="H191" s="160">
        <f t="shared" si="21"/>
        <v>-1.8282151008975699E-2</v>
      </c>
      <c r="I191" s="160">
        <f t="shared" si="21"/>
        <v>-9.6682503834638639E-2</v>
      </c>
      <c r="J191" s="160">
        <f t="shared" si="21"/>
        <v>-0.27559407153395138</v>
      </c>
      <c r="K191" s="158"/>
      <c r="L191" s="158"/>
      <c r="M191" s="158"/>
      <c r="N191" s="158"/>
      <c r="O191" s="158"/>
      <c r="P191" s="158"/>
      <c r="Q191" s="158"/>
      <c r="R191" s="158"/>
      <c r="S191" s="158"/>
    </row>
    <row r="192" spans="2:19">
      <c r="B192" s="160">
        <v>38</v>
      </c>
      <c r="C192" s="160">
        <f t="shared" si="21"/>
        <v>-1.5484364587383116E-26</v>
      </c>
      <c r="D192" s="160">
        <f t="shared" si="21"/>
        <v>-3.3268392754126009E-18</v>
      </c>
      <c r="E192" s="160">
        <f t="shared" si="21"/>
        <v>-2.0281993259063779E-11</v>
      </c>
      <c r="F192" s="160">
        <f t="shared" si="21"/>
        <v>-3.4263354059869045E-6</v>
      </c>
      <c r="G192" s="160">
        <f t="shared" si="21"/>
        <v>-8.2306823061019515E-4</v>
      </c>
      <c r="H192" s="160">
        <f t="shared" si="21"/>
        <v>-1.5207777194384174E-2</v>
      </c>
      <c r="I192" s="160">
        <f t="shared" si="21"/>
        <v>-8.445018927618976E-2</v>
      </c>
      <c r="J192" s="160">
        <f t="shared" si="21"/>
        <v>-0.24848003451146625</v>
      </c>
      <c r="K192" s="158"/>
      <c r="L192" s="158"/>
      <c r="M192" s="158"/>
      <c r="N192" s="158"/>
      <c r="O192" s="158"/>
      <c r="P192" s="158"/>
      <c r="Q192" s="158"/>
      <c r="R192" s="158"/>
      <c r="S192" s="158"/>
    </row>
    <row r="193" spans="2:19">
      <c r="B193" s="160">
        <v>38.5</v>
      </c>
      <c r="C193" s="160">
        <f t="shared" si="21"/>
        <v>-2.8887342570053657E-27</v>
      </c>
      <c r="D193" s="160">
        <f t="shared" si="21"/>
        <v>-1.0366992740494532E-18</v>
      </c>
      <c r="E193" s="160">
        <f t="shared" si="21"/>
        <v>-9.616744055685071E-12</v>
      </c>
      <c r="F193" s="160">
        <f t="shared" si="21"/>
        <v>-2.2518187181082814E-6</v>
      </c>
      <c r="G193" s="160">
        <f t="shared" si="21"/>
        <v>-6.2916725445211934E-4</v>
      </c>
      <c r="H193" s="160">
        <f t="shared" si="21"/>
        <v>-1.2619585693648249E-2</v>
      </c>
      <c r="I193" s="160">
        <f t="shared" si="21"/>
        <v>-7.3633468117367595E-2</v>
      </c>
      <c r="J193" s="160">
        <f t="shared" si="21"/>
        <v>-0.22372647829395814</v>
      </c>
      <c r="K193" s="158"/>
      <c r="L193" s="158"/>
      <c r="M193" s="158"/>
      <c r="N193" s="158"/>
      <c r="O193" s="158"/>
      <c r="P193" s="158"/>
      <c r="Q193" s="158"/>
      <c r="R193" s="158"/>
      <c r="S193" s="158"/>
    </row>
    <row r="194" spans="2:19">
      <c r="B194" s="160">
        <v>39</v>
      </c>
      <c r="C194" s="160">
        <f t="shared" si="21"/>
        <v>-5.2721766631805745E-28</v>
      </c>
      <c r="D194" s="160">
        <f t="shared" si="21"/>
        <v>-3.1816648879303046E-19</v>
      </c>
      <c r="E194" s="160">
        <f t="shared" si="21"/>
        <v>-4.5155339077460929E-12</v>
      </c>
      <c r="F194" s="160">
        <f t="shared" si="21"/>
        <v>-1.4718176800765047E-6</v>
      </c>
      <c r="G194" s="160">
        <f t="shared" si="21"/>
        <v>-4.7926011690214233E-4</v>
      </c>
      <c r="H194" s="160">
        <f t="shared" si="21"/>
        <v>-1.044636893073359E-2</v>
      </c>
      <c r="I194" s="160">
        <f t="shared" si="21"/>
        <v>-6.4087270545025582E-2</v>
      </c>
      <c r="J194" s="160">
        <f t="shared" si="21"/>
        <v>-0.20116273612945124</v>
      </c>
      <c r="K194" s="158"/>
      <c r="L194" s="158"/>
      <c r="M194" s="158"/>
      <c r="N194" s="158"/>
      <c r="O194" s="158"/>
      <c r="P194" s="158"/>
      <c r="Q194" s="158"/>
      <c r="R194" s="158"/>
      <c r="S194" s="158"/>
    </row>
    <row r="195" spans="2:19">
      <c r="B195" s="160">
        <v>39.5</v>
      </c>
      <c r="C195" s="160">
        <f t="shared" si="21"/>
        <v>-9.4132691544377995E-29</v>
      </c>
      <c r="D195" s="160">
        <f t="shared" si="21"/>
        <v>-9.6169363649975455E-20</v>
      </c>
      <c r="E195" s="160">
        <f t="shared" si="21"/>
        <v>-2.0996832531593655E-12</v>
      </c>
      <c r="F195" s="160">
        <f t="shared" si="21"/>
        <v>-9.5673496512540744E-7</v>
      </c>
      <c r="G195" s="160">
        <f t="shared" si="21"/>
        <v>-3.6379051606061895E-4</v>
      </c>
      <c r="H195" s="160">
        <f t="shared" si="21"/>
        <v>-8.62633915056772E-3</v>
      </c>
      <c r="I195" s="160">
        <f t="shared" si="21"/>
        <v>-5.5678840871576429E-2</v>
      </c>
      <c r="J195" s="160">
        <f t="shared" si="21"/>
        <v>-0.18062669757080754</v>
      </c>
      <c r="K195" s="158"/>
      <c r="L195" s="158"/>
      <c r="M195" s="158"/>
      <c r="N195" s="158"/>
      <c r="O195" s="158"/>
      <c r="P195" s="158"/>
      <c r="Q195" s="158"/>
      <c r="R195" s="158"/>
      <c r="S195" s="158"/>
    </row>
    <row r="196" spans="2:19">
      <c r="B196" s="160">
        <v>40</v>
      </c>
      <c r="C196" s="160">
        <f t="shared" ref="C196:J205" si="22">-C$12*EXP((-($B196^2)/(2*C$10^2)))*1000</f>
        <v>-1.6442170919560271E-29</v>
      </c>
      <c r="D196" s="160">
        <f t="shared" si="22"/>
        <v>-2.8628573974375935E-20</v>
      </c>
      <c r="E196" s="160">
        <f t="shared" si="22"/>
        <v>-9.6685664719987778E-13</v>
      </c>
      <c r="F196" s="160">
        <f t="shared" si="22"/>
        <v>-6.1850941738505488E-7</v>
      </c>
      <c r="G196" s="160">
        <f t="shared" si="22"/>
        <v>-2.7517334427701995E-4</v>
      </c>
      <c r="H196" s="160">
        <f t="shared" si="22"/>
        <v>-7.1060556534821365E-3</v>
      </c>
      <c r="I196" s="160">
        <f t="shared" si="22"/>
        <v>-4.8287029118760205E-2</v>
      </c>
      <c r="J196" s="160">
        <f t="shared" si="22"/>
        <v>-0.16196478890927379</v>
      </c>
      <c r="K196" s="158"/>
      <c r="L196" s="158"/>
      <c r="M196" s="158"/>
      <c r="N196" s="158"/>
      <c r="O196" s="158"/>
      <c r="P196" s="158"/>
      <c r="Q196" s="158"/>
      <c r="R196" s="158"/>
      <c r="S196" s="158"/>
    </row>
    <row r="197" spans="2:19">
      <c r="B197" s="160">
        <v>40.5</v>
      </c>
      <c r="C197" s="160">
        <f t="shared" si="22"/>
        <v>-2.8096097398932037E-30</v>
      </c>
      <c r="D197" s="160">
        <f t="shared" si="22"/>
        <v>-8.3935050409663202E-21</v>
      </c>
      <c r="E197" s="160">
        <f t="shared" si="22"/>
        <v>-4.4089382555510129E-13</v>
      </c>
      <c r="F197" s="160">
        <f t="shared" si="22"/>
        <v>-3.9766560260577204E-7</v>
      </c>
      <c r="G197" s="160">
        <f t="shared" si="22"/>
        <v>-2.0741313538430494E-4</v>
      </c>
      <c r="H197" s="160">
        <f t="shared" si="22"/>
        <v>-5.8394451957114917E-3</v>
      </c>
      <c r="I197" s="160">
        <f t="shared" si="22"/>
        <v>-4.1801578056147884E-2</v>
      </c>
      <c r="J197" s="160">
        <f t="shared" si="22"/>
        <v>-0.14503190013300038</v>
      </c>
      <c r="K197" s="158"/>
      <c r="L197" s="158"/>
      <c r="M197" s="158"/>
      <c r="N197" s="158"/>
      <c r="O197" s="158"/>
      <c r="P197" s="158"/>
      <c r="Q197" s="158"/>
      <c r="R197" s="158"/>
      <c r="S197" s="158"/>
    </row>
    <row r="198" spans="2:19">
      <c r="B198" s="160">
        <v>41</v>
      </c>
      <c r="C198" s="160">
        <f t="shared" si="22"/>
        <v>-4.6967884630240959E-31</v>
      </c>
      <c r="D198" s="160">
        <f t="shared" si="22"/>
        <v>-2.4236374898019662E-21</v>
      </c>
      <c r="E198" s="160">
        <f t="shared" si="22"/>
        <v>-1.990992264845315E-13</v>
      </c>
      <c r="F198" s="160">
        <f t="shared" si="22"/>
        <v>-2.5427682328143579E-7</v>
      </c>
      <c r="G198" s="160">
        <f t="shared" si="22"/>
        <v>-1.5579053069895925E-4</v>
      </c>
      <c r="H198" s="160">
        <f t="shared" si="22"/>
        <v>-4.7869123540053736E-3</v>
      </c>
      <c r="I198" s="160">
        <f t="shared" si="22"/>
        <v>-3.6122413426570306E-2</v>
      </c>
      <c r="J198" s="160">
        <f t="shared" si="22"/>
        <v>-0.12969126443518089</v>
      </c>
      <c r="K198" s="158"/>
      <c r="L198" s="158"/>
      <c r="M198" s="158"/>
      <c r="N198" s="158"/>
      <c r="O198" s="158"/>
      <c r="P198" s="158"/>
      <c r="Q198" s="158"/>
      <c r="R198" s="158"/>
      <c r="S198" s="158"/>
    </row>
    <row r="199" spans="2:19">
      <c r="B199" s="160">
        <v>41.5</v>
      </c>
      <c r="C199" s="160">
        <f t="shared" si="22"/>
        <v>-7.6811131182811037E-32</v>
      </c>
      <c r="D199" s="160">
        <f t="shared" si="22"/>
        <v>-6.8924342866244404E-22</v>
      </c>
      <c r="E199" s="160">
        <f t="shared" si="22"/>
        <v>-8.9036638481005114E-14</v>
      </c>
      <c r="F199" s="160">
        <f t="shared" si="22"/>
        <v>-1.6170094842075199E-7</v>
      </c>
      <c r="G199" s="160">
        <f t="shared" si="22"/>
        <v>-1.1660596365342278E-4</v>
      </c>
      <c r="H199" s="160">
        <f t="shared" si="22"/>
        <v>-3.9145358199653415E-3</v>
      </c>
      <c r="I199" s="160">
        <f t="shared" si="22"/>
        <v>-3.1158944033965491E-2</v>
      </c>
      <c r="J199" s="160">
        <f t="shared" si="22"/>
        <v>-0.1158142961092703</v>
      </c>
      <c r="K199" s="158"/>
      <c r="L199" s="158"/>
      <c r="M199" s="158"/>
      <c r="N199" s="158"/>
      <c r="O199" s="158"/>
      <c r="P199" s="158"/>
      <c r="Q199" s="158"/>
      <c r="R199" s="158"/>
      <c r="S199" s="158"/>
    </row>
    <row r="200" spans="2:19">
      <c r="B200" s="160">
        <v>42</v>
      </c>
      <c r="C200" s="160">
        <f t="shared" si="22"/>
        <v>-1.2288969908550753E-32</v>
      </c>
      <c r="D200" s="160">
        <f t="shared" si="22"/>
        <v>-1.9304487349095002E-22</v>
      </c>
      <c r="E200" s="160">
        <f t="shared" si="22"/>
        <v>-3.9430434608611798E-14</v>
      </c>
      <c r="F200" s="160">
        <f t="shared" si="22"/>
        <v>-1.0226697198245262E-7</v>
      </c>
      <c r="G200" s="160">
        <f t="shared" si="22"/>
        <v>-8.6971182217182022E-5</v>
      </c>
      <c r="H200" s="160">
        <f t="shared" si="22"/>
        <v>-3.1933459750811098E-3</v>
      </c>
      <c r="I200" s="160">
        <f t="shared" si="22"/>
        <v>-2.6829377363607108E-2</v>
      </c>
      <c r="J200" s="160">
        <f t="shared" si="22"/>
        <v>-0.10328039244029635</v>
      </c>
      <c r="K200" s="158"/>
      <c r="L200" s="158"/>
      <c r="M200" s="158"/>
      <c r="N200" s="158"/>
      <c r="O200" s="158"/>
      <c r="P200" s="158"/>
      <c r="Q200" s="158"/>
      <c r="R200" s="158"/>
      <c r="S200" s="158"/>
    </row>
    <row r="201" spans="2:19">
      <c r="B201" s="160">
        <v>42.5</v>
      </c>
      <c r="C201" s="160">
        <f t="shared" si="22"/>
        <v>-1.9234236873501562E-33</v>
      </c>
      <c r="D201" s="160">
        <f t="shared" si="22"/>
        <v>-5.325060889558809E-23</v>
      </c>
      <c r="E201" s="160">
        <f t="shared" si="22"/>
        <v>-1.7292508556453812E-14</v>
      </c>
      <c r="F201" s="160">
        <f t="shared" si="22"/>
        <v>-6.432432935878745E-8</v>
      </c>
      <c r="G201" s="160">
        <f t="shared" si="22"/>
        <v>-6.4640527265121271E-5</v>
      </c>
      <c r="H201" s="160">
        <f t="shared" si="22"/>
        <v>-2.5986786742763107E-3</v>
      </c>
      <c r="I201" s="160">
        <f t="shared" si="22"/>
        <v>-2.3060055458556442E-2</v>
      </c>
      <c r="J201" s="160">
        <f t="shared" si="22"/>
        <v>-9.1976704938535728E-2</v>
      </c>
      <c r="K201" s="158"/>
      <c r="L201" s="158"/>
      <c r="M201" s="158"/>
      <c r="N201" s="158"/>
      <c r="O201" s="158"/>
      <c r="P201" s="158"/>
      <c r="Q201" s="158"/>
      <c r="R201" s="158"/>
      <c r="S201" s="158"/>
    </row>
    <row r="202" spans="2:19">
      <c r="B202" s="160">
        <v>43</v>
      </c>
      <c r="C202" s="160">
        <f t="shared" si="22"/>
        <v>-2.9451173151966675E-34</v>
      </c>
      <c r="D202" s="160">
        <f t="shared" si="22"/>
        <v>-1.446676908938194E-23</v>
      </c>
      <c r="E202" s="160">
        <f t="shared" si="22"/>
        <v>-7.51014048438088E-15</v>
      </c>
      <c r="F202" s="160">
        <f t="shared" si="22"/>
        <v>-4.0237609977047645E-8</v>
      </c>
      <c r="G202" s="160">
        <f t="shared" si="22"/>
        <v>-4.7875057931013832E-5</v>
      </c>
      <c r="H202" s="160">
        <f t="shared" si="22"/>
        <v>-2.1095999082180079E-3</v>
      </c>
      <c r="I202" s="160">
        <f t="shared" si="22"/>
        <v>-1.9784814895613859E-2</v>
      </c>
      <c r="J202" s="160">
        <f t="shared" si="22"/>
        <v>-8.1797884971441082E-2</v>
      </c>
      <c r="K202" s="158"/>
      <c r="L202" s="158"/>
      <c r="M202" s="158"/>
      <c r="N202" s="158"/>
      <c r="O202" s="158"/>
      <c r="P202" s="158"/>
      <c r="Q202" s="158"/>
      <c r="R202" s="158"/>
      <c r="S202" s="158"/>
    </row>
    <row r="203" spans="2:19">
      <c r="B203" s="160">
        <v>43.5</v>
      </c>
      <c r="C203" s="160">
        <f t="shared" si="22"/>
        <v>-4.4116230531360012E-35</v>
      </c>
      <c r="D203" s="160">
        <f t="shared" si="22"/>
        <v>-3.8707862293184113E-24</v>
      </c>
      <c r="E203" s="160">
        <f t="shared" si="22"/>
        <v>-3.2299942496630162E-15</v>
      </c>
      <c r="F203" s="160">
        <f t="shared" si="22"/>
        <v>-2.5032609600037952E-8</v>
      </c>
      <c r="G203" s="160">
        <f t="shared" si="22"/>
        <v>-3.533366118279155E-5</v>
      </c>
      <c r="H203" s="160">
        <f t="shared" si="22"/>
        <v>-1.7083958978343693E-3</v>
      </c>
      <c r="I203" s="160">
        <f t="shared" si="22"/>
        <v>-1.694437389325721E-2</v>
      </c>
      <c r="J203" s="160">
        <f t="shared" si="22"/>
        <v>-7.264580853801042E-2</v>
      </c>
      <c r="K203" s="158"/>
      <c r="L203" s="158"/>
      <c r="M203" s="158"/>
      <c r="N203" s="158"/>
      <c r="O203" s="158"/>
      <c r="P203" s="158"/>
      <c r="Q203" s="158"/>
      <c r="R203" s="158"/>
      <c r="S203" s="158"/>
    </row>
    <row r="204" spans="2:19">
      <c r="B204" s="160">
        <v>44</v>
      </c>
      <c r="C204" s="160">
        <f t="shared" si="22"/>
        <v>-6.4649080961722239E-36</v>
      </c>
      <c r="D204" s="160">
        <f t="shared" si="22"/>
        <v>-1.0200171914574522E-24</v>
      </c>
      <c r="E204" s="160">
        <f t="shared" si="22"/>
        <v>-1.3756851960525325E-15</v>
      </c>
      <c r="F204" s="160">
        <f t="shared" si="22"/>
        <v>-1.5488063330510856E-8</v>
      </c>
      <c r="G204" s="160">
        <f t="shared" si="22"/>
        <v>-2.5986205797005788E-5</v>
      </c>
      <c r="H204" s="160">
        <f t="shared" si="22"/>
        <v>-1.3801231749859071E-3</v>
      </c>
      <c r="I204" s="160">
        <f t="shared" si="22"/>
        <v>-1.4485748845530578E-2</v>
      </c>
      <c r="J204" s="160">
        <f t="shared" si="22"/>
        <v>-6.4429284602696646E-2</v>
      </c>
      <c r="K204" s="158"/>
      <c r="L204" s="158"/>
      <c r="M204" s="158"/>
      <c r="N204" s="158"/>
      <c r="O204" s="158"/>
      <c r="P204" s="158"/>
      <c r="Q204" s="158"/>
      <c r="R204" s="158"/>
      <c r="S204" s="158"/>
    </row>
    <row r="205" spans="2:19">
      <c r="B205" s="160">
        <v>44.5</v>
      </c>
      <c r="C205" s="160">
        <f t="shared" si="22"/>
        <v>-9.2681802798776205E-37</v>
      </c>
      <c r="D205" s="160">
        <f t="shared" si="22"/>
        <v>-2.6472591733945689E-25</v>
      </c>
      <c r="E205" s="160">
        <f t="shared" si="22"/>
        <v>-5.8022976651483097E-16</v>
      </c>
      <c r="F205" s="160">
        <f t="shared" si="22"/>
        <v>-9.5302686930453132E-9</v>
      </c>
      <c r="G205" s="160">
        <f t="shared" si="22"/>
        <v>-1.9044606877706782E-5</v>
      </c>
      <c r="H205" s="160">
        <f t="shared" si="22"/>
        <v>-1.1122132993446187E-3</v>
      </c>
      <c r="I205" s="160">
        <f t="shared" si="22"/>
        <v>-1.2361701910526067E-2</v>
      </c>
      <c r="J205" s="160">
        <f t="shared" si="22"/>
        <v>-5.7063751068948343E-2</v>
      </c>
      <c r="K205" s="158"/>
      <c r="L205" s="158"/>
      <c r="M205" s="158"/>
      <c r="N205" s="158"/>
      <c r="O205" s="158"/>
      <c r="P205" s="158"/>
      <c r="Q205" s="158"/>
      <c r="R205" s="158"/>
      <c r="S205" s="158"/>
    </row>
    <row r="206" spans="2:19">
      <c r="B206" s="160">
        <v>45</v>
      </c>
      <c r="C206" s="160">
        <f t="shared" ref="C206:J216" si="23">-C$12*EXP((-($B206^2)/(2*C$10^2)))*1000</f>
        <v>-1.2998545234532888E-37</v>
      </c>
      <c r="D206" s="160">
        <f t="shared" si="23"/>
        <v>-6.7665313564892894E-26</v>
      </c>
      <c r="E206" s="160">
        <f t="shared" si="23"/>
        <v>-2.4235086404376054E-16</v>
      </c>
      <c r="F206" s="160">
        <f t="shared" si="23"/>
        <v>-5.8321705344703196E-9</v>
      </c>
      <c r="G206" s="160">
        <f t="shared" si="23"/>
        <v>-1.3908364269214981E-5</v>
      </c>
      <c r="H206" s="160">
        <f t="shared" si="23"/>
        <v>-8.9412703348396971E-4</v>
      </c>
      <c r="I206" s="160">
        <f t="shared" si="23"/>
        <v>-1.0530220689583005E-2</v>
      </c>
      <c r="J206" s="160">
        <f t="shared" si="23"/>
        <v>-5.0470962130562312E-2</v>
      </c>
      <c r="K206" s="158"/>
      <c r="L206" s="158"/>
      <c r="M206" s="158"/>
      <c r="N206" s="158"/>
      <c r="O206" s="158"/>
      <c r="P206" s="158"/>
      <c r="Q206" s="158"/>
      <c r="R206" s="158"/>
      <c r="S206" s="158"/>
    </row>
    <row r="207" spans="2:19">
      <c r="B207" s="160">
        <v>45.5</v>
      </c>
      <c r="C207" s="160">
        <f t="shared" si="23"/>
        <v>-1.7834592322808737E-38</v>
      </c>
      <c r="D207" s="160">
        <f t="shared" si="23"/>
        <v>-1.7033990544093081E-26</v>
      </c>
      <c r="E207" s="160">
        <f t="shared" si="23"/>
        <v>-1.0024270247592855E-16</v>
      </c>
      <c r="F207" s="160">
        <f t="shared" si="23"/>
        <v>-3.5495420342338597E-9</v>
      </c>
      <c r="G207" s="160">
        <f t="shared" si="23"/>
        <v>-1.0121736018999041E-5</v>
      </c>
      <c r="H207" s="160">
        <f t="shared" si="23"/>
        <v>-7.1705302825471893E-4</v>
      </c>
      <c r="I207" s="160">
        <f t="shared" si="23"/>
        <v>-8.9540305120573635E-3</v>
      </c>
      <c r="J207" s="160">
        <f t="shared" si="23"/>
        <v>-4.4578670396728429E-2</v>
      </c>
      <c r="K207" s="158"/>
      <c r="L207" s="158"/>
      <c r="M207" s="158"/>
      <c r="N207" s="158"/>
      <c r="O207" s="158"/>
      <c r="P207" s="158"/>
      <c r="Q207" s="158"/>
      <c r="R207" s="158"/>
      <c r="S207" s="158"/>
    </row>
    <row r="208" spans="2:19">
      <c r="B208" s="160">
        <v>46</v>
      </c>
      <c r="C208" s="160">
        <f t="shared" si="23"/>
        <v>-2.3938657014969563E-39</v>
      </c>
      <c r="D208" s="160">
        <f t="shared" si="23"/>
        <v>-4.2232556454510187E-27</v>
      </c>
      <c r="E208" s="160">
        <f t="shared" si="23"/>
        <v>-4.1060533407078138E-17</v>
      </c>
      <c r="F208" s="160">
        <f t="shared" si="23"/>
        <v>-2.1484807781498784E-9</v>
      </c>
      <c r="G208" s="160">
        <f t="shared" si="23"/>
        <v>-7.3402163678362471E-6</v>
      </c>
      <c r="H208" s="160">
        <f t="shared" si="23"/>
        <v>-5.7364634309045408E-4</v>
      </c>
      <c r="I208" s="160">
        <f t="shared" si="23"/>
        <v>-7.60013938798333E-3</v>
      </c>
      <c r="J208" s="160">
        <f t="shared" si="23"/>
        <v>-3.9320306847980255E-2</v>
      </c>
      <c r="K208" s="158"/>
      <c r="L208" s="158"/>
      <c r="M208" s="158"/>
      <c r="N208" s="158"/>
      <c r="O208" s="158"/>
      <c r="P208" s="158"/>
      <c r="Q208" s="158"/>
      <c r="R208" s="158"/>
      <c r="S208" s="158"/>
    </row>
    <row r="209" spans="2:19">
      <c r="B209" s="160">
        <v>46.5</v>
      </c>
      <c r="C209" s="160">
        <f t="shared" si="23"/>
        <v>-3.1434353869211774E-40</v>
      </c>
      <c r="D209" s="160">
        <f t="shared" si="23"/>
        <v>-1.0312382354189609E-27</v>
      </c>
      <c r="E209" s="160">
        <f t="shared" si="23"/>
        <v>-1.6655590469276557E-17</v>
      </c>
      <c r="F209" s="160">
        <f t="shared" si="23"/>
        <v>-1.2933249667481545E-9</v>
      </c>
      <c r="G209" s="160">
        <f t="shared" si="23"/>
        <v>-5.3044165658875138E-6</v>
      </c>
      <c r="H209" s="160">
        <f t="shared" si="23"/>
        <v>-4.5780242739408409E-4</v>
      </c>
      <c r="I209" s="160">
        <f t="shared" si="23"/>
        <v>-6.4394153038748667E-3</v>
      </c>
      <c r="J209" s="160">
        <f t="shared" si="23"/>
        <v>-3.4634661348747479E-2</v>
      </c>
      <c r="K209" s="158"/>
      <c r="L209" s="158"/>
      <c r="M209" s="158"/>
      <c r="N209" s="158"/>
      <c r="O209" s="158"/>
      <c r="P209" s="158"/>
      <c r="Q209" s="158"/>
      <c r="R209" s="158"/>
      <c r="S209" s="158"/>
    </row>
    <row r="210" spans="2:19">
      <c r="B210" s="160">
        <v>47</v>
      </c>
      <c r="C210" s="160">
        <f t="shared" si="23"/>
        <v>-4.0381035637372569E-41</v>
      </c>
      <c r="D210" s="160">
        <f t="shared" si="23"/>
        <v>-2.4799978777678035E-28</v>
      </c>
      <c r="E210" s="160">
        <f t="shared" si="23"/>
        <v>-6.6905081973203257E-18</v>
      </c>
      <c r="F210" s="160">
        <f t="shared" si="23"/>
        <v>-7.7428507896299171E-10</v>
      </c>
      <c r="G210" s="160">
        <f t="shared" si="23"/>
        <v>-3.8198058465599969E-6</v>
      </c>
      <c r="H210" s="160">
        <f t="shared" si="23"/>
        <v>-3.6446250803876841E-4</v>
      </c>
      <c r="I210" s="160">
        <f t="shared" si="23"/>
        <v>-5.4461952114163653E-3</v>
      </c>
      <c r="J210" s="160">
        <f t="shared" si="23"/>
        <v>-3.0465566120862354E-2</v>
      </c>
      <c r="K210" s="158"/>
      <c r="L210" s="158"/>
      <c r="M210" s="158"/>
      <c r="N210" s="158"/>
      <c r="O210" s="158"/>
      <c r="P210" s="158"/>
      <c r="Q210" s="158"/>
      <c r="R210" s="158"/>
      <c r="S210" s="158"/>
    </row>
    <row r="211" spans="2:19">
      <c r="B211" s="160">
        <v>47.5</v>
      </c>
      <c r="C211" s="160">
        <f t="shared" si="23"/>
        <v>-5.0747952828869297E-42</v>
      </c>
      <c r="D211" s="160">
        <f t="shared" si="23"/>
        <v>-5.8738692846794903E-29</v>
      </c>
      <c r="E211" s="160">
        <f t="shared" si="23"/>
        <v>-2.6614714203300807E-18</v>
      </c>
      <c r="F211" s="160">
        <f t="shared" si="23"/>
        <v>-4.6101086282558854E-10</v>
      </c>
      <c r="G211" s="160">
        <f t="shared" si="23"/>
        <v>-2.741068324789523E-6</v>
      </c>
      <c r="H211" s="160">
        <f t="shared" si="23"/>
        <v>-2.8944665459446035E-4</v>
      </c>
      <c r="I211" s="160">
        <f t="shared" si="23"/>
        <v>-4.59792479054377E-3</v>
      </c>
      <c r="J211" s="160">
        <f t="shared" si="23"/>
        <v>-2.676158427374362E-2</v>
      </c>
      <c r="K211" s="158"/>
      <c r="L211" s="158"/>
      <c r="M211" s="158"/>
      <c r="N211" s="158"/>
      <c r="O211" s="158"/>
      <c r="P211" s="158"/>
      <c r="Q211" s="158"/>
      <c r="R211" s="158"/>
      <c r="S211" s="158"/>
    </row>
    <row r="212" spans="2:19">
      <c r="B212" s="160">
        <v>48</v>
      </c>
      <c r="C212" s="160">
        <f t="shared" si="23"/>
        <v>-6.2391835400945462E-43</v>
      </c>
      <c r="D212" s="160">
        <f t="shared" si="23"/>
        <v>-1.370180909963356E-29</v>
      </c>
      <c r="E212" s="160">
        <f t="shared" si="23"/>
        <v>-1.0484509878236641E-18</v>
      </c>
      <c r="F212" s="160">
        <f t="shared" si="23"/>
        <v>-2.7298480092387586E-10</v>
      </c>
      <c r="G212" s="160">
        <f t="shared" si="23"/>
        <v>-1.9600779293163596E-6</v>
      </c>
      <c r="H212" s="160">
        <f t="shared" si="23"/>
        <v>-2.2931112023084999E-4</v>
      </c>
      <c r="I212" s="160">
        <f t="shared" si="23"/>
        <v>-3.8748278527983618E-3</v>
      </c>
      <c r="J212" s="160">
        <f t="shared" si="23"/>
        <v>-2.347570519315622E-2</v>
      </c>
      <c r="K212" s="158"/>
      <c r="L212" s="158"/>
      <c r="M212" s="158"/>
      <c r="N212" s="158"/>
      <c r="O212" s="158"/>
      <c r="P212" s="158"/>
      <c r="Q212" s="158"/>
      <c r="R212" s="158"/>
      <c r="S212" s="158"/>
    </row>
    <row r="213" spans="2:19">
      <c r="B213" s="160">
        <v>48.5</v>
      </c>
      <c r="C213" s="160">
        <f t="shared" si="23"/>
        <v>-7.5042130453638544E-44</v>
      </c>
      <c r="D213" s="160">
        <f t="shared" si="23"/>
        <v>-3.1478368385623495E-30</v>
      </c>
      <c r="E213" s="160">
        <f t="shared" si="23"/>
        <v>-4.0901391745196983E-19</v>
      </c>
      <c r="F213" s="160">
        <f t="shared" si="23"/>
        <v>-1.6076178353988096E-10</v>
      </c>
      <c r="G213" s="160">
        <f t="shared" si="23"/>
        <v>-1.3966954600479371E-6</v>
      </c>
      <c r="H213" s="160">
        <f t="shared" si="23"/>
        <v>-1.8122687600427364E-4</v>
      </c>
      <c r="I213" s="160">
        <f t="shared" si="23"/>
        <v>-3.2596040830539462E-3</v>
      </c>
      <c r="J213" s="160">
        <f t="shared" si="23"/>
        <v>-2.0565048313065666E-2</v>
      </c>
      <c r="K213" s="158"/>
      <c r="L213" s="158"/>
      <c r="M213" s="158"/>
      <c r="N213" s="158"/>
      <c r="O213" s="158"/>
      <c r="P213" s="158"/>
      <c r="Q213" s="158"/>
      <c r="R213" s="158"/>
      <c r="S213" s="158"/>
    </row>
    <row r="214" spans="2:19">
      <c r="B214" s="160">
        <v>49</v>
      </c>
      <c r="C214" s="160">
        <f t="shared" si="23"/>
        <v>-8.8297967808821387E-45</v>
      </c>
      <c r="D214" s="160">
        <f t="shared" si="23"/>
        <v>-7.1224134581367714E-31</v>
      </c>
      <c r="E214" s="160">
        <f t="shared" si="23"/>
        <v>-1.5801258032103983E-19</v>
      </c>
      <c r="F214" s="160">
        <f t="shared" si="23"/>
        <v>-9.415517697760198E-11</v>
      </c>
      <c r="G214" s="160">
        <f t="shared" si="23"/>
        <v>-9.91756395966647E-7</v>
      </c>
      <c r="H214" s="160">
        <f t="shared" si="23"/>
        <v>-1.4287656448756753E-4</v>
      </c>
      <c r="I214" s="160">
        <f t="shared" si="23"/>
        <v>-2.7371536929266657E-3</v>
      </c>
      <c r="J214" s="160">
        <f t="shared" si="23"/>
        <v>-1.7990576535416841E-2</v>
      </c>
      <c r="K214" s="158"/>
      <c r="L214" s="158"/>
      <c r="M214" s="158"/>
      <c r="N214" s="158"/>
      <c r="O214" s="158"/>
      <c r="P214" s="158"/>
      <c r="Q214" s="158"/>
      <c r="R214" s="158"/>
      <c r="S214" s="158"/>
    </row>
    <row r="215" spans="2:19">
      <c r="B215" s="160">
        <v>49.5</v>
      </c>
      <c r="C215" s="160">
        <f t="shared" si="23"/>
        <v>-1.0163994491027566E-45</v>
      </c>
      <c r="D215" s="160">
        <f t="shared" si="23"/>
        <v>-1.5871676929689183E-31</v>
      </c>
      <c r="E215" s="160">
        <f t="shared" si="23"/>
        <v>-6.0451749036181212E-20</v>
      </c>
      <c r="F215" s="160">
        <f t="shared" si="23"/>
        <v>-5.4843180431878832E-11</v>
      </c>
      <c r="G215" s="160">
        <f t="shared" si="23"/>
        <v>-7.0175126470923077E-7</v>
      </c>
      <c r="H215" s="160">
        <f t="shared" si="23"/>
        <v>-1.1236739177701235E-4</v>
      </c>
      <c r="I215" s="160">
        <f t="shared" si="23"/>
        <v>-2.2943274725664609E-3</v>
      </c>
      <c r="J215" s="160">
        <f t="shared" si="23"/>
        <v>-1.5716820321528668E-2</v>
      </c>
      <c r="K215" s="158"/>
      <c r="L215" s="158"/>
      <c r="M215" s="158"/>
      <c r="N215" s="158"/>
      <c r="O215" s="158"/>
      <c r="P215" s="158"/>
      <c r="Q215" s="158"/>
      <c r="R215" s="158"/>
      <c r="S215" s="158"/>
    </row>
    <row r="216" spans="2:19">
      <c r="B216" s="160">
        <v>50</v>
      </c>
      <c r="C216" s="160">
        <f t="shared" si="23"/>
        <v>-1.1445803695731549E-46</v>
      </c>
      <c r="D216" s="160">
        <f t="shared" si="23"/>
        <v>-3.4833660510973849E-32</v>
      </c>
      <c r="E216" s="160">
        <f t="shared" si="23"/>
        <v>-2.2902859179500746E-20</v>
      </c>
      <c r="F216" s="160">
        <f t="shared" si="23"/>
        <v>-3.1770064769852054E-11</v>
      </c>
      <c r="G216" s="160">
        <f t="shared" si="23"/>
        <v>-4.948075339080439E-7</v>
      </c>
      <c r="H216" s="160">
        <f t="shared" si="23"/>
        <v>-8.8157752222011137E-5</v>
      </c>
      <c r="I216" s="160">
        <f t="shared" si="23"/>
        <v>-1.9197006744129702E-3</v>
      </c>
      <c r="J216" s="160">
        <f t="shared" si="23"/>
        <v>-1.3711613256731776E-2</v>
      </c>
      <c r="K216" s="158"/>
      <c r="L216" s="158"/>
      <c r="M216" s="158"/>
      <c r="N216" s="158"/>
      <c r="O216" s="158"/>
      <c r="P216" s="158"/>
      <c r="Q216" s="158"/>
      <c r="R216" s="158"/>
      <c r="S216" s="158"/>
    </row>
  </sheetData>
  <mergeCells count="1">
    <mergeCell ref="A5:B5"/>
  </mergeCells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AN1412"/>
  <sheetViews>
    <sheetView zoomScale="85" zoomScaleNormal="85" workbookViewId="0">
      <selection activeCell="H21" sqref="H21"/>
    </sheetView>
  </sheetViews>
  <sheetFormatPr defaultRowHeight="13.2"/>
  <cols>
    <col min="1" max="1" width="10.44140625" customWidth="1"/>
    <col min="2" max="2" width="7.6640625" bestFit="1" customWidth="1"/>
    <col min="3" max="3" width="17" customWidth="1"/>
    <col min="4" max="4" width="7.5546875" bestFit="1" customWidth="1"/>
    <col min="5" max="5" width="10.6640625" customWidth="1"/>
    <col min="6" max="6" width="9.6640625" customWidth="1"/>
    <col min="7" max="7" width="15.44140625" bestFit="1" customWidth="1"/>
    <col min="8" max="8" width="8" customWidth="1"/>
    <col min="9" max="9" width="17" style="9" customWidth="1"/>
    <col min="10" max="10" width="14.6640625" style="9" customWidth="1"/>
    <col min="11" max="11" width="10.5546875" style="9" customWidth="1"/>
    <col min="12" max="12" width="16.6640625" style="649" bestFit="1" customWidth="1"/>
    <col min="13" max="13" width="12.5546875" style="9" customWidth="1"/>
    <col min="14" max="14" width="11.6640625" style="9" customWidth="1"/>
    <col min="15" max="15" width="12.5546875" style="419" bestFit="1" customWidth="1"/>
    <col min="16" max="16" width="18.44140625" style="9" customWidth="1"/>
    <col min="17" max="18" width="9.109375" style="193"/>
    <col min="19" max="23" width="9.109375" style="10"/>
    <col min="24" max="24" width="26.109375" style="10" bestFit="1" customWidth="1"/>
    <col min="25" max="25" width="9.109375" style="502"/>
    <col min="26" max="26" width="9.109375" style="10"/>
    <col min="27" max="27" width="12.109375" style="461" bestFit="1" customWidth="1"/>
    <col min="28" max="28" width="9.109375" style="193"/>
    <col min="29" max="29" width="12.109375" style="461" bestFit="1" customWidth="1"/>
    <col min="30" max="30" width="9.109375" style="193"/>
    <col min="31" max="31" width="12.109375" style="462" bestFit="1" customWidth="1"/>
    <col min="32" max="32" width="6.5546875" style="193" bestFit="1" customWidth="1"/>
    <col min="33" max="33" width="24.33203125" style="368" bestFit="1" customWidth="1"/>
    <col min="34" max="34" width="7.109375" style="347" customWidth="1"/>
    <col min="35" max="35" width="12.44140625" style="369" bestFit="1" customWidth="1"/>
    <col min="36" max="36" width="9.109375" style="347"/>
    <col min="37" max="37" width="12.44140625" style="369" bestFit="1" customWidth="1"/>
    <col min="38" max="38" width="8.33203125" style="347" customWidth="1"/>
    <col min="39" max="39" width="9.109375" style="340"/>
  </cols>
  <sheetData>
    <row r="1" spans="1:40" ht="16.2" thickBot="1">
      <c r="A1" s="1115" t="s">
        <v>47</v>
      </c>
      <c r="B1" s="1116"/>
      <c r="C1" s="1116"/>
      <c r="D1" s="1117"/>
      <c r="E1" s="1118" t="s">
        <v>48</v>
      </c>
      <c r="F1" s="1119"/>
      <c r="G1" s="1119"/>
      <c r="H1" s="1119"/>
      <c r="I1" s="1124" t="s">
        <v>151</v>
      </c>
      <c r="J1" s="1125"/>
      <c r="K1" s="1120" t="s">
        <v>140</v>
      </c>
      <c r="L1" s="1121"/>
      <c r="M1" s="1131" t="s">
        <v>14</v>
      </c>
      <c r="N1" s="1132"/>
      <c r="O1" s="420"/>
      <c r="P1" s="9">
        <f>3.14/2.5/4</f>
        <v>0.314</v>
      </c>
      <c r="R1" s="549" t="s">
        <v>7</v>
      </c>
      <c r="S1" s="10" t="s">
        <v>8</v>
      </c>
      <c r="T1" s="10" t="s">
        <v>7</v>
      </c>
      <c r="U1" s="10" t="s">
        <v>8</v>
      </c>
      <c r="V1" s="10">
        <f t="array" ref="V1">SMALL(AL10:AL180,ROW())</f>
        <v>1000</v>
      </c>
      <c r="W1" s="10" t="s">
        <v>8</v>
      </c>
      <c r="X1" s="551" t="s">
        <v>175</v>
      </c>
      <c r="Y1" s="504">
        <f t="array" ref="Y1:Y4">SMALL(AL10:AL410,ROW())</f>
        <v>-15</v>
      </c>
      <c r="Z1" s="495" t="s">
        <v>287</v>
      </c>
      <c r="AA1" s="1134" t="s">
        <v>295</v>
      </c>
      <c r="AB1" s="1135"/>
      <c r="AC1" s="1136"/>
      <c r="AF1" s="194"/>
      <c r="AH1" s="226"/>
      <c r="AI1" s="225"/>
      <c r="AJ1" s="226"/>
      <c r="AK1" s="225"/>
      <c r="AL1" s="226"/>
      <c r="AM1" s="194"/>
      <c r="AN1" s="194"/>
    </row>
    <row r="2" spans="1:40" ht="13.8" thickBot="1">
      <c r="A2" s="138" t="s">
        <v>4</v>
      </c>
      <c r="B2" s="51">
        <f>+'IN-OUT'!D26</f>
        <v>0.45</v>
      </c>
      <c r="C2" s="52" t="s">
        <v>49</v>
      </c>
      <c r="D2" s="139">
        <f>+'IN-OUT'!F32</f>
        <v>10</v>
      </c>
      <c r="E2" s="138" t="s">
        <v>4</v>
      </c>
      <c r="F2" s="51">
        <f>+'IN-OUT'!D35</f>
        <v>0.45</v>
      </c>
      <c r="G2" s="53"/>
      <c r="H2" s="162"/>
      <c r="I2" s="169" t="s">
        <v>12</v>
      </c>
      <c r="J2" s="707">
        <f>+'IN-OUT'!C30</f>
        <v>0.45</v>
      </c>
      <c r="K2" s="1122"/>
      <c r="L2" s="1123"/>
      <c r="M2" s="170" t="s">
        <v>15</v>
      </c>
      <c r="N2" s="171" t="s">
        <v>139</v>
      </c>
      <c r="O2" s="420"/>
      <c r="P2" s="9">
        <f>+LOG(P1,10)</f>
        <v>-0.50307035192678506</v>
      </c>
      <c r="R2" s="549" t="s">
        <v>50</v>
      </c>
      <c r="S2" s="10" t="s">
        <v>17</v>
      </c>
      <c r="T2" s="10" t="s">
        <v>16</v>
      </c>
      <c r="U2" s="10" t="s">
        <v>17</v>
      </c>
      <c r="V2" s="10" t="s">
        <v>16</v>
      </c>
      <c r="W2" s="10" t="s">
        <v>17</v>
      </c>
      <c r="Y2" s="505">
        <v>5</v>
      </c>
      <c r="Z2" s="506" t="s">
        <v>284</v>
      </c>
      <c r="AA2" s="1137"/>
      <c r="AB2" s="1138"/>
      <c r="AC2" s="1139"/>
      <c r="AF2" s="194"/>
      <c r="AG2" s="225"/>
      <c r="AH2" s="226"/>
      <c r="AI2" s="225"/>
      <c r="AJ2" s="226"/>
      <c r="AK2" s="225"/>
      <c r="AM2" s="194"/>
      <c r="AN2" s="194"/>
    </row>
    <row r="3" spans="1:40">
      <c r="A3" s="138" t="s">
        <v>18</v>
      </c>
      <c r="B3" s="54">
        <f>+'IN-OUT'!F27</f>
        <v>0.01</v>
      </c>
      <c r="C3" s="57" t="s">
        <v>51</v>
      </c>
      <c r="D3" s="140">
        <f>+'IN-OUT'!B12</f>
        <v>-22.198671000000001</v>
      </c>
      <c r="E3" s="138" t="s">
        <v>18</v>
      </c>
      <c r="F3" s="54">
        <f>+'IN-OUT'!F36</f>
        <v>0.01</v>
      </c>
      <c r="G3" s="53"/>
      <c r="H3" s="162"/>
      <c r="I3" s="169" t="s">
        <v>9</v>
      </c>
      <c r="J3" s="174">
        <f>+'IN-OUT'!D30</f>
        <v>1</v>
      </c>
      <c r="K3" s="424" t="s">
        <v>19</v>
      </c>
      <c r="L3" s="665">
        <f>+'IN-OUT'!F28</f>
        <v>15</v>
      </c>
      <c r="M3" s="170">
        <f>+D3</f>
        <v>-22.198671000000001</v>
      </c>
      <c r="N3" s="171">
        <v>0</v>
      </c>
      <c r="O3" s="420"/>
      <c r="R3" s="193">
        <f t="shared" ref="R3:R66" si="0">+D20</f>
        <v>-47.5</v>
      </c>
      <c r="S3" s="18">
        <f t="shared" ref="S3:S34" si="1">-E20*1000</f>
        <v>-4.6223314546826138E-10</v>
      </c>
      <c r="T3" s="10">
        <v>-40</v>
      </c>
      <c r="U3" s="18">
        <f>-H20*1000</f>
        <v>-4.5776736929723342E-15</v>
      </c>
      <c r="V3" s="10">
        <f t="shared" ref="V3:V34" si="2">+D20</f>
        <v>-47.5</v>
      </c>
      <c r="W3" s="18">
        <f>-J20*1000</f>
        <v>-4.6223772314195439E-10</v>
      </c>
      <c r="X3" s="18"/>
      <c r="Y3" s="505">
        <v>1000</v>
      </c>
      <c r="Z3" s="507" t="s">
        <v>285</v>
      </c>
      <c r="AA3" s="460"/>
      <c r="AB3" s="366"/>
      <c r="AC3" s="460"/>
      <c r="AD3" s="366"/>
      <c r="AF3" s="194"/>
      <c r="AI3" s="225"/>
      <c r="AJ3" s="226"/>
      <c r="AK3" s="225"/>
      <c r="AL3" s="226"/>
      <c r="AM3" s="194"/>
      <c r="AN3" s="194"/>
    </row>
    <row r="4" spans="1:40" ht="13.8" thickBot="1">
      <c r="A4" s="141" t="s">
        <v>6</v>
      </c>
      <c r="B4" s="56">
        <f>+B2*B5</f>
        <v>6.75</v>
      </c>
      <c r="C4" s="57" t="s">
        <v>52</v>
      </c>
      <c r="D4" s="140">
        <f>+'IN-OUT'!B13</f>
        <v>-12.488417999999999</v>
      </c>
      <c r="E4" s="76" t="s">
        <v>6</v>
      </c>
      <c r="F4" s="49">
        <f>+F2*F5</f>
        <v>6.75</v>
      </c>
      <c r="G4" s="53"/>
      <c r="H4" s="162"/>
      <c r="I4" s="180" t="s">
        <v>150</v>
      </c>
      <c r="J4" s="181">
        <f>+'IN-OUT'!D16</f>
        <v>0</v>
      </c>
      <c r="K4" s="425" t="s">
        <v>20</v>
      </c>
      <c r="L4" s="666">
        <f>+'IN-OUT'!F37</f>
        <v>15</v>
      </c>
      <c r="M4" s="172">
        <f>+D4</f>
        <v>-12.488417999999999</v>
      </c>
      <c r="N4" s="173">
        <v>0</v>
      </c>
      <c r="O4" s="420"/>
      <c r="P4" s="163" t="s">
        <v>147</v>
      </c>
      <c r="R4" s="193">
        <f t="shared" si="0"/>
        <v>-47.25</v>
      </c>
      <c r="S4" s="18">
        <f t="shared" si="1"/>
        <v>-5.9945118081238557E-10</v>
      </c>
      <c r="T4" s="10">
        <v>-39</v>
      </c>
      <c r="U4" s="18">
        <f>-H21*1000</f>
        <v>-6.271438515273832E-15</v>
      </c>
      <c r="V4" s="10">
        <f t="shared" si="2"/>
        <v>-47.25</v>
      </c>
      <c r="W4" s="18">
        <f>-J21*1000</f>
        <v>-5.9945745225090096E-10</v>
      </c>
      <c r="X4" s="18"/>
      <c r="Y4" s="508">
        <v>1000</v>
      </c>
      <c r="Z4" s="509" t="s">
        <v>286</v>
      </c>
      <c r="AA4" s="460"/>
      <c r="AB4" s="366"/>
      <c r="AC4" s="460"/>
      <c r="AD4" s="366"/>
      <c r="AF4" s="194"/>
      <c r="AI4" s="225"/>
      <c r="AJ4" s="226"/>
      <c r="AL4" s="226"/>
      <c r="AM4" s="194"/>
      <c r="AN4" s="194"/>
    </row>
    <row r="5" spans="1:40" ht="13.8" thickBot="1">
      <c r="A5" s="8" t="s">
        <v>180</v>
      </c>
      <c r="B5" s="128">
        <f>+L3-J4</f>
        <v>15</v>
      </c>
      <c r="C5" s="55" t="s">
        <v>131</v>
      </c>
      <c r="D5" s="133">
        <f>+(B3*D6)/(2.5*B4)</f>
        <v>2.6179938779914941E-2</v>
      </c>
      <c r="E5" s="8" t="s">
        <v>181</v>
      </c>
      <c r="F5" s="1260">
        <f>+L4-J4</f>
        <v>15</v>
      </c>
      <c r="G5" s="55" t="s">
        <v>131</v>
      </c>
      <c r="H5" s="131">
        <f>+(F3*H6)/(2.5*F4)</f>
        <v>2.6179938779914941E-2</v>
      </c>
      <c r="I5" s="182" t="s">
        <v>154</v>
      </c>
      <c r="J5" s="711">
        <f>IF('IN-OUT'!H1=FALSE,'transversal subsidence profile'!B4,+J2*B6*((L3-J4)/B6)^J3)</f>
        <v>6.75</v>
      </c>
      <c r="K5" s="426" t="s">
        <v>156</v>
      </c>
      <c r="L5" s="686">
        <f>(B3*D6)/(2.5*J5)</f>
        <v>2.6179938779914941E-2</v>
      </c>
      <c r="M5" s="9">
        <f>+B2*L3*((L3-J4)/L3)^J3</f>
        <v>6.75</v>
      </c>
      <c r="P5" s="164" t="s">
        <v>133</v>
      </c>
      <c r="R5" s="193">
        <f t="shared" si="0"/>
        <v>-47</v>
      </c>
      <c r="S5" s="18">
        <f t="shared" si="1"/>
        <v>-7.7633794862141241E-10</v>
      </c>
      <c r="T5" s="10">
        <v>-38</v>
      </c>
      <c r="U5" s="18">
        <f>-H22*1000</f>
        <v>-8.5801279785697798E-15</v>
      </c>
      <c r="V5" s="10">
        <f t="shared" si="2"/>
        <v>-47</v>
      </c>
      <c r="W5" s="18">
        <f>-J22*1000</f>
        <v>-7.7634652874939107E-10</v>
      </c>
      <c r="X5" s="18"/>
      <c r="Z5" s="18"/>
      <c r="AA5" s="460"/>
      <c r="AB5" s="366"/>
      <c r="AC5" s="460"/>
      <c r="AD5" s="366"/>
      <c r="AF5" s="194"/>
      <c r="AI5" s="225"/>
      <c r="AJ5" s="226"/>
      <c r="AK5" s="225"/>
      <c r="AL5" s="226"/>
      <c r="AM5" s="194"/>
      <c r="AN5" s="194"/>
    </row>
    <row r="6" spans="1:40" ht="13.8" thickBot="1">
      <c r="A6" s="134" t="s">
        <v>141</v>
      </c>
      <c r="B6" s="135">
        <f>+'IN-OUT'!F26</f>
        <v>7.5</v>
      </c>
      <c r="C6" s="136" t="s">
        <v>21</v>
      </c>
      <c r="D6" s="137">
        <f>+PI()*B6^2/4</f>
        <v>44.178646691106465</v>
      </c>
      <c r="E6" s="134" t="s">
        <v>142</v>
      </c>
      <c r="F6" s="135">
        <f>+'IN-OUT'!F35</f>
        <v>7.5</v>
      </c>
      <c r="G6" s="136" t="s">
        <v>21</v>
      </c>
      <c r="H6" s="179">
        <f>+PI()*F6^2/4</f>
        <v>44.178646691106465</v>
      </c>
      <c r="I6" s="178" t="s">
        <v>155</v>
      </c>
      <c r="J6" s="712">
        <f>IF('IN-OUT'!H1=FALSE,'transversal subsidence profile'!F4,+J2*F6*((L4-J4)/F6)^J3)</f>
        <v>6.75</v>
      </c>
      <c r="K6" s="427" t="s">
        <v>157</v>
      </c>
      <c r="L6" s="687">
        <f>+(F3*H6)/(2.5*J6)</f>
        <v>2.6179938779914941E-2</v>
      </c>
      <c r="P6" s="165">
        <f>+MIN(P10:P410)</f>
        <v>-0.88491785877804319</v>
      </c>
      <c r="R6" s="193">
        <f t="shared" si="0"/>
        <v>-46.75</v>
      </c>
      <c r="S6" s="18">
        <f t="shared" si="1"/>
        <v>-1.0040424420050472E-9</v>
      </c>
      <c r="T6" s="10">
        <v>-37</v>
      </c>
      <c r="U6" s="18">
        <f>-H23*1000</f>
        <v>-1.1722618256169528E-14</v>
      </c>
      <c r="V6" s="10">
        <f t="shared" si="2"/>
        <v>-46.75</v>
      </c>
      <c r="W6" s="18">
        <f>-J23*1000</f>
        <v>-1.0040541646233033E-9</v>
      </c>
      <c r="X6" s="18"/>
      <c r="Z6" s="18"/>
      <c r="AA6" s="1128" t="s">
        <v>305</v>
      </c>
      <c r="AB6" s="1129"/>
      <c r="AC6" s="1129"/>
      <c r="AD6" s="1129"/>
      <c r="AE6" s="1130"/>
      <c r="AG6" s="1133" t="s">
        <v>275</v>
      </c>
      <c r="AH6" s="1129"/>
      <c r="AI6" s="1129"/>
      <c r="AJ6" s="1129"/>
      <c r="AK6" s="1129"/>
      <c r="AL6" s="1130"/>
      <c r="AM6" s="194"/>
      <c r="AN6" s="194"/>
    </row>
    <row r="7" spans="1:40" ht="13.8" thickBot="1">
      <c r="A7" s="30"/>
      <c r="B7" s="30"/>
      <c r="C7" s="30"/>
      <c r="D7" s="30"/>
      <c r="E7" s="30"/>
      <c r="F7" s="30"/>
      <c r="G7" s="30"/>
      <c r="H7" s="30"/>
      <c r="I7" s="30" t="s">
        <v>138</v>
      </c>
      <c r="J7" s="168">
        <f>+MAX(J10:J166)</f>
        <v>7.1460347861561557E-3</v>
      </c>
      <c r="K7" s="559" t="s">
        <v>276</v>
      </c>
      <c r="L7" s="644" t="s">
        <v>277</v>
      </c>
      <c r="M7" s="167" t="s">
        <v>279</v>
      </c>
      <c r="N7" s="561" t="s">
        <v>276</v>
      </c>
      <c r="O7" s="562" t="s">
        <v>277</v>
      </c>
      <c r="P7" s="164" t="s">
        <v>134</v>
      </c>
      <c r="R7" s="193">
        <f t="shared" si="0"/>
        <v>-46.5</v>
      </c>
      <c r="S7" s="18">
        <f t="shared" si="1"/>
        <v>-1.2967539719748486E-9</v>
      </c>
      <c r="T7" s="10">
        <v>-36</v>
      </c>
      <c r="U7" s="18">
        <f t="shared" ref="U7:U34" si="3">-H24*1000</f>
        <v>-1.5994097507132357E-14</v>
      </c>
      <c r="V7" s="10">
        <f t="shared" si="2"/>
        <v>-46.5</v>
      </c>
      <c r="W7" s="18">
        <f t="shared" ref="W7:W34" si="4">-J24*1000</f>
        <v>-1.2967699660723557E-9</v>
      </c>
      <c r="X7" s="18"/>
      <c r="Z7" s="18"/>
      <c r="AA7" s="552" t="s">
        <v>291</v>
      </c>
      <c r="AB7" s="496"/>
      <c r="AC7" s="553" t="s">
        <v>292</v>
      </c>
      <c r="AD7" s="497"/>
      <c r="AE7" s="554" t="s">
        <v>293</v>
      </c>
      <c r="AG7" s="510"/>
      <c r="AH7" s="511"/>
      <c r="AI7" s="512"/>
      <c r="AJ7" s="221"/>
      <c r="AK7" s="512"/>
      <c r="AL7" s="513"/>
      <c r="AM7" s="194"/>
      <c r="AN7" s="194"/>
    </row>
    <row r="8" spans="1:40" ht="13.8" thickBot="1">
      <c r="A8" s="555" t="s">
        <v>22</v>
      </c>
      <c r="B8" s="555"/>
      <c r="C8" s="555"/>
      <c r="D8" s="560" t="s">
        <v>23</v>
      </c>
      <c r="E8" s="560"/>
      <c r="F8" s="560"/>
      <c r="G8" s="556" t="s">
        <v>22</v>
      </c>
      <c r="H8" s="557" t="s">
        <v>176</v>
      </c>
      <c r="I8" s="557"/>
      <c r="J8" s="223" t="s">
        <v>24</v>
      </c>
      <c r="K8" s="221" t="s">
        <v>278</v>
      </c>
      <c r="L8" s="645" t="s">
        <v>278</v>
      </c>
      <c r="M8" s="166">
        <f>+MAX(M10:M410)</f>
        <v>3.9797025770471164</v>
      </c>
      <c r="N8" s="221" t="s">
        <v>280</v>
      </c>
      <c r="O8" s="221" t="s">
        <v>280</v>
      </c>
      <c r="P8" s="166">
        <f>+MAX(P10:P410)</f>
        <v>0.88491785877804319</v>
      </c>
      <c r="R8" s="193">
        <f t="shared" si="0"/>
        <v>-46.25</v>
      </c>
      <c r="S8" s="18">
        <f t="shared" si="1"/>
        <v>-1.6725047601304845E-9</v>
      </c>
      <c r="T8" s="10">
        <v>-35</v>
      </c>
      <c r="U8" s="18">
        <f t="shared" si="3"/>
        <v>-2.179210165492353E-14</v>
      </c>
      <c r="V8" s="10">
        <f t="shared" si="2"/>
        <v>-46.25</v>
      </c>
      <c r="W8" s="18">
        <f t="shared" si="4"/>
        <v>-1.6725265522321394E-9</v>
      </c>
      <c r="X8" s="18"/>
      <c r="Z8" s="18"/>
      <c r="AA8" s="498" t="s">
        <v>290</v>
      </c>
      <c r="AB8" s="499"/>
      <c r="AC8" s="500" t="s">
        <v>283</v>
      </c>
      <c r="AD8" s="501"/>
      <c r="AE8" s="550" t="s">
        <v>283</v>
      </c>
      <c r="AG8" s="1140" t="s">
        <v>288</v>
      </c>
      <c r="AH8" s="1141"/>
      <c r="AI8" s="1142" t="s">
        <v>289</v>
      </c>
      <c r="AJ8" s="1143"/>
      <c r="AK8" s="1126" t="s">
        <v>246</v>
      </c>
      <c r="AL8" s="1127"/>
      <c r="AM8" s="194"/>
      <c r="AN8" s="194"/>
    </row>
    <row r="9" spans="1:40" ht="13.8" thickBot="1">
      <c r="A9" s="555" t="s">
        <v>136</v>
      </c>
      <c r="B9" s="555" t="s">
        <v>129</v>
      </c>
      <c r="C9" s="555" t="s">
        <v>130</v>
      </c>
      <c r="D9" s="560" t="s">
        <v>136</v>
      </c>
      <c r="E9" s="560" t="s">
        <v>129</v>
      </c>
      <c r="F9" s="560" t="s">
        <v>130</v>
      </c>
      <c r="G9" s="558" t="s">
        <v>137</v>
      </c>
      <c r="H9" s="555" t="s">
        <v>129</v>
      </c>
      <c r="I9" s="555" t="s">
        <v>130</v>
      </c>
      <c r="J9" s="224" t="s">
        <v>132</v>
      </c>
      <c r="K9" s="221" t="s">
        <v>177</v>
      </c>
      <c r="L9" s="645" t="s">
        <v>178</v>
      </c>
      <c r="M9" s="222" t="s">
        <v>281</v>
      </c>
      <c r="N9" s="221" t="s">
        <v>177</v>
      </c>
      <c r="O9" s="421" t="s">
        <v>178</v>
      </c>
      <c r="P9" s="24" t="s">
        <v>282</v>
      </c>
      <c r="R9" s="193">
        <f t="shared" si="0"/>
        <v>-46</v>
      </c>
      <c r="S9" s="18">
        <f t="shared" si="1"/>
        <v>-2.154177066404679E-9</v>
      </c>
      <c r="T9" s="10">
        <v>-34</v>
      </c>
      <c r="U9" s="18">
        <f t="shared" si="3"/>
        <v>-2.9651232681280521E-14</v>
      </c>
      <c r="V9" s="10">
        <f t="shared" si="2"/>
        <v>-46</v>
      </c>
      <c r="W9" s="18">
        <f t="shared" si="4"/>
        <v>-2.1542067176373604E-9</v>
      </c>
      <c r="X9" s="18"/>
      <c r="Z9" s="18"/>
      <c r="AD9" s="366"/>
      <c r="AG9" s="225"/>
      <c r="AH9" s="226"/>
      <c r="AI9" s="225"/>
      <c r="AJ9" s="226"/>
      <c r="AK9" s="225"/>
      <c r="AL9" s="226"/>
    </row>
    <row r="10" spans="1:40" s="340" customFormat="1">
      <c r="A10" s="539">
        <v>-50</v>
      </c>
      <c r="B10" s="540">
        <f>+$L$5*EXP(-(A10^2)/(2*$J$5^2))</f>
        <v>3.1854297055587741E-14</v>
      </c>
      <c r="C10" s="541">
        <f>+$L$5*A10/$B$5*EXP(-(A10^2)/(2*$J$5^2))</f>
        <v>-1.0618099018529245E-13</v>
      </c>
      <c r="D10" s="539">
        <v>-50</v>
      </c>
      <c r="E10" s="540">
        <f>+$L$6*EXP(-(D10^2)/(2*$J$6^2))</f>
        <v>3.1854297055587741E-14</v>
      </c>
      <c r="F10" s="541">
        <f>+$L$6*D10/$F$5*EXP(-(D10^2)/(2*$J$6^2))</f>
        <v>-1.0618099018529245E-13</v>
      </c>
      <c r="G10" s="548">
        <f>IF(OR($F$5=0,$F$6=0),D10,D10-$D$2)</f>
        <v>-60</v>
      </c>
      <c r="H10" s="363">
        <f>+$L$5*EXP(-(G10^2)/(2*$J$5^2))</f>
        <v>1.8224505845800305E-19</v>
      </c>
      <c r="I10" s="363">
        <f>+$L$5*G10/$B$5*EXP(-(G10^2)/(2*$J$5^2))</f>
        <v>-7.289802338320122E-19</v>
      </c>
      <c r="J10" s="364">
        <f>+H10+B10</f>
        <v>3.18544793006462E-14</v>
      </c>
      <c r="K10" s="194">
        <f>+H10*100</f>
        <v>1.8224505845800306E-17</v>
      </c>
      <c r="L10" s="646">
        <f>+E10*100</f>
        <v>3.185429705558774E-12</v>
      </c>
      <c r="M10" s="365">
        <f>+IF(OR($B$5=0,$B$6=0),L10,IF(OR($F$5=0,$F$6=0),K10,K10+L10))</f>
        <v>3.1854479300646196E-12</v>
      </c>
      <c r="N10" s="194">
        <f>+I10*100</f>
        <v>-7.2898023383201222E-17</v>
      </c>
      <c r="O10" s="422">
        <f>+F10*100</f>
        <v>-1.0618099018529246E-11</v>
      </c>
      <c r="P10" s="365">
        <f>+IF(OR($B$5=0,$B$6=0),O10,IF(OR($F$5=0,$F$6=0),N10,N10+O10))</f>
        <v>-1.0618171916552628E-11</v>
      </c>
      <c r="Q10" s="193"/>
      <c r="R10" s="193">
        <f t="shared" si="0"/>
        <v>-45.75</v>
      </c>
      <c r="S10" s="366">
        <f t="shared" si="1"/>
        <v>-2.7707650032449601E-9</v>
      </c>
      <c r="T10" s="193">
        <v>-33</v>
      </c>
      <c r="U10" s="366">
        <f t="shared" si="3"/>
        <v>-4.0289386062717233E-14</v>
      </c>
      <c r="V10" s="193">
        <f t="shared" si="2"/>
        <v>-45.75</v>
      </c>
      <c r="W10" s="366">
        <f t="shared" si="4"/>
        <v>-2.7708052926310227E-9</v>
      </c>
      <c r="X10" s="366"/>
      <c r="Y10" s="503"/>
      <c r="Z10" s="366"/>
      <c r="AA10" s="515">
        <f>($L$5/$B$5)*(1-((G10^2)/(($J$5)^2)))*EXP(-(G10^2)/(2*(($J$5)^2)))*100</f>
        <v>-9.4782429991450291E-17</v>
      </c>
      <c r="AB10" s="516"/>
      <c r="AC10" s="517">
        <f>($L$6/$F$5)*(1-D10^2/(($J$6)^2))*EXP(-(D10^2)/(2*(($J$6)^2)))*100</f>
        <v>-1.143987288221295E-11</v>
      </c>
      <c r="AD10" s="518"/>
      <c r="AE10" s="519">
        <f>AA10+AC10</f>
        <v>-1.1439967664642942E-11</v>
      </c>
      <c r="AF10" s="193"/>
      <c r="AG10" s="526">
        <f>($L$5*(1/(($J$5)^2))*(EXP(-(G10^2/(2*$J$5^2))))*((G10^2/($J$5^2))-1))</f>
        <v>3.1204092178255246E-19</v>
      </c>
      <c r="AH10" s="527" t="str">
        <f>IF(AND(ABS(AG9)&gt;ABS(AG10),(ABS(AG11)&gt;(ABS(AG10)))),G10,"NO")</f>
        <v>NO</v>
      </c>
      <c r="AI10" s="528">
        <f>($L$6*(1/(($J$6)^2))*(EXP(-((D10)^2/(2*$J$6^2))))*(((D10)^2/($J$6^2))-1))</f>
        <v>3.7662132945557038E-14</v>
      </c>
      <c r="AJ10" s="527" t="str">
        <f t="shared" ref="AJ10:AJ73" si="5">IF(AND(ABS(AI9)&gt;ABS(AI10),(ABS(AI11)&gt;(ABS(AI10)))),G10,"NO")</f>
        <v>NO</v>
      </c>
      <c r="AK10" s="529">
        <f>IF('IN-OUT'!$F$35=0,AG10,IF('IN-OUT'!$F$26=0,'transversal subsidence profile'!AI10,'transversal subsidence profile'!AG10+'transversal subsidence profile'!AI10))</f>
        <v>3.7662444986478819E-14</v>
      </c>
      <c r="AL10" s="530">
        <f t="shared" ref="AL10:AL73" si="6">IF(AND(ABS(AK9)&gt;ABS(AK10),(ABS(AK11)&gt;(ABS(AK10))),(AK9*AK11)&lt;0),G10,1000)</f>
        <v>1000</v>
      </c>
      <c r="AN10" s="514"/>
    </row>
    <row r="11" spans="1:40" s="340" customFormat="1">
      <c r="A11" s="542">
        <f>A10+0.25</f>
        <v>-49.75</v>
      </c>
      <c r="B11" s="363">
        <f t="shared" ref="B11:B74" si="7">+$L$5*EXP(-(A11^2)/(2*$J$5^2))</f>
        <v>4.1881107898079572E-14</v>
      </c>
      <c r="C11" s="543">
        <f t="shared" ref="C11:C74" si="8">+$L$5*A11/$B$5*EXP(-(A11^2)/(2*$J$5^2))</f>
        <v>-1.3890567452863058E-13</v>
      </c>
      <c r="D11" s="542">
        <f>D10+0.25</f>
        <v>-49.75</v>
      </c>
      <c r="E11" s="363">
        <f t="shared" ref="E11:E74" si="9">+$L$6*EXP(-(D11^2)/(2*$J$6^2))</f>
        <v>4.1881107898079572E-14</v>
      </c>
      <c r="F11" s="543">
        <f t="shared" ref="F11:F74" si="10">+$L$6*D11/$F$5*EXP(-(D11^2)/(2*$J$6^2))</f>
        <v>-1.3890567452863058E-13</v>
      </c>
      <c r="G11" s="548">
        <f t="shared" ref="G11:G74" si="11">IF(OR($F$5=0,$F$6=0),D11,D11-$D$2)</f>
        <v>-59.75</v>
      </c>
      <c r="H11" s="363">
        <f t="shared" ref="H11:H74" si="12">+$L$5*EXP(-(G11^2)/(2*$J$5^2))</f>
        <v>2.5312526692424495E-19</v>
      </c>
      <c r="I11" s="363">
        <f t="shared" ref="I11:I74" si="13">+$L$5*G11/$B$5*EXP(-(G11^2)/(2*$J$5^2))</f>
        <v>-1.0082823132482424E-18</v>
      </c>
      <c r="J11" s="364">
        <f t="shared" ref="J11:J74" si="14">+H11+B11</f>
        <v>4.1881361023346498E-14</v>
      </c>
      <c r="K11" s="194">
        <f t="shared" ref="K11:K74" si="15">+H11*100</f>
        <v>2.5312526692424494E-17</v>
      </c>
      <c r="L11" s="646">
        <f t="shared" ref="L11:L74" si="16">+E11*100</f>
        <v>4.1881107898079576E-12</v>
      </c>
      <c r="M11" s="365">
        <f t="shared" ref="M11:M74" si="17">+IF(OR($B$5=0,$B$6=0),L11,IF(OR($F$5=0,$F$6=0),K11,K11+L11))</f>
        <v>4.18813610233465E-12</v>
      </c>
      <c r="N11" s="194">
        <f t="shared" ref="N11:N74" si="18">+I11*100</f>
        <v>-1.0082823132482423E-16</v>
      </c>
      <c r="O11" s="422">
        <f t="shared" ref="O11:O74" si="19">+F11*100</f>
        <v>-1.3890567452863057E-11</v>
      </c>
      <c r="P11" s="365">
        <f t="shared" ref="P11:P74" si="20">+IF(OR($B$5=0,$B$6=0),O11,IF(OR($F$5=0,$F$6=0),N11,N11+O11))</f>
        <v>-1.3890668281094383E-11</v>
      </c>
      <c r="Q11" s="193" t="s">
        <v>17</v>
      </c>
      <c r="R11" s="193">
        <f t="shared" si="0"/>
        <v>-45.5</v>
      </c>
      <c r="S11" s="366">
        <f t="shared" si="1"/>
        <v>-3.558952970000731E-9</v>
      </c>
      <c r="T11" s="193">
        <v>-32</v>
      </c>
      <c r="U11" s="366">
        <f t="shared" si="3"/>
        <v>-5.466921102196443E-14</v>
      </c>
      <c r="V11" s="193">
        <f t="shared" si="2"/>
        <v>-45.5</v>
      </c>
      <c r="W11" s="366">
        <f t="shared" si="4"/>
        <v>-3.5590076392117531E-9</v>
      </c>
      <c r="X11" s="366"/>
      <c r="Y11" s="503"/>
      <c r="Z11" s="366"/>
      <c r="AA11" s="520">
        <f t="shared" ref="AA11:AA74" si="21">($L$5/$B$5)*(1-((G11^2)/(($J$5)^2)))*EXP(-(G11^2)/(2*(($J$5)^2)))*100</f>
        <v>-1.3053717469037055E-16</v>
      </c>
      <c r="AB11" s="496"/>
      <c r="AC11" s="521">
        <f t="shared" ref="AC11:AC74" si="22">($L$6/$F$5)*(1-D11^2/(($J$6)^2))*EXP(-(D11^2)/(2*(($J$6)^2)))*100</f>
        <v>-1.4887996581748047E-11</v>
      </c>
      <c r="AD11" s="497"/>
      <c r="AE11" s="522">
        <f t="shared" ref="AE11:AE74" si="23">AA11+AC11</f>
        <v>-1.4888127118922737E-11</v>
      </c>
      <c r="AF11" s="193"/>
      <c r="AG11" s="531">
        <f t="shared" ref="AG11:AG74" si="24">($L$5*(1/(($J$5)^2))*(EXP(-(G11^2/(2*$J$5^2))))*((G11^2/($J$5^2))-1))</f>
        <v>4.2975201544154917E-19</v>
      </c>
      <c r="AH11" s="221" t="str">
        <f t="shared" ref="AH11:AH74" si="25">IF(AND(ABS(AG10)&gt;ABS(AG11),(ABS(AG12)&gt;(ABS(AG11)))),G11,"NO")</f>
        <v>NO</v>
      </c>
      <c r="AI11" s="532">
        <f t="shared" ref="AI11:AI74" si="26">($L$6*(1/(($J$6)^2))*(EXP(-((D11)^2/(2*$J$6^2))))*(((D11)^2/($J$6^2))-1))</f>
        <v>4.9013980516042948E-14</v>
      </c>
      <c r="AJ11" s="221" t="str">
        <f t="shared" si="5"/>
        <v>NO</v>
      </c>
      <c r="AK11" s="533">
        <f>IF('IN-OUT'!$F$35=0,AG11,IF('IN-OUT'!$F$26=0,'transversal subsidence profile'!AI11,'transversal subsidence profile'!AG11+'transversal subsidence profile'!AI11))</f>
        <v>4.9014410268058386E-14</v>
      </c>
      <c r="AL11" s="513">
        <f t="shared" si="6"/>
        <v>1000</v>
      </c>
    </row>
    <row r="12" spans="1:40" s="340" customFormat="1">
      <c r="A12" s="542">
        <f t="shared" ref="A12:A75" si="27">A11+0.25</f>
        <v>-49.5</v>
      </c>
      <c r="B12" s="363">
        <f t="shared" si="7"/>
        <v>5.4988586696494813E-14</v>
      </c>
      <c r="C12" s="543">
        <f t="shared" si="8"/>
        <v>-1.8146233609843288E-13</v>
      </c>
      <c r="D12" s="542">
        <f t="shared" ref="D12:D75" si="28">D11+0.25</f>
        <v>-49.5</v>
      </c>
      <c r="E12" s="363">
        <f t="shared" si="9"/>
        <v>5.4988586696494813E-14</v>
      </c>
      <c r="F12" s="543">
        <f t="shared" si="10"/>
        <v>-1.8146233609843288E-13</v>
      </c>
      <c r="G12" s="548">
        <f t="shared" si="11"/>
        <v>-59.5</v>
      </c>
      <c r="H12" s="363">
        <f t="shared" si="12"/>
        <v>3.5109083747288312E-19</v>
      </c>
      <c r="I12" s="363">
        <f t="shared" si="13"/>
        <v>-1.3926603219757696E-18</v>
      </c>
      <c r="J12" s="364">
        <f t="shared" si="14"/>
        <v>5.4988937787332285E-14</v>
      </c>
      <c r="K12" s="194">
        <f t="shared" si="15"/>
        <v>3.5109083747288313E-17</v>
      </c>
      <c r="L12" s="646">
        <f t="shared" si="16"/>
        <v>5.4988586696494815E-12</v>
      </c>
      <c r="M12" s="365">
        <f t="shared" si="17"/>
        <v>5.4988937787332284E-12</v>
      </c>
      <c r="N12" s="194">
        <f t="shared" si="18"/>
        <v>-1.3926603219757695E-16</v>
      </c>
      <c r="O12" s="422">
        <f t="shared" si="19"/>
        <v>-1.8146233609843288E-11</v>
      </c>
      <c r="P12" s="365">
        <f t="shared" si="20"/>
        <v>-1.8146372875875484E-11</v>
      </c>
      <c r="Q12" s="193"/>
      <c r="R12" s="193">
        <f t="shared" si="0"/>
        <v>-45.25</v>
      </c>
      <c r="S12" s="366">
        <f t="shared" si="1"/>
        <v>-4.5650870618788979E-9</v>
      </c>
      <c r="T12" s="193">
        <v>-31</v>
      </c>
      <c r="U12" s="366">
        <f t="shared" si="3"/>
        <v>-7.4079701364471089E-14</v>
      </c>
      <c r="V12" s="193">
        <f t="shared" si="2"/>
        <v>-45.25</v>
      </c>
      <c r="W12" s="366">
        <f t="shared" si="4"/>
        <v>-4.5651611415802617E-9</v>
      </c>
      <c r="X12" s="366"/>
      <c r="Y12" s="503"/>
      <c r="Z12" s="366"/>
      <c r="AA12" s="520">
        <f t="shared" si="21"/>
        <v>-1.7952669572287391E-16</v>
      </c>
      <c r="AB12" s="496"/>
      <c r="AC12" s="521">
        <f t="shared" si="22"/>
        <v>-1.9347836059877806E-11</v>
      </c>
      <c r="AD12" s="497"/>
      <c r="AE12" s="522">
        <f t="shared" si="23"/>
        <v>-1.9348015586573529E-11</v>
      </c>
      <c r="AF12" s="193"/>
      <c r="AG12" s="531">
        <f t="shared" si="24"/>
        <v>5.9103438921110739E-19</v>
      </c>
      <c r="AH12" s="221" t="str">
        <f t="shared" si="25"/>
        <v>NO</v>
      </c>
      <c r="AI12" s="532">
        <f t="shared" si="26"/>
        <v>6.3696579620996883E-14</v>
      </c>
      <c r="AJ12" s="221" t="str">
        <f t="shared" si="5"/>
        <v>NO</v>
      </c>
      <c r="AK12" s="533">
        <f>IF('IN-OUT'!$F$35=0,AG12,IF('IN-OUT'!$F$26=0,'transversal subsidence profile'!AI12,'transversal subsidence profile'!AG12+'transversal subsidence profile'!AI12))</f>
        <v>6.3697170655386095E-14</v>
      </c>
      <c r="AL12" s="513">
        <f t="shared" si="6"/>
        <v>1000</v>
      </c>
    </row>
    <row r="13" spans="1:40" s="340" customFormat="1">
      <c r="A13" s="542">
        <f t="shared" si="27"/>
        <v>-49.25</v>
      </c>
      <c r="B13" s="363">
        <f t="shared" si="7"/>
        <v>7.2099327455318011E-14</v>
      </c>
      <c r="C13" s="543">
        <f t="shared" si="8"/>
        <v>-2.367261251449608E-13</v>
      </c>
      <c r="D13" s="542">
        <f t="shared" si="28"/>
        <v>-49.25</v>
      </c>
      <c r="E13" s="363">
        <f t="shared" si="9"/>
        <v>7.2099327455318011E-14</v>
      </c>
      <c r="F13" s="543">
        <f t="shared" si="10"/>
        <v>-2.367261251449608E-13</v>
      </c>
      <c r="G13" s="548">
        <f t="shared" si="11"/>
        <v>-59.25</v>
      </c>
      <c r="H13" s="363">
        <f t="shared" si="12"/>
        <v>4.8630390038862532E-19</v>
      </c>
      <c r="I13" s="363">
        <f t="shared" si="13"/>
        <v>-1.9209004065350701E-18</v>
      </c>
      <c r="J13" s="364">
        <f t="shared" si="14"/>
        <v>7.2099813759218396E-14</v>
      </c>
      <c r="K13" s="194">
        <f t="shared" si="15"/>
        <v>4.8630390038862535E-17</v>
      </c>
      <c r="L13" s="646">
        <f t="shared" si="16"/>
        <v>7.2099327455318015E-12</v>
      </c>
      <c r="M13" s="365">
        <f t="shared" si="17"/>
        <v>7.2099813759218402E-12</v>
      </c>
      <c r="N13" s="194">
        <f t="shared" si="18"/>
        <v>-1.9209004065350702E-16</v>
      </c>
      <c r="O13" s="422">
        <f t="shared" si="19"/>
        <v>-2.3672612514496082E-11</v>
      </c>
      <c r="P13" s="365">
        <f t="shared" si="20"/>
        <v>-2.3672804604536734E-11</v>
      </c>
      <c r="Q13" s="193"/>
      <c r="R13" s="193">
        <f t="shared" si="0"/>
        <v>-45</v>
      </c>
      <c r="S13" s="366">
        <f t="shared" si="1"/>
        <v>-5.8476334256692369E-9</v>
      </c>
      <c r="T13" s="193">
        <v>-30</v>
      </c>
      <c r="U13" s="366">
        <f t="shared" si="3"/>
        <v>-1.0024434893529742E-13</v>
      </c>
      <c r="V13" s="193">
        <f t="shared" si="2"/>
        <v>-45</v>
      </c>
      <c r="W13" s="366">
        <f t="shared" si="4"/>
        <v>-5.847733670018172E-9</v>
      </c>
      <c r="X13" s="366"/>
      <c r="Y13" s="503"/>
      <c r="Z13" s="366"/>
      <c r="AA13" s="520">
        <f t="shared" si="21"/>
        <v>-2.4655407624641417E-16</v>
      </c>
      <c r="AB13" s="496"/>
      <c r="AC13" s="521">
        <f t="shared" si="22"/>
        <v>-2.5107840781879379E-11</v>
      </c>
      <c r="AD13" s="497"/>
      <c r="AE13" s="522">
        <f t="shared" si="23"/>
        <v>-2.5108087335955627E-11</v>
      </c>
      <c r="AF13" s="193"/>
      <c r="AG13" s="531">
        <f t="shared" si="24"/>
        <v>8.1170066253963499E-19</v>
      </c>
      <c r="AH13" s="221" t="str">
        <f t="shared" si="25"/>
        <v>NO</v>
      </c>
      <c r="AI13" s="532">
        <f t="shared" si="26"/>
        <v>8.2659558129644041E-14</v>
      </c>
      <c r="AJ13" s="221" t="str">
        <f t="shared" si="5"/>
        <v>NO</v>
      </c>
      <c r="AK13" s="533">
        <f>IF('IN-OUT'!$F$35=0,AG13,IF('IN-OUT'!$F$26=0,'transversal subsidence profile'!AI13,'transversal subsidence profile'!AG13+'transversal subsidence profile'!AI13))</f>
        <v>8.2660369830306585E-14</v>
      </c>
      <c r="AL13" s="513">
        <f t="shared" si="6"/>
        <v>1000</v>
      </c>
    </row>
    <row r="14" spans="1:40" s="340" customFormat="1">
      <c r="A14" s="542">
        <f t="shared" si="27"/>
        <v>-49</v>
      </c>
      <c r="B14" s="363">
        <f t="shared" si="7"/>
        <v>9.4404811525977154E-14</v>
      </c>
      <c r="C14" s="543">
        <f t="shared" si="8"/>
        <v>-3.083890509848587E-13</v>
      </c>
      <c r="D14" s="542">
        <f t="shared" si="28"/>
        <v>-49</v>
      </c>
      <c r="E14" s="363">
        <f t="shared" si="9"/>
        <v>9.4404811525977154E-14</v>
      </c>
      <c r="F14" s="543">
        <f t="shared" si="10"/>
        <v>-3.083890509848587E-13</v>
      </c>
      <c r="G14" s="548">
        <f t="shared" si="11"/>
        <v>-59</v>
      </c>
      <c r="H14" s="363">
        <f t="shared" si="12"/>
        <v>6.7266722852812916E-19</v>
      </c>
      <c r="I14" s="363">
        <f t="shared" si="13"/>
        <v>-2.6458244322106415E-18</v>
      </c>
      <c r="J14" s="364">
        <f t="shared" si="14"/>
        <v>9.4405484193205684E-14</v>
      </c>
      <c r="K14" s="194">
        <f t="shared" si="15"/>
        <v>6.7266722852812917E-17</v>
      </c>
      <c r="L14" s="646">
        <f t="shared" si="16"/>
        <v>9.4404811525977155E-12</v>
      </c>
      <c r="M14" s="365">
        <f t="shared" si="17"/>
        <v>9.4405484193205691E-12</v>
      </c>
      <c r="N14" s="194">
        <f t="shared" si="18"/>
        <v>-2.6458244322106413E-16</v>
      </c>
      <c r="O14" s="422">
        <f t="shared" si="19"/>
        <v>-3.083890509848587E-11</v>
      </c>
      <c r="P14" s="365">
        <f t="shared" si="20"/>
        <v>-3.0839169680929088E-11</v>
      </c>
      <c r="Q14" s="366"/>
      <c r="R14" s="193">
        <f t="shared" si="0"/>
        <v>-44.75</v>
      </c>
      <c r="S14" s="366">
        <f t="shared" si="1"/>
        <v>-7.4802390195739701E-9</v>
      </c>
      <c r="T14" s="193">
        <v>-29</v>
      </c>
      <c r="U14" s="366">
        <f t="shared" si="3"/>
        <v>-1.3546429344271552E-13</v>
      </c>
      <c r="V14" s="193">
        <f t="shared" si="2"/>
        <v>-44.75</v>
      </c>
      <c r="W14" s="366">
        <f t="shared" si="4"/>
        <v>-7.4803744838674139E-9</v>
      </c>
      <c r="X14" s="366"/>
      <c r="Y14" s="503"/>
      <c r="Z14" s="366"/>
      <c r="AA14" s="520">
        <f t="shared" si="21"/>
        <v>-3.3812985414271306E-16</v>
      </c>
      <c r="AB14" s="496"/>
      <c r="AC14" s="521">
        <f t="shared" si="22"/>
        <v>-3.2536206053767727E-11</v>
      </c>
      <c r="AD14" s="497"/>
      <c r="AE14" s="522">
        <f t="shared" si="23"/>
        <v>-3.2536544183621869E-11</v>
      </c>
      <c r="AF14" s="193"/>
      <c r="AG14" s="531">
        <f t="shared" si="24"/>
        <v>1.1131847049965861E-18</v>
      </c>
      <c r="AH14" s="221" t="str">
        <f t="shared" si="25"/>
        <v>NO</v>
      </c>
      <c r="AI14" s="532">
        <f t="shared" si="26"/>
        <v>1.0711508165849457E-13</v>
      </c>
      <c r="AJ14" s="221" t="str">
        <f t="shared" si="5"/>
        <v>NO</v>
      </c>
      <c r="AK14" s="533">
        <f>IF('IN-OUT'!$F$35=0,AG14,IF('IN-OUT'!$F$26=0,'transversal subsidence profile'!AI14,'transversal subsidence profile'!AG14+'transversal subsidence profile'!AI14))</f>
        <v>1.0711619484319957E-13</v>
      </c>
      <c r="AL14" s="513">
        <f t="shared" si="6"/>
        <v>1000</v>
      </c>
    </row>
    <row r="15" spans="1:40" s="340" customFormat="1">
      <c r="A15" s="542">
        <f t="shared" si="27"/>
        <v>-48.75</v>
      </c>
      <c r="B15" s="363">
        <f t="shared" si="7"/>
        <v>1.2344153268288112E-13</v>
      </c>
      <c r="C15" s="543">
        <f t="shared" si="8"/>
        <v>-4.0118498121936368E-13</v>
      </c>
      <c r="D15" s="542">
        <f t="shared" si="28"/>
        <v>-48.75</v>
      </c>
      <c r="E15" s="363">
        <f t="shared" si="9"/>
        <v>1.2344153268288112E-13</v>
      </c>
      <c r="F15" s="543">
        <f t="shared" si="10"/>
        <v>-4.0118498121936368E-13</v>
      </c>
      <c r="G15" s="548">
        <f t="shared" si="11"/>
        <v>-58.75</v>
      </c>
      <c r="H15" s="363">
        <f t="shared" si="12"/>
        <v>9.2917399587793004E-19</v>
      </c>
      <c r="I15" s="363">
        <f t="shared" si="13"/>
        <v>-3.6392648171885593E-18</v>
      </c>
      <c r="J15" s="364">
        <f t="shared" si="14"/>
        <v>1.23442461856877E-13</v>
      </c>
      <c r="K15" s="194">
        <f t="shared" si="15"/>
        <v>9.2917399587793E-17</v>
      </c>
      <c r="L15" s="646">
        <f t="shared" si="16"/>
        <v>1.2344153268288111E-11</v>
      </c>
      <c r="M15" s="365">
        <f t="shared" si="17"/>
        <v>1.2344246185687699E-11</v>
      </c>
      <c r="N15" s="194">
        <f t="shared" si="18"/>
        <v>-3.6392648171885595E-16</v>
      </c>
      <c r="O15" s="422">
        <f t="shared" si="19"/>
        <v>-4.0118498121936366E-11</v>
      </c>
      <c r="P15" s="365">
        <f t="shared" si="20"/>
        <v>-4.0118862048418088E-11</v>
      </c>
      <c r="Q15" s="193"/>
      <c r="R15" s="193">
        <f t="shared" si="0"/>
        <v>-44.5</v>
      </c>
      <c r="S15" s="366">
        <f t="shared" si="1"/>
        <v>-9.5555363883272019E-9</v>
      </c>
      <c r="T15" s="193">
        <v>-28</v>
      </c>
      <c r="U15" s="366">
        <f t="shared" si="3"/>
        <v>-1.8280750978345931E-13</v>
      </c>
      <c r="V15" s="193">
        <f t="shared" si="2"/>
        <v>-44.5</v>
      </c>
      <c r="W15" s="366">
        <f t="shared" si="4"/>
        <v>-9.5557191958369831E-9</v>
      </c>
      <c r="X15" s="366"/>
      <c r="Y15" s="503"/>
      <c r="Z15" s="366"/>
      <c r="AA15" s="520">
        <f t="shared" si="21"/>
        <v>-4.6306599066633452E-16</v>
      </c>
      <c r="AB15" s="496"/>
      <c r="AC15" s="521">
        <f t="shared" si="22"/>
        <v>-4.2102198472251801E-11</v>
      </c>
      <c r="AD15" s="497"/>
      <c r="AE15" s="522">
        <f t="shared" si="23"/>
        <v>-4.210266153824247E-11</v>
      </c>
      <c r="AF15" s="193"/>
      <c r="AG15" s="531">
        <f t="shared" si="24"/>
        <v>1.5244970886134467E-18</v>
      </c>
      <c r="AH15" s="221" t="str">
        <f t="shared" si="25"/>
        <v>NO</v>
      </c>
      <c r="AI15" s="532">
        <f t="shared" si="26"/>
        <v>1.386080608139977E-13</v>
      </c>
      <c r="AJ15" s="221" t="str">
        <f t="shared" si="5"/>
        <v>NO</v>
      </c>
      <c r="AK15" s="533">
        <f>IF('IN-OUT'!$F$35=0,AG15,IF('IN-OUT'!$F$26=0,'transversal subsidence profile'!AI15,'transversal subsidence profile'!AG15+'transversal subsidence profile'!AI15))</f>
        <v>1.3860958531108632E-13</v>
      </c>
      <c r="AL15" s="513">
        <f t="shared" si="6"/>
        <v>1000</v>
      </c>
    </row>
    <row r="16" spans="1:40" s="340" customFormat="1">
      <c r="A16" s="542">
        <f t="shared" si="27"/>
        <v>-48.5</v>
      </c>
      <c r="B16" s="363">
        <f t="shared" si="7"/>
        <v>1.611880128404696E-13</v>
      </c>
      <c r="C16" s="543">
        <f t="shared" si="8"/>
        <v>-5.2117457485085173E-13</v>
      </c>
      <c r="D16" s="542">
        <f t="shared" si="28"/>
        <v>-48.5</v>
      </c>
      <c r="E16" s="363">
        <f t="shared" si="9"/>
        <v>1.611880128404696E-13</v>
      </c>
      <c r="F16" s="543">
        <f t="shared" si="10"/>
        <v>-5.2117457485085173E-13</v>
      </c>
      <c r="G16" s="548">
        <f t="shared" si="11"/>
        <v>-58.5</v>
      </c>
      <c r="H16" s="363">
        <f t="shared" si="12"/>
        <v>1.2817345290157562E-18</v>
      </c>
      <c r="I16" s="363">
        <f t="shared" si="13"/>
        <v>-4.9987646631614503E-18</v>
      </c>
      <c r="J16" s="364">
        <f t="shared" si="14"/>
        <v>1.6118929457499862E-13</v>
      </c>
      <c r="K16" s="194">
        <f t="shared" si="15"/>
        <v>1.2817345290157562E-16</v>
      </c>
      <c r="L16" s="646">
        <f t="shared" si="16"/>
        <v>1.611880128404696E-11</v>
      </c>
      <c r="M16" s="365">
        <f t="shared" si="17"/>
        <v>1.6118929457499862E-11</v>
      </c>
      <c r="N16" s="194">
        <f t="shared" si="18"/>
        <v>-4.99876466316145E-16</v>
      </c>
      <c r="O16" s="422">
        <f t="shared" si="19"/>
        <v>-5.211745748508517E-11</v>
      </c>
      <c r="P16" s="365">
        <f t="shared" si="20"/>
        <v>-5.2117957361551489E-11</v>
      </c>
      <c r="Q16" s="193"/>
      <c r="R16" s="193">
        <f t="shared" si="0"/>
        <v>-44.25</v>
      </c>
      <c r="S16" s="366">
        <f t="shared" si="1"/>
        <v>-1.2189865843876894E-8</v>
      </c>
      <c r="T16" s="193">
        <v>-27</v>
      </c>
      <c r="U16" s="366">
        <f t="shared" si="3"/>
        <v>-2.4635846488359035E-13</v>
      </c>
      <c r="V16" s="193">
        <f t="shared" si="2"/>
        <v>-44.25</v>
      </c>
      <c r="W16" s="366">
        <f t="shared" si="4"/>
        <v>-1.2190112202341778E-8</v>
      </c>
      <c r="X16" s="366"/>
      <c r="Y16" s="503"/>
      <c r="Z16" s="366"/>
      <c r="AA16" s="520">
        <f t="shared" si="21"/>
        <v>-6.3327180063222913E-16</v>
      </c>
      <c r="AB16" s="496"/>
      <c r="AC16" s="521">
        <f t="shared" si="22"/>
        <v>-5.4402981160523196E-11</v>
      </c>
      <c r="AD16" s="497"/>
      <c r="AE16" s="522">
        <f t="shared" si="23"/>
        <v>-5.4403614432323827E-11</v>
      </c>
      <c r="AF16" s="193"/>
      <c r="AG16" s="531">
        <f t="shared" si="24"/>
        <v>2.0848454341801786E-18</v>
      </c>
      <c r="AH16" s="221" t="str">
        <f t="shared" si="25"/>
        <v>NO</v>
      </c>
      <c r="AI16" s="532">
        <f t="shared" si="26"/>
        <v>1.7910446472600227E-13</v>
      </c>
      <c r="AJ16" s="221" t="str">
        <f t="shared" si="5"/>
        <v>NO</v>
      </c>
      <c r="AK16" s="533">
        <f>IF('IN-OUT'!$F$35=0,AG16,IF('IN-OUT'!$F$26=0,'transversal subsidence profile'!AI16,'transversal subsidence profile'!AG16+'transversal subsidence profile'!AI16))</f>
        <v>1.7910654957143644E-13</v>
      </c>
      <c r="AL16" s="513">
        <f t="shared" si="6"/>
        <v>1000</v>
      </c>
    </row>
    <row r="17" spans="1:38">
      <c r="A17" s="542">
        <f t="shared" si="27"/>
        <v>-48.25</v>
      </c>
      <c r="B17" s="363">
        <f t="shared" si="7"/>
        <v>2.1018825132510579E-13</v>
      </c>
      <c r="C17" s="543">
        <f t="shared" si="8"/>
        <v>-6.7610554176242371E-13</v>
      </c>
      <c r="D17" s="542">
        <f t="shared" si="28"/>
        <v>-48.25</v>
      </c>
      <c r="E17" s="363">
        <f t="shared" si="9"/>
        <v>2.1018825132510579E-13</v>
      </c>
      <c r="F17" s="543">
        <f t="shared" si="10"/>
        <v>-6.7610554176242371E-13</v>
      </c>
      <c r="G17" s="548">
        <f t="shared" si="11"/>
        <v>-58.25</v>
      </c>
      <c r="H17" s="363">
        <f t="shared" si="12"/>
        <v>1.765644968125205E-18</v>
      </c>
      <c r="I17" s="363">
        <f t="shared" si="13"/>
        <v>-6.8565879595528803E-18</v>
      </c>
      <c r="J17" s="364">
        <f t="shared" si="14"/>
        <v>2.1019001697007393E-13</v>
      </c>
      <c r="K17" s="194">
        <f t="shared" si="15"/>
        <v>1.765644968125205E-16</v>
      </c>
      <c r="L17" s="646">
        <f t="shared" si="16"/>
        <v>2.1018825132510579E-11</v>
      </c>
      <c r="M17" s="365">
        <f t="shared" si="17"/>
        <v>2.1019001697007391E-11</v>
      </c>
      <c r="N17" s="194">
        <f t="shared" si="18"/>
        <v>-6.8565879595528808E-16</v>
      </c>
      <c r="O17" s="422">
        <f t="shared" si="19"/>
        <v>-6.7610554176242368E-11</v>
      </c>
      <c r="P17" s="365">
        <f t="shared" si="20"/>
        <v>-6.7611239835038322E-11</v>
      </c>
      <c r="R17" s="193">
        <f t="shared" si="0"/>
        <v>-44</v>
      </c>
      <c r="S17" s="366">
        <f t="shared" si="1"/>
        <v>-1.5529126985413633E-8</v>
      </c>
      <c r="T17" s="193">
        <v>-26</v>
      </c>
      <c r="U17" s="366">
        <f t="shared" si="3"/>
        <v>-3.3154707877399343E-13</v>
      </c>
      <c r="V17" s="193">
        <f t="shared" si="2"/>
        <v>-44</v>
      </c>
      <c r="W17" s="366">
        <f t="shared" si="4"/>
        <v>-1.5529458532492407E-8</v>
      </c>
      <c r="X17" s="366"/>
      <c r="Y17" s="503"/>
      <c r="Z17" s="366"/>
      <c r="AA17" s="520">
        <f t="shared" si="21"/>
        <v>-8.6481887967796984E-16</v>
      </c>
      <c r="AB17" s="496"/>
      <c r="AC17" s="521">
        <f t="shared" si="22"/>
        <v>-7.0197301677118094E-11</v>
      </c>
      <c r="AD17" s="497"/>
      <c r="AE17" s="522">
        <f t="shared" si="23"/>
        <v>-7.0198166495997776E-11</v>
      </c>
      <c r="AG17" s="531">
        <f t="shared" si="24"/>
        <v>2.8471403446188301E-18</v>
      </c>
      <c r="AH17" s="221" t="str">
        <f t="shared" si="25"/>
        <v>NO</v>
      </c>
      <c r="AI17" s="532">
        <f t="shared" si="26"/>
        <v>2.3110222774359862E-13</v>
      </c>
      <c r="AJ17" s="221" t="str">
        <f t="shared" si="5"/>
        <v>NO</v>
      </c>
      <c r="AK17" s="533">
        <f>IF('IN-OUT'!$F$35=0,AG17,IF('IN-OUT'!$F$26=0,'transversal subsidence profile'!AI17,'transversal subsidence profile'!AG17+'transversal subsidence profile'!AI17))</f>
        <v>2.3110507488394323E-13</v>
      </c>
      <c r="AL17" s="513">
        <f t="shared" si="6"/>
        <v>1000</v>
      </c>
    </row>
    <row r="18" spans="1:38">
      <c r="A18" s="542">
        <f t="shared" si="27"/>
        <v>-48</v>
      </c>
      <c r="B18" s="363">
        <f t="shared" si="7"/>
        <v>2.7370856821612073E-13</v>
      </c>
      <c r="C18" s="543">
        <f t="shared" si="8"/>
        <v>-8.7586741829158625E-13</v>
      </c>
      <c r="D18" s="542">
        <f t="shared" si="28"/>
        <v>-48</v>
      </c>
      <c r="E18" s="363">
        <f t="shared" si="9"/>
        <v>2.7370856821612073E-13</v>
      </c>
      <c r="F18" s="543">
        <f t="shared" si="10"/>
        <v>-8.7586741829158625E-13</v>
      </c>
      <c r="G18" s="548">
        <f t="shared" si="11"/>
        <v>-58</v>
      </c>
      <c r="H18" s="363">
        <f t="shared" si="12"/>
        <v>2.4289184739302576E-18</v>
      </c>
      <c r="I18" s="363">
        <f t="shared" si="13"/>
        <v>-9.3918180991969955E-18</v>
      </c>
      <c r="J18" s="364">
        <f t="shared" si="14"/>
        <v>2.7371099713459468E-13</v>
      </c>
      <c r="K18" s="194">
        <f t="shared" si="15"/>
        <v>2.4289184739302578E-16</v>
      </c>
      <c r="L18" s="646">
        <f t="shared" si="16"/>
        <v>2.7370856821612073E-11</v>
      </c>
      <c r="M18" s="365">
        <f t="shared" si="17"/>
        <v>2.7371099713459466E-11</v>
      </c>
      <c r="N18" s="194">
        <f t="shared" si="18"/>
        <v>-9.3918180991969956E-16</v>
      </c>
      <c r="O18" s="422">
        <f t="shared" si="19"/>
        <v>-8.7586741829158625E-11</v>
      </c>
      <c r="P18" s="365">
        <f t="shared" si="20"/>
        <v>-8.7587681010968548E-11</v>
      </c>
      <c r="R18" s="193">
        <f t="shared" si="0"/>
        <v>-43.75</v>
      </c>
      <c r="S18" s="366">
        <f t="shared" si="1"/>
        <v>-1.9756018154267637E-8</v>
      </c>
      <c r="T18" s="193">
        <v>-25</v>
      </c>
      <c r="U18" s="366">
        <f t="shared" si="3"/>
        <v>-4.4558153186115958E-13</v>
      </c>
      <c r="V18" s="193">
        <f t="shared" si="2"/>
        <v>-43.75</v>
      </c>
      <c r="W18" s="366">
        <f t="shared" si="4"/>
        <v>-1.9756463735799496E-8</v>
      </c>
      <c r="X18" s="366"/>
      <c r="Y18" s="503"/>
      <c r="Z18" s="366"/>
      <c r="AA18" s="520">
        <f t="shared" si="21"/>
        <v>-1.1793637528424968E-15</v>
      </c>
      <c r="AB18" s="496"/>
      <c r="AC18" s="521">
        <f t="shared" si="22"/>
        <v>-9.0447728509277747E-11</v>
      </c>
      <c r="AD18" s="497"/>
      <c r="AE18" s="522">
        <f t="shared" si="23"/>
        <v>-9.0448907873030592E-11</v>
      </c>
      <c r="AG18" s="531">
        <f t="shared" si="24"/>
        <v>3.8826790217036924E-18</v>
      </c>
      <c r="AH18" s="221" t="str">
        <f t="shared" si="25"/>
        <v>NO</v>
      </c>
      <c r="AI18" s="532">
        <f t="shared" si="26"/>
        <v>2.977702996190214E-13</v>
      </c>
      <c r="AJ18" s="221" t="str">
        <f t="shared" si="5"/>
        <v>NO</v>
      </c>
      <c r="AK18" s="533">
        <f>IF('IN-OUT'!$F$35=0,AG18,IF('IN-OUT'!$F$26=0,'transversal subsidence profile'!AI18,'transversal subsidence profile'!AG18+'transversal subsidence profile'!AI18))</f>
        <v>2.9777418229804313E-13</v>
      </c>
      <c r="AL18" s="513">
        <f t="shared" si="6"/>
        <v>1000</v>
      </c>
    </row>
    <row r="19" spans="1:38">
      <c r="A19" s="542">
        <f t="shared" si="27"/>
        <v>-47.75</v>
      </c>
      <c r="B19" s="363">
        <f t="shared" si="7"/>
        <v>3.5593656801199791E-13</v>
      </c>
      <c r="C19" s="543">
        <f t="shared" si="8"/>
        <v>-1.1330647415048601E-12</v>
      </c>
      <c r="D19" s="542">
        <f t="shared" si="28"/>
        <v>-47.75</v>
      </c>
      <c r="E19" s="363">
        <f t="shared" si="9"/>
        <v>3.5593656801199791E-13</v>
      </c>
      <c r="F19" s="543">
        <f t="shared" si="10"/>
        <v>-1.1330647415048601E-12</v>
      </c>
      <c r="G19" s="548">
        <f t="shared" si="11"/>
        <v>-57.75</v>
      </c>
      <c r="H19" s="363">
        <f t="shared" si="12"/>
        <v>3.3367737093256106E-18</v>
      </c>
      <c r="I19" s="363">
        <f t="shared" si="13"/>
        <v>-1.2846578780903601E-17</v>
      </c>
      <c r="J19" s="364">
        <f t="shared" si="14"/>
        <v>3.5593990478570724E-13</v>
      </c>
      <c r="K19" s="194">
        <f t="shared" si="15"/>
        <v>3.3367737093256105E-16</v>
      </c>
      <c r="L19" s="646">
        <f t="shared" si="16"/>
        <v>3.5593656801199794E-11</v>
      </c>
      <c r="M19" s="365">
        <f t="shared" si="17"/>
        <v>3.5593990478570726E-11</v>
      </c>
      <c r="N19" s="194">
        <f t="shared" si="18"/>
        <v>-1.2846578780903601E-15</v>
      </c>
      <c r="O19" s="422">
        <f t="shared" si="19"/>
        <v>-1.1330647415048601E-10</v>
      </c>
      <c r="P19" s="365">
        <f t="shared" si="20"/>
        <v>-1.1330775880836409E-10</v>
      </c>
      <c r="R19" s="193">
        <f t="shared" si="0"/>
        <v>-43.5</v>
      </c>
      <c r="S19" s="366">
        <f t="shared" si="1"/>
        <v>-2.509897880450181E-8</v>
      </c>
      <c r="T19" s="193">
        <v>-24</v>
      </c>
      <c r="U19" s="366">
        <f t="shared" si="3"/>
        <v>-5.9801684672084523E-13</v>
      </c>
      <c r="V19" s="193">
        <f t="shared" si="2"/>
        <v>-43.5</v>
      </c>
      <c r="W19" s="366">
        <f t="shared" si="4"/>
        <v>-2.509957682134853E-8</v>
      </c>
      <c r="X19" s="366"/>
      <c r="Y19" s="503"/>
      <c r="Z19" s="366"/>
      <c r="AA19" s="520">
        <f t="shared" si="21"/>
        <v>-1.6060454857725241E-15</v>
      </c>
      <c r="AB19" s="496"/>
      <c r="AC19" s="521">
        <f t="shared" si="22"/>
        <v>-1.1637351787439369E-10</v>
      </c>
      <c r="AD19" s="497"/>
      <c r="AE19" s="522">
        <f t="shared" si="23"/>
        <v>-1.1637512391987946E-10</v>
      </c>
      <c r="AG19" s="531">
        <f t="shared" si="24"/>
        <v>5.2873925457531666E-18</v>
      </c>
      <c r="AH19" s="221" t="str">
        <f t="shared" si="25"/>
        <v>NO</v>
      </c>
      <c r="AI19" s="532">
        <f t="shared" si="26"/>
        <v>3.8312269259059644E-13</v>
      </c>
      <c r="AJ19" s="221" t="str">
        <f t="shared" si="5"/>
        <v>NO</v>
      </c>
      <c r="AK19" s="533">
        <f>IF('IN-OUT'!$F$35=0,AG19,IF('IN-OUT'!$F$26=0,'transversal subsidence profile'!AI19,'transversal subsidence profile'!AG19+'transversal subsidence profile'!AI19))</f>
        <v>3.831279799831422E-13</v>
      </c>
      <c r="AL19" s="513">
        <f t="shared" si="6"/>
        <v>1000</v>
      </c>
    </row>
    <row r="20" spans="1:38">
      <c r="A20" s="542">
        <f t="shared" si="27"/>
        <v>-47.5</v>
      </c>
      <c r="B20" s="363">
        <f t="shared" si="7"/>
        <v>4.6223314546826137E-13</v>
      </c>
      <c r="C20" s="543">
        <f t="shared" si="8"/>
        <v>-1.4637382939828277E-12</v>
      </c>
      <c r="D20" s="542">
        <f t="shared" si="28"/>
        <v>-47.5</v>
      </c>
      <c r="E20" s="363">
        <f t="shared" si="9"/>
        <v>4.6223314546826137E-13</v>
      </c>
      <c r="F20" s="543">
        <f t="shared" si="10"/>
        <v>-1.4637382939828277E-12</v>
      </c>
      <c r="G20" s="548">
        <f t="shared" si="11"/>
        <v>-57.5</v>
      </c>
      <c r="H20" s="363">
        <f t="shared" si="12"/>
        <v>4.5776736929723346E-18</v>
      </c>
      <c r="I20" s="363">
        <f t="shared" si="13"/>
        <v>-1.7547749156393949E-17</v>
      </c>
      <c r="J20" s="364">
        <f t="shared" si="14"/>
        <v>4.6223772314195439E-13</v>
      </c>
      <c r="K20" s="194">
        <f t="shared" si="15"/>
        <v>4.5776736929723342E-16</v>
      </c>
      <c r="L20" s="646">
        <f t="shared" si="16"/>
        <v>4.6223314546826139E-11</v>
      </c>
      <c r="M20" s="365">
        <f t="shared" si="17"/>
        <v>4.6223772314195433E-11</v>
      </c>
      <c r="N20" s="194">
        <f t="shared" si="18"/>
        <v>-1.7547749156393949E-15</v>
      </c>
      <c r="O20" s="422">
        <f t="shared" si="19"/>
        <v>-1.4637382939828277E-10</v>
      </c>
      <c r="P20" s="365">
        <f t="shared" si="20"/>
        <v>-1.4637558417319841E-10</v>
      </c>
      <c r="R20" s="193">
        <f t="shared" si="0"/>
        <v>-43.25</v>
      </c>
      <c r="S20" s="366">
        <f t="shared" si="1"/>
        <v>-3.1843217778303571E-8</v>
      </c>
      <c r="T20" s="193">
        <v>-23</v>
      </c>
      <c r="U20" s="366">
        <f t="shared" si="3"/>
        <v>-8.0150071677638743E-13</v>
      </c>
      <c r="V20" s="193">
        <f t="shared" si="2"/>
        <v>-43.25</v>
      </c>
      <c r="W20" s="366">
        <f t="shared" si="4"/>
        <v>-3.1844019279020349E-8</v>
      </c>
      <c r="X20" s="366"/>
      <c r="Y20" s="503"/>
      <c r="Z20" s="366"/>
      <c r="AA20" s="520">
        <f t="shared" si="21"/>
        <v>-2.1840129331144E-15</v>
      </c>
      <c r="AB20" s="496"/>
      <c r="AC20" s="521">
        <f t="shared" si="22"/>
        <v>-1.495166766196422E-10</v>
      </c>
      <c r="AD20" s="497"/>
      <c r="AE20" s="522">
        <f t="shared" si="23"/>
        <v>-1.4951886063257532E-10</v>
      </c>
      <c r="AG20" s="531">
        <f t="shared" si="24"/>
        <v>7.190166034944526E-18</v>
      </c>
      <c r="AH20" s="221" t="str">
        <f t="shared" si="25"/>
        <v>NO</v>
      </c>
      <c r="AI20" s="532">
        <f t="shared" si="26"/>
        <v>4.9223597241034462E-13</v>
      </c>
      <c r="AJ20" s="221" t="str">
        <f t="shared" si="5"/>
        <v>NO</v>
      </c>
      <c r="AK20" s="533">
        <f>IF('IN-OUT'!$F$35=0,AG20,IF('IN-OUT'!$F$26=0,'transversal subsidence profile'!AI20,'transversal subsidence profile'!AG20+'transversal subsidence profile'!AI20))</f>
        <v>4.9224316257637955E-13</v>
      </c>
      <c r="AL20" s="513">
        <f t="shared" si="6"/>
        <v>1000</v>
      </c>
    </row>
    <row r="21" spans="1:38">
      <c r="A21" s="542">
        <f t="shared" si="27"/>
        <v>-47.25</v>
      </c>
      <c r="B21" s="363">
        <f t="shared" si="7"/>
        <v>5.9945118081238562E-13</v>
      </c>
      <c r="C21" s="543">
        <f t="shared" si="8"/>
        <v>-1.8882712195590146E-12</v>
      </c>
      <c r="D21" s="542">
        <f t="shared" si="28"/>
        <v>-47.25</v>
      </c>
      <c r="E21" s="363">
        <f t="shared" si="9"/>
        <v>5.9945118081238562E-13</v>
      </c>
      <c r="F21" s="543">
        <f t="shared" si="10"/>
        <v>-1.8882712195590146E-12</v>
      </c>
      <c r="G21" s="548">
        <f t="shared" si="11"/>
        <v>-57.25</v>
      </c>
      <c r="H21" s="363">
        <f t="shared" si="12"/>
        <v>6.2714385152738317E-18</v>
      </c>
      <c r="I21" s="363">
        <f t="shared" si="13"/>
        <v>-2.3935990333295124E-17</v>
      </c>
      <c r="J21" s="364">
        <f t="shared" si="14"/>
        <v>5.9945745225090092E-13</v>
      </c>
      <c r="K21" s="194">
        <f t="shared" si="15"/>
        <v>6.2714385152738318E-16</v>
      </c>
      <c r="L21" s="646">
        <f t="shared" si="16"/>
        <v>5.9945118081238568E-11</v>
      </c>
      <c r="M21" s="365">
        <f t="shared" si="17"/>
        <v>5.9945745225090091E-11</v>
      </c>
      <c r="N21" s="194">
        <f t="shared" si="18"/>
        <v>-2.3935990333295123E-15</v>
      </c>
      <c r="O21" s="422">
        <f t="shared" si="19"/>
        <v>-1.8882712195590147E-10</v>
      </c>
      <c r="P21" s="365">
        <f t="shared" si="20"/>
        <v>-1.8882951555493479E-10</v>
      </c>
      <c r="R21" s="193">
        <f t="shared" si="0"/>
        <v>-43</v>
      </c>
      <c r="S21" s="366">
        <f t="shared" si="1"/>
        <v>-4.0344292348816811E-8</v>
      </c>
      <c r="T21" s="193">
        <v>-22</v>
      </c>
      <c r="U21" s="366">
        <f t="shared" si="3"/>
        <v>-1.0727503662088742E-12</v>
      </c>
      <c r="V21" s="193">
        <f t="shared" si="2"/>
        <v>-43</v>
      </c>
      <c r="W21" s="366">
        <f t="shared" si="4"/>
        <v>-4.0345365099183021E-8</v>
      </c>
      <c r="X21" s="366"/>
      <c r="Y21" s="503"/>
      <c r="Z21" s="366"/>
      <c r="AA21" s="520">
        <f t="shared" si="21"/>
        <v>-2.965785354383542E-15</v>
      </c>
      <c r="AB21" s="496"/>
      <c r="AC21" s="521">
        <f t="shared" si="22"/>
        <v>-1.9182437785996339E-10</v>
      </c>
      <c r="AD21" s="497"/>
      <c r="AE21" s="522">
        <f t="shared" si="23"/>
        <v>-1.9182734364531776E-10</v>
      </c>
      <c r="AG21" s="531">
        <f t="shared" si="24"/>
        <v>9.7639024012626905E-18</v>
      </c>
      <c r="AH21" s="221" t="str">
        <f t="shared" si="25"/>
        <v>NO</v>
      </c>
      <c r="AI21" s="532">
        <f t="shared" si="26"/>
        <v>6.3152058554720455E-13</v>
      </c>
      <c r="AJ21" s="221" t="str">
        <f t="shared" si="5"/>
        <v>NO</v>
      </c>
      <c r="AK21" s="533">
        <f>IF('IN-OUT'!$F$35=0,AG21,IF('IN-OUT'!$F$26=0,'transversal subsidence profile'!AI21,'transversal subsidence profile'!AG21+'transversal subsidence profile'!AI21))</f>
        <v>6.3153034944960585E-13</v>
      </c>
      <c r="AL21" s="513">
        <f t="shared" si="6"/>
        <v>1000</v>
      </c>
    </row>
    <row r="22" spans="1:38">
      <c r="A22" s="542">
        <f t="shared" si="27"/>
        <v>-47</v>
      </c>
      <c r="B22" s="363">
        <f t="shared" si="7"/>
        <v>7.7633794862141246E-13</v>
      </c>
      <c r="C22" s="543">
        <f t="shared" si="8"/>
        <v>-2.4325255723470922E-12</v>
      </c>
      <c r="D22" s="542">
        <f t="shared" si="28"/>
        <v>-47</v>
      </c>
      <c r="E22" s="363">
        <f t="shared" si="9"/>
        <v>7.7633794862141246E-13</v>
      </c>
      <c r="F22" s="543">
        <f t="shared" si="10"/>
        <v>-2.4325255723470922E-12</v>
      </c>
      <c r="G22" s="548">
        <f t="shared" si="11"/>
        <v>-57</v>
      </c>
      <c r="H22" s="363">
        <f t="shared" si="12"/>
        <v>8.5801279785697797E-18</v>
      </c>
      <c r="I22" s="363">
        <f t="shared" si="13"/>
        <v>-3.260448631856516E-17</v>
      </c>
      <c r="J22" s="364">
        <f t="shared" si="14"/>
        <v>7.7634652874939104E-13</v>
      </c>
      <c r="K22" s="194">
        <f t="shared" si="15"/>
        <v>8.58012797856978E-16</v>
      </c>
      <c r="L22" s="646">
        <f t="shared" si="16"/>
        <v>7.7633794862141246E-11</v>
      </c>
      <c r="M22" s="365">
        <f t="shared" si="17"/>
        <v>7.7634652874939105E-11</v>
      </c>
      <c r="N22" s="194">
        <f t="shared" si="18"/>
        <v>-3.2604486318565161E-15</v>
      </c>
      <c r="O22" s="422">
        <f t="shared" si="19"/>
        <v>-2.432525572347092E-10</v>
      </c>
      <c r="P22" s="365">
        <f t="shared" si="20"/>
        <v>-2.4325581768334104E-10</v>
      </c>
      <c r="R22" s="193">
        <f t="shared" si="0"/>
        <v>-42.75</v>
      </c>
      <c r="S22" s="366">
        <f t="shared" si="1"/>
        <v>-5.1044801272981392E-8</v>
      </c>
      <c r="T22" s="193">
        <v>-21</v>
      </c>
      <c r="U22" s="366">
        <f t="shared" si="3"/>
        <v>-1.4338300823240096E-12</v>
      </c>
      <c r="V22" s="193">
        <f t="shared" si="2"/>
        <v>-42.75</v>
      </c>
      <c r="W22" s="366">
        <f t="shared" si="4"/>
        <v>-5.1046235103063718E-8</v>
      </c>
      <c r="X22" s="366"/>
      <c r="Y22" s="503"/>
      <c r="Z22" s="366"/>
      <c r="AA22" s="520">
        <f t="shared" si="21"/>
        <v>-4.0217143076506086E-15</v>
      </c>
      <c r="AB22" s="496"/>
      <c r="AC22" s="521">
        <f t="shared" si="22"/>
        <v>-2.4575160577531036E-10</v>
      </c>
      <c r="AD22" s="497"/>
      <c r="AE22" s="522">
        <f t="shared" si="23"/>
        <v>-2.45755627489618E-10</v>
      </c>
      <c r="AG22" s="531">
        <f t="shared" si="24"/>
        <v>1.3240211712429986E-17</v>
      </c>
      <c r="AH22" s="221" t="str">
        <f t="shared" si="25"/>
        <v>NO</v>
      </c>
      <c r="AI22" s="532">
        <f t="shared" si="26"/>
        <v>8.0905878444546625E-13</v>
      </c>
      <c r="AJ22" s="221" t="str">
        <f t="shared" si="5"/>
        <v>NO</v>
      </c>
      <c r="AK22" s="533">
        <f>IF('IN-OUT'!$F$35=0,AG22,IF('IN-OUT'!$F$26=0,'transversal subsidence profile'!AI22,'transversal subsidence profile'!AG22+'transversal subsidence profile'!AI22))</f>
        <v>8.0907202465717863E-13</v>
      </c>
      <c r="AL22" s="513">
        <f t="shared" si="6"/>
        <v>1000</v>
      </c>
    </row>
    <row r="23" spans="1:38">
      <c r="A23" s="542">
        <f t="shared" si="27"/>
        <v>-46.75</v>
      </c>
      <c r="B23" s="363">
        <f t="shared" si="7"/>
        <v>1.0040424420050472E-12</v>
      </c>
      <c r="C23" s="543">
        <f t="shared" si="8"/>
        <v>-3.1292656109157306E-12</v>
      </c>
      <c r="D23" s="542">
        <f t="shared" si="28"/>
        <v>-46.75</v>
      </c>
      <c r="E23" s="363">
        <f t="shared" si="9"/>
        <v>1.0040424420050472E-12</v>
      </c>
      <c r="F23" s="543">
        <f t="shared" si="10"/>
        <v>-3.1292656109157306E-12</v>
      </c>
      <c r="G23" s="548">
        <f t="shared" si="11"/>
        <v>-56.75</v>
      </c>
      <c r="H23" s="363">
        <f t="shared" si="12"/>
        <v>1.1722618256169527E-17</v>
      </c>
      <c r="I23" s="363">
        <f t="shared" si="13"/>
        <v>-4.4350572402508049E-17</v>
      </c>
      <c r="J23" s="364">
        <f t="shared" si="14"/>
        <v>1.0040541646233033E-12</v>
      </c>
      <c r="K23" s="194">
        <f t="shared" si="15"/>
        <v>1.1722618256169526E-15</v>
      </c>
      <c r="L23" s="646">
        <f t="shared" si="16"/>
        <v>1.0040424420050472E-10</v>
      </c>
      <c r="M23" s="365">
        <f t="shared" si="17"/>
        <v>1.0040541646233034E-10</v>
      </c>
      <c r="N23" s="194">
        <f t="shared" si="18"/>
        <v>-4.4350572402508053E-15</v>
      </c>
      <c r="O23" s="422">
        <f t="shared" si="19"/>
        <v>-3.1292656109157308E-10</v>
      </c>
      <c r="P23" s="365">
        <f t="shared" si="20"/>
        <v>-3.1293099614881331E-10</v>
      </c>
      <c r="R23" s="193">
        <f t="shared" si="0"/>
        <v>-42.5</v>
      </c>
      <c r="S23" s="366">
        <f t="shared" si="1"/>
        <v>-6.4494873086965414E-8</v>
      </c>
      <c r="T23" s="193">
        <v>-20</v>
      </c>
      <c r="U23" s="366">
        <f t="shared" si="3"/>
        <v>-1.9138194507527106E-12</v>
      </c>
      <c r="V23" s="193">
        <f t="shared" si="2"/>
        <v>-42.5</v>
      </c>
      <c r="W23" s="366">
        <f t="shared" si="4"/>
        <v>-6.4496786906416167E-8</v>
      </c>
      <c r="X23" s="366"/>
      <c r="Y23" s="503"/>
      <c r="Z23" s="366"/>
      <c r="AA23" s="520">
        <f t="shared" si="21"/>
        <v>-5.4458985588789394E-15</v>
      </c>
      <c r="AB23" s="496"/>
      <c r="AC23" s="521">
        <f t="shared" si="22"/>
        <v>-3.1438878110885053E-10</v>
      </c>
      <c r="AD23" s="497"/>
      <c r="AE23" s="522">
        <f t="shared" si="23"/>
        <v>-3.143942270074094E-10</v>
      </c>
      <c r="AG23" s="531">
        <f t="shared" si="24"/>
        <v>1.7928884144457413E-17</v>
      </c>
      <c r="AH23" s="221" t="str">
        <f t="shared" si="25"/>
        <v>NO</v>
      </c>
      <c r="AI23" s="532">
        <f t="shared" si="26"/>
        <v>1.0350247937739936E-12</v>
      </c>
      <c r="AJ23" s="221" t="str">
        <f t="shared" si="5"/>
        <v>NO</v>
      </c>
      <c r="AK23" s="533">
        <f>IF('IN-OUT'!$F$35=0,AG23,IF('IN-OUT'!$F$26=0,'transversal subsidence profile'!AI23,'transversal subsidence profile'!AG23+'transversal subsidence profile'!AI23))</f>
        <v>1.0350427226581381E-12</v>
      </c>
      <c r="AL23" s="513">
        <f t="shared" si="6"/>
        <v>1000</v>
      </c>
    </row>
    <row r="24" spans="1:38">
      <c r="A24" s="542">
        <f t="shared" si="27"/>
        <v>-46.5</v>
      </c>
      <c r="B24" s="363">
        <f t="shared" si="7"/>
        <v>1.2967539719748486E-12</v>
      </c>
      <c r="C24" s="543">
        <f t="shared" si="8"/>
        <v>-4.0199373131220309E-12</v>
      </c>
      <c r="D24" s="542">
        <f t="shared" si="28"/>
        <v>-46.5</v>
      </c>
      <c r="E24" s="363">
        <f t="shared" si="9"/>
        <v>1.2967539719748486E-12</v>
      </c>
      <c r="F24" s="543">
        <f t="shared" si="10"/>
        <v>-4.0199373131220309E-12</v>
      </c>
      <c r="G24" s="548">
        <f t="shared" si="11"/>
        <v>-56.5</v>
      </c>
      <c r="H24" s="363">
        <f t="shared" si="12"/>
        <v>1.5994097507132357E-17</v>
      </c>
      <c r="I24" s="363">
        <f t="shared" si="13"/>
        <v>-6.0244433943531884E-17</v>
      </c>
      <c r="J24" s="364">
        <f t="shared" si="14"/>
        <v>1.2967699660723557E-12</v>
      </c>
      <c r="K24" s="194">
        <f t="shared" si="15"/>
        <v>1.5994097507132357E-15</v>
      </c>
      <c r="L24" s="646">
        <f t="shared" si="16"/>
        <v>1.2967539719748486E-10</v>
      </c>
      <c r="M24" s="365">
        <f t="shared" si="17"/>
        <v>1.2967699660723557E-10</v>
      </c>
      <c r="N24" s="194">
        <f t="shared" si="18"/>
        <v>-6.0244433943531884E-15</v>
      </c>
      <c r="O24" s="422">
        <f t="shared" si="19"/>
        <v>-4.0199373131220308E-10</v>
      </c>
      <c r="P24" s="365">
        <f t="shared" si="20"/>
        <v>-4.0199975575559744E-10</v>
      </c>
      <c r="R24" s="193">
        <f t="shared" si="0"/>
        <v>-42.25</v>
      </c>
      <c r="S24" s="366">
        <f t="shared" si="1"/>
        <v>-8.137727211577177E-8</v>
      </c>
      <c r="T24" s="193">
        <v>-19</v>
      </c>
      <c r="U24" s="366">
        <f t="shared" si="3"/>
        <v>-2.5509884979154206E-12</v>
      </c>
      <c r="V24" s="193">
        <f t="shared" si="2"/>
        <v>-42.25</v>
      </c>
      <c r="W24" s="366">
        <f t="shared" si="4"/>
        <v>-8.1379823104269688E-8</v>
      </c>
      <c r="X24" s="366"/>
      <c r="Y24" s="503"/>
      <c r="Z24" s="366"/>
      <c r="AA24" s="520">
        <f t="shared" si="21"/>
        <v>-7.364013051592071E-15</v>
      </c>
      <c r="AB24" s="496"/>
      <c r="AC24" s="521">
        <f t="shared" si="22"/>
        <v>-4.0162018078529666E-10</v>
      </c>
      <c r="AD24" s="497"/>
      <c r="AE24" s="522">
        <f t="shared" si="23"/>
        <v>-4.0162754479834827E-10</v>
      </c>
      <c r="AG24" s="531">
        <f t="shared" si="24"/>
        <v>2.4243664367381302E-17</v>
      </c>
      <c r="AH24" s="221" t="str">
        <f t="shared" si="25"/>
        <v>NO</v>
      </c>
      <c r="AI24" s="532">
        <f t="shared" si="26"/>
        <v>1.3222063564948039E-12</v>
      </c>
      <c r="AJ24" s="221" t="str">
        <f t="shared" si="5"/>
        <v>NO</v>
      </c>
      <c r="AK24" s="533">
        <f>IF('IN-OUT'!$F$35=0,AG24,IF('IN-OUT'!$F$26=0,'transversal subsidence profile'!AI24,'transversal subsidence profile'!AG24+'transversal subsidence profile'!AI24))</f>
        <v>1.3222306001591713E-12</v>
      </c>
      <c r="AL24" s="513">
        <f t="shared" si="6"/>
        <v>1000</v>
      </c>
    </row>
    <row r="25" spans="1:38">
      <c r="A25" s="542">
        <f t="shared" si="27"/>
        <v>-46.25</v>
      </c>
      <c r="B25" s="363">
        <f t="shared" si="7"/>
        <v>1.6725047601304845E-12</v>
      </c>
      <c r="C25" s="543">
        <f t="shared" si="8"/>
        <v>-5.1568896770689945E-12</v>
      </c>
      <c r="D25" s="542">
        <f t="shared" si="28"/>
        <v>-46.25</v>
      </c>
      <c r="E25" s="363">
        <f t="shared" si="9"/>
        <v>1.6725047601304845E-12</v>
      </c>
      <c r="F25" s="543">
        <f t="shared" si="10"/>
        <v>-5.1568896770689945E-12</v>
      </c>
      <c r="G25" s="548">
        <f t="shared" si="11"/>
        <v>-56.25</v>
      </c>
      <c r="H25" s="363">
        <f t="shared" si="12"/>
        <v>2.1792101654923529E-17</v>
      </c>
      <c r="I25" s="363">
        <f t="shared" si="13"/>
        <v>-8.1720381205963225E-17</v>
      </c>
      <c r="J25" s="364">
        <f t="shared" si="14"/>
        <v>1.6725265522321394E-12</v>
      </c>
      <c r="K25" s="194">
        <f t="shared" si="15"/>
        <v>2.1792101654923527E-15</v>
      </c>
      <c r="L25" s="646">
        <f t="shared" si="16"/>
        <v>1.6725047601304845E-10</v>
      </c>
      <c r="M25" s="365">
        <f t="shared" si="17"/>
        <v>1.6725265522321394E-10</v>
      </c>
      <c r="N25" s="194">
        <f t="shared" si="18"/>
        <v>-8.1720381205963225E-15</v>
      </c>
      <c r="O25" s="422">
        <f t="shared" si="19"/>
        <v>-5.1568896770689949E-10</v>
      </c>
      <c r="P25" s="365">
        <f t="shared" si="20"/>
        <v>-5.1569713974502009E-10</v>
      </c>
      <c r="R25" s="193">
        <f t="shared" si="0"/>
        <v>-42</v>
      </c>
      <c r="S25" s="366">
        <f t="shared" si="1"/>
        <v>-1.0253811341284479E-7</v>
      </c>
      <c r="T25" s="193">
        <v>-18</v>
      </c>
      <c r="U25" s="366">
        <f t="shared" si="3"/>
        <v>-3.3956294904634095E-12</v>
      </c>
      <c r="V25" s="193">
        <f t="shared" si="2"/>
        <v>-42</v>
      </c>
      <c r="W25" s="366">
        <f t="shared" si="4"/>
        <v>-1.0254150904233525E-7</v>
      </c>
      <c r="X25" s="366"/>
      <c r="Y25" s="503"/>
      <c r="Z25" s="366"/>
      <c r="AA25" s="520">
        <f t="shared" si="21"/>
        <v>-9.9436552736539939E-15</v>
      </c>
      <c r="AB25" s="496"/>
      <c r="AC25" s="521">
        <f t="shared" si="22"/>
        <v>-5.1232025098610612E-10</v>
      </c>
      <c r="AD25" s="497"/>
      <c r="AE25" s="522">
        <f t="shared" si="23"/>
        <v>-5.1233019464137974E-10</v>
      </c>
      <c r="AG25" s="531">
        <f t="shared" si="24"/>
        <v>3.2736313658120145E-17</v>
      </c>
      <c r="AH25" s="221" t="str">
        <f t="shared" si="25"/>
        <v>NO</v>
      </c>
      <c r="AI25" s="532">
        <f t="shared" si="26"/>
        <v>1.6866510320530242E-12</v>
      </c>
      <c r="AJ25" s="221" t="str">
        <f t="shared" si="5"/>
        <v>NO</v>
      </c>
      <c r="AK25" s="533">
        <f>IF('IN-OUT'!$F$35=0,AG25,IF('IN-OUT'!$F$26=0,'transversal subsidence profile'!AI25,'transversal subsidence profile'!AG25+'transversal subsidence profile'!AI25))</f>
        <v>1.6866837683666824E-12</v>
      </c>
      <c r="AL25" s="513">
        <f t="shared" si="6"/>
        <v>1000</v>
      </c>
    </row>
    <row r="26" spans="1:38">
      <c r="A26" s="542">
        <f t="shared" si="27"/>
        <v>-46</v>
      </c>
      <c r="B26" s="363">
        <f t="shared" si="7"/>
        <v>2.154177066404679E-12</v>
      </c>
      <c r="C26" s="543">
        <f t="shared" si="8"/>
        <v>-6.6061430036410141E-12</v>
      </c>
      <c r="D26" s="542">
        <f t="shared" si="28"/>
        <v>-46</v>
      </c>
      <c r="E26" s="363">
        <f t="shared" si="9"/>
        <v>2.154177066404679E-12</v>
      </c>
      <c r="F26" s="543">
        <f t="shared" si="10"/>
        <v>-6.6061430036410141E-12</v>
      </c>
      <c r="G26" s="548">
        <f t="shared" si="11"/>
        <v>-56</v>
      </c>
      <c r="H26" s="363">
        <f t="shared" si="12"/>
        <v>2.9651232681280518E-17</v>
      </c>
      <c r="I26" s="363">
        <f t="shared" si="13"/>
        <v>-1.1069793534344725E-16</v>
      </c>
      <c r="J26" s="364">
        <f t="shared" si="14"/>
        <v>2.1542067176373604E-12</v>
      </c>
      <c r="K26" s="194">
        <f t="shared" si="15"/>
        <v>2.9651232681280518E-15</v>
      </c>
      <c r="L26" s="646">
        <f t="shared" si="16"/>
        <v>2.154177066404679E-10</v>
      </c>
      <c r="M26" s="365">
        <f t="shared" si="17"/>
        <v>2.1542067176373604E-10</v>
      </c>
      <c r="N26" s="194">
        <f t="shared" si="18"/>
        <v>-1.1069793534344725E-14</v>
      </c>
      <c r="O26" s="422">
        <f t="shared" si="19"/>
        <v>-6.6061430036410142E-10</v>
      </c>
      <c r="P26" s="365">
        <f t="shared" si="20"/>
        <v>-6.6062537015763578E-10</v>
      </c>
      <c r="R26" s="193">
        <f t="shared" si="0"/>
        <v>-41.75</v>
      </c>
      <c r="S26" s="366">
        <f t="shared" si="1"/>
        <v>-1.2902437906145161E-7</v>
      </c>
      <c r="T26" s="193">
        <v>-17</v>
      </c>
      <c r="U26" s="366">
        <f t="shared" si="3"/>
        <v>-4.5137380633119172E-12</v>
      </c>
      <c r="V26" s="193">
        <f t="shared" si="2"/>
        <v>-41.75</v>
      </c>
      <c r="W26" s="366">
        <f t="shared" si="4"/>
        <v>-1.2902889279951492E-7</v>
      </c>
      <c r="X26" s="366"/>
      <c r="Y26" s="503"/>
      <c r="Z26" s="366"/>
      <c r="AA26" s="520">
        <f t="shared" si="21"/>
        <v>-1.3407997278383883E-14</v>
      </c>
      <c r="AB26" s="496"/>
      <c r="AC26" s="521">
        <f t="shared" si="22"/>
        <v>-6.5259646711282853E-10</v>
      </c>
      <c r="AD26" s="497"/>
      <c r="AE26" s="522">
        <f t="shared" si="23"/>
        <v>-6.5260987511010688E-10</v>
      </c>
      <c r="AG26" s="531">
        <f t="shared" si="24"/>
        <v>4.4141554825955176E-17</v>
      </c>
      <c r="AH26" s="221" t="str">
        <f t="shared" si="25"/>
        <v>NO</v>
      </c>
      <c r="AI26" s="532">
        <f t="shared" si="26"/>
        <v>2.1484657353508753E-12</v>
      </c>
      <c r="AJ26" s="221" t="str">
        <f t="shared" si="5"/>
        <v>NO</v>
      </c>
      <c r="AK26" s="533">
        <f>IF('IN-OUT'!$F$35=0,AG26,IF('IN-OUT'!$F$26=0,'transversal subsidence profile'!AI26,'transversal subsidence profile'!AG26+'transversal subsidence profile'!AI26))</f>
        <v>2.1485098769057014E-12</v>
      </c>
      <c r="AL26" s="513">
        <f t="shared" si="6"/>
        <v>1000</v>
      </c>
    </row>
    <row r="27" spans="1:38">
      <c r="A27" s="542">
        <f t="shared" si="27"/>
        <v>-45.75</v>
      </c>
      <c r="B27" s="363">
        <f t="shared" si="7"/>
        <v>2.7707650032449599E-12</v>
      </c>
      <c r="C27" s="543">
        <f t="shared" si="8"/>
        <v>-8.4508332598971273E-12</v>
      </c>
      <c r="D27" s="542">
        <f t="shared" si="28"/>
        <v>-45.75</v>
      </c>
      <c r="E27" s="363">
        <f t="shared" si="9"/>
        <v>2.7707650032449599E-12</v>
      </c>
      <c r="F27" s="543">
        <f t="shared" si="10"/>
        <v>-8.4508332598971273E-12</v>
      </c>
      <c r="G27" s="548">
        <f t="shared" si="11"/>
        <v>-55.75</v>
      </c>
      <c r="H27" s="363">
        <f t="shared" si="12"/>
        <v>4.0289386062717232E-17</v>
      </c>
      <c r="I27" s="363">
        <f t="shared" si="13"/>
        <v>-1.4974221819976571E-16</v>
      </c>
      <c r="J27" s="364">
        <f t="shared" si="14"/>
        <v>2.7708052926310228E-12</v>
      </c>
      <c r="K27" s="194">
        <f t="shared" si="15"/>
        <v>4.0289386062717233E-15</v>
      </c>
      <c r="L27" s="646">
        <f t="shared" si="16"/>
        <v>2.7707650032449598E-10</v>
      </c>
      <c r="M27" s="365">
        <f t="shared" si="17"/>
        <v>2.7708052926310224E-10</v>
      </c>
      <c r="N27" s="194">
        <f t="shared" si="18"/>
        <v>-1.4974221819976573E-14</v>
      </c>
      <c r="O27" s="422">
        <f t="shared" si="19"/>
        <v>-8.4508332598971268E-10</v>
      </c>
      <c r="P27" s="365">
        <f t="shared" si="20"/>
        <v>-8.4509830021153261E-10</v>
      </c>
      <c r="R27" s="193">
        <f t="shared" si="0"/>
        <v>-41.5</v>
      </c>
      <c r="S27" s="366">
        <f t="shared" si="1"/>
        <v>-1.6212966773844231E-7</v>
      </c>
      <c r="T27" s="193">
        <v>-16</v>
      </c>
      <c r="U27" s="366">
        <f t="shared" si="3"/>
        <v>-5.9917911770576781E-12</v>
      </c>
      <c r="V27" s="193">
        <f t="shared" si="2"/>
        <v>-41.5</v>
      </c>
      <c r="W27" s="366">
        <f t="shared" si="4"/>
        <v>-1.6213565952961936E-7</v>
      </c>
      <c r="X27" s="366"/>
      <c r="Y27" s="503"/>
      <c r="Z27" s="366"/>
      <c r="AA27" s="520">
        <f t="shared" si="21"/>
        <v>-1.805377153244759E-14</v>
      </c>
      <c r="AB27" s="496"/>
      <c r="AC27" s="521">
        <f t="shared" si="22"/>
        <v>-8.3008926846186461E-10</v>
      </c>
      <c r="AD27" s="497"/>
      <c r="AE27" s="522">
        <f t="shared" si="23"/>
        <v>-8.3010732223339706E-10</v>
      </c>
      <c r="AG27" s="531">
        <f t="shared" si="24"/>
        <v>5.9436284880485898E-17</v>
      </c>
      <c r="AH27" s="221" t="str">
        <f t="shared" si="25"/>
        <v>NO</v>
      </c>
      <c r="AI27" s="532">
        <f t="shared" si="26"/>
        <v>2.7328041760061386E-12</v>
      </c>
      <c r="AJ27" s="221" t="str">
        <f t="shared" si="5"/>
        <v>NO</v>
      </c>
      <c r="AK27" s="533">
        <f>IF('IN-OUT'!$F$35=0,AG27,IF('IN-OUT'!$F$26=0,'transversal subsidence profile'!AI27,'transversal subsidence profile'!AG27+'transversal subsidence profile'!AI27))</f>
        <v>2.7328636122910192E-12</v>
      </c>
      <c r="AL27" s="513">
        <f t="shared" si="6"/>
        <v>1000</v>
      </c>
    </row>
    <row r="28" spans="1:38">
      <c r="A28" s="542">
        <f t="shared" si="27"/>
        <v>-45.5</v>
      </c>
      <c r="B28" s="363">
        <f t="shared" si="7"/>
        <v>3.5589529700007312E-12</v>
      </c>
      <c r="C28" s="543">
        <f t="shared" si="8"/>
        <v>-1.0795490675668883E-11</v>
      </c>
      <c r="D28" s="542">
        <f t="shared" si="28"/>
        <v>-45.5</v>
      </c>
      <c r="E28" s="363">
        <f t="shared" si="9"/>
        <v>3.5589529700007312E-12</v>
      </c>
      <c r="F28" s="543">
        <f t="shared" si="10"/>
        <v>-1.0795490675668883E-11</v>
      </c>
      <c r="G28" s="548">
        <f t="shared" si="11"/>
        <v>-55.5</v>
      </c>
      <c r="H28" s="363">
        <f t="shared" si="12"/>
        <v>5.4669211021964431E-17</v>
      </c>
      <c r="I28" s="363">
        <f t="shared" si="13"/>
        <v>-2.0227608078126841E-16</v>
      </c>
      <c r="J28" s="364">
        <f t="shared" si="14"/>
        <v>3.559007639211753E-12</v>
      </c>
      <c r="K28" s="194">
        <f t="shared" si="15"/>
        <v>5.4669211021964435E-15</v>
      </c>
      <c r="L28" s="646">
        <f t="shared" si="16"/>
        <v>3.558952970000731E-10</v>
      </c>
      <c r="M28" s="365">
        <f t="shared" si="17"/>
        <v>3.5590076392117531E-10</v>
      </c>
      <c r="N28" s="194">
        <f t="shared" si="18"/>
        <v>-2.0227608078126841E-14</v>
      </c>
      <c r="O28" s="422">
        <f t="shared" si="19"/>
        <v>-1.0795490675668884E-9</v>
      </c>
      <c r="P28" s="365">
        <f t="shared" si="20"/>
        <v>-1.0795692951749666E-9</v>
      </c>
      <c r="R28" s="193">
        <f t="shared" si="0"/>
        <v>-41.25</v>
      </c>
      <c r="S28" s="366">
        <f t="shared" si="1"/>
        <v>-2.0344989387549568E-7</v>
      </c>
      <c r="T28" s="193">
        <v>-15</v>
      </c>
      <c r="U28" s="366">
        <f t="shared" si="3"/>
        <v>-7.9429393298589236E-12</v>
      </c>
      <c r="V28" s="193">
        <f t="shared" si="2"/>
        <v>-41.25</v>
      </c>
      <c r="W28" s="366">
        <f t="shared" si="4"/>
        <v>-2.0345783681482553E-7</v>
      </c>
      <c r="X28" s="366"/>
      <c r="Y28" s="503"/>
      <c r="Z28" s="366"/>
      <c r="AA28" s="520">
        <f t="shared" si="21"/>
        <v>-2.4274929503168567E-14</v>
      </c>
      <c r="AB28" s="496"/>
      <c r="AC28" s="521">
        <f t="shared" si="22"/>
        <v>-1.0543418515150771E-9</v>
      </c>
      <c r="AD28" s="497"/>
      <c r="AE28" s="522">
        <f t="shared" si="23"/>
        <v>-1.0543661264445803E-9</v>
      </c>
      <c r="AG28" s="531">
        <f t="shared" si="24"/>
        <v>7.9917463384917096E-17</v>
      </c>
      <c r="AH28" s="221" t="str">
        <f t="shared" si="25"/>
        <v>NO</v>
      </c>
      <c r="AI28" s="532">
        <f t="shared" si="26"/>
        <v>3.4710842848232987E-12</v>
      </c>
      <c r="AJ28" s="221" t="str">
        <f t="shared" si="5"/>
        <v>NO</v>
      </c>
      <c r="AK28" s="533">
        <f>IF('IN-OUT'!$F$35=0,AG28,IF('IN-OUT'!$F$26=0,'transversal subsidence profile'!AI28,'transversal subsidence profile'!AG28+'transversal subsidence profile'!AI28))</f>
        <v>3.4711642022866838E-12</v>
      </c>
      <c r="AL28" s="513">
        <f t="shared" si="6"/>
        <v>1000</v>
      </c>
    </row>
    <row r="29" spans="1:38">
      <c r="A29" s="542">
        <f t="shared" si="27"/>
        <v>-45.25</v>
      </c>
      <c r="B29" s="363">
        <f t="shared" si="7"/>
        <v>4.5650870618788978E-12</v>
      </c>
      <c r="C29" s="543">
        <f t="shared" si="8"/>
        <v>-1.3771345970001341E-11</v>
      </c>
      <c r="D29" s="542">
        <f t="shared" si="28"/>
        <v>-45.25</v>
      </c>
      <c r="E29" s="363">
        <f t="shared" si="9"/>
        <v>4.5650870618788978E-12</v>
      </c>
      <c r="F29" s="543">
        <f t="shared" si="10"/>
        <v>-1.3771345970001341E-11</v>
      </c>
      <c r="G29" s="548">
        <f t="shared" si="11"/>
        <v>-55.25</v>
      </c>
      <c r="H29" s="363">
        <f t="shared" si="12"/>
        <v>7.4079701364471093E-17</v>
      </c>
      <c r="I29" s="363">
        <f t="shared" si="13"/>
        <v>-2.7286023335913522E-16</v>
      </c>
      <c r="J29" s="364">
        <f t="shared" si="14"/>
        <v>4.565161141580262E-12</v>
      </c>
      <c r="K29" s="194">
        <f t="shared" si="15"/>
        <v>7.4079701364471089E-15</v>
      </c>
      <c r="L29" s="646">
        <f t="shared" si="16"/>
        <v>4.5650870618788981E-10</v>
      </c>
      <c r="M29" s="365">
        <f t="shared" si="17"/>
        <v>4.5651611415802625E-10</v>
      </c>
      <c r="N29" s="194">
        <f t="shared" si="18"/>
        <v>-2.728602333591352E-14</v>
      </c>
      <c r="O29" s="422">
        <f t="shared" si="19"/>
        <v>-1.3771345970001342E-9</v>
      </c>
      <c r="P29" s="365">
        <f t="shared" si="20"/>
        <v>-1.3771618830234702E-9</v>
      </c>
      <c r="R29" s="193">
        <f t="shared" si="0"/>
        <v>-41</v>
      </c>
      <c r="S29" s="366">
        <f t="shared" si="1"/>
        <v>-2.5495098992823882E-7</v>
      </c>
      <c r="T29" s="193">
        <v>-14</v>
      </c>
      <c r="U29" s="366">
        <f t="shared" si="3"/>
        <v>-1.0515019476744E-11</v>
      </c>
      <c r="V29" s="193">
        <f t="shared" si="2"/>
        <v>-41</v>
      </c>
      <c r="W29" s="366">
        <f t="shared" si="4"/>
        <v>-2.5496150494771558E-7</v>
      </c>
      <c r="X29" s="366"/>
      <c r="Y29" s="503"/>
      <c r="Z29" s="366"/>
      <c r="AA29" s="520">
        <f t="shared" si="21"/>
        <v>-3.2593713690420054E-14</v>
      </c>
      <c r="AB29" s="496"/>
      <c r="AC29" s="521">
        <f t="shared" si="22"/>
        <v>-1.337255315647964E-9</v>
      </c>
      <c r="AD29" s="497"/>
      <c r="AE29" s="522">
        <f t="shared" si="23"/>
        <v>-1.3372879093616544E-9</v>
      </c>
      <c r="AG29" s="531">
        <f t="shared" si="24"/>
        <v>1.0730440721125944E-16</v>
      </c>
      <c r="AH29" s="221" t="str">
        <f t="shared" si="25"/>
        <v>NO</v>
      </c>
      <c r="AI29" s="532">
        <f t="shared" si="26"/>
        <v>4.4024866358780695E-12</v>
      </c>
      <c r="AJ29" s="221" t="str">
        <f t="shared" si="5"/>
        <v>NO</v>
      </c>
      <c r="AK29" s="533">
        <f>IF('IN-OUT'!$F$35=0,AG29,IF('IN-OUT'!$F$26=0,'transversal subsidence profile'!AI29,'transversal subsidence profile'!AG29+'transversal subsidence profile'!AI29))</f>
        <v>4.4025939402852811E-12</v>
      </c>
      <c r="AL29" s="513">
        <f t="shared" si="6"/>
        <v>1000</v>
      </c>
    </row>
    <row r="30" spans="1:38">
      <c r="A30" s="542">
        <f t="shared" si="27"/>
        <v>-45</v>
      </c>
      <c r="B30" s="363">
        <f t="shared" si="7"/>
        <v>5.8476334256692369E-12</v>
      </c>
      <c r="C30" s="543">
        <f t="shared" si="8"/>
        <v>-1.7542900277007712E-11</v>
      </c>
      <c r="D30" s="542">
        <f t="shared" si="28"/>
        <v>-45</v>
      </c>
      <c r="E30" s="363">
        <f t="shared" si="9"/>
        <v>5.8476334256692369E-12</v>
      </c>
      <c r="F30" s="543">
        <f t="shared" si="10"/>
        <v>-1.7542900277007712E-11</v>
      </c>
      <c r="G30" s="548">
        <f t="shared" si="11"/>
        <v>-55</v>
      </c>
      <c r="H30" s="363">
        <f t="shared" si="12"/>
        <v>1.0024434893529742E-16</v>
      </c>
      <c r="I30" s="363">
        <f t="shared" si="13"/>
        <v>-3.6756261276275722E-16</v>
      </c>
      <c r="J30" s="364">
        <f t="shared" si="14"/>
        <v>5.8477336700181721E-12</v>
      </c>
      <c r="K30" s="194">
        <f t="shared" si="15"/>
        <v>1.0024434893529742E-14</v>
      </c>
      <c r="L30" s="646">
        <f t="shared" si="16"/>
        <v>5.8476334256692367E-10</v>
      </c>
      <c r="M30" s="365">
        <f t="shared" si="17"/>
        <v>5.8477336700181724E-10</v>
      </c>
      <c r="N30" s="194">
        <f t="shared" si="18"/>
        <v>-3.6756261276275722E-14</v>
      </c>
      <c r="O30" s="422">
        <f t="shared" si="19"/>
        <v>-1.7542900277007713E-9</v>
      </c>
      <c r="P30" s="365">
        <f t="shared" si="20"/>
        <v>-1.7543267839620477E-9</v>
      </c>
      <c r="R30" s="193">
        <f t="shared" si="0"/>
        <v>-40.75</v>
      </c>
      <c r="S30" s="366">
        <f t="shared" si="1"/>
        <v>-3.190510641621286E-7</v>
      </c>
      <c r="T30" s="193">
        <v>-13</v>
      </c>
      <c r="U30" s="366">
        <f t="shared" si="3"/>
        <v>-1.3900908272192861E-11</v>
      </c>
      <c r="V30" s="193">
        <f t="shared" si="2"/>
        <v>-40.75</v>
      </c>
      <c r="W30" s="366">
        <f t="shared" si="4"/>
        <v>-3.1906496507040078E-7</v>
      </c>
      <c r="X30" s="366"/>
      <c r="Y30" s="503"/>
      <c r="Z30" s="366"/>
      <c r="AA30" s="520">
        <f t="shared" si="21"/>
        <v>-4.3701402451710684E-14</v>
      </c>
      <c r="AB30" s="42"/>
      <c r="AC30" s="521">
        <f t="shared" si="22"/>
        <v>-1.6936479032864237E-9</v>
      </c>
      <c r="AD30" s="497"/>
      <c r="AE30" s="522">
        <f t="shared" si="23"/>
        <v>-1.6936916046888754E-9</v>
      </c>
      <c r="AG30" s="531">
        <f t="shared" si="24"/>
        <v>1.4387292988217509E-16</v>
      </c>
      <c r="AH30" s="221" t="str">
        <f t="shared" si="25"/>
        <v>NO</v>
      </c>
      <c r="AI30" s="532">
        <f t="shared" si="26"/>
        <v>5.575795566375056E-12</v>
      </c>
      <c r="AJ30" s="221" t="str">
        <f t="shared" si="5"/>
        <v>NO</v>
      </c>
      <c r="AK30" s="533">
        <f>IF('IN-OUT'!$F$35=0,AG30,IF('IN-OUT'!$F$26=0,'transversal subsidence profile'!AI30,'transversal subsidence profile'!AG30+'transversal subsidence profile'!AI30))</f>
        <v>5.5759394393049378E-12</v>
      </c>
      <c r="AL30" s="513">
        <f t="shared" si="6"/>
        <v>1000</v>
      </c>
    </row>
    <row r="31" spans="1:38">
      <c r="A31" s="542">
        <f t="shared" si="27"/>
        <v>-44.75</v>
      </c>
      <c r="B31" s="363">
        <f t="shared" si="7"/>
        <v>7.4802390195739709E-12</v>
      </c>
      <c r="C31" s="543">
        <f t="shared" si="8"/>
        <v>-2.2316046408395679E-11</v>
      </c>
      <c r="D31" s="542">
        <f t="shared" si="28"/>
        <v>-44.75</v>
      </c>
      <c r="E31" s="363">
        <f t="shared" si="9"/>
        <v>7.4802390195739709E-12</v>
      </c>
      <c r="F31" s="543">
        <f t="shared" si="10"/>
        <v>-2.2316046408395679E-11</v>
      </c>
      <c r="G31" s="548">
        <f t="shared" si="11"/>
        <v>-54.75</v>
      </c>
      <c r="H31" s="363">
        <f t="shared" si="12"/>
        <v>1.3546429344271551E-16</v>
      </c>
      <c r="I31" s="363">
        <f t="shared" si="13"/>
        <v>-4.9444467106591167E-16</v>
      </c>
      <c r="J31" s="364">
        <f t="shared" si="14"/>
        <v>7.4803744838674134E-12</v>
      </c>
      <c r="K31" s="194">
        <f t="shared" si="15"/>
        <v>1.3546429344271551E-14</v>
      </c>
      <c r="L31" s="646">
        <f t="shared" si="16"/>
        <v>7.4802390195739705E-10</v>
      </c>
      <c r="M31" s="365">
        <f t="shared" si="17"/>
        <v>7.4803744838674133E-10</v>
      </c>
      <c r="N31" s="194">
        <f t="shared" si="18"/>
        <v>-4.9444467106591169E-14</v>
      </c>
      <c r="O31" s="422">
        <f t="shared" si="19"/>
        <v>-2.2316046408395681E-9</v>
      </c>
      <c r="P31" s="365">
        <f t="shared" si="20"/>
        <v>-2.2316540853066745E-9</v>
      </c>
      <c r="R31" s="193">
        <f t="shared" si="0"/>
        <v>-40.5</v>
      </c>
      <c r="S31" s="366">
        <f t="shared" si="1"/>
        <v>-3.9871993733592119E-7</v>
      </c>
      <c r="T31" s="193">
        <v>-12</v>
      </c>
      <c r="U31" s="366">
        <f t="shared" si="3"/>
        <v>-1.8351878853633172E-11</v>
      </c>
      <c r="V31" s="193">
        <f t="shared" si="2"/>
        <v>-40.5</v>
      </c>
      <c r="W31" s="366">
        <f t="shared" si="4"/>
        <v>-3.9873828921477486E-7</v>
      </c>
      <c r="X31" s="366"/>
      <c r="Y31" s="503"/>
      <c r="Z31" s="366"/>
      <c r="AA31" s="520">
        <f t="shared" si="21"/>
        <v>-5.8511655307602546E-14</v>
      </c>
      <c r="AB31" s="496"/>
      <c r="AC31" s="521">
        <f t="shared" si="22"/>
        <v>-2.141940961873801E-9</v>
      </c>
      <c r="AD31" s="497"/>
      <c r="AE31" s="522">
        <f t="shared" si="23"/>
        <v>-2.1419994735291088E-9</v>
      </c>
      <c r="AG31" s="531">
        <f t="shared" si="24"/>
        <v>1.9263096397564625E-16</v>
      </c>
      <c r="AH31" s="221" t="str">
        <f t="shared" si="25"/>
        <v>NO</v>
      </c>
      <c r="AI31" s="532">
        <f t="shared" si="26"/>
        <v>7.0516574876503732E-12</v>
      </c>
      <c r="AJ31" s="221" t="str">
        <f t="shared" si="5"/>
        <v>NO</v>
      </c>
      <c r="AK31" s="533">
        <f>IF('IN-OUT'!$F$35=0,AG31,IF('IN-OUT'!$F$26=0,'transversal subsidence profile'!AI31,'transversal subsidence profile'!AG31+'transversal subsidence profile'!AI31))</f>
        <v>7.0518501186143492E-12</v>
      </c>
      <c r="AL31" s="513">
        <f t="shared" si="6"/>
        <v>1000</v>
      </c>
    </row>
    <row r="32" spans="1:38">
      <c r="A32" s="542">
        <f t="shared" si="27"/>
        <v>-44.5</v>
      </c>
      <c r="B32" s="363">
        <f t="shared" si="7"/>
        <v>9.555536388327201E-12</v>
      </c>
      <c r="C32" s="543">
        <f t="shared" si="8"/>
        <v>-2.8348091285370701E-11</v>
      </c>
      <c r="D32" s="542">
        <f t="shared" si="28"/>
        <v>-44.5</v>
      </c>
      <c r="E32" s="363">
        <f t="shared" si="9"/>
        <v>9.555536388327201E-12</v>
      </c>
      <c r="F32" s="543">
        <f t="shared" si="10"/>
        <v>-2.8348091285370701E-11</v>
      </c>
      <c r="G32" s="548">
        <f t="shared" si="11"/>
        <v>-54.5</v>
      </c>
      <c r="H32" s="363">
        <f t="shared" si="12"/>
        <v>1.8280750978345932E-16</v>
      </c>
      <c r="I32" s="363">
        <f t="shared" si="13"/>
        <v>-6.6420061887990223E-16</v>
      </c>
      <c r="J32" s="364">
        <f t="shared" si="14"/>
        <v>9.5557191958369837E-12</v>
      </c>
      <c r="K32" s="194">
        <f t="shared" si="15"/>
        <v>1.8280750978345932E-14</v>
      </c>
      <c r="L32" s="646">
        <f t="shared" si="16"/>
        <v>9.555536388327201E-10</v>
      </c>
      <c r="M32" s="365">
        <f t="shared" si="17"/>
        <v>9.5557191958369852E-10</v>
      </c>
      <c r="N32" s="194">
        <f t="shared" si="18"/>
        <v>-6.6420061887990218E-14</v>
      </c>
      <c r="O32" s="422">
        <f t="shared" si="19"/>
        <v>-2.83480912853707E-9</v>
      </c>
      <c r="P32" s="365">
        <f t="shared" si="20"/>
        <v>-2.8348755485989581E-9</v>
      </c>
      <c r="R32" s="193">
        <f t="shared" si="0"/>
        <v>-40.25</v>
      </c>
      <c r="S32" s="366">
        <f t="shared" si="1"/>
        <v>-4.9759953660370369E-7</v>
      </c>
      <c r="T32" s="193">
        <v>-11</v>
      </c>
      <c r="U32" s="366">
        <f t="shared" si="3"/>
        <v>-2.4194806308256398E-11</v>
      </c>
      <c r="V32" s="193">
        <f t="shared" si="2"/>
        <v>-40.25</v>
      </c>
      <c r="W32" s="366">
        <f t="shared" si="4"/>
        <v>-4.9762373141001192E-7</v>
      </c>
      <c r="X32" s="366"/>
      <c r="Y32" s="503"/>
      <c r="Z32" s="366"/>
      <c r="AA32" s="520">
        <f t="shared" si="21"/>
        <v>-7.8230246184883214E-14</v>
      </c>
      <c r="AB32" s="496"/>
      <c r="AC32" s="521">
        <f t="shared" si="22"/>
        <v>-2.7049988925529816E-9</v>
      </c>
      <c r="AD32" s="497"/>
      <c r="AE32" s="522">
        <f t="shared" si="23"/>
        <v>-2.7050771227991663E-9</v>
      </c>
      <c r="AG32" s="531">
        <f t="shared" si="24"/>
        <v>2.5754813558809285E-16</v>
      </c>
      <c r="AH32" s="221" t="str">
        <f t="shared" si="25"/>
        <v>NO</v>
      </c>
      <c r="AI32" s="532">
        <f t="shared" si="26"/>
        <v>8.9053461483225731E-12</v>
      </c>
      <c r="AJ32" s="221" t="str">
        <f t="shared" si="5"/>
        <v>NO</v>
      </c>
      <c r="AK32" s="533">
        <f>IF('IN-OUT'!$F$35=0,AG32,IF('IN-OUT'!$F$26=0,'transversal subsidence profile'!AI32,'transversal subsidence profile'!AG32+'transversal subsidence profile'!AI32))</f>
        <v>8.9056036964581613E-12</v>
      </c>
      <c r="AL32" s="513">
        <f t="shared" si="6"/>
        <v>1000</v>
      </c>
    </row>
    <row r="33" spans="1:38">
      <c r="A33" s="542">
        <f t="shared" si="27"/>
        <v>-44.25</v>
      </c>
      <c r="B33" s="363">
        <f t="shared" si="7"/>
        <v>1.2189865843876895E-11</v>
      </c>
      <c r="C33" s="543">
        <f t="shared" si="8"/>
        <v>-3.5960104239436837E-11</v>
      </c>
      <c r="D33" s="542">
        <f t="shared" si="28"/>
        <v>-44.25</v>
      </c>
      <c r="E33" s="363">
        <f t="shared" si="9"/>
        <v>1.2189865843876895E-11</v>
      </c>
      <c r="F33" s="543">
        <f t="shared" si="10"/>
        <v>-3.5960104239436837E-11</v>
      </c>
      <c r="G33" s="548">
        <f t="shared" si="11"/>
        <v>-54.25</v>
      </c>
      <c r="H33" s="363">
        <f t="shared" si="12"/>
        <v>2.4635846488359036E-16</v>
      </c>
      <c r="I33" s="363">
        <f t="shared" si="13"/>
        <v>-8.9099644799565189E-16</v>
      </c>
      <c r="J33" s="364">
        <f t="shared" si="14"/>
        <v>1.2190112202341778E-11</v>
      </c>
      <c r="K33" s="194">
        <f t="shared" si="15"/>
        <v>2.4635846488359035E-14</v>
      </c>
      <c r="L33" s="646">
        <f t="shared" si="16"/>
        <v>1.2189865843876894E-9</v>
      </c>
      <c r="M33" s="365">
        <f t="shared" si="17"/>
        <v>1.2190112202341777E-9</v>
      </c>
      <c r="N33" s="194">
        <f t="shared" si="18"/>
        <v>-8.9099644799565187E-14</v>
      </c>
      <c r="O33" s="422">
        <f t="shared" si="19"/>
        <v>-3.5960104239436837E-9</v>
      </c>
      <c r="P33" s="365">
        <f t="shared" si="20"/>
        <v>-3.5960995235884832E-9</v>
      </c>
      <c r="R33" s="193">
        <f t="shared" si="0"/>
        <v>-40</v>
      </c>
      <c r="S33" s="366">
        <f t="shared" si="1"/>
        <v>-6.2014927749717004E-7</v>
      </c>
      <c r="T33" s="193">
        <v>-10</v>
      </c>
      <c r="U33" s="366">
        <f t="shared" si="3"/>
        <v>-3.1854297055587743E-11</v>
      </c>
      <c r="V33" s="193">
        <f t="shared" si="2"/>
        <v>-40</v>
      </c>
      <c r="W33" s="366">
        <f t="shared" si="4"/>
        <v>-6.2018113179422559E-7</v>
      </c>
      <c r="X33" s="366"/>
      <c r="Y33" s="503"/>
      <c r="Z33" s="366"/>
      <c r="AA33" s="520">
        <f t="shared" si="21"/>
        <v>-1.0444607619573159E-13</v>
      </c>
      <c r="AB33" s="496"/>
      <c r="AC33" s="521">
        <f t="shared" si="22"/>
        <v>-3.4111558740067029E-9</v>
      </c>
      <c r="AD33" s="497"/>
      <c r="AE33" s="522">
        <f t="shared" si="23"/>
        <v>-3.4112603200828986E-9</v>
      </c>
      <c r="AG33" s="531">
        <f t="shared" si="24"/>
        <v>3.4385539488306697E-16</v>
      </c>
      <c r="AH33" s="221" t="str">
        <f t="shared" si="25"/>
        <v>NO</v>
      </c>
      <c r="AI33" s="532">
        <f t="shared" si="26"/>
        <v>1.1230142795083795E-11</v>
      </c>
      <c r="AJ33" s="221" t="str">
        <f t="shared" si="5"/>
        <v>NO</v>
      </c>
      <c r="AK33" s="533">
        <f>IF('IN-OUT'!$F$35=0,AG33,IF('IN-OUT'!$F$26=0,'transversal subsidence profile'!AI33,'transversal subsidence profile'!AG33+'transversal subsidence profile'!AI33))</f>
        <v>1.1230486650478679E-11</v>
      </c>
      <c r="AL33" s="513">
        <f t="shared" si="6"/>
        <v>1000</v>
      </c>
    </row>
    <row r="34" spans="1:38">
      <c r="A34" s="542">
        <f t="shared" si="27"/>
        <v>-44</v>
      </c>
      <c r="B34" s="363">
        <f t="shared" si="7"/>
        <v>1.5529126985413633E-11</v>
      </c>
      <c r="C34" s="543">
        <f t="shared" si="8"/>
        <v>-4.5552105823879982E-11</v>
      </c>
      <c r="D34" s="542">
        <f t="shared" si="28"/>
        <v>-44</v>
      </c>
      <c r="E34" s="363">
        <f t="shared" si="9"/>
        <v>1.5529126985413633E-11</v>
      </c>
      <c r="F34" s="543">
        <f t="shared" si="10"/>
        <v>-4.5552105823879982E-11</v>
      </c>
      <c r="G34" s="548">
        <f t="shared" si="11"/>
        <v>-54</v>
      </c>
      <c r="H34" s="363">
        <f t="shared" si="12"/>
        <v>3.3154707877399342E-16</v>
      </c>
      <c r="I34" s="363">
        <f t="shared" si="13"/>
        <v>-1.1935694835863763E-15</v>
      </c>
      <c r="J34" s="364">
        <f t="shared" si="14"/>
        <v>1.5529458532492408E-11</v>
      </c>
      <c r="K34" s="194">
        <f t="shared" si="15"/>
        <v>3.3154707877399341E-14</v>
      </c>
      <c r="L34" s="646">
        <f t="shared" si="16"/>
        <v>1.5529126985413634E-9</v>
      </c>
      <c r="M34" s="365">
        <f t="shared" si="17"/>
        <v>1.5529458532492407E-9</v>
      </c>
      <c r="N34" s="194">
        <f t="shared" si="18"/>
        <v>-1.1935694835863763E-13</v>
      </c>
      <c r="O34" s="422">
        <f t="shared" si="19"/>
        <v>-4.5552105823879982E-9</v>
      </c>
      <c r="P34" s="365">
        <f t="shared" si="20"/>
        <v>-4.5553299393363567E-9</v>
      </c>
      <c r="R34" s="193">
        <f t="shared" si="0"/>
        <v>-39.75</v>
      </c>
      <c r="S34" s="366">
        <f t="shared" si="1"/>
        <v>-7.7182133057216667E-7</v>
      </c>
      <c r="T34" s="193">
        <v>-9</v>
      </c>
      <c r="U34" s="366">
        <f t="shared" si="3"/>
        <v>-4.1881107898079569E-11</v>
      </c>
      <c r="V34" s="193">
        <f t="shared" si="2"/>
        <v>-39.75</v>
      </c>
      <c r="W34" s="366">
        <f t="shared" si="4"/>
        <v>-7.7186321168006468E-7</v>
      </c>
      <c r="X34" s="366"/>
      <c r="Y34" s="503"/>
      <c r="Z34" s="366"/>
      <c r="AA34" s="520">
        <f t="shared" si="21"/>
        <v>-1.3924977308507722E-13</v>
      </c>
      <c r="AB34" s="496"/>
      <c r="AC34" s="521">
        <f t="shared" si="22"/>
        <v>-4.2954687144746791E-9</v>
      </c>
      <c r="AD34" s="497"/>
      <c r="AE34" s="522">
        <f t="shared" si="23"/>
        <v>-4.2956079642477642E-9</v>
      </c>
      <c r="AG34" s="531">
        <f t="shared" si="24"/>
        <v>4.584354669467563E-16</v>
      </c>
      <c r="AH34" s="221" t="str">
        <f t="shared" si="25"/>
        <v>NO</v>
      </c>
      <c r="AI34" s="532">
        <f t="shared" si="26"/>
        <v>1.4141460788394004E-11</v>
      </c>
      <c r="AJ34" s="221" t="str">
        <f t="shared" si="5"/>
        <v>NO</v>
      </c>
      <c r="AK34" s="533">
        <f>IF('IN-OUT'!$F$35=0,AG34,IF('IN-OUT'!$F$26=0,'transversal subsidence profile'!AI34,'transversal subsidence profile'!AG34+'transversal subsidence profile'!AI34))</f>
        <v>1.4141919223860951E-11</v>
      </c>
      <c r="AL34" s="513">
        <f t="shared" si="6"/>
        <v>1000</v>
      </c>
    </row>
    <row r="35" spans="1:38">
      <c r="A35" s="542">
        <f t="shared" si="27"/>
        <v>-43.75</v>
      </c>
      <c r="B35" s="363">
        <f t="shared" si="7"/>
        <v>1.9756018154267637E-11</v>
      </c>
      <c r="C35" s="543">
        <f t="shared" si="8"/>
        <v>-5.7621719616613943E-11</v>
      </c>
      <c r="D35" s="542">
        <f t="shared" si="28"/>
        <v>-43.75</v>
      </c>
      <c r="E35" s="363">
        <f t="shared" si="9"/>
        <v>1.9756018154267637E-11</v>
      </c>
      <c r="F35" s="543">
        <f t="shared" si="10"/>
        <v>-5.7621719616613943E-11</v>
      </c>
      <c r="G35" s="548">
        <f t="shared" si="11"/>
        <v>-53.75</v>
      </c>
      <c r="H35" s="363">
        <f t="shared" si="12"/>
        <v>4.4558153186115959E-16</v>
      </c>
      <c r="I35" s="363">
        <f t="shared" si="13"/>
        <v>-1.5966671558358219E-15</v>
      </c>
      <c r="J35" s="364">
        <f t="shared" si="14"/>
        <v>1.9756463735799497E-11</v>
      </c>
      <c r="K35" s="194">
        <f t="shared" si="15"/>
        <v>4.4558153186115959E-14</v>
      </c>
      <c r="L35" s="646">
        <f t="shared" si="16"/>
        <v>1.9756018154267636E-9</v>
      </c>
      <c r="M35" s="365">
        <f t="shared" si="17"/>
        <v>1.9756463735799497E-9</v>
      </c>
      <c r="N35" s="194">
        <f t="shared" si="18"/>
        <v>-1.5966671558358219E-13</v>
      </c>
      <c r="O35" s="422">
        <f t="shared" si="19"/>
        <v>-5.7621719616613945E-9</v>
      </c>
      <c r="P35" s="365">
        <f t="shared" si="20"/>
        <v>-5.7623316283769781E-9</v>
      </c>
      <c r="R35" s="193">
        <f t="shared" si="0"/>
        <v>-39.5</v>
      </c>
      <c r="S35" s="366">
        <f t="shared" ref="S35:S66" si="29">-E52*1000</f>
        <v>-9.5927156596457989E-7</v>
      </c>
      <c r="T35" s="193">
        <v>-8</v>
      </c>
      <c r="U35" s="366">
        <f t="shared" ref="U35:U66" si="30">-H52*1000</f>
        <v>-5.4988586696494813E-11</v>
      </c>
      <c r="V35" s="193">
        <f t="shared" ref="V35:V66" si="31">+D52</f>
        <v>-39.5</v>
      </c>
      <c r="W35" s="366">
        <f t="shared" ref="W35:W66" si="32">-J52*1000</f>
        <v>-9.5932655455127641E-7</v>
      </c>
      <c r="X35" s="366"/>
      <c r="Y35" s="503"/>
      <c r="Z35" s="366"/>
      <c r="AA35" s="520">
        <f t="shared" si="21"/>
        <v>-1.8538799610018578E-13</v>
      </c>
      <c r="AB35" s="496"/>
      <c r="AC35" s="521">
        <f t="shared" si="22"/>
        <v>-5.4012429697300894E-9</v>
      </c>
      <c r="AD35" s="497"/>
      <c r="AE35" s="522">
        <f t="shared" si="23"/>
        <v>-5.4014283577261894E-9</v>
      </c>
      <c r="AG35" s="531">
        <f t="shared" si="24"/>
        <v>6.1033085135863635E-16</v>
      </c>
      <c r="AH35" s="221" t="str">
        <f t="shared" si="25"/>
        <v>NO</v>
      </c>
      <c r="AI35" s="532">
        <f t="shared" si="26"/>
        <v>1.7781869859193709E-11</v>
      </c>
      <c r="AJ35" s="221" t="str">
        <f t="shared" si="5"/>
        <v>NO</v>
      </c>
      <c r="AK35" s="533">
        <f>IF('IN-OUT'!$F$35=0,AG35,IF('IN-OUT'!$F$26=0,'transversal subsidence profile'!AI35,'transversal subsidence profile'!AG35+'transversal subsidence profile'!AI35))</f>
        <v>1.7782480190045068E-11</v>
      </c>
      <c r="AL35" s="513">
        <f t="shared" si="6"/>
        <v>1000</v>
      </c>
    </row>
    <row r="36" spans="1:38">
      <c r="A36" s="542">
        <f t="shared" si="27"/>
        <v>-43.5</v>
      </c>
      <c r="B36" s="363">
        <f t="shared" si="7"/>
        <v>2.5098978804501809E-11</v>
      </c>
      <c r="C36" s="543">
        <f t="shared" si="8"/>
        <v>-7.2787038533055244E-11</v>
      </c>
      <c r="D36" s="542">
        <f t="shared" si="28"/>
        <v>-43.5</v>
      </c>
      <c r="E36" s="363">
        <f t="shared" si="9"/>
        <v>2.5098978804501809E-11</v>
      </c>
      <c r="F36" s="543">
        <f t="shared" si="10"/>
        <v>-7.2787038533055244E-11</v>
      </c>
      <c r="G36" s="548">
        <f t="shared" si="11"/>
        <v>-53.5</v>
      </c>
      <c r="H36" s="363">
        <f t="shared" si="12"/>
        <v>5.9801684672084522E-16</v>
      </c>
      <c r="I36" s="363">
        <f t="shared" si="13"/>
        <v>-2.1329267533043477E-15</v>
      </c>
      <c r="J36" s="364">
        <f t="shared" si="14"/>
        <v>2.509957682134853E-11</v>
      </c>
      <c r="K36" s="194">
        <f t="shared" si="15"/>
        <v>5.980168467208452E-14</v>
      </c>
      <c r="L36" s="646">
        <f t="shared" si="16"/>
        <v>2.5098978804501809E-9</v>
      </c>
      <c r="M36" s="365">
        <f t="shared" si="17"/>
        <v>2.509957682134853E-9</v>
      </c>
      <c r="N36" s="194">
        <f t="shared" si="18"/>
        <v>-2.1329267533043477E-13</v>
      </c>
      <c r="O36" s="422">
        <f t="shared" si="19"/>
        <v>-7.2787038533055247E-9</v>
      </c>
      <c r="P36" s="365">
        <f t="shared" si="20"/>
        <v>-7.2789171459808554E-9</v>
      </c>
      <c r="R36" s="193">
        <f t="shared" si="0"/>
        <v>-39.25</v>
      </c>
      <c r="S36" s="366">
        <f t="shared" si="29"/>
        <v>-1.1906130168791525E-6</v>
      </c>
      <c r="T36" s="193">
        <v>-7</v>
      </c>
      <c r="U36" s="366">
        <f t="shared" si="30"/>
        <v>-7.2099327455318008E-11</v>
      </c>
      <c r="V36" s="193">
        <f t="shared" si="31"/>
        <v>-39.25</v>
      </c>
      <c r="W36" s="366">
        <f t="shared" si="32"/>
        <v>-1.1906851162066077E-6</v>
      </c>
      <c r="X36" s="366"/>
      <c r="Y36" s="503"/>
      <c r="Z36" s="366"/>
      <c r="AA36" s="520">
        <f t="shared" si="21"/>
        <v>-2.4646387957172683E-13</v>
      </c>
      <c r="AB36" s="496"/>
      <c r="AC36" s="521">
        <f t="shared" si="22"/>
        <v>-6.7818886761464562E-9</v>
      </c>
      <c r="AD36" s="497"/>
      <c r="AE36" s="522">
        <f t="shared" si="23"/>
        <v>-6.7821351400260282E-9</v>
      </c>
      <c r="AG36" s="531">
        <f t="shared" si="24"/>
        <v>8.1140371875465611E-16</v>
      </c>
      <c r="AH36" s="221" t="str">
        <f t="shared" si="25"/>
        <v>NO</v>
      </c>
      <c r="AI36" s="532">
        <f t="shared" si="26"/>
        <v>2.2327205518177631E-11</v>
      </c>
      <c r="AJ36" s="221" t="str">
        <f t="shared" si="5"/>
        <v>NO</v>
      </c>
      <c r="AK36" s="533">
        <f>IF('IN-OUT'!$F$35=0,AG36,IF('IN-OUT'!$F$26=0,'transversal subsidence profile'!AI36,'transversal subsidence profile'!AG36+'transversal subsidence profile'!AI36))</f>
        <v>2.2328016921896386E-11</v>
      </c>
      <c r="AL36" s="513">
        <f t="shared" si="6"/>
        <v>1000</v>
      </c>
    </row>
    <row r="37" spans="1:38">
      <c r="A37" s="542">
        <f t="shared" si="27"/>
        <v>-43.25</v>
      </c>
      <c r="B37" s="363">
        <f t="shared" si="7"/>
        <v>3.1843217778303569E-11</v>
      </c>
      <c r="C37" s="543">
        <f t="shared" si="8"/>
        <v>-9.1814611260775289E-11</v>
      </c>
      <c r="D37" s="542">
        <f t="shared" si="28"/>
        <v>-43.25</v>
      </c>
      <c r="E37" s="363">
        <f t="shared" si="9"/>
        <v>3.1843217778303569E-11</v>
      </c>
      <c r="F37" s="543">
        <f t="shared" si="10"/>
        <v>-9.1814611260775289E-11</v>
      </c>
      <c r="G37" s="548">
        <f t="shared" si="11"/>
        <v>-53.25</v>
      </c>
      <c r="H37" s="363">
        <f t="shared" si="12"/>
        <v>8.0150071677638743E-16</v>
      </c>
      <c r="I37" s="363">
        <f t="shared" si="13"/>
        <v>-2.8453275445561755E-15</v>
      </c>
      <c r="J37" s="364">
        <f t="shared" si="14"/>
        <v>3.1844019279020348E-11</v>
      </c>
      <c r="K37" s="194">
        <f t="shared" si="15"/>
        <v>8.0150071677638748E-14</v>
      </c>
      <c r="L37" s="646">
        <f t="shared" si="16"/>
        <v>3.184321777830357E-9</v>
      </c>
      <c r="M37" s="365">
        <f t="shared" si="17"/>
        <v>3.1844019279020346E-9</v>
      </c>
      <c r="N37" s="194">
        <f t="shared" si="18"/>
        <v>-2.8453275445561753E-13</v>
      </c>
      <c r="O37" s="422">
        <f t="shared" si="19"/>
        <v>-9.1814611260775283E-9</v>
      </c>
      <c r="P37" s="365">
        <f t="shared" si="20"/>
        <v>-9.1817456588319843E-9</v>
      </c>
      <c r="R37" s="193">
        <f t="shared" si="0"/>
        <v>-39</v>
      </c>
      <c r="S37" s="366">
        <f t="shared" si="29"/>
        <v>-1.4757199247926278E-6</v>
      </c>
      <c r="T37" s="193">
        <v>-6</v>
      </c>
      <c r="U37" s="366">
        <f t="shared" si="30"/>
        <v>-9.4404811525977149E-11</v>
      </c>
      <c r="V37" s="193">
        <f t="shared" si="31"/>
        <v>-39</v>
      </c>
      <c r="W37" s="366">
        <f t="shared" si="32"/>
        <v>-1.4758143296041538E-6</v>
      </c>
      <c r="X37" s="367"/>
      <c r="Y37" s="503"/>
      <c r="Z37" s="366"/>
      <c r="AA37" s="520">
        <f t="shared" si="21"/>
        <v>-3.2719700042887916E-13</v>
      </c>
      <c r="AB37" s="496"/>
      <c r="AC37" s="521">
        <f t="shared" si="22"/>
        <v>-8.503172922967208E-9</v>
      </c>
      <c r="AD37" s="497"/>
      <c r="AE37" s="522">
        <f t="shared" si="23"/>
        <v>-8.5035001199676361E-9</v>
      </c>
      <c r="AG37" s="531">
        <f t="shared" si="24"/>
        <v>1.0771917709592729E-15</v>
      </c>
      <c r="AH37" s="221" t="str">
        <f t="shared" si="25"/>
        <v>NO</v>
      </c>
      <c r="AI37" s="532">
        <f t="shared" si="26"/>
        <v>2.7993984931579285E-11</v>
      </c>
      <c r="AJ37" s="221" t="str">
        <f t="shared" si="5"/>
        <v>NO</v>
      </c>
      <c r="AK37" s="533">
        <f>IF('IN-OUT'!$F$35=0,AG37,IF('IN-OUT'!$F$26=0,'transversal subsidence profile'!AI37,'transversal subsidence profile'!AG37+'transversal subsidence profile'!AI37))</f>
        <v>2.7995062123350245E-11</v>
      </c>
      <c r="AL37" s="513">
        <f t="shared" si="6"/>
        <v>1000</v>
      </c>
    </row>
    <row r="38" spans="1:38">
      <c r="A38" s="542">
        <f t="shared" si="27"/>
        <v>-43</v>
      </c>
      <c r="B38" s="363">
        <f t="shared" si="7"/>
        <v>4.0344292348816813E-11</v>
      </c>
      <c r="C38" s="543">
        <f t="shared" si="8"/>
        <v>-1.1565363806660819E-10</v>
      </c>
      <c r="D38" s="542">
        <f t="shared" si="28"/>
        <v>-43</v>
      </c>
      <c r="E38" s="363">
        <f t="shared" si="9"/>
        <v>4.0344292348816813E-11</v>
      </c>
      <c r="F38" s="543">
        <f t="shared" si="10"/>
        <v>-1.1565363806660819E-10</v>
      </c>
      <c r="G38" s="548">
        <f t="shared" si="11"/>
        <v>-53</v>
      </c>
      <c r="H38" s="363">
        <f t="shared" si="12"/>
        <v>1.0727503662088742E-15</v>
      </c>
      <c r="I38" s="363">
        <f t="shared" si="13"/>
        <v>-3.7903846272713552E-15</v>
      </c>
      <c r="J38" s="364">
        <f t="shared" si="14"/>
        <v>4.0345365099183022E-11</v>
      </c>
      <c r="K38" s="194">
        <f t="shared" si="15"/>
        <v>1.0727503662088742E-13</v>
      </c>
      <c r="L38" s="646">
        <f t="shared" si="16"/>
        <v>4.0344292348816814E-9</v>
      </c>
      <c r="M38" s="365">
        <f t="shared" si="17"/>
        <v>4.0345365099183022E-9</v>
      </c>
      <c r="N38" s="194">
        <f t="shared" si="18"/>
        <v>-3.7903846272713554E-13</v>
      </c>
      <c r="O38" s="422">
        <f t="shared" si="19"/>
        <v>-1.1565363806660819E-8</v>
      </c>
      <c r="P38" s="365">
        <f t="shared" si="20"/>
        <v>-1.1565742845123546E-8</v>
      </c>
      <c r="R38" s="193">
        <f t="shared" si="0"/>
        <v>-38.75</v>
      </c>
      <c r="S38" s="366">
        <f t="shared" si="29"/>
        <v>-1.8265918507117786E-6</v>
      </c>
      <c r="T38" s="193">
        <v>-5</v>
      </c>
      <c r="U38" s="366">
        <f t="shared" si="30"/>
        <v>-1.2344153268288112E-10</v>
      </c>
      <c r="V38" s="193">
        <f t="shared" si="31"/>
        <v>-38.75</v>
      </c>
      <c r="W38" s="366">
        <f t="shared" si="32"/>
        <v>-1.8267152922444616E-6</v>
      </c>
      <c r="X38" s="366"/>
      <c r="Y38" s="503"/>
      <c r="Z38" s="366"/>
      <c r="AA38" s="520">
        <f t="shared" si="21"/>
        <v>-4.3376001318633173E-13</v>
      </c>
      <c r="AB38" s="496"/>
      <c r="AC38" s="521">
        <f t="shared" si="22"/>
        <v>-1.0645949297897659E-8</v>
      </c>
      <c r="AD38" s="497"/>
      <c r="AE38" s="522">
        <f t="shared" si="23"/>
        <v>-1.0646383057910846E-8</v>
      </c>
      <c r="AG38" s="531">
        <f t="shared" si="24"/>
        <v>1.4280165043171414E-15</v>
      </c>
      <c r="AH38" s="221" t="str">
        <f t="shared" si="25"/>
        <v>NO</v>
      </c>
      <c r="AI38" s="532">
        <f t="shared" si="26"/>
        <v>3.5048392750280358E-11</v>
      </c>
      <c r="AJ38" s="221" t="str">
        <f t="shared" si="5"/>
        <v>NO</v>
      </c>
      <c r="AK38" s="533">
        <f>IF('IN-OUT'!$F$35=0,AG38,IF('IN-OUT'!$F$26=0,'transversal subsidence profile'!AI38,'transversal subsidence profile'!AG38+'transversal subsidence profile'!AI38))</f>
        <v>3.5049820766784677E-11</v>
      </c>
      <c r="AL38" s="513">
        <f t="shared" si="6"/>
        <v>1000</v>
      </c>
    </row>
    <row r="39" spans="1:38">
      <c r="A39" s="542">
        <f t="shared" si="27"/>
        <v>-42.75</v>
      </c>
      <c r="B39" s="363">
        <f t="shared" si="7"/>
        <v>5.1044801272981394E-11</v>
      </c>
      <c r="C39" s="543">
        <f t="shared" si="8"/>
        <v>-1.4547768362799698E-10</v>
      </c>
      <c r="D39" s="542">
        <f t="shared" si="28"/>
        <v>-42.75</v>
      </c>
      <c r="E39" s="363">
        <f t="shared" si="9"/>
        <v>5.1044801272981394E-11</v>
      </c>
      <c r="F39" s="543">
        <f t="shared" si="10"/>
        <v>-1.4547768362799698E-10</v>
      </c>
      <c r="G39" s="548">
        <f t="shared" si="11"/>
        <v>-52.75</v>
      </c>
      <c r="H39" s="363">
        <f t="shared" si="12"/>
        <v>1.4338300823240095E-15</v>
      </c>
      <c r="I39" s="363">
        <f t="shared" si="13"/>
        <v>-5.0423024561727674E-15</v>
      </c>
      <c r="J39" s="364">
        <f t="shared" si="14"/>
        <v>5.1046235103063717E-11</v>
      </c>
      <c r="K39" s="194">
        <f t="shared" si="15"/>
        <v>1.4338300823240095E-13</v>
      </c>
      <c r="L39" s="646">
        <f t="shared" si="16"/>
        <v>5.1044801272981395E-9</v>
      </c>
      <c r="M39" s="365">
        <f t="shared" si="17"/>
        <v>5.1046235103063718E-9</v>
      </c>
      <c r="N39" s="194">
        <f t="shared" si="18"/>
        <v>-5.0423024561727673E-13</v>
      </c>
      <c r="O39" s="422">
        <f t="shared" si="19"/>
        <v>-1.4547768362799697E-8</v>
      </c>
      <c r="P39" s="365">
        <f t="shared" si="20"/>
        <v>-1.4548272593045315E-8</v>
      </c>
      <c r="R39" s="193">
        <f t="shared" si="0"/>
        <v>-38.5</v>
      </c>
      <c r="S39" s="366">
        <f t="shared" si="29"/>
        <v>-2.25778898726142E-6</v>
      </c>
      <c r="T39" s="193">
        <v>-4</v>
      </c>
      <c r="U39" s="366">
        <f t="shared" si="30"/>
        <v>-1.6118801284046961E-10</v>
      </c>
      <c r="V39" s="193">
        <f t="shared" si="31"/>
        <v>-38.5</v>
      </c>
      <c r="W39" s="366">
        <f t="shared" si="32"/>
        <v>-2.25795017527426E-6</v>
      </c>
      <c r="X39" s="366"/>
      <c r="Y39" s="503"/>
      <c r="Z39" s="366"/>
      <c r="AA39" s="520">
        <f t="shared" si="21"/>
        <v>-5.742138725663743E-13</v>
      </c>
      <c r="AB39" s="496"/>
      <c r="AC39" s="521">
        <f t="shared" si="22"/>
        <v>-1.3309459294881077E-8</v>
      </c>
      <c r="AD39" s="497"/>
      <c r="AE39" s="522">
        <f t="shared" si="23"/>
        <v>-1.3310033508753643E-8</v>
      </c>
      <c r="AG39" s="531">
        <f t="shared" si="24"/>
        <v>1.8904160413707795E-15</v>
      </c>
      <c r="AH39" s="221" t="str">
        <f t="shared" si="25"/>
        <v>NO</v>
      </c>
      <c r="AI39" s="532">
        <f t="shared" si="26"/>
        <v>4.381714994199531E-11</v>
      </c>
      <c r="AJ39" s="221" t="str">
        <f t="shared" si="5"/>
        <v>NO</v>
      </c>
      <c r="AK39" s="533">
        <f>IF('IN-OUT'!$F$35=0,AG39,IF('IN-OUT'!$F$26=0,'transversal subsidence profile'!AI39,'transversal subsidence profile'!AG39+'transversal subsidence profile'!AI39))</f>
        <v>4.381904035803668E-11</v>
      </c>
      <c r="AL39" s="513">
        <f t="shared" si="6"/>
        <v>1000</v>
      </c>
    </row>
    <row r="40" spans="1:38">
      <c r="A40" s="542">
        <f t="shared" si="27"/>
        <v>-42.5</v>
      </c>
      <c r="B40" s="363">
        <f t="shared" si="7"/>
        <v>6.4494873086965418E-11</v>
      </c>
      <c r="C40" s="543">
        <f t="shared" si="8"/>
        <v>-1.82735473746402E-10</v>
      </c>
      <c r="D40" s="542">
        <f t="shared" si="28"/>
        <v>-42.5</v>
      </c>
      <c r="E40" s="363">
        <f t="shared" si="9"/>
        <v>6.4494873086965418E-11</v>
      </c>
      <c r="F40" s="543">
        <f t="shared" si="10"/>
        <v>-1.82735473746402E-10</v>
      </c>
      <c r="G40" s="548">
        <f t="shared" si="11"/>
        <v>-52.5</v>
      </c>
      <c r="H40" s="363">
        <f t="shared" si="12"/>
        <v>1.9138194507527107E-15</v>
      </c>
      <c r="I40" s="363">
        <f t="shared" si="13"/>
        <v>-6.6983680776344881E-15</v>
      </c>
      <c r="J40" s="364">
        <f t="shared" si="14"/>
        <v>6.4496786906416169E-11</v>
      </c>
      <c r="K40" s="194">
        <f t="shared" si="15"/>
        <v>1.9138194507527107E-13</v>
      </c>
      <c r="L40" s="646">
        <f t="shared" si="16"/>
        <v>6.4494873086965421E-9</v>
      </c>
      <c r="M40" s="365">
        <f t="shared" si="17"/>
        <v>6.4496786906416177E-9</v>
      </c>
      <c r="N40" s="194">
        <f t="shared" si="18"/>
        <v>-6.6983680776344878E-13</v>
      </c>
      <c r="O40" s="422">
        <f t="shared" si="19"/>
        <v>-1.8273547374640201E-8</v>
      </c>
      <c r="P40" s="365">
        <f t="shared" si="20"/>
        <v>-1.8274217211447963E-8</v>
      </c>
      <c r="R40" s="193">
        <f t="shared" si="0"/>
        <v>-38.25</v>
      </c>
      <c r="S40" s="366">
        <f t="shared" si="29"/>
        <v>-2.7869517183142705E-6</v>
      </c>
      <c r="T40" s="193">
        <v>-3</v>
      </c>
      <c r="U40" s="366">
        <f t="shared" si="30"/>
        <v>-2.1018825132510579E-10</v>
      </c>
      <c r="V40" s="193">
        <f t="shared" si="31"/>
        <v>-38.25</v>
      </c>
      <c r="W40" s="366">
        <f t="shared" si="32"/>
        <v>-2.7871619065655955E-6</v>
      </c>
      <c r="X40" s="366"/>
      <c r="Y40" s="503"/>
      <c r="Z40" s="366"/>
      <c r="AA40" s="520">
        <f t="shared" si="21"/>
        <v>-7.5906962412982003E-13</v>
      </c>
      <c r="AB40" s="42"/>
      <c r="AC40" s="521">
        <f t="shared" si="22"/>
        <v>-1.6615318424626453E-8</v>
      </c>
      <c r="AD40" s="497"/>
      <c r="AE40" s="522">
        <f t="shared" si="23"/>
        <v>-1.6616077494250583E-8</v>
      </c>
      <c r="AG40" s="531">
        <f t="shared" si="24"/>
        <v>2.4989946473409711E-15</v>
      </c>
      <c r="AH40" s="221" t="str">
        <f t="shared" si="25"/>
        <v>NO</v>
      </c>
      <c r="AI40" s="532">
        <f t="shared" si="26"/>
        <v>5.4700636788893667E-11</v>
      </c>
      <c r="AJ40" s="221" t="str">
        <f t="shared" si="5"/>
        <v>NO</v>
      </c>
      <c r="AK40" s="533">
        <f>IF('IN-OUT'!$F$35=0,AG40,IF('IN-OUT'!$F$26=0,'transversal subsidence profile'!AI40,'transversal subsidence profile'!AG40+'transversal subsidence profile'!AI40))</f>
        <v>5.4703135783541009E-11</v>
      </c>
      <c r="AL40" s="513">
        <f t="shared" si="6"/>
        <v>1000</v>
      </c>
    </row>
    <row r="41" spans="1:38">
      <c r="A41" s="542">
        <f t="shared" si="27"/>
        <v>-42.25</v>
      </c>
      <c r="B41" s="363">
        <f t="shared" si="7"/>
        <v>8.1377272115771769E-11</v>
      </c>
      <c r="C41" s="543">
        <f t="shared" si="8"/>
        <v>-2.2921264979275718E-10</v>
      </c>
      <c r="D41" s="542">
        <f t="shared" si="28"/>
        <v>-42.25</v>
      </c>
      <c r="E41" s="363">
        <f t="shared" si="9"/>
        <v>8.1377272115771769E-11</v>
      </c>
      <c r="F41" s="543">
        <f t="shared" si="10"/>
        <v>-2.2921264979275718E-10</v>
      </c>
      <c r="G41" s="548">
        <f t="shared" si="11"/>
        <v>-52.25</v>
      </c>
      <c r="H41" s="363">
        <f t="shared" si="12"/>
        <v>2.5509884979154204E-15</v>
      </c>
      <c r="I41" s="363">
        <f t="shared" si="13"/>
        <v>-8.8859432677387148E-15</v>
      </c>
      <c r="J41" s="364">
        <f t="shared" si="14"/>
        <v>8.1379823104269686E-11</v>
      </c>
      <c r="K41" s="194">
        <f t="shared" si="15"/>
        <v>2.5509884979154204E-13</v>
      </c>
      <c r="L41" s="646">
        <f t="shared" si="16"/>
        <v>8.1377272115771774E-9</v>
      </c>
      <c r="M41" s="365">
        <f t="shared" si="17"/>
        <v>8.1379823104269681E-9</v>
      </c>
      <c r="N41" s="194">
        <f t="shared" si="18"/>
        <v>-8.8859432677387148E-13</v>
      </c>
      <c r="O41" s="422">
        <f t="shared" si="19"/>
        <v>-2.2921264979275717E-8</v>
      </c>
      <c r="P41" s="365">
        <f t="shared" si="20"/>
        <v>-2.2922153573602491E-8</v>
      </c>
      <c r="R41" s="193">
        <f t="shared" si="0"/>
        <v>-38</v>
      </c>
      <c r="S41" s="366">
        <f t="shared" si="29"/>
        <v>-3.4354196828064234E-6</v>
      </c>
      <c r="T41" s="193">
        <v>-2</v>
      </c>
      <c r="U41" s="366">
        <f t="shared" si="30"/>
        <v>-2.7370856821612071E-10</v>
      </c>
      <c r="V41" s="193">
        <f t="shared" si="31"/>
        <v>-38</v>
      </c>
      <c r="W41" s="366">
        <f t="shared" si="32"/>
        <v>-3.4356933913746395E-6</v>
      </c>
      <c r="X41" s="366"/>
      <c r="Y41" s="503"/>
      <c r="Z41" s="366"/>
      <c r="AA41" s="520">
        <f t="shared" si="21"/>
        <v>-1.0020124184953191E-12</v>
      </c>
      <c r="AB41" s="496"/>
      <c r="AC41" s="521">
        <f t="shared" si="22"/>
        <v>-2.0712320416334336E-8</v>
      </c>
      <c r="AD41" s="497"/>
      <c r="AE41" s="522">
        <f t="shared" si="23"/>
        <v>-2.071332242875283E-8</v>
      </c>
      <c r="AG41" s="531">
        <f t="shared" si="24"/>
        <v>3.2988063160339717E-15</v>
      </c>
      <c r="AH41" s="221" t="str">
        <f t="shared" si="25"/>
        <v>NO</v>
      </c>
      <c r="AI41" s="532">
        <f t="shared" si="26"/>
        <v>6.8188709189578058E-11</v>
      </c>
      <c r="AJ41" s="221" t="str">
        <f t="shared" si="5"/>
        <v>NO</v>
      </c>
      <c r="AK41" s="533">
        <f>IF('IN-OUT'!$F$35=0,AG41,IF('IN-OUT'!$F$26=0,'transversal subsidence profile'!AI41,'transversal subsidence profile'!AG41+'transversal subsidence profile'!AI41))</f>
        <v>6.819200799589409E-11</v>
      </c>
      <c r="AL41" s="513">
        <f t="shared" si="6"/>
        <v>1000</v>
      </c>
    </row>
    <row r="42" spans="1:38">
      <c r="A42" s="542">
        <f t="shared" si="27"/>
        <v>-42</v>
      </c>
      <c r="B42" s="363">
        <f t="shared" si="7"/>
        <v>1.0253811341284479E-10</v>
      </c>
      <c r="C42" s="543">
        <f t="shared" si="8"/>
        <v>-2.8710671755596545E-10</v>
      </c>
      <c r="D42" s="542">
        <f t="shared" si="28"/>
        <v>-42</v>
      </c>
      <c r="E42" s="363">
        <f t="shared" si="9"/>
        <v>1.0253811341284479E-10</v>
      </c>
      <c r="F42" s="543">
        <f t="shared" si="10"/>
        <v>-2.8710671755596545E-10</v>
      </c>
      <c r="G42" s="548">
        <f t="shared" si="11"/>
        <v>-52</v>
      </c>
      <c r="H42" s="363">
        <f t="shared" si="12"/>
        <v>3.3956294904634096E-15</v>
      </c>
      <c r="I42" s="363">
        <f t="shared" si="13"/>
        <v>-1.1771515566939819E-14</v>
      </c>
      <c r="J42" s="364">
        <f t="shared" si="14"/>
        <v>1.0254150904233525E-10</v>
      </c>
      <c r="K42" s="194">
        <f t="shared" si="15"/>
        <v>3.3956294904634098E-13</v>
      </c>
      <c r="L42" s="646">
        <f t="shared" si="16"/>
        <v>1.0253811341284478E-8</v>
      </c>
      <c r="M42" s="365">
        <f t="shared" si="17"/>
        <v>1.0254150904233524E-8</v>
      </c>
      <c r="N42" s="194">
        <f t="shared" si="18"/>
        <v>-1.1771515566939819E-12</v>
      </c>
      <c r="O42" s="422">
        <f t="shared" si="19"/>
        <v>-2.8710671755596544E-8</v>
      </c>
      <c r="P42" s="365">
        <f t="shared" si="20"/>
        <v>-2.8711848907153239E-8</v>
      </c>
      <c r="R42" s="193">
        <f t="shared" si="0"/>
        <v>-37.75</v>
      </c>
      <c r="S42" s="366">
        <f t="shared" si="29"/>
        <v>-4.2289681479797785E-6</v>
      </c>
      <c r="T42" s="193">
        <v>-1</v>
      </c>
      <c r="U42" s="366">
        <f t="shared" si="30"/>
        <v>-3.5593656801199789E-10</v>
      </c>
      <c r="V42" s="193">
        <f t="shared" si="31"/>
        <v>-37.75</v>
      </c>
      <c r="W42" s="366">
        <f t="shared" si="32"/>
        <v>-4.2293240845477906E-6</v>
      </c>
      <c r="X42" s="366"/>
      <c r="Y42" s="503"/>
      <c r="Z42" s="366"/>
      <c r="AA42" s="520">
        <f t="shared" si="21"/>
        <v>-1.320833108156023E-12</v>
      </c>
      <c r="AB42" s="496"/>
      <c r="AC42" s="521">
        <f t="shared" si="22"/>
        <v>-2.5782216993929284E-8</v>
      </c>
      <c r="AD42" s="497"/>
      <c r="AE42" s="522">
        <f t="shared" si="23"/>
        <v>-2.578353782703744E-8</v>
      </c>
      <c r="AG42" s="531">
        <f t="shared" si="24"/>
        <v>4.3484217552461659E-15</v>
      </c>
      <c r="AH42" s="221" t="str">
        <f t="shared" si="25"/>
        <v>NO</v>
      </c>
      <c r="AI42" s="532">
        <f t="shared" si="26"/>
        <v>8.4879726728985296E-11</v>
      </c>
      <c r="AJ42" s="221" t="str">
        <f t="shared" si="5"/>
        <v>NO</v>
      </c>
      <c r="AK42" s="533">
        <f>IF('IN-OUT'!$F$35=0,AG42,IF('IN-OUT'!$F$26=0,'transversal subsidence profile'!AI42,'transversal subsidence profile'!AG42+'transversal subsidence profile'!AI42))</f>
        <v>8.4884075150740537E-11</v>
      </c>
      <c r="AL42" s="513">
        <f t="shared" si="6"/>
        <v>1000</v>
      </c>
    </row>
    <row r="43" spans="1:38">
      <c r="A43" s="542">
        <f t="shared" si="27"/>
        <v>-41.75</v>
      </c>
      <c r="B43" s="363">
        <f t="shared" si="7"/>
        <v>1.290243790614516E-10</v>
      </c>
      <c r="C43" s="543">
        <f t="shared" si="8"/>
        <v>-3.5911785505437364E-10</v>
      </c>
      <c r="D43" s="542">
        <f t="shared" si="28"/>
        <v>-41.75</v>
      </c>
      <c r="E43" s="363">
        <f t="shared" si="9"/>
        <v>1.290243790614516E-10</v>
      </c>
      <c r="F43" s="543">
        <f t="shared" si="10"/>
        <v>-3.5911785505437364E-10</v>
      </c>
      <c r="G43" s="548">
        <f t="shared" si="11"/>
        <v>-51.75</v>
      </c>
      <c r="H43" s="363">
        <f t="shared" si="12"/>
        <v>4.5137380633119168E-15</v>
      </c>
      <c r="I43" s="363">
        <f t="shared" si="13"/>
        <v>-1.557239631842611E-14</v>
      </c>
      <c r="J43" s="364">
        <f t="shared" si="14"/>
        <v>1.2902889279951491E-10</v>
      </c>
      <c r="K43" s="194">
        <f t="shared" si="15"/>
        <v>4.5137380633119169E-13</v>
      </c>
      <c r="L43" s="646">
        <f t="shared" si="16"/>
        <v>1.2902437906145159E-8</v>
      </c>
      <c r="M43" s="365">
        <f t="shared" si="17"/>
        <v>1.290288927995149E-8</v>
      </c>
      <c r="N43" s="194">
        <f t="shared" si="18"/>
        <v>-1.557239631842611E-12</v>
      </c>
      <c r="O43" s="422">
        <f t="shared" si="19"/>
        <v>-3.5911785505437363E-8</v>
      </c>
      <c r="P43" s="365">
        <f t="shared" si="20"/>
        <v>-3.5913342745069207E-8</v>
      </c>
      <c r="R43" s="193">
        <f t="shared" si="0"/>
        <v>-37.5</v>
      </c>
      <c r="S43" s="366">
        <f t="shared" si="29"/>
        <v>-5.1986824297207416E-6</v>
      </c>
      <c r="T43" s="193">
        <v>0</v>
      </c>
      <c r="U43" s="366">
        <f t="shared" si="30"/>
        <v>-4.6223314546826138E-10</v>
      </c>
      <c r="V43" s="193">
        <f t="shared" si="31"/>
        <v>-37.5</v>
      </c>
      <c r="W43" s="366">
        <f t="shared" si="32"/>
        <v>-5.1991446628662093E-6</v>
      </c>
      <c r="X43" s="366"/>
      <c r="Y43" s="503"/>
      <c r="Z43" s="366"/>
      <c r="AA43" s="520">
        <f t="shared" si="21"/>
        <v>-1.7386250317942198E-12</v>
      </c>
      <c r="AB43" s="496"/>
      <c r="AC43" s="521">
        <f t="shared" si="22"/>
        <v>-3.2046658759113176E-8</v>
      </c>
      <c r="AD43" s="497"/>
      <c r="AE43" s="522">
        <f t="shared" si="23"/>
        <v>-3.2048397384144974E-8</v>
      </c>
      <c r="AG43" s="531">
        <f t="shared" si="24"/>
        <v>5.7238684174295298E-15</v>
      </c>
      <c r="AH43" s="221" t="str">
        <f t="shared" si="25"/>
        <v>NO</v>
      </c>
      <c r="AI43" s="532">
        <f t="shared" si="26"/>
        <v>1.0550340332218329E-10</v>
      </c>
      <c r="AJ43" s="221" t="str">
        <f t="shared" si="5"/>
        <v>NO</v>
      </c>
      <c r="AK43" s="533">
        <f>IF('IN-OUT'!$F$35=0,AG43,IF('IN-OUT'!$F$26=0,'transversal subsidence profile'!AI43,'transversal subsidence profile'!AG43+'transversal subsidence profile'!AI43))</f>
        <v>1.0550912719060071E-10</v>
      </c>
      <c r="AL43" s="513">
        <f t="shared" si="6"/>
        <v>1000</v>
      </c>
    </row>
    <row r="44" spans="1:38">
      <c r="A44" s="542">
        <f t="shared" si="27"/>
        <v>-41.5</v>
      </c>
      <c r="B44" s="363">
        <f t="shared" si="7"/>
        <v>1.6212966773844231E-10</v>
      </c>
      <c r="C44" s="543">
        <f t="shared" si="8"/>
        <v>-4.4855874740969039E-10</v>
      </c>
      <c r="D44" s="542">
        <f t="shared" si="28"/>
        <v>-41.5</v>
      </c>
      <c r="E44" s="363">
        <f t="shared" si="9"/>
        <v>1.6212966773844231E-10</v>
      </c>
      <c r="F44" s="543">
        <f t="shared" si="10"/>
        <v>-4.4855874740969039E-10</v>
      </c>
      <c r="G44" s="548">
        <f t="shared" si="11"/>
        <v>-51.5</v>
      </c>
      <c r="H44" s="363">
        <f t="shared" si="12"/>
        <v>5.9917911770576783E-15</v>
      </c>
      <c r="I44" s="363">
        <f t="shared" si="13"/>
        <v>-2.0571816374564694E-14</v>
      </c>
      <c r="J44" s="364">
        <f t="shared" si="14"/>
        <v>1.6213565952961937E-10</v>
      </c>
      <c r="K44" s="194">
        <f t="shared" si="15"/>
        <v>5.9917911770576785E-13</v>
      </c>
      <c r="L44" s="646">
        <f t="shared" si="16"/>
        <v>1.6212966773844232E-8</v>
      </c>
      <c r="M44" s="365">
        <f t="shared" si="17"/>
        <v>1.6213565952961937E-8</v>
      </c>
      <c r="N44" s="194">
        <f t="shared" si="18"/>
        <v>-2.0571816374564693E-12</v>
      </c>
      <c r="O44" s="422">
        <f t="shared" si="19"/>
        <v>-4.4855874740969038E-8</v>
      </c>
      <c r="P44" s="365">
        <f t="shared" si="20"/>
        <v>-4.4857931922606496E-8</v>
      </c>
      <c r="R44" s="193">
        <f t="shared" si="0"/>
        <v>-37.25</v>
      </c>
      <c r="S44" s="366">
        <f t="shared" si="29"/>
        <v>-6.3819944638841812E-6</v>
      </c>
      <c r="T44" s="193">
        <v>1</v>
      </c>
      <c r="U44" s="366">
        <f t="shared" si="30"/>
        <v>-5.9945118081238557E-10</v>
      </c>
      <c r="V44" s="193">
        <f t="shared" si="31"/>
        <v>-37.25</v>
      </c>
      <c r="W44" s="366">
        <f t="shared" si="32"/>
        <v>-6.3825939150649943E-6</v>
      </c>
      <c r="X44" s="366"/>
      <c r="Y44" s="503"/>
      <c r="Z44" s="366"/>
      <c r="AA44" s="520">
        <f t="shared" si="21"/>
        <v>-2.2853190180296713E-12</v>
      </c>
      <c r="AB44" s="496"/>
      <c r="AC44" s="521">
        <f t="shared" si="22"/>
        <v>-3.9775515285040622E-8</v>
      </c>
      <c r="AD44" s="497"/>
      <c r="AE44" s="522">
        <f t="shared" si="23"/>
        <v>-3.9777800604058651E-8</v>
      </c>
      <c r="AG44" s="531">
        <f t="shared" si="24"/>
        <v>7.523684009974228E-15</v>
      </c>
      <c r="AH44" s="221" t="str">
        <f t="shared" si="25"/>
        <v>NO</v>
      </c>
      <c r="AI44" s="532">
        <f t="shared" si="26"/>
        <v>1.3094819846926952E-10</v>
      </c>
      <c r="AJ44" s="221" t="str">
        <f t="shared" si="5"/>
        <v>NO</v>
      </c>
      <c r="AK44" s="533">
        <f>IF('IN-OUT'!$F$35=0,AG44,IF('IN-OUT'!$F$26=0,'transversal subsidence profile'!AI44,'transversal subsidence profile'!AG44+'transversal subsidence profile'!AI44))</f>
        <v>1.3095572215327949E-10</v>
      </c>
      <c r="AL44" s="513">
        <f t="shared" si="6"/>
        <v>1000</v>
      </c>
    </row>
    <row r="45" spans="1:38">
      <c r="A45" s="542">
        <f t="shared" si="27"/>
        <v>-41.25</v>
      </c>
      <c r="B45" s="363">
        <f t="shared" si="7"/>
        <v>2.0344989387549568E-10</v>
      </c>
      <c r="C45" s="543">
        <f t="shared" si="8"/>
        <v>-5.5948720815761305E-10</v>
      </c>
      <c r="D45" s="542">
        <f t="shared" si="28"/>
        <v>-41.25</v>
      </c>
      <c r="E45" s="363">
        <f t="shared" si="9"/>
        <v>2.0344989387549568E-10</v>
      </c>
      <c r="F45" s="543">
        <f t="shared" si="10"/>
        <v>-5.5948720815761305E-10</v>
      </c>
      <c r="G45" s="548">
        <f t="shared" si="11"/>
        <v>-51.25</v>
      </c>
      <c r="H45" s="363">
        <f t="shared" si="12"/>
        <v>7.942939329858923E-15</v>
      </c>
      <c r="I45" s="363">
        <f t="shared" si="13"/>
        <v>-2.7138376043684653E-14</v>
      </c>
      <c r="J45" s="364">
        <f t="shared" si="14"/>
        <v>2.0345783681482554E-10</v>
      </c>
      <c r="K45" s="194">
        <f t="shared" si="15"/>
        <v>7.9429393298589232E-13</v>
      </c>
      <c r="L45" s="646">
        <f t="shared" si="16"/>
        <v>2.0344989387549566E-8</v>
      </c>
      <c r="M45" s="365">
        <f t="shared" si="17"/>
        <v>2.0345783681482551E-8</v>
      </c>
      <c r="N45" s="194">
        <f t="shared" si="18"/>
        <v>-2.7138376043684651E-12</v>
      </c>
      <c r="O45" s="422">
        <f t="shared" si="19"/>
        <v>-5.5948720815761308E-8</v>
      </c>
      <c r="P45" s="365">
        <f t="shared" si="20"/>
        <v>-5.5951434653365675E-8</v>
      </c>
      <c r="R45" s="193">
        <f t="shared" si="0"/>
        <v>-37</v>
      </c>
      <c r="S45" s="366">
        <f t="shared" si="29"/>
        <v>-7.8239094875549217E-6</v>
      </c>
      <c r="T45" s="193">
        <v>2</v>
      </c>
      <c r="U45" s="366">
        <f t="shared" si="30"/>
        <v>-7.7633794862141241E-10</v>
      </c>
      <c r="V45" s="193">
        <f t="shared" si="31"/>
        <v>-37</v>
      </c>
      <c r="W45" s="366">
        <f t="shared" si="32"/>
        <v>-7.8246858255035454E-6</v>
      </c>
      <c r="X45" s="366"/>
      <c r="Y45" s="503"/>
      <c r="Z45" s="366"/>
      <c r="AA45" s="520">
        <f t="shared" si="21"/>
        <v>-2.9996490403827526E-12</v>
      </c>
      <c r="AB45" s="496"/>
      <c r="AC45" s="521">
        <f t="shared" si="22"/>
        <v>-4.9296830252630389E-8</v>
      </c>
      <c r="AD45" s="497"/>
      <c r="AE45" s="522">
        <f t="shared" si="23"/>
        <v>-4.9299829901670774E-8</v>
      </c>
      <c r="AG45" s="531">
        <f t="shared" si="24"/>
        <v>9.8753877872683215E-15</v>
      </c>
      <c r="AH45" s="221" t="str">
        <f t="shared" si="25"/>
        <v>NO</v>
      </c>
      <c r="AI45" s="532">
        <f t="shared" si="26"/>
        <v>1.6229409136668441E-10</v>
      </c>
      <c r="AJ45" s="221" t="str">
        <f t="shared" si="5"/>
        <v>NO</v>
      </c>
      <c r="AK45" s="533">
        <f>IF('IN-OUT'!$F$35=0,AG45,IF('IN-OUT'!$F$26=0,'transversal subsidence profile'!AI45,'transversal subsidence profile'!AG45+'transversal subsidence profile'!AI45))</f>
        <v>1.6230396675447169E-10</v>
      </c>
      <c r="AL45" s="513">
        <f t="shared" si="6"/>
        <v>1000</v>
      </c>
    </row>
    <row r="46" spans="1:38">
      <c r="A46" s="542">
        <f t="shared" si="27"/>
        <v>-41</v>
      </c>
      <c r="B46" s="363">
        <f t="shared" si="7"/>
        <v>2.5495098992823882E-10</v>
      </c>
      <c r="C46" s="543">
        <f t="shared" si="8"/>
        <v>-6.9686603913718603E-10</v>
      </c>
      <c r="D46" s="542">
        <f t="shared" si="28"/>
        <v>-41</v>
      </c>
      <c r="E46" s="363">
        <f t="shared" si="9"/>
        <v>2.5495098992823882E-10</v>
      </c>
      <c r="F46" s="543">
        <f t="shared" si="10"/>
        <v>-6.9686603913718603E-10</v>
      </c>
      <c r="G46" s="548">
        <f t="shared" si="11"/>
        <v>-51</v>
      </c>
      <c r="H46" s="363">
        <f t="shared" si="12"/>
        <v>1.0515019476744E-14</v>
      </c>
      <c r="I46" s="363">
        <f t="shared" si="13"/>
        <v>-3.57510662209296E-14</v>
      </c>
      <c r="J46" s="364">
        <f t="shared" si="14"/>
        <v>2.5496150494771557E-10</v>
      </c>
      <c r="K46" s="194">
        <f t="shared" si="15"/>
        <v>1.0515019476743999E-12</v>
      </c>
      <c r="L46" s="646">
        <f t="shared" si="16"/>
        <v>2.5495098992823883E-8</v>
      </c>
      <c r="M46" s="365">
        <f t="shared" si="17"/>
        <v>2.5496150494771559E-8</v>
      </c>
      <c r="N46" s="194">
        <f t="shared" si="18"/>
        <v>-3.5751066220929599E-12</v>
      </c>
      <c r="O46" s="422">
        <f t="shared" si="19"/>
        <v>-6.9686603913718604E-8</v>
      </c>
      <c r="P46" s="365">
        <f t="shared" si="20"/>
        <v>-6.96901790203407E-8</v>
      </c>
      <c r="R46" s="193">
        <f t="shared" si="0"/>
        <v>-36.75</v>
      </c>
      <c r="S46" s="366">
        <f t="shared" si="29"/>
        <v>-9.578455193507838E-6</v>
      </c>
      <c r="T46" s="193">
        <v>3</v>
      </c>
      <c r="U46" s="366">
        <f t="shared" si="30"/>
        <v>-1.0040424420050472E-9</v>
      </c>
      <c r="V46" s="193">
        <f t="shared" si="31"/>
        <v>-36.75</v>
      </c>
      <c r="W46" s="366">
        <f t="shared" si="32"/>
        <v>-9.5794592359498415E-6</v>
      </c>
      <c r="X46" s="366"/>
      <c r="Y46" s="503"/>
      <c r="Z46" s="366"/>
      <c r="AA46" s="520">
        <f t="shared" si="21"/>
        <v>-3.9316653072302868E-12</v>
      </c>
      <c r="AB46" s="42"/>
      <c r="AC46" s="521">
        <f t="shared" si="22"/>
        <v>-6.1008711051232058E-8</v>
      </c>
      <c r="AD46" s="497"/>
      <c r="AE46" s="522">
        <f t="shared" si="23"/>
        <v>-6.1012642716539293E-8</v>
      </c>
      <c r="AG46" s="531">
        <f t="shared" si="24"/>
        <v>1.2943754097877487E-14</v>
      </c>
      <c r="AH46" s="221" t="str">
        <f t="shared" si="25"/>
        <v>NO</v>
      </c>
      <c r="AI46" s="532">
        <f t="shared" si="26"/>
        <v>2.0085172362545533E-10</v>
      </c>
      <c r="AJ46" s="221" t="str">
        <f t="shared" si="5"/>
        <v>NO</v>
      </c>
      <c r="AK46" s="533">
        <f>IF('IN-OUT'!$F$35=0,AG46,IF('IN-OUT'!$F$26=0,'transversal subsidence profile'!AI46,'transversal subsidence profile'!AG46+'transversal subsidence profile'!AI46))</f>
        <v>2.008646673795532E-10</v>
      </c>
      <c r="AL46" s="513">
        <f t="shared" si="6"/>
        <v>1000</v>
      </c>
    </row>
    <row r="47" spans="1:38">
      <c r="A47" s="542">
        <f t="shared" si="27"/>
        <v>-40.75</v>
      </c>
      <c r="B47" s="363">
        <f t="shared" si="7"/>
        <v>3.1905106416212858E-10</v>
      </c>
      <c r="C47" s="543">
        <f t="shared" si="8"/>
        <v>-8.6675539097378271E-10</v>
      </c>
      <c r="D47" s="542">
        <f t="shared" si="28"/>
        <v>-40.75</v>
      </c>
      <c r="E47" s="363">
        <f t="shared" si="9"/>
        <v>3.1905106416212858E-10</v>
      </c>
      <c r="F47" s="543">
        <f t="shared" si="10"/>
        <v>-8.6675539097378271E-10</v>
      </c>
      <c r="G47" s="548">
        <f t="shared" si="11"/>
        <v>-50.75</v>
      </c>
      <c r="H47" s="363">
        <f t="shared" si="12"/>
        <v>1.3900908272192861E-14</v>
      </c>
      <c r="I47" s="363">
        <f t="shared" si="13"/>
        <v>-4.7031406320919183E-14</v>
      </c>
      <c r="J47" s="364">
        <f t="shared" si="14"/>
        <v>3.190649650704008E-10</v>
      </c>
      <c r="K47" s="194">
        <f t="shared" si="15"/>
        <v>1.3900908272192861E-12</v>
      </c>
      <c r="L47" s="646">
        <f t="shared" si="16"/>
        <v>3.190510641621286E-8</v>
      </c>
      <c r="M47" s="365">
        <f t="shared" si="17"/>
        <v>3.1906496507040077E-8</v>
      </c>
      <c r="N47" s="194">
        <f t="shared" si="18"/>
        <v>-4.7031406320919187E-12</v>
      </c>
      <c r="O47" s="422">
        <f t="shared" si="19"/>
        <v>-8.6675539097378266E-8</v>
      </c>
      <c r="P47" s="365">
        <f t="shared" si="20"/>
        <v>-8.6680242238010352E-8</v>
      </c>
      <c r="R47" s="193">
        <f t="shared" si="0"/>
        <v>-36.5</v>
      </c>
      <c r="S47" s="366">
        <f t="shared" si="29"/>
        <v>-1.1710390740668723E-5</v>
      </c>
      <c r="T47" s="193">
        <v>4</v>
      </c>
      <c r="U47" s="366">
        <f t="shared" si="30"/>
        <v>-1.2967539719748486E-9</v>
      </c>
      <c r="V47" s="193">
        <f t="shared" si="31"/>
        <v>-36.5</v>
      </c>
      <c r="W47" s="366">
        <f t="shared" si="32"/>
        <v>-1.1711687494640698E-5</v>
      </c>
      <c r="X47" s="366"/>
      <c r="Y47" s="503"/>
      <c r="Z47" s="366"/>
      <c r="AA47" s="520">
        <f t="shared" si="21"/>
        <v>-5.145942083752784E-12</v>
      </c>
      <c r="AB47" s="496"/>
      <c r="AC47" s="521">
        <f t="shared" si="22"/>
        <v>-7.5393502496107925E-8</v>
      </c>
      <c r="AD47" s="497"/>
      <c r="AE47" s="522">
        <f t="shared" si="23"/>
        <v>-7.5398648438191683E-8</v>
      </c>
      <c r="AG47" s="531">
        <f t="shared" si="24"/>
        <v>1.6941373115235501E-14</v>
      </c>
      <c r="AH47" s="221" t="str">
        <f t="shared" si="25"/>
        <v>NO</v>
      </c>
      <c r="AI47" s="532">
        <f t="shared" si="26"/>
        <v>2.4820906171558165E-10</v>
      </c>
      <c r="AJ47" s="221" t="str">
        <f t="shared" si="5"/>
        <v>NO</v>
      </c>
      <c r="AK47" s="533">
        <f>IF('IN-OUT'!$F$35=0,AG47,IF('IN-OUT'!$F$26=0,'transversal subsidence profile'!AI47,'transversal subsidence profile'!AG47+'transversal subsidence profile'!AI47))</f>
        <v>2.482260030886969E-10</v>
      </c>
      <c r="AL47" s="513">
        <f t="shared" si="6"/>
        <v>1000</v>
      </c>
    </row>
    <row r="48" spans="1:38">
      <c r="A48" s="542">
        <f t="shared" si="27"/>
        <v>-40.5</v>
      </c>
      <c r="B48" s="363">
        <f t="shared" si="7"/>
        <v>3.987199373359212E-10</v>
      </c>
      <c r="C48" s="543">
        <f t="shared" si="8"/>
        <v>-1.0765438308069875E-9</v>
      </c>
      <c r="D48" s="542">
        <f t="shared" si="28"/>
        <v>-40.5</v>
      </c>
      <c r="E48" s="363">
        <f t="shared" si="9"/>
        <v>3.987199373359212E-10</v>
      </c>
      <c r="F48" s="543">
        <f t="shared" si="10"/>
        <v>-1.0765438308069875E-9</v>
      </c>
      <c r="G48" s="548">
        <f t="shared" si="11"/>
        <v>-50.5</v>
      </c>
      <c r="H48" s="363">
        <f t="shared" si="12"/>
        <v>1.8351878853633171E-14</v>
      </c>
      <c r="I48" s="363">
        <f t="shared" si="13"/>
        <v>-6.1784658807231681E-14</v>
      </c>
      <c r="J48" s="364">
        <f t="shared" si="14"/>
        <v>3.9873828921477486E-10</v>
      </c>
      <c r="K48" s="194">
        <f t="shared" si="15"/>
        <v>1.8351878853633173E-12</v>
      </c>
      <c r="L48" s="646">
        <f t="shared" si="16"/>
        <v>3.9871993733592123E-8</v>
      </c>
      <c r="M48" s="365">
        <f t="shared" si="17"/>
        <v>3.9873828921477484E-8</v>
      </c>
      <c r="N48" s="194">
        <f t="shared" si="18"/>
        <v>-6.1784658807231678E-12</v>
      </c>
      <c r="O48" s="422">
        <f t="shared" si="19"/>
        <v>-1.0765438308069874E-7</v>
      </c>
      <c r="P48" s="365">
        <f t="shared" si="20"/>
        <v>-1.0766056154657946E-7</v>
      </c>
      <c r="R48" s="193">
        <f t="shared" si="0"/>
        <v>-36.25</v>
      </c>
      <c r="S48" s="366">
        <f t="shared" si="29"/>
        <v>-1.4297218709898015E-5</v>
      </c>
      <c r="T48" s="193">
        <v>5</v>
      </c>
      <c r="U48" s="366">
        <f t="shared" si="30"/>
        <v>-1.6725047601304845E-9</v>
      </c>
      <c r="V48" s="193">
        <f t="shared" si="31"/>
        <v>-36.25</v>
      </c>
      <c r="W48" s="366">
        <f t="shared" si="32"/>
        <v>-1.4298891214658146E-5</v>
      </c>
      <c r="X48" s="366"/>
      <c r="Y48" s="503"/>
      <c r="Z48" s="366"/>
      <c r="AA48" s="520">
        <f t="shared" si="21"/>
        <v>-6.725665706989935E-12</v>
      </c>
      <c r="AB48" s="496"/>
      <c r="AC48" s="521">
        <f t="shared" si="22"/>
        <v>-9.303465204504829E-8</v>
      </c>
      <c r="AD48" s="497"/>
      <c r="AE48" s="522">
        <f t="shared" si="23"/>
        <v>-9.3041377710755282E-8</v>
      </c>
      <c r="AG48" s="531">
        <f t="shared" si="24"/>
        <v>2.2142109323423653E-14</v>
      </c>
      <c r="AH48" s="221" t="str">
        <f t="shared" si="25"/>
        <v>NO</v>
      </c>
      <c r="AI48" s="532">
        <f t="shared" si="26"/>
        <v>3.0628692031291619E-10</v>
      </c>
      <c r="AJ48" s="221" t="str">
        <f t="shared" si="5"/>
        <v>NO</v>
      </c>
      <c r="AK48" s="533">
        <f>IF('IN-OUT'!$F$35=0,AG48,IF('IN-OUT'!$F$26=0,'transversal subsidence profile'!AI48,'transversal subsidence profile'!AG48+'transversal subsidence profile'!AI48))</f>
        <v>3.0630906242223961E-10</v>
      </c>
      <c r="AL48" s="513">
        <f t="shared" si="6"/>
        <v>1000</v>
      </c>
    </row>
    <row r="49" spans="1:38">
      <c r="A49" s="542">
        <f t="shared" si="27"/>
        <v>-40.25</v>
      </c>
      <c r="B49" s="363">
        <f t="shared" si="7"/>
        <v>4.9759953660370367E-10</v>
      </c>
      <c r="C49" s="543">
        <f t="shared" si="8"/>
        <v>-1.3352254232199381E-9</v>
      </c>
      <c r="D49" s="542">
        <f t="shared" si="28"/>
        <v>-40.25</v>
      </c>
      <c r="E49" s="363">
        <f t="shared" si="9"/>
        <v>4.9759953660370367E-10</v>
      </c>
      <c r="F49" s="543">
        <f t="shared" si="10"/>
        <v>-1.3352254232199381E-9</v>
      </c>
      <c r="G49" s="548">
        <f t="shared" si="11"/>
        <v>-50.25</v>
      </c>
      <c r="H49" s="363">
        <f t="shared" si="12"/>
        <v>2.41948063082564E-14</v>
      </c>
      <c r="I49" s="363">
        <f t="shared" si="13"/>
        <v>-8.1052601132658937E-14</v>
      </c>
      <c r="J49" s="364">
        <f t="shared" si="14"/>
        <v>4.9762373141001192E-10</v>
      </c>
      <c r="K49" s="194">
        <f t="shared" si="15"/>
        <v>2.4194806308256401E-12</v>
      </c>
      <c r="L49" s="646">
        <f t="shared" si="16"/>
        <v>4.9759953660370369E-8</v>
      </c>
      <c r="M49" s="365">
        <f t="shared" si="17"/>
        <v>4.9762373141001196E-8</v>
      </c>
      <c r="N49" s="194">
        <f t="shared" si="18"/>
        <v>-8.1052601132658935E-12</v>
      </c>
      <c r="O49" s="422">
        <f t="shared" si="19"/>
        <v>-1.3352254232199381E-7</v>
      </c>
      <c r="P49" s="365">
        <f t="shared" si="20"/>
        <v>-1.3353064758210708E-7</v>
      </c>
      <c r="R49" s="193">
        <f t="shared" si="0"/>
        <v>-36</v>
      </c>
      <c r="S49" s="366">
        <f t="shared" si="29"/>
        <v>-1.7431549565540898E-5</v>
      </c>
      <c r="T49" s="193">
        <v>6</v>
      </c>
      <c r="U49" s="366">
        <f t="shared" si="30"/>
        <v>-2.154177066404679E-9</v>
      </c>
      <c r="V49" s="193">
        <f t="shared" si="31"/>
        <v>-36</v>
      </c>
      <c r="W49" s="366">
        <f t="shared" si="32"/>
        <v>-1.7433703742607304E-5</v>
      </c>
      <c r="X49" s="366"/>
      <c r="Y49" s="503"/>
      <c r="Z49" s="366"/>
      <c r="AA49" s="520">
        <f t="shared" si="21"/>
        <v>-8.7778359017937611E-12</v>
      </c>
      <c r="AB49" s="496"/>
      <c r="AC49" s="521">
        <f t="shared" si="22"/>
        <v>-1.1463674006511662E-7</v>
      </c>
      <c r="AD49" s="497"/>
      <c r="AE49" s="522">
        <f t="shared" si="23"/>
        <v>-1.1464551790101841E-7</v>
      </c>
      <c r="AG49" s="531">
        <f t="shared" si="24"/>
        <v>2.8898225191090573E-14</v>
      </c>
      <c r="AH49" s="221" t="str">
        <f t="shared" si="25"/>
        <v>NO</v>
      </c>
      <c r="AI49" s="532">
        <f t="shared" si="26"/>
        <v>3.7740490556416989E-10</v>
      </c>
      <c r="AJ49" s="221" t="str">
        <f t="shared" si="5"/>
        <v>NO</v>
      </c>
      <c r="AK49" s="533">
        <f>IF('IN-OUT'!$F$35=0,AG49,IF('IN-OUT'!$F$26=0,'transversal subsidence profile'!AI49,'transversal subsidence profile'!AG49+'transversal subsidence profile'!AI49))</f>
        <v>3.77433803789361E-10</v>
      </c>
      <c r="AL49" s="513">
        <f t="shared" si="6"/>
        <v>1000</v>
      </c>
    </row>
    <row r="50" spans="1:38">
      <c r="A50" s="542">
        <f t="shared" si="27"/>
        <v>-40</v>
      </c>
      <c r="B50" s="363">
        <f t="shared" si="7"/>
        <v>6.2014927749717002E-10</v>
      </c>
      <c r="C50" s="543">
        <f t="shared" si="8"/>
        <v>-1.65373140665912E-9</v>
      </c>
      <c r="D50" s="542">
        <f t="shared" si="28"/>
        <v>-40</v>
      </c>
      <c r="E50" s="363">
        <f t="shared" si="9"/>
        <v>6.2014927749717002E-10</v>
      </c>
      <c r="F50" s="543">
        <f t="shared" si="10"/>
        <v>-1.65373140665912E-9</v>
      </c>
      <c r="G50" s="548">
        <f t="shared" si="11"/>
        <v>-50</v>
      </c>
      <c r="H50" s="363">
        <f t="shared" si="12"/>
        <v>3.1854297055587741E-14</v>
      </c>
      <c r="I50" s="363">
        <f t="shared" si="13"/>
        <v>-1.0618099018529245E-13</v>
      </c>
      <c r="J50" s="364">
        <f t="shared" si="14"/>
        <v>6.2018113179422557E-10</v>
      </c>
      <c r="K50" s="194">
        <f t="shared" si="15"/>
        <v>3.185429705558774E-12</v>
      </c>
      <c r="L50" s="646">
        <f t="shared" si="16"/>
        <v>6.2014927749717004E-8</v>
      </c>
      <c r="M50" s="365">
        <f t="shared" si="17"/>
        <v>6.2018113179422562E-8</v>
      </c>
      <c r="N50" s="194">
        <f t="shared" si="18"/>
        <v>-1.0618099018529246E-11</v>
      </c>
      <c r="O50" s="422">
        <f t="shared" si="19"/>
        <v>-1.6537314066591201E-7</v>
      </c>
      <c r="P50" s="365">
        <f t="shared" si="20"/>
        <v>-1.6538375876493054E-7</v>
      </c>
      <c r="R50" s="193">
        <f t="shared" si="0"/>
        <v>-35.75</v>
      </c>
      <c r="S50" s="366">
        <f t="shared" si="29"/>
        <v>-2.1223875502448235E-5</v>
      </c>
      <c r="T50" s="193">
        <v>7</v>
      </c>
      <c r="U50" s="366">
        <f t="shared" si="30"/>
        <v>-2.7707650032449601E-9</v>
      </c>
      <c r="V50" s="193">
        <f t="shared" si="31"/>
        <v>-35.75</v>
      </c>
      <c r="W50" s="366">
        <f t="shared" si="32"/>
        <v>-2.1226646267451483E-5</v>
      </c>
      <c r="X50" s="366"/>
      <c r="Y50" s="503"/>
      <c r="Z50" s="366"/>
      <c r="AA50" s="520">
        <f t="shared" si="21"/>
        <v>-1.143987288221295E-11</v>
      </c>
      <c r="AB50" s="42"/>
      <c r="AC50" s="521">
        <f t="shared" si="22"/>
        <v>-1.4104922433134079E-7</v>
      </c>
      <c r="AD50" s="497"/>
      <c r="AE50" s="522">
        <f t="shared" si="23"/>
        <v>-1.41060664204223E-7</v>
      </c>
      <c r="AG50" s="531">
        <f t="shared" si="24"/>
        <v>3.7662132945557038E-14</v>
      </c>
      <c r="AH50" s="221" t="str">
        <f t="shared" si="25"/>
        <v>NO</v>
      </c>
      <c r="AI50" s="532">
        <f t="shared" si="26"/>
        <v>4.6435958627601905E-10</v>
      </c>
      <c r="AJ50" s="221" t="str">
        <f t="shared" si="5"/>
        <v>NO</v>
      </c>
      <c r="AK50" s="533">
        <f>IF('IN-OUT'!$F$35=0,AG50,IF('IN-OUT'!$F$26=0,'transversal subsidence profile'!AI50,'transversal subsidence profile'!AG50+'transversal subsidence profile'!AI50))</f>
        <v>4.6439724840896459E-10</v>
      </c>
      <c r="AL50" s="513">
        <f t="shared" si="6"/>
        <v>1000</v>
      </c>
    </row>
    <row r="51" spans="1:38">
      <c r="A51" s="542">
        <f t="shared" si="27"/>
        <v>-39.75</v>
      </c>
      <c r="B51" s="363">
        <f t="shared" si="7"/>
        <v>7.7182133057216668E-10</v>
      </c>
      <c r="C51" s="543">
        <f t="shared" si="8"/>
        <v>-2.0453265260162412E-9</v>
      </c>
      <c r="D51" s="542">
        <f t="shared" si="28"/>
        <v>-39.75</v>
      </c>
      <c r="E51" s="363">
        <f t="shared" si="9"/>
        <v>7.7182133057216668E-10</v>
      </c>
      <c r="F51" s="543">
        <f t="shared" si="10"/>
        <v>-2.0453265260162412E-9</v>
      </c>
      <c r="G51" s="548">
        <f t="shared" si="11"/>
        <v>-49.75</v>
      </c>
      <c r="H51" s="363">
        <f t="shared" si="12"/>
        <v>4.1881107898079572E-14</v>
      </c>
      <c r="I51" s="363">
        <f t="shared" si="13"/>
        <v>-1.3890567452863058E-13</v>
      </c>
      <c r="J51" s="364">
        <f t="shared" si="14"/>
        <v>7.7186321168006471E-10</v>
      </c>
      <c r="K51" s="194">
        <f t="shared" si="15"/>
        <v>4.1881107898079576E-12</v>
      </c>
      <c r="L51" s="646">
        <f t="shared" si="16"/>
        <v>7.7182133057216667E-8</v>
      </c>
      <c r="M51" s="365">
        <f t="shared" si="17"/>
        <v>7.7186321168006471E-8</v>
      </c>
      <c r="N51" s="194">
        <f t="shared" si="18"/>
        <v>-1.3890567452863057E-11</v>
      </c>
      <c r="O51" s="422">
        <f t="shared" si="19"/>
        <v>-2.0453265260162411E-7</v>
      </c>
      <c r="P51" s="365">
        <f t="shared" si="20"/>
        <v>-2.0454654316907698E-7</v>
      </c>
      <c r="R51" s="193">
        <f t="shared" si="0"/>
        <v>-35.5</v>
      </c>
      <c r="S51" s="366">
        <f t="shared" si="29"/>
        <v>-2.5805818814954856E-5</v>
      </c>
      <c r="T51" s="193">
        <v>8</v>
      </c>
      <c r="U51" s="366">
        <f t="shared" si="30"/>
        <v>-3.558952970000731E-9</v>
      </c>
      <c r="V51" s="193">
        <f t="shared" si="31"/>
        <v>-35.5</v>
      </c>
      <c r="W51" s="366">
        <f t="shared" si="32"/>
        <v>-2.5809377767924858E-5</v>
      </c>
      <c r="X51" s="366"/>
      <c r="Y51" s="503"/>
      <c r="Z51" s="366"/>
      <c r="AA51" s="520">
        <f t="shared" si="21"/>
        <v>-1.4887996581748047E-11</v>
      </c>
      <c r="AB51" s="496"/>
      <c r="AC51" s="521">
        <f t="shared" si="22"/>
        <v>-1.7329453413998934E-7</v>
      </c>
      <c r="AD51" s="497"/>
      <c r="AE51" s="522">
        <f t="shared" si="23"/>
        <v>-1.733094221365711E-7</v>
      </c>
      <c r="AG51" s="531">
        <f t="shared" si="24"/>
        <v>4.9013980516042948E-14</v>
      </c>
      <c r="AH51" s="221" t="str">
        <f t="shared" si="25"/>
        <v>NO</v>
      </c>
      <c r="AI51" s="532">
        <f t="shared" si="26"/>
        <v>5.7051698482301015E-10</v>
      </c>
      <c r="AJ51" s="221" t="str">
        <f t="shared" si="5"/>
        <v>NO</v>
      </c>
      <c r="AK51" s="533">
        <f>IF('IN-OUT'!$F$35=0,AG51,IF('IN-OUT'!$F$26=0,'transversal subsidence profile'!AI51,'transversal subsidence profile'!AG51+'transversal subsidence profile'!AI51))</f>
        <v>5.7056599880352615E-10</v>
      </c>
      <c r="AL51" s="513">
        <f t="shared" si="6"/>
        <v>1000</v>
      </c>
    </row>
    <row r="52" spans="1:38">
      <c r="A52" s="542">
        <f t="shared" si="27"/>
        <v>-39.5</v>
      </c>
      <c r="B52" s="363">
        <f t="shared" si="7"/>
        <v>9.5927156596457984E-10</v>
      </c>
      <c r="C52" s="543">
        <f t="shared" si="8"/>
        <v>-2.526081790373393E-9</v>
      </c>
      <c r="D52" s="542">
        <f t="shared" si="28"/>
        <v>-39.5</v>
      </c>
      <c r="E52" s="363">
        <f t="shared" si="9"/>
        <v>9.5927156596457984E-10</v>
      </c>
      <c r="F52" s="543">
        <f t="shared" si="10"/>
        <v>-2.526081790373393E-9</v>
      </c>
      <c r="G52" s="548">
        <f t="shared" si="11"/>
        <v>-49.5</v>
      </c>
      <c r="H52" s="363">
        <f t="shared" si="12"/>
        <v>5.4988586696494813E-14</v>
      </c>
      <c r="I52" s="363">
        <f t="shared" si="13"/>
        <v>-1.8146233609843288E-13</v>
      </c>
      <c r="J52" s="364">
        <f t="shared" si="14"/>
        <v>9.5932655455127633E-10</v>
      </c>
      <c r="K52" s="194">
        <f t="shared" si="15"/>
        <v>5.4988586696494815E-12</v>
      </c>
      <c r="L52" s="646">
        <f t="shared" si="16"/>
        <v>9.5927156596457989E-8</v>
      </c>
      <c r="M52" s="365">
        <f t="shared" si="17"/>
        <v>9.5932655455127633E-8</v>
      </c>
      <c r="N52" s="194">
        <f t="shared" si="18"/>
        <v>-1.8146233609843288E-11</v>
      </c>
      <c r="O52" s="422">
        <f t="shared" si="19"/>
        <v>-2.5260817903733927E-7</v>
      </c>
      <c r="P52" s="365">
        <f t="shared" si="20"/>
        <v>-2.5262632527094913E-7</v>
      </c>
      <c r="R52" s="193">
        <f t="shared" si="0"/>
        <v>-35.25</v>
      </c>
      <c r="S52" s="366">
        <f t="shared" si="29"/>
        <v>-3.1333929213649486E-5</v>
      </c>
      <c r="T52" s="193">
        <v>9</v>
      </c>
      <c r="U52" s="366">
        <f t="shared" si="30"/>
        <v>-4.5650870618788979E-9</v>
      </c>
      <c r="V52" s="193">
        <f t="shared" si="31"/>
        <v>-35.25</v>
      </c>
      <c r="W52" s="366">
        <f t="shared" si="32"/>
        <v>-3.1338494300711362E-5</v>
      </c>
      <c r="X52" s="366"/>
      <c r="Y52" s="503"/>
      <c r="Z52" s="366"/>
      <c r="AA52" s="520">
        <f t="shared" si="21"/>
        <v>-1.9347836059877806E-11</v>
      </c>
      <c r="AB52" s="496"/>
      <c r="AC52" s="521">
        <f t="shared" si="22"/>
        <v>-2.1260124738135883E-7</v>
      </c>
      <c r="AD52" s="497"/>
      <c r="AE52" s="522">
        <f t="shared" si="23"/>
        <v>-2.1262059521741871E-7</v>
      </c>
      <c r="AG52" s="531">
        <f t="shared" si="24"/>
        <v>6.3696579620996883E-14</v>
      </c>
      <c r="AH52" s="221" t="str">
        <f t="shared" si="25"/>
        <v>NO</v>
      </c>
      <c r="AI52" s="532">
        <f t="shared" si="26"/>
        <v>6.9992180207854756E-10</v>
      </c>
      <c r="AJ52" s="221" t="str">
        <f t="shared" si="5"/>
        <v>NO</v>
      </c>
      <c r="AK52" s="533">
        <f>IF('IN-OUT'!$F$35=0,AG52,IF('IN-OUT'!$F$26=0,'transversal subsidence profile'!AI52,'transversal subsidence profile'!AG52+'transversal subsidence profile'!AI52))</f>
        <v>6.9998549865816859E-10</v>
      </c>
      <c r="AL52" s="513">
        <f t="shared" si="6"/>
        <v>1000</v>
      </c>
    </row>
    <row r="53" spans="1:38">
      <c r="A53" s="542">
        <f t="shared" si="27"/>
        <v>-39.25</v>
      </c>
      <c r="B53" s="363">
        <f t="shared" si="7"/>
        <v>1.1906130168791525E-9</v>
      </c>
      <c r="C53" s="543">
        <f t="shared" si="8"/>
        <v>-3.1154373941671162E-9</v>
      </c>
      <c r="D53" s="542">
        <f t="shared" si="28"/>
        <v>-39.25</v>
      </c>
      <c r="E53" s="363">
        <f t="shared" si="9"/>
        <v>1.1906130168791525E-9</v>
      </c>
      <c r="F53" s="543">
        <f t="shared" si="10"/>
        <v>-3.1154373941671162E-9</v>
      </c>
      <c r="G53" s="548">
        <f t="shared" si="11"/>
        <v>-49.25</v>
      </c>
      <c r="H53" s="363">
        <f t="shared" si="12"/>
        <v>7.2099327455318011E-14</v>
      </c>
      <c r="I53" s="363">
        <f t="shared" si="13"/>
        <v>-2.367261251449608E-13</v>
      </c>
      <c r="J53" s="364">
        <f t="shared" si="14"/>
        <v>1.1906851162066077E-9</v>
      </c>
      <c r="K53" s="194">
        <f t="shared" si="15"/>
        <v>7.2099327455318015E-12</v>
      </c>
      <c r="L53" s="646">
        <f t="shared" si="16"/>
        <v>1.1906130168791524E-7</v>
      </c>
      <c r="M53" s="365">
        <f t="shared" si="17"/>
        <v>1.1906851162066078E-7</v>
      </c>
      <c r="N53" s="194">
        <f t="shared" si="18"/>
        <v>-2.3672612514496082E-11</v>
      </c>
      <c r="O53" s="422">
        <f t="shared" si="19"/>
        <v>-3.1154373941671163E-7</v>
      </c>
      <c r="P53" s="365">
        <f t="shared" si="20"/>
        <v>-3.1156741202922614E-7</v>
      </c>
      <c r="R53" s="193">
        <f t="shared" si="0"/>
        <v>-35</v>
      </c>
      <c r="S53" s="366">
        <f t="shared" si="29"/>
        <v>-3.7994114938062827E-5</v>
      </c>
      <c r="T53" s="193">
        <v>10</v>
      </c>
      <c r="U53" s="366">
        <f t="shared" si="30"/>
        <v>-5.8476334256692369E-9</v>
      </c>
      <c r="V53" s="193">
        <f t="shared" si="31"/>
        <v>-35</v>
      </c>
      <c r="W53" s="366">
        <f t="shared" si="32"/>
        <v>-3.7999962571488499E-5</v>
      </c>
      <c r="X53" s="366"/>
      <c r="Y53" s="503"/>
      <c r="Z53" s="366"/>
      <c r="AA53" s="520">
        <f t="shared" si="21"/>
        <v>-2.5107840781879379E-11</v>
      </c>
      <c r="AB53" s="496"/>
      <c r="AC53" s="521">
        <f t="shared" si="22"/>
        <v>-2.6044319491311688E-7</v>
      </c>
      <c r="AD53" s="497"/>
      <c r="AE53" s="522">
        <f t="shared" si="23"/>
        <v>-2.6046830275389875E-7</v>
      </c>
      <c r="AG53" s="531">
        <f t="shared" si="24"/>
        <v>8.2659558129644041E-14</v>
      </c>
      <c r="AH53" s="221" t="str">
        <f t="shared" si="25"/>
        <v>NO</v>
      </c>
      <c r="AI53" s="532">
        <f t="shared" si="26"/>
        <v>8.5742615609256584E-10</v>
      </c>
      <c r="AJ53" s="221" t="str">
        <f t="shared" si="5"/>
        <v>NO</v>
      </c>
      <c r="AK53" s="533">
        <f>IF('IN-OUT'!$F$35=0,AG53,IF('IN-OUT'!$F$26=0,'transversal subsidence profile'!AI53,'transversal subsidence profile'!AG53+'transversal subsidence profile'!AI53))</f>
        <v>8.5750881565069549E-10</v>
      </c>
      <c r="AL53" s="513">
        <f t="shared" si="6"/>
        <v>1000</v>
      </c>
    </row>
    <row r="54" spans="1:38">
      <c r="A54" s="542">
        <f t="shared" si="27"/>
        <v>-39</v>
      </c>
      <c r="B54" s="363">
        <f t="shared" si="7"/>
        <v>1.4757199247926278E-9</v>
      </c>
      <c r="C54" s="543">
        <f t="shared" si="8"/>
        <v>-3.8368718044608324E-9</v>
      </c>
      <c r="D54" s="542">
        <f t="shared" si="28"/>
        <v>-39</v>
      </c>
      <c r="E54" s="363">
        <f t="shared" si="9"/>
        <v>1.4757199247926278E-9</v>
      </c>
      <c r="F54" s="543">
        <f t="shared" si="10"/>
        <v>-3.8368718044608324E-9</v>
      </c>
      <c r="G54" s="548">
        <f t="shared" si="11"/>
        <v>-49</v>
      </c>
      <c r="H54" s="363">
        <f t="shared" si="12"/>
        <v>9.4404811525977154E-14</v>
      </c>
      <c r="I54" s="363">
        <f t="shared" si="13"/>
        <v>-3.083890509848587E-13</v>
      </c>
      <c r="J54" s="364">
        <f t="shared" si="14"/>
        <v>1.4758143296041537E-9</v>
      </c>
      <c r="K54" s="194">
        <f t="shared" si="15"/>
        <v>9.4404811525977155E-12</v>
      </c>
      <c r="L54" s="646">
        <f t="shared" si="16"/>
        <v>1.4757199247926277E-7</v>
      </c>
      <c r="M54" s="365">
        <f t="shared" si="17"/>
        <v>1.4758143296041538E-7</v>
      </c>
      <c r="N54" s="194">
        <f t="shared" si="18"/>
        <v>-3.083890509848587E-11</v>
      </c>
      <c r="O54" s="422">
        <f t="shared" si="19"/>
        <v>-3.8368718044608324E-7</v>
      </c>
      <c r="P54" s="365">
        <f t="shared" si="20"/>
        <v>-3.8371801935118172E-7</v>
      </c>
      <c r="R54" s="193">
        <f t="shared" si="0"/>
        <v>-34.75</v>
      </c>
      <c r="S54" s="366">
        <f t="shared" si="29"/>
        <v>-4.6006804173843367E-5</v>
      </c>
      <c r="T54" s="193">
        <v>11</v>
      </c>
      <c r="U54" s="366">
        <f t="shared" si="30"/>
        <v>-7.4802390195739701E-9</v>
      </c>
      <c r="V54" s="193">
        <f t="shared" si="31"/>
        <v>-34.75</v>
      </c>
      <c r="W54" s="366">
        <f t="shared" si="32"/>
        <v>-4.6014284412862941E-5</v>
      </c>
      <c r="X54" s="366"/>
      <c r="Y54" s="503"/>
      <c r="Z54" s="366"/>
      <c r="AA54" s="520">
        <f t="shared" si="21"/>
        <v>-3.2536206053767727E-11</v>
      </c>
      <c r="AB54" s="496"/>
      <c r="AC54" s="521">
        <f t="shared" si="22"/>
        <v>-3.1858546195317385E-7</v>
      </c>
      <c r="AD54" s="497"/>
      <c r="AE54" s="522">
        <f t="shared" si="23"/>
        <v>-3.186179981592276E-7</v>
      </c>
      <c r="AG54" s="531">
        <f t="shared" si="24"/>
        <v>1.0711508165849457E-13</v>
      </c>
      <c r="AH54" s="221" t="str">
        <f t="shared" si="25"/>
        <v>NO</v>
      </c>
      <c r="AI54" s="532">
        <f t="shared" si="26"/>
        <v>1.0488410270063338E-9</v>
      </c>
      <c r="AJ54" s="221" t="str">
        <f t="shared" si="5"/>
        <v>NO</v>
      </c>
      <c r="AK54" s="533">
        <f>IF('IN-OUT'!$F$35=0,AG54,IF('IN-OUT'!$F$26=0,'transversal subsidence profile'!AI54,'transversal subsidence profile'!AG54+'transversal subsidence profile'!AI54))</f>
        <v>1.0489481420879922E-9</v>
      </c>
      <c r="AL54" s="513">
        <f t="shared" si="6"/>
        <v>1000</v>
      </c>
    </row>
    <row r="55" spans="1:38">
      <c r="A55" s="542">
        <f t="shared" si="27"/>
        <v>-38.75</v>
      </c>
      <c r="B55" s="363">
        <f t="shared" si="7"/>
        <v>1.8265918507117785E-9</v>
      </c>
      <c r="C55" s="543">
        <f t="shared" si="8"/>
        <v>-4.7186956143387612E-9</v>
      </c>
      <c r="D55" s="542">
        <f t="shared" si="28"/>
        <v>-38.75</v>
      </c>
      <c r="E55" s="363">
        <f t="shared" si="9"/>
        <v>1.8265918507117785E-9</v>
      </c>
      <c r="F55" s="543">
        <f t="shared" si="10"/>
        <v>-4.7186956143387612E-9</v>
      </c>
      <c r="G55" s="548">
        <f t="shared" si="11"/>
        <v>-48.75</v>
      </c>
      <c r="H55" s="363">
        <f t="shared" si="12"/>
        <v>1.2344153268288112E-13</v>
      </c>
      <c r="I55" s="363">
        <f t="shared" si="13"/>
        <v>-4.0118498121936368E-13</v>
      </c>
      <c r="J55" s="364">
        <f t="shared" si="14"/>
        <v>1.8267152922444615E-9</v>
      </c>
      <c r="K55" s="194">
        <f t="shared" si="15"/>
        <v>1.2344153268288111E-11</v>
      </c>
      <c r="L55" s="646">
        <f t="shared" si="16"/>
        <v>1.8265918507117785E-7</v>
      </c>
      <c r="M55" s="365">
        <f t="shared" si="17"/>
        <v>1.8267152922444615E-7</v>
      </c>
      <c r="N55" s="194">
        <f t="shared" si="18"/>
        <v>-4.0118498121936366E-11</v>
      </c>
      <c r="O55" s="422">
        <f t="shared" si="19"/>
        <v>-4.7186956143387611E-7</v>
      </c>
      <c r="P55" s="365">
        <f t="shared" si="20"/>
        <v>-4.7190967993199802E-7</v>
      </c>
      <c r="R55" s="193">
        <f t="shared" si="0"/>
        <v>-34.5</v>
      </c>
      <c r="S55" s="366">
        <f t="shared" si="29"/>
        <v>-5.563294629092918E-5</v>
      </c>
      <c r="T55" s="193">
        <v>12</v>
      </c>
      <c r="U55" s="366">
        <f t="shared" si="30"/>
        <v>-9.5555363883272019E-9</v>
      </c>
      <c r="V55" s="193">
        <f t="shared" si="31"/>
        <v>-34.5</v>
      </c>
      <c r="W55" s="366">
        <f t="shared" si="32"/>
        <v>-5.5642501827317501E-5</v>
      </c>
      <c r="X55" s="366"/>
      <c r="Y55" s="503"/>
      <c r="Z55" s="366"/>
      <c r="AA55" s="520">
        <f t="shared" si="21"/>
        <v>-4.2102198472251801E-11</v>
      </c>
      <c r="AB55" s="42"/>
      <c r="AC55" s="521">
        <f t="shared" si="22"/>
        <v>-3.8913839738620569E-7</v>
      </c>
      <c r="AD55" s="497"/>
      <c r="AE55" s="522">
        <f t="shared" si="23"/>
        <v>-3.8918049958467794E-7</v>
      </c>
      <c r="AG55" s="531">
        <f t="shared" si="24"/>
        <v>1.386080608139977E-13</v>
      </c>
      <c r="AH55" s="221" t="str">
        <f t="shared" si="25"/>
        <v>NO</v>
      </c>
      <c r="AI55" s="532">
        <f t="shared" si="26"/>
        <v>1.2811140654689898E-9</v>
      </c>
      <c r="AJ55" s="221" t="str">
        <f t="shared" si="5"/>
        <v>NO</v>
      </c>
      <c r="AK55" s="533">
        <f>IF('IN-OUT'!$F$35=0,AG55,IF('IN-OUT'!$F$26=0,'transversal subsidence profile'!AI55,'transversal subsidence profile'!AG55+'transversal subsidence profile'!AI55))</f>
        <v>1.2812526735298038E-9</v>
      </c>
      <c r="AL55" s="513">
        <f t="shared" si="6"/>
        <v>1000</v>
      </c>
    </row>
    <row r="56" spans="1:38">
      <c r="A56" s="542">
        <f t="shared" si="27"/>
        <v>-38.5</v>
      </c>
      <c r="B56" s="363">
        <f t="shared" si="7"/>
        <v>2.2577889872614198E-9</v>
      </c>
      <c r="C56" s="543">
        <f t="shared" si="8"/>
        <v>-5.7949917339709783E-9</v>
      </c>
      <c r="D56" s="542">
        <f t="shared" si="28"/>
        <v>-38.5</v>
      </c>
      <c r="E56" s="363">
        <f t="shared" si="9"/>
        <v>2.2577889872614198E-9</v>
      </c>
      <c r="F56" s="543">
        <f t="shared" si="10"/>
        <v>-5.7949917339709783E-9</v>
      </c>
      <c r="G56" s="548">
        <f t="shared" si="11"/>
        <v>-48.5</v>
      </c>
      <c r="H56" s="363">
        <f t="shared" si="12"/>
        <v>1.611880128404696E-13</v>
      </c>
      <c r="I56" s="363">
        <f t="shared" si="13"/>
        <v>-5.2117457485085173E-13</v>
      </c>
      <c r="J56" s="364">
        <f t="shared" si="14"/>
        <v>2.2579501752742601E-9</v>
      </c>
      <c r="K56" s="194">
        <f t="shared" si="15"/>
        <v>1.611880128404696E-11</v>
      </c>
      <c r="L56" s="646">
        <f t="shared" si="16"/>
        <v>2.2577889872614197E-7</v>
      </c>
      <c r="M56" s="365">
        <f t="shared" si="17"/>
        <v>2.2579501752742603E-7</v>
      </c>
      <c r="N56" s="194">
        <f t="shared" si="18"/>
        <v>-5.211745748508517E-11</v>
      </c>
      <c r="O56" s="422">
        <f t="shared" si="19"/>
        <v>-5.7949917339709782E-7</v>
      </c>
      <c r="P56" s="365">
        <f t="shared" si="20"/>
        <v>-5.7955129085458291E-7</v>
      </c>
      <c r="R56" s="193">
        <f t="shared" si="0"/>
        <v>-34.25</v>
      </c>
      <c r="S56" s="366">
        <f t="shared" si="29"/>
        <v>-6.7180976887221605E-5</v>
      </c>
      <c r="T56" s="193">
        <v>13</v>
      </c>
      <c r="U56" s="366">
        <f t="shared" si="30"/>
        <v>-1.2189865843876894E-8</v>
      </c>
      <c r="V56" s="193">
        <f t="shared" si="31"/>
        <v>-34.25</v>
      </c>
      <c r="W56" s="366">
        <f t="shared" si="32"/>
        <v>-6.719316675306549E-5</v>
      </c>
      <c r="X56" s="366"/>
      <c r="Y56" s="503"/>
      <c r="Z56" s="366"/>
      <c r="AA56" s="520">
        <f t="shared" si="21"/>
        <v>-5.4402981160523196E-11</v>
      </c>
      <c r="AB56" s="496"/>
      <c r="AC56" s="521">
        <f t="shared" si="22"/>
        <v>-4.7462090032170341E-7</v>
      </c>
      <c r="AD56" s="497"/>
      <c r="AE56" s="522">
        <f t="shared" si="23"/>
        <v>-4.7467530330286396E-7</v>
      </c>
      <c r="AG56" s="531">
        <f t="shared" si="24"/>
        <v>1.7910446472600227E-13</v>
      </c>
      <c r="AH56" s="221" t="str">
        <f t="shared" si="25"/>
        <v>NO</v>
      </c>
      <c r="AI56" s="532">
        <f t="shared" si="26"/>
        <v>1.5625379434459368E-9</v>
      </c>
      <c r="AJ56" s="221" t="str">
        <f t="shared" si="5"/>
        <v>NO</v>
      </c>
      <c r="AK56" s="533">
        <f>IF('IN-OUT'!$F$35=0,AG56,IF('IN-OUT'!$F$26=0,'transversal subsidence profile'!AI56,'transversal subsidence profile'!AG56+'transversal subsidence profile'!AI56))</f>
        <v>1.5627170479106628E-9</v>
      </c>
      <c r="AL56" s="513">
        <f t="shared" si="6"/>
        <v>1000</v>
      </c>
    </row>
    <row r="57" spans="1:38">
      <c r="A57" s="542">
        <f t="shared" si="27"/>
        <v>-38.25</v>
      </c>
      <c r="B57" s="363">
        <f t="shared" si="7"/>
        <v>2.7869517183142704E-9</v>
      </c>
      <c r="C57" s="543">
        <f t="shared" si="8"/>
        <v>-7.1067268817013894E-9</v>
      </c>
      <c r="D57" s="542">
        <f t="shared" si="28"/>
        <v>-38.25</v>
      </c>
      <c r="E57" s="363">
        <f t="shared" si="9"/>
        <v>2.7869517183142704E-9</v>
      </c>
      <c r="F57" s="543">
        <f t="shared" si="10"/>
        <v>-7.1067268817013894E-9</v>
      </c>
      <c r="G57" s="548">
        <f t="shared" si="11"/>
        <v>-48.25</v>
      </c>
      <c r="H57" s="363">
        <f t="shared" si="12"/>
        <v>2.1018825132510579E-13</v>
      </c>
      <c r="I57" s="363">
        <f t="shared" si="13"/>
        <v>-6.7610554176242371E-13</v>
      </c>
      <c r="J57" s="364">
        <f t="shared" si="14"/>
        <v>2.7871619065655955E-9</v>
      </c>
      <c r="K57" s="194">
        <f t="shared" si="15"/>
        <v>2.1018825132510579E-11</v>
      </c>
      <c r="L57" s="646">
        <f t="shared" si="16"/>
        <v>2.7869517183142703E-7</v>
      </c>
      <c r="M57" s="365">
        <f t="shared" si="17"/>
        <v>2.7871619065655953E-7</v>
      </c>
      <c r="N57" s="194">
        <f t="shared" si="18"/>
        <v>-6.7610554176242368E-11</v>
      </c>
      <c r="O57" s="422">
        <f t="shared" si="19"/>
        <v>-7.1067268817013891E-7</v>
      </c>
      <c r="P57" s="365">
        <f t="shared" si="20"/>
        <v>-7.1074029872431512E-7</v>
      </c>
      <c r="R57" s="193">
        <f t="shared" si="0"/>
        <v>-34</v>
      </c>
      <c r="S57" s="366">
        <f t="shared" si="29"/>
        <v>-8.101488666490451E-5</v>
      </c>
      <c r="T57" s="193">
        <v>14</v>
      </c>
      <c r="U57" s="366">
        <f t="shared" si="30"/>
        <v>-1.5529126985413633E-8</v>
      </c>
      <c r="V57" s="193">
        <f t="shared" si="31"/>
        <v>-34</v>
      </c>
      <c r="W57" s="366">
        <f t="shared" si="32"/>
        <v>-8.103041579188992E-5</v>
      </c>
      <c r="X57" s="366"/>
      <c r="Y57" s="503"/>
      <c r="Z57" s="366"/>
      <c r="AA57" s="520">
        <f t="shared" si="21"/>
        <v>-7.0197301677118094E-11</v>
      </c>
      <c r="AB57" s="496"/>
      <c r="AC57" s="521">
        <f t="shared" si="22"/>
        <v>-5.780344304651821E-7</v>
      </c>
      <c r="AD57" s="497"/>
      <c r="AE57" s="522">
        <f t="shared" si="23"/>
        <v>-5.7810462776685924E-7</v>
      </c>
      <c r="AG57" s="531">
        <f t="shared" si="24"/>
        <v>2.3110222774359862E-13</v>
      </c>
      <c r="AH57" s="221" t="str">
        <f t="shared" si="25"/>
        <v>NO</v>
      </c>
      <c r="AI57" s="532">
        <f t="shared" si="26"/>
        <v>1.9029940097619161E-9</v>
      </c>
      <c r="AJ57" s="221" t="str">
        <f t="shared" si="5"/>
        <v>NO</v>
      </c>
      <c r="AK57" s="533">
        <f>IF('IN-OUT'!$F$35=0,AG57,IF('IN-OUT'!$F$26=0,'transversal subsidence profile'!AI57,'transversal subsidence profile'!AG57+'transversal subsidence profile'!AI57))</f>
        <v>1.9032251119896595E-9</v>
      </c>
      <c r="AL57" s="513">
        <f t="shared" si="6"/>
        <v>1000</v>
      </c>
    </row>
    <row r="58" spans="1:38">
      <c r="A58" s="542">
        <f t="shared" si="27"/>
        <v>-38</v>
      </c>
      <c r="B58" s="363">
        <f t="shared" si="7"/>
        <v>3.4354196828064236E-9</v>
      </c>
      <c r="C58" s="543">
        <f t="shared" si="8"/>
        <v>-8.7030631964429403E-9</v>
      </c>
      <c r="D58" s="542">
        <f t="shared" si="28"/>
        <v>-38</v>
      </c>
      <c r="E58" s="363">
        <f t="shared" si="9"/>
        <v>3.4354196828064236E-9</v>
      </c>
      <c r="F58" s="543">
        <f t="shared" si="10"/>
        <v>-8.7030631964429403E-9</v>
      </c>
      <c r="G58" s="548">
        <f t="shared" si="11"/>
        <v>-48</v>
      </c>
      <c r="H58" s="363">
        <f t="shared" si="12"/>
        <v>2.7370856821612073E-13</v>
      </c>
      <c r="I58" s="363">
        <f t="shared" si="13"/>
        <v>-8.7586741829158625E-13</v>
      </c>
      <c r="J58" s="364">
        <f t="shared" si="14"/>
        <v>3.4356933913746395E-9</v>
      </c>
      <c r="K58" s="194">
        <f t="shared" si="15"/>
        <v>2.7370856821612073E-11</v>
      </c>
      <c r="L58" s="646">
        <f t="shared" si="16"/>
        <v>3.4354196828064235E-7</v>
      </c>
      <c r="M58" s="365">
        <f t="shared" si="17"/>
        <v>3.4356933913746395E-7</v>
      </c>
      <c r="N58" s="194">
        <f t="shared" si="18"/>
        <v>-8.7586741829158625E-11</v>
      </c>
      <c r="O58" s="422">
        <f t="shared" si="19"/>
        <v>-8.7030631964429403E-7</v>
      </c>
      <c r="P58" s="365">
        <f t="shared" si="20"/>
        <v>-8.7039390638612323E-7</v>
      </c>
      <c r="R58" s="193">
        <f t="shared" si="0"/>
        <v>-33.75</v>
      </c>
      <c r="S58" s="366">
        <f t="shared" si="29"/>
        <v>-9.7563551898995432E-5</v>
      </c>
      <c r="T58" s="193">
        <v>15</v>
      </c>
      <c r="U58" s="366">
        <f t="shared" si="30"/>
        <v>-1.9756018154267637E-8</v>
      </c>
      <c r="V58" s="193">
        <f t="shared" si="31"/>
        <v>-33.75</v>
      </c>
      <c r="W58" s="366">
        <f t="shared" si="32"/>
        <v>-9.7583307917149695E-5</v>
      </c>
      <c r="X58" s="366"/>
      <c r="Y58" s="503"/>
      <c r="Z58" s="366"/>
      <c r="AA58" s="520">
        <f t="shared" si="21"/>
        <v>-9.0447728509277747E-11</v>
      </c>
      <c r="AB58" s="496"/>
      <c r="AC58" s="521">
        <f t="shared" si="22"/>
        <v>-7.0294938639957686E-7</v>
      </c>
      <c r="AD58" s="497"/>
      <c r="AE58" s="522">
        <f t="shared" si="23"/>
        <v>-7.0303983412808616E-7</v>
      </c>
      <c r="AG58" s="531">
        <f t="shared" si="24"/>
        <v>2.977702996190214E-13</v>
      </c>
      <c r="AH58" s="221" t="str">
        <f t="shared" si="25"/>
        <v>NO</v>
      </c>
      <c r="AI58" s="532">
        <f t="shared" si="26"/>
        <v>2.3142366630438742E-9</v>
      </c>
      <c r="AJ58" s="221" t="str">
        <f t="shared" si="5"/>
        <v>NO</v>
      </c>
      <c r="AK58" s="533">
        <f>IF('IN-OUT'!$F$35=0,AG58,IF('IN-OUT'!$F$26=0,'transversal subsidence profile'!AI58,'transversal subsidence profile'!AG58+'transversal subsidence profile'!AI58))</f>
        <v>2.3145344333434934E-9</v>
      </c>
      <c r="AL58" s="513">
        <f t="shared" si="6"/>
        <v>1000</v>
      </c>
    </row>
    <row r="59" spans="1:38">
      <c r="A59" s="542">
        <f t="shared" si="27"/>
        <v>-37.75</v>
      </c>
      <c r="B59" s="363">
        <f t="shared" si="7"/>
        <v>4.2289681479797784E-9</v>
      </c>
      <c r="C59" s="543">
        <f t="shared" si="8"/>
        <v>-1.0642903172415775E-8</v>
      </c>
      <c r="D59" s="542">
        <f t="shared" si="28"/>
        <v>-37.75</v>
      </c>
      <c r="E59" s="363">
        <f t="shared" si="9"/>
        <v>4.2289681479797784E-9</v>
      </c>
      <c r="F59" s="543">
        <f t="shared" si="10"/>
        <v>-1.0642903172415775E-8</v>
      </c>
      <c r="G59" s="548">
        <f t="shared" si="11"/>
        <v>-47.75</v>
      </c>
      <c r="H59" s="363">
        <f t="shared" si="12"/>
        <v>3.5593656801199791E-13</v>
      </c>
      <c r="I59" s="363">
        <f t="shared" si="13"/>
        <v>-1.1330647415048601E-12</v>
      </c>
      <c r="J59" s="364">
        <f t="shared" si="14"/>
        <v>4.2293240845477906E-9</v>
      </c>
      <c r="K59" s="194">
        <f t="shared" si="15"/>
        <v>3.5593656801199794E-11</v>
      </c>
      <c r="L59" s="646">
        <f t="shared" si="16"/>
        <v>4.2289681479797782E-7</v>
      </c>
      <c r="M59" s="365">
        <f t="shared" si="17"/>
        <v>4.2293240845477902E-7</v>
      </c>
      <c r="N59" s="194">
        <f t="shared" si="18"/>
        <v>-1.1330647415048601E-10</v>
      </c>
      <c r="O59" s="422">
        <f t="shared" si="19"/>
        <v>-1.0642903172415774E-6</v>
      </c>
      <c r="P59" s="365">
        <f t="shared" si="20"/>
        <v>-1.0644036237157278E-6</v>
      </c>
      <c r="R59" s="193">
        <f t="shared" si="0"/>
        <v>-33.5</v>
      </c>
      <c r="S59" s="366">
        <f t="shared" si="29"/>
        <v>-1.1733150379388988E-4</v>
      </c>
      <c r="T59" s="193">
        <v>16</v>
      </c>
      <c r="U59" s="366">
        <f t="shared" si="30"/>
        <v>-2.509897880450181E-8</v>
      </c>
      <c r="V59" s="193">
        <f t="shared" si="31"/>
        <v>-33.5</v>
      </c>
      <c r="W59" s="366">
        <f t="shared" si="32"/>
        <v>-1.1735660277269438E-4</v>
      </c>
      <c r="X59" s="366"/>
      <c r="Y59" s="503"/>
      <c r="Z59" s="366"/>
      <c r="AA59" s="520">
        <f t="shared" si="21"/>
        <v>-1.1637351787439369E-10</v>
      </c>
      <c r="AB59" s="496"/>
      <c r="AC59" s="521">
        <f t="shared" si="22"/>
        <v>-8.5360571524654466E-7</v>
      </c>
      <c r="AD59" s="497"/>
      <c r="AE59" s="522">
        <f t="shared" si="23"/>
        <v>-8.5372208876441902E-7</v>
      </c>
      <c r="AG59" s="531">
        <f t="shared" si="24"/>
        <v>3.8312269259059644E-13</v>
      </c>
      <c r="AH59" s="221" t="str">
        <f t="shared" si="25"/>
        <v>NO</v>
      </c>
      <c r="AI59" s="532">
        <f t="shared" si="26"/>
        <v>2.8102245769433571E-9</v>
      </c>
      <c r="AJ59" s="221" t="str">
        <f t="shared" si="5"/>
        <v>NO</v>
      </c>
      <c r="AK59" s="533">
        <f>IF('IN-OUT'!$F$35=0,AG59,IF('IN-OUT'!$F$26=0,'transversal subsidence profile'!AI59,'transversal subsidence profile'!AG59+'transversal subsidence profile'!AI59))</f>
        <v>2.8106076996359476E-9</v>
      </c>
      <c r="AL59" s="513">
        <f t="shared" si="6"/>
        <v>1000</v>
      </c>
    </row>
    <row r="60" spans="1:38">
      <c r="A60" s="542">
        <f t="shared" si="27"/>
        <v>-37.5</v>
      </c>
      <c r="B60" s="363">
        <f t="shared" si="7"/>
        <v>5.1986824297207413E-9</v>
      </c>
      <c r="C60" s="543">
        <f t="shared" si="8"/>
        <v>-1.2996706074301852E-8</v>
      </c>
      <c r="D60" s="542">
        <f t="shared" si="28"/>
        <v>-37.5</v>
      </c>
      <c r="E60" s="363">
        <f t="shared" si="9"/>
        <v>5.1986824297207413E-9</v>
      </c>
      <c r="F60" s="543">
        <f t="shared" si="10"/>
        <v>-1.2996706074301852E-8</v>
      </c>
      <c r="G60" s="548">
        <f t="shared" si="11"/>
        <v>-47.5</v>
      </c>
      <c r="H60" s="363">
        <f t="shared" si="12"/>
        <v>4.6223314546826137E-13</v>
      </c>
      <c r="I60" s="363">
        <f t="shared" si="13"/>
        <v>-1.4637382939828277E-12</v>
      </c>
      <c r="J60" s="364">
        <f t="shared" si="14"/>
        <v>5.1991446628662093E-9</v>
      </c>
      <c r="K60" s="194">
        <f t="shared" si="15"/>
        <v>4.6223314546826139E-11</v>
      </c>
      <c r="L60" s="646">
        <f t="shared" si="16"/>
        <v>5.1986824297207416E-7</v>
      </c>
      <c r="M60" s="365">
        <f t="shared" si="17"/>
        <v>5.1991446628662097E-7</v>
      </c>
      <c r="N60" s="194">
        <f t="shared" si="18"/>
        <v>-1.4637382939828277E-10</v>
      </c>
      <c r="O60" s="422">
        <f t="shared" si="19"/>
        <v>-1.2996706074301852E-6</v>
      </c>
      <c r="P60" s="365">
        <f t="shared" si="20"/>
        <v>-1.2998169812595835E-6</v>
      </c>
      <c r="R60" s="193">
        <f t="shared" si="0"/>
        <v>-33.25</v>
      </c>
      <c r="S60" s="366">
        <f t="shared" si="29"/>
        <v>-1.4091133547411194E-4</v>
      </c>
      <c r="T60" s="193">
        <v>17</v>
      </c>
      <c r="U60" s="366">
        <f t="shared" si="30"/>
        <v>-3.1843217778303571E-8</v>
      </c>
      <c r="V60" s="193">
        <f t="shared" si="31"/>
        <v>-33.25</v>
      </c>
      <c r="W60" s="366">
        <f t="shared" si="32"/>
        <v>-1.4094317869189023E-4</v>
      </c>
      <c r="X60" s="366"/>
      <c r="Y60" s="503"/>
      <c r="Z60" s="366"/>
      <c r="AA60" s="520">
        <f t="shared" si="21"/>
        <v>-1.495166766196422E-10</v>
      </c>
      <c r="AB60" s="496"/>
      <c r="AC60" s="521">
        <f t="shared" si="22"/>
        <v>-1.0350298598760881E-6</v>
      </c>
      <c r="AD60" s="497"/>
      <c r="AE60" s="522">
        <f t="shared" si="23"/>
        <v>-1.0351793765527078E-6</v>
      </c>
      <c r="AG60" s="531">
        <f t="shared" si="24"/>
        <v>4.9223597241034462E-13</v>
      </c>
      <c r="AH60" s="221" t="str">
        <f t="shared" si="25"/>
        <v>NO</v>
      </c>
      <c r="AI60" s="532">
        <f t="shared" si="26"/>
        <v>3.4075057115262161E-9</v>
      </c>
      <c r="AJ60" s="221" t="str">
        <f t="shared" si="5"/>
        <v>NO</v>
      </c>
      <c r="AK60" s="533">
        <f>IF('IN-OUT'!$F$35=0,AG60,IF('IN-OUT'!$F$26=0,'transversal subsidence profile'!AI60,'transversal subsidence profile'!AG60+'transversal subsidence profile'!AI60))</f>
        <v>3.4079979474986265E-9</v>
      </c>
      <c r="AL60" s="513">
        <f t="shared" si="6"/>
        <v>1000</v>
      </c>
    </row>
    <row r="61" spans="1:38">
      <c r="A61" s="542">
        <f t="shared" si="27"/>
        <v>-37.25</v>
      </c>
      <c r="B61" s="363">
        <f t="shared" si="7"/>
        <v>6.3819944638841815E-9</v>
      </c>
      <c r="C61" s="543">
        <f t="shared" si="8"/>
        <v>-1.5848619585312386E-8</v>
      </c>
      <c r="D61" s="542">
        <f t="shared" si="28"/>
        <v>-37.25</v>
      </c>
      <c r="E61" s="363">
        <f t="shared" si="9"/>
        <v>6.3819944638841815E-9</v>
      </c>
      <c r="F61" s="543">
        <f t="shared" si="10"/>
        <v>-1.5848619585312386E-8</v>
      </c>
      <c r="G61" s="548">
        <f t="shared" si="11"/>
        <v>-47.25</v>
      </c>
      <c r="H61" s="363">
        <f t="shared" si="12"/>
        <v>5.9945118081238562E-13</v>
      </c>
      <c r="I61" s="363">
        <f t="shared" si="13"/>
        <v>-1.8882712195590146E-12</v>
      </c>
      <c r="J61" s="364">
        <f t="shared" si="14"/>
        <v>6.3825939150649942E-9</v>
      </c>
      <c r="K61" s="194">
        <f t="shared" si="15"/>
        <v>5.9945118081238568E-11</v>
      </c>
      <c r="L61" s="646">
        <f t="shared" si="16"/>
        <v>6.3819944638841817E-7</v>
      </c>
      <c r="M61" s="365">
        <f t="shared" si="17"/>
        <v>6.382593915064994E-7</v>
      </c>
      <c r="N61" s="194">
        <f t="shared" si="18"/>
        <v>-1.8882712195590147E-10</v>
      </c>
      <c r="O61" s="422">
        <f t="shared" si="19"/>
        <v>-1.5848619585312384E-6</v>
      </c>
      <c r="P61" s="365">
        <f t="shared" si="20"/>
        <v>-1.5850507856531943E-6</v>
      </c>
      <c r="R61" s="193">
        <f t="shared" si="0"/>
        <v>-33</v>
      </c>
      <c r="S61" s="366">
        <f t="shared" si="29"/>
        <v>-1.6899796882487885E-4</v>
      </c>
      <c r="T61" s="193">
        <v>18</v>
      </c>
      <c r="U61" s="366">
        <f t="shared" si="30"/>
        <v>-4.0344292348816811E-8</v>
      </c>
      <c r="V61" s="193">
        <f t="shared" si="31"/>
        <v>-33</v>
      </c>
      <c r="W61" s="366">
        <f t="shared" si="32"/>
        <v>-1.6903831311722767E-4</v>
      </c>
      <c r="X61" s="366"/>
      <c r="Y61" s="503"/>
      <c r="Z61" s="366"/>
      <c r="AA61" s="520">
        <f t="shared" si="21"/>
        <v>-1.9182437785996339E-10</v>
      </c>
      <c r="AB61" s="496"/>
      <c r="AC61" s="521">
        <f t="shared" si="22"/>
        <v>-1.2531704172704266E-6</v>
      </c>
      <c r="AD61" s="497"/>
      <c r="AE61" s="522">
        <f t="shared" si="23"/>
        <v>-1.2533622416482865E-6</v>
      </c>
      <c r="AG61" s="531">
        <f t="shared" si="24"/>
        <v>6.3152058554720455E-13</v>
      </c>
      <c r="AH61" s="221" t="str">
        <f t="shared" si="25"/>
        <v>NO</v>
      </c>
      <c r="AI61" s="532">
        <f t="shared" si="26"/>
        <v>4.1256639251701279E-9</v>
      </c>
      <c r="AJ61" s="221" t="str">
        <f t="shared" si="5"/>
        <v>NO</v>
      </c>
      <c r="AK61" s="533">
        <f>IF('IN-OUT'!$F$35=0,AG61,IF('IN-OUT'!$F$26=0,'transversal subsidence profile'!AI61,'transversal subsidence profile'!AG61+'transversal subsidence profile'!AI61))</f>
        <v>4.126295445755675E-9</v>
      </c>
      <c r="AL61" s="513">
        <f t="shared" si="6"/>
        <v>1000</v>
      </c>
    </row>
    <row r="62" spans="1:38">
      <c r="A62" s="542">
        <f t="shared" si="27"/>
        <v>-37</v>
      </c>
      <c r="B62" s="363">
        <f t="shared" si="7"/>
        <v>7.8239094875549225E-9</v>
      </c>
      <c r="C62" s="543">
        <f t="shared" si="8"/>
        <v>-1.9298976735968808E-8</v>
      </c>
      <c r="D62" s="542">
        <f t="shared" si="28"/>
        <v>-37</v>
      </c>
      <c r="E62" s="363">
        <f t="shared" si="9"/>
        <v>7.8239094875549225E-9</v>
      </c>
      <c r="F62" s="543">
        <f t="shared" si="10"/>
        <v>-1.9298976735968808E-8</v>
      </c>
      <c r="G62" s="548">
        <f t="shared" si="11"/>
        <v>-47</v>
      </c>
      <c r="H62" s="363">
        <f t="shared" si="12"/>
        <v>7.7633794862141246E-13</v>
      </c>
      <c r="I62" s="363">
        <f t="shared" si="13"/>
        <v>-2.4325255723470922E-12</v>
      </c>
      <c r="J62" s="364">
        <f t="shared" si="14"/>
        <v>7.8246858255035447E-9</v>
      </c>
      <c r="K62" s="194">
        <f t="shared" si="15"/>
        <v>7.7633794862141246E-11</v>
      </c>
      <c r="L62" s="646">
        <f t="shared" si="16"/>
        <v>7.823909487554923E-7</v>
      </c>
      <c r="M62" s="365">
        <f t="shared" si="17"/>
        <v>7.8246858255035445E-7</v>
      </c>
      <c r="N62" s="194">
        <f t="shared" si="18"/>
        <v>-2.432525572347092E-10</v>
      </c>
      <c r="O62" s="422">
        <f t="shared" si="19"/>
        <v>-1.9298976735968807E-6</v>
      </c>
      <c r="P62" s="365">
        <f t="shared" si="20"/>
        <v>-1.9301409261541155E-6</v>
      </c>
      <c r="R62" s="193">
        <f t="shared" si="0"/>
        <v>-32.75</v>
      </c>
      <c r="S62" s="366">
        <f t="shared" si="29"/>
        <v>-2.0240502898220163E-4</v>
      </c>
      <c r="T62" s="193">
        <v>19</v>
      </c>
      <c r="U62" s="366">
        <f t="shared" si="30"/>
        <v>-5.1044801272981392E-8</v>
      </c>
      <c r="V62" s="193">
        <f t="shared" si="31"/>
        <v>-32.75</v>
      </c>
      <c r="W62" s="366">
        <f t="shared" si="32"/>
        <v>-2.0245607378347461E-4</v>
      </c>
      <c r="X62" s="366"/>
      <c r="Y62" s="503"/>
      <c r="Z62" s="366"/>
      <c r="AA62" s="520">
        <f t="shared" si="21"/>
        <v>-2.4575160577531036E-10</v>
      </c>
      <c r="AB62" s="496"/>
      <c r="AC62" s="521">
        <f t="shared" si="22"/>
        <v>-1.5150551751163741E-6</v>
      </c>
      <c r="AD62" s="497"/>
      <c r="AE62" s="522">
        <f t="shared" si="23"/>
        <v>-1.5153009267221495E-6</v>
      </c>
      <c r="AG62" s="531">
        <f t="shared" si="24"/>
        <v>8.0905878444546625E-13</v>
      </c>
      <c r="AH62" s="221" t="str">
        <f t="shared" si="25"/>
        <v>NO</v>
      </c>
      <c r="AI62" s="532">
        <f t="shared" si="26"/>
        <v>4.9878359674613133E-9</v>
      </c>
      <c r="AJ62" s="221" t="str">
        <f t="shared" si="5"/>
        <v>NO</v>
      </c>
      <c r="AK62" s="533">
        <f>IF('IN-OUT'!$F$35=0,AG62,IF('IN-OUT'!$F$26=0,'transversal subsidence profile'!AI62,'transversal subsidence profile'!AG62+'transversal subsidence profile'!AI62))</f>
        <v>4.9886450262457586E-9</v>
      </c>
      <c r="AL62" s="513">
        <f t="shared" si="6"/>
        <v>1000</v>
      </c>
    </row>
    <row r="63" spans="1:38">
      <c r="A63" s="542">
        <f t="shared" si="27"/>
        <v>-36.75</v>
      </c>
      <c r="B63" s="363">
        <f t="shared" si="7"/>
        <v>9.5784551935078375E-9</v>
      </c>
      <c r="C63" s="543">
        <f t="shared" si="8"/>
        <v>-2.3467215224094203E-8</v>
      </c>
      <c r="D63" s="542">
        <f t="shared" si="28"/>
        <v>-36.75</v>
      </c>
      <c r="E63" s="363">
        <f t="shared" si="9"/>
        <v>9.5784551935078375E-9</v>
      </c>
      <c r="F63" s="543">
        <f t="shared" si="10"/>
        <v>-2.3467215224094203E-8</v>
      </c>
      <c r="G63" s="548">
        <f t="shared" si="11"/>
        <v>-46.75</v>
      </c>
      <c r="H63" s="363">
        <f t="shared" si="12"/>
        <v>1.0040424420050472E-12</v>
      </c>
      <c r="I63" s="363">
        <f t="shared" si="13"/>
        <v>-3.1292656109157306E-12</v>
      </c>
      <c r="J63" s="364">
        <f t="shared" si="14"/>
        <v>9.5794592359498419E-9</v>
      </c>
      <c r="K63" s="194">
        <f t="shared" si="15"/>
        <v>1.0040424420050472E-10</v>
      </c>
      <c r="L63" s="646">
        <f t="shared" si="16"/>
        <v>9.5784551935078368E-7</v>
      </c>
      <c r="M63" s="365">
        <f t="shared" si="17"/>
        <v>9.5794592359498411E-7</v>
      </c>
      <c r="N63" s="194">
        <f t="shared" si="18"/>
        <v>-3.1292656109157308E-10</v>
      </c>
      <c r="O63" s="422">
        <f t="shared" si="19"/>
        <v>-2.3467215224094204E-6</v>
      </c>
      <c r="P63" s="365">
        <f t="shared" si="20"/>
        <v>-2.3470344489705119E-6</v>
      </c>
      <c r="R63" s="193">
        <f t="shared" si="0"/>
        <v>-32.5</v>
      </c>
      <c r="S63" s="366">
        <f t="shared" si="29"/>
        <v>-2.4208360205461144E-4</v>
      </c>
      <c r="T63" s="193">
        <v>20</v>
      </c>
      <c r="U63" s="366">
        <f t="shared" si="30"/>
        <v>-6.4494873086965414E-8</v>
      </c>
      <c r="V63" s="193">
        <f t="shared" si="31"/>
        <v>-32.5</v>
      </c>
      <c r="W63" s="366">
        <f t="shared" si="32"/>
        <v>-2.421480969276984E-4</v>
      </c>
      <c r="X63" s="366"/>
      <c r="Y63" s="503"/>
      <c r="Z63" s="366"/>
      <c r="AA63" s="520">
        <f t="shared" si="21"/>
        <v>-3.1438878110885053E-10</v>
      </c>
      <c r="AB63" s="496"/>
      <c r="AC63" s="521">
        <f t="shared" si="22"/>
        <v>-1.8289725143158999E-6</v>
      </c>
      <c r="AD63" s="497"/>
      <c r="AE63" s="522">
        <f t="shared" si="23"/>
        <v>-1.8292869030970088E-6</v>
      </c>
      <c r="AG63" s="531">
        <f t="shared" si="24"/>
        <v>1.0350247937739936E-12</v>
      </c>
      <c r="AH63" s="221" t="str">
        <f t="shared" si="25"/>
        <v>NO</v>
      </c>
      <c r="AI63" s="532">
        <f t="shared" si="26"/>
        <v>6.0213086891058433E-9</v>
      </c>
      <c r="AJ63" s="221" t="str">
        <f t="shared" si="5"/>
        <v>NO</v>
      </c>
      <c r="AK63" s="533">
        <f>IF('IN-OUT'!$F$35=0,AG63,IF('IN-OUT'!$F$26=0,'transversal subsidence profile'!AI63,'transversal subsidence profile'!AG63+'transversal subsidence profile'!AI63))</f>
        <v>6.0223437138996176E-9</v>
      </c>
      <c r="AL63" s="513">
        <f t="shared" si="6"/>
        <v>1000</v>
      </c>
    </row>
    <row r="64" spans="1:38">
      <c r="A64" s="542">
        <f t="shared" si="27"/>
        <v>-36.5</v>
      </c>
      <c r="B64" s="363">
        <f t="shared" si="7"/>
        <v>1.1710390740668723E-8</v>
      </c>
      <c r="C64" s="543">
        <f t="shared" si="8"/>
        <v>-2.8495284135627222E-8</v>
      </c>
      <c r="D64" s="542">
        <f t="shared" si="28"/>
        <v>-36.5</v>
      </c>
      <c r="E64" s="363">
        <f t="shared" si="9"/>
        <v>1.1710390740668723E-8</v>
      </c>
      <c r="F64" s="543">
        <f t="shared" si="10"/>
        <v>-2.8495284135627222E-8</v>
      </c>
      <c r="G64" s="548">
        <f t="shared" si="11"/>
        <v>-46.5</v>
      </c>
      <c r="H64" s="363">
        <f t="shared" si="12"/>
        <v>1.2967539719748486E-12</v>
      </c>
      <c r="I64" s="363">
        <f t="shared" si="13"/>
        <v>-4.0199373131220309E-12</v>
      </c>
      <c r="J64" s="364">
        <f t="shared" si="14"/>
        <v>1.1711687494640697E-8</v>
      </c>
      <c r="K64" s="194">
        <f t="shared" si="15"/>
        <v>1.2967539719748486E-10</v>
      </c>
      <c r="L64" s="646">
        <f t="shared" si="16"/>
        <v>1.1710390740668724E-6</v>
      </c>
      <c r="M64" s="365">
        <f t="shared" si="17"/>
        <v>1.1711687494640698E-6</v>
      </c>
      <c r="N64" s="194">
        <f t="shared" si="18"/>
        <v>-4.0199373131220308E-10</v>
      </c>
      <c r="O64" s="422">
        <f t="shared" si="19"/>
        <v>-2.8495284135627221E-6</v>
      </c>
      <c r="P64" s="365">
        <f t="shared" si="20"/>
        <v>-2.8499304072940343E-6</v>
      </c>
      <c r="R64" s="193">
        <f t="shared" si="0"/>
        <v>-32.25</v>
      </c>
      <c r="S64" s="366">
        <f t="shared" si="29"/>
        <v>-2.8914368170663836E-4</v>
      </c>
      <c r="T64" s="193">
        <v>21</v>
      </c>
      <c r="U64" s="366">
        <f t="shared" si="30"/>
        <v>-8.137727211577177E-8</v>
      </c>
      <c r="V64" s="193">
        <f t="shared" si="31"/>
        <v>-32.25</v>
      </c>
      <c r="W64" s="366">
        <f t="shared" si="32"/>
        <v>-2.8922505897875417E-4</v>
      </c>
      <c r="X64" s="366"/>
      <c r="Y64" s="503"/>
      <c r="Z64" s="366"/>
      <c r="AA64" s="520">
        <f t="shared" si="21"/>
        <v>-4.0162018078529666E-10</v>
      </c>
      <c r="AB64" s="496"/>
      <c r="AC64" s="521">
        <f t="shared" si="22"/>
        <v>-2.2046805137462002E-6</v>
      </c>
      <c r="AD64" s="497"/>
      <c r="AE64" s="522">
        <f t="shared" si="23"/>
        <v>-2.2050821339269854E-6</v>
      </c>
      <c r="AG64" s="531">
        <f t="shared" si="24"/>
        <v>1.3222063564948039E-12</v>
      </c>
      <c r="AH64" s="221" t="str">
        <f t="shared" si="25"/>
        <v>NO</v>
      </c>
      <c r="AI64" s="532">
        <f t="shared" si="26"/>
        <v>7.258207452662387E-9</v>
      </c>
      <c r="AJ64" s="221" t="str">
        <f t="shared" si="5"/>
        <v>NO</v>
      </c>
      <c r="AK64" s="533">
        <f>IF('IN-OUT'!$F$35=0,AG64,IF('IN-OUT'!$F$26=0,'transversal subsidence profile'!AI64,'transversal subsidence profile'!AG64+'transversal subsidence profile'!AI64))</f>
        <v>7.2595296590188817E-9</v>
      </c>
      <c r="AL64" s="513">
        <f t="shared" si="6"/>
        <v>1000</v>
      </c>
    </row>
    <row r="65" spans="1:38">
      <c r="A65" s="542">
        <f t="shared" si="27"/>
        <v>-36.25</v>
      </c>
      <c r="B65" s="363">
        <f t="shared" si="7"/>
        <v>1.4297218709898016E-8</v>
      </c>
      <c r="C65" s="543">
        <f t="shared" si="8"/>
        <v>-3.4551611882253539E-8</v>
      </c>
      <c r="D65" s="542">
        <f t="shared" si="28"/>
        <v>-36.25</v>
      </c>
      <c r="E65" s="363">
        <f t="shared" si="9"/>
        <v>1.4297218709898016E-8</v>
      </c>
      <c r="F65" s="543">
        <f t="shared" si="10"/>
        <v>-3.4551611882253539E-8</v>
      </c>
      <c r="G65" s="548">
        <f t="shared" si="11"/>
        <v>-46.25</v>
      </c>
      <c r="H65" s="363">
        <f t="shared" si="12"/>
        <v>1.6725047601304845E-12</v>
      </c>
      <c r="I65" s="363">
        <f t="shared" si="13"/>
        <v>-5.1568896770689945E-12</v>
      </c>
      <c r="J65" s="364">
        <f t="shared" si="14"/>
        <v>1.4298891214658146E-8</v>
      </c>
      <c r="K65" s="194">
        <f t="shared" si="15"/>
        <v>1.6725047601304845E-10</v>
      </c>
      <c r="L65" s="646">
        <f t="shared" si="16"/>
        <v>1.4297218709898016E-6</v>
      </c>
      <c r="M65" s="365">
        <f t="shared" si="17"/>
        <v>1.4298891214658146E-6</v>
      </c>
      <c r="N65" s="194">
        <f t="shared" si="18"/>
        <v>-5.1568896770689949E-10</v>
      </c>
      <c r="O65" s="422">
        <f t="shared" si="19"/>
        <v>-3.4551611882253537E-6</v>
      </c>
      <c r="P65" s="365">
        <f t="shared" si="20"/>
        <v>-3.4556768771930605E-6</v>
      </c>
      <c r="R65" s="193">
        <f t="shared" si="0"/>
        <v>-32</v>
      </c>
      <c r="S65" s="366">
        <f t="shared" si="29"/>
        <v>-3.4487864259477433E-4</v>
      </c>
      <c r="T65" s="193">
        <v>22</v>
      </c>
      <c r="U65" s="366">
        <f t="shared" si="30"/>
        <v>-1.0253811341284479E-7</v>
      </c>
      <c r="V65" s="193">
        <f t="shared" si="31"/>
        <v>-32</v>
      </c>
      <c r="W65" s="366">
        <f t="shared" si="32"/>
        <v>-3.4498118070818719E-4</v>
      </c>
      <c r="X65" s="366"/>
      <c r="Y65" s="503"/>
      <c r="Z65" s="366"/>
      <c r="AA65" s="520">
        <f t="shared" si="21"/>
        <v>-5.1232025098610612E-10</v>
      </c>
      <c r="AB65" s="42"/>
      <c r="AC65" s="521">
        <f t="shared" si="22"/>
        <v>-2.6536474708375868E-6</v>
      </c>
      <c r="AD65" s="497"/>
      <c r="AE65" s="522">
        <f t="shared" si="23"/>
        <v>-2.6541597910885728E-6</v>
      </c>
      <c r="AG65" s="531">
        <f t="shared" si="24"/>
        <v>1.6866510320530242E-12</v>
      </c>
      <c r="AH65" s="221" t="str">
        <f t="shared" si="25"/>
        <v>NO</v>
      </c>
      <c r="AI65" s="532">
        <f t="shared" si="26"/>
        <v>8.7362879698356765E-9</v>
      </c>
      <c r="AJ65" s="221" t="str">
        <f t="shared" si="5"/>
        <v>NO</v>
      </c>
      <c r="AK65" s="533">
        <f>IF('IN-OUT'!$F$35=0,AG65,IF('IN-OUT'!$F$26=0,'transversal subsidence profile'!AI65,'transversal subsidence profile'!AG65+'transversal subsidence profile'!AI65))</f>
        <v>8.7379746208677291E-9</v>
      </c>
      <c r="AL65" s="513">
        <f t="shared" si="6"/>
        <v>1000</v>
      </c>
    </row>
    <row r="66" spans="1:38">
      <c r="A66" s="542">
        <f t="shared" si="27"/>
        <v>-36</v>
      </c>
      <c r="B66" s="363">
        <f t="shared" si="7"/>
        <v>1.7431549565540899E-8</v>
      </c>
      <c r="C66" s="543">
        <f t="shared" si="8"/>
        <v>-4.1835718957298162E-8</v>
      </c>
      <c r="D66" s="542">
        <f t="shared" si="28"/>
        <v>-36</v>
      </c>
      <c r="E66" s="363">
        <f t="shared" si="9"/>
        <v>1.7431549565540899E-8</v>
      </c>
      <c r="F66" s="543">
        <f t="shared" si="10"/>
        <v>-4.1835718957298162E-8</v>
      </c>
      <c r="G66" s="548">
        <f t="shared" si="11"/>
        <v>-46</v>
      </c>
      <c r="H66" s="363">
        <f t="shared" si="12"/>
        <v>2.154177066404679E-12</v>
      </c>
      <c r="I66" s="363">
        <f t="shared" si="13"/>
        <v>-6.6061430036410141E-12</v>
      </c>
      <c r="J66" s="364">
        <f t="shared" si="14"/>
        <v>1.7433703742607305E-8</v>
      </c>
      <c r="K66" s="194">
        <f t="shared" si="15"/>
        <v>2.154177066404679E-10</v>
      </c>
      <c r="L66" s="646">
        <f t="shared" si="16"/>
        <v>1.74315495655409E-6</v>
      </c>
      <c r="M66" s="365">
        <f t="shared" si="17"/>
        <v>1.7433703742607305E-6</v>
      </c>
      <c r="N66" s="194">
        <f t="shared" si="18"/>
        <v>-6.6061430036410142E-10</v>
      </c>
      <c r="O66" s="422">
        <f t="shared" si="19"/>
        <v>-4.1835718957298166E-6</v>
      </c>
      <c r="P66" s="365">
        <f t="shared" si="20"/>
        <v>-4.1842325100301807E-6</v>
      </c>
      <c r="R66" s="193">
        <f t="shared" si="0"/>
        <v>-31.75</v>
      </c>
      <c r="S66" s="366">
        <f t="shared" si="29"/>
        <v>-4.1079311334136901E-4</v>
      </c>
      <c r="T66" s="193">
        <v>23</v>
      </c>
      <c r="U66" s="366">
        <f t="shared" si="30"/>
        <v>-1.2902437906145161E-7</v>
      </c>
      <c r="V66" s="193">
        <f t="shared" si="31"/>
        <v>-31.75</v>
      </c>
      <c r="W66" s="366">
        <f t="shared" si="32"/>
        <v>-4.1092213772043042E-4</v>
      </c>
      <c r="X66" s="366"/>
      <c r="Y66" s="503"/>
      <c r="Z66" s="366"/>
      <c r="AA66" s="520">
        <f t="shared" si="21"/>
        <v>-6.5259646711282853E-10</v>
      </c>
      <c r="AB66" s="496"/>
      <c r="AC66" s="521">
        <f t="shared" si="22"/>
        <v>-3.1893279575471119E-6</v>
      </c>
      <c r="AD66" s="497"/>
      <c r="AE66" s="522">
        <f t="shared" si="23"/>
        <v>-3.1899805540142246E-6</v>
      </c>
      <c r="AG66" s="531">
        <f t="shared" si="24"/>
        <v>2.1484657353508753E-12</v>
      </c>
      <c r="AH66" s="221" t="str">
        <f t="shared" si="25"/>
        <v>NO</v>
      </c>
      <c r="AI66" s="532">
        <f t="shared" si="26"/>
        <v>1.0499845127727117E-8</v>
      </c>
      <c r="AJ66" s="221" t="str">
        <f t="shared" si="5"/>
        <v>NO</v>
      </c>
      <c r="AK66" s="533">
        <f>IF('IN-OUT'!$F$35=0,AG66,IF('IN-OUT'!$F$26=0,'transversal subsidence profile'!AI66,'transversal subsidence profile'!AG66+'transversal subsidence profile'!AI66))</f>
        <v>1.0501993593462469E-8</v>
      </c>
      <c r="AL66" s="513">
        <f t="shared" si="6"/>
        <v>1000</v>
      </c>
    </row>
    <row r="67" spans="1:38">
      <c r="A67" s="542">
        <f t="shared" si="27"/>
        <v>-35.75</v>
      </c>
      <c r="B67" s="363">
        <f t="shared" si="7"/>
        <v>2.1223875502448237E-8</v>
      </c>
      <c r="C67" s="543">
        <f t="shared" si="8"/>
        <v>-5.0583569947501633E-8</v>
      </c>
      <c r="D67" s="542">
        <f t="shared" si="28"/>
        <v>-35.75</v>
      </c>
      <c r="E67" s="363">
        <f t="shared" si="9"/>
        <v>2.1223875502448237E-8</v>
      </c>
      <c r="F67" s="543">
        <f t="shared" si="10"/>
        <v>-5.0583569947501633E-8</v>
      </c>
      <c r="G67" s="548">
        <f t="shared" si="11"/>
        <v>-45.75</v>
      </c>
      <c r="H67" s="363">
        <f t="shared" si="12"/>
        <v>2.7707650032449599E-12</v>
      </c>
      <c r="I67" s="363">
        <f t="shared" si="13"/>
        <v>-8.4508332598971273E-12</v>
      </c>
      <c r="J67" s="364">
        <f t="shared" si="14"/>
        <v>2.1226646267451482E-8</v>
      </c>
      <c r="K67" s="194">
        <f t="shared" si="15"/>
        <v>2.7707650032449598E-10</v>
      </c>
      <c r="L67" s="646">
        <f t="shared" si="16"/>
        <v>2.1223875502448236E-6</v>
      </c>
      <c r="M67" s="365">
        <f t="shared" si="17"/>
        <v>2.1226646267451483E-6</v>
      </c>
      <c r="N67" s="194">
        <f t="shared" si="18"/>
        <v>-8.4508332598971268E-10</v>
      </c>
      <c r="O67" s="422">
        <f t="shared" si="19"/>
        <v>-5.0583569947501631E-6</v>
      </c>
      <c r="P67" s="365">
        <f t="shared" si="20"/>
        <v>-5.0592020780761524E-6</v>
      </c>
      <c r="R67" s="193">
        <f t="shared" ref="R67:R103" si="33">+D84</f>
        <v>-31.5</v>
      </c>
      <c r="S67" s="366">
        <f t="shared" ref="S67:S98" si="34">-E84*1000</f>
        <v>-4.8863465875158187E-4</v>
      </c>
      <c r="T67" s="193">
        <v>24</v>
      </c>
      <c r="U67" s="366">
        <f t="shared" ref="U67:U98" si="35">-H84*1000</f>
        <v>-1.6212966773844231E-7</v>
      </c>
      <c r="V67" s="193">
        <f t="shared" ref="V67:V98" si="36">+D84</f>
        <v>-31.5</v>
      </c>
      <c r="W67" s="366">
        <f t="shared" ref="W67:W98" si="37">-J84*1000</f>
        <v>-4.8879678841932039E-4</v>
      </c>
      <c r="X67" s="366"/>
      <c r="Y67" s="503"/>
      <c r="Z67" s="366"/>
      <c r="AA67" s="520">
        <f t="shared" si="21"/>
        <v>-8.3008926846186461E-10</v>
      </c>
      <c r="AB67" s="496"/>
      <c r="AC67" s="521">
        <f t="shared" si="22"/>
        <v>-3.8274789657821604E-6</v>
      </c>
      <c r="AD67" s="497"/>
      <c r="AE67" s="522">
        <f t="shared" si="23"/>
        <v>-3.8283090550506227E-6</v>
      </c>
      <c r="AG67" s="531">
        <f t="shared" si="24"/>
        <v>2.7328041760061386E-12</v>
      </c>
      <c r="AH67" s="221" t="str">
        <f t="shared" si="25"/>
        <v>NO</v>
      </c>
      <c r="AI67" s="532">
        <f t="shared" si="26"/>
        <v>1.2600753796813694E-8</v>
      </c>
      <c r="AJ67" s="221" t="str">
        <f t="shared" si="5"/>
        <v>NO</v>
      </c>
      <c r="AK67" s="533">
        <f>IF('IN-OUT'!$F$35=0,AG67,IF('IN-OUT'!$F$26=0,'transversal subsidence profile'!AI67,'transversal subsidence profile'!AG67+'transversal subsidence profile'!AI67))</f>
        <v>1.26034866009897E-8</v>
      </c>
      <c r="AL67" s="513">
        <f t="shared" si="6"/>
        <v>1000</v>
      </c>
    </row>
    <row r="68" spans="1:38">
      <c r="A68" s="542">
        <f t="shared" si="27"/>
        <v>-35.5</v>
      </c>
      <c r="B68" s="363">
        <f t="shared" si="7"/>
        <v>2.5805818814954858E-8</v>
      </c>
      <c r="C68" s="543">
        <f t="shared" si="8"/>
        <v>-6.1073771195393161E-8</v>
      </c>
      <c r="D68" s="542">
        <f t="shared" si="28"/>
        <v>-35.5</v>
      </c>
      <c r="E68" s="363">
        <f t="shared" si="9"/>
        <v>2.5805818814954858E-8</v>
      </c>
      <c r="F68" s="543">
        <f t="shared" si="10"/>
        <v>-6.1073771195393161E-8</v>
      </c>
      <c r="G68" s="548">
        <f t="shared" si="11"/>
        <v>-45.5</v>
      </c>
      <c r="H68" s="363">
        <f t="shared" si="12"/>
        <v>3.5589529700007312E-12</v>
      </c>
      <c r="I68" s="363">
        <f t="shared" si="13"/>
        <v>-1.0795490675668883E-11</v>
      </c>
      <c r="J68" s="364">
        <f t="shared" si="14"/>
        <v>2.5809377767924858E-8</v>
      </c>
      <c r="K68" s="194">
        <f t="shared" si="15"/>
        <v>3.558952970000731E-10</v>
      </c>
      <c r="L68" s="646">
        <f t="shared" si="16"/>
        <v>2.5805818814954856E-6</v>
      </c>
      <c r="M68" s="365">
        <f t="shared" si="17"/>
        <v>2.5809377767924857E-6</v>
      </c>
      <c r="N68" s="194">
        <f t="shared" si="18"/>
        <v>-1.0795490675668884E-9</v>
      </c>
      <c r="O68" s="422">
        <f t="shared" si="19"/>
        <v>-6.1073771195393159E-6</v>
      </c>
      <c r="P68" s="365">
        <f t="shared" si="20"/>
        <v>-6.108456668606883E-6</v>
      </c>
      <c r="R68" s="193">
        <f t="shared" si="33"/>
        <v>-31.25</v>
      </c>
      <c r="S68" s="366">
        <f t="shared" si="34"/>
        <v>-5.8042972027723936E-4</v>
      </c>
      <c r="T68" s="193">
        <v>25</v>
      </c>
      <c r="U68" s="366">
        <f t="shared" si="35"/>
        <v>-2.0344989387549568E-7</v>
      </c>
      <c r="V68" s="193">
        <f t="shared" si="36"/>
        <v>-31.25</v>
      </c>
      <c r="W68" s="366">
        <f t="shared" si="37"/>
        <v>-5.8063317017111493E-4</v>
      </c>
      <c r="X68" s="366"/>
      <c r="Y68" s="503"/>
      <c r="Z68" s="366"/>
      <c r="AA68" s="520">
        <f t="shared" si="21"/>
        <v>-1.0543418515150771E-9</v>
      </c>
      <c r="AB68" s="496"/>
      <c r="AC68" s="521">
        <f t="shared" si="22"/>
        <v>-4.5865211583781222E-6</v>
      </c>
      <c r="AD68" s="497"/>
      <c r="AE68" s="522">
        <f t="shared" si="23"/>
        <v>-4.587575500229637E-6</v>
      </c>
      <c r="AG68" s="531">
        <f t="shared" si="24"/>
        <v>3.4710842848232987E-12</v>
      </c>
      <c r="AH68" s="221" t="str">
        <f t="shared" si="25"/>
        <v>NO</v>
      </c>
      <c r="AI68" s="532">
        <f t="shared" si="26"/>
        <v>1.5099658134578179E-8</v>
      </c>
      <c r="AJ68" s="221" t="str">
        <f t="shared" si="5"/>
        <v>NO</v>
      </c>
      <c r="AK68" s="533">
        <f>IF('IN-OUT'!$F$35=0,AG68,IF('IN-OUT'!$F$26=0,'transversal subsidence profile'!AI68,'transversal subsidence profile'!AG68+'transversal subsidence profile'!AI68))</f>
        <v>1.5103129218863001E-8</v>
      </c>
      <c r="AL68" s="513">
        <f t="shared" si="6"/>
        <v>1000</v>
      </c>
    </row>
    <row r="69" spans="1:38">
      <c r="A69" s="542">
        <f t="shared" si="27"/>
        <v>-35.25</v>
      </c>
      <c r="B69" s="363">
        <f t="shared" si="7"/>
        <v>3.1333929213649484E-8</v>
      </c>
      <c r="C69" s="543">
        <f t="shared" si="8"/>
        <v>-7.3634733652076292E-8</v>
      </c>
      <c r="D69" s="542">
        <f t="shared" si="28"/>
        <v>-35.25</v>
      </c>
      <c r="E69" s="363">
        <f t="shared" si="9"/>
        <v>3.1333929213649484E-8</v>
      </c>
      <c r="F69" s="543">
        <f t="shared" si="10"/>
        <v>-7.3634733652076292E-8</v>
      </c>
      <c r="G69" s="548">
        <f t="shared" si="11"/>
        <v>-45.25</v>
      </c>
      <c r="H69" s="363">
        <f t="shared" si="12"/>
        <v>4.5650870618788978E-12</v>
      </c>
      <c r="I69" s="363">
        <f t="shared" si="13"/>
        <v>-1.3771345970001341E-11</v>
      </c>
      <c r="J69" s="364">
        <f t="shared" si="14"/>
        <v>3.1338494300711365E-8</v>
      </c>
      <c r="K69" s="194">
        <f t="shared" si="15"/>
        <v>4.5650870618788981E-10</v>
      </c>
      <c r="L69" s="646">
        <f t="shared" si="16"/>
        <v>3.1333929213649484E-6</v>
      </c>
      <c r="M69" s="365">
        <f t="shared" si="17"/>
        <v>3.1338494300711363E-6</v>
      </c>
      <c r="N69" s="194">
        <f t="shared" si="18"/>
        <v>-1.3771345970001342E-9</v>
      </c>
      <c r="O69" s="422">
        <f t="shared" si="19"/>
        <v>-7.3634733652076295E-6</v>
      </c>
      <c r="P69" s="365">
        <f t="shared" si="20"/>
        <v>-7.3648504998046293E-6</v>
      </c>
      <c r="R69" s="193">
        <f t="shared" si="33"/>
        <v>-31</v>
      </c>
      <c r="S69" s="366">
        <f t="shared" si="34"/>
        <v>-6.8852430522043002E-4</v>
      </c>
      <c r="T69" s="193">
        <v>26</v>
      </c>
      <c r="U69" s="366">
        <f t="shared" si="35"/>
        <v>-2.5495098992823882E-7</v>
      </c>
      <c r="V69" s="193">
        <f t="shared" si="36"/>
        <v>-31</v>
      </c>
      <c r="W69" s="366">
        <f t="shared" si="37"/>
        <v>-6.887792562103582E-4</v>
      </c>
      <c r="X69" s="366"/>
      <c r="Y69" s="503"/>
      <c r="Z69" s="366"/>
      <c r="AA69" s="520">
        <f t="shared" si="21"/>
        <v>-1.337255315647964E-9</v>
      </c>
      <c r="AB69" s="496"/>
      <c r="AC69" s="521">
        <f t="shared" si="22"/>
        <v>-5.4879507297651114E-6</v>
      </c>
      <c r="AD69" s="497"/>
      <c r="AE69" s="522">
        <f t="shared" si="23"/>
        <v>-5.4892879850807596E-6</v>
      </c>
      <c r="AG69" s="531">
        <f t="shared" si="24"/>
        <v>4.4024866358780695E-12</v>
      </c>
      <c r="AH69" s="221" t="str">
        <f t="shared" si="25"/>
        <v>NO</v>
      </c>
      <c r="AI69" s="532">
        <f t="shared" si="26"/>
        <v>1.8067327505399543E-8</v>
      </c>
      <c r="AJ69" s="221" t="str">
        <f t="shared" si="5"/>
        <v>NO</v>
      </c>
      <c r="AK69" s="533">
        <f>IF('IN-OUT'!$F$35=0,AG69,IF('IN-OUT'!$F$26=0,'transversal subsidence profile'!AI69,'transversal subsidence profile'!AG69+'transversal subsidence profile'!AI69))</f>
        <v>1.807172999203542E-8</v>
      </c>
      <c r="AL69" s="513">
        <f t="shared" si="6"/>
        <v>1000</v>
      </c>
    </row>
    <row r="70" spans="1:38">
      <c r="A70" s="542">
        <f t="shared" si="27"/>
        <v>-35</v>
      </c>
      <c r="B70" s="363">
        <f t="shared" si="7"/>
        <v>3.799411493806283E-8</v>
      </c>
      <c r="C70" s="543">
        <f t="shared" si="8"/>
        <v>-8.8652934855479936E-8</v>
      </c>
      <c r="D70" s="542">
        <f t="shared" si="28"/>
        <v>-35</v>
      </c>
      <c r="E70" s="363">
        <f t="shared" si="9"/>
        <v>3.799411493806283E-8</v>
      </c>
      <c r="F70" s="543">
        <f t="shared" si="10"/>
        <v>-8.8652934855479936E-8</v>
      </c>
      <c r="G70" s="548">
        <f t="shared" si="11"/>
        <v>-45</v>
      </c>
      <c r="H70" s="363">
        <f t="shared" si="12"/>
        <v>5.8476334256692369E-12</v>
      </c>
      <c r="I70" s="363">
        <f t="shared" si="13"/>
        <v>-1.7542900277007712E-11</v>
      </c>
      <c r="J70" s="364">
        <f t="shared" si="14"/>
        <v>3.7999962571488501E-8</v>
      </c>
      <c r="K70" s="194">
        <f t="shared" si="15"/>
        <v>5.8476334256692367E-10</v>
      </c>
      <c r="L70" s="646">
        <f t="shared" si="16"/>
        <v>3.7994114938062831E-6</v>
      </c>
      <c r="M70" s="365">
        <f t="shared" si="17"/>
        <v>3.7999962571488499E-6</v>
      </c>
      <c r="N70" s="194">
        <f t="shared" si="18"/>
        <v>-1.7542900277007713E-9</v>
      </c>
      <c r="O70" s="422">
        <f t="shared" si="19"/>
        <v>-8.8652934855479935E-6</v>
      </c>
      <c r="P70" s="365">
        <f t="shared" si="20"/>
        <v>-8.8670477755756946E-6</v>
      </c>
      <c r="R70" s="193">
        <f t="shared" si="33"/>
        <v>-30.75</v>
      </c>
      <c r="S70" s="366">
        <f t="shared" si="34"/>
        <v>-8.1562995871016389E-4</v>
      </c>
      <c r="T70" s="193">
        <v>27</v>
      </c>
      <c r="U70" s="366">
        <f t="shared" si="35"/>
        <v>-3.190510641621286E-7</v>
      </c>
      <c r="V70" s="193">
        <f t="shared" si="36"/>
        <v>-30.75</v>
      </c>
      <c r="W70" s="366">
        <f t="shared" si="37"/>
        <v>-8.1594900977432594E-4</v>
      </c>
      <c r="X70" s="366"/>
      <c r="Y70" s="503"/>
      <c r="Z70" s="366"/>
      <c r="AA70" s="520">
        <f t="shared" si="21"/>
        <v>-1.6936479032864237E-9</v>
      </c>
      <c r="AB70" s="496"/>
      <c r="AC70" s="521">
        <f t="shared" si="22"/>
        <v>-6.5568078920547199E-6</v>
      </c>
      <c r="AD70" s="497"/>
      <c r="AE70" s="522">
        <f t="shared" si="23"/>
        <v>-6.5585015399580067E-6</v>
      </c>
      <c r="AG70" s="531">
        <f t="shared" si="24"/>
        <v>5.575795566375056E-12</v>
      </c>
      <c r="AH70" s="221" t="str">
        <f t="shared" si="25"/>
        <v>NO</v>
      </c>
      <c r="AI70" s="532">
        <f t="shared" si="26"/>
        <v>2.1586198821579325E-8</v>
      </c>
      <c r="AJ70" s="221" t="str">
        <f t="shared" si="5"/>
        <v>NO</v>
      </c>
      <c r="AK70" s="533">
        <f>IF('IN-OUT'!$F$35=0,AG70,IF('IN-OUT'!$F$26=0,'transversal subsidence profile'!AI70,'transversal subsidence profile'!AG70+'transversal subsidence profile'!AI70))</f>
        <v>2.15917746171457E-8</v>
      </c>
      <c r="AL70" s="513">
        <f t="shared" si="6"/>
        <v>1000</v>
      </c>
    </row>
    <row r="71" spans="1:38">
      <c r="A71" s="542">
        <f t="shared" si="27"/>
        <v>-34.75</v>
      </c>
      <c r="B71" s="363">
        <f t="shared" si="7"/>
        <v>4.6006804173843368E-8</v>
      </c>
      <c r="C71" s="543">
        <f t="shared" si="8"/>
        <v>-1.065824296694038E-7</v>
      </c>
      <c r="D71" s="542">
        <f t="shared" si="28"/>
        <v>-34.75</v>
      </c>
      <c r="E71" s="363">
        <f t="shared" si="9"/>
        <v>4.6006804173843368E-8</v>
      </c>
      <c r="F71" s="543">
        <f t="shared" si="10"/>
        <v>-1.065824296694038E-7</v>
      </c>
      <c r="G71" s="548">
        <f t="shared" si="11"/>
        <v>-44.75</v>
      </c>
      <c r="H71" s="363">
        <f t="shared" si="12"/>
        <v>7.4802390195739709E-12</v>
      </c>
      <c r="I71" s="363">
        <f t="shared" si="13"/>
        <v>-2.2316046408395679E-11</v>
      </c>
      <c r="J71" s="364">
        <f t="shared" si="14"/>
        <v>4.6014284412862939E-8</v>
      </c>
      <c r="K71" s="194">
        <f t="shared" si="15"/>
        <v>7.4802390195739705E-10</v>
      </c>
      <c r="L71" s="646">
        <f t="shared" si="16"/>
        <v>4.6006804173843364E-6</v>
      </c>
      <c r="M71" s="365">
        <f t="shared" si="17"/>
        <v>4.6014284412862936E-6</v>
      </c>
      <c r="N71" s="194">
        <f t="shared" si="18"/>
        <v>-2.2316046408395681E-9</v>
      </c>
      <c r="O71" s="422">
        <f t="shared" si="19"/>
        <v>-1.065824296694038E-5</v>
      </c>
      <c r="P71" s="365">
        <f t="shared" si="20"/>
        <v>-1.066047457158122E-5</v>
      </c>
      <c r="R71" s="193">
        <f t="shared" si="33"/>
        <v>-30.5</v>
      </c>
      <c r="S71" s="366">
        <f t="shared" si="34"/>
        <v>-9.648755978814604E-4</v>
      </c>
      <c r="T71" s="193">
        <v>28</v>
      </c>
      <c r="U71" s="366">
        <f t="shared" si="35"/>
        <v>-3.9871993733592119E-7</v>
      </c>
      <c r="V71" s="193">
        <f t="shared" si="36"/>
        <v>-30.5</v>
      </c>
      <c r="W71" s="366">
        <f t="shared" si="37"/>
        <v>-9.6527431781879625E-4</v>
      </c>
      <c r="X71" s="366"/>
      <c r="Y71" s="503"/>
      <c r="Z71" s="366"/>
      <c r="AA71" s="520">
        <f t="shared" si="21"/>
        <v>-2.141940961873801E-9</v>
      </c>
      <c r="AB71" s="496"/>
      <c r="AC71" s="521">
        <f t="shared" si="22"/>
        <v>-7.8222085340658061E-6</v>
      </c>
      <c r="AD71" s="497"/>
      <c r="AE71" s="522">
        <f t="shared" si="23"/>
        <v>-7.8243504750276802E-6</v>
      </c>
      <c r="AG71" s="531">
        <f t="shared" si="24"/>
        <v>7.0516574876503732E-12</v>
      </c>
      <c r="AH71" s="221" t="str">
        <f t="shared" si="25"/>
        <v>NO</v>
      </c>
      <c r="AI71" s="532">
        <f t="shared" si="26"/>
        <v>2.5752126861121995E-8</v>
      </c>
      <c r="AJ71" s="221" t="str">
        <f t="shared" si="5"/>
        <v>NO</v>
      </c>
      <c r="AK71" s="533">
        <f>IF('IN-OUT'!$F$35=0,AG71,IF('IN-OUT'!$F$26=0,'transversal subsidence profile'!AI71,'transversal subsidence profile'!AG71+'transversal subsidence profile'!AI71))</f>
        <v>2.5759178518609646E-8</v>
      </c>
      <c r="AL71" s="513">
        <f t="shared" si="6"/>
        <v>1000</v>
      </c>
    </row>
    <row r="72" spans="1:38">
      <c r="A72" s="542">
        <f t="shared" si="27"/>
        <v>-34.5</v>
      </c>
      <c r="B72" s="363">
        <f t="shared" si="7"/>
        <v>5.5632946290929177E-8</v>
      </c>
      <c r="C72" s="543">
        <f t="shared" si="8"/>
        <v>-1.2795577646913713E-7</v>
      </c>
      <c r="D72" s="542">
        <f t="shared" si="28"/>
        <v>-34.5</v>
      </c>
      <c r="E72" s="363">
        <f t="shared" si="9"/>
        <v>5.5632946290929177E-8</v>
      </c>
      <c r="F72" s="543">
        <f t="shared" si="10"/>
        <v>-1.2795577646913713E-7</v>
      </c>
      <c r="G72" s="548">
        <f t="shared" si="11"/>
        <v>-44.5</v>
      </c>
      <c r="H72" s="363">
        <f t="shared" si="12"/>
        <v>9.555536388327201E-12</v>
      </c>
      <c r="I72" s="363">
        <f t="shared" si="13"/>
        <v>-2.8348091285370701E-11</v>
      </c>
      <c r="J72" s="364">
        <f t="shared" si="14"/>
        <v>5.5642501827317501E-8</v>
      </c>
      <c r="K72" s="194">
        <f t="shared" si="15"/>
        <v>9.555536388327201E-10</v>
      </c>
      <c r="L72" s="646">
        <f t="shared" si="16"/>
        <v>5.5632946290929175E-6</v>
      </c>
      <c r="M72" s="365">
        <f t="shared" si="17"/>
        <v>5.5642501827317502E-6</v>
      </c>
      <c r="N72" s="194">
        <f t="shared" si="18"/>
        <v>-2.83480912853707E-9</v>
      </c>
      <c r="O72" s="422">
        <f t="shared" si="19"/>
        <v>-1.2795577646913713E-5</v>
      </c>
      <c r="P72" s="365">
        <f t="shared" si="20"/>
        <v>-1.279841245604225E-5</v>
      </c>
      <c r="R72" s="193">
        <f t="shared" si="33"/>
        <v>-30.25</v>
      </c>
      <c r="S72" s="366">
        <f t="shared" si="34"/>
        <v>-1.1398658346772302E-3</v>
      </c>
      <c r="T72" s="193">
        <v>29</v>
      </c>
      <c r="U72" s="366">
        <f t="shared" si="35"/>
        <v>-4.9759953660370369E-7</v>
      </c>
      <c r="V72" s="193">
        <f t="shared" si="36"/>
        <v>-30.25</v>
      </c>
      <c r="W72" s="366">
        <f t="shared" si="37"/>
        <v>-1.1403634342138339E-3</v>
      </c>
      <c r="X72" s="366"/>
      <c r="Y72" s="503"/>
      <c r="Z72" s="366"/>
      <c r="AA72" s="520">
        <f t="shared" si="21"/>
        <v>-2.7049988925529816E-9</v>
      </c>
      <c r="AB72" s="496"/>
      <c r="AC72" s="521">
        <f t="shared" si="22"/>
        <v>-9.3179461483161215E-6</v>
      </c>
      <c r="AD72" s="497"/>
      <c r="AE72" s="522">
        <f t="shared" si="23"/>
        <v>-9.3206511472086745E-6</v>
      </c>
      <c r="AG72" s="531">
        <f t="shared" si="24"/>
        <v>8.9053461483225731E-12</v>
      </c>
      <c r="AH72" s="221" t="str">
        <f t="shared" si="25"/>
        <v>NO</v>
      </c>
      <c r="AI72" s="532">
        <f t="shared" si="26"/>
        <v>3.0676365920382285E-8</v>
      </c>
      <c r="AJ72" s="221" t="str">
        <f t="shared" si="5"/>
        <v>NO</v>
      </c>
      <c r="AK72" s="533">
        <f>IF('IN-OUT'!$F$35=0,AG72,IF('IN-OUT'!$F$26=0,'transversal subsidence profile'!AI72,'transversal subsidence profile'!AG72+'transversal subsidence profile'!AI72))</f>
        <v>3.0685271266530607E-8</v>
      </c>
      <c r="AL72" s="513">
        <f t="shared" si="6"/>
        <v>1000</v>
      </c>
    </row>
    <row r="73" spans="1:38">
      <c r="A73" s="542">
        <f t="shared" si="27"/>
        <v>-34.25</v>
      </c>
      <c r="B73" s="363">
        <f t="shared" si="7"/>
        <v>6.7180976887221607E-8</v>
      </c>
      <c r="C73" s="543">
        <f t="shared" si="8"/>
        <v>-1.5339656389248932E-7</v>
      </c>
      <c r="D73" s="542">
        <f t="shared" si="28"/>
        <v>-34.25</v>
      </c>
      <c r="E73" s="363">
        <f t="shared" si="9"/>
        <v>6.7180976887221607E-8</v>
      </c>
      <c r="F73" s="543">
        <f t="shared" si="10"/>
        <v>-1.5339656389248932E-7</v>
      </c>
      <c r="G73" s="548">
        <f t="shared" si="11"/>
        <v>-44.25</v>
      </c>
      <c r="H73" s="363">
        <f t="shared" si="12"/>
        <v>1.2189865843876895E-11</v>
      </c>
      <c r="I73" s="363">
        <f t="shared" si="13"/>
        <v>-3.5960104239436837E-11</v>
      </c>
      <c r="J73" s="364">
        <f t="shared" si="14"/>
        <v>6.7193166753065486E-8</v>
      </c>
      <c r="K73" s="194">
        <f t="shared" si="15"/>
        <v>1.2189865843876894E-9</v>
      </c>
      <c r="L73" s="646">
        <f t="shared" si="16"/>
        <v>6.718097688722161E-6</v>
      </c>
      <c r="M73" s="365">
        <f t="shared" si="17"/>
        <v>6.7193166753065486E-6</v>
      </c>
      <c r="N73" s="194">
        <f t="shared" si="18"/>
        <v>-3.5960104239436837E-9</v>
      </c>
      <c r="O73" s="422">
        <f t="shared" si="19"/>
        <v>-1.5339656389248934E-5</v>
      </c>
      <c r="P73" s="365">
        <f t="shared" si="20"/>
        <v>-1.5343252399672877E-5</v>
      </c>
      <c r="R73" s="193">
        <f t="shared" si="33"/>
        <v>-30</v>
      </c>
      <c r="S73" s="366">
        <f t="shared" si="34"/>
        <v>-1.3447464619457143E-3</v>
      </c>
      <c r="T73" s="193">
        <v>30</v>
      </c>
      <c r="U73" s="366">
        <f t="shared" si="35"/>
        <v>-6.2014927749717004E-7</v>
      </c>
      <c r="V73" s="193">
        <f t="shared" si="36"/>
        <v>-30</v>
      </c>
      <c r="W73" s="366">
        <f t="shared" si="37"/>
        <v>-1.3453666112232113E-3</v>
      </c>
      <c r="X73" s="366"/>
      <c r="Y73" s="503"/>
      <c r="Z73" s="366"/>
      <c r="AA73" s="520">
        <f t="shared" si="21"/>
        <v>-3.4111558740067029E-9</v>
      </c>
      <c r="AB73" s="496"/>
      <c r="AC73" s="521">
        <f t="shared" si="22"/>
        <v>-1.1083171678513743E-5</v>
      </c>
      <c r="AD73" s="497"/>
      <c r="AE73" s="522">
        <f t="shared" si="23"/>
        <v>-1.1086582834387751E-5</v>
      </c>
      <c r="AG73" s="531">
        <f t="shared" si="24"/>
        <v>1.1230142795083795E-11</v>
      </c>
      <c r="AH73" s="221" t="str">
        <f t="shared" si="25"/>
        <v>NO</v>
      </c>
      <c r="AI73" s="532">
        <f t="shared" si="26"/>
        <v>3.6487807995106969E-8</v>
      </c>
      <c r="AJ73" s="221" t="str">
        <f t="shared" si="5"/>
        <v>NO</v>
      </c>
      <c r="AK73" s="533">
        <f>IF('IN-OUT'!$F$35=0,AG73,IF('IN-OUT'!$F$26=0,'transversal subsidence profile'!AI73,'transversal subsidence profile'!AG73+'transversal subsidence profile'!AI73))</f>
        <v>3.6499038137902053E-8</v>
      </c>
      <c r="AL73" s="513">
        <f t="shared" si="6"/>
        <v>1000</v>
      </c>
    </row>
    <row r="74" spans="1:38">
      <c r="A74" s="542">
        <f t="shared" si="27"/>
        <v>-34</v>
      </c>
      <c r="B74" s="363">
        <f t="shared" si="7"/>
        <v>8.1014886664904516E-8</v>
      </c>
      <c r="C74" s="543">
        <f t="shared" si="8"/>
        <v>-1.8363374310711691E-7</v>
      </c>
      <c r="D74" s="542">
        <f t="shared" si="28"/>
        <v>-34</v>
      </c>
      <c r="E74" s="363">
        <f t="shared" si="9"/>
        <v>8.1014886664904516E-8</v>
      </c>
      <c r="F74" s="543">
        <f t="shared" si="10"/>
        <v>-1.8363374310711691E-7</v>
      </c>
      <c r="G74" s="548">
        <f t="shared" si="11"/>
        <v>-44</v>
      </c>
      <c r="H74" s="363">
        <f t="shared" si="12"/>
        <v>1.5529126985413633E-11</v>
      </c>
      <c r="I74" s="363">
        <f t="shared" si="13"/>
        <v>-4.5552105823879982E-11</v>
      </c>
      <c r="J74" s="364">
        <f t="shared" si="14"/>
        <v>8.1030415791889926E-8</v>
      </c>
      <c r="K74" s="194">
        <f t="shared" si="15"/>
        <v>1.5529126985413634E-9</v>
      </c>
      <c r="L74" s="646">
        <f t="shared" si="16"/>
        <v>8.101488666490452E-6</v>
      </c>
      <c r="M74" s="365">
        <f t="shared" si="17"/>
        <v>8.1030415791889937E-6</v>
      </c>
      <c r="N74" s="194">
        <f t="shared" si="18"/>
        <v>-4.5552105823879982E-9</v>
      </c>
      <c r="O74" s="422">
        <f t="shared" si="19"/>
        <v>-1.8363374310711692E-5</v>
      </c>
      <c r="P74" s="365">
        <f t="shared" si="20"/>
        <v>-1.8367929521294081E-5</v>
      </c>
      <c r="R74" s="193">
        <f t="shared" si="33"/>
        <v>-29.75</v>
      </c>
      <c r="S74" s="366">
        <f t="shared" si="34"/>
        <v>-1.5842778266059402E-3</v>
      </c>
      <c r="T74" s="193">
        <v>31</v>
      </c>
      <c r="U74" s="366">
        <f t="shared" si="35"/>
        <v>-7.7182133057216667E-7</v>
      </c>
      <c r="V74" s="193">
        <f t="shared" si="36"/>
        <v>-29.75</v>
      </c>
      <c r="W74" s="366">
        <f t="shared" si="37"/>
        <v>-1.5850496479365122E-3</v>
      </c>
      <c r="X74" s="366"/>
      <c r="Y74" s="503"/>
      <c r="Z74" s="366"/>
      <c r="AA74" s="520">
        <f t="shared" si="21"/>
        <v>-4.2954687144746791E-9</v>
      </c>
      <c r="AB74" s="496"/>
      <c r="AC74" s="521">
        <f t="shared" si="22"/>
        <v>-1.3163159500460527E-5</v>
      </c>
      <c r="AD74" s="497"/>
      <c r="AE74" s="522">
        <f t="shared" si="23"/>
        <v>-1.3167454969175001E-5</v>
      </c>
      <c r="AG74" s="531">
        <f t="shared" si="24"/>
        <v>1.4141460788394004E-11</v>
      </c>
      <c r="AH74" s="221" t="str">
        <f t="shared" si="25"/>
        <v>NO</v>
      </c>
      <c r="AI74" s="532">
        <f t="shared" si="26"/>
        <v>4.33355045282651E-8</v>
      </c>
      <c r="AJ74" s="221" t="str">
        <f t="shared" ref="AJ74:AJ137" si="38">IF(AND(ABS(AI73)&gt;ABS(AI74),(ABS(AI75)&gt;(ABS(AI74)))),G74,"NO")</f>
        <v>NO</v>
      </c>
      <c r="AK74" s="533">
        <f>IF('IN-OUT'!$F$35=0,AG74,IF('IN-OUT'!$F$26=0,'transversal subsidence profile'!AI74,'transversal subsidence profile'!AG74+'transversal subsidence profile'!AI74))</f>
        <v>4.3349645989053496E-8</v>
      </c>
      <c r="AL74" s="513">
        <f t="shared" ref="AL74:AL137" si="39">IF(AND(ABS(AK73)&gt;ABS(AK74),(ABS(AK75)&gt;(ABS(AK74))),(AK73*AK75)&lt;0),G74,1000)</f>
        <v>1000</v>
      </c>
    </row>
    <row r="75" spans="1:38">
      <c r="A75" s="542">
        <f t="shared" si="27"/>
        <v>-33.75</v>
      </c>
      <c r="B75" s="363">
        <f t="shared" ref="B75:B138" si="40">+$L$5*EXP(-(A75^2)/(2*$J$5^2))</f>
        <v>9.7563551898995426E-8</v>
      </c>
      <c r="C75" s="543">
        <f t="shared" ref="C75:C138" si="41">+$L$5*A75/$B$5*EXP(-(A75^2)/(2*$J$5^2))</f>
        <v>-2.1951799177273973E-7</v>
      </c>
      <c r="D75" s="542">
        <f t="shared" si="28"/>
        <v>-33.75</v>
      </c>
      <c r="E75" s="363">
        <f t="shared" ref="E75:E138" si="42">+$L$6*EXP(-(D75^2)/(2*$J$6^2))</f>
        <v>9.7563551898995426E-8</v>
      </c>
      <c r="F75" s="543">
        <f t="shared" ref="F75:F138" si="43">+$L$6*D75/$F$5*EXP(-(D75^2)/(2*$J$6^2))</f>
        <v>-2.1951799177273973E-7</v>
      </c>
      <c r="G75" s="548">
        <f t="shared" ref="G75:G138" si="44">IF(OR($F$5=0,$F$6=0),D75,D75-$D$2)</f>
        <v>-43.75</v>
      </c>
      <c r="H75" s="363">
        <f t="shared" ref="H75:H138" si="45">+$L$5*EXP(-(G75^2)/(2*$J$5^2))</f>
        <v>1.9756018154267637E-11</v>
      </c>
      <c r="I75" s="363">
        <f t="shared" ref="I75:I138" si="46">+$L$5*G75/$B$5*EXP(-(G75^2)/(2*$J$5^2))</f>
        <v>-5.7621719616613943E-11</v>
      </c>
      <c r="J75" s="364">
        <f t="shared" ref="J75:J138" si="47">+H75+B75</f>
        <v>9.7583307917149696E-8</v>
      </c>
      <c r="K75" s="194">
        <f t="shared" ref="K75:K138" si="48">+H75*100</f>
        <v>1.9756018154267636E-9</v>
      </c>
      <c r="L75" s="646">
        <f t="shared" ref="L75:L138" si="49">+E75*100</f>
        <v>9.7563551898995425E-6</v>
      </c>
      <c r="M75" s="365">
        <f t="shared" ref="M75:M138" si="50">+IF(OR($B$5=0,$B$6=0),L75,IF(OR($F$5=0,$F$6=0),K75,K75+L75))</f>
        <v>9.7583307917149685E-6</v>
      </c>
      <c r="N75" s="194">
        <f t="shared" ref="N75:N138" si="51">+I75*100</f>
        <v>-5.7621719616613945E-9</v>
      </c>
      <c r="O75" s="422">
        <f t="shared" ref="O75:O138" si="52">+F75*100</f>
        <v>-2.1951799177273973E-5</v>
      </c>
      <c r="P75" s="365">
        <f t="shared" ref="P75:P138" si="53">+IF(OR($B$5=0,$B$6=0),O75,IF(OR($F$5=0,$F$6=0),N75,N75+O75))</f>
        <v>-2.1957561349235636E-5</v>
      </c>
      <c r="R75" s="193">
        <f t="shared" si="33"/>
        <v>-29.5</v>
      </c>
      <c r="S75" s="366">
        <f t="shared" si="34"/>
        <v>-1.8639168630971588E-3</v>
      </c>
      <c r="T75" s="193">
        <v>32</v>
      </c>
      <c r="U75" s="366">
        <f t="shared" si="35"/>
        <v>-9.5927156596457989E-7</v>
      </c>
      <c r="V75" s="193">
        <f t="shared" si="36"/>
        <v>-29.5</v>
      </c>
      <c r="W75" s="366">
        <f t="shared" si="37"/>
        <v>-1.8648761346631234E-3</v>
      </c>
      <c r="X75" s="366"/>
      <c r="Y75" s="503"/>
      <c r="Z75" s="366"/>
      <c r="AA75" s="520">
        <f t="shared" ref="AA75:AA138" si="54">($L$5/$B$5)*(1-((G75^2)/(($J$5)^2)))*EXP(-(G75^2)/(2*(($J$5)^2)))*100</f>
        <v>-5.4012429697300894E-9</v>
      </c>
      <c r="AB75" s="496"/>
      <c r="AC75" s="521">
        <f t="shared" ref="AC75:AC138" si="55">($L$6/$F$5)*(1-D75^2/(($J$6)^2))*EXP(-(D75^2)/(2*(($J$6)^2)))*100</f>
        <v>-1.5610168303839267E-5</v>
      </c>
      <c r="AD75" s="497"/>
      <c r="AE75" s="522">
        <f t="shared" ref="AE75:AE138" si="56">AA75+AC75</f>
        <v>-1.5615569546808999E-5</v>
      </c>
      <c r="AG75" s="531">
        <f t="shared" ref="AG75:AG138" si="57">($L$5*(1/(($J$5)^2))*(EXP(-(G75^2/(2*$J$5^2))))*((G75^2/($J$5^2))-1))</f>
        <v>1.7781869859193709E-11</v>
      </c>
      <c r="AH75" s="221" t="str">
        <f t="shared" ref="AH75:AH138" si="58">IF(AND(ABS(AG74)&gt;ABS(AG75),(ABS(AG76)&gt;(ABS(AG75)))),G75,"NO")</f>
        <v>NO</v>
      </c>
      <c r="AI75" s="532">
        <f t="shared" ref="AI75:AI138" si="59">($L$6*(1/(($J$6)^2))*(EXP(-((D75)^2/(2*$J$6^2))))*(((D75)^2/($J$6^2))-1))</f>
        <v>5.1391500588771252E-8</v>
      </c>
      <c r="AJ75" s="221" t="str">
        <f t="shared" si="38"/>
        <v>NO</v>
      </c>
      <c r="AK75" s="533">
        <f>IF('IN-OUT'!$F$35=0,AG75,IF('IN-OUT'!$F$26=0,'transversal subsidence profile'!AI75,'transversal subsidence profile'!AG75+'transversal subsidence profile'!AI75))</f>
        <v>5.1409282458630447E-8</v>
      </c>
      <c r="AL75" s="513">
        <f t="shared" si="39"/>
        <v>1000</v>
      </c>
    </row>
    <row r="76" spans="1:38">
      <c r="A76" s="542">
        <f t="shared" ref="A76:A139" si="60">A75+0.25</f>
        <v>-33.5</v>
      </c>
      <c r="B76" s="363">
        <f t="shared" si="40"/>
        <v>1.1733150379388988E-7</v>
      </c>
      <c r="C76" s="543">
        <f t="shared" si="41"/>
        <v>-2.6204035847302074E-7</v>
      </c>
      <c r="D76" s="542">
        <f t="shared" ref="D76:D139" si="61">D75+0.25</f>
        <v>-33.5</v>
      </c>
      <c r="E76" s="363">
        <f t="shared" si="42"/>
        <v>1.1733150379388988E-7</v>
      </c>
      <c r="F76" s="543">
        <f t="shared" si="43"/>
        <v>-2.6204035847302074E-7</v>
      </c>
      <c r="G76" s="548">
        <f t="shared" si="44"/>
        <v>-43.5</v>
      </c>
      <c r="H76" s="363">
        <f t="shared" si="45"/>
        <v>2.5098978804501809E-11</v>
      </c>
      <c r="I76" s="363">
        <f t="shared" si="46"/>
        <v>-7.2787038533055244E-11</v>
      </c>
      <c r="J76" s="364">
        <f t="shared" si="47"/>
        <v>1.1735660277269438E-7</v>
      </c>
      <c r="K76" s="194">
        <f t="shared" si="48"/>
        <v>2.5098978804501809E-9</v>
      </c>
      <c r="L76" s="646">
        <f t="shared" si="49"/>
        <v>1.1733150379388987E-5</v>
      </c>
      <c r="M76" s="365">
        <f t="shared" si="50"/>
        <v>1.1735660277269438E-5</v>
      </c>
      <c r="N76" s="194">
        <f t="shared" si="51"/>
        <v>-7.2787038533055247E-9</v>
      </c>
      <c r="O76" s="422">
        <f t="shared" si="52"/>
        <v>-2.6204035847302074E-5</v>
      </c>
      <c r="P76" s="365">
        <f t="shared" si="53"/>
        <v>-2.621131455115538E-5</v>
      </c>
      <c r="R76" s="193">
        <f t="shared" si="33"/>
        <v>-29.25</v>
      </c>
      <c r="S76" s="366">
        <f t="shared" si="34"/>
        <v>-2.189908609515334E-3</v>
      </c>
      <c r="T76" s="193">
        <v>33</v>
      </c>
      <c r="U76" s="366">
        <f t="shared" si="35"/>
        <v>-1.1906130168791525E-6</v>
      </c>
      <c r="V76" s="193">
        <f t="shared" si="36"/>
        <v>-29.25</v>
      </c>
      <c r="W76" s="366">
        <f t="shared" si="37"/>
        <v>-2.1910992225322133E-3</v>
      </c>
      <c r="X76" s="366"/>
      <c r="Y76" s="503"/>
      <c r="Z76" s="366"/>
      <c r="AA76" s="520">
        <f t="shared" si="54"/>
        <v>-6.7818886761464562E-9</v>
      </c>
      <c r="AB76" s="496"/>
      <c r="AC76" s="521">
        <f t="shared" si="55"/>
        <v>-1.8484406180679844E-5</v>
      </c>
      <c r="AD76" s="497"/>
      <c r="AE76" s="522">
        <f t="shared" si="56"/>
        <v>-1.849118806935599E-5</v>
      </c>
      <c r="AG76" s="531">
        <f t="shared" si="57"/>
        <v>2.2327205518177631E-11</v>
      </c>
      <c r="AH76" s="221" t="str">
        <f t="shared" si="58"/>
        <v>NO</v>
      </c>
      <c r="AI76" s="532">
        <f t="shared" si="59"/>
        <v>6.0854012117464505E-8</v>
      </c>
      <c r="AJ76" s="221" t="str">
        <f t="shared" si="38"/>
        <v>NO</v>
      </c>
      <c r="AK76" s="533">
        <f>IF('IN-OUT'!$F$35=0,AG76,IF('IN-OUT'!$F$26=0,'transversal subsidence profile'!AI76,'transversal subsidence profile'!AG76+'transversal subsidence profile'!AI76))</f>
        <v>6.0876339322982683E-8</v>
      </c>
      <c r="AL76" s="513">
        <f t="shared" si="39"/>
        <v>1000</v>
      </c>
    </row>
    <row r="77" spans="1:38">
      <c r="A77" s="542">
        <f t="shared" si="60"/>
        <v>-33.25</v>
      </c>
      <c r="B77" s="363">
        <f t="shared" si="40"/>
        <v>1.4091133547411193E-7</v>
      </c>
      <c r="C77" s="543">
        <f t="shared" si="41"/>
        <v>-3.1235346030094807E-7</v>
      </c>
      <c r="D77" s="542">
        <f t="shared" si="61"/>
        <v>-33.25</v>
      </c>
      <c r="E77" s="363">
        <f t="shared" si="42"/>
        <v>1.4091133547411193E-7</v>
      </c>
      <c r="F77" s="543">
        <f t="shared" si="43"/>
        <v>-3.1235346030094807E-7</v>
      </c>
      <c r="G77" s="548">
        <f t="shared" si="44"/>
        <v>-43.25</v>
      </c>
      <c r="H77" s="363">
        <f t="shared" si="45"/>
        <v>3.1843217778303569E-11</v>
      </c>
      <c r="I77" s="363">
        <f t="shared" si="46"/>
        <v>-9.1814611260775289E-11</v>
      </c>
      <c r="J77" s="364">
        <f t="shared" si="47"/>
        <v>1.4094317869189024E-7</v>
      </c>
      <c r="K77" s="194">
        <f t="shared" si="48"/>
        <v>3.184321777830357E-9</v>
      </c>
      <c r="L77" s="646">
        <f t="shared" si="49"/>
        <v>1.4091133547411193E-5</v>
      </c>
      <c r="M77" s="365">
        <f t="shared" si="50"/>
        <v>1.4094317869189023E-5</v>
      </c>
      <c r="N77" s="194">
        <f t="shared" si="51"/>
        <v>-9.1814611260775283E-9</v>
      </c>
      <c r="O77" s="422">
        <f t="shared" si="52"/>
        <v>-3.1235346030094804E-5</v>
      </c>
      <c r="P77" s="365">
        <f t="shared" si="53"/>
        <v>-3.1244527491220884E-5</v>
      </c>
      <c r="R77" s="193">
        <f t="shared" si="33"/>
        <v>-29</v>
      </c>
      <c r="S77" s="366">
        <f t="shared" si="34"/>
        <v>-2.5693880770651461E-3</v>
      </c>
      <c r="T77" s="193">
        <v>34</v>
      </c>
      <c r="U77" s="366">
        <f t="shared" si="35"/>
        <v>-1.4757199247926278E-6</v>
      </c>
      <c r="V77" s="193">
        <f t="shared" si="36"/>
        <v>-29</v>
      </c>
      <c r="W77" s="366">
        <f t="shared" si="37"/>
        <v>-2.5708637969899385E-3</v>
      </c>
      <c r="X77" s="366"/>
      <c r="Y77" s="503"/>
      <c r="Z77" s="366"/>
      <c r="AA77" s="520">
        <f t="shared" si="54"/>
        <v>-8.503172922967208E-9</v>
      </c>
      <c r="AB77" s="496"/>
      <c r="AC77" s="521">
        <f t="shared" si="55"/>
        <v>-2.1855109736085395E-5</v>
      </c>
      <c r="AD77" s="497"/>
      <c r="AE77" s="522">
        <f t="shared" si="56"/>
        <v>-2.1863612909008364E-5</v>
      </c>
      <c r="AG77" s="531">
        <f t="shared" si="57"/>
        <v>2.7993984931579285E-11</v>
      </c>
      <c r="AH77" s="221" t="str">
        <f t="shared" si="58"/>
        <v>NO</v>
      </c>
      <c r="AI77" s="532">
        <f t="shared" si="59"/>
        <v>7.1950978555013647E-8</v>
      </c>
      <c r="AJ77" s="221" t="str">
        <f t="shared" si="38"/>
        <v>NO</v>
      </c>
      <c r="AK77" s="533">
        <f>IF('IN-OUT'!$F$35=0,AG77,IF('IN-OUT'!$F$26=0,'transversal subsidence profile'!AI77,'transversal subsidence profile'!AG77+'transversal subsidence profile'!AI77))</f>
        <v>7.1978972539945232E-8</v>
      </c>
      <c r="AL77" s="513">
        <f t="shared" si="39"/>
        <v>1000</v>
      </c>
    </row>
    <row r="78" spans="1:38">
      <c r="A78" s="542">
        <f t="shared" si="60"/>
        <v>-33</v>
      </c>
      <c r="B78" s="363">
        <f t="shared" si="40"/>
        <v>1.6899796882487886E-7</v>
      </c>
      <c r="C78" s="543">
        <f t="shared" si="41"/>
        <v>-3.7179553141473351E-7</v>
      </c>
      <c r="D78" s="542">
        <f t="shared" si="61"/>
        <v>-33</v>
      </c>
      <c r="E78" s="363">
        <f t="shared" si="42"/>
        <v>1.6899796882487886E-7</v>
      </c>
      <c r="F78" s="543">
        <f t="shared" si="43"/>
        <v>-3.7179553141473351E-7</v>
      </c>
      <c r="G78" s="548">
        <f t="shared" si="44"/>
        <v>-43</v>
      </c>
      <c r="H78" s="363">
        <f t="shared" si="45"/>
        <v>4.0344292348816813E-11</v>
      </c>
      <c r="I78" s="363">
        <f t="shared" si="46"/>
        <v>-1.1565363806660819E-10</v>
      </c>
      <c r="J78" s="364">
        <f t="shared" si="47"/>
        <v>1.6903831311722767E-7</v>
      </c>
      <c r="K78" s="194">
        <f t="shared" si="48"/>
        <v>4.0344292348816814E-9</v>
      </c>
      <c r="L78" s="646">
        <f t="shared" si="49"/>
        <v>1.6899796882487886E-5</v>
      </c>
      <c r="M78" s="365">
        <f t="shared" si="50"/>
        <v>1.6903831311722769E-5</v>
      </c>
      <c r="N78" s="194">
        <f t="shared" si="51"/>
        <v>-1.1565363806660819E-8</v>
      </c>
      <c r="O78" s="422">
        <f t="shared" si="52"/>
        <v>-3.7179553141473351E-5</v>
      </c>
      <c r="P78" s="365">
        <f t="shared" si="53"/>
        <v>-3.7191118505280015E-5</v>
      </c>
      <c r="R78" s="193">
        <f t="shared" si="33"/>
        <v>-28.75</v>
      </c>
      <c r="S78" s="366">
        <f t="shared" si="34"/>
        <v>-3.0104933899017671E-3</v>
      </c>
      <c r="T78" s="193">
        <v>35</v>
      </c>
      <c r="U78" s="366">
        <f t="shared" si="35"/>
        <v>-1.8265918507117786E-6</v>
      </c>
      <c r="V78" s="193">
        <f t="shared" si="36"/>
        <v>-28.75</v>
      </c>
      <c r="W78" s="366">
        <f t="shared" si="37"/>
        <v>-3.0123199817524791E-3</v>
      </c>
      <c r="X78" s="366"/>
      <c r="Y78" s="503"/>
      <c r="Z78" s="366"/>
      <c r="AA78" s="520">
        <f t="shared" si="54"/>
        <v>-1.0645949297897659E-8</v>
      </c>
      <c r="AB78" s="496"/>
      <c r="AC78" s="521">
        <f t="shared" si="55"/>
        <v>-2.580174750371607E-5</v>
      </c>
      <c r="AD78" s="497"/>
      <c r="AE78" s="522">
        <f t="shared" si="56"/>
        <v>-2.5812393453013967E-5</v>
      </c>
      <c r="AG78" s="531">
        <f t="shared" si="57"/>
        <v>3.5048392750280358E-11</v>
      </c>
      <c r="AH78" s="221" t="str">
        <f t="shared" si="58"/>
        <v>NO</v>
      </c>
      <c r="AI78" s="532">
        <f t="shared" si="59"/>
        <v>8.4944024703591998E-8</v>
      </c>
      <c r="AJ78" s="221" t="str">
        <f t="shared" si="38"/>
        <v>NO</v>
      </c>
      <c r="AK78" s="533">
        <f>IF('IN-OUT'!$F$35=0,AG78,IF('IN-OUT'!$F$26=0,'transversal subsidence profile'!AI78,'transversal subsidence profile'!AG78+'transversal subsidence profile'!AI78))</f>
        <v>8.4979073096342278E-8</v>
      </c>
      <c r="AL78" s="513">
        <f t="shared" si="39"/>
        <v>1000</v>
      </c>
    </row>
    <row r="79" spans="1:38">
      <c r="A79" s="542">
        <f t="shared" si="60"/>
        <v>-32.75</v>
      </c>
      <c r="B79" s="363">
        <f t="shared" si="40"/>
        <v>2.0240502898220163E-7</v>
      </c>
      <c r="C79" s="543">
        <f t="shared" si="41"/>
        <v>-4.4191764661114027E-7</v>
      </c>
      <c r="D79" s="542">
        <f t="shared" si="61"/>
        <v>-32.75</v>
      </c>
      <c r="E79" s="363">
        <f t="shared" si="42"/>
        <v>2.0240502898220163E-7</v>
      </c>
      <c r="F79" s="543">
        <f t="shared" si="43"/>
        <v>-4.4191764661114027E-7</v>
      </c>
      <c r="G79" s="548">
        <f t="shared" si="44"/>
        <v>-42.75</v>
      </c>
      <c r="H79" s="363">
        <f t="shared" si="45"/>
        <v>5.1044801272981394E-11</v>
      </c>
      <c r="I79" s="363">
        <f t="shared" si="46"/>
        <v>-1.4547768362799698E-10</v>
      </c>
      <c r="J79" s="364">
        <f t="shared" si="47"/>
        <v>2.0245607378347461E-7</v>
      </c>
      <c r="K79" s="194">
        <f t="shared" si="48"/>
        <v>5.1044801272981395E-9</v>
      </c>
      <c r="L79" s="646">
        <f t="shared" si="49"/>
        <v>2.0240502898220164E-5</v>
      </c>
      <c r="M79" s="365">
        <f t="shared" si="50"/>
        <v>2.0245607378347463E-5</v>
      </c>
      <c r="N79" s="194">
        <f t="shared" si="51"/>
        <v>-1.4547768362799697E-8</v>
      </c>
      <c r="O79" s="422">
        <f t="shared" si="52"/>
        <v>-4.4191764661114027E-5</v>
      </c>
      <c r="P79" s="365">
        <f t="shared" si="53"/>
        <v>-4.4206312429476824E-5</v>
      </c>
      <c r="R79" s="193">
        <f t="shared" si="33"/>
        <v>-28.5</v>
      </c>
      <c r="S79" s="366">
        <f t="shared" si="34"/>
        <v>-3.5224911561666889E-3</v>
      </c>
      <c r="T79" s="193">
        <v>36</v>
      </c>
      <c r="U79" s="366">
        <f t="shared" si="35"/>
        <v>-2.25778898726142E-6</v>
      </c>
      <c r="V79" s="193">
        <f t="shared" si="36"/>
        <v>-28.5</v>
      </c>
      <c r="W79" s="366">
        <f t="shared" si="37"/>
        <v>-3.5247489451539506E-3</v>
      </c>
      <c r="X79" s="366"/>
      <c r="Y79" s="503"/>
      <c r="Z79" s="366"/>
      <c r="AA79" s="520">
        <f t="shared" si="54"/>
        <v>-1.3309459294881077E-8</v>
      </c>
      <c r="AB79" s="496"/>
      <c r="AC79" s="521">
        <f t="shared" si="55"/>
        <v>-3.0415358356063437E-5</v>
      </c>
      <c r="AD79" s="497"/>
      <c r="AE79" s="522">
        <f t="shared" si="56"/>
        <v>-3.0428667815358318E-5</v>
      </c>
      <c r="AG79" s="531">
        <f t="shared" si="57"/>
        <v>4.381714994199531E-11</v>
      </c>
      <c r="AH79" s="221" t="str">
        <f t="shared" si="58"/>
        <v>NO</v>
      </c>
      <c r="AI79" s="532">
        <f t="shared" si="59"/>
        <v>1.0013286701584671E-7</v>
      </c>
      <c r="AJ79" s="221" t="str">
        <f t="shared" si="38"/>
        <v>NO</v>
      </c>
      <c r="AK79" s="533">
        <f>IF('IN-OUT'!$F$35=0,AG79,IF('IN-OUT'!$F$26=0,'transversal subsidence profile'!AI79,'transversal subsidence profile'!AG79+'transversal subsidence profile'!AI79))</f>
        <v>1.001766841657887E-7</v>
      </c>
      <c r="AL79" s="513">
        <f t="shared" si="39"/>
        <v>1000</v>
      </c>
    </row>
    <row r="80" spans="1:38">
      <c r="A80" s="542">
        <f t="shared" si="60"/>
        <v>-32.5</v>
      </c>
      <c r="B80" s="363">
        <f t="shared" si="40"/>
        <v>2.4208360205461144E-7</v>
      </c>
      <c r="C80" s="543">
        <f t="shared" si="41"/>
        <v>-5.2451447111832478E-7</v>
      </c>
      <c r="D80" s="542">
        <f t="shared" si="61"/>
        <v>-32.5</v>
      </c>
      <c r="E80" s="363">
        <f t="shared" si="42"/>
        <v>2.4208360205461144E-7</v>
      </c>
      <c r="F80" s="543">
        <f t="shared" si="43"/>
        <v>-5.2451447111832478E-7</v>
      </c>
      <c r="G80" s="548">
        <f t="shared" si="44"/>
        <v>-42.5</v>
      </c>
      <c r="H80" s="363">
        <f t="shared" si="45"/>
        <v>6.4494873086965418E-11</v>
      </c>
      <c r="I80" s="363">
        <f t="shared" si="46"/>
        <v>-1.82735473746402E-10</v>
      </c>
      <c r="J80" s="364">
        <f t="shared" si="47"/>
        <v>2.4214809692769839E-7</v>
      </c>
      <c r="K80" s="194">
        <f t="shared" si="48"/>
        <v>6.4494873086965421E-9</v>
      </c>
      <c r="L80" s="646">
        <f t="shared" si="49"/>
        <v>2.4208360205461144E-5</v>
      </c>
      <c r="M80" s="365">
        <f t="shared" si="50"/>
        <v>2.4214809692769842E-5</v>
      </c>
      <c r="N80" s="194">
        <f t="shared" si="51"/>
        <v>-1.8273547374640201E-8</v>
      </c>
      <c r="O80" s="422">
        <f t="shared" si="52"/>
        <v>-5.2451447111832479E-5</v>
      </c>
      <c r="P80" s="365">
        <f t="shared" si="53"/>
        <v>-5.2469720659207116E-5</v>
      </c>
      <c r="R80" s="193">
        <f t="shared" si="33"/>
        <v>-28.25</v>
      </c>
      <c r="S80" s="366">
        <f t="shared" si="34"/>
        <v>-4.115915070974324E-3</v>
      </c>
      <c r="T80" s="193">
        <v>37</v>
      </c>
      <c r="U80" s="366">
        <f t="shared" si="35"/>
        <v>-2.7869517183142705E-6</v>
      </c>
      <c r="V80" s="193">
        <f t="shared" si="36"/>
        <v>-28.25</v>
      </c>
      <c r="W80" s="366">
        <f t="shared" si="37"/>
        <v>-4.1187020226926387E-3</v>
      </c>
      <c r="X80" s="366"/>
      <c r="Y80" s="503"/>
      <c r="Z80" s="366"/>
      <c r="AA80" s="520">
        <f t="shared" si="54"/>
        <v>-1.6615318424626453E-8</v>
      </c>
      <c r="AB80" s="496"/>
      <c r="AC80" s="521">
        <f t="shared" si="55"/>
        <v>-3.5800035928899141E-5</v>
      </c>
      <c r="AD80" s="497"/>
      <c r="AE80" s="522">
        <f t="shared" si="56"/>
        <v>-3.5816651247323766E-5</v>
      </c>
      <c r="AG80" s="531">
        <f t="shared" si="57"/>
        <v>5.4700636788893667E-11</v>
      </c>
      <c r="AH80" s="221" t="str">
        <f t="shared" si="58"/>
        <v>NO</v>
      </c>
      <c r="AI80" s="532">
        <f t="shared" si="59"/>
        <v>1.1786020058896835E-7</v>
      </c>
      <c r="AJ80" s="221" t="str">
        <f t="shared" si="38"/>
        <v>NO</v>
      </c>
      <c r="AK80" s="533">
        <f>IF('IN-OUT'!$F$35=0,AG80,IF('IN-OUT'!$F$26=0,'transversal subsidence profile'!AI80,'transversal subsidence profile'!AG80+'transversal subsidence profile'!AI80))</f>
        <v>1.1791490122575725E-7</v>
      </c>
      <c r="AL80" s="513">
        <f t="shared" si="39"/>
        <v>1000</v>
      </c>
    </row>
    <row r="81" spans="1:38">
      <c r="A81" s="542">
        <f t="shared" si="60"/>
        <v>-32.25</v>
      </c>
      <c r="B81" s="363">
        <f t="shared" si="40"/>
        <v>2.8914368170663837E-7</v>
      </c>
      <c r="C81" s="543">
        <f t="shared" si="41"/>
        <v>-6.2165891566927255E-7</v>
      </c>
      <c r="D81" s="542">
        <f t="shared" si="61"/>
        <v>-32.25</v>
      </c>
      <c r="E81" s="363">
        <f t="shared" si="42"/>
        <v>2.8914368170663837E-7</v>
      </c>
      <c r="F81" s="543">
        <f t="shared" si="43"/>
        <v>-6.2165891566927255E-7</v>
      </c>
      <c r="G81" s="548">
        <f t="shared" si="44"/>
        <v>-42.25</v>
      </c>
      <c r="H81" s="363">
        <f t="shared" si="45"/>
        <v>8.1377272115771769E-11</v>
      </c>
      <c r="I81" s="363">
        <f t="shared" si="46"/>
        <v>-2.2921264979275718E-10</v>
      </c>
      <c r="J81" s="364">
        <f t="shared" si="47"/>
        <v>2.8922505897875416E-7</v>
      </c>
      <c r="K81" s="194">
        <f t="shared" si="48"/>
        <v>8.1377272115771774E-9</v>
      </c>
      <c r="L81" s="646">
        <f t="shared" si="49"/>
        <v>2.8914368170663838E-5</v>
      </c>
      <c r="M81" s="365">
        <f t="shared" si="50"/>
        <v>2.8922505897875416E-5</v>
      </c>
      <c r="N81" s="194">
        <f t="shared" si="51"/>
        <v>-2.2921264979275717E-8</v>
      </c>
      <c r="O81" s="422">
        <f t="shared" si="52"/>
        <v>-6.2165891566927259E-5</v>
      </c>
      <c r="P81" s="365">
        <f t="shared" si="53"/>
        <v>-6.2188812831906541E-5</v>
      </c>
      <c r="R81" s="193">
        <f t="shared" si="33"/>
        <v>-28</v>
      </c>
      <c r="S81" s="366">
        <f t="shared" si="34"/>
        <v>-4.8027187870904467E-3</v>
      </c>
      <c r="T81" s="193">
        <v>38</v>
      </c>
      <c r="U81" s="366">
        <f t="shared" si="35"/>
        <v>-3.4354196828064234E-6</v>
      </c>
      <c r="V81" s="193">
        <f t="shared" si="36"/>
        <v>-28</v>
      </c>
      <c r="W81" s="366">
        <f t="shared" si="37"/>
        <v>-4.806154206773253E-3</v>
      </c>
      <c r="X81" s="366"/>
      <c r="Y81" s="503"/>
      <c r="Z81" s="366"/>
      <c r="AA81" s="520">
        <f t="shared" si="54"/>
        <v>-2.0712320416334336E-8</v>
      </c>
      <c r="AB81" s="496"/>
      <c r="AC81" s="521">
        <f t="shared" si="55"/>
        <v>-4.2074570309245817E-5</v>
      </c>
      <c r="AD81" s="497"/>
      <c r="AE81" s="522">
        <f t="shared" si="56"/>
        <v>-4.2095282629662149E-5</v>
      </c>
      <c r="AG81" s="531">
        <f t="shared" si="57"/>
        <v>6.8188709189578058E-11</v>
      </c>
      <c r="AH81" s="221" t="str">
        <f t="shared" si="58"/>
        <v>NO</v>
      </c>
      <c r="AI81" s="532">
        <f t="shared" si="59"/>
        <v>1.3851710389875164E-7</v>
      </c>
      <c r="AJ81" s="221" t="str">
        <f t="shared" si="38"/>
        <v>NO</v>
      </c>
      <c r="AK81" s="533">
        <f>IF('IN-OUT'!$F$35=0,AG81,IF('IN-OUT'!$F$26=0,'transversal subsidence profile'!AI81,'transversal subsidence profile'!AG81+'transversal subsidence profile'!AI81))</f>
        <v>1.3858529260794122E-7</v>
      </c>
      <c r="AL81" s="513">
        <f t="shared" si="39"/>
        <v>1000</v>
      </c>
    </row>
    <row r="82" spans="1:38">
      <c r="A82" s="542">
        <f t="shared" si="60"/>
        <v>-32</v>
      </c>
      <c r="B82" s="363">
        <f t="shared" si="40"/>
        <v>3.4487864259477436E-7</v>
      </c>
      <c r="C82" s="543">
        <f t="shared" si="41"/>
        <v>-7.3574110420218521E-7</v>
      </c>
      <c r="D82" s="542">
        <f t="shared" si="61"/>
        <v>-32</v>
      </c>
      <c r="E82" s="363">
        <f t="shared" si="42"/>
        <v>3.4487864259477436E-7</v>
      </c>
      <c r="F82" s="543">
        <f t="shared" si="43"/>
        <v>-7.3574110420218521E-7</v>
      </c>
      <c r="G82" s="548">
        <f t="shared" si="44"/>
        <v>-42</v>
      </c>
      <c r="H82" s="363">
        <f t="shared" si="45"/>
        <v>1.0253811341284479E-10</v>
      </c>
      <c r="I82" s="363">
        <f t="shared" si="46"/>
        <v>-2.8710671755596545E-10</v>
      </c>
      <c r="J82" s="364">
        <f t="shared" si="47"/>
        <v>3.449811807081872E-7</v>
      </c>
      <c r="K82" s="194">
        <f t="shared" si="48"/>
        <v>1.0253811341284478E-8</v>
      </c>
      <c r="L82" s="646">
        <f t="shared" si="49"/>
        <v>3.4487864259477438E-5</v>
      </c>
      <c r="M82" s="365">
        <f t="shared" si="50"/>
        <v>3.4498118070818721E-5</v>
      </c>
      <c r="N82" s="194">
        <f t="shared" si="51"/>
        <v>-2.8710671755596544E-8</v>
      </c>
      <c r="O82" s="422">
        <f t="shared" si="52"/>
        <v>-7.3574110420218525E-5</v>
      </c>
      <c r="P82" s="365">
        <f t="shared" si="53"/>
        <v>-7.3602821091974121E-5</v>
      </c>
      <c r="R82" s="193">
        <f t="shared" si="33"/>
        <v>-27.75</v>
      </c>
      <c r="S82" s="366">
        <f t="shared" si="34"/>
        <v>-5.5964441177368566E-3</v>
      </c>
      <c r="T82" s="193">
        <v>39</v>
      </c>
      <c r="U82" s="366">
        <f t="shared" si="35"/>
        <v>-4.2289681479797785E-6</v>
      </c>
      <c r="V82" s="193">
        <f t="shared" si="36"/>
        <v>-27.75</v>
      </c>
      <c r="W82" s="366">
        <f t="shared" si="37"/>
        <v>-5.600673085884837E-3</v>
      </c>
      <c r="X82" s="366"/>
      <c r="Y82" s="503"/>
      <c r="Z82" s="366"/>
      <c r="AA82" s="520">
        <f t="shared" si="54"/>
        <v>-2.5782216993929284E-8</v>
      </c>
      <c r="AB82" s="496"/>
      <c r="AC82" s="521">
        <f t="shared" si="55"/>
        <v>-4.9374258343129331E-5</v>
      </c>
      <c r="AD82" s="497"/>
      <c r="AE82" s="522">
        <f t="shared" si="56"/>
        <v>-4.9400040560123261E-5</v>
      </c>
      <c r="AG82" s="531">
        <f t="shared" si="57"/>
        <v>8.4879726728985296E-11</v>
      </c>
      <c r="AH82" s="221" t="str">
        <f t="shared" si="58"/>
        <v>NO</v>
      </c>
      <c r="AI82" s="532">
        <f t="shared" si="59"/>
        <v>1.6254899866050806E-7</v>
      </c>
      <c r="AJ82" s="221" t="str">
        <f t="shared" si="38"/>
        <v>NO</v>
      </c>
      <c r="AK82" s="533">
        <f>IF('IN-OUT'!$F$35=0,AG82,IF('IN-OUT'!$F$26=0,'transversal subsidence profile'!AI82,'transversal subsidence profile'!AG82+'transversal subsidence profile'!AI82))</f>
        <v>1.6263387838723705E-7</v>
      </c>
      <c r="AL82" s="513">
        <f t="shared" si="39"/>
        <v>1000</v>
      </c>
    </row>
    <row r="83" spans="1:38">
      <c r="A83" s="542">
        <f t="shared" si="60"/>
        <v>-31.75</v>
      </c>
      <c r="B83" s="363">
        <f t="shared" si="40"/>
        <v>4.10793113341369E-7</v>
      </c>
      <c r="C83" s="543">
        <f t="shared" si="41"/>
        <v>-8.6951208990589773E-7</v>
      </c>
      <c r="D83" s="542">
        <f t="shared" si="61"/>
        <v>-31.75</v>
      </c>
      <c r="E83" s="363">
        <f t="shared" si="42"/>
        <v>4.10793113341369E-7</v>
      </c>
      <c r="F83" s="543">
        <f t="shared" si="43"/>
        <v>-8.6951208990589773E-7</v>
      </c>
      <c r="G83" s="548">
        <f t="shared" si="44"/>
        <v>-41.75</v>
      </c>
      <c r="H83" s="363">
        <f t="shared" si="45"/>
        <v>1.290243790614516E-10</v>
      </c>
      <c r="I83" s="363">
        <f t="shared" si="46"/>
        <v>-3.5911785505437364E-10</v>
      </c>
      <c r="J83" s="364">
        <f t="shared" si="47"/>
        <v>4.1092213772043043E-7</v>
      </c>
      <c r="K83" s="194">
        <f t="shared" si="48"/>
        <v>1.2902437906145159E-8</v>
      </c>
      <c r="L83" s="646">
        <f t="shared" si="49"/>
        <v>4.1079311334136901E-5</v>
      </c>
      <c r="M83" s="365">
        <f t="shared" si="50"/>
        <v>4.1092213772043049E-5</v>
      </c>
      <c r="N83" s="194">
        <f t="shared" si="51"/>
        <v>-3.5911785505437363E-8</v>
      </c>
      <c r="O83" s="422">
        <f t="shared" si="52"/>
        <v>-8.6951208990589769E-5</v>
      </c>
      <c r="P83" s="365">
        <f t="shared" si="53"/>
        <v>-8.6987120776095206E-5</v>
      </c>
      <c r="R83" s="193">
        <f t="shared" si="33"/>
        <v>-27.5</v>
      </c>
      <c r="S83" s="366">
        <f t="shared" si="34"/>
        <v>-6.5124056569019649E-3</v>
      </c>
      <c r="T83" s="193">
        <v>40</v>
      </c>
      <c r="U83" s="366">
        <f t="shared" si="35"/>
        <v>-5.1986824297207416E-6</v>
      </c>
      <c r="V83" s="193">
        <f t="shared" si="36"/>
        <v>-27.5</v>
      </c>
      <c r="W83" s="366">
        <f t="shared" si="37"/>
        <v>-6.5176043393316849E-3</v>
      </c>
      <c r="X83" s="366"/>
      <c r="Y83" s="503"/>
      <c r="Z83" s="366"/>
      <c r="AA83" s="520">
        <f t="shared" si="54"/>
        <v>-3.2046658759113176E-8</v>
      </c>
      <c r="AB83" s="496"/>
      <c r="AC83" s="521">
        <f t="shared" si="55"/>
        <v>-5.7852893877065229E-5</v>
      </c>
      <c r="AD83" s="497"/>
      <c r="AE83" s="522">
        <f t="shared" si="56"/>
        <v>-5.7884940535824343E-5</v>
      </c>
      <c r="AG83" s="531">
        <f t="shared" si="57"/>
        <v>1.0550340332218329E-10</v>
      </c>
      <c r="AH83" s="221" t="str">
        <f t="shared" si="58"/>
        <v>NO</v>
      </c>
      <c r="AI83" s="532">
        <f t="shared" si="59"/>
        <v>1.9046220206441224E-7</v>
      </c>
      <c r="AJ83" s="221" t="str">
        <f t="shared" si="38"/>
        <v>NO</v>
      </c>
      <c r="AK83" s="533">
        <f>IF('IN-OUT'!$F$35=0,AG83,IF('IN-OUT'!$F$26=0,'transversal subsidence profile'!AI83,'transversal subsidence profile'!AG83+'transversal subsidence profile'!AI83))</f>
        <v>1.9056770546773443E-7</v>
      </c>
      <c r="AL83" s="513">
        <f t="shared" si="39"/>
        <v>1000</v>
      </c>
    </row>
    <row r="84" spans="1:38">
      <c r="A84" s="542">
        <f t="shared" si="60"/>
        <v>-31.5</v>
      </c>
      <c r="B84" s="363">
        <f t="shared" si="40"/>
        <v>4.8863465875158187E-7</v>
      </c>
      <c r="C84" s="543">
        <f t="shared" si="41"/>
        <v>-1.026132783378322E-6</v>
      </c>
      <c r="D84" s="542">
        <f t="shared" si="61"/>
        <v>-31.5</v>
      </c>
      <c r="E84" s="363">
        <f t="shared" si="42"/>
        <v>4.8863465875158187E-7</v>
      </c>
      <c r="F84" s="543">
        <f t="shared" si="43"/>
        <v>-1.026132783378322E-6</v>
      </c>
      <c r="G84" s="548">
        <f t="shared" si="44"/>
        <v>-41.5</v>
      </c>
      <c r="H84" s="363">
        <f t="shared" si="45"/>
        <v>1.6212966773844231E-10</v>
      </c>
      <c r="I84" s="363">
        <f t="shared" si="46"/>
        <v>-4.4855874740969039E-10</v>
      </c>
      <c r="J84" s="364">
        <f t="shared" si="47"/>
        <v>4.8879678841932036E-7</v>
      </c>
      <c r="K84" s="194">
        <f t="shared" si="48"/>
        <v>1.6212966773844232E-8</v>
      </c>
      <c r="L84" s="646">
        <f t="shared" si="49"/>
        <v>4.886346587515819E-5</v>
      </c>
      <c r="M84" s="365">
        <f t="shared" si="50"/>
        <v>4.8879678841932032E-5</v>
      </c>
      <c r="N84" s="194">
        <f t="shared" si="51"/>
        <v>-4.4855874740969038E-8</v>
      </c>
      <c r="O84" s="422">
        <f t="shared" si="52"/>
        <v>-1.0261327833783219E-4</v>
      </c>
      <c r="P84" s="365">
        <f t="shared" si="53"/>
        <v>-1.0265813421257316E-4</v>
      </c>
      <c r="R84" s="193">
        <f t="shared" si="33"/>
        <v>-27.25</v>
      </c>
      <c r="S84" s="366">
        <f t="shared" si="34"/>
        <v>-7.5678929141453702E-3</v>
      </c>
      <c r="T84" s="193">
        <v>41</v>
      </c>
      <c r="U84" s="366">
        <f t="shared" si="35"/>
        <v>-6.3819944638841812E-6</v>
      </c>
      <c r="V84" s="193">
        <f t="shared" si="36"/>
        <v>-27.25</v>
      </c>
      <c r="W84" s="366">
        <f t="shared" si="37"/>
        <v>-7.5742749086092544E-3</v>
      </c>
      <c r="X84" s="366"/>
      <c r="Y84" s="503"/>
      <c r="Z84" s="366"/>
      <c r="AA84" s="520">
        <f t="shared" si="54"/>
        <v>-3.9775515285040622E-8</v>
      </c>
      <c r="AB84" s="496"/>
      <c r="AC84" s="521">
        <f t="shared" si="55"/>
        <v>-6.7684949027070957E-5</v>
      </c>
      <c r="AD84" s="497"/>
      <c r="AE84" s="522">
        <f t="shared" si="56"/>
        <v>-6.7724724542355994E-5</v>
      </c>
      <c r="AG84" s="531">
        <f t="shared" si="57"/>
        <v>1.3094819846926952E-10</v>
      </c>
      <c r="AH84" s="221" t="str">
        <f t="shared" si="58"/>
        <v>NO</v>
      </c>
      <c r="AI84" s="532">
        <f t="shared" si="59"/>
        <v>2.2283110790805255E-7</v>
      </c>
      <c r="AJ84" s="221" t="str">
        <f t="shared" si="38"/>
        <v>NO</v>
      </c>
      <c r="AK84" s="533">
        <f>IF('IN-OUT'!$F$35=0,AG84,IF('IN-OUT'!$F$26=0,'transversal subsidence profile'!AI84,'transversal subsidence profile'!AG84+'transversal subsidence profile'!AI84))</f>
        <v>2.2296205610652183E-7</v>
      </c>
      <c r="AL84" s="513">
        <f t="shared" si="39"/>
        <v>1000</v>
      </c>
    </row>
    <row r="85" spans="1:38">
      <c r="A85" s="542">
        <f t="shared" si="60"/>
        <v>-31.25</v>
      </c>
      <c r="B85" s="363">
        <f t="shared" si="40"/>
        <v>5.804297202772394E-7</v>
      </c>
      <c r="C85" s="543">
        <f t="shared" si="41"/>
        <v>-1.2092285839109156E-6</v>
      </c>
      <c r="D85" s="542">
        <f t="shared" si="61"/>
        <v>-31.25</v>
      </c>
      <c r="E85" s="363">
        <f t="shared" si="42"/>
        <v>5.804297202772394E-7</v>
      </c>
      <c r="F85" s="543">
        <f t="shared" si="43"/>
        <v>-1.2092285839109156E-6</v>
      </c>
      <c r="G85" s="548">
        <f t="shared" si="44"/>
        <v>-41.25</v>
      </c>
      <c r="H85" s="363">
        <f t="shared" si="45"/>
        <v>2.0344989387549568E-10</v>
      </c>
      <c r="I85" s="363">
        <f t="shared" si="46"/>
        <v>-5.5948720815761305E-10</v>
      </c>
      <c r="J85" s="364">
        <f t="shared" si="47"/>
        <v>5.8063317017111489E-7</v>
      </c>
      <c r="K85" s="194">
        <f t="shared" si="48"/>
        <v>2.0344989387549566E-8</v>
      </c>
      <c r="L85" s="646">
        <f t="shared" si="49"/>
        <v>5.804297202772394E-5</v>
      </c>
      <c r="M85" s="365">
        <f t="shared" si="50"/>
        <v>5.8063317017111492E-5</v>
      </c>
      <c r="N85" s="194">
        <f t="shared" si="51"/>
        <v>-5.5948720815761308E-8</v>
      </c>
      <c r="O85" s="422">
        <f t="shared" si="52"/>
        <v>-1.2092285839109156E-4</v>
      </c>
      <c r="P85" s="365">
        <f t="shared" si="53"/>
        <v>-1.2097880711190732E-4</v>
      </c>
      <c r="R85" s="193">
        <f t="shared" si="33"/>
        <v>-27</v>
      </c>
      <c r="S85" s="366">
        <f t="shared" si="34"/>
        <v>-8.7823910614371458E-3</v>
      </c>
      <c r="T85" s="193">
        <v>42</v>
      </c>
      <c r="U85" s="366">
        <f t="shared" si="35"/>
        <v>-7.8239094875549217E-6</v>
      </c>
      <c r="V85" s="193">
        <f t="shared" si="36"/>
        <v>-27</v>
      </c>
      <c r="W85" s="366">
        <f t="shared" si="37"/>
        <v>-8.7902149709246993E-3</v>
      </c>
      <c r="X85" s="366"/>
      <c r="Y85" s="503"/>
      <c r="Z85" s="366"/>
      <c r="AA85" s="520">
        <f t="shared" si="54"/>
        <v>-4.9296830252630389E-8</v>
      </c>
      <c r="AB85" s="496"/>
      <c r="AC85" s="521">
        <f t="shared" si="55"/>
        <v>-7.9067957139915482E-5</v>
      </c>
      <c r="AD85" s="497"/>
      <c r="AE85" s="522">
        <f t="shared" si="56"/>
        <v>-7.9117253970168119E-5</v>
      </c>
      <c r="AG85" s="531">
        <f t="shared" si="57"/>
        <v>1.6229409136668441E-10</v>
      </c>
      <c r="AH85" s="221" t="str">
        <f t="shared" si="58"/>
        <v>NO</v>
      </c>
      <c r="AI85" s="532">
        <f t="shared" si="59"/>
        <v>2.6030603173634727E-7</v>
      </c>
      <c r="AJ85" s="221" t="str">
        <f t="shared" si="38"/>
        <v>NO</v>
      </c>
      <c r="AK85" s="533">
        <f>IF('IN-OUT'!$F$35=0,AG85,IF('IN-OUT'!$F$26=0,'transversal subsidence profile'!AI85,'transversal subsidence profile'!AG85+'transversal subsidence profile'!AI85))</f>
        <v>2.6046832582771394E-7</v>
      </c>
      <c r="AL85" s="513">
        <f t="shared" si="39"/>
        <v>1000</v>
      </c>
    </row>
    <row r="86" spans="1:38">
      <c r="A86" s="542">
        <f t="shared" si="60"/>
        <v>-31</v>
      </c>
      <c r="B86" s="363">
        <f t="shared" si="40"/>
        <v>6.8852430522042997E-7</v>
      </c>
      <c r="C86" s="543">
        <f t="shared" si="41"/>
        <v>-1.4229502307888884E-6</v>
      </c>
      <c r="D86" s="542">
        <f t="shared" si="61"/>
        <v>-31</v>
      </c>
      <c r="E86" s="363">
        <f t="shared" si="42"/>
        <v>6.8852430522042997E-7</v>
      </c>
      <c r="F86" s="543">
        <f t="shared" si="43"/>
        <v>-1.4229502307888884E-6</v>
      </c>
      <c r="G86" s="548">
        <f t="shared" si="44"/>
        <v>-41</v>
      </c>
      <c r="H86" s="363">
        <f t="shared" si="45"/>
        <v>2.5495098992823882E-10</v>
      </c>
      <c r="I86" s="363">
        <f t="shared" si="46"/>
        <v>-6.9686603913718603E-10</v>
      </c>
      <c r="J86" s="364">
        <f t="shared" si="47"/>
        <v>6.887792562103582E-7</v>
      </c>
      <c r="K86" s="194">
        <f t="shared" si="48"/>
        <v>2.5495098992823883E-8</v>
      </c>
      <c r="L86" s="646">
        <f t="shared" si="49"/>
        <v>6.8852430522042994E-5</v>
      </c>
      <c r="M86" s="365">
        <f t="shared" si="50"/>
        <v>6.8877925621035817E-5</v>
      </c>
      <c r="N86" s="194">
        <f t="shared" si="51"/>
        <v>-6.9686603913718604E-8</v>
      </c>
      <c r="O86" s="422">
        <f t="shared" si="52"/>
        <v>-1.4229502307888884E-4</v>
      </c>
      <c r="P86" s="365">
        <f t="shared" si="53"/>
        <v>-1.4236470968280256E-4</v>
      </c>
      <c r="R86" s="193">
        <f t="shared" si="33"/>
        <v>-26.75</v>
      </c>
      <c r="S86" s="366">
        <f t="shared" si="34"/>
        <v>-1.0177821377228691E-2</v>
      </c>
      <c r="T86" s="193">
        <v>43</v>
      </c>
      <c r="U86" s="366">
        <f t="shared" si="35"/>
        <v>-9.578455193507838E-6</v>
      </c>
      <c r="V86" s="193">
        <f t="shared" si="36"/>
        <v>-26.75</v>
      </c>
      <c r="W86" s="366">
        <f t="shared" si="37"/>
        <v>-1.0187399832422199E-2</v>
      </c>
      <c r="X86" s="366"/>
      <c r="Y86" s="503"/>
      <c r="Z86" s="366"/>
      <c r="AA86" s="520">
        <f t="shared" si="54"/>
        <v>-6.1008711051232058E-8</v>
      </c>
      <c r="AB86" s="496"/>
      <c r="AC86" s="521">
        <f t="shared" si="55"/>
        <v>-9.2225107439996684E-5</v>
      </c>
      <c r="AD86" s="497"/>
      <c r="AE86" s="522">
        <f t="shared" si="56"/>
        <v>-9.2286116151047917E-5</v>
      </c>
      <c r="AG86" s="531">
        <f t="shared" si="57"/>
        <v>2.0085172362545533E-10</v>
      </c>
      <c r="AH86" s="221" t="str">
        <f t="shared" si="58"/>
        <v>NO</v>
      </c>
      <c r="AI86" s="532">
        <f t="shared" si="59"/>
        <v>3.0362175288887793E-7</v>
      </c>
      <c r="AJ86" s="221" t="str">
        <f t="shared" si="38"/>
        <v>NO</v>
      </c>
      <c r="AK86" s="533">
        <f>IF('IN-OUT'!$F$35=0,AG86,IF('IN-OUT'!$F$26=0,'transversal subsidence profile'!AI86,'transversal subsidence profile'!AG86+'transversal subsidence profile'!AI86))</f>
        <v>3.0382260461250339E-7</v>
      </c>
      <c r="AL86" s="513">
        <f t="shared" si="39"/>
        <v>1000</v>
      </c>
    </row>
    <row r="87" spans="1:38">
      <c r="A87" s="542">
        <f t="shared" si="60"/>
        <v>-30.75</v>
      </c>
      <c r="B87" s="363">
        <f t="shared" si="40"/>
        <v>8.1562995871016387E-7</v>
      </c>
      <c r="C87" s="543">
        <f t="shared" si="41"/>
        <v>-1.6720414153558358E-6</v>
      </c>
      <c r="D87" s="542">
        <f t="shared" si="61"/>
        <v>-30.75</v>
      </c>
      <c r="E87" s="363">
        <f t="shared" si="42"/>
        <v>8.1562995871016387E-7</v>
      </c>
      <c r="F87" s="543">
        <f t="shared" si="43"/>
        <v>-1.6720414153558358E-6</v>
      </c>
      <c r="G87" s="548">
        <f t="shared" si="44"/>
        <v>-40.75</v>
      </c>
      <c r="H87" s="363">
        <f t="shared" si="45"/>
        <v>3.1905106416212858E-10</v>
      </c>
      <c r="I87" s="363">
        <f t="shared" si="46"/>
        <v>-8.6675539097378271E-10</v>
      </c>
      <c r="J87" s="364">
        <f t="shared" si="47"/>
        <v>8.1594900977432597E-7</v>
      </c>
      <c r="K87" s="194">
        <f t="shared" si="48"/>
        <v>3.190510641621286E-8</v>
      </c>
      <c r="L87" s="646">
        <f t="shared" si="49"/>
        <v>8.1562995871016392E-5</v>
      </c>
      <c r="M87" s="365">
        <f t="shared" si="50"/>
        <v>8.1594900977432599E-5</v>
      </c>
      <c r="N87" s="194">
        <f t="shared" si="51"/>
        <v>-8.6675539097378266E-8</v>
      </c>
      <c r="O87" s="422">
        <f t="shared" si="52"/>
        <v>-1.6720414153558358E-4</v>
      </c>
      <c r="P87" s="365">
        <f t="shared" si="53"/>
        <v>-1.6729081707468095E-4</v>
      </c>
      <c r="R87" s="193">
        <f t="shared" si="33"/>
        <v>-26.5</v>
      </c>
      <c r="S87" s="366">
        <f t="shared" si="34"/>
        <v>-1.1778802445756497E-2</v>
      </c>
      <c r="T87" s="193">
        <v>44</v>
      </c>
      <c r="U87" s="366">
        <f t="shared" si="35"/>
        <v>-1.1710390740668723E-5</v>
      </c>
      <c r="V87" s="193">
        <f t="shared" si="36"/>
        <v>-26.5</v>
      </c>
      <c r="W87" s="366">
        <f t="shared" si="37"/>
        <v>-1.1790512836497166E-2</v>
      </c>
      <c r="X87" s="366"/>
      <c r="Y87" s="503"/>
      <c r="Z87" s="366"/>
      <c r="AA87" s="520">
        <f t="shared" si="54"/>
        <v>-7.5393502496107925E-8</v>
      </c>
      <c r="AB87" s="496"/>
      <c r="AC87" s="521">
        <f t="shared" si="55"/>
        <v>-1.074080604062767E-4</v>
      </c>
      <c r="AD87" s="497"/>
      <c r="AE87" s="522">
        <f t="shared" si="56"/>
        <v>-1.0748345390877281E-4</v>
      </c>
      <c r="AG87" s="531">
        <f t="shared" si="57"/>
        <v>2.4820906171558165E-10</v>
      </c>
      <c r="AH87" s="221" t="str">
        <f t="shared" si="58"/>
        <v>NO</v>
      </c>
      <c r="AI87" s="532">
        <f t="shared" si="59"/>
        <v>3.5360678323054059E-7</v>
      </c>
      <c r="AJ87" s="221" t="str">
        <f t="shared" si="38"/>
        <v>NO</v>
      </c>
      <c r="AK87" s="533">
        <f>IF('IN-OUT'!$F$35=0,AG87,IF('IN-OUT'!$F$26=0,'transversal subsidence profile'!AI87,'transversal subsidence profile'!AG87+'transversal subsidence profile'!AI87))</f>
        <v>3.5385499229225618E-7</v>
      </c>
      <c r="AL87" s="513">
        <f t="shared" si="39"/>
        <v>1000</v>
      </c>
    </row>
    <row r="88" spans="1:38">
      <c r="A88" s="542">
        <f t="shared" si="60"/>
        <v>-30.5</v>
      </c>
      <c r="B88" s="363">
        <f t="shared" si="40"/>
        <v>9.6487559788146035E-7</v>
      </c>
      <c r="C88" s="543">
        <f t="shared" si="41"/>
        <v>-1.9619137156923026E-6</v>
      </c>
      <c r="D88" s="542">
        <f t="shared" si="61"/>
        <v>-30.5</v>
      </c>
      <c r="E88" s="363">
        <f t="shared" si="42"/>
        <v>9.6487559788146035E-7</v>
      </c>
      <c r="F88" s="543">
        <f t="shared" si="43"/>
        <v>-1.9619137156923026E-6</v>
      </c>
      <c r="G88" s="548">
        <f t="shared" si="44"/>
        <v>-40.5</v>
      </c>
      <c r="H88" s="363">
        <f t="shared" si="45"/>
        <v>3.987199373359212E-10</v>
      </c>
      <c r="I88" s="363">
        <f t="shared" si="46"/>
        <v>-1.0765438308069875E-9</v>
      </c>
      <c r="J88" s="364">
        <f t="shared" si="47"/>
        <v>9.6527431781879626E-7</v>
      </c>
      <c r="K88" s="194">
        <f t="shared" si="48"/>
        <v>3.9871993733592123E-8</v>
      </c>
      <c r="L88" s="646">
        <f t="shared" si="49"/>
        <v>9.648755978814604E-5</v>
      </c>
      <c r="M88" s="365">
        <f t="shared" si="50"/>
        <v>9.6527431781879625E-5</v>
      </c>
      <c r="N88" s="194">
        <f t="shared" si="51"/>
        <v>-1.0765438308069874E-7</v>
      </c>
      <c r="O88" s="422">
        <f t="shared" si="52"/>
        <v>-1.9619137156923026E-4</v>
      </c>
      <c r="P88" s="365">
        <f t="shared" si="53"/>
        <v>-1.9629902595231095E-4</v>
      </c>
      <c r="R88" s="193">
        <f t="shared" si="33"/>
        <v>-26.25</v>
      </c>
      <c r="S88" s="366">
        <f t="shared" si="34"/>
        <v>-1.3612933125479041E-2</v>
      </c>
      <c r="T88" s="193">
        <v>45</v>
      </c>
      <c r="U88" s="366">
        <f t="shared" si="35"/>
        <v>-1.4297218709898015E-5</v>
      </c>
      <c r="V88" s="193">
        <f t="shared" si="36"/>
        <v>-26.25</v>
      </c>
      <c r="W88" s="366">
        <f t="shared" si="37"/>
        <v>-1.3627230344188938E-2</v>
      </c>
      <c r="X88" s="366"/>
      <c r="Y88" s="503"/>
      <c r="Z88" s="366"/>
      <c r="AA88" s="520">
        <f t="shared" si="54"/>
        <v>-9.303465204504829E-8</v>
      </c>
      <c r="AB88" s="496"/>
      <c r="AC88" s="521">
        <f t="shared" si="55"/>
        <v>-1.2489999165991831E-4</v>
      </c>
      <c r="AD88" s="497"/>
      <c r="AE88" s="522">
        <f t="shared" si="56"/>
        <v>-1.2499302631196335E-4</v>
      </c>
      <c r="AG88" s="531">
        <f t="shared" si="57"/>
        <v>3.0628692031291619E-10</v>
      </c>
      <c r="AH88" s="221" t="str">
        <f t="shared" si="58"/>
        <v>NO</v>
      </c>
      <c r="AI88" s="532">
        <f t="shared" si="59"/>
        <v>4.1119338818080111E-7</v>
      </c>
      <c r="AJ88" s="221" t="str">
        <f t="shared" si="38"/>
        <v>NO</v>
      </c>
      <c r="AK88" s="533">
        <f>IF('IN-OUT'!$F$35=0,AG88,IF('IN-OUT'!$F$26=0,'transversal subsidence profile'!AI88,'transversal subsidence profile'!AG88+'transversal subsidence profile'!AI88))</f>
        <v>4.1149967510111401E-7</v>
      </c>
      <c r="AL88" s="513">
        <f t="shared" si="39"/>
        <v>1000</v>
      </c>
    </row>
    <row r="89" spans="1:38">
      <c r="A89" s="542">
        <f t="shared" si="60"/>
        <v>-30.25</v>
      </c>
      <c r="B89" s="363">
        <f t="shared" si="40"/>
        <v>1.1398658346772302E-6</v>
      </c>
      <c r="C89" s="543">
        <f t="shared" si="41"/>
        <v>-2.2987294332657477E-6</v>
      </c>
      <c r="D89" s="542">
        <f t="shared" si="61"/>
        <v>-30.25</v>
      </c>
      <c r="E89" s="363">
        <f t="shared" si="42"/>
        <v>1.1398658346772302E-6</v>
      </c>
      <c r="F89" s="543">
        <f t="shared" si="43"/>
        <v>-2.2987294332657477E-6</v>
      </c>
      <c r="G89" s="548">
        <f t="shared" si="44"/>
        <v>-40.25</v>
      </c>
      <c r="H89" s="363">
        <f t="shared" si="45"/>
        <v>4.9759953660370367E-10</v>
      </c>
      <c r="I89" s="363">
        <f t="shared" si="46"/>
        <v>-1.3352254232199381E-9</v>
      </c>
      <c r="J89" s="364">
        <f t="shared" si="47"/>
        <v>1.1403634342138339E-6</v>
      </c>
      <c r="K89" s="194">
        <f t="shared" si="48"/>
        <v>4.9759953660370369E-8</v>
      </c>
      <c r="L89" s="646">
        <f t="shared" si="49"/>
        <v>1.1398658346772302E-4</v>
      </c>
      <c r="M89" s="365">
        <f t="shared" si="50"/>
        <v>1.1403634342138339E-4</v>
      </c>
      <c r="N89" s="194">
        <f t="shared" si="51"/>
        <v>-1.3352254232199381E-7</v>
      </c>
      <c r="O89" s="422">
        <f t="shared" si="52"/>
        <v>-2.2987294332657478E-4</v>
      </c>
      <c r="P89" s="365">
        <f t="shared" si="53"/>
        <v>-2.3000646586889678E-4</v>
      </c>
      <c r="R89" s="193">
        <f t="shared" si="33"/>
        <v>-26</v>
      </c>
      <c r="S89" s="366">
        <f t="shared" si="34"/>
        <v>-1.5711098237402174E-2</v>
      </c>
      <c r="T89" s="193">
        <v>46</v>
      </c>
      <c r="U89" s="366">
        <f t="shared" si="35"/>
        <v>-1.7431549565540898E-5</v>
      </c>
      <c r="V89" s="193">
        <f t="shared" si="36"/>
        <v>-26</v>
      </c>
      <c r="W89" s="366">
        <f t="shared" si="37"/>
        <v>-1.5728529786967711E-2</v>
      </c>
      <c r="X89" s="366"/>
      <c r="Y89" s="503"/>
      <c r="Z89" s="366"/>
      <c r="AA89" s="520">
        <f t="shared" si="54"/>
        <v>-1.1463674006511662E-7</v>
      </c>
      <c r="AB89" s="496"/>
      <c r="AC89" s="521">
        <f t="shared" si="55"/>
        <v>-1.450188705261054E-4</v>
      </c>
      <c r="AD89" s="497"/>
      <c r="AE89" s="522">
        <f t="shared" si="56"/>
        <v>-1.4513350726617051E-4</v>
      </c>
      <c r="AG89" s="531">
        <f t="shared" si="57"/>
        <v>3.7740490556416989E-10</v>
      </c>
      <c r="AH89" s="221" t="str">
        <f t="shared" si="58"/>
        <v>NO</v>
      </c>
      <c r="AI89" s="532">
        <f t="shared" si="59"/>
        <v>4.7742838033285727E-7</v>
      </c>
      <c r="AJ89" s="221" t="str">
        <f t="shared" si="38"/>
        <v>NO</v>
      </c>
      <c r="AK89" s="533">
        <f>IF('IN-OUT'!$F$35=0,AG89,IF('IN-OUT'!$F$26=0,'transversal subsidence profile'!AI89,'transversal subsidence profile'!AG89+'transversal subsidence profile'!AI89))</f>
        <v>4.7780578523842148E-7</v>
      </c>
      <c r="AL89" s="513">
        <f t="shared" si="39"/>
        <v>1000</v>
      </c>
    </row>
    <row r="90" spans="1:38">
      <c r="A90" s="542">
        <f t="shared" si="60"/>
        <v>-30</v>
      </c>
      <c r="B90" s="363">
        <f t="shared" si="40"/>
        <v>1.3447464619457143E-6</v>
      </c>
      <c r="C90" s="543">
        <f t="shared" si="41"/>
        <v>-2.6894929238914286E-6</v>
      </c>
      <c r="D90" s="542">
        <f t="shared" si="61"/>
        <v>-30</v>
      </c>
      <c r="E90" s="363">
        <f t="shared" si="42"/>
        <v>1.3447464619457143E-6</v>
      </c>
      <c r="F90" s="543">
        <f t="shared" si="43"/>
        <v>-2.6894929238914286E-6</v>
      </c>
      <c r="G90" s="548">
        <f t="shared" si="44"/>
        <v>-40</v>
      </c>
      <c r="H90" s="363">
        <f t="shared" si="45"/>
        <v>6.2014927749717002E-10</v>
      </c>
      <c r="I90" s="363">
        <f t="shared" si="46"/>
        <v>-1.65373140665912E-9</v>
      </c>
      <c r="J90" s="364">
        <f t="shared" si="47"/>
        <v>1.3453666112232114E-6</v>
      </c>
      <c r="K90" s="194">
        <f t="shared" si="48"/>
        <v>6.2014927749717004E-8</v>
      </c>
      <c r="L90" s="646">
        <f t="shared" si="49"/>
        <v>1.3447464619457142E-4</v>
      </c>
      <c r="M90" s="365">
        <f t="shared" si="50"/>
        <v>1.3453666112232113E-4</v>
      </c>
      <c r="N90" s="194">
        <f t="shared" si="51"/>
        <v>-1.6537314066591201E-7</v>
      </c>
      <c r="O90" s="422">
        <f t="shared" si="52"/>
        <v>-2.6894929238914283E-4</v>
      </c>
      <c r="P90" s="365">
        <f t="shared" si="53"/>
        <v>-2.6911466552980877E-4</v>
      </c>
      <c r="R90" s="193">
        <f t="shared" si="33"/>
        <v>-25.75</v>
      </c>
      <c r="S90" s="366">
        <f t="shared" si="34"/>
        <v>-1.8107797839661259E-2</v>
      </c>
      <c r="T90" s="193">
        <v>47</v>
      </c>
      <c r="U90" s="366">
        <f t="shared" si="35"/>
        <v>-2.1223875502448235E-5</v>
      </c>
      <c r="V90" s="193">
        <f t="shared" si="36"/>
        <v>-25.75</v>
      </c>
      <c r="W90" s="366">
        <f t="shared" si="37"/>
        <v>-1.8129021715163708E-2</v>
      </c>
      <c r="X90" s="366"/>
      <c r="Y90" s="503"/>
      <c r="Z90" s="366"/>
      <c r="AA90" s="520">
        <f t="shared" si="54"/>
        <v>-1.4104922433134079E-7</v>
      </c>
      <c r="AB90" s="496"/>
      <c r="AC90" s="521">
        <f t="shared" si="55"/>
        <v>-1.6812097742350125E-4</v>
      </c>
      <c r="AD90" s="497"/>
      <c r="AE90" s="522">
        <f t="shared" si="56"/>
        <v>-1.6826202664783259E-4</v>
      </c>
      <c r="AG90" s="531">
        <f t="shared" si="57"/>
        <v>4.6435958627601905E-10</v>
      </c>
      <c r="AH90" s="221" t="str">
        <f t="shared" si="58"/>
        <v>NO</v>
      </c>
      <c r="AI90" s="532">
        <f t="shared" si="59"/>
        <v>5.5348469933662948E-7</v>
      </c>
      <c r="AJ90" s="221" t="str">
        <f t="shared" si="38"/>
        <v>NO</v>
      </c>
      <c r="AK90" s="533">
        <f>IF('IN-OUT'!$F$35=0,AG90,IF('IN-OUT'!$F$26=0,'transversal subsidence profile'!AI90,'transversal subsidence profile'!AG90+'transversal subsidence profile'!AI90))</f>
        <v>5.5394905892290548E-7</v>
      </c>
      <c r="AL90" s="513">
        <f t="shared" si="39"/>
        <v>1000</v>
      </c>
    </row>
    <row r="91" spans="1:38">
      <c r="A91" s="542">
        <f t="shared" si="60"/>
        <v>-29.75</v>
      </c>
      <c r="B91" s="363">
        <f t="shared" si="40"/>
        <v>1.5842778266059401E-6</v>
      </c>
      <c r="C91" s="543">
        <f t="shared" si="41"/>
        <v>-3.1421510227684479E-6</v>
      </c>
      <c r="D91" s="542">
        <f t="shared" si="61"/>
        <v>-29.75</v>
      </c>
      <c r="E91" s="363">
        <f t="shared" si="42"/>
        <v>1.5842778266059401E-6</v>
      </c>
      <c r="F91" s="543">
        <f t="shared" si="43"/>
        <v>-3.1421510227684479E-6</v>
      </c>
      <c r="G91" s="548">
        <f t="shared" si="44"/>
        <v>-39.75</v>
      </c>
      <c r="H91" s="363">
        <f t="shared" si="45"/>
        <v>7.7182133057216668E-10</v>
      </c>
      <c r="I91" s="363">
        <f t="shared" si="46"/>
        <v>-2.0453265260162412E-9</v>
      </c>
      <c r="J91" s="364">
        <f t="shared" si="47"/>
        <v>1.5850496479365123E-6</v>
      </c>
      <c r="K91" s="194">
        <f t="shared" si="48"/>
        <v>7.7182133057216667E-8</v>
      </c>
      <c r="L91" s="646">
        <f t="shared" si="49"/>
        <v>1.5842778266059401E-4</v>
      </c>
      <c r="M91" s="365">
        <f t="shared" si="50"/>
        <v>1.5850496479365123E-4</v>
      </c>
      <c r="N91" s="194">
        <f t="shared" si="51"/>
        <v>-2.0453265260162411E-7</v>
      </c>
      <c r="O91" s="422">
        <f t="shared" si="52"/>
        <v>-3.1421510227684478E-4</v>
      </c>
      <c r="P91" s="365">
        <f t="shared" si="53"/>
        <v>-3.1441963492944639E-4</v>
      </c>
      <c r="R91" s="193">
        <f t="shared" si="33"/>
        <v>-25.5</v>
      </c>
      <c r="S91" s="366">
        <f t="shared" si="34"/>
        <v>-2.0841500846863252E-2</v>
      </c>
      <c r="T91" s="193">
        <v>48</v>
      </c>
      <c r="U91" s="366">
        <f t="shared" si="35"/>
        <v>-2.5805818814954856E-5</v>
      </c>
      <c r="V91" s="193">
        <f t="shared" si="36"/>
        <v>-25.5</v>
      </c>
      <c r="W91" s="366">
        <f t="shared" si="37"/>
        <v>-2.0867306665678209E-2</v>
      </c>
      <c r="X91" s="366"/>
      <c r="Y91" s="503"/>
      <c r="Z91" s="366"/>
      <c r="AA91" s="520">
        <f t="shared" si="54"/>
        <v>-1.7329453413998934E-7</v>
      </c>
      <c r="AB91" s="496"/>
      <c r="AC91" s="521">
        <f t="shared" si="55"/>
        <v>-1.9460466179214441E-4</v>
      </c>
      <c r="AD91" s="497"/>
      <c r="AE91" s="522">
        <f t="shared" si="56"/>
        <v>-1.9477795632628439E-4</v>
      </c>
      <c r="AG91" s="531">
        <f t="shared" si="57"/>
        <v>5.7051698482301015E-10</v>
      </c>
      <c r="AH91" s="221" t="str">
        <f t="shared" si="58"/>
        <v>NO</v>
      </c>
      <c r="AI91" s="532">
        <f t="shared" si="59"/>
        <v>6.4067378367784165E-7</v>
      </c>
      <c r="AJ91" s="221" t="str">
        <f t="shared" si="38"/>
        <v>NO</v>
      </c>
      <c r="AK91" s="533">
        <f>IF('IN-OUT'!$F$35=0,AG91,IF('IN-OUT'!$F$26=0,'transversal subsidence profile'!AI91,'transversal subsidence profile'!AG91+'transversal subsidence profile'!AI91))</f>
        <v>6.4124430066266466E-7</v>
      </c>
      <c r="AL91" s="513">
        <f t="shared" si="39"/>
        <v>1000</v>
      </c>
    </row>
    <row r="92" spans="1:38">
      <c r="A92" s="542">
        <f t="shared" si="60"/>
        <v>-29.5</v>
      </c>
      <c r="B92" s="363">
        <f t="shared" si="40"/>
        <v>1.8639168630971588E-6</v>
      </c>
      <c r="C92" s="543">
        <f t="shared" si="41"/>
        <v>-3.6657031640910789E-6</v>
      </c>
      <c r="D92" s="542">
        <f t="shared" si="61"/>
        <v>-29.5</v>
      </c>
      <c r="E92" s="363">
        <f t="shared" si="42"/>
        <v>1.8639168630971588E-6</v>
      </c>
      <c r="F92" s="543">
        <f t="shared" si="43"/>
        <v>-3.6657031640910789E-6</v>
      </c>
      <c r="G92" s="548">
        <f t="shared" si="44"/>
        <v>-39.5</v>
      </c>
      <c r="H92" s="363">
        <f t="shared" si="45"/>
        <v>9.5927156596457984E-10</v>
      </c>
      <c r="I92" s="363">
        <f t="shared" si="46"/>
        <v>-2.526081790373393E-9</v>
      </c>
      <c r="J92" s="364">
        <f t="shared" si="47"/>
        <v>1.8648761346631234E-6</v>
      </c>
      <c r="K92" s="194">
        <f t="shared" si="48"/>
        <v>9.5927156596457989E-8</v>
      </c>
      <c r="L92" s="646">
        <f t="shared" si="49"/>
        <v>1.8639168630971587E-4</v>
      </c>
      <c r="M92" s="365">
        <f t="shared" si="50"/>
        <v>1.8648761346631233E-4</v>
      </c>
      <c r="N92" s="194">
        <f t="shared" si="51"/>
        <v>-2.5260817903733927E-7</v>
      </c>
      <c r="O92" s="422">
        <f t="shared" si="52"/>
        <v>-3.6657031640910788E-4</v>
      </c>
      <c r="P92" s="365">
        <f t="shared" si="53"/>
        <v>-3.6682292458814524E-4</v>
      </c>
      <c r="R92" s="193">
        <f t="shared" si="33"/>
        <v>-25.25</v>
      </c>
      <c r="S92" s="366">
        <f t="shared" si="34"/>
        <v>-2.3955023619108635E-2</v>
      </c>
      <c r="T92" s="193">
        <v>49</v>
      </c>
      <c r="U92" s="366">
        <f t="shared" si="35"/>
        <v>-3.1333929213649486E-5</v>
      </c>
      <c r="V92" s="193">
        <f t="shared" si="36"/>
        <v>-25.25</v>
      </c>
      <c r="W92" s="366">
        <f t="shared" si="37"/>
        <v>-2.3986357548322287E-2</v>
      </c>
      <c r="X92" s="366"/>
      <c r="Y92" s="503"/>
      <c r="Z92" s="366"/>
      <c r="AA92" s="520">
        <f t="shared" si="54"/>
        <v>-2.1260124738135883E-7</v>
      </c>
      <c r="AB92" s="496"/>
      <c r="AC92" s="521">
        <f t="shared" si="55"/>
        <v>-2.2491433935589399E-4</v>
      </c>
      <c r="AD92" s="497"/>
      <c r="AE92" s="522">
        <f t="shared" si="56"/>
        <v>-2.2512694060327536E-4</v>
      </c>
      <c r="AG92" s="531">
        <f t="shared" si="57"/>
        <v>6.9992180207854756E-10</v>
      </c>
      <c r="AH92" s="221" t="str">
        <f t="shared" si="58"/>
        <v>NO</v>
      </c>
      <c r="AI92" s="532">
        <f t="shared" si="59"/>
        <v>7.4045873038977444E-7</v>
      </c>
      <c r="AJ92" s="221" t="str">
        <f t="shared" si="38"/>
        <v>NO</v>
      </c>
      <c r="AK92" s="533">
        <f>IF('IN-OUT'!$F$35=0,AG92,IF('IN-OUT'!$F$26=0,'transversal subsidence profile'!AI92,'transversal subsidence profile'!AG92+'transversal subsidence profile'!AI92))</f>
        <v>7.41158652191853E-7</v>
      </c>
      <c r="AL92" s="513">
        <f t="shared" si="39"/>
        <v>1000</v>
      </c>
    </row>
    <row r="93" spans="1:38">
      <c r="A93" s="542">
        <f t="shared" si="60"/>
        <v>-29.25</v>
      </c>
      <c r="B93" s="363">
        <f t="shared" si="40"/>
        <v>2.1899086095153342E-6</v>
      </c>
      <c r="C93" s="543">
        <f t="shared" si="41"/>
        <v>-4.2703217885549017E-6</v>
      </c>
      <c r="D93" s="542">
        <f t="shared" si="61"/>
        <v>-29.25</v>
      </c>
      <c r="E93" s="363">
        <f t="shared" si="42"/>
        <v>2.1899086095153342E-6</v>
      </c>
      <c r="F93" s="543">
        <f t="shared" si="43"/>
        <v>-4.2703217885549017E-6</v>
      </c>
      <c r="G93" s="548">
        <f t="shared" si="44"/>
        <v>-39.25</v>
      </c>
      <c r="H93" s="363">
        <f t="shared" si="45"/>
        <v>1.1906130168791525E-9</v>
      </c>
      <c r="I93" s="363">
        <f t="shared" si="46"/>
        <v>-3.1154373941671162E-9</v>
      </c>
      <c r="J93" s="364">
        <f t="shared" si="47"/>
        <v>2.1910992225322133E-6</v>
      </c>
      <c r="K93" s="194">
        <f t="shared" si="48"/>
        <v>1.1906130168791524E-7</v>
      </c>
      <c r="L93" s="646">
        <f t="shared" si="49"/>
        <v>2.1899086095153342E-4</v>
      </c>
      <c r="M93" s="365">
        <f t="shared" si="50"/>
        <v>2.1910992225322132E-4</v>
      </c>
      <c r="N93" s="194">
        <f t="shared" si="51"/>
        <v>-3.1154373941671163E-7</v>
      </c>
      <c r="O93" s="422">
        <f t="shared" si="52"/>
        <v>-4.2703217885549019E-4</v>
      </c>
      <c r="P93" s="365">
        <f t="shared" si="53"/>
        <v>-4.2734372259490693E-4</v>
      </c>
      <c r="R93" s="193">
        <f t="shared" si="33"/>
        <v>-25</v>
      </c>
      <c r="S93" s="366">
        <f t="shared" si="34"/>
        <v>-2.7495933984103292E-2</v>
      </c>
      <c r="T93" s="193">
        <v>50</v>
      </c>
      <c r="U93" s="366">
        <f t="shared" si="35"/>
        <v>-3.7994114938062827E-5</v>
      </c>
      <c r="V93" s="193">
        <f t="shared" si="36"/>
        <v>-25</v>
      </c>
      <c r="W93" s="366">
        <f t="shared" si="37"/>
        <v>-2.7533928099041354E-2</v>
      </c>
      <c r="X93" s="366"/>
      <c r="Y93" s="503"/>
      <c r="Z93" s="366"/>
      <c r="AA93" s="520">
        <f t="shared" si="54"/>
        <v>-2.6044319491311688E-7</v>
      </c>
      <c r="AB93" s="496"/>
      <c r="AC93" s="521">
        <f t="shared" si="55"/>
        <v>-2.5954472409070624E-4</v>
      </c>
      <c r="AD93" s="497"/>
      <c r="AE93" s="522">
        <f t="shared" si="56"/>
        <v>-2.5980516728561938E-4</v>
      </c>
      <c r="AG93" s="531">
        <f t="shared" si="57"/>
        <v>8.5742615609256584E-10</v>
      </c>
      <c r="AH93" s="221" t="str">
        <f t="shared" si="58"/>
        <v>NO</v>
      </c>
      <c r="AI93" s="532">
        <f t="shared" si="59"/>
        <v>8.5446822745911534E-7</v>
      </c>
      <c r="AJ93" s="221" t="str">
        <f t="shared" si="38"/>
        <v>NO</v>
      </c>
      <c r="AK93" s="533">
        <f>IF('IN-OUT'!$F$35=0,AG93,IF('IN-OUT'!$F$26=0,'transversal subsidence profile'!AI93,'transversal subsidence profile'!AG93+'transversal subsidence profile'!AI93))</f>
        <v>8.5532565361520795E-7</v>
      </c>
      <c r="AL93" s="513">
        <f t="shared" si="39"/>
        <v>1000</v>
      </c>
    </row>
    <row r="94" spans="1:38">
      <c r="A94" s="542">
        <f t="shared" si="60"/>
        <v>-29</v>
      </c>
      <c r="B94" s="363">
        <f t="shared" si="40"/>
        <v>2.5693880770651459E-6</v>
      </c>
      <c r="C94" s="543">
        <f t="shared" si="41"/>
        <v>-4.9674836156592812E-6</v>
      </c>
      <c r="D94" s="542">
        <f t="shared" si="61"/>
        <v>-29</v>
      </c>
      <c r="E94" s="363">
        <f t="shared" si="42"/>
        <v>2.5693880770651459E-6</v>
      </c>
      <c r="F94" s="543">
        <f t="shared" si="43"/>
        <v>-4.9674836156592812E-6</v>
      </c>
      <c r="G94" s="548">
        <f t="shared" si="44"/>
        <v>-39</v>
      </c>
      <c r="H94" s="363">
        <f t="shared" si="45"/>
        <v>1.4757199247926278E-9</v>
      </c>
      <c r="I94" s="363">
        <f t="shared" si="46"/>
        <v>-3.8368718044608324E-9</v>
      </c>
      <c r="J94" s="364">
        <f t="shared" si="47"/>
        <v>2.5708637969899386E-6</v>
      </c>
      <c r="K94" s="194">
        <f t="shared" si="48"/>
        <v>1.4757199247926277E-7</v>
      </c>
      <c r="L94" s="646">
        <f t="shared" si="49"/>
        <v>2.5693880770651459E-4</v>
      </c>
      <c r="M94" s="365">
        <f t="shared" si="50"/>
        <v>2.5708637969899383E-4</v>
      </c>
      <c r="N94" s="194">
        <f t="shared" si="51"/>
        <v>-3.8368718044608324E-7</v>
      </c>
      <c r="O94" s="422">
        <f t="shared" si="52"/>
        <v>-4.9674836156592811E-4</v>
      </c>
      <c r="P94" s="365">
        <f t="shared" si="53"/>
        <v>-4.9713204874637419E-4</v>
      </c>
      <c r="R94" s="193">
        <f t="shared" si="33"/>
        <v>-24.75</v>
      </c>
      <c r="S94" s="366">
        <f t="shared" si="34"/>
        <v>-3.1516980964191067E-2</v>
      </c>
      <c r="T94" s="193">
        <v>51</v>
      </c>
      <c r="U94" s="366">
        <f t="shared" si="35"/>
        <v>-4.6006804173843367E-5</v>
      </c>
      <c r="V94" s="193">
        <f t="shared" si="36"/>
        <v>-24.75</v>
      </c>
      <c r="W94" s="366">
        <f t="shared" si="37"/>
        <v>-3.1562987768364914E-2</v>
      </c>
      <c r="X94" s="366"/>
      <c r="Y94" s="503"/>
      <c r="Z94" s="366"/>
      <c r="AA94" s="520">
        <f t="shared" si="54"/>
        <v>-3.1858546195317385E-7</v>
      </c>
      <c r="AB94" s="496"/>
      <c r="AC94" s="521">
        <f t="shared" si="55"/>
        <v>-2.9904528629911393E-4</v>
      </c>
      <c r="AD94" s="497"/>
      <c r="AE94" s="522">
        <f t="shared" si="56"/>
        <v>-2.9936387176106712E-4</v>
      </c>
      <c r="AG94" s="531">
        <f t="shared" si="57"/>
        <v>1.0488410270063338E-9</v>
      </c>
      <c r="AH94" s="221" t="str">
        <f t="shared" si="58"/>
        <v>NO</v>
      </c>
      <c r="AI94" s="532">
        <f t="shared" si="59"/>
        <v>9.8451123061436669E-7</v>
      </c>
      <c r="AJ94" s="221" t="str">
        <f t="shared" si="38"/>
        <v>NO</v>
      </c>
      <c r="AK94" s="533">
        <f>IF('IN-OUT'!$F$35=0,AG94,IF('IN-OUT'!$F$26=0,'transversal subsidence profile'!AI94,'transversal subsidence profile'!AG94+'transversal subsidence profile'!AI94))</f>
        <v>9.8556007164137296E-7</v>
      </c>
      <c r="AL94" s="513">
        <f t="shared" si="39"/>
        <v>1000</v>
      </c>
    </row>
    <row r="95" spans="1:38">
      <c r="A95" s="542">
        <f t="shared" si="60"/>
        <v>-28.75</v>
      </c>
      <c r="B95" s="363">
        <f t="shared" si="40"/>
        <v>3.0104933899017672E-6</v>
      </c>
      <c r="C95" s="543">
        <f t="shared" si="41"/>
        <v>-5.7701123306450534E-6</v>
      </c>
      <c r="D95" s="542">
        <f t="shared" si="61"/>
        <v>-28.75</v>
      </c>
      <c r="E95" s="363">
        <f t="shared" si="42"/>
        <v>3.0104933899017672E-6</v>
      </c>
      <c r="F95" s="543">
        <f t="shared" si="43"/>
        <v>-5.7701123306450534E-6</v>
      </c>
      <c r="G95" s="548">
        <f t="shared" si="44"/>
        <v>-38.75</v>
      </c>
      <c r="H95" s="363">
        <f t="shared" si="45"/>
        <v>1.8265918507117785E-9</v>
      </c>
      <c r="I95" s="363">
        <f t="shared" si="46"/>
        <v>-4.7186956143387612E-9</v>
      </c>
      <c r="J95" s="364">
        <f t="shared" si="47"/>
        <v>3.012319981752479E-6</v>
      </c>
      <c r="K95" s="194">
        <f t="shared" si="48"/>
        <v>1.8265918507117785E-7</v>
      </c>
      <c r="L95" s="646">
        <f t="shared" si="49"/>
        <v>3.0104933899017671E-4</v>
      </c>
      <c r="M95" s="365">
        <f t="shared" si="50"/>
        <v>3.0123199817524786E-4</v>
      </c>
      <c r="N95" s="194">
        <f t="shared" si="51"/>
        <v>-4.7186956143387611E-7</v>
      </c>
      <c r="O95" s="422">
        <f t="shared" si="52"/>
        <v>-5.770112330645053E-4</v>
      </c>
      <c r="P95" s="365">
        <f t="shared" si="53"/>
        <v>-5.7748310262593916E-4</v>
      </c>
      <c r="R95" s="193">
        <f t="shared" si="33"/>
        <v>-24.5</v>
      </c>
      <c r="S95" s="366">
        <f t="shared" si="34"/>
        <v>-3.6076550256471086E-2</v>
      </c>
      <c r="T95" s="193">
        <v>52</v>
      </c>
      <c r="U95" s="366">
        <f t="shared" si="35"/>
        <v>-5.563294629092918E-5</v>
      </c>
      <c r="V95" s="193">
        <f t="shared" si="36"/>
        <v>-24.5</v>
      </c>
      <c r="W95" s="366">
        <f t="shared" si="37"/>
        <v>-3.6132183202762021E-2</v>
      </c>
      <c r="X95" s="366"/>
      <c r="Y95" s="503"/>
      <c r="Z95" s="366"/>
      <c r="AA95" s="520">
        <f t="shared" si="54"/>
        <v>-3.8913839738620569E-7</v>
      </c>
      <c r="AB95" s="496"/>
      <c r="AC95" s="521">
        <f t="shared" si="55"/>
        <v>-3.4402492364163216E-4</v>
      </c>
      <c r="AD95" s="497"/>
      <c r="AE95" s="522">
        <f t="shared" si="56"/>
        <v>-3.4441406203901837E-4</v>
      </c>
      <c r="AG95" s="531">
        <f t="shared" si="57"/>
        <v>1.2811140654689898E-9</v>
      </c>
      <c r="AH95" s="221" t="str">
        <f t="shared" si="58"/>
        <v>NO</v>
      </c>
      <c r="AI95" s="532">
        <f t="shared" si="59"/>
        <v>1.1325923412070195E-6</v>
      </c>
      <c r="AJ95" s="221" t="str">
        <f t="shared" si="38"/>
        <v>NO</v>
      </c>
      <c r="AK95" s="533">
        <f>IF('IN-OUT'!$F$35=0,AG95,IF('IN-OUT'!$F$26=0,'transversal subsidence profile'!AI95,'transversal subsidence profile'!AG95+'transversal subsidence profile'!AI95))</f>
        <v>1.1338734552724886E-6</v>
      </c>
      <c r="AL95" s="513">
        <f t="shared" si="39"/>
        <v>1000</v>
      </c>
    </row>
    <row r="96" spans="1:38">
      <c r="A96" s="542">
        <f t="shared" si="60"/>
        <v>-28.5</v>
      </c>
      <c r="B96" s="363">
        <f t="shared" si="40"/>
        <v>3.5224911561666891E-6</v>
      </c>
      <c r="C96" s="543">
        <f t="shared" si="41"/>
        <v>-6.6927331967167102E-6</v>
      </c>
      <c r="D96" s="542">
        <f t="shared" si="61"/>
        <v>-28.5</v>
      </c>
      <c r="E96" s="363">
        <f t="shared" si="42"/>
        <v>3.5224911561666891E-6</v>
      </c>
      <c r="F96" s="543">
        <f t="shared" si="43"/>
        <v>-6.6927331967167102E-6</v>
      </c>
      <c r="G96" s="548">
        <f t="shared" si="44"/>
        <v>-38.5</v>
      </c>
      <c r="H96" s="363">
        <f t="shared" si="45"/>
        <v>2.2577889872614198E-9</v>
      </c>
      <c r="I96" s="363">
        <f t="shared" si="46"/>
        <v>-5.7949917339709783E-9</v>
      </c>
      <c r="J96" s="364">
        <f t="shared" si="47"/>
        <v>3.5247489451539507E-6</v>
      </c>
      <c r="K96" s="194">
        <f t="shared" si="48"/>
        <v>2.2577889872614197E-7</v>
      </c>
      <c r="L96" s="646">
        <f t="shared" si="49"/>
        <v>3.5224911561666892E-4</v>
      </c>
      <c r="M96" s="365">
        <f t="shared" si="50"/>
        <v>3.5247489451539505E-4</v>
      </c>
      <c r="N96" s="194">
        <f t="shared" si="51"/>
        <v>-5.7949917339709782E-7</v>
      </c>
      <c r="O96" s="422">
        <f t="shared" si="52"/>
        <v>-6.6927331967167104E-4</v>
      </c>
      <c r="P96" s="365">
        <f t="shared" si="53"/>
        <v>-6.6985281884506811E-4</v>
      </c>
      <c r="R96" s="193">
        <f t="shared" si="33"/>
        <v>-24.25</v>
      </c>
      <c r="S96" s="366">
        <f t="shared" si="34"/>
        <v>-4.1239145256546351E-2</v>
      </c>
      <c r="T96" s="193">
        <v>53</v>
      </c>
      <c r="U96" s="366">
        <f t="shared" si="35"/>
        <v>-6.7180976887221605E-5</v>
      </c>
      <c r="V96" s="193">
        <f t="shared" si="36"/>
        <v>-24.25</v>
      </c>
      <c r="W96" s="366">
        <f t="shared" si="37"/>
        <v>-4.1306326233433568E-2</v>
      </c>
      <c r="X96" s="366"/>
      <c r="Y96" s="503"/>
      <c r="Z96" s="366"/>
      <c r="AA96" s="520">
        <f t="shared" si="54"/>
        <v>-4.7462090032170341E-7</v>
      </c>
      <c r="AB96" s="496"/>
      <c r="AC96" s="521">
        <f t="shared" si="55"/>
        <v>-3.9515682681935785E-4</v>
      </c>
      <c r="AD96" s="497"/>
      <c r="AE96" s="522">
        <f t="shared" si="56"/>
        <v>-3.9563144771967955E-4</v>
      </c>
      <c r="AG96" s="531">
        <f t="shared" si="57"/>
        <v>1.5625379434459368E-9</v>
      </c>
      <c r="AH96" s="221" t="str">
        <f t="shared" si="58"/>
        <v>NO</v>
      </c>
      <c r="AI96" s="532">
        <f t="shared" si="59"/>
        <v>1.3009278249196963E-6</v>
      </c>
      <c r="AJ96" s="221" t="str">
        <f t="shared" si="38"/>
        <v>NO</v>
      </c>
      <c r="AK96" s="533">
        <f>IF('IN-OUT'!$F$35=0,AG96,IF('IN-OUT'!$F$26=0,'transversal subsidence profile'!AI96,'transversal subsidence profile'!AG96+'transversal subsidence profile'!AI96))</f>
        <v>1.3024903628631422E-6</v>
      </c>
      <c r="AL96" s="513">
        <f t="shared" si="39"/>
        <v>1000</v>
      </c>
    </row>
    <row r="97" spans="1:38">
      <c r="A97" s="542">
        <f t="shared" si="60"/>
        <v>-28.25</v>
      </c>
      <c r="B97" s="363">
        <f t="shared" si="40"/>
        <v>4.1159150709743239E-6</v>
      </c>
      <c r="C97" s="543">
        <f t="shared" si="41"/>
        <v>-7.7516400503349768E-6</v>
      </c>
      <c r="D97" s="542">
        <f t="shared" si="61"/>
        <v>-28.25</v>
      </c>
      <c r="E97" s="363">
        <f t="shared" si="42"/>
        <v>4.1159150709743239E-6</v>
      </c>
      <c r="F97" s="543">
        <f t="shared" si="43"/>
        <v>-7.7516400503349768E-6</v>
      </c>
      <c r="G97" s="548">
        <f t="shared" si="44"/>
        <v>-38.25</v>
      </c>
      <c r="H97" s="363">
        <f t="shared" si="45"/>
        <v>2.7869517183142704E-9</v>
      </c>
      <c r="I97" s="363">
        <f t="shared" si="46"/>
        <v>-7.1067268817013894E-9</v>
      </c>
      <c r="J97" s="364">
        <f t="shared" si="47"/>
        <v>4.1187020226926383E-6</v>
      </c>
      <c r="K97" s="194">
        <f t="shared" si="48"/>
        <v>2.7869517183142703E-7</v>
      </c>
      <c r="L97" s="646">
        <f t="shared" si="49"/>
        <v>4.115915070974324E-4</v>
      </c>
      <c r="M97" s="365">
        <f t="shared" si="50"/>
        <v>4.1187020226926384E-4</v>
      </c>
      <c r="N97" s="194">
        <f t="shared" si="51"/>
        <v>-7.1067268817013891E-7</v>
      </c>
      <c r="O97" s="422">
        <f t="shared" si="52"/>
        <v>-7.7516400503349766E-4</v>
      </c>
      <c r="P97" s="365">
        <f t="shared" si="53"/>
        <v>-7.7587467772166781E-4</v>
      </c>
      <c r="R97" s="193">
        <f t="shared" si="33"/>
        <v>-24</v>
      </c>
      <c r="S97" s="366">
        <f t="shared" si="34"/>
        <v>-4.7075893123253741E-2</v>
      </c>
      <c r="T97" s="193">
        <v>54</v>
      </c>
      <c r="U97" s="366">
        <f t="shared" si="35"/>
        <v>-8.101488666490451E-5</v>
      </c>
      <c r="V97" s="193">
        <f t="shared" si="36"/>
        <v>-24</v>
      </c>
      <c r="W97" s="366">
        <f t="shared" si="37"/>
        <v>-4.7156908009918647E-2</v>
      </c>
      <c r="X97" s="366"/>
      <c r="Y97" s="503"/>
      <c r="Z97" s="366"/>
      <c r="AA97" s="520">
        <f t="shared" si="54"/>
        <v>-5.780344304651821E-7</v>
      </c>
      <c r="AB97" s="496"/>
      <c r="AC97" s="521">
        <f t="shared" si="55"/>
        <v>-4.5318351581646882E-4</v>
      </c>
      <c r="AD97" s="497"/>
      <c r="AE97" s="522">
        <f t="shared" si="56"/>
        <v>-4.5376155024693402E-4</v>
      </c>
      <c r="AG97" s="531">
        <f t="shared" si="57"/>
        <v>1.9029940097619161E-9</v>
      </c>
      <c r="AH97" s="221" t="str">
        <f t="shared" si="58"/>
        <v>NO</v>
      </c>
      <c r="AI97" s="532">
        <f t="shared" si="59"/>
        <v>1.4919621919883746E-6</v>
      </c>
      <c r="AJ97" s="221" t="str">
        <f t="shared" si="38"/>
        <v>NO</v>
      </c>
      <c r="AK97" s="533">
        <f>IF('IN-OUT'!$F$35=0,AG97,IF('IN-OUT'!$F$26=0,'transversal subsidence profile'!AI97,'transversal subsidence profile'!AG97+'transversal subsidence profile'!AI97))</f>
        <v>1.4938651859981365E-6</v>
      </c>
      <c r="AL97" s="513">
        <f t="shared" si="39"/>
        <v>1000</v>
      </c>
    </row>
    <row r="98" spans="1:38">
      <c r="A98" s="542">
        <f t="shared" si="60"/>
        <v>-28</v>
      </c>
      <c r="B98" s="363">
        <f t="shared" si="40"/>
        <v>4.8027187870904464E-6</v>
      </c>
      <c r="C98" s="543">
        <f t="shared" si="41"/>
        <v>-8.9650750692354989E-6</v>
      </c>
      <c r="D98" s="542">
        <f t="shared" si="61"/>
        <v>-28</v>
      </c>
      <c r="E98" s="363">
        <f t="shared" si="42"/>
        <v>4.8027187870904464E-6</v>
      </c>
      <c r="F98" s="543">
        <f t="shared" si="43"/>
        <v>-8.9650750692354989E-6</v>
      </c>
      <c r="G98" s="548">
        <f t="shared" si="44"/>
        <v>-38</v>
      </c>
      <c r="H98" s="363">
        <f t="shared" si="45"/>
        <v>3.4354196828064236E-9</v>
      </c>
      <c r="I98" s="363">
        <f t="shared" si="46"/>
        <v>-8.7030631964429403E-9</v>
      </c>
      <c r="J98" s="364">
        <f t="shared" si="47"/>
        <v>4.8061542067732529E-6</v>
      </c>
      <c r="K98" s="194">
        <f t="shared" si="48"/>
        <v>3.4354196828064235E-7</v>
      </c>
      <c r="L98" s="646">
        <f t="shared" si="49"/>
        <v>4.8027187870904465E-4</v>
      </c>
      <c r="M98" s="365">
        <f t="shared" si="50"/>
        <v>4.8061542067732527E-4</v>
      </c>
      <c r="N98" s="194">
        <f t="shared" si="51"/>
        <v>-8.7030631964429403E-7</v>
      </c>
      <c r="O98" s="422">
        <f t="shared" si="52"/>
        <v>-8.9650750692354985E-4</v>
      </c>
      <c r="P98" s="365">
        <f t="shared" si="53"/>
        <v>-8.9737781324319412E-4</v>
      </c>
      <c r="R98" s="193">
        <f t="shared" si="33"/>
        <v>-23.75</v>
      </c>
      <c r="S98" s="366">
        <f t="shared" si="34"/>
        <v>-5.3665075051588844E-2</v>
      </c>
      <c r="T98" s="193">
        <v>55</v>
      </c>
      <c r="U98" s="366">
        <f t="shared" si="35"/>
        <v>-9.7563551898995432E-5</v>
      </c>
      <c r="V98" s="193">
        <f t="shared" si="36"/>
        <v>-23.75</v>
      </c>
      <c r="W98" s="366">
        <f t="shared" si="37"/>
        <v>-5.3762638603487845E-2</v>
      </c>
      <c r="X98" s="366"/>
      <c r="Y98" s="503"/>
      <c r="Z98" s="366"/>
      <c r="AA98" s="520">
        <f t="shared" si="54"/>
        <v>-7.0294938639957686E-7</v>
      </c>
      <c r="AB98" s="496"/>
      <c r="AC98" s="521">
        <f t="shared" si="55"/>
        <v>-5.1892201618174323E-4</v>
      </c>
      <c r="AD98" s="497"/>
      <c r="AE98" s="522">
        <f t="shared" si="56"/>
        <v>-5.196249655681428E-4</v>
      </c>
      <c r="AG98" s="531">
        <f t="shared" si="57"/>
        <v>2.3142366630438742E-9</v>
      </c>
      <c r="AH98" s="221" t="str">
        <f t="shared" si="58"/>
        <v>NO</v>
      </c>
      <c r="AI98" s="532">
        <f t="shared" si="59"/>
        <v>1.7083852384584139E-6</v>
      </c>
      <c r="AJ98" s="221" t="str">
        <f t="shared" si="38"/>
        <v>NO</v>
      </c>
      <c r="AK98" s="533">
        <f>IF('IN-OUT'!$F$35=0,AG98,IF('IN-OUT'!$F$26=0,'transversal subsidence profile'!AI98,'transversal subsidence profile'!AG98+'transversal subsidence profile'!AI98))</f>
        <v>1.7106994751214576E-6</v>
      </c>
      <c r="AL98" s="513">
        <f t="shared" si="39"/>
        <v>1000</v>
      </c>
    </row>
    <row r="99" spans="1:38">
      <c r="A99" s="542">
        <f t="shared" si="60"/>
        <v>-27.75</v>
      </c>
      <c r="B99" s="363">
        <f t="shared" si="40"/>
        <v>5.596444117736857E-6</v>
      </c>
      <c r="C99" s="543">
        <f t="shared" si="41"/>
        <v>-1.0353421617813186E-5</v>
      </c>
      <c r="D99" s="542">
        <f t="shared" si="61"/>
        <v>-27.75</v>
      </c>
      <c r="E99" s="363">
        <f t="shared" si="42"/>
        <v>5.596444117736857E-6</v>
      </c>
      <c r="F99" s="543">
        <f t="shared" si="43"/>
        <v>-1.0353421617813186E-5</v>
      </c>
      <c r="G99" s="548">
        <f t="shared" si="44"/>
        <v>-37.75</v>
      </c>
      <c r="H99" s="363">
        <f t="shared" si="45"/>
        <v>4.2289681479797784E-9</v>
      </c>
      <c r="I99" s="363">
        <f t="shared" si="46"/>
        <v>-1.0642903172415775E-8</v>
      </c>
      <c r="J99" s="364">
        <f t="shared" si="47"/>
        <v>5.600673085884837E-6</v>
      </c>
      <c r="K99" s="194">
        <f t="shared" si="48"/>
        <v>4.2289681479797782E-7</v>
      </c>
      <c r="L99" s="646">
        <f t="shared" si="49"/>
        <v>5.5964441177368566E-4</v>
      </c>
      <c r="M99" s="365">
        <f t="shared" si="50"/>
        <v>5.6006730858848368E-4</v>
      </c>
      <c r="N99" s="194">
        <f t="shared" si="51"/>
        <v>-1.0642903172415774E-6</v>
      </c>
      <c r="O99" s="422">
        <f t="shared" si="52"/>
        <v>-1.0353421617813187E-3</v>
      </c>
      <c r="P99" s="365">
        <f t="shared" si="53"/>
        <v>-1.0364064520985603E-3</v>
      </c>
      <c r="R99" s="193">
        <f t="shared" si="33"/>
        <v>-23.5</v>
      </c>
      <c r="S99" s="366">
        <f>-E116*1000</f>
        <v>-6.1092679552955075E-2</v>
      </c>
      <c r="T99" s="193">
        <v>56</v>
      </c>
      <c r="U99" s="366">
        <f>-H116*1000</f>
        <v>-1.1733150379388988E-4</v>
      </c>
      <c r="V99" s="193">
        <f>+D116</f>
        <v>-23.5</v>
      </c>
      <c r="W99" s="366">
        <f>-J116*1000</f>
        <v>-6.1210011056748961E-2</v>
      </c>
      <c r="X99" s="366"/>
      <c r="Y99" s="503"/>
      <c r="Z99" s="366"/>
      <c r="AA99" s="520">
        <f t="shared" si="54"/>
        <v>-8.5360571524654466E-7</v>
      </c>
      <c r="AB99" s="496"/>
      <c r="AC99" s="521">
        <f t="shared" si="55"/>
        <v>-5.9326913774856559E-4</v>
      </c>
      <c r="AD99" s="497"/>
      <c r="AE99" s="522">
        <f t="shared" si="56"/>
        <v>-5.9412274346381209E-4</v>
      </c>
      <c r="AG99" s="531">
        <f t="shared" si="57"/>
        <v>2.8102245769433571E-9</v>
      </c>
      <c r="AH99" s="221" t="str">
        <f t="shared" si="58"/>
        <v>NO</v>
      </c>
      <c r="AI99" s="532">
        <f t="shared" si="59"/>
        <v>1.9531494246866355E-6</v>
      </c>
      <c r="AJ99" s="221" t="str">
        <f t="shared" si="38"/>
        <v>NO</v>
      </c>
      <c r="AK99" s="533">
        <f>IF('IN-OUT'!$F$35=0,AG99,IF('IN-OUT'!$F$26=0,'transversal subsidence profile'!AI99,'transversal subsidence profile'!AG99+'transversal subsidence profile'!AI99))</f>
        <v>1.9559596492635789E-6</v>
      </c>
      <c r="AL99" s="513">
        <f t="shared" si="39"/>
        <v>1000</v>
      </c>
    </row>
    <row r="100" spans="1:38">
      <c r="A100" s="542">
        <f t="shared" si="60"/>
        <v>-27.5</v>
      </c>
      <c r="B100" s="363">
        <f t="shared" si="40"/>
        <v>6.5124056569019646E-6</v>
      </c>
      <c r="C100" s="543">
        <f t="shared" si="41"/>
        <v>-1.1939410370986936E-5</v>
      </c>
      <c r="D100" s="542">
        <f t="shared" si="61"/>
        <v>-27.5</v>
      </c>
      <c r="E100" s="363">
        <f t="shared" si="42"/>
        <v>6.5124056569019646E-6</v>
      </c>
      <c r="F100" s="543">
        <f t="shared" si="43"/>
        <v>-1.1939410370986936E-5</v>
      </c>
      <c r="G100" s="548">
        <f t="shared" si="44"/>
        <v>-37.5</v>
      </c>
      <c r="H100" s="363">
        <f t="shared" si="45"/>
        <v>5.1986824297207413E-9</v>
      </c>
      <c r="I100" s="363">
        <f t="shared" si="46"/>
        <v>-1.2996706074301852E-8</v>
      </c>
      <c r="J100" s="364">
        <f t="shared" si="47"/>
        <v>6.5176043393316852E-6</v>
      </c>
      <c r="K100" s="194">
        <f t="shared" si="48"/>
        <v>5.1986824297207416E-7</v>
      </c>
      <c r="L100" s="646">
        <f t="shared" si="49"/>
        <v>6.5124056569019649E-4</v>
      </c>
      <c r="M100" s="365">
        <f t="shared" si="50"/>
        <v>6.5176043393316851E-4</v>
      </c>
      <c r="N100" s="194">
        <f t="shared" si="51"/>
        <v>-1.2996706074301852E-6</v>
      </c>
      <c r="O100" s="422">
        <f t="shared" si="52"/>
        <v>-1.1939410370986937E-3</v>
      </c>
      <c r="P100" s="365">
        <f t="shared" si="53"/>
        <v>-1.1952407077061239E-3</v>
      </c>
      <c r="R100" s="193">
        <f t="shared" si="33"/>
        <v>-23.25</v>
      </c>
      <c r="S100" s="366">
        <f>-E117*1000</f>
        <v>-6.9452977135231894E-2</v>
      </c>
      <c r="T100" s="193">
        <v>57</v>
      </c>
      <c r="U100" s="366">
        <f>-H117*1000</f>
        <v>-1.4091133547411194E-4</v>
      </c>
      <c r="V100" s="193">
        <f>+D117</f>
        <v>-23.25</v>
      </c>
      <c r="W100" s="366">
        <f>-J117*1000</f>
        <v>-6.9593888470706008E-2</v>
      </c>
      <c r="X100" s="366"/>
      <c r="Y100" s="503"/>
      <c r="Z100" s="366"/>
      <c r="AA100" s="520">
        <f t="shared" si="54"/>
        <v>-1.0350298598760881E-6</v>
      </c>
      <c r="AB100" s="496"/>
      <c r="AC100" s="521">
        <f t="shared" si="55"/>
        <v>-6.7720681046760163E-4</v>
      </c>
      <c r="AD100" s="497"/>
      <c r="AE100" s="522">
        <f t="shared" si="56"/>
        <v>-6.7824184032747774E-4</v>
      </c>
      <c r="AG100" s="531">
        <f t="shared" si="57"/>
        <v>3.4075057115262161E-9</v>
      </c>
      <c r="AH100" s="221" t="str">
        <f t="shared" si="58"/>
        <v>NO</v>
      </c>
      <c r="AI100" s="532">
        <f t="shared" si="59"/>
        <v>2.2294874418686472E-6</v>
      </c>
      <c r="AJ100" s="221" t="str">
        <f t="shared" si="38"/>
        <v>NO</v>
      </c>
      <c r="AK100" s="533">
        <f>IF('IN-OUT'!$F$35=0,AG100,IF('IN-OUT'!$F$26=0,'transversal subsidence profile'!AI100,'transversal subsidence profile'!AG100+'transversal subsidence profile'!AI100))</f>
        <v>2.2328949475801733E-6</v>
      </c>
      <c r="AL100" s="513">
        <f t="shared" si="39"/>
        <v>1000</v>
      </c>
    </row>
    <row r="101" spans="1:38">
      <c r="A101" s="542">
        <f t="shared" si="60"/>
        <v>-27.25</v>
      </c>
      <c r="B101" s="363">
        <f t="shared" si="40"/>
        <v>7.5678929141453698E-6</v>
      </c>
      <c r="C101" s="543">
        <f t="shared" si="41"/>
        <v>-1.3748338794030754E-5</v>
      </c>
      <c r="D101" s="542">
        <f t="shared" si="61"/>
        <v>-27.25</v>
      </c>
      <c r="E101" s="363">
        <f t="shared" si="42"/>
        <v>7.5678929141453698E-6</v>
      </c>
      <c r="F101" s="543">
        <f t="shared" si="43"/>
        <v>-1.3748338794030754E-5</v>
      </c>
      <c r="G101" s="548">
        <f t="shared" si="44"/>
        <v>-37.25</v>
      </c>
      <c r="H101" s="363">
        <f t="shared" si="45"/>
        <v>6.3819944638841815E-9</v>
      </c>
      <c r="I101" s="363">
        <f t="shared" si="46"/>
        <v>-1.5848619585312386E-8</v>
      </c>
      <c r="J101" s="364">
        <f t="shared" si="47"/>
        <v>7.5742749086092544E-6</v>
      </c>
      <c r="K101" s="194">
        <f t="shared" si="48"/>
        <v>6.3819944638841817E-7</v>
      </c>
      <c r="L101" s="646">
        <f t="shared" si="49"/>
        <v>7.5678929141453693E-4</v>
      </c>
      <c r="M101" s="365">
        <f t="shared" si="50"/>
        <v>7.5742749086092534E-4</v>
      </c>
      <c r="N101" s="194">
        <f t="shared" si="51"/>
        <v>-1.5848619585312384E-6</v>
      </c>
      <c r="O101" s="422">
        <f t="shared" si="52"/>
        <v>-1.3748338794030753E-3</v>
      </c>
      <c r="P101" s="365">
        <f t="shared" si="53"/>
        <v>-1.3764187413616066E-3</v>
      </c>
      <c r="R101" s="193">
        <f t="shared" si="33"/>
        <v>-23</v>
      </c>
      <c r="S101" s="366">
        <f>-E118*1000</f>
        <v>-7.884911432985138E-2</v>
      </c>
      <c r="T101" s="193">
        <v>58</v>
      </c>
      <c r="U101" s="366">
        <f>-H118*1000</f>
        <v>-1.6899796882487885E-4</v>
      </c>
      <c r="V101" s="193">
        <f>+D118</f>
        <v>-23</v>
      </c>
      <c r="W101" s="366">
        <f>-J118*1000</f>
        <v>-7.9018112298676252E-2</v>
      </c>
      <c r="X101" s="366"/>
      <c r="Y101" s="503"/>
      <c r="Z101" s="366"/>
      <c r="AA101" s="520">
        <f t="shared" si="54"/>
        <v>-1.2531704172704266E-6</v>
      </c>
      <c r="AB101" s="496"/>
      <c r="AC101" s="521">
        <f t="shared" si="55"/>
        <v>-7.7180742367214598E-4</v>
      </c>
      <c r="AD101" s="497"/>
      <c r="AE101" s="522">
        <f t="shared" si="56"/>
        <v>-7.7306059408941644E-4</v>
      </c>
      <c r="AG101" s="531">
        <f t="shared" si="57"/>
        <v>4.1256639251701279E-9</v>
      </c>
      <c r="AH101" s="221" t="str">
        <f t="shared" si="58"/>
        <v>NO</v>
      </c>
      <c r="AI101" s="532">
        <f t="shared" si="59"/>
        <v>2.5409297898671471E-6</v>
      </c>
      <c r="AJ101" s="221" t="str">
        <f t="shared" si="38"/>
        <v>NO</v>
      </c>
      <c r="AK101" s="533">
        <f>IF('IN-OUT'!$F$35=0,AG101,IF('IN-OUT'!$F$26=0,'transversal subsidence profile'!AI101,'transversal subsidence profile'!AG101+'transversal subsidence profile'!AI101))</f>
        <v>2.5450554537923172E-6</v>
      </c>
      <c r="AL101" s="513">
        <f t="shared" si="39"/>
        <v>1000</v>
      </c>
    </row>
    <row r="102" spans="1:38">
      <c r="A102" s="542">
        <f t="shared" si="60"/>
        <v>-27</v>
      </c>
      <c r="B102" s="363">
        <f t="shared" si="40"/>
        <v>8.7823910614371457E-6</v>
      </c>
      <c r="C102" s="543">
        <f t="shared" si="41"/>
        <v>-1.5808303910586863E-5</v>
      </c>
      <c r="D102" s="542">
        <f t="shared" si="61"/>
        <v>-27</v>
      </c>
      <c r="E102" s="363">
        <f t="shared" si="42"/>
        <v>8.7823910614371457E-6</v>
      </c>
      <c r="F102" s="543">
        <f t="shared" si="43"/>
        <v>-1.5808303910586863E-5</v>
      </c>
      <c r="G102" s="548">
        <f t="shared" si="44"/>
        <v>-37</v>
      </c>
      <c r="H102" s="363">
        <f t="shared" si="45"/>
        <v>7.8239094875549225E-9</v>
      </c>
      <c r="I102" s="363">
        <f t="shared" si="46"/>
        <v>-1.9298976735968808E-8</v>
      </c>
      <c r="J102" s="364">
        <f t="shared" si="47"/>
        <v>8.7902149709247E-6</v>
      </c>
      <c r="K102" s="194">
        <f t="shared" si="48"/>
        <v>7.823909487554923E-7</v>
      </c>
      <c r="L102" s="646">
        <f t="shared" si="49"/>
        <v>8.7823910614371454E-4</v>
      </c>
      <c r="M102" s="365">
        <f t="shared" si="50"/>
        <v>8.7902149709247006E-4</v>
      </c>
      <c r="N102" s="194">
        <f t="shared" si="51"/>
        <v>-1.9298976735968807E-6</v>
      </c>
      <c r="O102" s="422">
        <f t="shared" si="52"/>
        <v>-1.5808303910586864E-3</v>
      </c>
      <c r="P102" s="365">
        <f t="shared" si="53"/>
        <v>-1.5827602887322832E-3</v>
      </c>
      <c r="R102" s="193">
        <f t="shared" si="33"/>
        <v>-22.75</v>
      </c>
      <c r="S102" s="366">
        <f>-E119*1000</f>
        <v>-8.9393724529516327E-2</v>
      </c>
      <c r="T102" s="193">
        <v>59</v>
      </c>
      <c r="U102" s="366">
        <f>-H119*1000</f>
        <v>-2.0240502898220163E-4</v>
      </c>
      <c r="V102" s="193">
        <f>+D119</f>
        <v>-22.75</v>
      </c>
      <c r="W102" s="366">
        <f>-J119*1000</f>
        <v>-8.9596129558498536E-2</v>
      </c>
      <c r="X102" s="366"/>
      <c r="Y102" s="503"/>
      <c r="Z102" s="366"/>
      <c r="AA102" s="520">
        <f t="shared" si="54"/>
        <v>-1.5150551751163741E-6</v>
      </c>
      <c r="AB102" s="496"/>
      <c r="AC102" s="521">
        <f t="shared" si="55"/>
        <v>-8.7823910614371454E-4</v>
      </c>
      <c r="AD102" s="497"/>
      <c r="AE102" s="522">
        <f t="shared" si="56"/>
        <v>-8.7975416131883086E-4</v>
      </c>
      <c r="AG102" s="531">
        <f t="shared" si="57"/>
        <v>4.9878359674613133E-9</v>
      </c>
      <c r="AH102" s="221" t="str">
        <f t="shared" si="58"/>
        <v>NO</v>
      </c>
      <c r="AI102" s="532">
        <f t="shared" si="59"/>
        <v>2.8913221601439161E-6</v>
      </c>
      <c r="AJ102" s="221" t="str">
        <f t="shared" si="38"/>
        <v>NO</v>
      </c>
      <c r="AK102" s="533">
        <f>IF('IN-OUT'!$F$35=0,AG102,IF('IN-OUT'!$F$26=0,'transversal subsidence profile'!AI102,'transversal subsidence profile'!AG102+'transversal subsidence profile'!AI102))</f>
        <v>2.8963099961113772E-6</v>
      </c>
      <c r="AL102" s="513">
        <f t="shared" si="39"/>
        <v>1000</v>
      </c>
    </row>
    <row r="103" spans="1:38">
      <c r="A103" s="542">
        <f t="shared" si="60"/>
        <v>-26.75</v>
      </c>
      <c r="B103" s="363">
        <f t="shared" si="40"/>
        <v>1.0177821377228691E-5</v>
      </c>
      <c r="C103" s="543">
        <f t="shared" si="41"/>
        <v>-1.8150448122724499E-5</v>
      </c>
      <c r="D103" s="542">
        <f t="shared" si="61"/>
        <v>-26.75</v>
      </c>
      <c r="E103" s="363">
        <f t="shared" si="42"/>
        <v>1.0177821377228691E-5</v>
      </c>
      <c r="F103" s="543">
        <f t="shared" si="43"/>
        <v>-1.8150448122724499E-5</v>
      </c>
      <c r="G103" s="548">
        <f t="shared" si="44"/>
        <v>-36.75</v>
      </c>
      <c r="H103" s="363">
        <f t="shared" si="45"/>
        <v>9.5784551935078375E-9</v>
      </c>
      <c r="I103" s="363">
        <f t="shared" si="46"/>
        <v>-2.3467215224094203E-8</v>
      </c>
      <c r="J103" s="364">
        <f t="shared" si="47"/>
        <v>1.0187399832422199E-5</v>
      </c>
      <c r="K103" s="194">
        <f t="shared" si="48"/>
        <v>9.5784551935078368E-7</v>
      </c>
      <c r="L103" s="646">
        <f t="shared" si="49"/>
        <v>1.0177821377228692E-3</v>
      </c>
      <c r="M103" s="365">
        <f t="shared" si="50"/>
        <v>1.0187399832422199E-3</v>
      </c>
      <c r="N103" s="194">
        <f t="shared" si="51"/>
        <v>-2.3467215224094204E-6</v>
      </c>
      <c r="O103" s="422">
        <f t="shared" si="52"/>
        <v>-1.8150448122724499E-3</v>
      </c>
      <c r="P103" s="365">
        <f t="shared" si="53"/>
        <v>-1.8173915337948592E-3</v>
      </c>
      <c r="R103" s="193">
        <f t="shared" si="33"/>
        <v>-22.5</v>
      </c>
      <c r="S103" s="366">
        <f>-E120*1000</f>
        <v>-0.10120955257943832</v>
      </c>
      <c r="T103" s="193">
        <v>60</v>
      </c>
      <c r="U103" s="366">
        <f>-H120*1000</f>
        <v>-2.4208360205461144E-4</v>
      </c>
      <c r="V103" s="193">
        <f>+D120</f>
        <v>-22.5</v>
      </c>
      <c r="W103" s="366">
        <f>-J120*1000</f>
        <v>-0.10145163618149294</v>
      </c>
      <c r="X103" s="366"/>
      <c r="Y103" s="503"/>
      <c r="Z103" s="366"/>
      <c r="AA103" s="520">
        <f t="shared" si="54"/>
        <v>-1.8289725143158999E-6</v>
      </c>
      <c r="AB103" s="496"/>
      <c r="AC103" s="521">
        <f t="shared" si="55"/>
        <v>-9.9777087484125807E-4</v>
      </c>
      <c r="AD103" s="497"/>
      <c r="AE103" s="522">
        <f t="shared" si="56"/>
        <v>-9.9959984735557405E-4</v>
      </c>
      <c r="AG103" s="531">
        <f t="shared" si="57"/>
        <v>6.0213086891058433E-9</v>
      </c>
      <c r="AH103" s="221" t="str">
        <f t="shared" si="58"/>
        <v>NO</v>
      </c>
      <c r="AI103" s="532">
        <f t="shared" si="59"/>
        <v>3.2848423863086682E-6</v>
      </c>
      <c r="AJ103" s="221" t="str">
        <f t="shared" si="38"/>
        <v>NO</v>
      </c>
      <c r="AK103" s="533">
        <f>IF('IN-OUT'!$F$35=0,AG103,IF('IN-OUT'!$F$26=0,'transversal subsidence profile'!AI103,'transversal subsidence profile'!AG103+'transversal subsidence profile'!AI103))</f>
        <v>3.2908636949977742E-6</v>
      </c>
      <c r="AL103" s="513">
        <f t="shared" si="39"/>
        <v>1000</v>
      </c>
    </row>
    <row r="104" spans="1:38">
      <c r="A104" s="542">
        <f t="shared" si="60"/>
        <v>-26.5</v>
      </c>
      <c r="B104" s="363">
        <f t="shared" si="40"/>
        <v>1.1778802445756498E-5</v>
      </c>
      <c r="C104" s="543">
        <f t="shared" si="41"/>
        <v>-2.0809217654169814E-5</v>
      </c>
      <c r="D104" s="542">
        <f t="shared" si="61"/>
        <v>-26.5</v>
      </c>
      <c r="E104" s="363">
        <f t="shared" si="42"/>
        <v>1.1778802445756498E-5</v>
      </c>
      <c r="F104" s="543">
        <f t="shared" si="43"/>
        <v>-2.0809217654169814E-5</v>
      </c>
      <c r="G104" s="548">
        <f t="shared" si="44"/>
        <v>-36.5</v>
      </c>
      <c r="H104" s="363">
        <f t="shared" si="45"/>
        <v>1.1710390740668723E-8</v>
      </c>
      <c r="I104" s="363">
        <f t="shared" si="46"/>
        <v>-2.8495284135627222E-8</v>
      </c>
      <c r="J104" s="364">
        <f t="shared" si="47"/>
        <v>1.1790512836497166E-5</v>
      </c>
      <c r="K104" s="194">
        <f t="shared" si="48"/>
        <v>1.1710390740668724E-6</v>
      </c>
      <c r="L104" s="646">
        <f t="shared" si="49"/>
        <v>1.1778802445756497E-3</v>
      </c>
      <c r="M104" s="365">
        <f t="shared" si="50"/>
        <v>1.1790512836497165E-3</v>
      </c>
      <c r="N104" s="194">
        <f t="shared" si="51"/>
        <v>-2.8495284135627221E-6</v>
      </c>
      <c r="O104" s="422">
        <f t="shared" si="52"/>
        <v>-2.0809217654169814E-3</v>
      </c>
      <c r="P104" s="365">
        <f t="shared" si="53"/>
        <v>-2.083771293830544E-3</v>
      </c>
      <c r="S104" s="193"/>
      <c r="T104" s="193"/>
      <c r="U104" s="193"/>
      <c r="V104" s="193"/>
      <c r="W104" s="193"/>
      <c r="X104" s="193"/>
      <c r="Y104" s="503"/>
      <c r="Z104" s="193"/>
      <c r="AA104" s="520">
        <f t="shared" si="54"/>
        <v>-2.2046805137462002E-6</v>
      </c>
      <c r="AB104" s="496"/>
      <c r="AC104" s="521">
        <f t="shared" si="55"/>
        <v>-1.1317775701651903E-3</v>
      </c>
      <c r="AD104" s="496"/>
      <c r="AE104" s="522">
        <f t="shared" si="56"/>
        <v>-1.1339822506789366E-3</v>
      </c>
      <c r="AG104" s="531">
        <f t="shared" si="57"/>
        <v>7.258207452662387E-9</v>
      </c>
      <c r="AH104" s="221" t="str">
        <f t="shared" si="58"/>
        <v>NO</v>
      </c>
      <c r="AI104" s="532">
        <f t="shared" si="59"/>
        <v>3.7260166919018598E-6</v>
      </c>
      <c r="AJ104" s="221" t="str">
        <f t="shared" si="38"/>
        <v>NO</v>
      </c>
      <c r="AK104" s="533">
        <f>IF('IN-OUT'!$F$35=0,AG104,IF('IN-OUT'!$F$26=0,'transversal subsidence profile'!AI104,'transversal subsidence profile'!AG104+'transversal subsidence profile'!AI104))</f>
        <v>3.7332748993545223E-6</v>
      </c>
      <c r="AL104" s="513">
        <f t="shared" si="39"/>
        <v>1000</v>
      </c>
    </row>
    <row r="105" spans="1:38">
      <c r="A105" s="542">
        <f t="shared" si="60"/>
        <v>-26.25</v>
      </c>
      <c r="B105" s="363">
        <f t="shared" si="40"/>
        <v>1.3612933125479041E-5</v>
      </c>
      <c r="C105" s="543">
        <f t="shared" si="41"/>
        <v>-2.3822632969588324E-5</v>
      </c>
      <c r="D105" s="542">
        <f t="shared" si="61"/>
        <v>-26.25</v>
      </c>
      <c r="E105" s="363">
        <f t="shared" si="42"/>
        <v>1.3612933125479041E-5</v>
      </c>
      <c r="F105" s="543">
        <f t="shared" si="43"/>
        <v>-2.3822632969588324E-5</v>
      </c>
      <c r="G105" s="548">
        <f t="shared" si="44"/>
        <v>-36.25</v>
      </c>
      <c r="H105" s="363">
        <f t="shared" si="45"/>
        <v>1.4297218709898016E-8</v>
      </c>
      <c r="I105" s="363">
        <f t="shared" si="46"/>
        <v>-3.4551611882253539E-8</v>
      </c>
      <c r="J105" s="364">
        <f t="shared" si="47"/>
        <v>1.3627230344188939E-5</v>
      </c>
      <c r="K105" s="194">
        <f t="shared" si="48"/>
        <v>1.4297218709898016E-6</v>
      </c>
      <c r="L105" s="646">
        <f t="shared" si="49"/>
        <v>1.361293312547904E-3</v>
      </c>
      <c r="M105" s="365">
        <f t="shared" si="50"/>
        <v>1.3627230344188939E-3</v>
      </c>
      <c r="N105" s="194">
        <f t="shared" si="51"/>
        <v>-3.4551611882253537E-6</v>
      </c>
      <c r="O105" s="422">
        <f t="shared" si="52"/>
        <v>-2.3822632969588324E-3</v>
      </c>
      <c r="P105" s="365">
        <f t="shared" si="53"/>
        <v>-2.3857184581470578E-3</v>
      </c>
      <c r="S105" s="193"/>
      <c r="T105" s="193"/>
      <c r="U105" s="193"/>
      <c r="V105" s="193"/>
      <c r="W105" s="193"/>
      <c r="X105" s="193"/>
      <c r="Y105" s="503"/>
      <c r="Z105" s="193"/>
      <c r="AA105" s="520">
        <f t="shared" si="54"/>
        <v>-2.6536474708375868E-6</v>
      </c>
      <c r="AB105" s="496"/>
      <c r="AC105" s="521">
        <f t="shared" si="55"/>
        <v>-1.28174448523029E-3</v>
      </c>
      <c r="AD105" s="496"/>
      <c r="AE105" s="522">
        <f t="shared" si="56"/>
        <v>-1.2843981327011276E-3</v>
      </c>
      <c r="AG105" s="531">
        <f t="shared" si="57"/>
        <v>8.7362879698356765E-9</v>
      </c>
      <c r="AH105" s="221" t="str">
        <f t="shared" si="58"/>
        <v>NO</v>
      </c>
      <c r="AI105" s="532">
        <f t="shared" si="59"/>
        <v>4.2197349307993085E-6</v>
      </c>
      <c r="AJ105" s="221" t="str">
        <f t="shared" si="38"/>
        <v>NO</v>
      </c>
      <c r="AK105" s="533">
        <f>IF('IN-OUT'!$F$35=0,AG105,IF('IN-OUT'!$F$26=0,'transversal subsidence profile'!AI105,'transversal subsidence profile'!AG105+'transversal subsidence profile'!AI105))</f>
        <v>4.2284712187691439E-6</v>
      </c>
      <c r="AL105" s="513">
        <f t="shared" si="39"/>
        <v>1000</v>
      </c>
    </row>
    <row r="106" spans="1:38">
      <c r="A106" s="542">
        <f t="shared" si="60"/>
        <v>-26</v>
      </c>
      <c r="B106" s="363">
        <f t="shared" si="40"/>
        <v>1.5711098237402173E-5</v>
      </c>
      <c r="C106" s="543">
        <f t="shared" si="41"/>
        <v>-2.7232570278163765E-5</v>
      </c>
      <c r="D106" s="542">
        <f t="shared" si="61"/>
        <v>-26</v>
      </c>
      <c r="E106" s="363">
        <f t="shared" si="42"/>
        <v>1.5711098237402173E-5</v>
      </c>
      <c r="F106" s="543">
        <f t="shared" si="43"/>
        <v>-2.7232570278163765E-5</v>
      </c>
      <c r="G106" s="548">
        <f t="shared" si="44"/>
        <v>-36</v>
      </c>
      <c r="H106" s="363">
        <f t="shared" si="45"/>
        <v>1.7431549565540899E-8</v>
      </c>
      <c r="I106" s="363">
        <f t="shared" si="46"/>
        <v>-4.1835718957298162E-8</v>
      </c>
      <c r="J106" s="364">
        <f t="shared" si="47"/>
        <v>1.5728529786967713E-5</v>
      </c>
      <c r="K106" s="194">
        <f t="shared" si="48"/>
        <v>1.74315495655409E-6</v>
      </c>
      <c r="L106" s="646">
        <f t="shared" si="49"/>
        <v>1.5711098237402173E-3</v>
      </c>
      <c r="M106" s="365">
        <f t="shared" si="50"/>
        <v>1.5728529786967714E-3</v>
      </c>
      <c r="N106" s="194">
        <f t="shared" si="51"/>
        <v>-4.1835718957298166E-6</v>
      </c>
      <c r="O106" s="422">
        <f t="shared" si="52"/>
        <v>-2.7232570278163766E-3</v>
      </c>
      <c r="P106" s="365">
        <f t="shared" si="53"/>
        <v>-2.7274405997121062E-3</v>
      </c>
      <c r="S106" s="193"/>
      <c r="T106" s="193"/>
      <c r="U106" s="193"/>
      <c r="V106" s="193"/>
      <c r="W106" s="193"/>
      <c r="X106" s="193"/>
      <c r="Y106" s="503"/>
      <c r="Z106" s="193"/>
      <c r="AA106" s="520">
        <f t="shared" si="54"/>
        <v>-3.1893279575471119E-6</v>
      </c>
      <c r="AB106" s="496"/>
      <c r="AC106" s="521">
        <f t="shared" si="55"/>
        <v>-1.4492715859229601E-3</v>
      </c>
      <c r="AD106" s="496"/>
      <c r="AE106" s="522">
        <f t="shared" si="56"/>
        <v>-1.4524609138805073E-3</v>
      </c>
      <c r="AG106" s="531">
        <f t="shared" si="57"/>
        <v>1.0499845127727117E-8</v>
      </c>
      <c r="AH106" s="221" t="str">
        <f t="shared" si="58"/>
        <v>NO</v>
      </c>
      <c r="AI106" s="532">
        <f t="shared" si="59"/>
        <v>4.7712644804048075E-6</v>
      </c>
      <c r="AJ106" s="221" t="str">
        <f t="shared" si="38"/>
        <v>NO</v>
      </c>
      <c r="AK106" s="533">
        <f>IF('IN-OUT'!$F$35=0,AG106,IF('IN-OUT'!$F$26=0,'transversal subsidence profile'!AI106,'transversal subsidence profile'!AG106+'transversal subsidence profile'!AI106))</f>
        <v>4.7817643255325345E-6</v>
      </c>
      <c r="AL106" s="513">
        <f t="shared" si="39"/>
        <v>1000</v>
      </c>
    </row>
    <row r="107" spans="1:38">
      <c r="A107" s="542">
        <f t="shared" si="60"/>
        <v>-25.75</v>
      </c>
      <c r="B107" s="363">
        <f t="shared" si="40"/>
        <v>1.8107797839661258E-5</v>
      </c>
      <c r="C107" s="543">
        <f t="shared" si="41"/>
        <v>-3.108505295808516E-5</v>
      </c>
      <c r="D107" s="542">
        <f t="shared" si="61"/>
        <v>-25.75</v>
      </c>
      <c r="E107" s="363">
        <f t="shared" si="42"/>
        <v>1.8107797839661258E-5</v>
      </c>
      <c r="F107" s="543">
        <f t="shared" si="43"/>
        <v>-3.108505295808516E-5</v>
      </c>
      <c r="G107" s="548">
        <f t="shared" si="44"/>
        <v>-35.75</v>
      </c>
      <c r="H107" s="363">
        <f t="shared" si="45"/>
        <v>2.1223875502448237E-8</v>
      </c>
      <c r="I107" s="363">
        <f t="shared" si="46"/>
        <v>-5.0583569947501633E-8</v>
      </c>
      <c r="J107" s="364">
        <f t="shared" si="47"/>
        <v>1.8129021715163707E-5</v>
      </c>
      <c r="K107" s="194">
        <f t="shared" si="48"/>
        <v>2.1223875502448236E-6</v>
      </c>
      <c r="L107" s="646">
        <f t="shared" si="49"/>
        <v>1.8107797839661257E-3</v>
      </c>
      <c r="M107" s="365">
        <f t="shared" si="50"/>
        <v>1.8129021715163705E-3</v>
      </c>
      <c r="N107" s="194">
        <f t="shared" si="51"/>
        <v>-5.0583569947501631E-6</v>
      </c>
      <c r="O107" s="422">
        <f t="shared" si="52"/>
        <v>-3.1085052958085158E-3</v>
      </c>
      <c r="P107" s="365">
        <f t="shared" si="53"/>
        <v>-3.1135636528032661E-3</v>
      </c>
      <c r="S107" s="193"/>
      <c r="T107" s="193"/>
      <c r="U107" s="193"/>
      <c r="V107" s="193"/>
      <c r="W107" s="193"/>
      <c r="X107" s="193"/>
      <c r="Y107" s="503"/>
      <c r="Z107" s="193"/>
      <c r="AA107" s="520">
        <f t="shared" si="54"/>
        <v>-3.8274789657821604E-6</v>
      </c>
      <c r="AB107" s="496"/>
      <c r="AC107" s="521">
        <f t="shared" si="55"/>
        <v>-1.6360772076438341E-3</v>
      </c>
      <c r="AD107" s="496"/>
      <c r="AE107" s="522">
        <f t="shared" si="56"/>
        <v>-1.6399046866096164E-3</v>
      </c>
      <c r="AG107" s="531">
        <f t="shared" si="57"/>
        <v>1.2600753796813694E-8</v>
      </c>
      <c r="AH107" s="221" t="str">
        <f t="shared" si="58"/>
        <v>NO</v>
      </c>
      <c r="AI107" s="532">
        <f t="shared" si="59"/>
        <v>5.3862624119961604E-6</v>
      </c>
      <c r="AJ107" s="221" t="str">
        <f t="shared" si="38"/>
        <v>NO</v>
      </c>
      <c r="AK107" s="533">
        <f>IF('IN-OUT'!$F$35=0,AG107,IF('IN-OUT'!$F$26=0,'transversal subsidence profile'!AI107,'transversal subsidence profile'!AG107+'transversal subsidence profile'!AI107))</f>
        <v>5.3988631657929738E-6</v>
      </c>
      <c r="AL107" s="513">
        <f t="shared" si="39"/>
        <v>1000</v>
      </c>
    </row>
    <row r="108" spans="1:38">
      <c r="A108" s="542">
        <f t="shared" si="60"/>
        <v>-25.5</v>
      </c>
      <c r="B108" s="363">
        <f t="shared" si="40"/>
        <v>2.0841500846863253E-5</v>
      </c>
      <c r="C108" s="543">
        <f t="shared" si="41"/>
        <v>-3.5430551439667534E-5</v>
      </c>
      <c r="D108" s="542">
        <f t="shared" si="61"/>
        <v>-25.5</v>
      </c>
      <c r="E108" s="363">
        <f t="shared" si="42"/>
        <v>2.0841500846863253E-5</v>
      </c>
      <c r="F108" s="543">
        <f t="shared" si="43"/>
        <v>-3.5430551439667534E-5</v>
      </c>
      <c r="G108" s="548">
        <f t="shared" si="44"/>
        <v>-35.5</v>
      </c>
      <c r="H108" s="363">
        <f t="shared" si="45"/>
        <v>2.5805818814954858E-8</v>
      </c>
      <c r="I108" s="363">
        <f t="shared" si="46"/>
        <v>-6.1073771195393161E-8</v>
      </c>
      <c r="J108" s="364">
        <f t="shared" si="47"/>
        <v>2.0867306665678208E-5</v>
      </c>
      <c r="K108" s="194">
        <f t="shared" si="48"/>
        <v>2.5805818814954856E-6</v>
      </c>
      <c r="L108" s="646">
        <f t="shared" si="49"/>
        <v>2.0841500846863251E-3</v>
      </c>
      <c r="M108" s="365">
        <f t="shared" si="50"/>
        <v>2.0867306665678207E-3</v>
      </c>
      <c r="N108" s="194">
        <f t="shared" si="51"/>
        <v>-6.1073771195393159E-6</v>
      </c>
      <c r="O108" s="422">
        <f t="shared" si="52"/>
        <v>-3.5430551439667533E-3</v>
      </c>
      <c r="P108" s="365">
        <f t="shared" si="53"/>
        <v>-3.5491625210862924E-3</v>
      </c>
      <c r="S108" s="193"/>
      <c r="T108" s="193"/>
      <c r="U108" s="193"/>
      <c r="V108" s="193"/>
      <c r="W108" s="193"/>
      <c r="X108" s="193"/>
      <c r="Y108" s="503"/>
      <c r="Z108" s="193"/>
      <c r="AA108" s="520">
        <f t="shared" si="54"/>
        <v>-4.5865211583781222E-6</v>
      </c>
      <c r="AB108" s="496"/>
      <c r="AC108" s="521">
        <f t="shared" si="55"/>
        <v>-1.8440011037348146E-3</v>
      </c>
      <c r="AD108" s="496"/>
      <c r="AE108" s="522">
        <f t="shared" si="56"/>
        <v>-1.8485876248931928E-3</v>
      </c>
      <c r="AG108" s="531">
        <f t="shared" si="57"/>
        <v>1.5099658134578179E-8</v>
      </c>
      <c r="AH108" s="221" t="str">
        <f t="shared" si="58"/>
        <v>NO</v>
      </c>
      <c r="AI108" s="532">
        <f t="shared" si="59"/>
        <v>6.0707855266989773E-6</v>
      </c>
      <c r="AJ108" s="221" t="str">
        <f t="shared" si="38"/>
        <v>NO</v>
      </c>
      <c r="AK108" s="533">
        <f>IF('IN-OUT'!$F$35=0,AG108,IF('IN-OUT'!$F$26=0,'transversal subsidence profile'!AI108,'transversal subsidence profile'!AG108+'transversal subsidence profile'!AI108))</f>
        <v>6.085885184833555E-6</v>
      </c>
      <c r="AL108" s="513">
        <f t="shared" si="39"/>
        <v>1000</v>
      </c>
    </row>
    <row r="109" spans="1:38">
      <c r="A109" s="542">
        <f t="shared" si="60"/>
        <v>-25.25</v>
      </c>
      <c r="B109" s="363">
        <f t="shared" si="40"/>
        <v>2.3955023619108636E-5</v>
      </c>
      <c r="C109" s="543">
        <f t="shared" si="41"/>
        <v>-4.032428975883287E-5</v>
      </c>
      <c r="D109" s="542">
        <f t="shared" si="61"/>
        <v>-25.25</v>
      </c>
      <c r="E109" s="363">
        <f t="shared" si="42"/>
        <v>2.3955023619108636E-5</v>
      </c>
      <c r="F109" s="543">
        <f t="shared" si="43"/>
        <v>-4.032428975883287E-5</v>
      </c>
      <c r="G109" s="548">
        <f t="shared" si="44"/>
        <v>-35.25</v>
      </c>
      <c r="H109" s="363">
        <f t="shared" si="45"/>
        <v>3.1333929213649484E-8</v>
      </c>
      <c r="I109" s="363">
        <f t="shared" si="46"/>
        <v>-7.3634733652076292E-8</v>
      </c>
      <c r="J109" s="364">
        <f t="shared" si="47"/>
        <v>2.3986357548322286E-5</v>
      </c>
      <c r="K109" s="194">
        <f t="shared" si="48"/>
        <v>3.1333929213649484E-6</v>
      </c>
      <c r="L109" s="646">
        <f t="shared" si="49"/>
        <v>2.3955023619108636E-3</v>
      </c>
      <c r="M109" s="365">
        <f t="shared" si="50"/>
        <v>2.3986357548322285E-3</v>
      </c>
      <c r="N109" s="194">
        <f t="shared" si="51"/>
        <v>-7.3634733652076295E-6</v>
      </c>
      <c r="O109" s="422">
        <f t="shared" si="52"/>
        <v>-4.0324289758832867E-3</v>
      </c>
      <c r="P109" s="365">
        <f t="shared" si="53"/>
        <v>-4.0397924492484947E-3</v>
      </c>
      <c r="S109" s="193"/>
      <c r="T109" s="193"/>
      <c r="U109" s="193"/>
      <c r="V109" s="193"/>
      <c r="W109" s="193"/>
      <c r="X109" s="193"/>
      <c r="Y109" s="503"/>
      <c r="Z109" s="193"/>
      <c r="AA109" s="520">
        <f t="shared" si="54"/>
        <v>-5.4879507297651114E-6</v>
      </c>
      <c r="AB109" s="496"/>
      <c r="AC109" s="521">
        <f t="shared" si="55"/>
        <v>-2.0750067098326201E-3</v>
      </c>
      <c r="AD109" s="496"/>
      <c r="AE109" s="522">
        <f t="shared" si="56"/>
        <v>-2.0804946605623852E-3</v>
      </c>
      <c r="AG109" s="531">
        <f t="shared" si="57"/>
        <v>1.8067327505399543E-8</v>
      </c>
      <c r="AH109" s="221" t="str">
        <f t="shared" si="58"/>
        <v>NO</v>
      </c>
      <c r="AI109" s="532">
        <f t="shared" si="59"/>
        <v>6.8312978101485429E-6</v>
      </c>
      <c r="AJ109" s="221" t="str">
        <f t="shared" si="38"/>
        <v>NO</v>
      </c>
      <c r="AK109" s="533">
        <f>IF('IN-OUT'!$F$35=0,AG109,IF('IN-OUT'!$F$26=0,'transversal subsidence profile'!AI109,'transversal subsidence profile'!AG109+'transversal subsidence profile'!AI109))</f>
        <v>6.8493651376539425E-6</v>
      </c>
      <c r="AL109" s="513">
        <f t="shared" si="39"/>
        <v>1000</v>
      </c>
    </row>
    <row r="110" spans="1:38">
      <c r="A110" s="542">
        <f t="shared" si="60"/>
        <v>-25</v>
      </c>
      <c r="B110" s="363">
        <f t="shared" si="40"/>
        <v>2.7495933984103291E-5</v>
      </c>
      <c r="C110" s="543">
        <f t="shared" si="41"/>
        <v>-4.5826556640172145E-5</v>
      </c>
      <c r="D110" s="542">
        <f t="shared" si="61"/>
        <v>-25</v>
      </c>
      <c r="E110" s="363">
        <f t="shared" si="42"/>
        <v>2.7495933984103291E-5</v>
      </c>
      <c r="F110" s="543">
        <f t="shared" si="43"/>
        <v>-4.5826556640172145E-5</v>
      </c>
      <c r="G110" s="548">
        <f t="shared" si="44"/>
        <v>-35</v>
      </c>
      <c r="H110" s="363">
        <f t="shared" si="45"/>
        <v>3.799411493806283E-8</v>
      </c>
      <c r="I110" s="363">
        <f t="shared" si="46"/>
        <v>-8.8652934855479936E-8</v>
      </c>
      <c r="J110" s="364">
        <f t="shared" si="47"/>
        <v>2.7533928099041354E-5</v>
      </c>
      <c r="K110" s="194">
        <f t="shared" si="48"/>
        <v>3.7994114938062831E-6</v>
      </c>
      <c r="L110" s="646">
        <f t="shared" si="49"/>
        <v>2.7495933984103289E-3</v>
      </c>
      <c r="M110" s="365">
        <f t="shared" si="50"/>
        <v>2.753392809904135E-3</v>
      </c>
      <c r="N110" s="194">
        <f t="shared" si="51"/>
        <v>-8.8652934855479935E-6</v>
      </c>
      <c r="O110" s="422">
        <f t="shared" si="52"/>
        <v>-4.5826556640172142E-3</v>
      </c>
      <c r="P110" s="365">
        <f t="shared" si="53"/>
        <v>-4.591520957502762E-3</v>
      </c>
      <c r="S110" s="193"/>
      <c r="T110" s="193"/>
      <c r="U110" s="193"/>
      <c r="V110" s="193"/>
      <c r="W110" s="193"/>
      <c r="X110" s="193"/>
      <c r="Y110" s="503"/>
      <c r="Z110" s="193"/>
      <c r="AA110" s="520">
        <f t="shared" si="54"/>
        <v>-6.5568078920547199E-6</v>
      </c>
      <c r="AB110" s="42"/>
      <c r="AC110" s="521">
        <f t="shared" si="55"/>
        <v>-2.3311824779755062E-3</v>
      </c>
      <c r="AD110" s="496"/>
      <c r="AE110" s="522">
        <f t="shared" si="56"/>
        <v>-2.3377392858675611E-3</v>
      </c>
      <c r="AG110" s="531">
        <f t="shared" si="57"/>
        <v>2.1586198821579325E-8</v>
      </c>
      <c r="AH110" s="221" t="str">
        <f t="shared" si="58"/>
        <v>NO</v>
      </c>
      <c r="AI110" s="532">
        <f t="shared" si="59"/>
        <v>7.6746748246107181E-6</v>
      </c>
      <c r="AJ110" s="221" t="str">
        <f t="shared" si="38"/>
        <v>NO</v>
      </c>
      <c r="AK110" s="533">
        <f>IF('IN-OUT'!$F$35=0,AG110,IF('IN-OUT'!$F$26=0,'transversal subsidence profile'!AI110,'transversal subsidence profile'!AG110+'transversal subsidence profile'!AI110))</f>
        <v>7.6962610234322969E-6</v>
      </c>
      <c r="AL110" s="513">
        <f t="shared" si="39"/>
        <v>1000</v>
      </c>
    </row>
    <row r="111" spans="1:38">
      <c r="A111" s="542">
        <f t="shared" si="60"/>
        <v>-24.75</v>
      </c>
      <c r="B111" s="363">
        <f t="shared" si="40"/>
        <v>3.151698096419107E-5</v>
      </c>
      <c r="C111" s="543">
        <f t="shared" si="41"/>
        <v>-5.2003018590915269E-5</v>
      </c>
      <c r="D111" s="542">
        <f t="shared" si="61"/>
        <v>-24.75</v>
      </c>
      <c r="E111" s="363">
        <f t="shared" si="42"/>
        <v>3.151698096419107E-5</v>
      </c>
      <c r="F111" s="543">
        <f t="shared" si="43"/>
        <v>-5.2003018590915269E-5</v>
      </c>
      <c r="G111" s="548">
        <f t="shared" si="44"/>
        <v>-34.75</v>
      </c>
      <c r="H111" s="363">
        <f t="shared" si="45"/>
        <v>4.6006804173843368E-8</v>
      </c>
      <c r="I111" s="363">
        <f t="shared" si="46"/>
        <v>-1.065824296694038E-7</v>
      </c>
      <c r="J111" s="364">
        <f t="shared" si="47"/>
        <v>3.1562987768364912E-5</v>
      </c>
      <c r="K111" s="194">
        <f t="shared" si="48"/>
        <v>4.6006804173843364E-6</v>
      </c>
      <c r="L111" s="646">
        <f t="shared" si="49"/>
        <v>3.1516980964191072E-3</v>
      </c>
      <c r="M111" s="365">
        <f t="shared" si="50"/>
        <v>3.1562987768364915E-3</v>
      </c>
      <c r="N111" s="194">
        <f t="shared" si="51"/>
        <v>-1.065824296694038E-5</v>
      </c>
      <c r="O111" s="422">
        <f t="shared" si="52"/>
        <v>-5.2003018590915271E-3</v>
      </c>
      <c r="P111" s="365">
        <f t="shared" si="53"/>
        <v>-5.2109601020584673E-3</v>
      </c>
      <c r="S111" s="193"/>
      <c r="T111" s="193"/>
      <c r="U111" s="193"/>
      <c r="V111" s="193"/>
      <c r="W111" s="193"/>
      <c r="X111" s="193"/>
      <c r="Y111" s="503"/>
      <c r="Z111" s="193"/>
      <c r="AA111" s="520">
        <f t="shared" si="54"/>
        <v>-7.8222085340658061E-6</v>
      </c>
      <c r="AB111" s="496"/>
      <c r="AC111" s="521">
        <f t="shared" si="55"/>
        <v>-2.6147421244365923E-3</v>
      </c>
      <c r="AD111" s="496"/>
      <c r="AE111" s="522">
        <f t="shared" si="56"/>
        <v>-2.622564332970658E-3</v>
      </c>
      <c r="AG111" s="531">
        <f t="shared" si="57"/>
        <v>2.5752126861121995E-8</v>
      </c>
      <c r="AH111" s="221" t="str">
        <f t="shared" si="58"/>
        <v>NO</v>
      </c>
      <c r="AI111" s="532">
        <f t="shared" si="59"/>
        <v>8.6082045248941313E-6</v>
      </c>
      <c r="AJ111" s="221" t="str">
        <f t="shared" si="38"/>
        <v>NO</v>
      </c>
      <c r="AK111" s="533">
        <f>IF('IN-OUT'!$F$35=0,AG111,IF('IN-OUT'!$F$26=0,'transversal subsidence profile'!AI111,'transversal subsidence profile'!AG111+'transversal subsidence profile'!AI111))</f>
        <v>8.6339566517552529E-6</v>
      </c>
      <c r="AL111" s="513">
        <f t="shared" si="39"/>
        <v>1000</v>
      </c>
    </row>
    <row r="112" spans="1:38">
      <c r="A112" s="542">
        <f t="shared" si="60"/>
        <v>-24.5</v>
      </c>
      <c r="B112" s="363">
        <f t="shared" si="40"/>
        <v>3.607655025647109E-5</v>
      </c>
      <c r="C112" s="543">
        <f t="shared" si="41"/>
        <v>-5.8925032085569447E-5</v>
      </c>
      <c r="D112" s="542">
        <f t="shared" si="61"/>
        <v>-24.5</v>
      </c>
      <c r="E112" s="363">
        <f t="shared" si="42"/>
        <v>3.607655025647109E-5</v>
      </c>
      <c r="F112" s="543">
        <f t="shared" si="43"/>
        <v>-5.8925032085569447E-5</v>
      </c>
      <c r="G112" s="548">
        <f t="shared" si="44"/>
        <v>-34.5</v>
      </c>
      <c r="H112" s="363">
        <f t="shared" si="45"/>
        <v>5.5632946290929177E-8</v>
      </c>
      <c r="I112" s="363">
        <f t="shared" si="46"/>
        <v>-1.2795577646913713E-7</v>
      </c>
      <c r="J112" s="364">
        <f t="shared" si="47"/>
        <v>3.6132183202762021E-5</v>
      </c>
      <c r="K112" s="194">
        <f t="shared" si="48"/>
        <v>5.5632946290929175E-6</v>
      </c>
      <c r="L112" s="646">
        <f t="shared" si="49"/>
        <v>3.607655025647109E-3</v>
      </c>
      <c r="M112" s="365">
        <f t="shared" si="50"/>
        <v>3.6132183202762019E-3</v>
      </c>
      <c r="N112" s="194">
        <f t="shared" si="51"/>
        <v>-1.2795577646913713E-5</v>
      </c>
      <c r="O112" s="422">
        <f t="shared" si="52"/>
        <v>-5.8925032085569446E-3</v>
      </c>
      <c r="P112" s="365">
        <f t="shared" si="53"/>
        <v>-5.9052987862038579E-3</v>
      </c>
      <c r="S112" s="193"/>
      <c r="T112" s="193"/>
      <c r="U112" s="193"/>
      <c r="V112" s="193"/>
      <c r="W112" s="193"/>
      <c r="X112" s="193"/>
      <c r="Y112" s="503"/>
      <c r="Z112" s="193"/>
      <c r="AA112" s="520">
        <f t="shared" si="54"/>
        <v>-9.3179461483161215E-6</v>
      </c>
      <c r="AB112" s="496"/>
      <c r="AC112" s="521">
        <f t="shared" si="55"/>
        <v>-2.928023626211074E-3</v>
      </c>
      <c r="AD112" s="496"/>
      <c r="AE112" s="522">
        <f t="shared" si="56"/>
        <v>-2.9373415723593899E-3</v>
      </c>
      <c r="AG112" s="531">
        <f t="shared" si="57"/>
        <v>3.0676365920382285E-8</v>
      </c>
      <c r="AH112" s="221" t="str">
        <f t="shared" si="58"/>
        <v>NO</v>
      </c>
      <c r="AI112" s="532">
        <f t="shared" si="59"/>
        <v>9.639583954604358E-6</v>
      </c>
      <c r="AJ112" s="221" t="str">
        <f t="shared" si="38"/>
        <v>NO</v>
      </c>
      <c r="AK112" s="533">
        <f>IF('IN-OUT'!$F$35=0,AG112,IF('IN-OUT'!$F$26=0,'transversal subsidence profile'!AI112,'transversal subsidence profile'!AG112+'transversal subsidence profile'!AI112))</f>
        <v>9.6702603205247399E-6</v>
      </c>
      <c r="AL112" s="513">
        <f t="shared" si="39"/>
        <v>1000</v>
      </c>
    </row>
    <row r="113" spans="1:38">
      <c r="A113" s="542">
        <f t="shared" si="60"/>
        <v>-24.25</v>
      </c>
      <c r="B113" s="363">
        <f t="shared" si="40"/>
        <v>4.123914525654635E-5</v>
      </c>
      <c r="C113" s="543">
        <f t="shared" si="41"/>
        <v>-6.6669951498083267E-5</v>
      </c>
      <c r="D113" s="542">
        <f t="shared" si="61"/>
        <v>-24.25</v>
      </c>
      <c r="E113" s="363">
        <f t="shared" si="42"/>
        <v>4.123914525654635E-5</v>
      </c>
      <c r="F113" s="543">
        <f t="shared" si="43"/>
        <v>-6.6669951498083267E-5</v>
      </c>
      <c r="G113" s="548">
        <f t="shared" si="44"/>
        <v>-34.25</v>
      </c>
      <c r="H113" s="363">
        <f t="shared" si="45"/>
        <v>6.7180976887221607E-8</v>
      </c>
      <c r="I113" s="363">
        <f t="shared" si="46"/>
        <v>-1.5339656389248932E-7</v>
      </c>
      <c r="J113" s="364">
        <f t="shared" si="47"/>
        <v>4.1306326233433572E-5</v>
      </c>
      <c r="K113" s="194">
        <f t="shared" si="48"/>
        <v>6.718097688722161E-6</v>
      </c>
      <c r="L113" s="646">
        <f t="shared" si="49"/>
        <v>4.1239145256546346E-3</v>
      </c>
      <c r="M113" s="365">
        <f t="shared" si="50"/>
        <v>4.1306326233433565E-3</v>
      </c>
      <c r="N113" s="194">
        <f t="shared" si="51"/>
        <v>-1.5339656389248934E-5</v>
      </c>
      <c r="O113" s="422">
        <f t="shared" si="52"/>
        <v>-6.6669951498083265E-3</v>
      </c>
      <c r="P113" s="365">
        <f t="shared" si="53"/>
        <v>-6.6823348061975756E-3</v>
      </c>
      <c r="S113" s="366"/>
      <c r="T113" s="193"/>
      <c r="U113" s="366"/>
      <c r="V113" s="193"/>
      <c r="W113" s="366"/>
      <c r="X113" s="366"/>
      <c r="Y113" s="503"/>
      <c r="Z113" s="366"/>
      <c r="AA113" s="520">
        <f t="shared" si="54"/>
        <v>-1.1083171678513743E-5</v>
      </c>
      <c r="AB113" s="496"/>
      <c r="AC113" s="521">
        <f t="shared" si="55"/>
        <v>-3.2734867931122295E-3</v>
      </c>
      <c r="AD113" s="497"/>
      <c r="AE113" s="522">
        <f t="shared" si="56"/>
        <v>-3.2845699647907432E-3</v>
      </c>
      <c r="AG113" s="531">
        <f t="shared" si="57"/>
        <v>3.6487807995106969E-8</v>
      </c>
      <c r="AH113" s="221" t="str">
        <f t="shared" si="58"/>
        <v>NO</v>
      </c>
      <c r="AI113" s="532">
        <f t="shared" si="59"/>
        <v>1.0776911253044376E-5</v>
      </c>
      <c r="AJ113" s="221" t="str">
        <f t="shared" si="38"/>
        <v>NO</v>
      </c>
      <c r="AK113" s="533">
        <f>IF('IN-OUT'!$F$35=0,AG113,IF('IN-OUT'!$F$26=0,'transversal subsidence profile'!AI113,'transversal subsidence profile'!AG113+'transversal subsidence profile'!AI113))</f>
        <v>1.0813399061039484E-5</v>
      </c>
      <c r="AL113" s="513">
        <f t="shared" si="39"/>
        <v>1000</v>
      </c>
    </row>
    <row r="114" spans="1:38">
      <c r="A114" s="542">
        <f t="shared" si="60"/>
        <v>-24</v>
      </c>
      <c r="B114" s="363">
        <f t="shared" si="40"/>
        <v>4.7075893123253738E-5</v>
      </c>
      <c r="C114" s="543">
        <f t="shared" si="41"/>
        <v>-7.5321428997205983E-5</v>
      </c>
      <c r="D114" s="542">
        <f t="shared" si="61"/>
        <v>-24</v>
      </c>
      <c r="E114" s="363">
        <f t="shared" si="42"/>
        <v>4.7075893123253738E-5</v>
      </c>
      <c r="F114" s="543">
        <f t="shared" si="43"/>
        <v>-7.5321428997205983E-5</v>
      </c>
      <c r="G114" s="548">
        <f t="shared" si="44"/>
        <v>-34</v>
      </c>
      <c r="H114" s="363">
        <f t="shared" si="45"/>
        <v>8.1014886664904516E-8</v>
      </c>
      <c r="I114" s="363">
        <f t="shared" si="46"/>
        <v>-1.8363374310711691E-7</v>
      </c>
      <c r="J114" s="364">
        <f t="shared" si="47"/>
        <v>4.7156908009918645E-5</v>
      </c>
      <c r="K114" s="194">
        <f t="shared" si="48"/>
        <v>8.101488666490452E-6</v>
      </c>
      <c r="L114" s="646">
        <f t="shared" si="49"/>
        <v>4.7075893123253738E-3</v>
      </c>
      <c r="M114" s="365">
        <f t="shared" si="50"/>
        <v>4.7156908009918638E-3</v>
      </c>
      <c r="N114" s="194">
        <f t="shared" si="51"/>
        <v>-1.8363374310711692E-5</v>
      </c>
      <c r="O114" s="422">
        <f t="shared" si="52"/>
        <v>-7.5321428997205987E-3</v>
      </c>
      <c r="P114" s="365">
        <f t="shared" si="53"/>
        <v>-7.55050627403131E-3</v>
      </c>
      <c r="S114" s="366"/>
      <c r="T114" s="193"/>
      <c r="U114" s="366"/>
      <c r="V114" s="193"/>
      <c r="W114" s="366"/>
      <c r="X114" s="366"/>
      <c r="Y114" s="503"/>
      <c r="Z114" s="366"/>
      <c r="AA114" s="520">
        <f t="shared" si="54"/>
        <v>-1.3163159500460527E-5</v>
      </c>
      <c r="AB114" s="496"/>
      <c r="AC114" s="521">
        <f t="shared" si="55"/>
        <v>-3.6537092358212577E-3</v>
      </c>
      <c r="AD114" s="497"/>
      <c r="AE114" s="522">
        <f t="shared" si="56"/>
        <v>-3.6668723953217183E-3</v>
      </c>
      <c r="AG114" s="531">
        <f t="shared" si="57"/>
        <v>4.33355045282651E-8</v>
      </c>
      <c r="AH114" s="221" t="str">
        <f t="shared" si="58"/>
        <v>NO</v>
      </c>
      <c r="AI114" s="532">
        <f t="shared" si="59"/>
        <v>1.2028672381304548E-5</v>
      </c>
      <c r="AJ114" s="221" t="str">
        <f t="shared" si="38"/>
        <v>NO</v>
      </c>
      <c r="AK114" s="533">
        <f>IF('IN-OUT'!$F$35=0,AG114,IF('IN-OUT'!$F$26=0,'transversal subsidence profile'!AI114,'transversal subsidence profile'!AG114+'transversal subsidence profile'!AI114))</f>
        <v>1.2072007885832814E-5</v>
      </c>
      <c r="AL114" s="513">
        <f t="shared" si="39"/>
        <v>1000</v>
      </c>
    </row>
    <row r="115" spans="1:38">
      <c r="A115" s="542">
        <f t="shared" si="60"/>
        <v>-23.75</v>
      </c>
      <c r="B115" s="363">
        <f t="shared" si="40"/>
        <v>5.3665075051588847E-5</v>
      </c>
      <c r="C115" s="543">
        <f t="shared" si="41"/>
        <v>-8.4969702165015672E-5</v>
      </c>
      <c r="D115" s="542">
        <f t="shared" si="61"/>
        <v>-23.75</v>
      </c>
      <c r="E115" s="363">
        <f t="shared" si="42"/>
        <v>5.3665075051588847E-5</v>
      </c>
      <c r="F115" s="543">
        <f t="shared" si="43"/>
        <v>-8.4969702165015672E-5</v>
      </c>
      <c r="G115" s="548">
        <f t="shared" si="44"/>
        <v>-33.75</v>
      </c>
      <c r="H115" s="363">
        <f t="shared" si="45"/>
        <v>9.7563551898995426E-8</v>
      </c>
      <c r="I115" s="363">
        <f t="shared" si="46"/>
        <v>-2.1951799177273973E-7</v>
      </c>
      <c r="J115" s="364">
        <f t="shared" si="47"/>
        <v>5.3762638603487844E-5</v>
      </c>
      <c r="K115" s="194">
        <f t="shared" si="48"/>
        <v>9.7563551898995425E-6</v>
      </c>
      <c r="L115" s="646">
        <f t="shared" si="49"/>
        <v>5.3665075051588847E-3</v>
      </c>
      <c r="M115" s="365">
        <f t="shared" si="50"/>
        <v>5.3762638603487845E-3</v>
      </c>
      <c r="N115" s="194">
        <f t="shared" si="51"/>
        <v>-2.1951799177273973E-5</v>
      </c>
      <c r="O115" s="422">
        <f t="shared" si="52"/>
        <v>-8.4969702165015679E-3</v>
      </c>
      <c r="P115" s="365">
        <f t="shared" si="53"/>
        <v>-8.5189220156788419E-3</v>
      </c>
      <c r="S115" s="366"/>
      <c r="T115" s="193"/>
      <c r="U115" s="366"/>
      <c r="V115" s="193"/>
      <c r="W115" s="366"/>
      <c r="X115" s="366"/>
      <c r="Y115" s="503"/>
      <c r="Z115" s="366"/>
      <c r="AA115" s="520">
        <f t="shared" si="54"/>
        <v>-1.5610168303839267E-5</v>
      </c>
      <c r="AB115" s="496"/>
      <c r="AC115" s="521">
        <f t="shared" si="55"/>
        <v>-4.0713805452947515E-3</v>
      </c>
      <c r="AD115" s="497"/>
      <c r="AE115" s="522">
        <f t="shared" si="56"/>
        <v>-4.0869907135985904E-3</v>
      </c>
      <c r="AG115" s="531">
        <f t="shared" si="57"/>
        <v>5.1391500588771252E-8</v>
      </c>
      <c r="AH115" s="221" t="str">
        <f t="shared" si="58"/>
        <v>NO</v>
      </c>
      <c r="AI115" s="532">
        <f t="shared" si="59"/>
        <v>1.3403721959818113E-5</v>
      </c>
      <c r="AJ115" s="221" t="str">
        <f t="shared" si="38"/>
        <v>NO</v>
      </c>
      <c r="AK115" s="533">
        <f>IF('IN-OUT'!$F$35=0,AG115,IF('IN-OUT'!$F$26=0,'transversal subsidence profile'!AI115,'transversal subsidence profile'!AG115+'transversal subsidence profile'!AI115))</f>
        <v>1.3455113460406884E-5</v>
      </c>
      <c r="AL115" s="513">
        <f t="shared" si="39"/>
        <v>1000</v>
      </c>
    </row>
    <row r="116" spans="1:38">
      <c r="A116" s="542">
        <f t="shared" si="60"/>
        <v>-23.5</v>
      </c>
      <c r="B116" s="363">
        <f t="shared" si="40"/>
        <v>6.1092679552955076E-5</v>
      </c>
      <c r="C116" s="543">
        <f t="shared" si="41"/>
        <v>-9.571186463296293E-5</v>
      </c>
      <c r="D116" s="542">
        <f t="shared" si="61"/>
        <v>-23.5</v>
      </c>
      <c r="E116" s="363">
        <f t="shared" si="42"/>
        <v>6.1092679552955076E-5</v>
      </c>
      <c r="F116" s="543">
        <f t="shared" si="43"/>
        <v>-9.571186463296293E-5</v>
      </c>
      <c r="G116" s="548">
        <f t="shared" si="44"/>
        <v>-33.5</v>
      </c>
      <c r="H116" s="363">
        <f t="shared" si="45"/>
        <v>1.1733150379388988E-7</v>
      </c>
      <c r="I116" s="363">
        <f t="shared" si="46"/>
        <v>-2.6204035847302074E-7</v>
      </c>
      <c r="J116" s="364">
        <f t="shared" si="47"/>
        <v>6.121001105674896E-5</v>
      </c>
      <c r="K116" s="194">
        <f t="shared" si="48"/>
        <v>1.1733150379388987E-5</v>
      </c>
      <c r="L116" s="646">
        <f t="shared" si="49"/>
        <v>6.1092679552955075E-3</v>
      </c>
      <c r="M116" s="365">
        <f t="shared" si="50"/>
        <v>6.1210011056748968E-3</v>
      </c>
      <c r="N116" s="194">
        <f t="shared" si="51"/>
        <v>-2.6204035847302074E-5</v>
      </c>
      <c r="O116" s="422">
        <f t="shared" si="52"/>
        <v>-9.5711864632962926E-3</v>
      </c>
      <c r="P116" s="365">
        <f t="shared" si="53"/>
        <v>-9.5973904991435953E-3</v>
      </c>
      <c r="S116" s="366"/>
      <c r="T116" s="193"/>
      <c r="U116" s="366"/>
      <c r="V116" s="193"/>
      <c r="W116" s="366"/>
      <c r="X116" s="366"/>
      <c r="Y116" s="503"/>
      <c r="Z116" s="366"/>
      <c r="AA116" s="520">
        <f t="shared" si="54"/>
        <v>-1.8484406180679844E-5</v>
      </c>
      <c r="AB116" s="496"/>
      <c r="AC116" s="521">
        <f t="shared" si="55"/>
        <v>-4.5292944959836002E-3</v>
      </c>
      <c r="AD116" s="497"/>
      <c r="AE116" s="522">
        <f t="shared" si="56"/>
        <v>-4.5477789021642805E-3</v>
      </c>
      <c r="AG116" s="531">
        <f t="shared" si="57"/>
        <v>6.0854012117464505E-8</v>
      </c>
      <c r="AH116" s="221" t="str">
        <f t="shared" si="58"/>
        <v>NO</v>
      </c>
      <c r="AI116" s="532">
        <f t="shared" si="59"/>
        <v>1.4911257599946009E-5</v>
      </c>
      <c r="AJ116" s="221" t="str">
        <f t="shared" si="38"/>
        <v>NO</v>
      </c>
      <c r="AK116" s="533">
        <f>IF('IN-OUT'!$F$35=0,AG116,IF('IN-OUT'!$F$26=0,'transversal subsidence profile'!AI116,'transversal subsidence profile'!AG116+'transversal subsidence profile'!AI116))</f>
        <v>1.4972111612063474E-5</v>
      </c>
      <c r="AL116" s="513">
        <f t="shared" si="39"/>
        <v>1000</v>
      </c>
    </row>
    <row r="117" spans="1:38">
      <c r="A117" s="542">
        <f t="shared" si="60"/>
        <v>-23.25</v>
      </c>
      <c r="B117" s="363">
        <f t="shared" si="40"/>
        <v>6.9452977135231898E-5</v>
      </c>
      <c r="C117" s="543">
        <f t="shared" si="41"/>
        <v>-1.0765211455960944E-4</v>
      </c>
      <c r="D117" s="542">
        <f t="shared" si="61"/>
        <v>-23.25</v>
      </c>
      <c r="E117" s="363">
        <f t="shared" si="42"/>
        <v>6.9452977135231898E-5</v>
      </c>
      <c r="F117" s="543">
        <f t="shared" si="43"/>
        <v>-1.0765211455960944E-4</v>
      </c>
      <c r="G117" s="548">
        <f t="shared" si="44"/>
        <v>-33.25</v>
      </c>
      <c r="H117" s="363">
        <f t="shared" si="45"/>
        <v>1.4091133547411193E-7</v>
      </c>
      <c r="I117" s="363">
        <f t="shared" si="46"/>
        <v>-3.1235346030094807E-7</v>
      </c>
      <c r="J117" s="364">
        <f t="shared" si="47"/>
        <v>6.9593888470706006E-5</v>
      </c>
      <c r="K117" s="194">
        <f t="shared" si="48"/>
        <v>1.4091133547411193E-5</v>
      </c>
      <c r="L117" s="646">
        <f t="shared" si="49"/>
        <v>6.9452977135231898E-3</v>
      </c>
      <c r="M117" s="365">
        <f t="shared" si="50"/>
        <v>6.9593888470706007E-3</v>
      </c>
      <c r="N117" s="194">
        <f t="shared" si="51"/>
        <v>-3.1235346030094804E-5</v>
      </c>
      <c r="O117" s="422">
        <f t="shared" si="52"/>
        <v>-1.0765211455960945E-2</v>
      </c>
      <c r="P117" s="365">
        <f t="shared" si="53"/>
        <v>-1.0796446801991039E-2</v>
      </c>
      <c r="S117" s="366"/>
      <c r="T117" s="193"/>
      <c r="U117" s="366"/>
      <c r="V117" s="193"/>
      <c r="W117" s="366"/>
      <c r="X117" s="366"/>
      <c r="Y117" s="503"/>
      <c r="Z117" s="366"/>
      <c r="AA117" s="520">
        <f t="shared" si="54"/>
        <v>-2.1855109736085395E-5</v>
      </c>
      <c r="AB117" s="496"/>
      <c r="AC117" s="521">
        <f t="shared" si="55"/>
        <v>-5.0303390846916929E-3</v>
      </c>
      <c r="AD117" s="497"/>
      <c r="AE117" s="522">
        <f t="shared" si="56"/>
        <v>-5.052194194427778E-3</v>
      </c>
      <c r="AG117" s="531">
        <f t="shared" si="57"/>
        <v>7.1950978555013647E-8</v>
      </c>
      <c r="AH117" s="221" t="str">
        <f t="shared" si="58"/>
        <v>NO</v>
      </c>
      <c r="AI117" s="532">
        <f t="shared" si="59"/>
        <v>1.6560787110096106E-5</v>
      </c>
      <c r="AJ117" s="221" t="str">
        <f t="shared" si="38"/>
        <v>NO</v>
      </c>
      <c r="AK117" s="533">
        <f>IF('IN-OUT'!$F$35=0,AG117,IF('IN-OUT'!$F$26=0,'transversal subsidence profile'!AI117,'transversal subsidence profile'!AG117+'transversal subsidence profile'!AI117))</f>
        <v>1.663273808865112E-5</v>
      </c>
      <c r="AL117" s="513">
        <f t="shared" si="39"/>
        <v>1000</v>
      </c>
    </row>
    <row r="118" spans="1:38" s="194" customFormat="1">
      <c r="A118" s="542">
        <f t="shared" si="60"/>
        <v>-23</v>
      </c>
      <c r="B118" s="365">
        <f t="shared" si="40"/>
        <v>7.8849114329851376E-5</v>
      </c>
      <c r="C118" s="544">
        <f t="shared" si="41"/>
        <v>-1.209019753057721E-4</v>
      </c>
      <c r="D118" s="542">
        <f t="shared" si="61"/>
        <v>-23</v>
      </c>
      <c r="E118" s="365">
        <f t="shared" si="42"/>
        <v>7.8849114329851376E-5</v>
      </c>
      <c r="F118" s="544">
        <f t="shared" si="43"/>
        <v>-1.209019753057721E-4</v>
      </c>
      <c r="G118" s="548">
        <f t="shared" si="44"/>
        <v>-33</v>
      </c>
      <c r="H118" s="365">
        <f t="shared" si="45"/>
        <v>1.6899796882487886E-7</v>
      </c>
      <c r="I118" s="365">
        <f t="shared" si="46"/>
        <v>-3.7179553141473351E-7</v>
      </c>
      <c r="J118" s="364">
        <f t="shared" si="47"/>
        <v>7.9018112298676253E-5</v>
      </c>
      <c r="K118" s="194">
        <f t="shared" si="48"/>
        <v>1.6899796882487886E-5</v>
      </c>
      <c r="L118" s="646">
        <f t="shared" si="49"/>
        <v>7.884911432985137E-3</v>
      </c>
      <c r="M118" s="365">
        <f t="shared" si="50"/>
        <v>7.9018112298676248E-3</v>
      </c>
      <c r="N118" s="194">
        <f t="shared" si="51"/>
        <v>-3.7179553141473351E-5</v>
      </c>
      <c r="O118" s="422">
        <f t="shared" si="52"/>
        <v>-1.2090197530577209E-2</v>
      </c>
      <c r="P118" s="365">
        <f t="shared" si="53"/>
        <v>-1.2127377083718683E-2</v>
      </c>
      <c r="Q118" s="193"/>
      <c r="R118" s="193"/>
      <c r="S118" s="367"/>
      <c r="U118" s="367"/>
      <c r="W118" s="367"/>
      <c r="X118" s="367"/>
      <c r="Y118" s="503"/>
      <c r="Z118" s="367"/>
      <c r="AA118" s="520">
        <f t="shared" si="54"/>
        <v>-2.580174750371607E-5</v>
      </c>
      <c r="AB118" s="27"/>
      <c r="AC118" s="521">
        <f t="shared" si="55"/>
        <v>-5.5774842189428471E-3</v>
      </c>
      <c r="AD118" s="365"/>
      <c r="AE118" s="522">
        <f t="shared" si="56"/>
        <v>-5.6032859664465629E-3</v>
      </c>
      <c r="AG118" s="531">
        <f t="shared" si="57"/>
        <v>8.4944024703591998E-8</v>
      </c>
      <c r="AH118" s="221" t="str">
        <f t="shared" si="58"/>
        <v>NO</v>
      </c>
      <c r="AI118" s="532">
        <f t="shared" si="59"/>
        <v>1.836208796359785E-5</v>
      </c>
      <c r="AJ118" s="221" t="str">
        <f t="shared" si="38"/>
        <v>NO</v>
      </c>
      <c r="AK118" s="533">
        <f>IF('IN-OUT'!$F$35=0,AG118,IF('IN-OUT'!$F$26=0,'transversal subsidence profile'!AI118,'transversal subsidence profile'!AG118+'transversal subsidence profile'!AI118))</f>
        <v>1.8447031988301441E-5</v>
      </c>
      <c r="AL118" s="513">
        <f t="shared" si="39"/>
        <v>1000</v>
      </c>
    </row>
    <row r="119" spans="1:38">
      <c r="A119" s="542">
        <f t="shared" si="60"/>
        <v>-22.75</v>
      </c>
      <c r="B119" s="363">
        <f t="shared" si="40"/>
        <v>8.9393724529516328E-5</v>
      </c>
      <c r="C119" s="543">
        <f t="shared" si="41"/>
        <v>-1.3558048220309974E-4</v>
      </c>
      <c r="D119" s="542">
        <f t="shared" si="61"/>
        <v>-22.75</v>
      </c>
      <c r="E119" s="363">
        <f t="shared" si="42"/>
        <v>8.9393724529516328E-5</v>
      </c>
      <c r="F119" s="543">
        <f t="shared" si="43"/>
        <v>-1.3558048220309974E-4</v>
      </c>
      <c r="G119" s="548">
        <f t="shared" si="44"/>
        <v>-32.75</v>
      </c>
      <c r="H119" s="363">
        <f t="shared" si="45"/>
        <v>2.0240502898220163E-7</v>
      </c>
      <c r="I119" s="363">
        <f t="shared" si="46"/>
        <v>-4.4191764661114027E-7</v>
      </c>
      <c r="J119" s="364">
        <f t="shared" si="47"/>
        <v>8.9596129558498533E-5</v>
      </c>
      <c r="K119" s="194">
        <f t="shared" si="48"/>
        <v>2.0240502898220164E-5</v>
      </c>
      <c r="L119" s="646">
        <f t="shared" si="49"/>
        <v>8.939372452951632E-3</v>
      </c>
      <c r="M119" s="365">
        <f t="shared" si="50"/>
        <v>8.9596129558498529E-3</v>
      </c>
      <c r="N119" s="194">
        <f t="shared" si="51"/>
        <v>-4.4191764661114027E-5</v>
      </c>
      <c r="O119" s="422">
        <f t="shared" si="52"/>
        <v>-1.3558048220309975E-2</v>
      </c>
      <c r="P119" s="365">
        <f t="shared" si="53"/>
        <v>-1.3602239984971089E-2</v>
      </c>
      <c r="S119" s="366"/>
      <c r="T119" s="193"/>
      <c r="U119" s="366"/>
      <c r="V119" s="193"/>
      <c r="W119" s="366"/>
      <c r="X119" s="366"/>
      <c r="Y119" s="503"/>
      <c r="Z119" s="366"/>
      <c r="AA119" s="520">
        <f t="shared" si="54"/>
        <v>-3.0415358356063437E-5</v>
      </c>
      <c r="AB119" s="496"/>
      <c r="AC119" s="521">
        <f t="shared" si="55"/>
        <v>-6.1737668737714439E-3</v>
      </c>
      <c r="AD119" s="497"/>
      <c r="AE119" s="522">
        <f t="shared" si="56"/>
        <v>-6.2041822321275072E-3</v>
      </c>
      <c r="AG119" s="531">
        <f t="shared" si="57"/>
        <v>1.0013286701584671E-7</v>
      </c>
      <c r="AH119" s="221" t="str">
        <f t="shared" si="58"/>
        <v>NO</v>
      </c>
      <c r="AI119" s="532">
        <f t="shared" si="59"/>
        <v>2.0325158432169357E-5</v>
      </c>
      <c r="AJ119" s="221" t="str">
        <f t="shared" si="38"/>
        <v>NO</v>
      </c>
      <c r="AK119" s="533">
        <f>IF('IN-OUT'!$F$35=0,AG119,IF('IN-OUT'!$F$26=0,'transversal subsidence profile'!AI119,'transversal subsidence profile'!AG119+'transversal subsidence profile'!AI119))</f>
        <v>2.0425291299185204E-5</v>
      </c>
      <c r="AL119" s="513">
        <f t="shared" si="39"/>
        <v>1000</v>
      </c>
    </row>
    <row r="120" spans="1:38">
      <c r="A120" s="542">
        <f t="shared" si="60"/>
        <v>-22.5</v>
      </c>
      <c r="B120" s="363">
        <f t="shared" si="40"/>
        <v>1.0120955257943833E-4</v>
      </c>
      <c r="C120" s="543">
        <f t="shared" si="41"/>
        <v>-1.518143288691575E-4</v>
      </c>
      <c r="D120" s="542">
        <f t="shared" si="61"/>
        <v>-22.5</v>
      </c>
      <c r="E120" s="363">
        <f t="shared" si="42"/>
        <v>1.0120955257943833E-4</v>
      </c>
      <c r="F120" s="543">
        <f t="shared" si="43"/>
        <v>-1.518143288691575E-4</v>
      </c>
      <c r="G120" s="548">
        <f t="shared" si="44"/>
        <v>-32.5</v>
      </c>
      <c r="H120" s="363">
        <f t="shared" si="45"/>
        <v>2.4208360205461144E-7</v>
      </c>
      <c r="I120" s="363">
        <f t="shared" si="46"/>
        <v>-5.2451447111832478E-7</v>
      </c>
      <c r="J120" s="364">
        <f t="shared" si="47"/>
        <v>1.0145163618149294E-4</v>
      </c>
      <c r="K120" s="194">
        <f t="shared" si="48"/>
        <v>2.4208360205461144E-5</v>
      </c>
      <c r="L120" s="646">
        <f t="shared" si="49"/>
        <v>1.0120955257943832E-2</v>
      </c>
      <c r="M120" s="365">
        <f t="shared" si="50"/>
        <v>1.0145163618149293E-2</v>
      </c>
      <c r="N120" s="194">
        <f t="shared" si="51"/>
        <v>-5.2451447111832479E-5</v>
      </c>
      <c r="O120" s="422">
        <f t="shared" si="52"/>
        <v>-1.5181432886915751E-2</v>
      </c>
      <c r="P120" s="365">
        <f t="shared" si="53"/>
        <v>-1.5233884334027583E-2</v>
      </c>
      <c r="S120" s="366"/>
      <c r="T120" s="193"/>
      <c r="U120" s="366"/>
      <c r="V120" s="193"/>
      <c r="W120" s="366"/>
      <c r="X120" s="366"/>
      <c r="Y120" s="503"/>
      <c r="Z120" s="366"/>
      <c r="AA120" s="520">
        <f t="shared" si="54"/>
        <v>-3.5800035928899141E-5</v>
      </c>
      <c r="AB120" s="496"/>
      <c r="AC120" s="521">
        <f t="shared" si="55"/>
        <v>-6.82227354424362E-3</v>
      </c>
      <c r="AD120" s="497"/>
      <c r="AE120" s="522">
        <f t="shared" si="56"/>
        <v>-6.8580735801725195E-3</v>
      </c>
      <c r="AG120" s="531">
        <f t="shared" si="57"/>
        <v>1.1786020058896835E-7</v>
      </c>
      <c r="AH120" s="221" t="str">
        <f t="shared" si="58"/>
        <v>NO</v>
      </c>
      <c r="AI120" s="532">
        <f t="shared" si="59"/>
        <v>2.2460159816439899E-5</v>
      </c>
      <c r="AJ120" s="221" t="str">
        <f t="shared" si="38"/>
        <v>NO</v>
      </c>
      <c r="AK120" s="533">
        <f>IF('IN-OUT'!$F$35=0,AG120,IF('IN-OUT'!$F$26=0,'transversal subsidence profile'!AI120,'transversal subsidence profile'!AG120+'transversal subsidence profile'!AI120))</f>
        <v>2.2578020017028867E-5</v>
      </c>
      <c r="AL120" s="513">
        <f t="shared" si="39"/>
        <v>1000</v>
      </c>
    </row>
    <row r="121" spans="1:38">
      <c r="A121" s="542">
        <f t="shared" si="60"/>
        <v>-22.25</v>
      </c>
      <c r="B121" s="363">
        <f t="shared" si="40"/>
        <v>1.1443008950874467E-4</v>
      </c>
      <c r="C121" s="543">
        <f t="shared" si="41"/>
        <v>-1.6973796610463793E-4</v>
      </c>
      <c r="D121" s="542">
        <f t="shared" si="61"/>
        <v>-22.25</v>
      </c>
      <c r="E121" s="363">
        <f t="shared" si="42"/>
        <v>1.1443008950874467E-4</v>
      </c>
      <c r="F121" s="543">
        <f t="shared" si="43"/>
        <v>-1.6973796610463793E-4</v>
      </c>
      <c r="G121" s="548">
        <f t="shared" si="44"/>
        <v>-32.25</v>
      </c>
      <c r="H121" s="363">
        <f t="shared" si="45"/>
        <v>2.8914368170663837E-7</v>
      </c>
      <c r="I121" s="363">
        <f t="shared" si="46"/>
        <v>-6.2165891566927255E-7</v>
      </c>
      <c r="J121" s="364">
        <f t="shared" si="47"/>
        <v>1.1471923319045131E-4</v>
      </c>
      <c r="K121" s="194">
        <f t="shared" si="48"/>
        <v>2.8914368170663838E-5</v>
      </c>
      <c r="L121" s="646">
        <f t="shared" si="49"/>
        <v>1.1443008950874467E-2</v>
      </c>
      <c r="M121" s="365">
        <f t="shared" si="50"/>
        <v>1.1471923319045131E-2</v>
      </c>
      <c r="N121" s="194">
        <f t="shared" si="51"/>
        <v>-6.2165891566927259E-5</v>
      </c>
      <c r="O121" s="422">
        <f t="shared" si="52"/>
        <v>-1.6973796610463793E-2</v>
      </c>
      <c r="P121" s="365">
        <f t="shared" si="53"/>
        <v>-1.7035962502030721E-2</v>
      </c>
      <c r="S121" s="366"/>
      <c r="T121" s="193"/>
      <c r="U121" s="366"/>
      <c r="V121" s="193"/>
      <c r="W121" s="366"/>
      <c r="X121" s="366"/>
      <c r="Y121" s="503"/>
      <c r="Z121" s="366"/>
      <c r="AA121" s="520">
        <f t="shared" si="54"/>
        <v>-4.2074570309245817E-5</v>
      </c>
      <c r="AB121" s="496"/>
      <c r="AC121" s="521">
        <f t="shared" si="55"/>
        <v>-7.5261198330762837E-3</v>
      </c>
      <c r="AD121" s="497"/>
      <c r="AE121" s="522">
        <f t="shared" si="56"/>
        <v>-7.5681944033855293E-3</v>
      </c>
      <c r="AG121" s="531">
        <f t="shared" si="57"/>
        <v>1.3851710389875164E-7</v>
      </c>
      <c r="AH121" s="221" t="str">
        <f t="shared" si="58"/>
        <v>NO</v>
      </c>
      <c r="AI121" s="532">
        <f t="shared" si="59"/>
        <v>2.4777349244695585E-5</v>
      </c>
      <c r="AJ121" s="221" t="str">
        <f t="shared" si="38"/>
        <v>NO</v>
      </c>
      <c r="AK121" s="533">
        <f>IF('IN-OUT'!$F$35=0,AG121,IF('IN-OUT'!$F$26=0,'transversal subsidence profile'!AI121,'transversal subsidence profile'!AG121+'transversal subsidence profile'!AI121))</f>
        <v>2.4915866348594336E-5</v>
      </c>
      <c r="AL121" s="513">
        <f t="shared" si="39"/>
        <v>1000</v>
      </c>
    </row>
    <row r="122" spans="1:38">
      <c r="A122" s="542">
        <f t="shared" si="60"/>
        <v>-22</v>
      </c>
      <c r="B122" s="363">
        <f t="shared" si="40"/>
        <v>1.292002131994937E-4</v>
      </c>
      <c r="C122" s="543">
        <f t="shared" si="41"/>
        <v>-1.8949364602592408E-4</v>
      </c>
      <c r="D122" s="542">
        <f t="shared" si="61"/>
        <v>-22</v>
      </c>
      <c r="E122" s="363">
        <f t="shared" si="42"/>
        <v>1.292002131994937E-4</v>
      </c>
      <c r="F122" s="543">
        <f t="shared" si="43"/>
        <v>-1.8949364602592408E-4</v>
      </c>
      <c r="G122" s="548">
        <f t="shared" si="44"/>
        <v>-32</v>
      </c>
      <c r="H122" s="363">
        <f t="shared" si="45"/>
        <v>3.4487864259477436E-7</v>
      </c>
      <c r="I122" s="363">
        <f t="shared" si="46"/>
        <v>-7.3574110420218521E-7</v>
      </c>
      <c r="J122" s="364">
        <f t="shared" si="47"/>
        <v>1.2954509184208847E-4</v>
      </c>
      <c r="K122" s="194">
        <f t="shared" si="48"/>
        <v>3.4487864259477438E-5</v>
      </c>
      <c r="L122" s="646">
        <f t="shared" si="49"/>
        <v>1.2920021319949369E-2</v>
      </c>
      <c r="M122" s="365">
        <f t="shared" si="50"/>
        <v>1.2954509184208847E-2</v>
      </c>
      <c r="N122" s="194">
        <f t="shared" si="51"/>
        <v>-7.3574110420218525E-5</v>
      </c>
      <c r="O122" s="422">
        <f t="shared" si="52"/>
        <v>-1.8949364602592406E-2</v>
      </c>
      <c r="P122" s="365">
        <f t="shared" si="53"/>
        <v>-1.9022938713012624E-2</v>
      </c>
      <c r="S122" s="366"/>
      <c r="T122" s="193"/>
      <c r="U122" s="366"/>
      <c r="V122" s="193"/>
      <c r="W122" s="366"/>
      <c r="X122" s="366"/>
      <c r="Y122" s="503"/>
      <c r="Z122" s="366"/>
      <c r="AA122" s="520">
        <f t="shared" si="54"/>
        <v>-4.9374258343129331E-5</v>
      </c>
      <c r="AB122" s="496"/>
      <c r="AC122" s="521">
        <f t="shared" si="55"/>
        <v>-8.2884270287558147E-3</v>
      </c>
      <c r="AD122" s="497"/>
      <c r="AE122" s="522">
        <f t="shared" si="56"/>
        <v>-8.3378012870989442E-3</v>
      </c>
      <c r="AG122" s="531">
        <f t="shared" si="57"/>
        <v>1.6254899866050806E-7</v>
      </c>
      <c r="AH122" s="221" t="str">
        <f t="shared" si="58"/>
        <v>NO</v>
      </c>
      <c r="AI122" s="532">
        <f t="shared" si="59"/>
        <v>2.7287002563805154E-5</v>
      </c>
      <c r="AJ122" s="221" t="str">
        <f t="shared" si="38"/>
        <v>NO</v>
      </c>
      <c r="AK122" s="533">
        <f>IF('IN-OUT'!$F$35=0,AG122,IF('IN-OUT'!$F$26=0,'transversal subsidence profile'!AI122,'transversal subsidence profile'!AG122+'transversal subsidence profile'!AI122))</f>
        <v>2.7449551562465661E-5</v>
      </c>
      <c r="AL122" s="513">
        <f t="shared" si="39"/>
        <v>1000</v>
      </c>
    </row>
    <row r="123" spans="1:38">
      <c r="A123" s="542">
        <f t="shared" si="60"/>
        <v>-21.75</v>
      </c>
      <c r="B123" s="363">
        <f t="shared" si="40"/>
        <v>1.4567683017184562E-4</v>
      </c>
      <c r="C123" s="543">
        <f t="shared" si="41"/>
        <v>-2.1123140374917614E-4</v>
      </c>
      <c r="D123" s="542">
        <f t="shared" si="61"/>
        <v>-21.75</v>
      </c>
      <c r="E123" s="363">
        <f t="shared" si="42"/>
        <v>1.4567683017184562E-4</v>
      </c>
      <c r="F123" s="543">
        <f t="shared" si="43"/>
        <v>-2.1123140374917614E-4</v>
      </c>
      <c r="G123" s="548">
        <f t="shared" si="44"/>
        <v>-31.75</v>
      </c>
      <c r="H123" s="363">
        <f t="shared" si="45"/>
        <v>4.10793113341369E-7</v>
      </c>
      <c r="I123" s="363">
        <f t="shared" si="46"/>
        <v>-8.6951208990589773E-7</v>
      </c>
      <c r="J123" s="364">
        <f t="shared" si="47"/>
        <v>1.4608762328518698E-4</v>
      </c>
      <c r="K123" s="194">
        <f t="shared" si="48"/>
        <v>4.1079311334136901E-5</v>
      </c>
      <c r="L123" s="646">
        <f t="shared" si="49"/>
        <v>1.4567683017184562E-2</v>
      </c>
      <c r="M123" s="365">
        <f t="shared" si="50"/>
        <v>1.4608762328518699E-2</v>
      </c>
      <c r="N123" s="194">
        <f t="shared" si="51"/>
        <v>-8.6951208990589769E-5</v>
      </c>
      <c r="O123" s="422">
        <f t="shared" si="52"/>
        <v>-2.1123140374917613E-2</v>
      </c>
      <c r="P123" s="365">
        <f t="shared" si="53"/>
        <v>-2.1210091583908203E-2</v>
      </c>
      <c r="S123" s="366"/>
      <c r="T123" s="193"/>
      <c r="U123" s="366"/>
      <c r="V123" s="193"/>
      <c r="W123" s="366"/>
      <c r="X123" s="366"/>
      <c r="Y123" s="503"/>
      <c r="Z123" s="366"/>
      <c r="AA123" s="520">
        <f t="shared" si="54"/>
        <v>-5.7852893877065229E-5</v>
      </c>
      <c r="AB123" s="496"/>
      <c r="AC123" s="521">
        <f t="shared" si="55"/>
        <v>-9.1122955498438418E-3</v>
      </c>
      <c r="AD123" s="497"/>
      <c r="AE123" s="522">
        <f t="shared" si="56"/>
        <v>-9.1701484437209067E-3</v>
      </c>
      <c r="AG123" s="531">
        <f t="shared" si="57"/>
        <v>1.9046220206441224E-7</v>
      </c>
      <c r="AH123" s="221" t="str">
        <f t="shared" si="58"/>
        <v>NO</v>
      </c>
      <c r="AI123" s="532">
        <f t="shared" si="59"/>
        <v>2.9999326913066145E-5</v>
      </c>
      <c r="AJ123" s="221" t="str">
        <f t="shared" si="38"/>
        <v>NO</v>
      </c>
      <c r="AK123" s="533">
        <f>IF('IN-OUT'!$F$35=0,AG123,IF('IN-OUT'!$F$26=0,'transversal subsidence profile'!AI123,'transversal subsidence profile'!AG123+'transversal subsidence profile'!AI123))</f>
        <v>3.0189789115130558E-5</v>
      </c>
      <c r="AL123" s="513">
        <f t="shared" si="39"/>
        <v>1000</v>
      </c>
    </row>
    <row r="124" spans="1:38">
      <c r="A124" s="542">
        <f t="shared" si="60"/>
        <v>-21.5</v>
      </c>
      <c r="B124" s="363">
        <f t="shared" si="40"/>
        <v>1.6402951301954264E-4</v>
      </c>
      <c r="C124" s="543">
        <f t="shared" si="41"/>
        <v>-2.3510896866134445E-4</v>
      </c>
      <c r="D124" s="542">
        <f t="shared" si="61"/>
        <v>-21.5</v>
      </c>
      <c r="E124" s="363">
        <f t="shared" si="42"/>
        <v>1.6402951301954264E-4</v>
      </c>
      <c r="F124" s="543">
        <f t="shared" si="43"/>
        <v>-2.3510896866134445E-4</v>
      </c>
      <c r="G124" s="548">
        <f t="shared" si="44"/>
        <v>-31.5</v>
      </c>
      <c r="H124" s="363">
        <f t="shared" si="45"/>
        <v>4.8863465875158187E-7</v>
      </c>
      <c r="I124" s="363">
        <f t="shared" si="46"/>
        <v>-1.026132783378322E-6</v>
      </c>
      <c r="J124" s="364">
        <f t="shared" si="47"/>
        <v>1.6451814767829423E-4</v>
      </c>
      <c r="K124" s="194">
        <f t="shared" si="48"/>
        <v>4.886346587515819E-5</v>
      </c>
      <c r="L124" s="646">
        <f t="shared" si="49"/>
        <v>1.6402951301954266E-2</v>
      </c>
      <c r="M124" s="365">
        <f t="shared" si="50"/>
        <v>1.6451814767829424E-2</v>
      </c>
      <c r="N124" s="194">
        <f t="shared" si="51"/>
        <v>-1.0261327833783219E-4</v>
      </c>
      <c r="O124" s="422">
        <f t="shared" si="52"/>
        <v>-2.3510896866134445E-2</v>
      </c>
      <c r="P124" s="365">
        <f t="shared" si="53"/>
        <v>-2.3613510144472279E-2</v>
      </c>
      <c r="S124" s="366"/>
      <c r="T124" s="193"/>
      <c r="U124" s="366"/>
      <c r="V124" s="193"/>
      <c r="W124" s="366"/>
      <c r="X124" s="366"/>
      <c r="Y124" s="503"/>
      <c r="Z124" s="366"/>
      <c r="AA124" s="520">
        <f t="shared" si="54"/>
        <v>-6.7684949027070957E-5</v>
      </c>
      <c r="AB124" s="496"/>
      <c r="AC124" s="521">
        <f t="shared" si="55"/>
        <v>-1.0000775155933157E-2</v>
      </c>
      <c r="AD124" s="497"/>
      <c r="AE124" s="522">
        <f t="shared" si="56"/>
        <v>-1.0068460104960228E-2</v>
      </c>
      <c r="AG124" s="531">
        <f t="shared" si="57"/>
        <v>2.2283110790805255E-7</v>
      </c>
      <c r="AH124" s="221" t="str">
        <f t="shared" si="58"/>
        <v>NO</v>
      </c>
      <c r="AI124" s="532">
        <f t="shared" si="59"/>
        <v>3.2924362653277883E-5</v>
      </c>
      <c r="AJ124" s="221" t="str">
        <f t="shared" si="38"/>
        <v>NO</v>
      </c>
      <c r="AK124" s="533">
        <f>IF('IN-OUT'!$F$35=0,AG124,IF('IN-OUT'!$F$26=0,'transversal subsidence profile'!AI124,'transversal subsidence profile'!AG124+'transversal subsidence profile'!AI124))</f>
        <v>3.3147193761185935E-5</v>
      </c>
      <c r="AL124" s="513">
        <f t="shared" si="39"/>
        <v>1000</v>
      </c>
    </row>
    <row r="125" spans="1:38">
      <c r="A125" s="542">
        <f t="shared" si="60"/>
        <v>-21.25</v>
      </c>
      <c r="B125" s="363">
        <f t="shared" si="40"/>
        <v>1.8444112736506108E-4</v>
      </c>
      <c r="C125" s="543">
        <f t="shared" si="41"/>
        <v>-2.6129159710050319E-4</v>
      </c>
      <c r="D125" s="542">
        <f t="shared" si="61"/>
        <v>-21.25</v>
      </c>
      <c r="E125" s="363">
        <f t="shared" si="42"/>
        <v>1.8444112736506108E-4</v>
      </c>
      <c r="F125" s="543">
        <f t="shared" si="43"/>
        <v>-2.6129159710050319E-4</v>
      </c>
      <c r="G125" s="548">
        <f t="shared" si="44"/>
        <v>-31.25</v>
      </c>
      <c r="H125" s="363">
        <f t="shared" si="45"/>
        <v>5.804297202772394E-7</v>
      </c>
      <c r="I125" s="363">
        <f t="shared" si="46"/>
        <v>-1.2092285839109156E-6</v>
      </c>
      <c r="J125" s="364">
        <f t="shared" si="47"/>
        <v>1.8502155708533831E-4</v>
      </c>
      <c r="K125" s="194">
        <f t="shared" si="48"/>
        <v>5.804297202772394E-5</v>
      </c>
      <c r="L125" s="646">
        <f t="shared" si="49"/>
        <v>1.8444112736506108E-2</v>
      </c>
      <c r="M125" s="365">
        <f t="shared" si="50"/>
        <v>1.8502155708533832E-2</v>
      </c>
      <c r="N125" s="194">
        <f t="shared" si="51"/>
        <v>-1.2092285839109156E-4</v>
      </c>
      <c r="O125" s="422">
        <f t="shared" si="52"/>
        <v>-2.612915971005032E-2</v>
      </c>
      <c r="P125" s="365">
        <f t="shared" si="53"/>
        <v>-2.6250082568441409E-2</v>
      </c>
      <c r="S125" s="366"/>
      <c r="T125" s="193"/>
      <c r="U125" s="366"/>
      <c r="V125" s="193"/>
      <c r="W125" s="366"/>
      <c r="X125" s="366"/>
      <c r="Y125" s="503"/>
      <c r="Z125" s="366"/>
      <c r="AA125" s="520">
        <f t="shared" si="54"/>
        <v>-7.9067957139915482E-5</v>
      </c>
      <c r="AB125" s="496"/>
      <c r="AC125" s="521">
        <f t="shared" si="55"/>
        <v>-1.0956831855175462E-2</v>
      </c>
      <c r="AD125" s="497"/>
      <c r="AE125" s="522">
        <f t="shared" si="56"/>
        <v>-1.1035899812315378E-2</v>
      </c>
      <c r="AG125" s="531">
        <f t="shared" si="57"/>
        <v>2.6030603173634727E-7</v>
      </c>
      <c r="AH125" s="221" t="str">
        <f t="shared" si="58"/>
        <v>NO</v>
      </c>
      <c r="AI125" s="532">
        <f t="shared" si="59"/>
        <v>3.607187442033074E-5</v>
      </c>
      <c r="AJ125" s="221" t="str">
        <f t="shared" si="38"/>
        <v>NO</v>
      </c>
      <c r="AK125" s="533">
        <f>IF('IN-OUT'!$F$35=0,AG125,IF('IN-OUT'!$F$26=0,'transversal subsidence profile'!AI125,'transversal subsidence profile'!AG125+'transversal subsidence profile'!AI125))</f>
        <v>3.6332180452067091E-5</v>
      </c>
      <c r="AL125" s="513">
        <f t="shared" si="39"/>
        <v>1000</v>
      </c>
    </row>
    <row r="126" spans="1:38">
      <c r="A126" s="542">
        <f t="shared" si="60"/>
        <v>-21</v>
      </c>
      <c r="B126" s="363">
        <f t="shared" si="40"/>
        <v>2.0710844152466607E-4</v>
      </c>
      <c r="C126" s="543">
        <f t="shared" si="41"/>
        <v>-2.899518181345325E-4</v>
      </c>
      <c r="D126" s="542">
        <f t="shared" si="61"/>
        <v>-21</v>
      </c>
      <c r="E126" s="363">
        <f t="shared" si="42"/>
        <v>2.0710844152466607E-4</v>
      </c>
      <c r="F126" s="543">
        <f t="shared" si="43"/>
        <v>-2.899518181345325E-4</v>
      </c>
      <c r="G126" s="548">
        <f t="shared" si="44"/>
        <v>-31</v>
      </c>
      <c r="H126" s="363">
        <f t="shared" si="45"/>
        <v>6.8852430522042997E-7</v>
      </c>
      <c r="I126" s="363">
        <f t="shared" si="46"/>
        <v>-1.4229502307888884E-6</v>
      </c>
      <c r="J126" s="364">
        <f t="shared" si="47"/>
        <v>2.077969658298865E-4</v>
      </c>
      <c r="K126" s="194">
        <f t="shared" si="48"/>
        <v>6.8852430522042994E-5</v>
      </c>
      <c r="L126" s="646">
        <f t="shared" si="49"/>
        <v>2.0710844152466608E-2</v>
      </c>
      <c r="M126" s="365">
        <f t="shared" si="50"/>
        <v>2.0779696582988651E-2</v>
      </c>
      <c r="N126" s="194">
        <f t="shared" si="51"/>
        <v>-1.4229502307888884E-4</v>
      </c>
      <c r="O126" s="422">
        <f t="shared" si="52"/>
        <v>-2.8995181813453251E-2</v>
      </c>
      <c r="P126" s="365">
        <f t="shared" si="53"/>
        <v>-2.9137476836532141E-2</v>
      </c>
      <c r="S126" s="366"/>
      <c r="T126" s="193"/>
      <c r="U126" s="366"/>
      <c r="V126" s="193"/>
      <c r="W126" s="366"/>
      <c r="X126" s="366"/>
      <c r="Y126" s="503"/>
      <c r="Z126" s="366"/>
      <c r="AA126" s="520">
        <f t="shared" si="54"/>
        <v>-9.2225107439996684E-5</v>
      </c>
      <c r="AB126" s="496"/>
      <c r="AC126" s="521">
        <f t="shared" si="55"/>
        <v>-1.1983311472579443E-2</v>
      </c>
      <c r="AD126" s="497"/>
      <c r="AE126" s="522">
        <f t="shared" si="56"/>
        <v>-1.207553658001944E-2</v>
      </c>
      <c r="AG126" s="531">
        <f t="shared" si="57"/>
        <v>3.0362175288887793E-7</v>
      </c>
      <c r="AH126" s="221" t="str">
        <f t="shared" si="58"/>
        <v>NO</v>
      </c>
      <c r="AI126" s="532">
        <f t="shared" si="59"/>
        <v>3.9451231185446728E-5</v>
      </c>
      <c r="AJ126" s="221" t="str">
        <f t="shared" si="38"/>
        <v>NO</v>
      </c>
      <c r="AK126" s="533">
        <f>IF('IN-OUT'!$F$35=0,AG126,IF('IN-OUT'!$F$26=0,'transversal subsidence profile'!AI126,'transversal subsidence profile'!AG126+'transversal subsidence profile'!AI126))</f>
        <v>3.9754852938335608E-5</v>
      </c>
      <c r="AL126" s="513">
        <f t="shared" si="39"/>
        <v>1000</v>
      </c>
    </row>
    <row r="127" spans="1:38">
      <c r="A127" s="542">
        <f t="shared" si="60"/>
        <v>-20.75</v>
      </c>
      <c r="B127" s="363">
        <f t="shared" si="40"/>
        <v>2.322427113871871E-4</v>
      </c>
      <c r="C127" s="543">
        <f t="shared" si="41"/>
        <v>-3.2126908408560881E-4</v>
      </c>
      <c r="D127" s="542">
        <f t="shared" si="61"/>
        <v>-20.75</v>
      </c>
      <c r="E127" s="363">
        <f t="shared" si="42"/>
        <v>2.322427113871871E-4</v>
      </c>
      <c r="F127" s="543">
        <f t="shared" si="43"/>
        <v>-3.2126908408560881E-4</v>
      </c>
      <c r="G127" s="548">
        <f t="shared" si="44"/>
        <v>-30.75</v>
      </c>
      <c r="H127" s="363">
        <f t="shared" si="45"/>
        <v>8.1562995871016387E-7</v>
      </c>
      <c r="I127" s="363">
        <f t="shared" si="46"/>
        <v>-1.6720414153558358E-6</v>
      </c>
      <c r="J127" s="364">
        <f t="shared" si="47"/>
        <v>2.3305834134589726E-4</v>
      </c>
      <c r="K127" s="194">
        <f t="shared" si="48"/>
        <v>8.1562995871016392E-5</v>
      </c>
      <c r="L127" s="646">
        <f t="shared" si="49"/>
        <v>2.3224271138718711E-2</v>
      </c>
      <c r="M127" s="365">
        <f t="shared" si="50"/>
        <v>2.3305834134589729E-2</v>
      </c>
      <c r="N127" s="194">
        <f t="shared" si="51"/>
        <v>-1.6720414153558358E-4</v>
      </c>
      <c r="O127" s="422">
        <f t="shared" si="52"/>
        <v>-3.2126908408560882E-2</v>
      </c>
      <c r="P127" s="365">
        <f t="shared" si="53"/>
        <v>-3.2294112550096468E-2</v>
      </c>
      <c r="S127" s="366"/>
      <c r="T127" s="193"/>
      <c r="U127" s="366"/>
      <c r="V127" s="193"/>
      <c r="W127" s="366"/>
      <c r="X127" s="366"/>
      <c r="Y127" s="503"/>
      <c r="Z127" s="366"/>
      <c r="AA127" s="520">
        <f t="shared" si="54"/>
        <v>-1.074080604062767E-4</v>
      </c>
      <c r="AB127" s="496"/>
      <c r="AC127" s="521">
        <f t="shared" si="55"/>
        <v>-1.3082899882442363E-2</v>
      </c>
      <c r="AD127" s="497"/>
      <c r="AE127" s="522">
        <f t="shared" si="56"/>
        <v>-1.319030794284864E-2</v>
      </c>
      <c r="AG127" s="531">
        <f t="shared" si="57"/>
        <v>3.5360678323054059E-7</v>
      </c>
      <c r="AH127" s="221" t="str">
        <f t="shared" si="58"/>
        <v>NO</v>
      </c>
      <c r="AI127" s="532">
        <f t="shared" si="59"/>
        <v>4.3071275333143581E-5</v>
      </c>
      <c r="AJ127" s="221" t="str">
        <f t="shared" si="38"/>
        <v>NO</v>
      </c>
      <c r="AK127" s="533">
        <f>IF('IN-OUT'!$F$35=0,AG127,IF('IN-OUT'!$F$26=0,'transversal subsidence profile'!AI127,'transversal subsidence profile'!AG127+'transversal subsidence profile'!AI127))</f>
        <v>4.3424882116374123E-5</v>
      </c>
      <c r="AL127" s="513">
        <f t="shared" si="39"/>
        <v>1000</v>
      </c>
    </row>
    <row r="128" spans="1:38">
      <c r="A128" s="542">
        <f t="shared" si="60"/>
        <v>-20.5</v>
      </c>
      <c r="B128" s="363">
        <f t="shared" si="40"/>
        <v>2.6007023232469621E-4</v>
      </c>
      <c r="C128" s="543">
        <f t="shared" si="41"/>
        <v>-3.5542931751041806E-4</v>
      </c>
      <c r="D128" s="542">
        <f t="shared" si="61"/>
        <v>-20.5</v>
      </c>
      <c r="E128" s="363">
        <f t="shared" si="42"/>
        <v>2.6007023232469621E-4</v>
      </c>
      <c r="F128" s="543">
        <f t="shared" si="43"/>
        <v>-3.5542931751041806E-4</v>
      </c>
      <c r="G128" s="548">
        <f t="shared" si="44"/>
        <v>-30.5</v>
      </c>
      <c r="H128" s="363">
        <f t="shared" si="45"/>
        <v>9.6487559788146035E-7</v>
      </c>
      <c r="I128" s="363">
        <f t="shared" si="46"/>
        <v>-1.9619137156923026E-6</v>
      </c>
      <c r="J128" s="364">
        <f t="shared" si="47"/>
        <v>2.6103510792257768E-4</v>
      </c>
      <c r="K128" s="194">
        <f t="shared" si="48"/>
        <v>9.648755978814604E-5</v>
      </c>
      <c r="L128" s="646">
        <f t="shared" si="49"/>
        <v>2.6007023232469621E-2</v>
      </c>
      <c r="M128" s="365">
        <f t="shared" si="50"/>
        <v>2.6103510792257766E-2</v>
      </c>
      <c r="N128" s="194">
        <f t="shared" si="51"/>
        <v>-1.9619137156923026E-4</v>
      </c>
      <c r="O128" s="422">
        <f t="shared" si="52"/>
        <v>-3.5542931751041805E-2</v>
      </c>
      <c r="P128" s="365">
        <f t="shared" si="53"/>
        <v>-3.5739123122611037E-2</v>
      </c>
      <c r="S128" s="366"/>
      <c r="T128" s="193"/>
      <c r="U128" s="366"/>
      <c r="V128" s="193"/>
      <c r="W128" s="366"/>
      <c r="X128" s="366"/>
      <c r="Y128" s="503"/>
      <c r="Z128" s="366"/>
      <c r="AA128" s="520">
        <f t="shared" si="54"/>
        <v>-1.2489999165991831E-4</v>
      </c>
      <c r="AB128" s="496"/>
      <c r="AC128" s="521">
        <f t="shared" si="55"/>
        <v>-1.4258079952323309E-2</v>
      </c>
      <c r="AD128" s="497"/>
      <c r="AE128" s="522">
        <f t="shared" si="56"/>
        <v>-1.4382979943983227E-2</v>
      </c>
      <c r="AG128" s="531">
        <f t="shared" si="57"/>
        <v>4.1119338818080111E-7</v>
      </c>
      <c r="AH128" s="221" t="str">
        <f t="shared" si="58"/>
        <v>NO</v>
      </c>
      <c r="AI128" s="532">
        <f t="shared" si="59"/>
        <v>4.6940180912998539E-5</v>
      </c>
      <c r="AJ128" s="221" t="str">
        <f t="shared" si="38"/>
        <v>NO</v>
      </c>
      <c r="AK128" s="533">
        <f>IF('IN-OUT'!$F$35=0,AG128,IF('IN-OUT'!$F$26=0,'transversal subsidence profile'!AI128,'transversal subsidence profile'!AG128+'transversal subsidence profile'!AI128))</f>
        <v>4.735137430117934E-5</v>
      </c>
      <c r="AL128" s="513">
        <f t="shared" si="39"/>
        <v>1000</v>
      </c>
    </row>
    <row r="129" spans="1:38">
      <c r="A129" s="542">
        <f t="shared" si="60"/>
        <v>-20.25</v>
      </c>
      <c r="B129" s="363">
        <f t="shared" si="40"/>
        <v>2.908328492774706E-4</v>
      </c>
      <c r="C129" s="543">
        <f t="shared" si="41"/>
        <v>-3.9262434652458534E-4</v>
      </c>
      <c r="D129" s="542">
        <f t="shared" si="61"/>
        <v>-20.25</v>
      </c>
      <c r="E129" s="363">
        <f t="shared" si="42"/>
        <v>2.908328492774706E-4</v>
      </c>
      <c r="F129" s="543">
        <f t="shared" si="43"/>
        <v>-3.9262434652458534E-4</v>
      </c>
      <c r="G129" s="548">
        <f t="shared" si="44"/>
        <v>-30.25</v>
      </c>
      <c r="H129" s="363">
        <f t="shared" si="45"/>
        <v>1.1398658346772302E-6</v>
      </c>
      <c r="I129" s="363">
        <f t="shared" si="46"/>
        <v>-2.2987294332657477E-6</v>
      </c>
      <c r="J129" s="364">
        <f t="shared" si="47"/>
        <v>2.9197271511214782E-4</v>
      </c>
      <c r="K129" s="194">
        <f t="shared" si="48"/>
        <v>1.1398658346772302E-4</v>
      </c>
      <c r="L129" s="646">
        <f t="shared" si="49"/>
        <v>2.9083284927747061E-2</v>
      </c>
      <c r="M129" s="365">
        <f t="shared" si="50"/>
        <v>2.9197271511214783E-2</v>
      </c>
      <c r="N129" s="194">
        <f t="shared" si="51"/>
        <v>-2.2987294332657478E-4</v>
      </c>
      <c r="O129" s="422">
        <f t="shared" si="52"/>
        <v>-3.926243465245853E-2</v>
      </c>
      <c r="P129" s="365">
        <f t="shared" si="53"/>
        <v>-3.9492307595785106E-2</v>
      </c>
      <c r="S129" s="366"/>
      <c r="T129" s="193"/>
      <c r="U129" s="366"/>
      <c r="V129" s="193"/>
      <c r="W129" s="366"/>
      <c r="X129" s="366"/>
      <c r="Y129" s="503"/>
      <c r="Z129" s="366"/>
      <c r="AA129" s="520">
        <f t="shared" si="54"/>
        <v>-1.450188705261054E-4</v>
      </c>
      <c r="AB129" s="496"/>
      <c r="AC129" s="521">
        <f t="shared" si="55"/>
        <v>-1.5511085294798431E-2</v>
      </c>
      <c r="AD129" s="497"/>
      <c r="AE129" s="522">
        <f t="shared" si="56"/>
        <v>-1.5656104165324536E-2</v>
      </c>
      <c r="AG129" s="531">
        <f t="shared" si="57"/>
        <v>4.7742838033285727E-7</v>
      </c>
      <c r="AH129" s="221" t="str">
        <f t="shared" si="58"/>
        <v>NO</v>
      </c>
      <c r="AI129" s="532">
        <f t="shared" si="59"/>
        <v>5.1065301382052446E-5</v>
      </c>
      <c r="AJ129" s="221" t="str">
        <f t="shared" si="38"/>
        <v>NO</v>
      </c>
      <c r="AK129" s="533">
        <f>IF('IN-OUT'!$F$35=0,AG129,IF('IN-OUT'!$F$26=0,'transversal subsidence profile'!AI129,'transversal subsidence profile'!AG129+'transversal subsidence profile'!AI129))</f>
        <v>5.1542729762385302E-5</v>
      </c>
      <c r="AL129" s="513">
        <f t="shared" si="39"/>
        <v>1000</v>
      </c>
    </row>
    <row r="130" spans="1:38">
      <c r="A130" s="542">
        <f t="shared" si="60"/>
        <v>-20</v>
      </c>
      <c r="B130" s="363">
        <f t="shared" si="40"/>
        <v>3.247884154997016E-4</v>
      </c>
      <c r="C130" s="543">
        <f t="shared" si="41"/>
        <v>-4.3305122066626884E-4</v>
      </c>
      <c r="D130" s="542">
        <f t="shared" si="61"/>
        <v>-20</v>
      </c>
      <c r="E130" s="363">
        <f t="shared" si="42"/>
        <v>3.247884154997016E-4</v>
      </c>
      <c r="F130" s="543">
        <f t="shared" si="43"/>
        <v>-4.3305122066626884E-4</v>
      </c>
      <c r="G130" s="548">
        <f t="shared" si="44"/>
        <v>-30</v>
      </c>
      <c r="H130" s="363">
        <f t="shared" si="45"/>
        <v>1.3447464619457143E-6</v>
      </c>
      <c r="I130" s="363">
        <f t="shared" si="46"/>
        <v>-2.6894929238914286E-6</v>
      </c>
      <c r="J130" s="364">
        <f t="shared" si="47"/>
        <v>3.2613316196164732E-4</v>
      </c>
      <c r="K130" s="194">
        <f t="shared" si="48"/>
        <v>1.3447464619457142E-4</v>
      </c>
      <c r="L130" s="646">
        <f t="shared" si="49"/>
        <v>3.2478841549970161E-2</v>
      </c>
      <c r="M130" s="365">
        <f t="shared" si="50"/>
        <v>3.2613316196164734E-2</v>
      </c>
      <c r="N130" s="194">
        <f t="shared" si="51"/>
        <v>-2.6894929238914283E-4</v>
      </c>
      <c r="O130" s="422">
        <f t="shared" si="52"/>
        <v>-4.3305122066626886E-2</v>
      </c>
      <c r="P130" s="365">
        <f t="shared" si="53"/>
        <v>-4.3574071359016031E-2</v>
      </c>
      <c r="S130" s="366"/>
      <c r="T130" s="193"/>
      <c r="U130" s="366"/>
      <c r="V130" s="193"/>
      <c r="W130" s="366"/>
      <c r="X130" s="366"/>
      <c r="Y130" s="503"/>
      <c r="Z130" s="366"/>
      <c r="AA130" s="520">
        <f t="shared" si="54"/>
        <v>-1.6812097742350125E-4</v>
      </c>
      <c r="AB130" s="496"/>
      <c r="AC130" s="521">
        <f t="shared" si="55"/>
        <v>-1.6843850976669482E-2</v>
      </c>
      <c r="AD130" s="497"/>
      <c r="AE130" s="522">
        <f t="shared" si="56"/>
        <v>-1.7011971954092982E-2</v>
      </c>
      <c r="AG130" s="531">
        <f t="shared" si="57"/>
        <v>5.5348469933662948E-7</v>
      </c>
      <c r="AH130" s="221" t="str">
        <f t="shared" si="58"/>
        <v>NO</v>
      </c>
      <c r="AI130" s="532">
        <f t="shared" si="59"/>
        <v>5.5453007330599119E-5</v>
      </c>
      <c r="AJ130" s="221" t="str">
        <f t="shared" si="38"/>
        <v>NO</v>
      </c>
      <c r="AK130" s="533">
        <f>IF('IN-OUT'!$F$35=0,AG130,IF('IN-OUT'!$F$26=0,'transversal subsidence profile'!AI130,'transversal subsidence profile'!AG130+'transversal subsidence profile'!AI130))</f>
        <v>5.6006492029935748E-5</v>
      </c>
      <c r="AL130" s="513">
        <f t="shared" si="39"/>
        <v>1000</v>
      </c>
    </row>
    <row r="131" spans="1:38">
      <c r="A131" s="542">
        <f t="shared" si="60"/>
        <v>-19.75</v>
      </c>
      <c r="B131" s="363">
        <f t="shared" si="40"/>
        <v>3.6221118982736697E-4</v>
      </c>
      <c r="C131" s="543">
        <f t="shared" si="41"/>
        <v>-4.769113999393664E-4</v>
      </c>
      <c r="D131" s="542">
        <f t="shared" si="61"/>
        <v>-19.75</v>
      </c>
      <c r="E131" s="363">
        <f t="shared" si="42"/>
        <v>3.6221118982736697E-4</v>
      </c>
      <c r="F131" s="543">
        <f t="shared" si="43"/>
        <v>-4.769113999393664E-4</v>
      </c>
      <c r="G131" s="548">
        <f t="shared" si="44"/>
        <v>-29.75</v>
      </c>
      <c r="H131" s="363">
        <f t="shared" si="45"/>
        <v>1.5842778266059401E-6</v>
      </c>
      <c r="I131" s="363">
        <f t="shared" si="46"/>
        <v>-3.1421510227684479E-6</v>
      </c>
      <c r="J131" s="364">
        <f t="shared" si="47"/>
        <v>3.6379546765397293E-4</v>
      </c>
      <c r="K131" s="194">
        <f t="shared" si="48"/>
        <v>1.5842778266059401E-4</v>
      </c>
      <c r="L131" s="646">
        <f t="shared" si="49"/>
        <v>3.6221118982736694E-2</v>
      </c>
      <c r="M131" s="365">
        <f t="shared" si="50"/>
        <v>3.6379546765397286E-2</v>
      </c>
      <c r="N131" s="194">
        <f t="shared" si="51"/>
        <v>-3.1421510227684478E-4</v>
      </c>
      <c r="O131" s="422">
        <f t="shared" si="52"/>
        <v>-4.7691139993936642E-2</v>
      </c>
      <c r="P131" s="365">
        <f t="shared" si="53"/>
        <v>-4.8005355096213488E-2</v>
      </c>
      <c r="S131" s="366"/>
      <c r="T131" s="193"/>
      <c r="U131" s="366"/>
      <c r="V131" s="193"/>
      <c r="W131" s="366"/>
      <c r="X131" s="366"/>
      <c r="Y131" s="503"/>
      <c r="Z131" s="366"/>
      <c r="AA131" s="520">
        <f t="shared" si="54"/>
        <v>-1.9460466179214441E-4</v>
      </c>
      <c r="AB131" s="496"/>
      <c r="AC131" s="521">
        <f t="shared" si="55"/>
        <v>-1.8257961393035635E-2</v>
      </c>
      <c r="AD131" s="497"/>
      <c r="AE131" s="522">
        <f t="shared" si="56"/>
        <v>-1.8452566054827778E-2</v>
      </c>
      <c r="AG131" s="531">
        <f t="shared" si="57"/>
        <v>6.4067378367784165E-7</v>
      </c>
      <c r="AH131" s="221" t="str">
        <f t="shared" si="58"/>
        <v>NO</v>
      </c>
      <c r="AI131" s="532">
        <f t="shared" si="59"/>
        <v>6.0108514874191379E-5</v>
      </c>
      <c r="AJ131" s="221" t="str">
        <f t="shared" si="38"/>
        <v>NO</v>
      </c>
      <c r="AK131" s="533">
        <f>IF('IN-OUT'!$F$35=0,AG131,IF('IN-OUT'!$F$26=0,'transversal subsidence profile'!AI131,'transversal subsidence profile'!AG131+'transversal subsidence profile'!AI131))</f>
        <v>6.0749188657869218E-5</v>
      </c>
      <c r="AL131" s="513">
        <f t="shared" si="39"/>
        <v>1000</v>
      </c>
    </row>
    <row r="132" spans="1:38">
      <c r="A132" s="542">
        <f t="shared" si="60"/>
        <v>-19.5</v>
      </c>
      <c r="B132" s="363">
        <f t="shared" si="40"/>
        <v>4.0339216174737393E-4</v>
      </c>
      <c r="C132" s="543">
        <f t="shared" si="41"/>
        <v>-5.2440981027158614E-4</v>
      </c>
      <c r="D132" s="542">
        <f t="shared" si="61"/>
        <v>-19.5</v>
      </c>
      <c r="E132" s="363">
        <f t="shared" si="42"/>
        <v>4.0339216174737393E-4</v>
      </c>
      <c r="F132" s="543">
        <f t="shared" si="43"/>
        <v>-5.2440981027158614E-4</v>
      </c>
      <c r="G132" s="548">
        <f t="shared" si="44"/>
        <v>-29.5</v>
      </c>
      <c r="H132" s="363">
        <f t="shared" si="45"/>
        <v>1.8639168630971588E-6</v>
      </c>
      <c r="I132" s="363">
        <f t="shared" si="46"/>
        <v>-3.6657031640910789E-6</v>
      </c>
      <c r="J132" s="364">
        <f t="shared" si="47"/>
        <v>4.052560786104711E-4</v>
      </c>
      <c r="K132" s="194">
        <f t="shared" si="48"/>
        <v>1.8639168630971587E-4</v>
      </c>
      <c r="L132" s="646">
        <f t="shared" si="49"/>
        <v>4.0339216174737395E-2</v>
      </c>
      <c r="M132" s="365">
        <f t="shared" si="50"/>
        <v>4.0525607861047114E-2</v>
      </c>
      <c r="N132" s="194">
        <f t="shared" si="51"/>
        <v>-3.6657031640910788E-4</v>
      </c>
      <c r="O132" s="422">
        <f t="shared" si="52"/>
        <v>-5.2440981027158613E-2</v>
      </c>
      <c r="P132" s="365">
        <f t="shared" si="53"/>
        <v>-5.2807551343567724E-2</v>
      </c>
      <c r="S132" s="366"/>
      <c r="T132" s="193"/>
      <c r="U132" s="366"/>
      <c r="V132" s="193"/>
      <c r="W132" s="366"/>
      <c r="X132" s="366"/>
      <c r="Y132" s="503"/>
      <c r="Z132" s="366"/>
      <c r="AA132" s="520">
        <f t="shared" si="54"/>
        <v>-2.2491433935589399E-4</v>
      </c>
      <c r="AB132" s="496"/>
      <c r="AC132" s="521">
        <f t="shared" si="55"/>
        <v>-1.9754595575282918E-2</v>
      </c>
      <c r="AD132" s="497"/>
      <c r="AE132" s="522">
        <f t="shared" si="56"/>
        <v>-1.9979509914638812E-2</v>
      </c>
      <c r="AG132" s="531">
        <f t="shared" si="57"/>
        <v>7.4045873038977444E-7</v>
      </c>
      <c r="AH132" s="221" t="str">
        <f t="shared" si="58"/>
        <v>NO</v>
      </c>
      <c r="AI132" s="532">
        <f t="shared" si="59"/>
        <v>6.5035705597639239E-5</v>
      </c>
      <c r="AJ132" s="221" t="str">
        <f t="shared" si="38"/>
        <v>NO</v>
      </c>
      <c r="AK132" s="533">
        <f>IF('IN-OUT'!$F$35=0,AG132,IF('IN-OUT'!$F$26=0,'transversal subsidence profile'!AI132,'transversal subsidence profile'!AG132+'transversal subsidence profile'!AI132))</f>
        <v>6.577616432802901E-5</v>
      </c>
      <c r="AL132" s="513">
        <f t="shared" si="39"/>
        <v>1000</v>
      </c>
    </row>
    <row r="133" spans="1:38">
      <c r="A133" s="542">
        <f t="shared" si="60"/>
        <v>-19.25</v>
      </c>
      <c r="B133" s="363">
        <f t="shared" si="40"/>
        <v>4.4863929302020323E-4</v>
      </c>
      <c r="C133" s="543">
        <f t="shared" si="41"/>
        <v>-5.7575375937592751E-4</v>
      </c>
      <c r="D133" s="542">
        <f t="shared" si="61"/>
        <v>-19.25</v>
      </c>
      <c r="E133" s="363">
        <f t="shared" si="42"/>
        <v>4.4863929302020323E-4</v>
      </c>
      <c r="F133" s="543">
        <f t="shared" si="43"/>
        <v>-5.7575375937592751E-4</v>
      </c>
      <c r="G133" s="548">
        <f t="shared" si="44"/>
        <v>-29.25</v>
      </c>
      <c r="H133" s="363">
        <f t="shared" si="45"/>
        <v>2.1899086095153342E-6</v>
      </c>
      <c r="I133" s="363">
        <f t="shared" si="46"/>
        <v>-4.2703217885549017E-6</v>
      </c>
      <c r="J133" s="364">
        <f t="shared" si="47"/>
        <v>4.5082920162971859E-4</v>
      </c>
      <c r="K133" s="194">
        <f t="shared" si="48"/>
        <v>2.1899086095153342E-4</v>
      </c>
      <c r="L133" s="646">
        <f t="shared" si="49"/>
        <v>4.4863929302020322E-2</v>
      </c>
      <c r="M133" s="365">
        <f t="shared" si="50"/>
        <v>4.5082920162971857E-2</v>
      </c>
      <c r="N133" s="194">
        <f t="shared" si="51"/>
        <v>-4.2703217885549019E-4</v>
      </c>
      <c r="O133" s="422">
        <f t="shared" si="52"/>
        <v>-5.7575375937592752E-2</v>
      </c>
      <c r="P133" s="365">
        <f t="shared" si="53"/>
        <v>-5.8002408116448238E-2</v>
      </c>
      <c r="S133" s="366"/>
      <c r="T133" s="193"/>
      <c r="U133" s="366"/>
      <c r="V133" s="193"/>
      <c r="W133" s="366"/>
      <c r="X133" s="366"/>
      <c r="Y133" s="503"/>
      <c r="Z133" s="366"/>
      <c r="AA133" s="520">
        <f t="shared" si="54"/>
        <v>-2.5954472409070624E-4</v>
      </c>
      <c r="AB133" s="496"/>
      <c r="AC133" s="521">
        <f t="shared" si="55"/>
        <v>-2.1334470267078711E-2</v>
      </c>
      <c r="AD133" s="497"/>
      <c r="AE133" s="522">
        <f t="shared" si="56"/>
        <v>-2.1594014991169419E-2</v>
      </c>
      <c r="AG133" s="531">
        <f t="shared" si="57"/>
        <v>8.5446822745911534E-7</v>
      </c>
      <c r="AH133" s="221" t="str">
        <f t="shared" si="58"/>
        <v>NO</v>
      </c>
      <c r="AI133" s="532">
        <f t="shared" si="59"/>
        <v>7.0236939150876421E-5</v>
      </c>
      <c r="AJ133" s="221" t="str">
        <f t="shared" si="38"/>
        <v>NO</v>
      </c>
      <c r="AK133" s="533">
        <f>IF('IN-OUT'!$F$35=0,AG133,IF('IN-OUT'!$F$26=0,'transversal subsidence profile'!AI133,'transversal subsidence profile'!AG133+'transversal subsidence profile'!AI133))</f>
        <v>7.1091407378335534E-5</v>
      </c>
      <c r="AL133" s="513">
        <f t="shared" si="39"/>
        <v>1000</v>
      </c>
    </row>
    <row r="134" spans="1:38">
      <c r="A134" s="542">
        <f t="shared" si="60"/>
        <v>-19</v>
      </c>
      <c r="B134" s="363">
        <f t="shared" si="40"/>
        <v>4.9827766415018232E-4</v>
      </c>
      <c r="C134" s="543">
        <f t="shared" si="41"/>
        <v>-6.3115170792356432E-4</v>
      </c>
      <c r="D134" s="542">
        <f t="shared" si="61"/>
        <v>-19</v>
      </c>
      <c r="E134" s="363">
        <f t="shared" si="42"/>
        <v>4.9827766415018232E-4</v>
      </c>
      <c r="F134" s="543">
        <f t="shared" si="43"/>
        <v>-6.3115170792356432E-4</v>
      </c>
      <c r="G134" s="548">
        <f t="shared" si="44"/>
        <v>-29</v>
      </c>
      <c r="H134" s="363">
        <f t="shared" si="45"/>
        <v>2.5693880770651459E-6</v>
      </c>
      <c r="I134" s="363">
        <f t="shared" si="46"/>
        <v>-4.9674836156592812E-6</v>
      </c>
      <c r="J134" s="364">
        <f t="shared" si="47"/>
        <v>5.0084705222724749E-4</v>
      </c>
      <c r="K134" s="194">
        <f t="shared" si="48"/>
        <v>2.5693880770651459E-4</v>
      </c>
      <c r="L134" s="646">
        <f t="shared" si="49"/>
        <v>4.9827766415018231E-2</v>
      </c>
      <c r="M134" s="365">
        <f t="shared" si="50"/>
        <v>5.0084705222724749E-2</v>
      </c>
      <c r="N134" s="194">
        <f t="shared" si="51"/>
        <v>-4.9674836156592811E-4</v>
      </c>
      <c r="O134" s="422">
        <f t="shared" si="52"/>
        <v>-6.3115170792356429E-2</v>
      </c>
      <c r="P134" s="365">
        <f t="shared" si="53"/>
        <v>-6.361191915392235E-2</v>
      </c>
      <c r="S134" s="366"/>
      <c r="T134" s="193"/>
      <c r="U134" s="366"/>
      <c r="V134" s="193"/>
      <c r="W134" s="366"/>
      <c r="X134" s="366"/>
      <c r="Y134" s="503"/>
      <c r="Z134" s="366"/>
      <c r="AA134" s="520">
        <f t="shared" si="54"/>
        <v>-2.9904528629911393E-4</v>
      </c>
      <c r="AB134" s="496"/>
      <c r="AC134" s="521">
        <f t="shared" si="55"/>
        <v>-2.2997781170242069E-2</v>
      </c>
      <c r="AD134" s="497"/>
      <c r="AE134" s="522">
        <f t="shared" si="56"/>
        <v>-2.3296826456541183E-2</v>
      </c>
      <c r="AG134" s="531">
        <f t="shared" si="57"/>
        <v>9.8451123061436669E-7</v>
      </c>
      <c r="AH134" s="221" t="str">
        <f t="shared" si="58"/>
        <v>NO</v>
      </c>
      <c r="AI134" s="532">
        <f t="shared" si="59"/>
        <v>7.5712859819726969E-5</v>
      </c>
      <c r="AJ134" s="221" t="str">
        <f t="shared" si="38"/>
        <v>NO</v>
      </c>
      <c r="AK134" s="533">
        <f>IF('IN-OUT'!$F$35=0,AG134,IF('IN-OUT'!$F$26=0,'transversal subsidence profile'!AI134,'transversal subsidence profile'!AG134+'transversal subsidence profile'!AI134))</f>
        <v>7.6697371050341332E-5</v>
      </c>
      <c r="AL134" s="513">
        <f t="shared" si="39"/>
        <v>1000</v>
      </c>
    </row>
    <row r="135" spans="1:38">
      <c r="A135" s="542">
        <f t="shared" si="60"/>
        <v>-18.75</v>
      </c>
      <c r="B135" s="363">
        <f t="shared" si="40"/>
        <v>5.5264951362214471E-4</v>
      </c>
      <c r="C135" s="543">
        <f t="shared" si="41"/>
        <v>-6.9081189202768083E-4</v>
      </c>
      <c r="D135" s="542">
        <f t="shared" si="61"/>
        <v>-18.75</v>
      </c>
      <c r="E135" s="363">
        <f t="shared" si="42"/>
        <v>5.5264951362214471E-4</v>
      </c>
      <c r="F135" s="543">
        <f t="shared" si="43"/>
        <v>-6.9081189202768083E-4</v>
      </c>
      <c r="G135" s="548">
        <f t="shared" si="44"/>
        <v>-28.75</v>
      </c>
      <c r="H135" s="363">
        <f t="shared" si="45"/>
        <v>3.0104933899017672E-6</v>
      </c>
      <c r="I135" s="363">
        <f t="shared" si="46"/>
        <v>-5.7701123306450534E-6</v>
      </c>
      <c r="J135" s="364">
        <f t="shared" si="47"/>
        <v>5.5566000701204646E-4</v>
      </c>
      <c r="K135" s="194">
        <f t="shared" si="48"/>
        <v>3.0104933899017671E-4</v>
      </c>
      <c r="L135" s="646">
        <f t="shared" si="49"/>
        <v>5.5264951362214473E-2</v>
      </c>
      <c r="M135" s="365">
        <f t="shared" si="50"/>
        <v>5.5566000701204647E-2</v>
      </c>
      <c r="N135" s="194">
        <f t="shared" si="51"/>
        <v>-5.770112330645053E-4</v>
      </c>
      <c r="O135" s="422">
        <f t="shared" si="52"/>
        <v>-6.9081189202768081E-2</v>
      </c>
      <c r="P135" s="365">
        <f t="shared" si="53"/>
        <v>-6.9658200435832582E-2</v>
      </c>
      <c r="S135" s="366"/>
      <c r="T135" s="193"/>
      <c r="U135" s="366"/>
      <c r="V135" s="193"/>
      <c r="W135" s="366"/>
      <c r="X135" s="366"/>
      <c r="Y135" s="503"/>
      <c r="Z135" s="366"/>
      <c r="AA135" s="520">
        <f t="shared" si="54"/>
        <v>-3.4402492364163216E-4</v>
      </c>
      <c r="AB135" s="496"/>
      <c r="AC135" s="521">
        <f t="shared" si="55"/>
        <v>-2.4744142832135531E-2</v>
      </c>
      <c r="AD135" s="497"/>
      <c r="AE135" s="522">
        <f t="shared" si="56"/>
        <v>-2.5088167755777165E-2</v>
      </c>
      <c r="AG135" s="531">
        <f t="shared" si="57"/>
        <v>1.1325923412070195E-6</v>
      </c>
      <c r="AH135" s="221" t="str">
        <f t="shared" si="58"/>
        <v>NO</v>
      </c>
      <c r="AI135" s="532">
        <f t="shared" si="59"/>
        <v>8.1462198624314492E-5</v>
      </c>
      <c r="AJ135" s="221" t="str">
        <f t="shared" si="38"/>
        <v>NO</v>
      </c>
      <c r="AK135" s="533">
        <f>IF('IN-OUT'!$F$35=0,AG135,IF('IN-OUT'!$F$26=0,'transversal subsidence profile'!AI135,'transversal subsidence profile'!AG135+'transversal subsidence profile'!AI135))</f>
        <v>8.2594790965521517E-5</v>
      </c>
      <c r="AL135" s="513">
        <f t="shared" si="39"/>
        <v>1000</v>
      </c>
    </row>
    <row r="136" spans="1:38">
      <c r="A136" s="542">
        <f t="shared" si="60"/>
        <v>-18.5</v>
      </c>
      <c r="B136" s="363">
        <f t="shared" si="40"/>
        <v>6.1211415754493497E-4</v>
      </c>
      <c r="C136" s="543">
        <f t="shared" si="41"/>
        <v>-7.5494079430541978E-4</v>
      </c>
      <c r="D136" s="542">
        <f t="shared" si="61"/>
        <v>-18.5</v>
      </c>
      <c r="E136" s="363">
        <f t="shared" si="42"/>
        <v>6.1211415754493497E-4</v>
      </c>
      <c r="F136" s="543">
        <f t="shared" si="43"/>
        <v>-7.5494079430541978E-4</v>
      </c>
      <c r="G136" s="548">
        <f t="shared" si="44"/>
        <v>-28.5</v>
      </c>
      <c r="H136" s="363">
        <f t="shared" si="45"/>
        <v>3.5224911561666891E-6</v>
      </c>
      <c r="I136" s="363">
        <f t="shared" si="46"/>
        <v>-6.6927331967167102E-6</v>
      </c>
      <c r="J136" s="364">
        <f t="shared" si="47"/>
        <v>6.1563664870110165E-4</v>
      </c>
      <c r="K136" s="194">
        <f t="shared" si="48"/>
        <v>3.5224911561666892E-4</v>
      </c>
      <c r="L136" s="646">
        <f t="shared" si="49"/>
        <v>6.1211415754493501E-2</v>
      </c>
      <c r="M136" s="365">
        <f t="shared" si="50"/>
        <v>6.1563664870110169E-2</v>
      </c>
      <c r="N136" s="194">
        <f t="shared" si="51"/>
        <v>-6.6927331967167104E-4</v>
      </c>
      <c r="O136" s="422">
        <f t="shared" si="52"/>
        <v>-7.5494079430541983E-2</v>
      </c>
      <c r="P136" s="365">
        <f t="shared" si="53"/>
        <v>-7.6163352750213659E-2</v>
      </c>
      <c r="S136" s="366"/>
      <c r="T136" s="193"/>
      <c r="U136" s="366"/>
      <c r="V136" s="193"/>
      <c r="W136" s="366"/>
      <c r="X136" s="366"/>
      <c r="Y136" s="503"/>
      <c r="Z136" s="366"/>
      <c r="AA136" s="520">
        <f t="shared" si="54"/>
        <v>-3.9515682681935785E-4</v>
      </c>
      <c r="AB136" s="496"/>
      <c r="AC136" s="521">
        <f t="shared" si="55"/>
        <v>-2.6572527717108427E-2</v>
      </c>
      <c r="AD136" s="497"/>
      <c r="AE136" s="522">
        <f t="shared" si="56"/>
        <v>-2.6967684543927783E-2</v>
      </c>
      <c r="AG136" s="531">
        <f t="shared" si="57"/>
        <v>1.3009278249196963E-6</v>
      </c>
      <c r="AH136" s="221" t="str">
        <f t="shared" si="58"/>
        <v>NO</v>
      </c>
      <c r="AI136" s="532">
        <f t="shared" si="59"/>
        <v>8.7481572731221157E-5</v>
      </c>
      <c r="AJ136" s="221" t="str">
        <f t="shared" si="38"/>
        <v>NO</v>
      </c>
      <c r="AK136" s="533">
        <f>IF('IN-OUT'!$F$35=0,AG136,IF('IN-OUT'!$F$26=0,'transversal subsidence profile'!AI136,'transversal subsidence profile'!AG136+'transversal subsidence profile'!AI136))</f>
        <v>8.8782500556140853E-5</v>
      </c>
      <c r="AL136" s="513">
        <f t="shared" si="39"/>
        <v>1000</v>
      </c>
    </row>
    <row r="137" spans="1:38">
      <c r="A137" s="542">
        <f t="shared" si="60"/>
        <v>-18.25</v>
      </c>
      <c r="B137" s="363">
        <f t="shared" si="40"/>
        <v>6.7704777717553515E-4</v>
      </c>
      <c r="C137" s="543">
        <f t="shared" si="41"/>
        <v>-8.2374146223023435E-4</v>
      </c>
      <c r="D137" s="542">
        <f t="shared" si="61"/>
        <v>-18.25</v>
      </c>
      <c r="E137" s="363">
        <f t="shared" si="42"/>
        <v>6.7704777717553515E-4</v>
      </c>
      <c r="F137" s="543">
        <f t="shared" si="43"/>
        <v>-8.2374146223023435E-4</v>
      </c>
      <c r="G137" s="548">
        <f t="shared" si="44"/>
        <v>-28.25</v>
      </c>
      <c r="H137" s="363">
        <f t="shared" si="45"/>
        <v>4.1159150709743239E-6</v>
      </c>
      <c r="I137" s="363">
        <f t="shared" si="46"/>
        <v>-7.7516400503349768E-6</v>
      </c>
      <c r="J137" s="364">
        <f t="shared" si="47"/>
        <v>6.811636922465095E-4</v>
      </c>
      <c r="K137" s="194">
        <f t="shared" si="48"/>
        <v>4.115915070974324E-4</v>
      </c>
      <c r="L137" s="646">
        <f t="shared" si="49"/>
        <v>6.770477771755351E-2</v>
      </c>
      <c r="M137" s="365">
        <f t="shared" si="50"/>
        <v>6.8116369224650947E-2</v>
      </c>
      <c r="N137" s="194">
        <f t="shared" si="51"/>
        <v>-7.7516400503349766E-4</v>
      </c>
      <c r="O137" s="422">
        <f t="shared" si="52"/>
        <v>-8.2374146223023442E-2</v>
      </c>
      <c r="P137" s="365">
        <f t="shared" si="53"/>
        <v>-8.3149310228056938E-2</v>
      </c>
      <c r="S137" s="366"/>
      <c r="T137" s="193"/>
      <c r="U137" s="366"/>
      <c r="V137" s="193"/>
      <c r="W137" s="366"/>
      <c r="X137" s="366"/>
      <c r="Y137" s="503"/>
      <c r="Z137" s="366"/>
      <c r="AA137" s="520">
        <f t="shared" si="54"/>
        <v>-4.5318351581646882E-4</v>
      </c>
      <c r="AB137" s="496"/>
      <c r="AC137" s="521">
        <f t="shared" si="55"/>
        <v>-2.8481205075514049E-2</v>
      </c>
      <c r="AD137" s="497"/>
      <c r="AE137" s="522">
        <f t="shared" si="56"/>
        <v>-2.8934388591330518E-2</v>
      </c>
      <c r="AG137" s="531">
        <f t="shared" si="57"/>
        <v>1.4919621919883746E-6</v>
      </c>
      <c r="AH137" s="221" t="str">
        <f t="shared" si="58"/>
        <v>NO</v>
      </c>
      <c r="AI137" s="532">
        <f t="shared" si="59"/>
        <v>9.3765284199223204E-5</v>
      </c>
      <c r="AJ137" s="221" t="str">
        <f t="shared" si="38"/>
        <v>NO</v>
      </c>
      <c r="AK137" s="533">
        <f>IF('IN-OUT'!$F$35=0,AG137,IF('IN-OUT'!$F$26=0,'transversal subsidence profile'!AI137,'transversal subsidence profile'!AG137+'transversal subsidence profile'!AI137))</f>
        <v>9.5257246391211578E-5</v>
      </c>
      <c r="AL137" s="513">
        <f t="shared" si="39"/>
        <v>1000</v>
      </c>
    </row>
    <row r="138" spans="1:38">
      <c r="A138" s="542">
        <f t="shared" si="60"/>
        <v>-18</v>
      </c>
      <c r="B138" s="363">
        <f t="shared" si="40"/>
        <v>7.4784306175714106E-4</v>
      </c>
      <c r="C138" s="543">
        <f t="shared" si="41"/>
        <v>-8.974116741085694E-4</v>
      </c>
      <c r="D138" s="542">
        <f t="shared" si="61"/>
        <v>-18</v>
      </c>
      <c r="E138" s="363">
        <f t="shared" si="42"/>
        <v>7.4784306175714106E-4</v>
      </c>
      <c r="F138" s="543">
        <f t="shared" si="43"/>
        <v>-8.974116741085694E-4</v>
      </c>
      <c r="G138" s="548">
        <f t="shared" si="44"/>
        <v>-28</v>
      </c>
      <c r="H138" s="363">
        <f t="shared" si="45"/>
        <v>4.8027187870904464E-6</v>
      </c>
      <c r="I138" s="363">
        <f t="shared" si="46"/>
        <v>-8.9650750692354989E-6</v>
      </c>
      <c r="J138" s="364">
        <f t="shared" si="47"/>
        <v>7.5264578054423149E-4</v>
      </c>
      <c r="K138" s="194">
        <f t="shared" si="48"/>
        <v>4.8027187870904465E-4</v>
      </c>
      <c r="L138" s="646">
        <f t="shared" si="49"/>
        <v>7.4784306175714105E-2</v>
      </c>
      <c r="M138" s="365">
        <f t="shared" si="50"/>
        <v>7.5264578054423145E-2</v>
      </c>
      <c r="N138" s="194">
        <f t="shared" si="51"/>
        <v>-8.9650750692354985E-4</v>
      </c>
      <c r="O138" s="422">
        <f t="shared" si="52"/>
        <v>-8.9741167410856942E-2</v>
      </c>
      <c r="P138" s="365">
        <f t="shared" si="53"/>
        <v>-9.0637674917780492E-2</v>
      </c>
      <c r="S138" s="366"/>
      <c r="T138" s="193"/>
      <c r="U138" s="366"/>
      <c r="V138" s="193"/>
      <c r="W138" s="366"/>
      <c r="X138" s="366"/>
      <c r="Y138" s="503"/>
      <c r="Z138" s="366"/>
      <c r="AA138" s="520">
        <f t="shared" si="54"/>
        <v>-5.1892201618174323E-4</v>
      </c>
      <c r="AB138" s="496"/>
      <c r="AC138" s="521">
        <f t="shared" si="55"/>
        <v>-3.0467680293809453E-2</v>
      </c>
      <c r="AD138" s="497"/>
      <c r="AE138" s="522">
        <f t="shared" si="56"/>
        <v>-3.0986602309991194E-2</v>
      </c>
      <c r="AG138" s="531">
        <f t="shared" si="57"/>
        <v>1.7083852384584139E-6</v>
      </c>
      <c r="AH138" s="221" t="str">
        <f t="shared" si="58"/>
        <v>NO</v>
      </c>
      <c r="AI138" s="532">
        <f t="shared" si="59"/>
        <v>1.0030512030883768E-4</v>
      </c>
      <c r="AJ138" s="221" t="str">
        <f t="shared" ref="AJ138:AJ201" si="62">IF(AND(ABS(AI137)&gt;ABS(AI138),(ABS(AI139)&gt;(ABS(AI138)))),G138,"NO")</f>
        <v>NO</v>
      </c>
      <c r="AK138" s="533">
        <f>IF('IN-OUT'!$F$35=0,AG138,IF('IN-OUT'!$F$26=0,'transversal subsidence profile'!AI138,'transversal subsidence profile'!AG138+'transversal subsidence profile'!AI138))</f>
        <v>1.0201350554729608E-4</v>
      </c>
      <c r="AL138" s="513">
        <f t="shared" ref="AL138:AL201" si="63">IF(AND(ABS(AK137)&gt;ABS(AK138),(ABS(AK139)&gt;(ABS(AK138))),(AK137*AK139)&lt;0),G138,1000)</f>
        <v>1000</v>
      </c>
    </row>
    <row r="139" spans="1:38">
      <c r="A139" s="542">
        <f t="shared" si="60"/>
        <v>-17.75</v>
      </c>
      <c r="B139" s="363">
        <f t="shared" ref="B139:B202" si="64">+$L$5*EXP(-(A139^2)/(2*$J$5^2))</f>
        <v>8.2490869420467786E-4</v>
      </c>
      <c r="C139" s="543">
        <f t="shared" ref="C139:C202" si="65">+$L$5*A139/$B$5*EXP(-(A139^2)/(2*$J$5^2))</f>
        <v>-9.7614195480886883E-4</v>
      </c>
      <c r="D139" s="542">
        <f t="shared" si="61"/>
        <v>-17.75</v>
      </c>
      <c r="E139" s="363">
        <f t="shared" ref="E139:E202" si="66">+$L$6*EXP(-(D139^2)/(2*$J$6^2))</f>
        <v>8.2490869420467786E-4</v>
      </c>
      <c r="F139" s="543">
        <f t="shared" ref="F139:F202" si="67">+$L$6*D139/$F$5*EXP(-(D139^2)/(2*$J$6^2))</f>
        <v>-9.7614195480886883E-4</v>
      </c>
      <c r="G139" s="548">
        <f t="shared" ref="G139:G202" si="68">IF(OR($F$5=0,$F$6=0),D139,D139-$D$2)</f>
        <v>-27.75</v>
      </c>
      <c r="H139" s="363">
        <f t="shared" ref="H139:H202" si="69">+$L$5*EXP(-(G139^2)/(2*$J$5^2))</f>
        <v>5.596444117736857E-6</v>
      </c>
      <c r="I139" s="363">
        <f t="shared" ref="I139:I202" si="70">+$L$5*G139/$B$5*EXP(-(G139^2)/(2*$J$5^2))</f>
        <v>-1.0353421617813186E-5</v>
      </c>
      <c r="J139" s="364">
        <f t="shared" ref="J139:J202" si="71">+H139+B139</f>
        <v>8.3050513832241477E-4</v>
      </c>
      <c r="K139" s="194">
        <f t="shared" ref="K139:K202" si="72">+H139*100</f>
        <v>5.5964441177368566E-4</v>
      </c>
      <c r="L139" s="646">
        <f t="shared" ref="L139:L202" si="73">+E139*100</f>
        <v>8.249086942046778E-2</v>
      </c>
      <c r="M139" s="365">
        <f t="shared" ref="M139:M202" si="74">+IF(OR($B$5=0,$B$6=0),L139,IF(OR($F$5=0,$F$6=0),K139,K139+L139))</f>
        <v>8.3050513832241463E-2</v>
      </c>
      <c r="N139" s="194">
        <f t="shared" ref="N139:N202" si="75">+I139*100</f>
        <v>-1.0353421617813187E-3</v>
      </c>
      <c r="O139" s="422">
        <f t="shared" ref="O139:O202" si="76">+F139*100</f>
        <v>-9.7614195480886887E-2</v>
      </c>
      <c r="P139" s="365">
        <f t="shared" ref="P139:P202" si="77">+IF(OR($B$5=0,$B$6=0),O139,IF(OR($F$5=0,$F$6=0),N139,N139+O139))</f>
        <v>-9.8649537642668206E-2</v>
      </c>
      <c r="S139" s="366"/>
      <c r="T139" s="193"/>
      <c r="U139" s="366"/>
      <c r="V139" s="193"/>
      <c r="W139" s="366"/>
      <c r="X139" s="366"/>
      <c r="Y139" s="503"/>
      <c r="Z139" s="366"/>
      <c r="AA139" s="520">
        <f t="shared" ref="AA139:AA202" si="78">($L$5/$B$5)*(1-((G139^2)/(($J$5)^2)))*EXP(-(G139^2)/(2*(($J$5)^2)))*100</f>
        <v>-5.9326913774856559E-4</v>
      </c>
      <c r="AB139" s="496"/>
      <c r="AC139" s="521">
        <f t="shared" ref="AC139:AC202" si="79">($L$6/$F$5)*(1-D139^2/(($J$6)^2))*EXP(-(D139^2)/(2*(($J$6)^2)))*100</f>
        <v>-3.2528635477005678E-2</v>
      </c>
      <c r="AD139" s="497"/>
      <c r="AE139" s="522">
        <f t="shared" ref="AE139:AE202" si="80">AA139+AC139</f>
        <v>-3.3121904614754241E-2</v>
      </c>
      <c r="AG139" s="531">
        <f t="shared" ref="AG139:AG202" si="81">($L$5*(1/(($J$5)^2))*(EXP(-(G139^2/(2*$J$5^2))))*((G139^2/($J$5^2))-1))</f>
        <v>1.9531494246866355E-6</v>
      </c>
      <c r="AH139" s="221" t="str">
        <f t="shared" ref="AH139:AH202" si="82">IF(AND(ABS(AG138)&gt;ABS(AG139),(ABS(AG140)&gt;(ABS(AG139)))),G139,"NO")</f>
        <v>NO</v>
      </c>
      <c r="AI139" s="532">
        <f t="shared" ref="AI139:AI202" si="83">($L$6*(1/(($J$6)^2))*(EXP(-((D139)^2/(2*$J$6^2))))*(((D139)^2/($J$6^2))-1))</f>
        <v>1.0709015794898989E-4</v>
      </c>
      <c r="AJ139" s="221" t="str">
        <f t="shared" si="62"/>
        <v>NO</v>
      </c>
      <c r="AK139" s="533">
        <f>IF('IN-OUT'!$F$35=0,AG139,IF('IN-OUT'!$F$26=0,'transversal subsidence profile'!AI139,'transversal subsidence profile'!AG139+'transversal subsidence profile'!AI139))</f>
        <v>1.0904330737367653E-4</v>
      </c>
      <c r="AL139" s="513">
        <f t="shared" si="63"/>
        <v>1000</v>
      </c>
    </row>
    <row r="140" spans="1:38">
      <c r="A140" s="542">
        <f t="shared" ref="A140:A203" si="84">A139+0.25</f>
        <v>-17.5</v>
      </c>
      <c r="B140" s="363">
        <f t="shared" si="64"/>
        <v>9.0866866742590074E-4</v>
      </c>
      <c r="C140" s="543">
        <f t="shared" si="65"/>
        <v>-1.0601134453302175E-3</v>
      </c>
      <c r="D140" s="542">
        <f t="shared" ref="D140:D203" si="85">D139+0.25</f>
        <v>-17.5</v>
      </c>
      <c r="E140" s="363">
        <f t="shared" si="66"/>
        <v>9.0866866742590074E-4</v>
      </c>
      <c r="F140" s="543">
        <f t="shared" si="67"/>
        <v>-1.0601134453302175E-3</v>
      </c>
      <c r="G140" s="548">
        <f t="shared" si="68"/>
        <v>-27.5</v>
      </c>
      <c r="H140" s="363">
        <f t="shared" si="69"/>
        <v>6.5124056569019646E-6</v>
      </c>
      <c r="I140" s="363">
        <f t="shared" si="70"/>
        <v>-1.1939410370986936E-5</v>
      </c>
      <c r="J140" s="364">
        <f t="shared" si="71"/>
        <v>9.1518107308280266E-4</v>
      </c>
      <c r="K140" s="194">
        <f t="shared" si="72"/>
        <v>6.5124056569019649E-4</v>
      </c>
      <c r="L140" s="646">
        <f t="shared" si="73"/>
        <v>9.0866866742590077E-2</v>
      </c>
      <c r="M140" s="365">
        <f t="shared" si="74"/>
        <v>9.1518107308280278E-2</v>
      </c>
      <c r="N140" s="194">
        <f t="shared" si="75"/>
        <v>-1.1939410370986937E-3</v>
      </c>
      <c r="O140" s="422">
        <f t="shared" si="76"/>
        <v>-0.10601134453302175</v>
      </c>
      <c r="P140" s="365">
        <f t="shared" si="77"/>
        <v>-0.10720528557012043</v>
      </c>
      <c r="S140" s="366"/>
      <c r="T140" s="193"/>
      <c r="U140" s="366"/>
      <c r="V140" s="193"/>
      <c r="W140" s="366"/>
      <c r="X140" s="366"/>
      <c r="Y140" s="503"/>
      <c r="Z140" s="366"/>
      <c r="AA140" s="520">
        <f t="shared" si="78"/>
        <v>-6.7720681046760163E-4</v>
      </c>
      <c r="AB140" s="496"/>
      <c r="AC140" s="521">
        <f t="shared" si="79"/>
        <v>-3.4659872078952277E-2</v>
      </c>
      <c r="AD140" s="497"/>
      <c r="AE140" s="522">
        <f t="shared" si="80"/>
        <v>-3.5337078889419879E-2</v>
      </c>
      <c r="AG140" s="531">
        <f t="shared" si="81"/>
        <v>2.2294874418686472E-6</v>
      </c>
      <c r="AH140" s="221" t="str">
        <f t="shared" si="82"/>
        <v>NO</v>
      </c>
      <c r="AI140" s="532">
        <f t="shared" si="83"/>
        <v>1.1410657474552191E-4</v>
      </c>
      <c r="AJ140" s="221" t="str">
        <f t="shared" si="62"/>
        <v>NO</v>
      </c>
      <c r="AK140" s="533">
        <f>IF('IN-OUT'!$F$35=0,AG140,IF('IN-OUT'!$F$26=0,'transversal subsidence profile'!AI140,'transversal subsidence profile'!AG140+'transversal subsidence profile'!AI140))</f>
        <v>1.1633606218739055E-4</v>
      </c>
      <c r="AL140" s="513">
        <f t="shared" si="63"/>
        <v>1000</v>
      </c>
    </row>
    <row r="141" spans="1:38">
      <c r="A141" s="542">
        <f t="shared" si="84"/>
        <v>-17.25</v>
      </c>
      <c r="B141" s="363">
        <f t="shared" si="64"/>
        <v>9.9956141948862151E-4</v>
      </c>
      <c r="C141" s="543">
        <f t="shared" si="65"/>
        <v>-1.1494956324119149E-3</v>
      </c>
      <c r="D141" s="542">
        <f t="shared" si="85"/>
        <v>-17.25</v>
      </c>
      <c r="E141" s="363">
        <f t="shared" si="66"/>
        <v>9.9956141948862151E-4</v>
      </c>
      <c r="F141" s="543">
        <f t="shared" si="67"/>
        <v>-1.1494956324119149E-3</v>
      </c>
      <c r="G141" s="548">
        <f t="shared" si="68"/>
        <v>-27.25</v>
      </c>
      <c r="H141" s="363">
        <f t="shared" si="69"/>
        <v>7.5678929141453698E-6</v>
      </c>
      <c r="I141" s="363">
        <f t="shared" si="70"/>
        <v>-1.3748338794030754E-5</v>
      </c>
      <c r="J141" s="364">
        <f t="shared" si="71"/>
        <v>1.0071293124027669E-3</v>
      </c>
      <c r="K141" s="194">
        <f t="shared" si="72"/>
        <v>7.5678929141453693E-4</v>
      </c>
      <c r="L141" s="646">
        <f t="shared" si="73"/>
        <v>9.9956141948862154E-2</v>
      </c>
      <c r="M141" s="365">
        <f t="shared" si="74"/>
        <v>0.10071293124027669</v>
      </c>
      <c r="N141" s="194">
        <f t="shared" si="75"/>
        <v>-1.3748338794030753E-3</v>
      </c>
      <c r="O141" s="422">
        <f t="shared" si="76"/>
        <v>-0.11494956324119149</v>
      </c>
      <c r="P141" s="365">
        <f t="shared" si="77"/>
        <v>-0.11632439712059456</v>
      </c>
      <c r="S141" s="366"/>
      <c r="T141" s="193"/>
      <c r="U141" s="366"/>
      <c r="V141" s="193"/>
      <c r="W141" s="366"/>
      <c r="X141" s="366"/>
      <c r="Y141" s="503"/>
      <c r="Z141" s="366"/>
      <c r="AA141" s="520">
        <f t="shared" si="78"/>
        <v>-7.7180742367214598E-4</v>
      </c>
      <c r="AB141" s="496"/>
      <c r="AC141" s="521">
        <f t="shared" si="79"/>
        <v>-3.6856256455218304E-2</v>
      </c>
      <c r="AD141" s="497"/>
      <c r="AE141" s="522">
        <f t="shared" si="80"/>
        <v>-3.762806387889045E-2</v>
      </c>
      <c r="AG141" s="531">
        <f t="shared" si="81"/>
        <v>2.5409297898671471E-6</v>
      </c>
      <c r="AH141" s="221" t="str">
        <f t="shared" si="82"/>
        <v>NO</v>
      </c>
      <c r="AI141" s="532">
        <f t="shared" si="83"/>
        <v>1.2133746981141829E-4</v>
      </c>
      <c r="AJ141" s="221" t="str">
        <f t="shared" si="62"/>
        <v>NO</v>
      </c>
      <c r="AK141" s="533">
        <f>IF('IN-OUT'!$F$35=0,AG141,IF('IN-OUT'!$F$26=0,'transversal subsidence profile'!AI141,'transversal subsidence profile'!AG141+'transversal subsidence profile'!AI141))</f>
        <v>1.2387839960128545E-4</v>
      </c>
      <c r="AL141" s="513">
        <f t="shared" si="63"/>
        <v>1000</v>
      </c>
    </row>
    <row r="142" spans="1:38">
      <c r="A142" s="542">
        <f t="shared" si="84"/>
        <v>-17</v>
      </c>
      <c r="B142" s="363">
        <f t="shared" si="64"/>
        <v>1.0980387764468608E-3</v>
      </c>
      <c r="C142" s="543">
        <f t="shared" si="65"/>
        <v>-1.2444439466397755E-3</v>
      </c>
      <c r="D142" s="542">
        <f t="shared" si="85"/>
        <v>-17</v>
      </c>
      <c r="E142" s="363">
        <f t="shared" si="66"/>
        <v>1.0980387764468608E-3</v>
      </c>
      <c r="F142" s="543">
        <f t="shared" si="67"/>
        <v>-1.2444439466397755E-3</v>
      </c>
      <c r="G142" s="548">
        <f t="shared" si="68"/>
        <v>-27</v>
      </c>
      <c r="H142" s="363">
        <f t="shared" si="69"/>
        <v>8.7823910614371457E-6</v>
      </c>
      <c r="I142" s="363">
        <f t="shared" si="70"/>
        <v>-1.5808303910586863E-5</v>
      </c>
      <c r="J142" s="364">
        <f t="shared" si="71"/>
        <v>1.1068211675082978E-3</v>
      </c>
      <c r="K142" s="194">
        <f t="shared" si="72"/>
        <v>8.7823910614371454E-4</v>
      </c>
      <c r="L142" s="646">
        <f t="shared" si="73"/>
        <v>0.10980387764468608</v>
      </c>
      <c r="M142" s="365">
        <f t="shared" si="74"/>
        <v>0.11068211675082978</v>
      </c>
      <c r="N142" s="194">
        <f t="shared" si="75"/>
        <v>-1.5808303910586864E-3</v>
      </c>
      <c r="O142" s="422">
        <f t="shared" si="76"/>
        <v>-0.12444439466397755</v>
      </c>
      <c r="P142" s="365">
        <f t="shared" si="77"/>
        <v>-0.12602522505503624</v>
      </c>
      <c r="S142" s="366"/>
      <c r="T142" s="193"/>
      <c r="U142" s="366"/>
      <c r="V142" s="193"/>
      <c r="W142" s="366"/>
      <c r="X142" s="366"/>
      <c r="Y142" s="503"/>
      <c r="Z142" s="366"/>
      <c r="AA142" s="520">
        <f t="shared" si="78"/>
        <v>-8.7823910614371454E-4</v>
      </c>
      <c r="AB142" s="496"/>
      <c r="AC142" s="521">
        <f t="shared" si="79"/>
        <v>-3.9111669266214198E-2</v>
      </c>
      <c r="AD142" s="497"/>
      <c r="AE142" s="522">
        <f t="shared" si="80"/>
        <v>-3.9989908372357913E-2</v>
      </c>
      <c r="AG142" s="531">
        <f t="shared" si="81"/>
        <v>2.8913221601439161E-6</v>
      </c>
      <c r="AH142" s="221" t="str">
        <f t="shared" si="82"/>
        <v>NO</v>
      </c>
      <c r="AI142" s="532">
        <f t="shared" si="83"/>
        <v>1.2876269717272164E-4</v>
      </c>
      <c r="AJ142" s="221" t="str">
        <f t="shared" si="62"/>
        <v>NO</v>
      </c>
      <c r="AK142" s="533">
        <f>IF('IN-OUT'!$F$35=0,AG142,IF('IN-OUT'!$F$26=0,'transversal subsidence profile'!AI142,'transversal subsidence profile'!AG142+'transversal subsidence profile'!AI142))</f>
        <v>1.3165401933286556E-4</v>
      </c>
      <c r="AL142" s="513">
        <f t="shared" si="63"/>
        <v>1000</v>
      </c>
    </row>
    <row r="143" spans="1:38">
      <c r="A143" s="542">
        <f t="shared" si="84"/>
        <v>-16.75</v>
      </c>
      <c r="B143" s="363">
        <f t="shared" si="64"/>
        <v>1.204564692431735E-3</v>
      </c>
      <c r="C143" s="543">
        <f t="shared" si="65"/>
        <v>-1.3450972398821042E-3</v>
      </c>
      <c r="D143" s="542">
        <f t="shared" si="85"/>
        <v>-16.75</v>
      </c>
      <c r="E143" s="363">
        <f t="shared" si="66"/>
        <v>1.204564692431735E-3</v>
      </c>
      <c r="F143" s="543">
        <f t="shared" si="67"/>
        <v>-1.3450972398821042E-3</v>
      </c>
      <c r="G143" s="548">
        <f t="shared" si="68"/>
        <v>-26.75</v>
      </c>
      <c r="H143" s="363">
        <f t="shared" si="69"/>
        <v>1.0177821377228691E-5</v>
      </c>
      <c r="I143" s="363">
        <f t="shared" si="70"/>
        <v>-1.8150448122724499E-5</v>
      </c>
      <c r="J143" s="364">
        <f t="shared" si="71"/>
        <v>1.2147425138089637E-3</v>
      </c>
      <c r="K143" s="194">
        <f t="shared" si="72"/>
        <v>1.0177821377228692E-3</v>
      </c>
      <c r="L143" s="646">
        <f t="shared" si="73"/>
        <v>0.12045646924317349</v>
      </c>
      <c r="M143" s="365">
        <f t="shared" si="74"/>
        <v>0.12147425138089636</v>
      </c>
      <c r="N143" s="194">
        <f t="shared" si="75"/>
        <v>-1.8150448122724499E-3</v>
      </c>
      <c r="O143" s="422">
        <f t="shared" si="76"/>
        <v>-0.13450972398821043</v>
      </c>
      <c r="P143" s="365">
        <f t="shared" si="77"/>
        <v>-0.13632476880048289</v>
      </c>
      <c r="S143" s="366"/>
      <c r="T143" s="193"/>
      <c r="U143" s="366"/>
      <c r="V143" s="193"/>
      <c r="W143" s="366"/>
      <c r="X143" s="366"/>
      <c r="Y143" s="503"/>
      <c r="Z143" s="366"/>
      <c r="AA143" s="520">
        <f t="shared" si="78"/>
        <v>-9.9777087484125807E-4</v>
      </c>
      <c r="AB143" s="496"/>
      <c r="AC143" s="521">
        <f t="shared" si="79"/>
        <v>-4.1418959703185397E-2</v>
      </c>
      <c r="AD143" s="497"/>
      <c r="AE143" s="522">
        <f t="shared" si="80"/>
        <v>-4.2416730578026654E-2</v>
      </c>
      <c r="AG143" s="531">
        <f t="shared" si="81"/>
        <v>3.2848423863086682E-6</v>
      </c>
      <c r="AH143" s="221" t="str">
        <f t="shared" si="82"/>
        <v>NO</v>
      </c>
      <c r="AI143" s="532">
        <f t="shared" si="83"/>
        <v>1.3635871507221531E-4</v>
      </c>
      <c r="AJ143" s="221" t="str">
        <f t="shared" si="62"/>
        <v>NO</v>
      </c>
      <c r="AK143" s="533">
        <f>IF('IN-OUT'!$F$35=0,AG143,IF('IN-OUT'!$F$26=0,'transversal subsidence profile'!AI143,'transversal subsidence profile'!AG143+'transversal subsidence profile'!AI143))</f>
        <v>1.3964355745852398E-4</v>
      </c>
      <c r="AL143" s="513">
        <f t="shared" si="63"/>
        <v>1000</v>
      </c>
    </row>
    <row r="144" spans="1:38">
      <c r="A144" s="542">
        <f t="shared" si="84"/>
        <v>-16.5</v>
      </c>
      <c r="B144" s="363">
        <f t="shared" si="64"/>
        <v>1.3196137776058507E-3</v>
      </c>
      <c r="C144" s="543">
        <f t="shared" si="65"/>
        <v>-1.4515751553664357E-3</v>
      </c>
      <c r="D144" s="542">
        <f t="shared" si="85"/>
        <v>-16.5</v>
      </c>
      <c r="E144" s="363">
        <f t="shared" si="66"/>
        <v>1.3196137776058507E-3</v>
      </c>
      <c r="F144" s="543">
        <f t="shared" si="67"/>
        <v>-1.4515751553664357E-3</v>
      </c>
      <c r="G144" s="548">
        <f t="shared" si="68"/>
        <v>-26.5</v>
      </c>
      <c r="H144" s="363">
        <f t="shared" si="69"/>
        <v>1.1778802445756498E-5</v>
      </c>
      <c r="I144" s="363">
        <f t="shared" si="70"/>
        <v>-2.0809217654169814E-5</v>
      </c>
      <c r="J144" s="364">
        <f t="shared" si="71"/>
        <v>1.3313925800516073E-3</v>
      </c>
      <c r="K144" s="194">
        <f t="shared" si="72"/>
        <v>1.1778802445756497E-3</v>
      </c>
      <c r="L144" s="646">
        <f t="shared" si="73"/>
        <v>0.13196137776058506</v>
      </c>
      <c r="M144" s="365">
        <f t="shared" si="74"/>
        <v>0.13313925800516072</v>
      </c>
      <c r="N144" s="194">
        <f t="shared" si="75"/>
        <v>-2.0809217654169814E-3</v>
      </c>
      <c r="O144" s="422">
        <f t="shared" si="76"/>
        <v>-0.14515751553664358</v>
      </c>
      <c r="P144" s="365">
        <f t="shared" si="77"/>
        <v>-0.14723843730206057</v>
      </c>
      <c r="S144" s="366"/>
      <c r="T144" s="193"/>
      <c r="U144" s="366"/>
      <c r="V144" s="193"/>
      <c r="W144" s="366"/>
      <c r="X144" s="366"/>
      <c r="Y144" s="503"/>
      <c r="Z144" s="366"/>
      <c r="AA144" s="520">
        <f t="shared" si="78"/>
        <v>-1.1317775701651903E-3</v>
      </c>
      <c r="AB144" s="496"/>
      <c r="AC144" s="521">
        <f t="shared" si="79"/>
        <v>-4.3769905545280471E-2</v>
      </c>
      <c r="AD144" s="497"/>
      <c r="AE144" s="522">
        <f t="shared" si="80"/>
        <v>-4.4901683115445665E-2</v>
      </c>
      <c r="AG144" s="531">
        <f t="shared" si="81"/>
        <v>3.7260166919018598E-6</v>
      </c>
      <c r="AH144" s="221" t="str">
        <f t="shared" si="82"/>
        <v>NO</v>
      </c>
      <c r="AI144" s="532">
        <f t="shared" si="83"/>
        <v>1.4409845447005916E-4</v>
      </c>
      <c r="AJ144" s="221" t="str">
        <f t="shared" si="62"/>
        <v>NO</v>
      </c>
      <c r="AK144" s="533">
        <f>IF('IN-OUT'!$F$35=0,AG144,IF('IN-OUT'!$F$26=0,'transversal subsidence profile'!AI144,'transversal subsidence profile'!AG144+'transversal subsidence profile'!AI144))</f>
        <v>1.4782447116196102E-4</v>
      </c>
      <c r="AL144" s="513">
        <f t="shared" si="63"/>
        <v>1000</v>
      </c>
    </row>
    <row r="145" spans="1:38">
      <c r="A145" s="542">
        <f t="shared" si="84"/>
        <v>-16.25</v>
      </c>
      <c r="B145" s="363">
        <f t="shared" si="64"/>
        <v>1.4436696057802179E-3</v>
      </c>
      <c r="C145" s="543">
        <f t="shared" si="65"/>
        <v>-1.5639754062619028E-3</v>
      </c>
      <c r="D145" s="542">
        <f t="shared" si="85"/>
        <v>-16.25</v>
      </c>
      <c r="E145" s="363">
        <f t="shared" si="66"/>
        <v>1.4436696057802179E-3</v>
      </c>
      <c r="F145" s="543">
        <f t="shared" si="67"/>
        <v>-1.5639754062619028E-3</v>
      </c>
      <c r="G145" s="548">
        <f t="shared" si="68"/>
        <v>-26.25</v>
      </c>
      <c r="H145" s="363">
        <f t="shared" si="69"/>
        <v>1.3612933125479041E-5</v>
      </c>
      <c r="I145" s="363">
        <f t="shared" si="70"/>
        <v>-2.3822632969588324E-5</v>
      </c>
      <c r="J145" s="364">
        <f t="shared" si="71"/>
        <v>1.457282538905697E-3</v>
      </c>
      <c r="K145" s="194">
        <f t="shared" si="72"/>
        <v>1.361293312547904E-3</v>
      </c>
      <c r="L145" s="646">
        <f t="shared" si="73"/>
        <v>0.14436696057802179</v>
      </c>
      <c r="M145" s="365">
        <f t="shared" si="74"/>
        <v>0.1457282538905697</v>
      </c>
      <c r="N145" s="194">
        <f t="shared" si="75"/>
        <v>-2.3822632969588324E-3</v>
      </c>
      <c r="O145" s="422">
        <f t="shared" si="76"/>
        <v>-0.15639754062619027</v>
      </c>
      <c r="P145" s="365">
        <f t="shared" si="77"/>
        <v>-0.15877980392314911</v>
      </c>
      <c r="S145" s="366"/>
      <c r="T145" s="193"/>
      <c r="U145" s="366"/>
      <c r="V145" s="193"/>
      <c r="W145" s="366"/>
      <c r="X145" s="366"/>
      <c r="Y145" s="503"/>
      <c r="Z145" s="366"/>
      <c r="AA145" s="520">
        <f t="shared" si="78"/>
        <v>-1.28174448523029E-3</v>
      </c>
      <c r="AB145" s="496"/>
      <c r="AC145" s="521">
        <f t="shared" si="79"/>
        <v>-4.6155180080545415E-2</v>
      </c>
      <c r="AD145" s="497"/>
      <c r="AE145" s="522">
        <f t="shared" si="80"/>
        <v>-4.7436924565775702E-2</v>
      </c>
      <c r="AG145" s="531">
        <f t="shared" si="81"/>
        <v>4.2197349307993085E-6</v>
      </c>
      <c r="AH145" s="221" t="str">
        <f t="shared" si="82"/>
        <v>NO</v>
      </c>
      <c r="AI145" s="532">
        <f t="shared" si="83"/>
        <v>1.519512101417133E-4</v>
      </c>
      <c r="AJ145" s="221" t="str">
        <f t="shared" si="62"/>
        <v>NO</v>
      </c>
      <c r="AK145" s="533">
        <f>IF('IN-OUT'!$F$35=0,AG145,IF('IN-OUT'!$F$26=0,'transversal subsidence profile'!AI145,'transversal subsidence profile'!AG145+'transversal subsidence profile'!AI145))</f>
        <v>1.5617094507251262E-4</v>
      </c>
      <c r="AL145" s="513">
        <f t="shared" si="63"/>
        <v>1000</v>
      </c>
    </row>
    <row r="146" spans="1:38">
      <c r="A146" s="542">
        <f t="shared" si="84"/>
        <v>-16</v>
      </c>
      <c r="B146" s="363">
        <f t="shared" si="64"/>
        <v>1.5772227949052372E-3</v>
      </c>
      <c r="C146" s="543">
        <f t="shared" si="65"/>
        <v>-1.6823709812322529E-3</v>
      </c>
      <c r="D146" s="542">
        <f t="shared" si="85"/>
        <v>-16</v>
      </c>
      <c r="E146" s="363">
        <f t="shared" si="66"/>
        <v>1.5772227949052372E-3</v>
      </c>
      <c r="F146" s="543">
        <f t="shared" si="67"/>
        <v>-1.6823709812322529E-3</v>
      </c>
      <c r="G146" s="548">
        <f t="shared" si="68"/>
        <v>-26</v>
      </c>
      <c r="H146" s="363">
        <f t="shared" si="69"/>
        <v>1.5711098237402173E-5</v>
      </c>
      <c r="I146" s="363">
        <f t="shared" si="70"/>
        <v>-2.7232570278163765E-5</v>
      </c>
      <c r="J146" s="364">
        <f t="shared" si="71"/>
        <v>1.5929338931426394E-3</v>
      </c>
      <c r="K146" s="194">
        <f t="shared" si="72"/>
        <v>1.5711098237402173E-3</v>
      </c>
      <c r="L146" s="646">
        <f t="shared" si="73"/>
        <v>0.15772227949052373</v>
      </c>
      <c r="M146" s="365">
        <f t="shared" si="74"/>
        <v>0.15929338931426396</v>
      </c>
      <c r="N146" s="194">
        <f t="shared" si="75"/>
        <v>-2.7232570278163766E-3</v>
      </c>
      <c r="O146" s="422">
        <f t="shared" si="76"/>
        <v>-0.16823709812322529</v>
      </c>
      <c r="P146" s="365">
        <f t="shared" si="77"/>
        <v>-0.17096035515104166</v>
      </c>
      <c r="S146" s="366"/>
      <c r="T146" s="193"/>
      <c r="U146" s="366"/>
      <c r="V146" s="193"/>
      <c r="W146" s="366"/>
      <c r="X146" s="366"/>
      <c r="Y146" s="503"/>
      <c r="Z146" s="366"/>
      <c r="AA146" s="520">
        <f t="shared" si="78"/>
        <v>-1.4492715859229601E-3</v>
      </c>
      <c r="AB146" s="496"/>
      <c r="AC146" s="521">
        <f t="shared" si="79"/>
        <v>-4.8564326935948178E-2</v>
      </c>
      <c r="AD146" s="497"/>
      <c r="AE146" s="522">
        <f t="shared" si="80"/>
        <v>-5.0013598521871136E-2</v>
      </c>
      <c r="AG146" s="531">
        <f t="shared" si="81"/>
        <v>4.7712644804048075E-6</v>
      </c>
      <c r="AH146" s="221" t="str">
        <f t="shared" si="82"/>
        <v>NO</v>
      </c>
      <c r="AI146" s="532">
        <f t="shared" si="83"/>
        <v>1.5988255781382115E-4</v>
      </c>
      <c r="AJ146" s="221" t="str">
        <f t="shared" si="62"/>
        <v>NO</v>
      </c>
      <c r="AK146" s="533">
        <f>IF('IN-OUT'!$F$35=0,AG146,IF('IN-OUT'!$F$26=0,'transversal subsidence profile'!AI146,'transversal subsidence profile'!AG146+'transversal subsidence profile'!AI146))</f>
        <v>1.6465382229422597E-4</v>
      </c>
      <c r="AL146" s="513">
        <f t="shared" si="63"/>
        <v>1000</v>
      </c>
    </row>
    <row r="147" spans="1:38">
      <c r="A147" s="542">
        <f t="shared" si="84"/>
        <v>-15.75</v>
      </c>
      <c r="B147" s="363">
        <f t="shared" si="64"/>
        <v>1.720768855274655E-3</v>
      </c>
      <c r="C147" s="543">
        <f t="shared" si="65"/>
        <v>-1.8068072980383879E-3</v>
      </c>
      <c r="D147" s="542">
        <f t="shared" si="85"/>
        <v>-15.75</v>
      </c>
      <c r="E147" s="363">
        <f t="shared" si="66"/>
        <v>1.720768855274655E-3</v>
      </c>
      <c r="F147" s="543">
        <f t="shared" si="67"/>
        <v>-1.8068072980383879E-3</v>
      </c>
      <c r="G147" s="548">
        <f t="shared" si="68"/>
        <v>-25.75</v>
      </c>
      <c r="H147" s="363">
        <f t="shared" si="69"/>
        <v>1.8107797839661258E-5</v>
      </c>
      <c r="I147" s="363">
        <f t="shared" si="70"/>
        <v>-3.108505295808516E-5</v>
      </c>
      <c r="J147" s="364">
        <f t="shared" si="71"/>
        <v>1.7388766531143162E-3</v>
      </c>
      <c r="K147" s="194">
        <f t="shared" si="72"/>
        <v>1.8107797839661257E-3</v>
      </c>
      <c r="L147" s="646">
        <f t="shared" si="73"/>
        <v>0.1720768855274655</v>
      </c>
      <c r="M147" s="365">
        <f t="shared" si="74"/>
        <v>0.17388766531143163</v>
      </c>
      <c r="N147" s="194">
        <f t="shared" si="75"/>
        <v>-3.1085052958085158E-3</v>
      </c>
      <c r="O147" s="422">
        <f t="shared" si="76"/>
        <v>-0.18068072980383879</v>
      </c>
      <c r="P147" s="365">
        <f t="shared" si="77"/>
        <v>-0.18378923509964731</v>
      </c>
      <c r="S147" s="366"/>
      <c r="T147" s="193"/>
      <c r="U147" s="366"/>
      <c r="V147" s="193"/>
      <c r="W147" s="366"/>
      <c r="X147" s="366"/>
      <c r="Y147" s="503"/>
      <c r="Z147" s="366"/>
      <c r="AA147" s="520">
        <f t="shared" si="78"/>
        <v>-1.6360772076438341E-3</v>
      </c>
      <c r="AB147" s="496"/>
      <c r="AC147" s="521">
        <f t="shared" si="79"/>
        <v>-5.0985743859989781E-2</v>
      </c>
      <c r="AD147" s="497"/>
      <c r="AE147" s="522">
        <f t="shared" si="80"/>
        <v>-5.2621821067633613E-2</v>
      </c>
      <c r="AG147" s="531">
        <f t="shared" si="81"/>
        <v>5.3862624119961604E-6</v>
      </c>
      <c r="AH147" s="221" t="str">
        <f t="shared" si="82"/>
        <v>NO</v>
      </c>
      <c r="AI147" s="532">
        <f t="shared" si="83"/>
        <v>1.678543007736289E-4</v>
      </c>
      <c r="AJ147" s="221" t="str">
        <f t="shared" si="62"/>
        <v>NO</v>
      </c>
      <c r="AK147" s="533">
        <f>IF('IN-OUT'!$F$35=0,AG147,IF('IN-OUT'!$F$26=0,'transversal subsidence profile'!AI147,'transversal subsidence profile'!AG147+'transversal subsidence profile'!AI147))</f>
        <v>1.7324056318562505E-4</v>
      </c>
      <c r="AL147" s="513">
        <f t="shared" si="63"/>
        <v>1000</v>
      </c>
    </row>
    <row r="148" spans="1:38">
      <c r="A148" s="542">
        <f t="shared" si="84"/>
        <v>-15.5</v>
      </c>
      <c r="B148" s="363">
        <f t="shared" si="64"/>
        <v>1.8748058021232075E-3</v>
      </c>
      <c r="C148" s="543">
        <f t="shared" si="65"/>
        <v>-1.9372993288606474E-3</v>
      </c>
      <c r="D148" s="542">
        <f t="shared" si="85"/>
        <v>-15.5</v>
      </c>
      <c r="E148" s="363">
        <f t="shared" si="66"/>
        <v>1.8748058021232075E-3</v>
      </c>
      <c r="F148" s="543">
        <f t="shared" si="67"/>
        <v>-1.9372993288606474E-3</v>
      </c>
      <c r="G148" s="548">
        <f t="shared" si="68"/>
        <v>-25.5</v>
      </c>
      <c r="H148" s="363">
        <f t="shared" si="69"/>
        <v>2.0841500846863253E-5</v>
      </c>
      <c r="I148" s="363">
        <f t="shared" si="70"/>
        <v>-3.5430551439667534E-5</v>
      </c>
      <c r="J148" s="364">
        <f t="shared" si="71"/>
        <v>1.8956473029700708E-3</v>
      </c>
      <c r="K148" s="194">
        <f t="shared" si="72"/>
        <v>2.0841500846863251E-3</v>
      </c>
      <c r="L148" s="646">
        <f t="shared" si="73"/>
        <v>0.18748058021232075</v>
      </c>
      <c r="M148" s="365">
        <f t="shared" si="74"/>
        <v>0.18956473029700707</v>
      </c>
      <c r="N148" s="194">
        <f t="shared" si="75"/>
        <v>-3.5430551439667533E-3</v>
      </c>
      <c r="O148" s="422">
        <f t="shared" si="76"/>
        <v>-0.19372993288606474</v>
      </c>
      <c r="P148" s="365">
        <f t="shared" si="77"/>
        <v>-0.19727298803003149</v>
      </c>
      <c r="S148" s="366"/>
      <c r="T148" s="193"/>
      <c r="U148" s="366"/>
      <c r="V148" s="193"/>
      <c r="W148" s="366"/>
      <c r="X148" s="366"/>
      <c r="Y148" s="503"/>
      <c r="Z148" s="366"/>
      <c r="AA148" s="520">
        <f t="shared" si="78"/>
        <v>-1.8440011037348146E-3</v>
      </c>
      <c r="AB148" s="496"/>
      <c r="AC148" s="521">
        <f t="shared" si="79"/>
        <v>-5.3406676484808326E-2</v>
      </c>
      <c r="AD148" s="497"/>
      <c r="AE148" s="522">
        <f t="shared" si="80"/>
        <v>-5.5250677588543143E-2</v>
      </c>
      <c r="AG148" s="531">
        <f t="shared" si="81"/>
        <v>6.0707855266989773E-6</v>
      </c>
      <c r="AH148" s="221" t="str">
        <f t="shared" si="82"/>
        <v>NO</v>
      </c>
      <c r="AI148" s="532">
        <f t="shared" si="83"/>
        <v>1.7582444933270233E-4</v>
      </c>
      <c r="AJ148" s="221" t="str">
        <f t="shared" si="62"/>
        <v>NO</v>
      </c>
      <c r="AK148" s="533">
        <f>IF('IN-OUT'!$F$35=0,AG148,IF('IN-OUT'!$F$26=0,'transversal subsidence profile'!AI148,'transversal subsidence profile'!AG148+'transversal subsidence profile'!AI148))</f>
        <v>1.818952348594013E-4</v>
      </c>
      <c r="AL148" s="513">
        <f t="shared" si="63"/>
        <v>1000</v>
      </c>
    </row>
    <row r="149" spans="1:38">
      <c r="A149" s="542">
        <f t="shared" si="84"/>
        <v>-15.25</v>
      </c>
      <c r="B149" s="363">
        <f t="shared" si="64"/>
        <v>2.0398315313514743E-3</v>
      </c>
      <c r="C149" s="543">
        <f t="shared" si="65"/>
        <v>-2.0738287235406655E-3</v>
      </c>
      <c r="D149" s="542">
        <f t="shared" si="85"/>
        <v>-15.25</v>
      </c>
      <c r="E149" s="363">
        <f t="shared" si="66"/>
        <v>2.0398315313514743E-3</v>
      </c>
      <c r="F149" s="543">
        <f t="shared" si="67"/>
        <v>-2.0738287235406655E-3</v>
      </c>
      <c r="G149" s="548">
        <f t="shared" si="68"/>
        <v>-25.25</v>
      </c>
      <c r="H149" s="363">
        <f t="shared" si="69"/>
        <v>2.3955023619108636E-5</v>
      </c>
      <c r="I149" s="363">
        <f t="shared" si="70"/>
        <v>-4.032428975883287E-5</v>
      </c>
      <c r="J149" s="364">
        <f t="shared" si="71"/>
        <v>2.0637865549705831E-3</v>
      </c>
      <c r="K149" s="194">
        <f t="shared" si="72"/>
        <v>2.3955023619108636E-3</v>
      </c>
      <c r="L149" s="646">
        <f t="shared" si="73"/>
        <v>0.20398315313514742</v>
      </c>
      <c r="M149" s="365">
        <f t="shared" si="74"/>
        <v>0.20637865549705828</v>
      </c>
      <c r="N149" s="194">
        <f t="shared" si="75"/>
        <v>-4.0324289758832867E-3</v>
      </c>
      <c r="O149" s="422">
        <f t="shared" si="76"/>
        <v>-0.20738287235406655</v>
      </c>
      <c r="P149" s="365">
        <f t="shared" si="77"/>
        <v>-0.21141530132994985</v>
      </c>
      <c r="S149" s="366"/>
      <c r="T149" s="193"/>
      <c r="U149" s="366"/>
      <c r="V149" s="193"/>
      <c r="W149" s="366"/>
      <c r="X149" s="366"/>
      <c r="Y149" s="503"/>
      <c r="Z149" s="366"/>
      <c r="AA149" s="520">
        <f t="shared" si="78"/>
        <v>-2.0750067098326201E-3</v>
      </c>
      <c r="AB149" s="496"/>
      <c r="AC149" s="521">
        <f t="shared" si="79"/>
        <v>-5.5813223061761424E-2</v>
      </c>
      <c r="AD149" s="497"/>
      <c r="AE149" s="522">
        <f t="shared" si="80"/>
        <v>-5.7888229771594045E-2</v>
      </c>
      <c r="AG149" s="531">
        <f t="shared" si="81"/>
        <v>6.8312978101485429E-6</v>
      </c>
      <c r="AH149" s="221" t="str">
        <f t="shared" si="82"/>
        <v>NO</v>
      </c>
      <c r="AI149" s="532">
        <f t="shared" si="83"/>
        <v>1.8374723641732151E-4</v>
      </c>
      <c r="AJ149" s="221" t="str">
        <f t="shared" si="62"/>
        <v>NO</v>
      </c>
      <c r="AK149" s="533">
        <f>IF('IN-OUT'!$F$35=0,AG149,IF('IN-OUT'!$F$26=0,'transversal subsidence profile'!AI149,'transversal subsidence profile'!AG149+'transversal subsidence profile'!AI149))</f>
        <v>1.9057853422747005E-4</v>
      </c>
      <c r="AL149" s="513">
        <f t="shared" si="63"/>
        <v>1000</v>
      </c>
    </row>
    <row r="150" spans="1:38">
      <c r="A150" s="542">
        <f t="shared" si="84"/>
        <v>-15</v>
      </c>
      <c r="B150" s="363">
        <f t="shared" si="64"/>
        <v>2.2163409593685705E-3</v>
      </c>
      <c r="C150" s="543">
        <f t="shared" si="65"/>
        <v>-2.2163409593685705E-3</v>
      </c>
      <c r="D150" s="542">
        <f t="shared" si="85"/>
        <v>-15</v>
      </c>
      <c r="E150" s="363">
        <f t="shared" si="66"/>
        <v>2.2163409593685705E-3</v>
      </c>
      <c r="F150" s="543">
        <f t="shared" si="67"/>
        <v>-2.2163409593685705E-3</v>
      </c>
      <c r="G150" s="548">
        <f t="shared" si="68"/>
        <v>-25</v>
      </c>
      <c r="H150" s="363">
        <f t="shared" si="69"/>
        <v>2.7495933984103291E-5</v>
      </c>
      <c r="I150" s="363">
        <f t="shared" si="70"/>
        <v>-4.5826556640172145E-5</v>
      </c>
      <c r="J150" s="364">
        <f t="shared" si="71"/>
        <v>2.2438368933526739E-3</v>
      </c>
      <c r="K150" s="194">
        <f t="shared" si="72"/>
        <v>2.7495933984103289E-3</v>
      </c>
      <c r="L150" s="646">
        <f t="shared" si="73"/>
        <v>0.22163409593685704</v>
      </c>
      <c r="M150" s="365">
        <f t="shared" si="74"/>
        <v>0.22438368933526737</v>
      </c>
      <c r="N150" s="194">
        <f t="shared" si="75"/>
        <v>-4.5826556640172142E-3</v>
      </c>
      <c r="O150" s="422">
        <f t="shared" si="76"/>
        <v>-0.22163409593685704</v>
      </c>
      <c r="P150" s="365">
        <f t="shared" si="77"/>
        <v>-0.22621675160087426</v>
      </c>
      <c r="S150" s="366"/>
      <c r="T150" s="193"/>
      <c r="U150" s="366"/>
      <c r="V150" s="193"/>
      <c r="W150" s="366"/>
      <c r="X150" s="366"/>
      <c r="Y150" s="503"/>
      <c r="Z150" s="366"/>
      <c r="AA150" s="520">
        <f t="shared" si="78"/>
        <v>-2.3311824779755062E-3</v>
      </c>
      <c r="AB150" s="496"/>
      <c r="AC150" s="521">
        <f t="shared" si="79"/>
        <v>-5.8190351114285908E-2</v>
      </c>
      <c r="AD150" s="497"/>
      <c r="AE150" s="522">
        <f t="shared" si="80"/>
        <v>-6.0521533592261416E-2</v>
      </c>
      <c r="AG150" s="531">
        <f t="shared" si="81"/>
        <v>7.6746748246107181E-6</v>
      </c>
      <c r="AH150" s="221" t="str">
        <f t="shared" si="82"/>
        <v>NO</v>
      </c>
      <c r="AI150" s="532">
        <f t="shared" si="83"/>
        <v>1.9157317239271084E-4</v>
      </c>
      <c r="AJ150" s="221" t="str">
        <f t="shared" si="62"/>
        <v>NO</v>
      </c>
      <c r="AK150" s="533">
        <f>IF('IN-OUT'!$F$35=0,AG150,IF('IN-OUT'!$F$26=0,'transversal subsidence profile'!AI150,'transversal subsidence profile'!AG150+'transversal subsidence profile'!AI150))</f>
        <v>1.9924784721732155E-4</v>
      </c>
      <c r="AL150" s="513">
        <f t="shared" si="63"/>
        <v>1000</v>
      </c>
    </row>
    <row r="151" spans="1:38">
      <c r="A151" s="542">
        <f t="shared" si="84"/>
        <v>-14.75</v>
      </c>
      <c r="B151" s="363">
        <f t="shared" si="64"/>
        <v>2.4048229304941843E-3</v>
      </c>
      <c r="C151" s="543">
        <f t="shared" si="65"/>
        <v>-2.3647425483192814E-3</v>
      </c>
      <c r="D151" s="542">
        <f t="shared" si="85"/>
        <v>-14.75</v>
      </c>
      <c r="E151" s="363">
        <f t="shared" si="66"/>
        <v>2.4048229304941843E-3</v>
      </c>
      <c r="F151" s="543">
        <f t="shared" si="67"/>
        <v>-2.3647425483192814E-3</v>
      </c>
      <c r="G151" s="548">
        <f t="shared" si="68"/>
        <v>-24.75</v>
      </c>
      <c r="H151" s="363">
        <f t="shared" si="69"/>
        <v>3.151698096419107E-5</v>
      </c>
      <c r="I151" s="363">
        <f t="shared" si="70"/>
        <v>-5.2003018590915269E-5</v>
      </c>
      <c r="J151" s="364">
        <f t="shared" si="71"/>
        <v>2.4363399114583754E-3</v>
      </c>
      <c r="K151" s="194">
        <f t="shared" si="72"/>
        <v>3.1516980964191072E-3</v>
      </c>
      <c r="L151" s="646">
        <f t="shared" si="73"/>
        <v>0.24048229304941843</v>
      </c>
      <c r="M151" s="365">
        <f t="shared" si="74"/>
        <v>0.24363399114583753</v>
      </c>
      <c r="N151" s="194">
        <f t="shared" si="75"/>
        <v>-5.2003018590915271E-3</v>
      </c>
      <c r="O151" s="422">
        <f t="shared" si="76"/>
        <v>-0.23647425483192813</v>
      </c>
      <c r="P151" s="365">
        <f t="shared" si="77"/>
        <v>-0.24167455669101967</v>
      </c>
      <c r="S151" s="366"/>
      <c r="T151" s="193"/>
      <c r="U151" s="366"/>
      <c r="V151" s="193"/>
      <c r="W151" s="366"/>
      <c r="X151" s="366"/>
      <c r="Y151" s="503"/>
      <c r="Z151" s="366"/>
      <c r="AA151" s="520">
        <f t="shared" si="78"/>
        <v>-2.6147421244365923E-3</v>
      </c>
      <c r="AB151" s="496"/>
      <c r="AC151" s="521">
        <f t="shared" si="79"/>
        <v>-6.0521926883584785E-2</v>
      </c>
      <c r="AD151" s="497"/>
      <c r="AE151" s="522">
        <f t="shared" si="80"/>
        <v>-6.3136669008021382E-2</v>
      </c>
      <c r="AG151" s="531">
        <f t="shared" si="81"/>
        <v>8.6082045248941313E-6</v>
      </c>
      <c r="AH151" s="221" t="str">
        <f t="shared" si="82"/>
        <v>NO</v>
      </c>
      <c r="AI151" s="532">
        <f t="shared" si="83"/>
        <v>1.9924914200357126E-4</v>
      </c>
      <c r="AJ151" s="221" t="str">
        <f t="shared" si="62"/>
        <v>NO</v>
      </c>
      <c r="AK151" s="533">
        <f>IF('IN-OUT'!$F$35=0,AG151,IF('IN-OUT'!$F$26=0,'transversal subsidence profile'!AI151,'transversal subsidence profile'!AG151+'transversal subsidence profile'!AI151))</f>
        <v>2.0785734652846539E-4</v>
      </c>
      <c r="AL151" s="513">
        <f t="shared" si="63"/>
        <v>1000</v>
      </c>
    </row>
    <row r="152" spans="1:38">
      <c r="A152" s="542">
        <f t="shared" si="84"/>
        <v>-14.5</v>
      </c>
      <c r="B152" s="363">
        <f t="shared" si="64"/>
        <v>2.6057568979923197E-3</v>
      </c>
      <c r="C152" s="543">
        <f t="shared" si="65"/>
        <v>-2.5188983347259088E-3</v>
      </c>
      <c r="D152" s="542">
        <f t="shared" si="85"/>
        <v>-14.5</v>
      </c>
      <c r="E152" s="363">
        <f t="shared" si="66"/>
        <v>2.6057568979923197E-3</v>
      </c>
      <c r="F152" s="543">
        <f t="shared" si="67"/>
        <v>-2.5188983347259088E-3</v>
      </c>
      <c r="G152" s="548">
        <f t="shared" si="68"/>
        <v>-24.5</v>
      </c>
      <c r="H152" s="363">
        <f t="shared" si="69"/>
        <v>3.607655025647109E-5</v>
      </c>
      <c r="I152" s="363">
        <f t="shared" si="70"/>
        <v>-5.8925032085569447E-5</v>
      </c>
      <c r="J152" s="364">
        <f t="shared" si="71"/>
        <v>2.6418334482487906E-3</v>
      </c>
      <c r="K152" s="194">
        <f t="shared" si="72"/>
        <v>3.607655025647109E-3</v>
      </c>
      <c r="L152" s="646">
        <f t="shared" si="73"/>
        <v>0.26057568979923196</v>
      </c>
      <c r="M152" s="365">
        <f t="shared" si="74"/>
        <v>0.26418334482487904</v>
      </c>
      <c r="N152" s="194">
        <f t="shared" si="75"/>
        <v>-5.8925032085569446E-3</v>
      </c>
      <c r="O152" s="422">
        <f t="shared" si="76"/>
        <v>-0.25188983347259086</v>
      </c>
      <c r="P152" s="365">
        <f t="shared" si="77"/>
        <v>-0.25778233668114781</v>
      </c>
      <c r="S152" s="366"/>
      <c r="T152" s="193"/>
      <c r="U152" s="366"/>
      <c r="V152" s="193"/>
      <c r="W152" s="366"/>
      <c r="X152" s="366"/>
      <c r="Y152" s="503"/>
      <c r="Z152" s="366"/>
      <c r="AA152" s="520">
        <f t="shared" si="78"/>
        <v>-2.928023626211074E-3</v>
      </c>
      <c r="AB152" s="496"/>
      <c r="AC152" s="521">
        <f t="shared" si="79"/>
        <v>-6.279075835582773E-2</v>
      </c>
      <c r="AD152" s="497"/>
      <c r="AE152" s="522">
        <f t="shared" si="80"/>
        <v>-6.5718781982038801E-2</v>
      </c>
      <c r="AG152" s="531">
        <f t="shared" si="81"/>
        <v>9.639583954604358E-6</v>
      </c>
      <c r="AH152" s="221" t="str">
        <f t="shared" si="82"/>
        <v>NO</v>
      </c>
      <c r="AI152" s="532">
        <f t="shared" si="83"/>
        <v>2.0671854602741639E-4</v>
      </c>
      <c r="AJ152" s="221" t="str">
        <f t="shared" si="62"/>
        <v>NO</v>
      </c>
      <c r="AK152" s="533">
        <f>IF('IN-OUT'!$F$35=0,AG152,IF('IN-OUT'!$F$26=0,'transversal subsidence profile'!AI152,'transversal subsidence profile'!AG152+'transversal subsidence profile'!AI152))</f>
        <v>2.1635812998202074E-4</v>
      </c>
      <c r="AL152" s="513">
        <f t="shared" si="63"/>
        <v>1000</v>
      </c>
    </row>
    <row r="153" spans="1:38">
      <c r="A153" s="542">
        <f t="shared" si="84"/>
        <v>-14.25</v>
      </c>
      <c r="B153" s="363">
        <f t="shared" si="64"/>
        <v>2.8196093876017713E-3</v>
      </c>
      <c r="C153" s="543">
        <f t="shared" si="65"/>
        <v>-2.6786289182216829E-3</v>
      </c>
      <c r="D153" s="542">
        <f t="shared" si="85"/>
        <v>-14.25</v>
      </c>
      <c r="E153" s="363">
        <f t="shared" si="66"/>
        <v>2.8196093876017713E-3</v>
      </c>
      <c r="F153" s="543">
        <f t="shared" si="67"/>
        <v>-2.6786289182216829E-3</v>
      </c>
      <c r="G153" s="548">
        <f t="shared" si="68"/>
        <v>-24.25</v>
      </c>
      <c r="H153" s="363">
        <f t="shared" si="69"/>
        <v>4.123914525654635E-5</v>
      </c>
      <c r="I153" s="363">
        <f t="shared" si="70"/>
        <v>-6.6669951498083267E-5</v>
      </c>
      <c r="J153" s="364">
        <f t="shared" si="71"/>
        <v>2.8608485328583174E-3</v>
      </c>
      <c r="K153" s="194">
        <f t="shared" si="72"/>
        <v>4.1239145256546346E-3</v>
      </c>
      <c r="L153" s="646">
        <f t="shared" si="73"/>
        <v>0.28196093876017714</v>
      </c>
      <c r="M153" s="365">
        <f t="shared" si="74"/>
        <v>0.28608485328583177</v>
      </c>
      <c r="N153" s="194">
        <f t="shared" si="75"/>
        <v>-6.6669951498083265E-3</v>
      </c>
      <c r="O153" s="422">
        <f t="shared" si="76"/>
        <v>-0.26786289182216827</v>
      </c>
      <c r="P153" s="365">
        <f t="shared" si="77"/>
        <v>-0.27452988697197661</v>
      </c>
      <c r="S153" s="366"/>
      <c r="T153" s="193"/>
      <c r="U153" s="366"/>
      <c r="V153" s="193"/>
      <c r="W153" s="366"/>
      <c r="X153" s="366"/>
      <c r="Y153" s="503"/>
      <c r="Z153" s="366"/>
      <c r="AA153" s="520">
        <f t="shared" si="78"/>
        <v>-3.2734867931122295E-3</v>
      </c>
      <c r="AB153" s="496"/>
      <c r="AC153" s="521">
        <f t="shared" si="79"/>
        <v>-6.4978652553785682E-2</v>
      </c>
      <c r="AD153" s="497"/>
      <c r="AE153" s="522">
        <f t="shared" si="80"/>
        <v>-6.8252139346897917E-2</v>
      </c>
      <c r="AG153" s="531">
        <f t="shared" si="81"/>
        <v>1.0776911253044376E-5</v>
      </c>
      <c r="AH153" s="221" t="str">
        <f t="shared" si="82"/>
        <v>NO</v>
      </c>
      <c r="AI153" s="532">
        <f t="shared" si="83"/>
        <v>2.1392148988900631E-4</v>
      </c>
      <c r="AJ153" s="221" t="str">
        <f t="shared" si="62"/>
        <v>NO</v>
      </c>
      <c r="AK153" s="533">
        <f>IF('IN-OUT'!$F$35=0,AG153,IF('IN-OUT'!$F$26=0,'transversal subsidence profile'!AI153,'transversal subsidence profile'!AG153+'transversal subsidence profile'!AI153))</f>
        <v>2.2469840114205068E-4</v>
      </c>
      <c r="AL153" s="513">
        <f t="shared" si="63"/>
        <v>1000</v>
      </c>
    </row>
    <row r="154" spans="1:38">
      <c r="A154" s="542">
        <f t="shared" si="84"/>
        <v>-14</v>
      </c>
      <c r="B154" s="363">
        <f t="shared" si="64"/>
        <v>3.0468302553613462E-3</v>
      </c>
      <c r="C154" s="543">
        <f t="shared" si="65"/>
        <v>-2.8437082383372561E-3</v>
      </c>
      <c r="D154" s="542">
        <f t="shared" si="85"/>
        <v>-14</v>
      </c>
      <c r="E154" s="363">
        <f t="shared" si="66"/>
        <v>3.0468302553613462E-3</v>
      </c>
      <c r="F154" s="543">
        <f t="shared" si="67"/>
        <v>-2.8437082383372561E-3</v>
      </c>
      <c r="G154" s="548">
        <f t="shared" si="68"/>
        <v>-24</v>
      </c>
      <c r="H154" s="363">
        <f t="shared" si="69"/>
        <v>4.7075893123253738E-5</v>
      </c>
      <c r="I154" s="363">
        <f t="shared" si="70"/>
        <v>-7.5321428997205983E-5</v>
      </c>
      <c r="J154" s="364">
        <f t="shared" si="71"/>
        <v>3.0939061484846E-3</v>
      </c>
      <c r="K154" s="194">
        <f t="shared" si="72"/>
        <v>4.7075893123253738E-3</v>
      </c>
      <c r="L154" s="646">
        <f t="shared" si="73"/>
        <v>0.30468302553613463</v>
      </c>
      <c r="M154" s="365">
        <f t="shared" si="74"/>
        <v>0.30939061484846003</v>
      </c>
      <c r="N154" s="194">
        <f t="shared" si="75"/>
        <v>-7.5321428997205987E-3</v>
      </c>
      <c r="O154" s="422">
        <f t="shared" si="76"/>
        <v>-0.28437082383372558</v>
      </c>
      <c r="P154" s="365">
        <f t="shared" si="77"/>
        <v>-0.29190296673344618</v>
      </c>
      <c r="S154" s="366"/>
      <c r="T154" s="193"/>
      <c r="U154" s="366"/>
      <c r="V154" s="193"/>
      <c r="W154" s="366"/>
      <c r="X154" s="366"/>
      <c r="Y154" s="503"/>
      <c r="Z154" s="366"/>
      <c r="AA154" s="520">
        <f t="shared" si="78"/>
        <v>-3.6537092358212577E-3</v>
      </c>
      <c r="AB154" s="496"/>
      <c r="AC154" s="521">
        <f t="shared" si="79"/>
        <v>-6.7066487651163784E-2</v>
      </c>
      <c r="AD154" s="497"/>
      <c r="AE154" s="522">
        <f t="shared" si="80"/>
        <v>-7.072019688698504E-2</v>
      </c>
      <c r="AG154" s="531">
        <f t="shared" si="81"/>
        <v>1.2028672381304548E-5</v>
      </c>
      <c r="AH154" s="221" t="str">
        <f t="shared" si="82"/>
        <v>NO</v>
      </c>
      <c r="AI154" s="532">
        <f t="shared" si="83"/>
        <v>2.2079502107379023E-4</v>
      </c>
      <c r="AJ154" s="221" t="str">
        <f t="shared" si="62"/>
        <v>NO</v>
      </c>
      <c r="AK154" s="533">
        <f>IF('IN-OUT'!$F$35=0,AG154,IF('IN-OUT'!$F$26=0,'transversal subsidence profile'!AI154,'transversal subsidence profile'!AG154+'transversal subsidence profile'!AI154))</f>
        <v>2.3282369345509478E-4</v>
      </c>
      <c r="AL154" s="513">
        <f t="shared" si="63"/>
        <v>1000</v>
      </c>
    </row>
    <row r="155" spans="1:38">
      <c r="A155" s="542">
        <f t="shared" si="84"/>
        <v>-13.75</v>
      </c>
      <c r="B155" s="363">
        <f t="shared" si="64"/>
        <v>3.2878487545752884E-3</v>
      </c>
      <c r="C155" s="543">
        <f t="shared" si="65"/>
        <v>-3.013861358360681E-3</v>
      </c>
      <c r="D155" s="542">
        <f t="shared" si="85"/>
        <v>-13.75</v>
      </c>
      <c r="E155" s="363">
        <f t="shared" si="66"/>
        <v>3.2878487545752884E-3</v>
      </c>
      <c r="F155" s="543">
        <f t="shared" si="67"/>
        <v>-3.013861358360681E-3</v>
      </c>
      <c r="G155" s="548">
        <f t="shared" si="68"/>
        <v>-23.75</v>
      </c>
      <c r="H155" s="363">
        <f t="shared" si="69"/>
        <v>5.3665075051588847E-5</v>
      </c>
      <c r="I155" s="363">
        <f t="shared" si="70"/>
        <v>-8.4969702165015672E-5</v>
      </c>
      <c r="J155" s="364">
        <f t="shared" si="71"/>
        <v>3.3415138296268771E-3</v>
      </c>
      <c r="K155" s="194">
        <f t="shared" si="72"/>
        <v>5.3665075051588847E-3</v>
      </c>
      <c r="L155" s="646">
        <f t="shared" si="73"/>
        <v>0.32878487545752882</v>
      </c>
      <c r="M155" s="365">
        <f t="shared" si="74"/>
        <v>0.3341513829626877</v>
      </c>
      <c r="N155" s="194">
        <f t="shared" si="75"/>
        <v>-8.4969702165015679E-3</v>
      </c>
      <c r="O155" s="422">
        <f t="shared" si="76"/>
        <v>-0.3013861358360681</v>
      </c>
      <c r="P155" s="365">
        <f t="shared" si="77"/>
        <v>-0.30988310605256969</v>
      </c>
      <c r="S155" s="366"/>
      <c r="T155" s="193"/>
      <c r="U155" s="366"/>
      <c r="V155" s="193"/>
      <c r="W155" s="366"/>
      <c r="X155" s="366"/>
      <c r="Y155" s="503"/>
      <c r="Z155" s="366"/>
      <c r="AA155" s="520">
        <f t="shared" si="78"/>
        <v>-4.0713805452947515E-3</v>
      </c>
      <c r="AB155" s="496"/>
      <c r="AC155" s="521">
        <f t="shared" si="79"/>
        <v>-6.9034300324690101E-2</v>
      </c>
      <c r="AD155" s="497"/>
      <c r="AE155" s="522">
        <f t="shared" si="80"/>
        <v>-7.3105680869984854E-2</v>
      </c>
      <c r="AG155" s="531">
        <f t="shared" si="81"/>
        <v>1.3403721959818113E-5</v>
      </c>
      <c r="AH155" s="221" t="str">
        <f t="shared" si="82"/>
        <v>NO</v>
      </c>
      <c r="AI155" s="532">
        <f t="shared" si="83"/>
        <v>2.2727341670679868E-4</v>
      </c>
      <c r="AJ155" s="221" t="str">
        <f t="shared" si="62"/>
        <v>NO</v>
      </c>
      <c r="AK155" s="533">
        <f>IF('IN-OUT'!$F$35=0,AG155,IF('IN-OUT'!$F$26=0,'transversal subsidence profile'!AI155,'transversal subsidence profile'!AG155+'transversal subsidence profile'!AI155))</f>
        <v>2.406771386666168E-4</v>
      </c>
      <c r="AL155" s="513">
        <f t="shared" si="63"/>
        <v>1000</v>
      </c>
    </row>
    <row r="156" spans="1:38">
      <c r="A156" s="542">
        <f t="shared" si="84"/>
        <v>-13.5</v>
      </c>
      <c r="B156" s="363">
        <f t="shared" si="64"/>
        <v>3.5430694298969694E-3</v>
      </c>
      <c r="C156" s="543">
        <f t="shared" si="65"/>
        <v>-3.1887624869072722E-3</v>
      </c>
      <c r="D156" s="542">
        <f t="shared" si="85"/>
        <v>-13.5</v>
      </c>
      <c r="E156" s="363">
        <f t="shared" si="66"/>
        <v>3.5430694298969694E-3</v>
      </c>
      <c r="F156" s="543">
        <f t="shared" si="67"/>
        <v>-3.1887624869072722E-3</v>
      </c>
      <c r="G156" s="548">
        <f t="shared" si="68"/>
        <v>-23.5</v>
      </c>
      <c r="H156" s="363">
        <f t="shared" si="69"/>
        <v>6.1092679552955076E-5</v>
      </c>
      <c r="I156" s="363">
        <f t="shared" si="70"/>
        <v>-9.571186463296293E-5</v>
      </c>
      <c r="J156" s="364">
        <f t="shared" si="71"/>
        <v>3.6041621094499245E-3</v>
      </c>
      <c r="K156" s="194">
        <f t="shared" si="72"/>
        <v>6.1092679552955075E-3</v>
      </c>
      <c r="L156" s="646">
        <f t="shared" si="73"/>
        <v>0.35430694298969695</v>
      </c>
      <c r="M156" s="365">
        <f t="shared" si="74"/>
        <v>0.36041621094499243</v>
      </c>
      <c r="N156" s="194">
        <f t="shared" si="75"/>
        <v>-9.5711864632962926E-3</v>
      </c>
      <c r="O156" s="422">
        <f t="shared" si="76"/>
        <v>-0.31887624869072723</v>
      </c>
      <c r="P156" s="365">
        <f t="shared" si="77"/>
        <v>-0.32844743515402353</v>
      </c>
      <c r="S156" s="366"/>
      <c r="T156" s="193"/>
      <c r="U156" s="366"/>
      <c r="V156" s="193"/>
      <c r="W156" s="366"/>
      <c r="X156" s="366"/>
      <c r="Y156" s="503"/>
      <c r="Z156" s="366"/>
      <c r="AA156" s="520">
        <f t="shared" si="78"/>
        <v>-4.5292944959836002E-3</v>
      </c>
      <c r="AB156" s="496"/>
      <c r="AC156" s="521">
        <f t="shared" si="79"/>
        <v>-7.086138859793939E-2</v>
      </c>
      <c r="AD156" s="497"/>
      <c r="AE156" s="522">
        <f t="shared" si="80"/>
        <v>-7.5390683093922994E-2</v>
      </c>
      <c r="AG156" s="531">
        <f t="shared" si="81"/>
        <v>1.4911257599946009E-5</v>
      </c>
      <c r="AH156" s="221" t="str">
        <f t="shared" si="82"/>
        <v>NO</v>
      </c>
      <c r="AI156" s="532">
        <f t="shared" si="83"/>
        <v>2.3328852213313375E-4</v>
      </c>
      <c r="AJ156" s="221" t="str">
        <f t="shared" si="62"/>
        <v>NO</v>
      </c>
      <c r="AK156" s="533">
        <f>IF('IN-OUT'!$F$35=0,AG156,IF('IN-OUT'!$F$26=0,'transversal subsidence profile'!AI156,'transversal subsidence profile'!AG156+'transversal subsidence profile'!AI156))</f>
        <v>2.4819977973307975E-4</v>
      </c>
      <c r="AL156" s="513">
        <f t="shared" si="63"/>
        <v>1000</v>
      </c>
    </row>
    <row r="157" spans="1:38">
      <c r="A157" s="542">
        <f t="shared" si="84"/>
        <v>-13.25</v>
      </c>
      <c r="B157" s="363">
        <f t="shared" si="64"/>
        <v>3.8128678596934308E-3</v>
      </c>
      <c r="C157" s="543">
        <f t="shared" si="65"/>
        <v>-3.3680332760625304E-3</v>
      </c>
      <c r="D157" s="542">
        <f t="shared" si="85"/>
        <v>-13.25</v>
      </c>
      <c r="E157" s="363">
        <f t="shared" si="66"/>
        <v>3.8128678596934308E-3</v>
      </c>
      <c r="F157" s="543">
        <f t="shared" si="67"/>
        <v>-3.3680332760625304E-3</v>
      </c>
      <c r="G157" s="548">
        <f t="shared" si="68"/>
        <v>-23.25</v>
      </c>
      <c r="H157" s="363">
        <f t="shared" si="69"/>
        <v>6.9452977135231898E-5</v>
      </c>
      <c r="I157" s="363">
        <f t="shared" si="70"/>
        <v>-1.0765211455960944E-4</v>
      </c>
      <c r="J157" s="364">
        <f t="shared" si="71"/>
        <v>3.8823208368286627E-3</v>
      </c>
      <c r="K157" s="194">
        <f t="shared" si="72"/>
        <v>6.9452977135231898E-3</v>
      </c>
      <c r="L157" s="646">
        <f t="shared" si="73"/>
        <v>0.38128678596934307</v>
      </c>
      <c r="M157" s="365">
        <f t="shared" si="74"/>
        <v>0.38823208368286627</v>
      </c>
      <c r="N157" s="194">
        <f t="shared" si="75"/>
        <v>-1.0765211455960945E-2</v>
      </c>
      <c r="O157" s="422">
        <f t="shared" si="76"/>
        <v>-0.33680332760625303</v>
      </c>
      <c r="P157" s="365">
        <f t="shared" si="77"/>
        <v>-0.34756853906221397</v>
      </c>
      <c r="S157" s="366"/>
      <c r="T157" s="193"/>
      <c r="U157" s="366"/>
      <c r="V157" s="193"/>
      <c r="W157" s="366"/>
      <c r="X157" s="366"/>
      <c r="Y157" s="503"/>
      <c r="Z157" s="366"/>
      <c r="AA157" s="520">
        <f t="shared" si="78"/>
        <v>-5.0303390846916929E-3</v>
      </c>
      <c r="AB157" s="496"/>
      <c r="AC157" s="521">
        <f t="shared" si="79"/>
        <v>-7.252643025297062E-2</v>
      </c>
      <c r="AD157" s="497"/>
      <c r="AE157" s="522">
        <f t="shared" si="80"/>
        <v>-7.7556769337662312E-2</v>
      </c>
      <c r="AG157" s="531">
        <f t="shared" si="81"/>
        <v>1.6560787110096106E-5</v>
      </c>
      <c r="AH157" s="221" t="str">
        <f t="shared" si="82"/>
        <v>NO</v>
      </c>
      <c r="AI157" s="532">
        <f t="shared" si="83"/>
        <v>2.3877014075052052E-4</v>
      </c>
      <c r="AJ157" s="221" t="str">
        <f t="shared" si="62"/>
        <v>NO</v>
      </c>
      <c r="AK157" s="533">
        <f>IF('IN-OUT'!$F$35=0,AG157,IF('IN-OUT'!$F$26=0,'transversal subsidence profile'!AI157,'transversal subsidence profile'!AG157+'transversal subsidence profile'!AI157))</f>
        <v>2.5533092786061664E-4</v>
      </c>
      <c r="AL157" s="513">
        <f t="shared" si="63"/>
        <v>1000</v>
      </c>
    </row>
    <row r="158" spans="1:38">
      <c r="A158" s="542">
        <f t="shared" si="84"/>
        <v>-13</v>
      </c>
      <c r="B158" s="363">
        <f t="shared" si="64"/>
        <v>4.0975862710533311E-3</v>
      </c>
      <c r="C158" s="543">
        <f t="shared" si="65"/>
        <v>-3.5512414349128866E-3</v>
      </c>
      <c r="D158" s="542">
        <f t="shared" si="85"/>
        <v>-13</v>
      </c>
      <c r="E158" s="363">
        <f t="shared" si="66"/>
        <v>4.0975862710533311E-3</v>
      </c>
      <c r="F158" s="543">
        <f t="shared" si="67"/>
        <v>-3.5512414349128866E-3</v>
      </c>
      <c r="G158" s="548">
        <f t="shared" si="68"/>
        <v>-23</v>
      </c>
      <c r="H158" s="363">
        <f t="shared" si="69"/>
        <v>7.8849114329851376E-5</v>
      </c>
      <c r="I158" s="363">
        <f t="shared" si="70"/>
        <v>-1.209019753057721E-4</v>
      </c>
      <c r="J158" s="364">
        <f t="shared" si="71"/>
        <v>4.1764353853831829E-3</v>
      </c>
      <c r="K158" s="194">
        <f t="shared" si="72"/>
        <v>7.884911432985137E-3</v>
      </c>
      <c r="L158" s="646">
        <f t="shared" si="73"/>
        <v>0.40975862710533312</v>
      </c>
      <c r="M158" s="365">
        <f t="shared" si="74"/>
        <v>0.41764353853831826</v>
      </c>
      <c r="N158" s="194">
        <f t="shared" si="75"/>
        <v>-1.2090197530577209E-2</v>
      </c>
      <c r="O158" s="422">
        <f t="shared" si="76"/>
        <v>-0.35512414349128868</v>
      </c>
      <c r="P158" s="365">
        <f t="shared" si="77"/>
        <v>-0.3672143410218659</v>
      </c>
      <c r="S158" s="366"/>
      <c r="T158" s="193"/>
      <c r="U158" s="366"/>
      <c r="V158" s="193"/>
      <c r="W158" s="366"/>
      <c r="X158" s="366"/>
      <c r="Y158" s="503"/>
      <c r="Z158" s="366"/>
      <c r="AA158" s="520">
        <f t="shared" si="78"/>
        <v>-5.5774842189428471E-3</v>
      </c>
      <c r="AB158" s="496"/>
      <c r="AC158" s="521">
        <f t="shared" si="79"/>
        <v>-7.4007616692549877E-2</v>
      </c>
      <c r="AD158" s="497"/>
      <c r="AE158" s="522">
        <f t="shared" si="80"/>
        <v>-7.958510091149272E-2</v>
      </c>
      <c r="AG158" s="531">
        <f t="shared" si="81"/>
        <v>1.836208796359785E-5</v>
      </c>
      <c r="AH158" s="221" t="str">
        <f t="shared" si="82"/>
        <v>NO</v>
      </c>
      <c r="AI158" s="532">
        <f t="shared" si="83"/>
        <v>2.4364647470798308E-4</v>
      </c>
      <c r="AJ158" s="221" t="str">
        <f t="shared" si="62"/>
        <v>NO</v>
      </c>
      <c r="AK158" s="533">
        <f>IF('IN-OUT'!$F$35=0,AG158,IF('IN-OUT'!$F$26=0,'transversal subsidence profile'!AI158,'transversal subsidence profile'!AG158+'transversal subsidence profile'!AI158))</f>
        <v>2.6200856267158092E-4</v>
      </c>
      <c r="AL158" s="513">
        <f t="shared" si="63"/>
        <v>1000</v>
      </c>
    </row>
    <row r="159" spans="1:38">
      <c r="A159" s="542">
        <f t="shared" si="84"/>
        <v>-12.75</v>
      </c>
      <c r="B159" s="363">
        <f t="shared" si="64"/>
        <v>4.3975290549763879E-3</v>
      </c>
      <c r="C159" s="543">
        <f t="shared" si="65"/>
        <v>-3.7378996967299301E-3</v>
      </c>
      <c r="D159" s="542">
        <f t="shared" si="85"/>
        <v>-12.75</v>
      </c>
      <c r="E159" s="363">
        <f t="shared" si="66"/>
        <v>4.3975290549763879E-3</v>
      </c>
      <c r="F159" s="543">
        <f t="shared" si="67"/>
        <v>-3.7378996967299301E-3</v>
      </c>
      <c r="G159" s="548">
        <f t="shared" si="68"/>
        <v>-22.75</v>
      </c>
      <c r="H159" s="363">
        <f t="shared" si="69"/>
        <v>8.9393724529516328E-5</v>
      </c>
      <c r="I159" s="363">
        <f t="shared" si="70"/>
        <v>-1.3558048220309974E-4</v>
      </c>
      <c r="J159" s="364">
        <f t="shared" si="71"/>
        <v>4.4869227795059042E-3</v>
      </c>
      <c r="K159" s="194">
        <f t="shared" si="72"/>
        <v>8.939372452951632E-3</v>
      </c>
      <c r="L159" s="646">
        <f t="shared" si="73"/>
        <v>0.43975290549763879</v>
      </c>
      <c r="M159" s="365">
        <f t="shared" si="74"/>
        <v>0.44869227795059041</v>
      </c>
      <c r="N159" s="194">
        <f t="shared" si="75"/>
        <v>-1.3558048220309975E-2</v>
      </c>
      <c r="O159" s="422">
        <f t="shared" si="76"/>
        <v>-0.37378996967299299</v>
      </c>
      <c r="P159" s="365">
        <f t="shared" si="77"/>
        <v>-0.38734801789330298</v>
      </c>
      <c r="S159" s="193"/>
      <c r="T159" s="193"/>
      <c r="U159" s="193"/>
      <c r="V159" s="193"/>
      <c r="W159" s="193"/>
      <c r="X159" s="193"/>
      <c r="Y159" s="503"/>
      <c r="Z159" s="193"/>
      <c r="AA159" s="520">
        <f t="shared" si="78"/>
        <v>-6.1737668737714439E-3</v>
      </c>
      <c r="AB159" s="496"/>
      <c r="AC159" s="521">
        <f t="shared" si="79"/>
        <v>-7.5282801928813883E-2</v>
      </c>
      <c r="AD159" s="496"/>
      <c r="AE159" s="522">
        <f t="shared" si="80"/>
        <v>-8.1456568802585325E-2</v>
      </c>
      <c r="AG159" s="531">
        <f t="shared" si="81"/>
        <v>2.0325158432169357E-5</v>
      </c>
      <c r="AH159" s="221" t="str">
        <f t="shared" si="82"/>
        <v>NO</v>
      </c>
      <c r="AI159" s="532">
        <f t="shared" si="83"/>
        <v>2.4784461540350251E-4</v>
      </c>
      <c r="AJ159" s="221" t="str">
        <f t="shared" si="62"/>
        <v>NO</v>
      </c>
      <c r="AK159" s="533">
        <f>IF('IN-OUT'!$F$35=0,AG159,IF('IN-OUT'!$F$26=0,'transversal subsidence profile'!AI159,'transversal subsidence profile'!AG159+'transversal subsidence profile'!AI159))</f>
        <v>2.6816977383567188E-4</v>
      </c>
      <c r="AL159" s="513">
        <f t="shared" si="63"/>
        <v>1000</v>
      </c>
    </row>
    <row r="160" spans="1:38">
      <c r="A160" s="542">
        <f t="shared" si="84"/>
        <v>-12.5</v>
      </c>
      <c r="B160" s="363">
        <f t="shared" si="64"/>
        <v>4.7129582123911669E-3</v>
      </c>
      <c r="C160" s="543">
        <f t="shared" si="65"/>
        <v>-3.9274651769926382E-3</v>
      </c>
      <c r="D160" s="542">
        <f t="shared" si="85"/>
        <v>-12.5</v>
      </c>
      <c r="E160" s="363">
        <f t="shared" si="66"/>
        <v>4.7129582123911669E-3</v>
      </c>
      <c r="F160" s="543">
        <f t="shared" si="67"/>
        <v>-3.9274651769926382E-3</v>
      </c>
      <c r="G160" s="548">
        <f t="shared" si="68"/>
        <v>-22.5</v>
      </c>
      <c r="H160" s="363">
        <f t="shared" si="69"/>
        <v>1.0120955257943833E-4</v>
      </c>
      <c r="I160" s="363">
        <f t="shared" si="70"/>
        <v>-1.518143288691575E-4</v>
      </c>
      <c r="J160" s="364">
        <f t="shared" si="71"/>
        <v>4.8141677649706054E-3</v>
      </c>
      <c r="K160" s="194">
        <f t="shared" si="72"/>
        <v>1.0120955257943832E-2</v>
      </c>
      <c r="L160" s="646">
        <f t="shared" si="73"/>
        <v>0.47129582123911667</v>
      </c>
      <c r="M160" s="365">
        <f t="shared" si="74"/>
        <v>0.48141677649706049</v>
      </c>
      <c r="N160" s="194">
        <f t="shared" si="75"/>
        <v>-1.5181432886915751E-2</v>
      </c>
      <c r="O160" s="422">
        <f t="shared" si="76"/>
        <v>-0.39274651769926383</v>
      </c>
      <c r="P160" s="365">
        <f t="shared" si="77"/>
        <v>-0.40792795058617959</v>
      </c>
      <c r="S160" s="193"/>
      <c r="T160" s="193"/>
      <c r="U160" s="193"/>
      <c r="V160" s="193"/>
      <c r="W160" s="193"/>
      <c r="X160" s="193"/>
      <c r="Y160" s="503"/>
      <c r="Z160" s="193"/>
      <c r="AA160" s="520">
        <f t="shared" si="78"/>
        <v>-6.82227354424362E-3</v>
      </c>
      <c r="AB160" s="496"/>
      <c r="AC160" s="521">
        <f t="shared" si="79"/>
        <v>-7.6329666155873388E-2</v>
      </c>
      <c r="AD160" s="496"/>
      <c r="AE160" s="522">
        <f t="shared" si="80"/>
        <v>-8.3151939700117014E-2</v>
      </c>
      <c r="AG160" s="531">
        <f t="shared" si="81"/>
        <v>2.2460159816439899E-5</v>
      </c>
      <c r="AH160" s="221" t="str">
        <f t="shared" si="82"/>
        <v>NO</v>
      </c>
      <c r="AI160" s="532">
        <f t="shared" si="83"/>
        <v>2.5129108199464491E-4</v>
      </c>
      <c r="AJ160" s="221" t="str">
        <f t="shared" si="62"/>
        <v>NO</v>
      </c>
      <c r="AK160" s="533">
        <f>IF('IN-OUT'!$F$35=0,AG160,IF('IN-OUT'!$F$26=0,'transversal subsidence profile'!AI160,'transversal subsidence profile'!AG160+'transversal subsidence profile'!AI160))</f>
        <v>2.737512418110848E-4</v>
      </c>
      <c r="AL160" s="513">
        <f t="shared" si="63"/>
        <v>1000</v>
      </c>
    </row>
    <row r="161" spans="1:38">
      <c r="A161" s="542">
        <f t="shared" si="84"/>
        <v>-12.25</v>
      </c>
      <c r="B161" s="363">
        <f t="shared" si="64"/>
        <v>5.0440887646448877E-3</v>
      </c>
      <c r="C161" s="543">
        <f t="shared" si="65"/>
        <v>-4.1193391577933249E-3</v>
      </c>
      <c r="D161" s="542">
        <f t="shared" si="85"/>
        <v>-12.25</v>
      </c>
      <c r="E161" s="363">
        <f t="shared" si="66"/>
        <v>5.0440887646448877E-3</v>
      </c>
      <c r="F161" s="543">
        <f t="shared" si="67"/>
        <v>-4.1193391577933249E-3</v>
      </c>
      <c r="G161" s="548">
        <f t="shared" si="68"/>
        <v>-22.25</v>
      </c>
      <c r="H161" s="363">
        <f t="shared" si="69"/>
        <v>1.1443008950874467E-4</v>
      </c>
      <c r="I161" s="363">
        <f t="shared" si="70"/>
        <v>-1.6973796610463793E-4</v>
      </c>
      <c r="J161" s="364">
        <f t="shared" si="71"/>
        <v>5.1585188541536323E-3</v>
      </c>
      <c r="K161" s="194">
        <f t="shared" si="72"/>
        <v>1.1443008950874467E-2</v>
      </c>
      <c r="L161" s="646">
        <f t="shared" si="73"/>
        <v>0.50440887646448873</v>
      </c>
      <c r="M161" s="365">
        <f t="shared" si="74"/>
        <v>0.5158518854153632</v>
      </c>
      <c r="N161" s="194">
        <f t="shared" si="75"/>
        <v>-1.6973796610463793E-2</v>
      </c>
      <c r="O161" s="422">
        <f t="shared" si="76"/>
        <v>-0.41193391577933247</v>
      </c>
      <c r="P161" s="365">
        <f t="shared" si="77"/>
        <v>-0.42890771238979625</v>
      </c>
      <c r="S161" s="193"/>
      <c r="T161" s="193"/>
      <c r="U161" s="193"/>
      <c r="V161" s="193"/>
      <c r="W161" s="193"/>
      <c r="X161" s="193"/>
      <c r="Y161" s="503"/>
      <c r="Z161" s="193"/>
      <c r="AA161" s="520">
        <f t="shared" si="78"/>
        <v>-7.5261198330762837E-3</v>
      </c>
      <c r="AB161" s="496"/>
      <c r="AC161" s="521">
        <f t="shared" si="79"/>
        <v>-7.7125893136591239E-2</v>
      </c>
      <c r="AD161" s="496"/>
      <c r="AE161" s="522">
        <f t="shared" si="80"/>
        <v>-8.4652012969667526E-2</v>
      </c>
      <c r="AG161" s="531">
        <f t="shared" si="81"/>
        <v>2.4777349244695585E-5</v>
      </c>
      <c r="AH161" s="221" t="str">
        <f t="shared" si="82"/>
        <v>NO</v>
      </c>
      <c r="AI161" s="532">
        <f t="shared" si="83"/>
        <v>2.5391240538795467E-4</v>
      </c>
      <c r="AJ161" s="221" t="str">
        <f t="shared" si="62"/>
        <v>NO</v>
      </c>
      <c r="AK161" s="533">
        <f>IF('IN-OUT'!$F$35=0,AG161,IF('IN-OUT'!$F$26=0,'transversal subsidence profile'!AI161,'transversal subsidence profile'!AG161+'transversal subsidence profile'!AI161))</f>
        <v>2.7868975463265025E-4</v>
      </c>
      <c r="AL161" s="513">
        <f t="shared" si="63"/>
        <v>1000</v>
      </c>
    </row>
    <row r="162" spans="1:38">
      <c r="A162" s="542">
        <f t="shared" si="84"/>
        <v>-12</v>
      </c>
      <c r="B162" s="363">
        <f t="shared" si="64"/>
        <v>5.3910841649474402E-3</v>
      </c>
      <c r="C162" s="543">
        <f t="shared" si="65"/>
        <v>-4.3128673319579522E-3</v>
      </c>
      <c r="D162" s="542">
        <f t="shared" si="85"/>
        <v>-12</v>
      </c>
      <c r="E162" s="363">
        <f t="shared" si="66"/>
        <v>5.3910841649474402E-3</v>
      </c>
      <c r="F162" s="543">
        <f t="shared" si="67"/>
        <v>-4.3128673319579522E-3</v>
      </c>
      <c r="G162" s="548">
        <f t="shared" si="68"/>
        <v>-22</v>
      </c>
      <c r="H162" s="363">
        <f t="shared" si="69"/>
        <v>1.292002131994937E-4</v>
      </c>
      <c r="I162" s="363">
        <f t="shared" si="70"/>
        <v>-1.8949364602592408E-4</v>
      </c>
      <c r="J162" s="364">
        <f t="shared" si="71"/>
        <v>5.5202843781469342E-3</v>
      </c>
      <c r="K162" s="194">
        <f t="shared" si="72"/>
        <v>1.2920021319949369E-2</v>
      </c>
      <c r="L162" s="646">
        <f t="shared" si="73"/>
        <v>0.53910841649474406</v>
      </c>
      <c r="M162" s="365">
        <f t="shared" si="74"/>
        <v>0.55202843781469346</v>
      </c>
      <c r="N162" s="194">
        <f t="shared" si="75"/>
        <v>-1.8949364602592406E-2</v>
      </c>
      <c r="O162" s="422">
        <f t="shared" si="76"/>
        <v>-0.43128673319579525</v>
      </c>
      <c r="P162" s="365">
        <f t="shared" si="77"/>
        <v>-0.45023609779838764</v>
      </c>
      <c r="S162" s="193"/>
      <c r="T162" s="193"/>
      <c r="U162" s="193"/>
      <c r="V162" s="193"/>
      <c r="W162" s="193"/>
      <c r="X162" s="193"/>
      <c r="Y162" s="503"/>
      <c r="Z162" s="193"/>
      <c r="AA162" s="520">
        <f t="shared" si="78"/>
        <v>-8.2884270287558147E-3</v>
      </c>
      <c r="AB162" s="496"/>
      <c r="AC162" s="521">
        <f t="shared" si="79"/>
        <v>-7.7649360400477527E-2</v>
      </c>
      <c r="AD162" s="496"/>
      <c r="AE162" s="522">
        <f t="shared" si="80"/>
        <v>-8.5937787429233345E-2</v>
      </c>
      <c r="AG162" s="531">
        <f t="shared" si="81"/>
        <v>2.7287002563805154E-5</v>
      </c>
      <c r="AH162" s="221" t="str">
        <f t="shared" si="82"/>
        <v>NO</v>
      </c>
      <c r="AI162" s="532">
        <f t="shared" si="83"/>
        <v>2.556357544048643E-4</v>
      </c>
      <c r="AJ162" s="221" t="str">
        <f t="shared" si="62"/>
        <v>NO</v>
      </c>
      <c r="AK162" s="533">
        <f>IF('IN-OUT'!$F$35=0,AG162,IF('IN-OUT'!$F$26=0,'transversal subsidence profile'!AI162,'transversal subsidence profile'!AG162+'transversal subsidence profile'!AI162))</f>
        <v>2.8292275696866945E-4</v>
      </c>
      <c r="AL162" s="513">
        <f t="shared" si="63"/>
        <v>1000</v>
      </c>
    </row>
    <row r="163" spans="1:38">
      <c r="A163" s="542">
        <f t="shared" si="84"/>
        <v>-11.75</v>
      </c>
      <c r="B163" s="363">
        <f t="shared" si="64"/>
        <v>5.7540517498836782E-3</v>
      </c>
      <c r="C163" s="543">
        <f t="shared" si="65"/>
        <v>-4.5073405374088807E-3</v>
      </c>
      <c r="D163" s="542">
        <f t="shared" si="85"/>
        <v>-11.75</v>
      </c>
      <c r="E163" s="363">
        <f t="shared" si="66"/>
        <v>5.7540517498836782E-3</v>
      </c>
      <c r="F163" s="543">
        <f t="shared" si="67"/>
        <v>-4.5073405374088807E-3</v>
      </c>
      <c r="G163" s="548">
        <f t="shared" si="68"/>
        <v>-21.75</v>
      </c>
      <c r="H163" s="363">
        <f t="shared" si="69"/>
        <v>1.4567683017184562E-4</v>
      </c>
      <c r="I163" s="363">
        <f t="shared" si="70"/>
        <v>-2.1123140374917614E-4</v>
      </c>
      <c r="J163" s="364">
        <f t="shared" si="71"/>
        <v>5.8997285800555235E-3</v>
      </c>
      <c r="K163" s="194">
        <f t="shared" si="72"/>
        <v>1.4567683017184562E-2</v>
      </c>
      <c r="L163" s="646">
        <f t="shared" si="73"/>
        <v>0.57540517498836785</v>
      </c>
      <c r="M163" s="365">
        <f t="shared" si="74"/>
        <v>0.58997285800555244</v>
      </c>
      <c r="N163" s="194">
        <f t="shared" si="75"/>
        <v>-2.1123140374917613E-2</v>
      </c>
      <c r="O163" s="422">
        <f t="shared" si="76"/>
        <v>-0.4507340537408881</v>
      </c>
      <c r="P163" s="365">
        <f t="shared" si="77"/>
        <v>-0.47185719411580573</v>
      </c>
      <c r="S163" s="193"/>
      <c r="T163" s="193"/>
      <c r="U163" s="193"/>
      <c r="V163" s="193"/>
      <c r="W163" s="193"/>
      <c r="X163" s="193"/>
      <c r="Y163" s="503"/>
      <c r="Z163" s="193"/>
      <c r="AA163" s="520">
        <f t="shared" si="78"/>
        <v>-9.1122955498438418E-3</v>
      </c>
      <c r="AB163" s="496"/>
      <c r="AC163" s="521">
        <f t="shared" si="79"/>
        <v>-7.787834101351479E-2</v>
      </c>
      <c r="AD163" s="496"/>
      <c r="AE163" s="522">
        <f t="shared" si="80"/>
        <v>-8.6990636563358634E-2</v>
      </c>
      <c r="AG163" s="531">
        <f t="shared" si="81"/>
        <v>2.9999326913066145E-5</v>
      </c>
      <c r="AH163" s="221" t="str">
        <f t="shared" si="82"/>
        <v>NO</v>
      </c>
      <c r="AI163" s="532">
        <f t="shared" si="83"/>
        <v>2.5638960004449314E-4</v>
      </c>
      <c r="AJ163" s="221" t="str">
        <f t="shared" si="62"/>
        <v>NO</v>
      </c>
      <c r="AK163" s="533">
        <f>IF('IN-OUT'!$F$35=0,AG163,IF('IN-OUT'!$F$26=0,'transversal subsidence profile'!AI163,'transversal subsidence profile'!AG163+'transversal subsidence profile'!AI163))</f>
        <v>2.8638892695755926E-4</v>
      </c>
      <c r="AL163" s="513">
        <f t="shared" si="63"/>
        <v>1000</v>
      </c>
    </row>
    <row r="164" spans="1:38">
      <c r="A164" s="542">
        <f t="shared" si="84"/>
        <v>-11.5</v>
      </c>
      <c r="B164" s="363">
        <f t="shared" si="64"/>
        <v>6.1330382724851711E-3</v>
      </c>
      <c r="C164" s="543">
        <f t="shared" si="65"/>
        <v>-4.7019960089052975E-3</v>
      </c>
      <c r="D164" s="542">
        <f t="shared" si="85"/>
        <v>-11.5</v>
      </c>
      <c r="E164" s="363">
        <f t="shared" si="66"/>
        <v>6.1330382724851711E-3</v>
      </c>
      <c r="F164" s="543">
        <f t="shared" si="67"/>
        <v>-4.7019960089052975E-3</v>
      </c>
      <c r="G164" s="548">
        <f t="shared" si="68"/>
        <v>-21.5</v>
      </c>
      <c r="H164" s="363">
        <f t="shared" si="69"/>
        <v>1.6402951301954264E-4</v>
      </c>
      <c r="I164" s="363">
        <f t="shared" si="70"/>
        <v>-2.3510896866134445E-4</v>
      </c>
      <c r="J164" s="364">
        <f t="shared" si="71"/>
        <v>6.2970677855047133E-3</v>
      </c>
      <c r="K164" s="194">
        <f t="shared" si="72"/>
        <v>1.6402951301954266E-2</v>
      </c>
      <c r="L164" s="646">
        <f t="shared" si="73"/>
        <v>0.61330382724851706</v>
      </c>
      <c r="M164" s="365">
        <f t="shared" si="74"/>
        <v>0.6297067785504713</v>
      </c>
      <c r="N164" s="194">
        <f t="shared" si="75"/>
        <v>-2.3510896866134445E-2</v>
      </c>
      <c r="O164" s="422">
        <f t="shared" si="76"/>
        <v>-0.47019960089052976</v>
      </c>
      <c r="P164" s="365">
        <f t="shared" si="77"/>
        <v>-0.4937104977566642</v>
      </c>
      <c r="S164" s="193"/>
      <c r="T164" s="193"/>
      <c r="U164" s="193"/>
      <c r="V164" s="193"/>
      <c r="W164" s="193"/>
      <c r="X164" s="193"/>
      <c r="Y164" s="503"/>
      <c r="Z164" s="193"/>
      <c r="AA164" s="520">
        <f t="shared" si="78"/>
        <v>-1.0000775155933157E-2</v>
      </c>
      <c r="AB164" s="496"/>
      <c r="AC164" s="521">
        <f t="shared" si="79"/>
        <v>-7.779171544523944E-2</v>
      </c>
      <c r="AD164" s="496"/>
      <c r="AE164" s="522">
        <f t="shared" si="80"/>
        <v>-8.7792490601172599E-2</v>
      </c>
      <c r="AG164" s="531">
        <f t="shared" si="81"/>
        <v>3.2924362653277883E-5</v>
      </c>
      <c r="AH164" s="221" t="str">
        <f t="shared" si="82"/>
        <v>NO</v>
      </c>
      <c r="AI164" s="532">
        <f t="shared" si="83"/>
        <v>2.5610441298844254E-4</v>
      </c>
      <c r="AJ164" s="221" t="str">
        <f t="shared" si="62"/>
        <v>NO</v>
      </c>
      <c r="AK164" s="533">
        <f>IF('IN-OUT'!$F$35=0,AG164,IF('IN-OUT'!$F$26=0,'transversal subsidence profile'!AI164,'transversal subsidence profile'!AG164+'transversal subsidence profile'!AI164))</f>
        <v>2.8902877564172043E-4</v>
      </c>
      <c r="AL164" s="513">
        <f t="shared" si="63"/>
        <v>1000</v>
      </c>
    </row>
    <row r="165" spans="1:38">
      <c r="A165" s="542">
        <f t="shared" si="84"/>
        <v>-11.25</v>
      </c>
      <c r="B165" s="363">
        <f t="shared" si="64"/>
        <v>6.5280255604261844E-3</v>
      </c>
      <c r="C165" s="543">
        <f t="shared" si="65"/>
        <v>-4.8960191703196383E-3</v>
      </c>
      <c r="D165" s="542">
        <f t="shared" si="85"/>
        <v>-11.25</v>
      </c>
      <c r="E165" s="363">
        <f t="shared" si="66"/>
        <v>6.5280255604261844E-3</v>
      </c>
      <c r="F165" s="543">
        <f t="shared" si="67"/>
        <v>-4.8960191703196383E-3</v>
      </c>
      <c r="G165" s="548">
        <f t="shared" si="68"/>
        <v>-21.25</v>
      </c>
      <c r="H165" s="363">
        <f t="shared" si="69"/>
        <v>1.8444112736506108E-4</v>
      </c>
      <c r="I165" s="363">
        <f t="shared" si="70"/>
        <v>-2.6129159710050319E-4</v>
      </c>
      <c r="J165" s="364">
        <f t="shared" si="71"/>
        <v>6.7124666877912452E-3</v>
      </c>
      <c r="K165" s="194">
        <f t="shared" si="72"/>
        <v>1.8444112736506108E-2</v>
      </c>
      <c r="L165" s="646">
        <f t="shared" si="73"/>
        <v>0.6528025560426185</v>
      </c>
      <c r="M165" s="365">
        <f t="shared" si="74"/>
        <v>0.67124666877912464</v>
      </c>
      <c r="N165" s="194">
        <f t="shared" si="75"/>
        <v>-2.612915971005032E-2</v>
      </c>
      <c r="O165" s="422">
        <f t="shared" si="76"/>
        <v>-0.48960191703196382</v>
      </c>
      <c r="P165" s="365">
        <f t="shared" si="77"/>
        <v>-0.51573107674201413</v>
      </c>
      <c r="S165" s="193"/>
      <c r="T165" s="193"/>
      <c r="U165" s="193"/>
      <c r="V165" s="193"/>
      <c r="W165" s="193"/>
      <c r="X165" s="193"/>
      <c r="Y165" s="503"/>
      <c r="Z165" s="193"/>
      <c r="AA165" s="520">
        <f t="shared" si="78"/>
        <v>-1.0956831855175462E-2</v>
      </c>
      <c r="AB165" s="496"/>
      <c r="AC165" s="521">
        <f t="shared" si="79"/>
        <v>-7.7369191827273281E-2</v>
      </c>
      <c r="AD165" s="496"/>
      <c r="AE165" s="522">
        <f t="shared" si="80"/>
        <v>-8.832602368244874E-2</v>
      </c>
      <c r="AG165" s="531">
        <f t="shared" si="81"/>
        <v>3.607187442033074E-5</v>
      </c>
      <c r="AH165" s="221" t="str">
        <f t="shared" si="82"/>
        <v>NO</v>
      </c>
      <c r="AI165" s="532">
        <f t="shared" si="83"/>
        <v>2.547133887317639E-4</v>
      </c>
      <c r="AJ165" s="221" t="str">
        <f t="shared" si="62"/>
        <v>NO</v>
      </c>
      <c r="AK165" s="533">
        <f>IF('IN-OUT'!$F$35=0,AG165,IF('IN-OUT'!$F$26=0,'transversal subsidence profile'!AI165,'transversal subsidence profile'!AG165+'transversal subsidence profile'!AI165))</f>
        <v>2.9078526315209463E-4</v>
      </c>
      <c r="AL165" s="513">
        <f t="shared" si="63"/>
        <v>1000</v>
      </c>
    </row>
    <row r="166" spans="1:38">
      <c r="A166" s="542">
        <f t="shared" si="84"/>
        <v>-11</v>
      </c>
      <c r="B166" s="363">
        <f t="shared" si="64"/>
        <v>6.9389263446314898E-3</v>
      </c>
      <c r="C166" s="543">
        <f t="shared" si="65"/>
        <v>-5.0885459860630913E-3</v>
      </c>
      <c r="D166" s="542">
        <f t="shared" si="85"/>
        <v>-11</v>
      </c>
      <c r="E166" s="363">
        <f t="shared" si="66"/>
        <v>6.9389263446314898E-3</v>
      </c>
      <c r="F166" s="543">
        <f t="shared" si="67"/>
        <v>-5.0885459860630913E-3</v>
      </c>
      <c r="G166" s="548">
        <f t="shared" si="68"/>
        <v>-21</v>
      </c>
      <c r="H166" s="363">
        <f t="shared" si="69"/>
        <v>2.0710844152466607E-4</v>
      </c>
      <c r="I166" s="363">
        <f t="shared" si="70"/>
        <v>-2.899518181345325E-4</v>
      </c>
      <c r="J166" s="364">
        <f t="shared" si="71"/>
        <v>7.1460347861561557E-3</v>
      </c>
      <c r="K166" s="194">
        <f t="shared" si="72"/>
        <v>2.0710844152466608E-2</v>
      </c>
      <c r="L166" s="646">
        <f t="shared" si="73"/>
        <v>0.69389263446314897</v>
      </c>
      <c r="M166" s="365">
        <f t="shared" si="74"/>
        <v>0.71460347861561557</v>
      </c>
      <c r="N166" s="194">
        <f t="shared" si="75"/>
        <v>-2.8995181813453251E-2</v>
      </c>
      <c r="O166" s="422">
        <f t="shared" si="76"/>
        <v>-0.50885459860630911</v>
      </c>
      <c r="P166" s="365">
        <f t="shared" si="77"/>
        <v>-0.53784978041976239</v>
      </c>
      <c r="S166" s="193"/>
      <c r="T166" s="193"/>
      <c r="U166" s="193"/>
      <c r="V166" s="193"/>
      <c r="W166" s="193"/>
      <c r="X166" s="193"/>
      <c r="Y166" s="503"/>
      <c r="Z166" s="193"/>
      <c r="AA166" s="520">
        <f t="shared" si="78"/>
        <v>-1.1983311472579443E-2</v>
      </c>
      <c r="AB166" s="496"/>
      <c r="AC166" s="521">
        <f t="shared" si="79"/>
        <v>-7.6591532674624679E-2</v>
      </c>
      <c r="AD166" s="496"/>
      <c r="AE166" s="522">
        <f t="shared" si="80"/>
        <v>-8.8574844147204124E-2</v>
      </c>
      <c r="AG166" s="531">
        <f t="shared" si="81"/>
        <v>3.9451231185446728E-5</v>
      </c>
      <c r="AH166" s="221" t="str">
        <f t="shared" si="82"/>
        <v>NO</v>
      </c>
      <c r="AI166" s="532">
        <f t="shared" si="83"/>
        <v>2.5215319399053389E-4</v>
      </c>
      <c r="AJ166" s="221" t="str">
        <f t="shared" si="62"/>
        <v>NO</v>
      </c>
      <c r="AK166" s="533">
        <f>IF('IN-OUT'!$F$35=0,AG166,IF('IN-OUT'!$F$26=0,'transversal subsidence profile'!AI166,'transversal subsidence profile'!AG166+'transversal subsidence profile'!AI166))</f>
        <v>2.9160442517598063E-4</v>
      </c>
      <c r="AL166" s="513">
        <f t="shared" si="63"/>
        <v>1000</v>
      </c>
    </row>
    <row r="167" spans="1:38">
      <c r="A167" s="542">
        <f t="shared" si="84"/>
        <v>-10.75</v>
      </c>
      <c r="B167" s="363">
        <f t="shared" si="64"/>
        <v>7.365580304909804E-3</v>
      </c>
      <c r="C167" s="543">
        <f t="shared" si="65"/>
        <v>-5.2786658851853591E-3</v>
      </c>
      <c r="D167" s="542">
        <f t="shared" si="85"/>
        <v>-10.75</v>
      </c>
      <c r="E167" s="363">
        <f t="shared" si="66"/>
        <v>7.365580304909804E-3</v>
      </c>
      <c r="F167" s="543">
        <f t="shared" si="67"/>
        <v>-5.2786658851853591E-3</v>
      </c>
      <c r="G167" s="548">
        <f t="shared" si="68"/>
        <v>-20.75</v>
      </c>
      <c r="H167" s="363">
        <f t="shared" si="69"/>
        <v>2.322427113871871E-4</v>
      </c>
      <c r="I167" s="363">
        <f t="shared" si="70"/>
        <v>-3.2126908408560881E-4</v>
      </c>
      <c r="J167" s="364">
        <f t="shared" si="71"/>
        <v>7.5978230162969907E-3</v>
      </c>
      <c r="K167" s="194">
        <f t="shared" si="72"/>
        <v>2.3224271138718711E-2</v>
      </c>
      <c r="L167" s="646">
        <f t="shared" si="73"/>
        <v>0.73655803049098045</v>
      </c>
      <c r="M167" s="365">
        <f t="shared" si="74"/>
        <v>0.75978230162969917</v>
      </c>
      <c r="N167" s="194">
        <f t="shared" si="75"/>
        <v>-3.2126908408560882E-2</v>
      </c>
      <c r="O167" s="422">
        <f t="shared" si="76"/>
        <v>-0.52786658851853596</v>
      </c>
      <c r="P167" s="365">
        <f t="shared" si="77"/>
        <v>-0.55999349692709688</v>
      </c>
      <c r="S167" s="193"/>
      <c r="T167" s="193"/>
      <c r="U167" s="193"/>
      <c r="V167" s="193"/>
      <c r="W167" s="193"/>
      <c r="X167" s="193"/>
      <c r="Y167" s="503"/>
      <c r="Z167" s="193"/>
      <c r="AA167" s="520">
        <f t="shared" si="78"/>
        <v>-1.3082899882442363E-2</v>
      </c>
      <c r="AB167" s="496"/>
      <c r="AC167" s="521">
        <f t="shared" si="79"/>
        <v>-7.5440785930489071E-2</v>
      </c>
      <c r="AD167" s="496"/>
      <c r="AE167" s="522">
        <f t="shared" si="80"/>
        <v>-8.8523685812931435E-2</v>
      </c>
      <c r="AG167" s="531">
        <f t="shared" si="81"/>
        <v>4.3071275333143581E-5</v>
      </c>
      <c r="AH167" s="221" t="str">
        <f t="shared" si="82"/>
        <v>NO</v>
      </c>
      <c r="AI167" s="532">
        <f t="shared" si="83"/>
        <v>2.4836472734317391E-4</v>
      </c>
      <c r="AJ167" s="221" t="str">
        <f t="shared" si="62"/>
        <v>NO</v>
      </c>
      <c r="AK167" s="533">
        <f>IF('IN-OUT'!$F$35=0,AG167,IF('IN-OUT'!$F$26=0,'transversal subsidence profile'!AI167,'transversal subsidence profile'!AG167+'transversal subsidence profile'!AI167))</f>
        <v>2.9143600267631751E-4</v>
      </c>
      <c r="AL167" s="513">
        <f t="shared" si="63"/>
        <v>1000</v>
      </c>
    </row>
    <row r="168" spans="1:38">
      <c r="A168" s="542">
        <f t="shared" si="84"/>
        <v>-10.5</v>
      </c>
      <c r="B168" s="363">
        <f t="shared" si="64"/>
        <v>7.8077503801128809E-3</v>
      </c>
      <c r="C168" s="543">
        <f t="shared" si="65"/>
        <v>-5.4654252660790168E-3</v>
      </c>
      <c r="D168" s="542">
        <f t="shared" si="85"/>
        <v>-10.5</v>
      </c>
      <c r="E168" s="363">
        <f t="shared" si="66"/>
        <v>7.8077503801128809E-3</v>
      </c>
      <c r="F168" s="543">
        <f t="shared" si="67"/>
        <v>-5.4654252660790168E-3</v>
      </c>
      <c r="G168" s="548">
        <f t="shared" si="68"/>
        <v>-20.5</v>
      </c>
      <c r="H168" s="363">
        <f t="shared" si="69"/>
        <v>2.6007023232469621E-4</v>
      </c>
      <c r="I168" s="363">
        <f t="shared" si="70"/>
        <v>-3.5542931751041806E-4</v>
      </c>
      <c r="J168" s="364">
        <f t="shared" si="71"/>
        <v>8.0678206124375762E-3</v>
      </c>
      <c r="K168" s="194">
        <f t="shared" si="72"/>
        <v>2.6007023232469621E-2</v>
      </c>
      <c r="L168" s="646">
        <f t="shared" si="73"/>
        <v>0.78077503801128811</v>
      </c>
      <c r="M168" s="365">
        <f t="shared" si="74"/>
        <v>0.80678206124375773</v>
      </c>
      <c r="N168" s="194">
        <f t="shared" si="75"/>
        <v>-3.5542931751041805E-2</v>
      </c>
      <c r="O168" s="422">
        <f t="shared" si="76"/>
        <v>-0.5465425266079017</v>
      </c>
      <c r="P168" s="365">
        <f t="shared" si="77"/>
        <v>-0.58208545835894354</v>
      </c>
      <c r="S168" s="193"/>
      <c r="T168" s="193"/>
      <c r="U168" s="193"/>
      <c r="V168" s="193"/>
      <c r="W168" s="193"/>
      <c r="X168" s="193"/>
      <c r="Y168" s="503"/>
      <c r="Z168" s="193"/>
      <c r="AA168" s="520">
        <f t="shared" si="78"/>
        <v>-1.4258079952323309E-2</v>
      </c>
      <c r="AB168" s="496"/>
      <c r="AC168" s="521">
        <f t="shared" si="79"/>
        <v>-7.3900518001068408E-2</v>
      </c>
      <c r="AD168" s="496"/>
      <c r="AE168" s="522">
        <f t="shared" si="80"/>
        <v>-8.8158597953391718E-2</v>
      </c>
      <c r="AG168" s="531">
        <f t="shared" si="81"/>
        <v>4.6940180912998539E-5</v>
      </c>
      <c r="AH168" s="221" t="str">
        <f t="shared" si="82"/>
        <v>NO</v>
      </c>
      <c r="AI168" s="532">
        <f t="shared" si="83"/>
        <v>2.4329388642327051E-4</v>
      </c>
      <c r="AJ168" s="221" t="str">
        <f t="shared" si="62"/>
        <v>NO</v>
      </c>
      <c r="AK168" s="533">
        <f>IF('IN-OUT'!$F$35=0,AG168,IF('IN-OUT'!$F$26=0,'transversal subsidence profile'!AI168,'transversal subsidence profile'!AG168+'transversal subsidence profile'!AI168))</f>
        <v>2.9023406733626905E-4</v>
      </c>
      <c r="AL168" s="513">
        <f t="shared" si="63"/>
        <v>1000</v>
      </c>
    </row>
    <row r="169" spans="1:38">
      <c r="A169" s="542">
        <f t="shared" si="84"/>
        <v>-10.25</v>
      </c>
      <c r="B169" s="363">
        <f t="shared" si="64"/>
        <v>8.265119390726822E-3</v>
      </c>
      <c r="C169" s="543">
        <f t="shared" si="65"/>
        <v>-5.6478315836633276E-3</v>
      </c>
      <c r="D169" s="542">
        <f t="shared" si="85"/>
        <v>-10.25</v>
      </c>
      <c r="E169" s="363">
        <f t="shared" si="66"/>
        <v>8.265119390726822E-3</v>
      </c>
      <c r="F169" s="543">
        <f t="shared" si="67"/>
        <v>-5.6478315836633276E-3</v>
      </c>
      <c r="G169" s="548">
        <f t="shared" si="68"/>
        <v>-20.25</v>
      </c>
      <c r="H169" s="363">
        <f t="shared" si="69"/>
        <v>2.908328492774706E-4</v>
      </c>
      <c r="I169" s="363">
        <f t="shared" si="70"/>
        <v>-3.9262434652458534E-4</v>
      </c>
      <c r="J169" s="364">
        <f t="shared" si="71"/>
        <v>8.5559522400042928E-3</v>
      </c>
      <c r="K169" s="194">
        <f t="shared" si="72"/>
        <v>2.9083284927747061E-2</v>
      </c>
      <c r="L169" s="646">
        <f t="shared" si="73"/>
        <v>0.82651193907268217</v>
      </c>
      <c r="M169" s="365">
        <f t="shared" si="74"/>
        <v>0.8555952240004292</v>
      </c>
      <c r="N169" s="194">
        <f t="shared" si="75"/>
        <v>-3.926243465245853E-2</v>
      </c>
      <c r="O169" s="422">
        <f t="shared" si="76"/>
        <v>-0.56478315836633275</v>
      </c>
      <c r="P169" s="365">
        <f t="shared" si="77"/>
        <v>-0.60404559301879124</v>
      </c>
      <c r="S169" s="193"/>
      <c r="T169" s="193"/>
      <c r="U169" s="193"/>
      <c r="V169" s="193"/>
      <c r="W169" s="193"/>
      <c r="X169" s="193"/>
      <c r="Y169" s="503"/>
      <c r="Z169" s="193"/>
      <c r="AA169" s="520">
        <f t="shared" si="78"/>
        <v>-1.5511085294798431E-2</v>
      </c>
      <c r="AB169" s="496"/>
      <c r="AC169" s="521">
        <f t="shared" si="79"/>
        <v>-7.1956046273177268E-2</v>
      </c>
      <c r="AD169" s="496"/>
      <c r="AE169" s="522">
        <f t="shared" si="80"/>
        <v>-8.7467131567975698E-2</v>
      </c>
      <c r="AG169" s="531">
        <f t="shared" si="81"/>
        <v>5.1065301382052446E-5</v>
      </c>
      <c r="AH169" s="221" t="str">
        <f t="shared" si="82"/>
        <v>NO</v>
      </c>
      <c r="AI169" s="532">
        <f t="shared" si="83"/>
        <v>2.3689233340963708E-4</v>
      </c>
      <c r="AJ169" s="221" t="str">
        <f t="shared" si="62"/>
        <v>NO</v>
      </c>
      <c r="AK169" s="533">
        <f>IF('IN-OUT'!$F$35=0,AG169,IF('IN-OUT'!$F$26=0,'transversal subsidence profile'!AI169,'transversal subsidence profile'!AG169+'transversal subsidence profile'!AI169))</f>
        <v>2.8795763479168952E-4</v>
      </c>
      <c r="AL169" s="513">
        <f t="shared" si="63"/>
        <v>1000</v>
      </c>
    </row>
    <row r="170" spans="1:38">
      <c r="A170" s="542">
        <f t="shared" si="84"/>
        <v>-10</v>
      </c>
      <c r="B170" s="363">
        <f t="shared" si="64"/>
        <v>8.7372870216931454E-3</v>
      </c>
      <c r="C170" s="543">
        <f t="shared" si="65"/>
        <v>-5.8248580144620969E-3</v>
      </c>
      <c r="D170" s="542">
        <f t="shared" si="85"/>
        <v>-10</v>
      </c>
      <c r="E170" s="363">
        <f t="shared" si="66"/>
        <v>8.7372870216931454E-3</v>
      </c>
      <c r="F170" s="543">
        <f t="shared" si="67"/>
        <v>-5.8248580144620969E-3</v>
      </c>
      <c r="G170" s="548">
        <f t="shared" si="68"/>
        <v>-20</v>
      </c>
      <c r="H170" s="363">
        <f t="shared" si="69"/>
        <v>3.247884154997016E-4</v>
      </c>
      <c r="I170" s="363">
        <f t="shared" si="70"/>
        <v>-4.3305122066626884E-4</v>
      </c>
      <c r="J170" s="364">
        <f t="shared" si="71"/>
        <v>9.0620754371928472E-3</v>
      </c>
      <c r="K170" s="194">
        <f t="shared" si="72"/>
        <v>3.2478841549970161E-2</v>
      </c>
      <c r="L170" s="646">
        <f t="shared" si="73"/>
        <v>0.87372870216931453</v>
      </c>
      <c r="M170" s="365">
        <f t="shared" si="74"/>
        <v>0.90620754371928469</v>
      </c>
      <c r="N170" s="194">
        <f t="shared" si="75"/>
        <v>-4.3305122066626886E-2</v>
      </c>
      <c r="O170" s="422">
        <f t="shared" si="76"/>
        <v>-0.58248580144620965</v>
      </c>
      <c r="P170" s="365">
        <f t="shared" si="77"/>
        <v>-0.62579092351283649</v>
      </c>
      <c r="S170" s="193"/>
      <c r="T170" s="193"/>
      <c r="U170" s="193"/>
      <c r="V170" s="193"/>
      <c r="W170" s="193"/>
      <c r="X170" s="193"/>
      <c r="Y170" s="503"/>
      <c r="Z170" s="193"/>
      <c r="AA170" s="520">
        <f t="shared" si="78"/>
        <v>-1.6843850976669482E-2</v>
      </c>
      <c r="AB170" s="496"/>
      <c r="AC170" s="521">
        <f t="shared" si="79"/>
        <v>-6.9594668458113657E-2</v>
      </c>
      <c r="AD170" s="496"/>
      <c r="AE170" s="522">
        <f t="shared" si="80"/>
        <v>-8.6438519434783145E-2</v>
      </c>
      <c r="AG170" s="531">
        <f t="shared" si="81"/>
        <v>5.5453007330599119E-5</v>
      </c>
      <c r="AH170" s="221" t="str">
        <f t="shared" si="82"/>
        <v>NO</v>
      </c>
      <c r="AI170" s="532">
        <f t="shared" si="83"/>
        <v>2.291182500678639E-4</v>
      </c>
      <c r="AJ170" s="221" t="str">
        <f t="shared" si="62"/>
        <v>NO</v>
      </c>
      <c r="AK170" s="533">
        <f>IF('IN-OUT'!$F$35=0,AG170,IF('IN-OUT'!$F$26=0,'transversal subsidence profile'!AI170,'transversal subsidence profile'!AG170+'transversal subsidence profile'!AI170))</f>
        <v>2.8457125739846301E-4</v>
      </c>
      <c r="AL170" s="513">
        <f t="shared" si="63"/>
        <v>1000</v>
      </c>
    </row>
    <row r="171" spans="1:38">
      <c r="A171" s="542">
        <f t="shared" si="84"/>
        <v>-9.75</v>
      </c>
      <c r="B171" s="363">
        <f t="shared" si="64"/>
        <v>9.2237672126020583E-3</v>
      </c>
      <c r="C171" s="543">
        <f t="shared" si="65"/>
        <v>-5.9954486881913377E-3</v>
      </c>
      <c r="D171" s="542">
        <f t="shared" si="85"/>
        <v>-9.75</v>
      </c>
      <c r="E171" s="363">
        <f t="shared" si="66"/>
        <v>9.2237672126020583E-3</v>
      </c>
      <c r="F171" s="543">
        <f t="shared" si="67"/>
        <v>-5.9954486881913377E-3</v>
      </c>
      <c r="G171" s="548">
        <f t="shared" si="68"/>
        <v>-19.75</v>
      </c>
      <c r="H171" s="363">
        <f t="shared" si="69"/>
        <v>3.6221118982736697E-4</v>
      </c>
      <c r="I171" s="363">
        <f t="shared" si="70"/>
        <v>-4.769113999393664E-4</v>
      </c>
      <c r="J171" s="364">
        <f t="shared" si="71"/>
        <v>9.5859784024294251E-3</v>
      </c>
      <c r="K171" s="194">
        <f t="shared" si="72"/>
        <v>3.6221118982736694E-2</v>
      </c>
      <c r="L171" s="646">
        <f t="shared" si="73"/>
        <v>0.92237672126020587</v>
      </c>
      <c r="M171" s="365">
        <f t="shared" si="74"/>
        <v>0.95859784024294259</v>
      </c>
      <c r="N171" s="194">
        <f t="shared" si="75"/>
        <v>-4.7691139993936642E-2</v>
      </c>
      <c r="O171" s="422">
        <f t="shared" si="76"/>
        <v>-0.59954486881913382</v>
      </c>
      <c r="P171" s="365">
        <f t="shared" si="77"/>
        <v>-0.64723600881307042</v>
      </c>
      <c r="S171" s="193"/>
      <c r="T171" s="193"/>
      <c r="U171" s="193"/>
      <c r="V171" s="193"/>
      <c r="W171" s="193"/>
      <c r="X171" s="193"/>
      <c r="Y171" s="503"/>
      <c r="Z171" s="193"/>
      <c r="AA171" s="520">
        <f t="shared" si="78"/>
        <v>-1.8257961393035635E-2</v>
      </c>
      <c r="AB171" s="496"/>
      <c r="AC171" s="521">
        <f t="shared" si="79"/>
        <v>-6.6805885984278265E-2</v>
      </c>
      <c r="AD171" s="496"/>
      <c r="AE171" s="522">
        <f t="shared" si="80"/>
        <v>-8.50638473773139E-2</v>
      </c>
      <c r="AG171" s="531">
        <f t="shared" si="81"/>
        <v>6.0108514874191379E-5</v>
      </c>
      <c r="AH171" s="221" t="str">
        <f t="shared" si="82"/>
        <v>NO</v>
      </c>
      <c r="AI171" s="532">
        <f t="shared" si="83"/>
        <v>2.1993707319927001E-4</v>
      </c>
      <c r="AJ171" s="221" t="str">
        <f t="shared" si="62"/>
        <v>NO</v>
      </c>
      <c r="AK171" s="533">
        <f>IF('IN-OUT'!$F$35=0,AG171,IF('IN-OUT'!$F$26=0,'transversal subsidence profile'!AI171,'transversal subsidence profile'!AG171+'transversal subsidence profile'!AI171))</f>
        <v>2.8004558807346138E-4</v>
      </c>
      <c r="AL171" s="513">
        <f t="shared" si="63"/>
        <v>1000</v>
      </c>
    </row>
    <row r="172" spans="1:38">
      <c r="A172" s="542">
        <f t="shared" si="84"/>
        <v>-9.5</v>
      </c>
      <c r="B172" s="363">
        <f t="shared" si="64"/>
        <v>9.7239860011743128E-3</v>
      </c>
      <c r="C172" s="543">
        <f t="shared" si="65"/>
        <v>-6.158524467410398E-3</v>
      </c>
      <c r="D172" s="542">
        <f t="shared" si="85"/>
        <v>-9.5</v>
      </c>
      <c r="E172" s="363">
        <f t="shared" si="66"/>
        <v>9.7239860011743128E-3</v>
      </c>
      <c r="F172" s="543">
        <f t="shared" si="67"/>
        <v>-6.158524467410398E-3</v>
      </c>
      <c r="G172" s="548">
        <f t="shared" si="68"/>
        <v>-19.5</v>
      </c>
      <c r="H172" s="363">
        <f t="shared" si="69"/>
        <v>4.0339216174737393E-4</v>
      </c>
      <c r="I172" s="363">
        <f t="shared" si="70"/>
        <v>-5.2440981027158614E-4</v>
      </c>
      <c r="J172" s="364">
        <f t="shared" si="71"/>
        <v>1.0127378162921686E-2</v>
      </c>
      <c r="K172" s="194">
        <f t="shared" si="72"/>
        <v>4.0339216174737395E-2</v>
      </c>
      <c r="L172" s="646">
        <f t="shared" si="73"/>
        <v>0.97239860011743129</v>
      </c>
      <c r="M172" s="365">
        <f t="shared" si="74"/>
        <v>1.0127378162921687</v>
      </c>
      <c r="N172" s="194">
        <f t="shared" si="75"/>
        <v>-5.2440981027158613E-2</v>
      </c>
      <c r="O172" s="422">
        <f t="shared" si="76"/>
        <v>-0.61585244674103978</v>
      </c>
      <c r="P172" s="365">
        <f t="shared" si="77"/>
        <v>-0.66829342776819844</v>
      </c>
      <c r="S172" s="193"/>
      <c r="T172" s="193"/>
      <c r="U172" s="193"/>
      <c r="V172" s="193"/>
      <c r="W172" s="193"/>
      <c r="X172" s="193"/>
      <c r="Y172" s="503"/>
      <c r="Z172" s="193"/>
      <c r="AA172" s="520">
        <f t="shared" si="78"/>
        <v>-1.9754595575282918E-2</v>
      </c>
      <c r="AB172" s="496"/>
      <c r="AC172" s="521">
        <f t="shared" si="79"/>
        <v>-6.3581618571921641E-2</v>
      </c>
      <c r="AD172" s="496"/>
      <c r="AE172" s="522">
        <f t="shared" si="80"/>
        <v>-8.333621414720456E-2</v>
      </c>
      <c r="AG172" s="531">
        <f t="shared" si="81"/>
        <v>6.5035705597639239E-5</v>
      </c>
      <c r="AH172" s="221" t="str">
        <f t="shared" si="82"/>
        <v>NO</v>
      </c>
      <c r="AI172" s="532">
        <f t="shared" si="83"/>
        <v>2.0932220105982435E-4</v>
      </c>
      <c r="AJ172" s="221" t="str">
        <f t="shared" si="62"/>
        <v>NO</v>
      </c>
      <c r="AK172" s="533">
        <f>IF('IN-OUT'!$F$35=0,AG172,IF('IN-OUT'!$F$26=0,'transversal subsidence profile'!AI172,'transversal subsidence profile'!AG172+'transversal subsidence profile'!AI172))</f>
        <v>2.743579066574636E-4</v>
      </c>
      <c r="AL172" s="513">
        <f t="shared" si="63"/>
        <v>1000</v>
      </c>
    </row>
    <row r="173" spans="1:38">
      <c r="A173" s="542">
        <f t="shared" si="84"/>
        <v>-9.25</v>
      </c>
      <c r="B173" s="363">
        <f t="shared" si="64"/>
        <v>1.0237279864132715E-2</v>
      </c>
      <c r="C173" s="543">
        <f t="shared" si="65"/>
        <v>-6.3129892495485075E-3</v>
      </c>
      <c r="D173" s="542">
        <f t="shared" si="85"/>
        <v>-9.25</v>
      </c>
      <c r="E173" s="363">
        <f t="shared" si="66"/>
        <v>1.0237279864132715E-2</v>
      </c>
      <c r="F173" s="543">
        <f t="shared" si="67"/>
        <v>-6.3129892495485075E-3</v>
      </c>
      <c r="G173" s="548">
        <f t="shared" si="68"/>
        <v>-19.25</v>
      </c>
      <c r="H173" s="363">
        <f t="shared" si="69"/>
        <v>4.4863929302020323E-4</v>
      </c>
      <c r="I173" s="363">
        <f t="shared" si="70"/>
        <v>-5.7575375937592751E-4</v>
      </c>
      <c r="J173" s="364">
        <f t="shared" si="71"/>
        <v>1.0685919157152918E-2</v>
      </c>
      <c r="K173" s="194">
        <f t="shared" si="72"/>
        <v>4.4863929302020322E-2</v>
      </c>
      <c r="L173" s="646">
        <f t="shared" si="73"/>
        <v>1.0237279864132716</v>
      </c>
      <c r="M173" s="365">
        <f t="shared" si="74"/>
        <v>1.0685919157152919</v>
      </c>
      <c r="N173" s="194">
        <f t="shared" si="75"/>
        <v>-5.7575375937592752E-2</v>
      </c>
      <c r="O173" s="422">
        <f t="shared" si="76"/>
        <v>-0.63129892495485074</v>
      </c>
      <c r="P173" s="365">
        <f t="shared" si="77"/>
        <v>-0.6888743008924435</v>
      </c>
      <c r="S173" s="193"/>
      <c r="T173" s="193"/>
      <c r="U173" s="193"/>
      <c r="V173" s="193"/>
      <c r="W173" s="193"/>
      <c r="X173" s="193"/>
      <c r="Y173" s="503"/>
      <c r="Z173" s="193"/>
      <c r="AA173" s="520">
        <f t="shared" si="78"/>
        <v>-2.1334470267078711E-2</v>
      </c>
      <c r="AB173" s="496"/>
      <c r="AC173" s="521">
        <f t="shared" si="79"/>
        <v>-5.9916407069455307E-2</v>
      </c>
      <c r="AD173" s="496"/>
      <c r="AE173" s="522">
        <f t="shared" si="80"/>
        <v>-8.1250877336534022E-2</v>
      </c>
      <c r="AG173" s="531">
        <f t="shared" si="81"/>
        <v>7.0236939150876421E-5</v>
      </c>
      <c r="AH173" s="221" t="str">
        <f t="shared" si="82"/>
        <v>NO</v>
      </c>
      <c r="AI173" s="532">
        <f t="shared" si="83"/>
        <v>1.9725566113400924E-4</v>
      </c>
      <c r="AJ173" s="221" t="str">
        <f t="shared" si="62"/>
        <v>NO</v>
      </c>
      <c r="AK173" s="533">
        <f>IF('IN-OUT'!$F$35=0,AG173,IF('IN-OUT'!$F$26=0,'transversal subsidence profile'!AI173,'transversal subsidence profile'!AG173+'transversal subsidence profile'!AI173))</f>
        <v>2.6749260028488563E-4</v>
      </c>
      <c r="AL173" s="513">
        <f t="shared" si="63"/>
        <v>1000</v>
      </c>
    </row>
    <row r="174" spans="1:38">
      <c r="A174" s="542">
        <f t="shared" si="84"/>
        <v>-9</v>
      </c>
      <c r="B174" s="363">
        <f t="shared" si="64"/>
        <v>1.0762894597148773E-2</v>
      </c>
      <c r="C174" s="543">
        <f t="shared" si="65"/>
        <v>-6.4577367582892651E-3</v>
      </c>
      <c r="D174" s="542">
        <f t="shared" si="85"/>
        <v>-9</v>
      </c>
      <c r="E174" s="363">
        <f t="shared" si="66"/>
        <v>1.0762894597148773E-2</v>
      </c>
      <c r="F174" s="543">
        <f t="shared" si="67"/>
        <v>-6.4577367582892651E-3</v>
      </c>
      <c r="G174" s="548">
        <f t="shared" si="68"/>
        <v>-19</v>
      </c>
      <c r="H174" s="363">
        <f t="shared" si="69"/>
        <v>4.9827766415018232E-4</v>
      </c>
      <c r="I174" s="363">
        <f t="shared" si="70"/>
        <v>-6.3115170792356432E-4</v>
      </c>
      <c r="J174" s="364">
        <f t="shared" si="71"/>
        <v>1.1261172261298956E-2</v>
      </c>
      <c r="K174" s="194">
        <f t="shared" si="72"/>
        <v>4.9827766415018231E-2</v>
      </c>
      <c r="L174" s="646">
        <f t="shared" si="73"/>
        <v>1.0762894597148773</v>
      </c>
      <c r="M174" s="365">
        <f t="shared" si="74"/>
        <v>1.1261172261298955</v>
      </c>
      <c r="N174" s="194">
        <f t="shared" si="75"/>
        <v>-6.3115170792356429E-2</v>
      </c>
      <c r="O174" s="422">
        <f t="shared" si="76"/>
        <v>-0.64577367582892653</v>
      </c>
      <c r="P174" s="365">
        <f t="shared" si="77"/>
        <v>-0.70888884662128293</v>
      </c>
      <c r="S174" s="193"/>
      <c r="T174" s="193"/>
      <c r="U174" s="193"/>
      <c r="V174" s="193"/>
      <c r="W174" s="193"/>
      <c r="X174" s="193"/>
      <c r="Y174" s="503"/>
      <c r="Z174" s="193"/>
      <c r="AA174" s="520">
        <f t="shared" si="78"/>
        <v>-2.2997781170242069E-2</v>
      </c>
      <c r="AB174" s="496"/>
      <c r="AC174" s="521">
        <f t="shared" si="79"/>
        <v>-5.5807601614845485E-2</v>
      </c>
      <c r="AD174" s="496"/>
      <c r="AE174" s="522">
        <f t="shared" si="80"/>
        <v>-7.8805382785087558E-2</v>
      </c>
      <c r="AG174" s="531">
        <f t="shared" si="81"/>
        <v>7.5712859819726969E-5</v>
      </c>
      <c r="AH174" s="221" t="str">
        <f t="shared" si="82"/>
        <v>NO</v>
      </c>
      <c r="AI174" s="532">
        <f t="shared" si="83"/>
        <v>1.8372872959619913E-4</v>
      </c>
      <c r="AJ174" s="221" t="str">
        <f t="shared" si="62"/>
        <v>NO</v>
      </c>
      <c r="AK174" s="533">
        <f>IF('IN-OUT'!$F$35=0,AG174,IF('IN-OUT'!$F$26=0,'transversal subsidence profile'!AI174,'transversal subsidence profile'!AG174+'transversal subsidence profile'!AI174))</f>
        <v>2.5944158941592613E-4</v>
      </c>
      <c r="AL174" s="513">
        <f t="shared" si="63"/>
        <v>1000</v>
      </c>
    </row>
    <row r="175" spans="1:38">
      <c r="A175" s="542">
        <f t="shared" si="84"/>
        <v>-8.75</v>
      </c>
      <c r="B175" s="363">
        <f t="shared" si="64"/>
        <v>1.129998477253083E-2</v>
      </c>
      <c r="C175" s="543">
        <f t="shared" si="65"/>
        <v>-6.5916577839763169E-3</v>
      </c>
      <c r="D175" s="542">
        <f t="shared" si="85"/>
        <v>-8.75</v>
      </c>
      <c r="E175" s="363">
        <f t="shared" si="66"/>
        <v>1.129998477253083E-2</v>
      </c>
      <c r="F175" s="543">
        <f t="shared" si="67"/>
        <v>-6.5916577839763169E-3</v>
      </c>
      <c r="G175" s="548">
        <f t="shared" si="68"/>
        <v>-18.75</v>
      </c>
      <c r="H175" s="363">
        <f t="shared" si="69"/>
        <v>5.5264951362214471E-4</v>
      </c>
      <c r="I175" s="363">
        <f t="shared" si="70"/>
        <v>-6.9081189202768083E-4</v>
      </c>
      <c r="J175" s="364">
        <f t="shared" si="71"/>
        <v>1.1852634286152975E-2</v>
      </c>
      <c r="K175" s="194">
        <f t="shared" si="72"/>
        <v>5.5264951362214473E-2</v>
      </c>
      <c r="L175" s="646">
        <f t="shared" si="73"/>
        <v>1.1299984772530829</v>
      </c>
      <c r="M175" s="365">
        <f t="shared" si="74"/>
        <v>1.1852634286152974</v>
      </c>
      <c r="N175" s="194">
        <f t="shared" si="75"/>
        <v>-6.9081189202768081E-2</v>
      </c>
      <c r="O175" s="422">
        <f t="shared" si="76"/>
        <v>-0.65916577839763169</v>
      </c>
      <c r="P175" s="365">
        <f t="shared" si="77"/>
        <v>-0.72824696760039975</v>
      </c>
      <c r="S175" s="193"/>
      <c r="T175" s="193"/>
      <c r="U175" s="193"/>
      <c r="V175" s="193"/>
      <c r="W175" s="193"/>
      <c r="X175" s="193"/>
      <c r="Y175" s="503"/>
      <c r="Z175" s="193"/>
      <c r="AA175" s="520">
        <f t="shared" si="78"/>
        <v>-2.4744142832135531E-2</v>
      </c>
      <c r="AB175" s="496"/>
      <c r="AC175" s="521">
        <f t="shared" si="79"/>
        <v>-5.125553221010784E-2</v>
      </c>
      <c r="AD175" s="496"/>
      <c r="AE175" s="522">
        <f t="shared" si="80"/>
        <v>-7.5999675042243364E-2</v>
      </c>
      <c r="AG175" s="531">
        <f t="shared" si="81"/>
        <v>8.1462198624314492E-5</v>
      </c>
      <c r="AH175" s="221" t="str">
        <f t="shared" si="82"/>
        <v>NO</v>
      </c>
      <c r="AI175" s="532">
        <f t="shared" si="83"/>
        <v>1.6874249287278297E-4</v>
      </c>
      <c r="AJ175" s="221" t="str">
        <f t="shared" si="62"/>
        <v>NO</v>
      </c>
      <c r="AK175" s="533">
        <f>IF('IN-OUT'!$F$35=0,AG175,IF('IN-OUT'!$F$26=0,'transversal subsidence profile'!AI175,'transversal subsidence profile'!AG175+'transversal subsidence profile'!AI175))</f>
        <v>2.5020469149709745E-4</v>
      </c>
      <c r="AL175" s="513">
        <f t="shared" si="63"/>
        <v>1000</v>
      </c>
    </row>
    <row r="176" spans="1:38">
      <c r="A176" s="542">
        <f t="shared" si="84"/>
        <v>-8.5</v>
      </c>
      <c r="B176" s="363">
        <f t="shared" si="64"/>
        <v>1.1847613809702531E-2</v>
      </c>
      <c r="C176" s="543">
        <f t="shared" si="65"/>
        <v>-6.7136478254981001E-3</v>
      </c>
      <c r="D176" s="542">
        <f t="shared" si="85"/>
        <v>-8.5</v>
      </c>
      <c r="E176" s="363">
        <f t="shared" si="66"/>
        <v>1.1847613809702531E-2</v>
      </c>
      <c r="F176" s="543">
        <f t="shared" si="67"/>
        <v>-6.7136478254981001E-3</v>
      </c>
      <c r="G176" s="548">
        <f t="shared" si="68"/>
        <v>-18.5</v>
      </c>
      <c r="H176" s="363">
        <f t="shared" si="69"/>
        <v>6.1211415754493497E-4</v>
      </c>
      <c r="I176" s="363">
        <f t="shared" si="70"/>
        <v>-7.5494079430541978E-4</v>
      </c>
      <c r="J176" s="364">
        <f t="shared" si="71"/>
        <v>1.2459727967247466E-2</v>
      </c>
      <c r="K176" s="194">
        <f t="shared" si="72"/>
        <v>6.1211415754493501E-2</v>
      </c>
      <c r="L176" s="646">
        <f t="shared" si="73"/>
        <v>1.1847613809702531</v>
      </c>
      <c r="M176" s="365">
        <f t="shared" si="74"/>
        <v>1.2459727967247465</v>
      </c>
      <c r="N176" s="194">
        <f t="shared" si="75"/>
        <v>-7.5494079430541983E-2</v>
      </c>
      <c r="O176" s="422">
        <f t="shared" si="76"/>
        <v>-0.67136478254981002</v>
      </c>
      <c r="P176" s="365">
        <f t="shared" si="77"/>
        <v>-0.74685886198035201</v>
      </c>
      <c r="S176" s="193"/>
      <c r="T176" s="193"/>
      <c r="U176" s="193"/>
      <c r="V176" s="193"/>
      <c r="W176" s="193"/>
      <c r="X176" s="193"/>
      <c r="Y176" s="503"/>
      <c r="Z176" s="193"/>
      <c r="AA176" s="520">
        <f t="shared" si="78"/>
        <v>-2.6572527717108427E-2</v>
      </c>
      <c r="AB176" s="496"/>
      <c r="AC176" s="521">
        <f t="shared" si="79"/>
        <v>-4.6263658863676088E-2</v>
      </c>
      <c r="AD176" s="496"/>
      <c r="AE176" s="522">
        <f t="shared" si="80"/>
        <v>-7.2836186580784515E-2</v>
      </c>
      <c r="AG176" s="531">
        <f t="shared" si="81"/>
        <v>8.7481572731221157E-5</v>
      </c>
      <c r="AH176" s="221" t="str">
        <f t="shared" si="82"/>
        <v>NO</v>
      </c>
      <c r="AI176" s="532">
        <f t="shared" si="83"/>
        <v>1.5230834193802825E-4</v>
      </c>
      <c r="AJ176" s="221" t="str">
        <f t="shared" si="62"/>
        <v>NO</v>
      </c>
      <c r="AK176" s="533">
        <f>IF('IN-OUT'!$F$35=0,AG176,IF('IN-OUT'!$F$26=0,'transversal subsidence profile'!AI176,'transversal subsidence profile'!AG176+'transversal subsidence profile'!AI176))</f>
        <v>2.397899146692494E-4</v>
      </c>
      <c r="AL176" s="513">
        <f t="shared" si="63"/>
        <v>1000</v>
      </c>
    </row>
    <row r="177" spans="1:38">
      <c r="A177" s="542">
        <f t="shared" si="84"/>
        <v>-8.25</v>
      </c>
      <c r="B177" s="363">
        <f t="shared" si="64"/>
        <v>1.2404754689318138E-2</v>
      </c>
      <c r="C177" s="543">
        <f t="shared" si="65"/>
        <v>-6.8226150791249763E-3</v>
      </c>
      <c r="D177" s="542">
        <f t="shared" si="85"/>
        <v>-8.25</v>
      </c>
      <c r="E177" s="363">
        <f t="shared" si="66"/>
        <v>1.2404754689318138E-2</v>
      </c>
      <c r="F177" s="543">
        <f t="shared" si="67"/>
        <v>-6.8226150791249763E-3</v>
      </c>
      <c r="G177" s="548">
        <f t="shared" si="68"/>
        <v>-18.25</v>
      </c>
      <c r="H177" s="363">
        <f t="shared" si="69"/>
        <v>6.7704777717553515E-4</v>
      </c>
      <c r="I177" s="363">
        <f t="shared" si="70"/>
        <v>-8.2374146223023435E-4</v>
      </c>
      <c r="J177" s="364">
        <f t="shared" si="71"/>
        <v>1.3081802466493674E-2</v>
      </c>
      <c r="K177" s="194">
        <f t="shared" si="72"/>
        <v>6.770477771755351E-2</v>
      </c>
      <c r="L177" s="646">
        <f t="shared" si="73"/>
        <v>1.2404754689318138</v>
      </c>
      <c r="M177" s="365">
        <f t="shared" si="74"/>
        <v>1.3081802466493673</v>
      </c>
      <c r="N177" s="194">
        <f t="shared" si="75"/>
        <v>-8.2374146223023442E-2</v>
      </c>
      <c r="O177" s="422">
        <f t="shared" si="76"/>
        <v>-0.68226150791249762</v>
      </c>
      <c r="P177" s="365">
        <f t="shared" si="77"/>
        <v>-0.76463565413552104</v>
      </c>
      <c r="S177" s="193"/>
      <c r="T177" s="193"/>
      <c r="U177" s="193"/>
      <c r="V177" s="193"/>
      <c r="W177" s="193"/>
      <c r="X177" s="193"/>
      <c r="Y177" s="503"/>
      <c r="Z177" s="193"/>
      <c r="AA177" s="520">
        <f t="shared" si="78"/>
        <v>-2.8481205075514049E-2</v>
      </c>
      <c r="AB177" s="496"/>
      <c r="AC177" s="521">
        <f t="shared" si="79"/>
        <v>-4.0838698565656417E-2</v>
      </c>
      <c r="AD177" s="496"/>
      <c r="AE177" s="522">
        <f t="shared" si="80"/>
        <v>-6.9319903641170466E-2</v>
      </c>
      <c r="AG177" s="531">
        <f t="shared" si="81"/>
        <v>9.3765284199223204E-5</v>
      </c>
      <c r="AH177" s="221" t="str">
        <f t="shared" si="82"/>
        <v>NO</v>
      </c>
      <c r="AI177" s="532">
        <f t="shared" si="83"/>
        <v>1.344483903396096E-4</v>
      </c>
      <c r="AJ177" s="221" t="str">
        <f t="shared" si="62"/>
        <v>NO</v>
      </c>
      <c r="AK177" s="533">
        <f>IF('IN-OUT'!$F$35=0,AG177,IF('IN-OUT'!$F$26=0,'transversal subsidence profile'!AI177,'transversal subsidence profile'!AG177+'transversal subsidence profile'!AI177))</f>
        <v>2.2821367453883281E-4</v>
      </c>
      <c r="AL177" s="513">
        <f t="shared" si="63"/>
        <v>1000</v>
      </c>
    </row>
    <row r="178" spans="1:38">
      <c r="A178" s="542">
        <f t="shared" si="84"/>
        <v>-8</v>
      </c>
      <c r="B178" s="363">
        <f t="shared" si="64"/>
        <v>1.2970291337097047E-2</v>
      </c>
      <c r="C178" s="543">
        <f t="shared" si="65"/>
        <v>-6.9174887131184248E-3</v>
      </c>
      <c r="D178" s="542">
        <f t="shared" si="85"/>
        <v>-8</v>
      </c>
      <c r="E178" s="363">
        <f t="shared" si="66"/>
        <v>1.2970291337097047E-2</v>
      </c>
      <c r="F178" s="543">
        <f t="shared" si="67"/>
        <v>-6.9174887131184248E-3</v>
      </c>
      <c r="G178" s="548">
        <f t="shared" si="68"/>
        <v>-18</v>
      </c>
      <c r="H178" s="363">
        <f t="shared" si="69"/>
        <v>7.4784306175714106E-4</v>
      </c>
      <c r="I178" s="363">
        <f t="shared" si="70"/>
        <v>-8.974116741085694E-4</v>
      </c>
      <c r="J178" s="364">
        <f t="shared" si="71"/>
        <v>1.3718134398854187E-2</v>
      </c>
      <c r="K178" s="194">
        <f t="shared" si="72"/>
        <v>7.4784306175714105E-2</v>
      </c>
      <c r="L178" s="646">
        <f t="shared" si="73"/>
        <v>1.2970291337097046</v>
      </c>
      <c r="M178" s="365">
        <f t="shared" si="74"/>
        <v>1.3718134398854187</v>
      </c>
      <c r="N178" s="194">
        <f t="shared" si="75"/>
        <v>-8.9741167410856942E-2</v>
      </c>
      <c r="O178" s="422">
        <f t="shared" si="76"/>
        <v>-0.69174887131184248</v>
      </c>
      <c r="P178" s="365">
        <f t="shared" si="77"/>
        <v>-0.7814900387226994</v>
      </c>
      <c r="S178" s="193"/>
      <c r="T178" s="193"/>
      <c r="U178" s="193"/>
      <c r="V178" s="193"/>
      <c r="W178" s="193"/>
      <c r="X178" s="193"/>
      <c r="Y178" s="503"/>
      <c r="Z178" s="193"/>
      <c r="AA178" s="520">
        <f t="shared" si="78"/>
        <v>-3.0467680293809453E-2</v>
      </c>
      <c r="AB178" s="496"/>
      <c r="AC178" s="521">
        <f t="shared" si="79"/>
        <v>-3.4990726515259515E-2</v>
      </c>
      <c r="AD178" s="496"/>
      <c r="AE178" s="522">
        <f t="shared" si="80"/>
        <v>-6.5458406809068975E-2</v>
      </c>
      <c r="AG178" s="531">
        <f t="shared" si="81"/>
        <v>1.0030512030883768E-4</v>
      </c>
      <c r="AH178" s="221" t="str">
        <f t="shared" si="82"/>
        <v>NO</v>
      </c>
      <c r="AI178" s="532">
        <f t="shared" si="83"/>
        <v>1.1519580745764449E-4</v>
      </c>
      <c r="AJ178" s="221" t="str">
        <f t="shared" si="62"/>
        <v>NO</v>
      </c>
      <c r="AK178" s="533">
        <f>IF('IN-OUT'!$F$35=0,AG178,IF('IN-OUT'!$F$26=0,'transversal subsidence profile'!AI178,'transversal subsidence profile'!AG178+'transversal subsidence profile'!AI178))</f>
        <v>2.1550092776648216E-4</v>
      </c>
      <c r="AL178" s="513">
        <f t="shared" si="63"/>
        <v>1000</v>
      </c>
    </row>
    <row r="179" spans="1:38">
      <c r="A179" s="542">
        <f t="shared" si="84"/>
        <v>-7.75</v>
      </c>
      <c r="B179" s="363">
        <f t="shared" si="64"/>
        <v>1.3543020698165252E-2</v>
      </c>
      <c r="C179" s="543">
        <f t="shared" si="65"/>
        <v>-6.9972273607187135E-3</v>
      </c>
      <c r="D179" s="542">
        <f t="shared" si="85"/>
        <v>-7.75</v>
      </c>
      <c r="E179" s="363">
        <f t="shared" si="66"/>
        <v>1.3543020698165252E-2</v>
      </c>
      <c r="F179" s="543">
        <f t="shared" si="67"/>
        <v>-6.9972273607187135E-3</v>
      </c>
      <c r="G179" s="548">
        <f t="shared" si="68"/>
        <v>-17.75</v>
      </c>
      <c r="H179" s="363">
        <f t="shared" si="69"/>
        <v>8.2490869420467786E-4</v>
      </c>
      <c r="I179" s="363">
        <f t="shared" si="70"/>
        <v>-9.7614195480886883E-4</v>
      </c>
      <c r="J179" s="364">
        <f t="shared" si="71"/>
        <v>1.436792939236993E-2</v>
      </c>
      <c r="K179" s="194">
        <f t="shared" si="72"/>
        <v>8.249086942046778E-2</v>
      </c>
      <c r="L179" s="646">
        <f t="shared" si="73"/>
        <v>1.3543020698165253</v>
      </c>
      <c r="M179" s="365">
        <f t="shared" si="74"/>
        <v>1.4367929392369931</v>
      </c>
      <c r="N179" s="194">
        <f t="shared" si="75"/>
        <v>-9.7614195480886887E-2</v>
      </c>
      <c r="O179" s="422">
        <f t="shared" si="76"/>
        <v>-0.69972273607187141</v>
      </c>
      <c r="P179" s="365">
        <f t="shared" si="77"/>
        <v>-0.79733693155275831</v>
      </c>
      <c r="S179" s="193"/>
      <c r="T179" s="193"/>
      <c r="U179" s="193"/>
      <c r="V179" s="193"/>
      <c r="W179" s="193"/>
      <c r="X179" s="193"/>
      <c r="Y179" s="503"/>
      <c r="Z179" s="193"/>
      <c r="AA179" s="520">
        <f t="shared" si="78"/>
        <v>-3.2528635477005678E-2</v>
      </c>
      <c r="AB179" s="496"/>
      <c r="AC179" s="521">
        <f t="shared" si="79"/>
        <v>-2.873324921787232E-2</v>
      </c>
      <c r="AD179" s="496"/>
      <c r="AE179" s="522">
        <f t="shared" si="80"/>
        <v>-6.1261884694877998E-2</v>
      </c>
      <c r="AG179" s="531">
        <f t="shared" si="81"/>
        <v>1.0709015794898989E-4</v>
      </c>
      <c r="AH179" s="221" t="str">
        <f t="shared" si="82"/>
        <v>NO</v>
      </c>
      <c r="AI179" s="532">
        <f t="shared" si="83"/>
        <v>9.4595059153489112E-5</v>
      </c>
      <c r="AJ179" s="221" t="str">
        <f t="shared" si="62"/>
        <v>NO</v>
      </c>
      <c r="AK179" s="533">
        <f>IF('IN-OUT'!$F$35=0,AG179,IF('IN-OUT'!$F$26=0,'transversal subsidence profile'!AI179,'transversal subsidence profile'!AG179+'transversal subsidence profile'!AI179))</f>
        <v>2.0168521710247901E-4</v>
      </c>
      <c r="AL179" s="513">
        <f t="shared" si="63"/>
        <v>1000</v>
      </c>
    </row>
    <row r="180" spans="1:38">
      <c r="A180" s="542">
        <f t="shared" si="84"/>
        <v>-7.5</v>
      </c>
      <c r="B180" s="363">
        <f t="shared" si="64"/>
        <v>1.4121655516907592E-2</v>
      </c>
      <c r="C180" s="543">
        <f t="shared" si="65"/>
        <v>-7.0608277584537959E-3</v>
      </c>
      <c r="D180" s="542">
        <f t="shared" si="85"/>
        <v>-7.5</v>
      </c>
      <c r="E180" s="363">
        <f t="shared" si="66"/>
        <v>1.4121655516907592E-2</v>
      </c>
      <c r="F180" s="543">
        <f t="shared" si="67"/>
        <v>-7.0608277584537959E-3</v>
      </c>
      <c r="G180" s="548">
        <f t="shared" si="68"/>
        <v>-17.5</v>
      </c>
      <c r="H180" s="363">
        <f t="shared" si="69"/>
        <v>9.0866866742590074E-4</v>
      </c>
      <c r="I180" s="363">
        <f t="shared" si="70"/>
        <v>-1.0601134453302175E-3</v>
      </c>
      <c r="J180" s="364">
        <f t="shared" si="71"/>
        <v>1.5030324184333492E-2</v>
      </c>
      <c r="K180" s="194">
        <f t="shared" si="72"/>
        <v>9.0866866742590077E-2</v>
      </c>
      <c r="L180" s="646">
        <f t="shared" si="73"/>
        <v>1.4121655516907592</v>
      </c>
      <c r="M180" s="365">
        <f t="shared" si="74"/>
        <v>1.5030324184333492</v>
      </c>
      <c r="N180" s="194">
        <f t="shared" si="75"/>
        <v>-0.10601134453302175</v>
      </c>
      <c r="O180" s="422">
        <f t="shared" si="76"/>
        <v>-0.7060827758453796</v>
      </c>
      <c r="P180" s="365">
        <f t="shared" si="77"/>
        <v>-0.81209412037840134</v>
      </c>
      <c r="S180" s="193"/>
      <c r="T180" s="193"/>
      <c r="U180" s="193"/>
      <c r="V180" s="193"/>
      <c r="W180" s="193"/>
      <c r="X180" s="193"/>
      <c r="Y180" s="503"/>
      <c r="Z180" s="193"/>
      <c r="AA180" s="520">
        <f t="shared" si="78"/>
        <v>-3.4659872078952277E-2</v>
      </c>
      <c r="AB180" s="496"/>
      <c r="AC180" s="521">
        <f t="shared" si="79"/>
        <v>-2.2083247310390467E-2</v>
      </c>
      <c r="AD180" s="496"/>
      <c r="AE180" s="522">
        <f t="shared" si="80"/>
        <v>-5.6743119389342747E-2</v>
      </c>
      <c r="AG180" s="531">
        <f t="shared" si="81"/>
        <v>1.1410657474552191E-4</v>
      </c>
      <c r="AH180" s="221" t="str">
        <f t="shared" si="82"/>
        <v>NO</v>
      </c>
      <c r="AI180" s="532">
        <f t="shared" si="83"/>
        <v>7.2702048758487112E-5</v>
      </c>
      <c r="AJ180" s="221" t="str">
        <f t="shared" si="62"/>
        <v>NO</v>
      </c>
      <c r="AK180" s="533">
        <f>IF('IN-OUT'!$F$35=0,AG180,IF('IN-OUT'!$F$26=0,'transversal subsidence profile'!AI180,'transversal subsidence profile'!AG180+'transversal subsidence profile'!AI180))</f>
        <v>1.8680862350400901E-4</v>
      </c>
      <c r="AL180" s="513">
        <f t="shared" si="63"/>
        <v>1000</v>
      </c>
    </row>
    <row r="181" spans="1:38">
      <c r="A181" s="542">
        <f t="shared" si="84"/>
        <v>-7.25</v>
      </c>
      <c r="B181" s="363">
        <f t="shared" si="64"/>
        <v>1.4704827831110668E-2</v>
      </c>
      <c r="C181" s="543">
        <f t="shared" si="65"/>
        <v>-7.1073334517034892E-3</v>
      </c>
      <c r="D181" s="542">
        <f t="shared" si="85"/>
        <v>-7.25</v>
      </c>
      <c r="E181" s="363">
        <f t="shared" si="66"/>
        <v>1.4704827831110668E-2</v>
      </c>
      <c r="F181" s="543">
        <f t="shared" si="67"/>
        <v>-7.1073334517034892E-3</v>
      </c>
      <c r="G181" s="548">
        <f t="shared" si="68"/>
        <v>-17.25</v>
      </c>
      <c r="H181" s="363">
        <f t="shared" si="69"/>
        <v>9.9956141948862151E-4</v>
      </c>
      <c r="I181" s="363">
        <f t="shared" si="70"/>
        <v>-1.1494956324119149E-3</v>
      </c>
      <c r="J181" s="364">
        <f t="shared" si="71"/>
        <v>1.570438925059929E-2</v>
      </c>
      <c r="K181" s="194">
        <f t="shared" si="72"/>
        <v>9.9956141948862154E-2</v>
      </c>
      <c r="L181" s="646">
        <f t="shared" si="73"/>
        <v>1.4704827831110667</v>
      </c>
      <c r="M181" s="365">
        <f t="shared" si="74"/>
        <v>1.5704389250599289</v>
      </c>
      <c r="N181" s="194">
        <f t="shared" si="75"/>
        <v>-0.11494956324119149</v>
      </c>
      <c r="O181" s="422">
        <f t="shared" si="76"/>
        <v>-0.71073334517034892</v>
      </c>
      <c r="P181" s="365">
        <f t="shared" si="77"/>
        <v>-0.82568290841154046</v>
      </c>
      <c r="S181" s="193"/>
      <c r="T181" s="193"/>
      <c r="U181" s="193"/>
      <c r="V181" s="193"/>
      <c r="W181" s="193"/>
      <c r="X181" s="193"/>
      <c r="Y181" s="503"/>
      <c r="Z181" s="193"/>
      <c r="AA181" s="520">
        <f t="shared" si="78"/>
        <v>-3.6856256455218304E-2</v>
      </c>
      <c r="AB181" s="496"/>
      <c r="AC181" s="521">
        <f t="shared" si="79"/>
        <v>-1.5061186255915822E-2</v>
      </c>
      <c r="AD181" s="496"/>
      <c r="AE181" s="522">
        <f t="shared" si="80"/>
        <v>-5.1917442711134125E-2</v>
      </c>
      <c r="AG181" s="531">
        <f t="shared" si="81"/>
        <v>1.2133746981141829E-4</v>
      </c>
      <c r="AH181" s="221" t="str">
        <f t="shared" si="82"/>
        <v>NO</v>
      </c>
      <c r="AI181" s="532">
        <f t="shared" si="83"/>
        <v>4.9584152282850445E-5</v>
      </c>
      <c r="AJ181" s="221" t="str">
        <f t="shared" si="62"/>
        <v>NO</v>
      </c>
      <c r="AK181" s="533">
        <f>IF('IN-OUT'!$F$35=0,AG181,IF('IN-OUT'!$F$26=0,'transversal subsidence profile'!AI181,'transversal subsidence profile'!AG181+'transversal subsidence profile'!AI181))</f>
        <v>1.7092162209426874E-4</v>
      </c>
      <c r="AL181" s="513">
        <f t="shared" si="63"/>
        <v>1000</v>
      </c>
    </row>
    <row r="182" spans="1:38">
      <c r="A182" s="542">
        <f t="shared" si="84"/>
        <v>-7</v>
      </c>
      <c r="B182" s="363">
        <f t="shared" si="64"/>
        <v>1.5291093182570586E-2</v>
      </c>
      <c r="C182" s="543">
        <f t="shared" si="65"/>
        <v>-7.1358434851996055E-3</v>
      </c>
      <c r="D182" s="542">
        <f t="shared" si="85"/>
        <v>-7</v>
      </c>
      <c r="E182" s="363">
        <f t="shared" si="66"/>
        <v>1.5291093182570586E-2</v>
      </c>
      <c r="F182" s="543">
        <f t="shared" si="67"/>
        <v>-7.1358434851996055E-3</v>
      </c>
      <c r="G182" s="548">
        <f t="shared" si="68"/>
        <v>-17</v>
      </c>
      <c r="H182" s="363">
        <f t="shared" si="69"/>
        <v>1.0980387764468608E-3</v>
      </c>
      <c r="I182" s="363">
        <f t="shared" si="70"/>
        <v>-1.2444439466397755E-3</v>
      </c>
      <c r="J182" s="364">
        <f t="shared" si="71"/>
        <v>1.6389131959017447E-2</v>
      </c>
      <c r="K182" s="194">
        <f t="shared" si="72"/>
        <v>0.10980387764468608</v>
      </c>
      <c r="L182" s="646">
        <f t="shared" si="73"/>
        <v>1.5291093182570585</v>
      </c>
      <c r="M182" s="365">
        <f t="shared" si="74"/>
        <v>1.6389131959017447</v>
      </c>
      <c r="N182" s="194">
        <f t="shared" si="75"/>
        <v>-0.12444439466397755</v>
      </c>
      <c r="O182" s="422">
        <f t="shared" si="76"/>
        <v>-0.71358434851996055</v>
      </c>
      <c r="P182" s="365">
        <f t="shared" si="77"/>
        <v>-0.83802874318393816</v>
      </c>
      <c r="S182" s="193"/>
      <c r="T182" s="193"/>
      <c r="U182" s="193"/>
      <c r="V182" s="193"/>
      <c r="W182" s="193"/>
      <c r="X182" s="193"/>
      <c r="Y182" s="503"/>
      <c r="Z182" s="193"/>
      <c r="AA182" s="520">
        <f t="shared" si="78"/>
        <v>-3.9111669266214198E-2</v>
      </c>
      <c r="AB182" s="496"/>
      <c r="AC182" s="521">
        <f t="shared" si="79"/>
        <v>-7.6909933702915666E-3</v>
      </c>
      <c r="AD182" s="496"/>
      <c r="AE182" s="522">
        <f t="shared" si="80"/>
        <v>-4.6802662636505767E-2</v>
      </c>
      <c r="AG182" s="531">
        <f t="shared" si="81"/>
        <v>1.2876269717272164E-4</v>
      </c>
      <c r="AH182" s="221" t="str">
        <f t="shared" si="82"/>
        <v>NO</v>
      </c>
      <c r="AI182" s="532">
        <f t="shared" si="83"/>
        <v>2.5320142782852895E-5</v>
      </c>
      <c r="AJ182" s="221" t="str">
        <f t="shared" si="62"/>
        <v>NO</v>
      </c>
      <c r="AK182" s="533">
        <f>IF('IN-OUT'!$F$35=0,AG182,IF('IN-OUT'!$F$26=0,'transversal subsidence profile'!AI182,'transversal subsidence profile'!AG182+'transversal subsidence profile'!AI182))</f>
        <v>1.5408283995557454E-4</v>
      </c>
      <c r="AL182" s="513">
        <f t="shared" si="63"/>
        <v>1000</v>
      </c>
    </row>
    <row r="183" spans="1:38">
      <c r="A183" s="542">
        <f t="shared" si="84"/>
        <v>-6.75</v>
      </c>
      <c r="B183" s="363">
        <f t="shared" si="64"/>
        <v>1.5878935539418163E-2</v>
      </c>
      <c r="C183" s="543">
        <f t="shared" si="65"/>
        <v>-7.1455209927381745E-3</v>
      </c>
      <c r="D183" s="542">
        <f t="shared" si="85"/>
        <v>-6.75</v>
      </c>
      <c r="E183" s="363">
        <f t="shared" si="66"/>
        <v>1.5878935539418163E-2</v>
      </c>
      <c r="F183" s="543">
        <f t="shared" si="67"/>
        <v>-7.1455209927381745E-3</v>
      </c>
      <c r="G183" s="548">
        <f t="shared" si="68"/>
        <v>-16.75</v>
      </c>
      <c r="H183" s="363">
        <f t="shared" si="69"/>
        <v>1.204564692431735E-3</v>
      </c>
      <c r="I183" s="363">
        <f t="shared" si="70"/>
        <v>-1.3450972398821042E-3</v>
      </c>
      <c r="J183" s="364">
        <f t="shared" si="71"/>
        <v>1.7083500231849898E-2</v>
      </c>
      <c r="K183" s="194">
        <f t="shared" si="72"/>
        <v>0.12045646924317349</v>
      </c>
      <c r="L183" s="646">
        <f t="shared" si="73"/>
        <v>1.5878935539418164</v>
      </c>
      <c r="M183" s="365">
        <f t="shared" si="74"/>
        <v>1.70835002318499</v>
      </c>
      <c r="N183" s="194">
        <f t="shared" si="75"/>
        <v>-0.13450972398821043</v>
      </c>
      <c r="O183" s="422">
        <f t="shared" si="76"/>
        <v>-0.71455209927381746</v>
      </c>
      <c r="P183" s="365">
        <f t="shared" si="77"/>
        <v>-0.84906182326202795</v>
      </c>
      <c r="S183" s="193"/>
      <c r="T183" s="193"/>
      <c r="U183" s="193"/>
      <c r="V183" s="193"/>
      <c r="W183" s="193"/>
      <c r="X183" s="193"/>
      <c r="Y183" s="503"/>
      <c r="Z183" s="193"/>
      <c r="AA183" s="520">
        <f t="shared" si="78"/>
        <v>-4.1418959703185397E-2</v>
      </c>
      <c r="AB183" s="496"/>
      <c r="AC183" s="521">
        <f t="shared" si="79"/>
        <v>0</v>
      </c>
      <c r="AD183" s="496"/>
      <c r="AE183" s="522">
        <f t="shared" si="80"/>
        <v>-4.1418959703185397E-2</v>
      </c>
      <c r="AG183" s="531">
        <f t="shared" si="81"/>
        <v>1.3635871507221531E-4</v>
      </c>
      <c r="AH183" s="221" t="str">
        <f t="shared" si="82"/>
        <v>NO</v>
      </c>
      <c r="AI183" s="532">
        <f t="shared" si="83"/>
        <v>0</v>
      </c>
      <c r="AJ183" s="221">
        <f t="shared" si="62"/>
        <v>-16.75</v>
      </c>
      <c r="AK183" s="533">
        <f>IF('IN-OUT'!$F$35=0,AG183,IF('IN-OUT'!$F$26=0,'transversal subsidence profile'!AI183,'transversal subsidence profile'!AG183+'transversal subsidence profile'!AI183))</f>
        <v>1.3635871507221531E-4</v>
      </c>
      <c r="AL183" s="513">
        <f t="shared" si="63"/>
        <v>1000</v>
      </c>
    </row>
    <row r="184" spans="1:38">
      <c r="A184" s="542">
        <f t="shared" si="84"/>
        <v>-6.5</v>
      </c>
      <c r="B184" s="363">
        <f t="shared" si="64"/>
        <v>1.6466772918250553E-2</v>
      </c>
      <c r="C184" s="543">
        <f t="shared" si="65"/>
        <v>-7.1356015979085717E-3</v>
      </c>
      <c r="D184" s="542">
        <f t="shared" si="85"/>
        <v>-6.5</v>
      </c>
      <c r="E184" s="363">
        <f t="shared" si="66"/>
        <v>1.6466772918250553E-2</v>
      </c>
      <c r="F184" s="543">
        <f t="shared" si="67"/>
        <v>-7.1356015979085717E-3</v>
      </c>
      <c r="G184" s="548">
        <f t="shared" si="68"/>
        <v>-16.5</v>
      </c>
      <c r="H184" s="363">
        <f t="shared" si="69"/>
        <v>1.3196137776058507E-3</v>
      </c>
      <c r="I184" s="363">
        <f t="shared" si="70"/>
        <v>-1.4515751553664357E-3</v>
      </c>
      <c r="J184" s="364">
        <f t="shared" si="71"/>
        <v>1.7786386695856405E-2</v>
      </c>
      <c r="K184" s="194">
        <f t="shared" si="72"/>
        <v>0.13196137776058506</v>
      </c>
      <c r="L184" s="646">
        <f t="shared" si="73"/>
        <v>1.6466772918250554</v>
      </c>
      <c r="M184" s="365">
        <f t="shared" si="74"/>
        <v>1.7786386695856404</v>
      </c>
      <c r="N184" s="194">
        <f t="shared" si="75"/>
        <v>-0.14515751553664358</v>
      </c>
      <c r="O184" s="422">
        <f t="shared" si="76"/>
        <v>-0.71356015979085718</v>
      </c>
      <c r="P184" s="365">
        <f t="shared" si="77"/>
        <v>-0.85871767532750076</v>
      </c>
      <c r="S184" s="193"/>
      <c r="T184" s="193"/>
      <c r="U184" s="193"/>
      <c r="V184" s="193"/>
      <c r="W184" s="193"/>
      <c r="X184" s="193"/>
      <c r="Y184" s="503"/>
      <c r="Z184" s="193"/>
      <c r="AA184" s="520">
        <f t="shared" si="78"/>
        <v>-4.3769905545280471E-2</v>
      </c>
      <c r="AB184" s="496"/>
      <c r="AC184" s="521">
        <f t="shared" si="79"/>
        <v>7.9811519402586163E-3</v>
      </c>
      <c r="AD184" s="496"/>
      <c r="AE184" s="522">
        <f t="shared" si="80"/>
        <v>-3.5788753605021859E-2</v>
      </c>
      <c r="AG184" s="531">
        <f t="shared" si="81"/>
        <v>1.4409845447005916E-4</v>
      </c>
      <c r="AH184" s="221" t="str">
        <f t="shared" si="82"/>
        <v>NO</v>
      </c>
      <c r="AI184" s="532">
        <f t="shared" si="83"/>
        <v>-2.6275397334184745E-5</v>
      </c>
      <c r="AJ184" s="221" t="str">
        <f t="shared" si="62"/>
        <v>NO</v>
      </c>
      <c r="AK184" s="533">
        <f>IF('IN-OUT'!$F$35=0,AG184,IF('IN-OUT'!$F$26=0,'transversal subsidence profile'!AI184,'transversal subsidence profile'!AG184+'transversal subsidence profile'!AI184))</f>
        <v>1.1782305713587441E-4</v>
      </c>
      <c r="AL184" s="513">
        <f t="shared" si="63"/>
        <v>1000</v>
      </c>
    </row>
    <row r="185" spans="1:38">
      <c r="A185" s="542">
        <f t="shared" si="84"/>
        <v>-6.25</v>
      </c>
      <c r="B185" s="363">
        <f t="shared" si="64"/>
        <v>1.7052963686831738E-2</v>
      </c>
      <c r="C185" s="543">
        <f t="shared" si="65"/>
        <v>-7.1054015361798903E-3</v>
      </c>
      <c r="D185" s="542">
        <f t="shared" si="85"/>
        <v>-6.25</v>
      </c>
      <c r="E185" s="363">
        <f t="shared" si="66"/>
        <v>1.7052963686831738E-2</v>
      </c>
      <c r="F185" s="543">
        <f t="shared" si="67"/>
        <v>-7.1054015361798903E-3</v>
      </c>
      <c r="G185" s="548">
        <f t="shared" si="68"/>
        <v>-16.25</v>
      </c>
      <c r="H185" s="363">
        <f t="shared" si="69"/>
        <v>1.4436696057802179E-3</v>
      </c>
      <c r="I185" s="363">
        <f t="shared" si="70"/>
        <v>-1.5639754062619028E-3</v>
      </c>
      <c r="J185" s="364">
        <f t="shared" si="71"/>
        <v>1.8496633292611957E-2</v>
      </c>
      <c r="K185" s="194">
        <f t="shared" si="72"/>
        <v>0.14436696057802179</v>
      </c>
      <c r="L185" s="646">
        <f t="shared" si="73"/>
        <v>1.7052963686831739</v>
      </c>
      <c r="M185" s="365">
        <f t="shared" si="74"/>
        <v>1.8496633292611957</v>
      </c>
      <c r="N185" s="194">
        <f t="shared" si="75"/>
        <v>-0.15639754062619027</v>
      </c>
      <c r="O185" s="422">
        <f t="shared" si="76"/>
        <v>-0.71054015361798906</v>
      </c>
      <c r="P185" s="365">
        <f t="shared" si="77"/>
        <v>-0.86693769424417932</v>
      </c>
      <c r="S185" s="193"/>
      <c r="T185" s="193"/>
      <c r="U185" s="193"/>
      <c r="V185" s="193"/>
      <c r="W185" s="193"/>
      <c r="X185" s="193"/>
      <c r="Y185" s="503"/>
      <c r="Z185" s="193"/>
      <c r="AA185" s="520">
        <f t="shared" si="78"/>
        <v>-4.6155180080545415E-2</v>
      </c>
      <c r="AB185" s="496"/>
      <c r="AC185" s="521">
        <f t="shared" si="79"/>
        <v>1.6218639446095119E-2</v>
      </c>
      <c r="AD185" s="496"/>
      <c r="AE185" s="522">
        <f t="shared" si="80"/>
        <v>-2.9936540634450295E-2</v>
      </c>
      <c r="AG185" s="531">
        <f t="shared" si="81"/>
        <v>1.519512101417133E-4</v>
      </c>
      <c r="AH185" s="221" t="str">
        <f t="shared" si="82"/>
        <v>NO</v>
      </c>
      <c r="AI185" s="532">
        <f t="shared" si="83"/>
        <v>-5.3394697764922208E-5</v>
      </c>
      <c r="AJ185" s="221" t="str">
        <f t="shared" si="62"/>
        <v>NO</v>
      </c>
      <c r="AK185" s="533">
        <f>IF('IN-OUT'!$F$35=0,AG185,IF('IN-OUT'!$F$26=0,'transversal subsidence profile'!AI185,'transversal subsidence profile'!AG185+'transversal subsidence profile'!AI185))</f>
        <v>9.8556512376791084E-5</v>
      </c>
      <c r="AL185" s="513">
        <f t="shared" si="63"/>
        <v>1000</v>
      </c>
    </row>
    <row r="186" spans="1:38">
      <c r="A186" s="542">
        <f t="shared" si="84"/>
        <v>-6</v>
      </c>
      <c r="B186" s="363">
        <f t="shared" si="64"/>
        <v>1.7635813520721411E-2</v>
      </c>
      <c r="C186" s="543">
        <f t="shared" si="65"/>
        <v>-7.0543254082885646E-3</v>
      </c>
      <c r="D186" s="542">
        <f t="shared" si="85"/>
        <v>-6</v>
      </c>
      <c r="E186" s="363">
        <f t="shared" si="66"/>
        <v>1.7635813520721411E-2</v>
      </c>
      <c r="F186" s="543">
        <f t="shared" si="67"/>
        <v>-7.0543254082885646E-3</v>
      </c>
      <c r="G186" s="548">
        <f t="shared" si="68"/>
        <v>-16</v>
      </c>
      <c r="H186" s="363">
        <f t="shared" si="69"/>
        <v>1.5772227949052372E-3</v>
      </c>
      <c r="I186" s="363">
        <f t="shared" si="70"/>
        <v>-1.6823709812322529E-3</v>
      </c>
      <c r="J186" s="364">
        <f t="shared" si="71"/>
        <v>1.9213036315626649E-2</v>
      </c>
      <c r="K186" s="194">
        <f t="shared" si="72"/>
        <v>0.15772227949052373</v>
      </c>
      <c r="L186" s="646">
        <f t="shared" si="73"/>
        <v>1.7635813520721411</v>
      </c>
      <c r="M186" s="365">
        <f t="shared" si="74"/>
        <v>1.9213036315626648</v>
      </c>
      <c r="N186" s="194">
        <f t="shared" si="75"/>
        <v>-0.16823709812322529</v>
      </c>
      <c r="O186" s="422">
        <f t="shared" si="76"/>
        <v>-0.70543254082885642</v>
      </c>
      <c r="P186" s="365">
        <f t="shared" si="77"/>
        <v>-0.87366963895208172</v>
      </c>
      <c r="S186" s="193"/>
      <c r="T186" s="193"/>
      <c r="U186" s="193"/>
      <c r="V186" s="193"/>
      <c r="W186" s="193"/>
      <c r="X186" s="193"/>
      <c r="Y186" s="503"/>
      <c r="Z186" s="193"/>
      <c r="AA186" s="520">
        <f t="shared" si="78"/>
        <v>-4.8564326935948178E-2</v>
      </c>
      <c r="AB186" s="496"/>
      <c r="AC186" s="521">
        <f t="shared" si="79"/>
        <v>2.4675623856153423E-2</v>
      </c>
      <c r="AD186" s="496"/>
      <c r="AE186" s="522">
        <f t="shared" si="80"/>
        <v>-2.3888703079794755E-2</v>
      </c>
      <c r="AG186" s="531">
        <f t="shared" si="81"/>
        <v>1.5988255781382115E-4</v>
      </c>
      <c r="AH186" s="221" t="str">
        <f t="shared" si="82"/>
        <v>NO</v>
      </c>
      <c r="AI186" s="532">
        <f t="shared" si="83"/>
        <v>-8.1236621748653233E-5</v>
      </c>
      <c r="AJ186" s="221" t="str">
        <f t="shared" si="62"/>
        <v>NO</v>
      </c>
      <c r="AK186" s="533">
        <f>IF('IN-OUT'!$F$35=0,AG186,IF('IN-OUT'!$F$26=0,'transversal subsidence profile'!AI186,'transversal subsidence profile'!AG186+'transversal subsidence profile'!AI186))</f>
        <v>7.8645936065167913E-5</v>
      </c>
      <c r="AL186" s="513">
        <f t="shared" si="63"/>
        <v>1000</v>
      </c>
    </row>
    <row r="187" spans="1:38">
      <c r="A187" s="542">
        <f t="shared" si="84"/>
        <v>-5.75</v>
      </c>
      <c r="B187" s="363">
        <f t="shared" si="64"/>
        <v>1.8213582979801288E-2</v>
      </c>
      <c r="C187" s="543">
        <f t="shared" si="65"/>
        <v>-6.9818734755904928E-3</v>
      </c>
      <c r="D187" s="542">
        <f t="shared" si="85"/>
        <v>-5.75</v>
      </c>
      <c r="E187" s="363">
        <f t="shared" si="66"/>
        <v>1.8213582979801288E-2</v>
      </c>
      <c r="F187" s="543">
        <f t="shared" si="67"/>
        <v>-6.9818734755904928E-3</v>
      </c>
      <c r="G187" s="548">
        <f t="shared" si="68"/>
        <v>-15.75</v>
      </c>
      <c r="H187" s="363">
        <f t="shared" si="69"/>
        <v>1.720768855274655E-3</v>
      </c>
      <c r="I187" s="363">
        <f t="shared" si="70"/>
        <v>-1.8068072980383879E-3</v>
      </c>
      <c r="J187" s="364">
        <f t="shared" si="71"/>
        <v>1.9934351835075942E-2</v>
      </c>
      <c r="K187" s="194">
        <f t="shared" si="72"/>
        <v>0.1720768855274655</v>
      </c>
      <c r="L187" s="646">
        <f t="shared" si="73"/>
        <v>1.8213582979801288</v>
      </c>
      <c r="M187" s="365">
        <f t="shared" si="74"/>
        <v>1.9934351835075943</v>
      </c>
      <c r="N187" s="194">
        <f t="shared" si="75"/>
        <v>-0.18068072980383879</v>
      </c>
      <c r="O187" s="422">
        <f t="shared" si="76"/>
        <v>-0.69818734755904932</v>
      </c>
      <c r="P187" s="365">
        <f t="shared" si="77"/>
        <v>-0.87886807736288808</v>
      </c>
      <c r="S187" s="193"/>
      <c r="T187" s="193"/>
      <c r="U187" s="193"/>
      <c r="V187" s="193"/>
      <c r="W187" s="193"/>
      <c r="X187" s="193"/>
      <c r="Y187" s="503"/>
      <c r="Z187" s="193"/>
      <c r="AA187" s="520">
        <f t="shared" si="78"/>
        <v>-5.0985743859989781E-2</v>
      </c>
      <c r="AB187" s="496"/>
      <c r="AC187" s="521">
        <f t="shared" si="79"/>
        <v>3.3312451723459147E-2</v>
      </c>
      <c r="AD187" s="496"/>
      <c r="AE187" s="522">
        <f t="shared" si="80"/>
        <v>-1.7673292136530634E-2</v>
      </c>
      <c r="AG187" s="531">
        <f t="shared" si="81"/>
        <v>1.678543007736289E-4</v>
      </c>
      <c r="AH187" s="221" t="str">
        <f t="shared" si="82"/>
        <v>NO</v>
      </c>
      <c r="AI187" s="532">
        <f t="shared" si="83"/>
        <v>-1.0967062295789017E-4</v>
      </c>
      <c r="AJ187" s="221" t="str">
        <f t="shared" si="62"/>
        <v>NO</v>
      </c>
      <c r="AK187" s="533">
        <f>IF('IN-OUT'!$F$35=0,AG187,IF('IN-OUT'!$F$26=0,'transversal subsidence profile'!AI187,'transversal subsidence profile'!AG187+'transversal subsidence profile'!AI187))</f>
        <v>5.8183677815738726E-5</v>
      </c>
      <c r="AL187" s="513">
        <f t="shared" si="63"/>
        <v>1000</v>
      </c>
    </row>
    <row r="188" spans="1:38">
      <c r="A188" s="542">
        <f t="shared" si="84"/>
        <v>-5.5</v>
      </c>
      <c r="B188" s="363">
        <f t="shared" si="64"/>
        <v>1.8784495663384172E-2</v>
      </c>
      <c r="C188" s="543">
        <f t="shared" si="65"/>
        <v>-6.8876484099075286E-3</v>
      </c>
      <c r="D188" s="542">
        <f t="shared" si="85"/>
        <v>-5.5</v>
      </c>
      <c r="E188" s="363">
        <f t="shared" si="66"/>
        <v>1.8784495663384172E-2</v>
      </c>
      <c r="F188" s="543">
        <f t="shared" si="67"/>
        <v>-6.8876484099075286E-3</v>
      </c>
      <c r="G188" s="548">
        <f t="shared" si="68"/>
        <v>-15.5</v>
      </c>
      <c r="H188" s="363">
        <f t="shared" si="69"/>
        <v>1.8748058021232075E-3</v>
      </c>
      <c r="I188" s="363">
        <f t="shared" si="70"/>
        <v>-1.9372993288606474E-3</v>
      </c>
      <c r="J188" s="364">
        <f t="shared" si="71"/>
        <v>2.0659301465507381E-2</v>
      </c>
      <c r="K188" s="194">
        <f t="shared" si="72"/>
        <v>0.18748058021232075</v>
      </c>
      <c r="L188" s="646">
        <f t="shared" si="73"/>
        <v>1.8784495663384173</v>
      </c>
      <c r="M188" s="365">
        <f t="shared" si="74"/>
        <v>2.065930146550738</v>
      </c>
      <c r="N188" s="194">
        <f t="shared" si="75"/>
        <v>-0.19372993288606474</v>
      </c>
      <c r="O188" s="422">
        <f t="shared" si="76"/>
        <v>-0.68876484099075286</v>
      </c>
      <c r="P188" s="365">
        <f t="shared" si="77"/>
        <v>-0.88249477387681763</v>
      </c>
      <c r="S188" s="193"/>
      <c r="T188" s="193"/>
      <c r="U188" s="193"/>
      <c r="V188" s="193"/>
      <c r="W188" s="193"/>
      <c r="X188" s="193"/>
      <c r="Y188" s="503"/>
      <c r="Z188" s="193"/>
      <c r="AA188" s="520">
        <f t="shared" si="78"/>
        <v>-5.3406676484808326E-2</v>
      </c>
      <c r="AB188" s="496"/>
      <c r="AC188" s="521">
        <f t="shared" si="79"/>
        <v>4.2086890146585475E-2</v>
      </c>
      <c r="AD188" s="496"/>
      <c r="AE188" s="522">
        <f t="shared" si="80"/>
        <v>-1.1319786338222851E-2</v>
      </c>
      <c r="AG188" s="531">
        <f t="shared" si="81"/>
        <v>1.7582444933270233E-4</v>
      </c>
      <c r="AH188" s="221" t="str">
        <f t="shared" si="82"/>
        <v>NO</v>
      </c>
      <c r="AI188" s="532">
        <f t="shared" si="83"/>
        <v>-1.3855766303402624E-4</v>
      </c>
      <c r="AJ188" s="221" t="str">
        <f t="shared" si="62"/>
        <v>NO</v>
      </c>
      <c r="AK188" s="533">
        <f>IF('IN-OUT'!$F$35=0,AG188,IF('IN-OUT'!$F$26=0,'transversal subsidence profile'!AI188,'transversal subsidence profile'!AG188+'transversal subsidence profile'!AI188))</f>
        <v>3.7266786298676091E-5</v>
      </c>
      <c r="AL188" s="513">
        <f t="shared" si="63"/>
        <v>1000</v>
      </c>
    </row>
    <row r="189" spans="1:38">
      <c r="A189" s="542">
        <f t="shared" si="84"/>
        <v>-5.25</v>
      </c>
      <c r="B189" s="363">
        <f t="shared" si="64"/>
        <v>1.9346746895508467E-2</v>
      </c>
      <c r="C189" s="543">
        <f t="shared" si="65"/>
        <v>-6.7713614134279647E-3</v>
      </c>
      <c r="D189" s="542">
        <f t="shared" si="85"/>
        <v>-5.25</v>
      </c>
      <c r="E189" s="363">
        <f t="shared" si="66"/>
        <v>1.9346746895508467E-2</v>
      </c>
      <c r="F189" s="543">
        <f t="shared" si="67"/>
        <v>-6.7713614134279647E-3</v>
      </c>
      <c r="G189" s="548">
        <f t="shared" si="68"/>
        <v>-15.25</v>
      </c>
      <c r="H189" s="363">
        <f t="shared" si="69"/>
        <v>2.0398315313514743E-3</v>
      </c>
      <c r="I189" s="363">
        <f t="shared" si="70"/>
        <v>-2.0738287235406655E-3</v>
      </c>
      <c r="J189" s="364">
        <f t="shared" si="71"/>
        <v>2.1386578426859943E-2</v>
      </c>
      <c r="K189" s="194">
        <f t="shared" si="72"/>
        <v>0.20398315313514742</v>
      </c>
      <c r="L189" s="646">
        <f t="shared" si="73"/>
        <v>1.9346746895508466</v>
      </c>
      <c r="M189" s="365">
        <f t="shared" si="74"/>
        <v>2.1386578426859941</v>
      </c>
      <c r="N189" s="194">
        <f t="shared" si="75"/>
        <v>-0.20738287235406655</v>
      </c>
      <c r="O189" s="422">
        <f t="shared" si="76"/>
        <v>-0.67713614134279643</v>
      </c>
      <c r="P189" s="365">
        <f t="shared" si="77"/>
        <v>-0.88451901369686303</v>
      </c>
      <c r="S189" s="193"/>
      <c r="T189" s="193"/>
      <c r="U189" s="193"/>
      <c r="V189" s="193"/>
      <c r="W189" s="193"/>
      <c r="X189" s="193"/>
      <c r="Y189" s="503"/>
      <c r="Z189" s="193"/>
      <c r="AA189" s="520">
        <f t="shared" si="78"/>
        <v>-5.5813223061761424E-2</v>
      </c>
      <c r="AB189" s="496"/>
      <c r="AC189" s="521">
        <f t="shared" si="79"/>
        <v>5.0954395115742464E-2</v>
      </c>
      <c r="AD189" s="496"/>
      <c r="AE189" s="522">
        <f t="shared" si="80"/>
        <v>-4.8588279460189607E-3</v>
      </c>
      <c r="AG189" s="531">
        <f t="shared" si="81"/>
        <v>1.8374723641732151E-4</v>
      </c>
      <c r="AH189" s="221" t="str">
        <f t="shared" si="82"/>
        <v>NO</v>
      </c>
      <c r="AI189" s="532">
        <f t="shared" si="83"/>
        <v>-1.6775109503125091E-4</v>
      </c>
      <c r="AJ189" s="221" t="str">
        <f t="shared" si="62"/>
        <v>NO</v>
      </c>
      <c r="AK189" s="533">
        <f>IF('IN-OUT'!$F$35=0,AG189,IF('IN-OUT'!$F$26=0,'transversal subsidence profile'!AI189,'transversal subsidence profile'!AG189+'transversal subsidence profile'!AI189))</f>
        <v>1.5996141386070604E-5</v>
      </c>
      <c r="AL189" s="513">
        <f t="shared" si="63"/>
        <v>1000</v>
      </c>
    </row>
    <row r="190" spans="1:38">
      <c r="A190" s="542">
        <f t="shared" si="84"/>
        <v>-5</v>
      </c>
      <c r="B190" s="363">
        <f t="shared" si="64"/>
        <v>1.9898512885235583E-2</v>
      </c>
      <c r="C190" s="543">
        <f t="shared" si="65"/>
        <v>-6.6328376284118615E-3</v>
      </c>
      <c r="D190" s="542">
        <f t="shared" si="85"/>
        <v>-5</v>
      </c>
      <c r="E190" s="363">
        <f t="shared" si="66"/>
        <v>1.9898512885235583E-2</v>
      </c>
      <c r="F190" s="543">
        <f t="shared" si="67"/>
        <v>-6.6328376284118615E-3</v>
      </c>
      <c r="G190" s="548">
        <f t="shared" si="68"/>
        <v>-15</v>
      </c>
      <c r="H190" s="363">
        <f t="shared" si="69"/>
        <v>2.2163409593685705E-3</v>
      </c>
      <c r="I190" s="363">
        <f t="shared" si="70"/>
        <v>-2.2163409593685705E-3</v>
      </c>
      <c r="J190" s="364">
        <f t="shared" si="71"/>
        <v>2.2114853844604154E-2</v>
      </c>
      <c r="K190" s="194">
        <f t="shared" si="72"/>
        <v>0.22163409593685704</v>
      </c>
      <c r="L190" s="646">
        <f t="shared" si="73"/>
        <v>1.9898512885235582</v>
      </c>
      <c r="M190" s="365">
        <f t="shared" si="74"/>
        <v>2.2114853844604152</v>
      </c>
      <c r="N190" s="194">
        <f t="shared" si="75"/>
        <v>-0.22163409593685704</v>
      </c>
      <c r="O190" s="422">
        <f t="shared" si="76"/>
        <v>-0.66328376284118618</v>
      </c>
      <c r="P190" s="365">
        <f t="shared" si="77"/>
        <v>-0.88491785877804319</v>
      </c>
      <c r="S190" s="193"/>
      <c r="T190" s="193"/>
      <c r="U190" s="193"/>
      <c r="V190" s="193"/>
      <c r="W190" s="193"/>
      <c r="X190" s="193"/>
      <c r="Y190" s="503"/>
      <c r="Z190" s="193"/>
      <c r="AA190" s="520">
        <f t="shared" si="78"/>
        <v>-5.8190351114285908E-2</v>
      </c>
      <c r="AB190" s="496"/>
      <c r="AC190" s="521">
        <f t="shared" si="79"/>
        <v>5.9868410967009664E-2</v>
      </c>
      <c r="AD190" s="496"/>
      <c r="AE190" s="522">
        <f t="shared" si="80"/>
        <v>1.6780598527237553E-3</v>
      </c>
      <c r="AG190" s="531">
        <f t="shared" si="81"/>
        <v>1.9157317239271084E-4</v>
      </c>
      <c r="AH190" s="221" t="str">
        <f t="shared" si="82"/>
        <v>NO</v>
      </c>
      <c r="AI190" s="532">
        <f t="shared" si="83"/>
        <v>-1.9709764927410586E-4</v>
      </c>
      <c r="AJ190" s="221" t="str">
        <f t="shared" si="62"/>
        <v>NO</v>
      </c>
      <c r="AK190" s="533">
        <f>IF('IN-OUT'!$F$35=0,AG190,IF('IN-OUT'!$F$26=0,'transversal subsidence profile'!AI190,'transversal subsidence profile'!AG190+'transversal subsidence profile'!AI190))</f>
        <v>-5.5244768813950194E-6</v>
      </c>
      <c r="AL190" s="513">
        <f t="shared" si="63"/>
        <v>-15</v>
      </c>
    </row>
    <row r="191" spans="1:38">
      <c r="A191" s="542">
        <f t="shared" si="84"/>
        <v>-4.75</v>
      </c>
      <c r="B191" s="363">
        <f t="shared" si="64"/>
        <v>2.0437960300374602E-2</v>
      </c>
      <c r="C191" s="543">
        <f t="shared" si="65"/>
        <v>-6.4720207617852904E-3</v>
      </c>
      <c r="D191" s="542">
        <f t="shared" si="85"/>
        <v>-4.75</v>
      </c>
      <c r="E191" s="363">
        <f t="shared" si="66"/>
        <v>2.0437960300374602E-2</v>
      </c>
      <c r="F191" s="543">
        <f t="shared" si="67"/>
        <v>-6.4720207617852904E-3</v>
      </c>
      <c r="G191" s="548">
        <f t="shared" si="68"/>
        <v>-14.75</v>
      </c>
      <c r="H191" s="363">
        <f t="shared" si="69"/>
        <v>2.4048229304941843E-3</v>
      </c>
      <c r="I191" s="363">
        <f t="shared" si="70"/>
        <v>-2.3647425483192814E-3</v>
      </c>
      <c r="J191" s="364">
        <f t="shared" si="71"/>
        <v>2.2842783230868788E-2</v>
      </c>
      <c r="K191" s="194">
        <f t="shared" si="72"/>
        <v>0.24048229304941843</v>
      </c>
      <c r="L191" s="646">
        <f t="shared" si="73"/>
        <v>2.04379603003746</v>
      </c>
      <c r="M191" s="365">
        <f t="shared" si="74"/>
        <v>2.2842783230868786</v>
      </c>
      <c r="N191" s="194">
        <f t="shared" si="75"/>
        <v>-0.23647425483192813</v>
      </c>
      <c r="O191" s="422">
        <f t="shared" si="76"/>
        <v>-0.6472020761785291</v>
      </c>
      <c r="P191" s="365">
        <f t="shared" si="77"/>
        <v>-0.88367633101045717</v>
      </c>
      <c r="S191" s="193"/>
      <c r="T191" s="193"/>
      <c r="U191" s="193"/>
      <c r="V191" s="193"/>
      <c r="W191" s="193"/>
      <c r="X191" s="193"/>
      <c r="Y191" s="503"/>
      <c r="Z191" s="193"/>
      <c r="AA191" s="520">
        <f t="shared" si="78"/>
        <v>-6.0521926883584785E-2</v>
      </c>
      <c r="AB191" s="496"/>
      <c r="AC191" s="521">
        <f t="shared" si="79"/>
        <v>6.8780698587451797E-2</v>
      </c>
      <c r="AD191" s="496"/>
      <c r="AE191" s="522">
        <f t="shared" si="80"/>
        <v>8.2587717038670114E-3</v>
      </c>
      <c r="AG191" s="531">
        <f t="shared" si="81"/>
        <v>1.9924914200357126E-4</v>
      </c>
      <c r="AH191" s="221" t="str">
        <f t="shared" si="82"/>
        <v>NO</v>
      </c>
      <c r="AI191" s="532">
        <f t="shared" si="83"/>
        <v>-2.2643851386815403E-4</v>
      </c>
      <c r="AJ191" s="221" t="str">
        <f t="shared" si="62"/>
        <v>NO</v>
      </c>
      <c r="AK191" s="533">
        <f>IF('IN-OUT'!$F$35=0,AG191,IF('IN-OUT'!$F$26=0,'transversal subsidence profile'!AI191,'transversal subsidence profile'!AG191+'transversal subsidence profile'!AI191))</f>
        <v>-2.7189371864582774E-5</v>
      </c>
      <c r="AL191" s="513">
        <f t="shared" si="63"/>
        <v>1000</v>
      </c>
    </row>
    <row r="192" spans="1:38">
      <c r="A192" s="542">
        <f t="shared" si="84"/>
        <v>-4.5</v>
      </c>
      <c r="B192" s="363">
        <f t="shared" si="64"/>
        <v>2.0963256187150118E-2</v>
      </c>
      <c r="C192" s="543">
        <f t="shared" si="65"/>
        <v>-6.2889768561450368E-3</v>
      </c>
      <c r="D192" s="542">
        <f t="shared" si="85"/>
        <v>-4.5</v>
      </c>
      <c r="E192" s="363">
        <f t="shared" si="66"/>
        <v>2.0963256187150118E-2</v>
      </c>
      <c r="F192" s="543">
        <f t="shared" si="67"/>
        <v>-6.2889768561450368E-3</v>
      </c>
      <c r="G192" s="548">
        <f t="shared" si="68"/>
        <v>-14.5</v>
      </c>
      <c r="H192" s="363">
        <f t="shared" si="69"/>
        <v>2.6057568979923197E-3</v>
      </c>
      <c r="I192" s="363">
        <f t="shared" si="70"/>
        <v>-2.5188983347259088E-3</v>
      </c>
      <c r="J192" s="364">
        <f t="shared" si="71"/>
        <v>2.3569013085142438E-2</v>
      </c>
      <c r="K192" s="194">
        <f t="shared" si="72"/>
        <v>0.26057568979923196</v>
      </c>
      <c r="L192" s="646">
        <f t="shared" si="73"/>
        <v>2.0963256187150119</v>
      </c>
      <c r="M192" s="365">
        <f t="shared" si="74"/>
        <v>2.3569013085142441</v>
      </c>
      <c r="N192" s="194">
        <f t="shared" si="75"/>
        <v>-0.25188983347259086</v>
      </c>
      <c r="O192" s="422">
        <f t="shared" si="76"/>
        <v>-0.62889768561450365</v>
      </c>
      <c r="P192" s="365">
        <f t="shared" si="77"/>
        <v>-0.88078751908709452</v>
      </c>
      <c r="S192" s="193"/>
      <c r="T192" s="193"/>
      <c r="U192" s="193"/>
      <c r="V192" s="193"/>
      <c r="W192" s="193"/>
      <c r="X192" s="193"/>
      <c r="Y192" s="503"/>
      <c r="Z192" s="193"/>
      <c r="AA192" s="520">
        <f t="shared" si="78"/>
        <v>-6.279075835582773E-2</v>
      </c>
      <c r="AB192" s="496"/>
      <c r="AC192" s="521">
        <f t="shared" si="79"/>
        <v>7.7641689582037487E-2</v>
      </c>
      <c r="AD192" s="496"/>
      <c r="AE192" s="522">
        <f t="shared" si="80"/>
        <v>1.4850931226209757E-2</v>
      </c>
      <c r="AG192" s="531">
        <f t="shared" si="81"/>
        <v>2.0671854602741639E-4</v>
      </c>
      <c r="AH192" s="221" t="str">
        <f t="shared" si="82"/>
        <v>NO</v>
      </c>
      <c r="AI192" s="532">
        <f t="shared" si="83"/>
        <v>-2.5561050068160487E-4</v>
      </c>
      <c r="AJ192" s="221" t="str">
        <f t="shared" si="62"/>
        <v>NO</v>
      </c>
      <c r="AK192" s="533">
        <f>IF('IN-OUT'!$F$35=0,AG192,IF('IN-OUT'!$F$26=0,'transversal subsidence profile'!AI192,'transversal subsidence profile'!AG192+'transversal subsidence profile'!AI192))</f>
        <v>-4.8891954654188481E-5</v>
      </c>
      <c r="AL192" s="513">
        <f t="shared" si="63"/>
        <v>1000</v>
      </c>
    </row>
    <row r="193" spans="1:38">
      <c r="A193" s="542">
        <f t="shared" si="84"/>
        <v>-4.25</v>
      </c>
      <c r="B193" s="363">
        <f t="shared" si="64"/>
        <v>2.1472578162994218E-2</v>
      </c>
      <c r="C193" s="543">
        <f t="shared" si="65"/>
        <v>-6.0838971461816948E-3</v>
      </c>
      <c r="D193" s="542">
        <f t="shared" si="85"/>
        <v>-4.25</v>
      </c>
      <c r="E193" s="363">
        <f t="shared" si="66"/>
        <v>2.1472578162994218E-2</v>
      </c>
      <c r="F193" s="543">
        <f t="shared" si="67"/>
        <v>-6.0838971461816948E-3</v>
      </c>
      <c r="G193" s="548">
        <f t="shared" si="68"/>
        <v>-14.25</v>
      </c>
      <c r="H193" s="363">
        <f t="shared" si="69"/>
        <v>2.8196093876017713E-3</v>
      </c>
      <c r="I193" s="363">
        <f t="shared" si="70"/>
        <v>-2.6786289182216829E-3</v>
      </c>
      <c r="J193" s="364">
        <f t="shared" si="71"/>
        <v>2.4292187550595989E-2</v>
      </c>
      <c r="K193" s="194">
        <f t="shared" si="72"/>
        <v>0.28196093876017714</v>
      </c>
      <c r="L193" s="646">
        <f t="shared" si="73"/>
        <v>2.1472578162994216</v>
      </c>
      <c r="M193" s="365">
        <f t="shared" si="74"/>
        <v>2.4292187550595985</v>
      </c>
      <c r="N193" s="194">
        <f t="shared" si="75"/>
        <v>-0.26786289182216827</v>
      </c>
      <c r="O193" s="422">
        <f t="shared" si="76"/>
        <v>-0.60838971461816949</v>
      </c>
      <c r="P193" s="365">
        <f t="shared" si="77"/>
        <v>-0.87625260644033776</v>
      </c>
      <c r="S193" s="193"/>
      <c r="T193" s="193"/>
      <c r="U193" s="193"/>
      <c r="V193" s="193"/>
      <c r="W193" s="193"/>
      <c r="X193" s="193"/>
      <c r="Y193" s="503"/>
      <c r="Z193" s="193"/>
      <c r="AA193" s="520">
        <f t="shared" si="78"/>
        <v>-6.4978652553785682E-2</v>
      </c>
      <c r="AB193" s="496"/>
      <c r="AC193" s="521">
        <f t="shared" si="79"/>
        <v>8.6400863207292705E-2</v>
      </c>
      <c r="AD193" s="496"/>
      <c r="AE193" s="522">
        <f t="shared" si="80"/>
        <v>2.1422210653507023E-2</v>
      </c>
      <c r="AG193" s="531">
        <f t="shared" si="81"/>
        <v>2.1392148988900631E-4</v>
      </c>
      <c r="AH193" s="221" t="str">
        <f t="shared" si="82"/>
        <v>NO</v>
      </c>
      <c r="AI193" s="532">
        <f t="shared" si="83"/>
        <v>-2.844472862791529E-4</v>
      </c>
      <c r="AJ193" s="221" t="str">
        <f t="shared" si="62"/>
        <v>NO</v>
      </c>
      <c r="AK193" s="533">
        <f>IF('IN-OUT'!$F$35=0,AG193,IF('IN-OUT'!$F$26=0,'transversal subsidence profile'!AI193,'transversal subsidence profile'!AG193+'transversal subsidence profile'!AI193))</f>
        <v>-7.0525796390146585E-5</v>
      </c>
      <c r="AL193" s="513">
        <f t="shared" si="63"/>
        <v>1000</v>
      </c>
    </row>
    <row r="194" spans="1:38">
      <c r="A194" s="542">
        <f t="shared" si="84"/>
        <v>-4</v>
      </c>
      <c r="B194" s="363">
        <f t="shared" si="64"/>
        <v>2.196412480496544E-2</v>
      </c>
      <c r="C194" s="543">
        <f t="shared" si="65"/>
        <v>-5.8570999479907833E-3</v>
      </c>
      <c r="D194" s="542">
        <f t="shared" si="85"/>
        <v>-4</v>
      </c>
      <c r="E194" s="363">
        <f t="shared" si="66"/>
        <v>2.196412480496544E-2</v>
      </c>
      <c r="F194" s="543">
        <f t="shared" si="67"/>
        <v>-5.8570999479907833E-3</v>
      </c>
      <c r="G194" s="548">
        <f t="shared" si="68"/>
        <v>-14</v>
      </c>
      <c r="H194" s="363">
        <f t="shared" si="69"/>
        <v>3.0468302553613462E-3</v>
      </c>
      <c r="I194" s="363">
        <f t="shared" si="70"/>
        <v>-2.8437082383372561E-3</v>
      </c>
      <c r="J194" s="364">
        <f t="shared" si="71"/>
        <v>2.5010955060326787E-2</v>
      </c>
      <c r="K194" s="194">
        <f t="shared" si="72"/>
        <v>0.30468302553613463</v>
      </c>
      <c r="L194" s="646">
        <f t="shared" si="73"/>
        <v>2.1964124804965439</v>
      </c>
      <c r="M194" s="365">
        <f t="shared" si="74"/>
        <v>2.5010955060326787</v>
      </c>
      <c r="N194" s="194">
        <f t="shared" si="75"/>
        <v>-0.28437082383372558</v>
      </c>
      <c r="O194" s="422">
        <f t="shared" si="76"/>
        <v>-0.58570999479907837</v>
      </c>
      <c r="P194" s="365">
        <f t="shared" si="77"/>
        <v>-0.87008081863280395</v>
      </c>
      <c r="S194" s="193"/>
      <c r="T194" s="193"/>
      <c r="U194" s="193"/>
      <c r="V194" s="193"/>
      <c r="W194" s="193"/>
      <c r="X194" s="193"/>
      <c r="Y194" s="503"/>
      <c r="Z194" s="193"/>
      <c r="AA194" s="520">
        <f t="shared" si="78"/>
        <v>-6.7066487651163784E-2</v>
      </c>
      <c r="AB194" s="496"/>
      <c r="AC194" s="521">
        <f t="shared" si="79"/>
        <v>9.5007142503417005E-2</v>
      </c>
      <c r="AD194" s="496"/>
      <c r="AE194" s="522">
        <f t="shared" si="80"/>
        <v>2.7940654852253222E-2</v>
      </c>
      <c r="AG194" s="531">
        <f t="shared" si="81"/>
        <v>2.2079502107379023E-4</v>
      </c>
      <c r="AH194" s="221" t="str">
        <f t="shared" si="82"/>
        <v>NO</v>
      </c>
      <c r="AI194" s="532">
        <f t="shared" si="83"/>
        <v>-3.1278071606063215E-4</v>
      </c>
      <c r="AJ194" s="221" t="str">
        <f t="shared" si="62"/>
        <v>NO</v>
      </c>
      <c r="AK194" s="533">
        <f>IF('IN-OUT'!$F$35=0,AG194,IF('IN-OUT'!$F$26=0,'transversal subsidence profile'!AI194,'transversal subsidence profile'!AG194+'transversal subsidence profile'!AI194))</f>
        <v>-9.1985694986841915E-5</v>
      </c>
      <c r="AL194" s="513">
        <f t="shared" si="63"/>
        <v>1000</v>
      </c>
    </row>
    <row r="195" spans="1:38">
      <c r="A195" s="542">
        <f t="shared" si="84"/>
        <v>-3.75</v>
      </c>
      <c r="B195" s="363">
        <f t="shared" si="64"/>
        <v>2.2436126152353013E-2</v>
      </c>
      <c r="C195" s="543">
        <f t="shared" si="65"/>
        <v>-5.6090315380882532E-3</v>
      </c>
      <c r="D195" s="542">
        <f t="shared" si="85"/>
        <v>-3.75</v>
      </c>
      <c r="E195" s="363">
        <f t="shared" si="66"/>
        <v>2.2436126152353013E-2</v>
      </c>
      <c r="F195" s="543">
        <f t="shared" si="67"/>
        <v>-5.6090315380882532E-3</v>
      </c>
      <c r="G195" s="548">
        <f t="shared" si="68"/>
        <v>-13.75</v>
      </c>
      <c r="H195" s="363">
        <f t="shared" si="69"/>
        <v>3.2878487545752884E-3</v>
      </c>
      <c r="I195" s="363">
        <f t="shared" si="70"/>
        <v>-3.013861358360681E-3</v>
      </c>
      <c r="J195" s="364">
        <f t="shared" si="71"/>
        <v>2.57239749069283E-2</v>
      </c>
      <c r="K195" s="194">
        <f t="shared" si="72"/>
        <v>0.32878487545752882</v>
      </c>
      <c r="L195" s="646">
        <f t="shared" si="73"/>
        <v>2.2436126152353011</v>
      </c>
      <c r="M195" s="365">
        <f t="shared" si="74"/>
        <v>2.57239749069283</v>
      </c>
      <c r="N195" s="194">
        <f t="shared" si="75"/>
        <v>-0.3013861358360681</v>
      </c>
      <c r="O195" s="422">
        <f t="shared" si="76"/>
        <v>-0.56090315380882527</v>
      </c>
      <c r="P195" s="365">
        <f t="shared" si="77"/>
        <v>-0.86228928964489338</v>
      </c>
      <c r="S195" s="193"/>
      <c r="T195" s="193"/>
      <c r="U195" s="193"/>
      <c r="V195" s="193"/>
      <c r="W195" s="193"/>
      <c r="X195" s="193"/>
      <c r="Y195" s="503"/>
      <c r="Z195" s="193"/>
      <c r="AA195" s="520">
        <f t="shared" si="78"/>
        <v>-6.9034300324690101E-2</v>
      </c>
      <c r="AB195" s="496"/>
      <c r="AC195" s="521">
        <f t="shared" si="79"/>
        <v>0.1034093057227793</v>
      </c>
      <c r="AD195" s="496"/>
      <c r="AE195" s="522">
        <f t="shared" si="80"/>
        <v>3.4375005398089201E-2</v>
      </c>
      <c r="AG195" s="531">
        <f t="shared" si="81"/>
        <v>2.2727341670679868E-4</v>
      </c>
      <c r="AH195" s="221" t="str">
        <f t="shared" si="82"/>
        <v>NO</v>
      </c>
      <c r="AI195" s="532">
        <f t="shared" si="83"/>
        <v>-3.4044215875812117E-4</v>
      </c>
      <c r="AJ195" s="221" t="str">
        <f t="shared" si="62"/>
        <v>NO</v>
      </c>
      <c r="AK195" s="533">
        <f>IF('IN-OUT'!$F$35=0,AG195,IF('IN-OUT'!$F$26=0,'transversal subsidence profile'!AI195,'transversal subsidence profile'!AG195+'transversal subsidence profile'!AI195))</f>
        <v>-1.1316874205132249E-4</v>
      </c>
      <c r="AL195" s="513">
        <f t="shared" si="63"/>
        <v>1000</v>
      </c>
    </row>
    <row r="196" spans="1:38">
      <c r="A196" s="542">
        <f t="shared" si="84"/>
        <v>-3.5</v>
      </c>
      <c r="B196" s="363">
        <f t="shared" si="64"/>
        <v>2.2886854238882211E-2</v>
      </c>
      <c r="C196" s="543">
        <f t="shared" si="65"/>
        <v>-5.3402659890725152E-3</v>
      </c>
      <c r="D196" s="542">
        <f t="shared" si="85"/>
        <v>-3.5</v>
      </c>
      <c r="E196" s="363">
        <f t="shared" si="66"/>
        <v>2.2886854238882211E-2</v>
      </c>
      <c r="F196" s="543">
        <f t="shared" si="67"/>
        <v>-5.3402659890725152E-3</v>
      </c>
      <c r="G196" s="548">
        <f t="shared" si="68"/>
        <v>-13.5</v>
      </c>
      <c r="H196" s="363">
        <f t="shared" si="69"/>
        <v>3.5430694298969694E-3</v>
      </c>
      <c r="I196" s="363">
        <f t="shared" si="70"/>
        <v>-3.1887624869072722E-3</v>
      </c>
      <c r="J196" s="364">
        <f t="shared" si="71"/>
        <v>2.6429923668779179E-2</v>
      </c>
      <c r="K196" s="194">
        <f t="shared" si="72"/>
        <v>0.35430694298969695</v>
      </c>
      <c r="L196" s="646">
        <f t="shared" si="73"/>
        <v>2.288685423888221</v>
      </c>
      <c r="M196" s="365">
        <f t="shared" si="74"/>
        <v>2.6429923668779178</v>
      </c>
      <c r="N196" s="194">
        <f t="shared" si="75"/>
        <v>-0.31887624869072723</v>
      </c>
      <c r="O196" s="422">
        <f t="shared" si="76"/>
        <v>-0.53402659890725146</v>
      </c>
      <c r="P196" s="365">
        <f t="shared" si="77"/>
        <v>-0.85290284759797874</v>
      </c>
      <c r="S196" s="193"/>
      <c r="T196" s="193"/>
      <c r="U196" s="193"/>
      <c r="V196" s="193"/>
      <c r="W196" s="193"/>
      <c r="X196" s="193"/>
      <c r="Y196" s="503"/>
      <c r="Z196" s="193"/>
      <c r="AA196" s="520">
        <f t="shared" si="78"/>
        <v>-7.086138859793939E-2</v>
      </c>
      <c r="AB196" s="496"/>
      <c r="AC196" s="521">
        <f t="shared" si="79"/>
        <v>0.11155640886441902</v>
      </c>
      <c r="AD196" s="496"/>
      <c r="AE196" s="522">
        <f t="shared" si="80"/>
        <v>4.0695020266479628E-2</v>
      </c>
      <c r="AG196" s="531">
        <f t="shared" si="81"/>
        <v>2.3328852213313375E-4</v>
      </c>
      <c r="AH196" s="221" t="str">
        <f t="shared" si="82"/>
        <v>NO</v>
      </c>
      <c r="AI196" s="532">
        <f t="shared" si="83"/>
        <v>-3.6726389749602964E-4</v>
      </c>
      <c r="AJ196" s="221" t="str">
        <f t="shared" si="62"/>
        <v>NO</v>
      </c>
      <c r="AK196" s="533">
        <f>IF('IN-OUT'!$F$35=0,AG196,IF('IN-OUT'!$F$26=0,'transversal subsidence profile'!AI196,'transversal subsidence profile'!AG196+'transversal subsidence profile'!AI196))</f>
        <v>-1.3397537536289589E-4</v>
      </c>
      <c r="AL196" s="513">
        <f t="shared" si="63"/>
        <v>1000</v>
      </c>
    </row>
    <row r="197" spans="1:38">
      <c r="A197" s="542">
        <f t="shared" si="84"/>
        <v>-3.25</v>
      </c>
      <c r="B197" s="363">
        <f t="shared" si="64"/>
        <v>2.3314633567655486E-2</v>
      </c>
      <c r="C197" s="543">
        <f t="shared" si="65"/>
        <v>-5.0515039396586883E-3</v>
      </c>
      <c r="D197" s="542">
        <f t="shared" si="85"/>
        <v>-3.25</v>
      </c>
      <c r="E197" s="363">
        <f t="shared" si="66"/>
        <v>2.3314633567655486E-2</v>
      </c>
      <c r="F197" s="543">
        <f t="shared" si="67"/>
        <v>-5.0515039396586883E-3</v>
      </c>
      <c r="G197" s="548">
        <f t="shared" si="68"/>
        <v>-13.25</v>
      </c>
      <c r="H197" s="363">
        <f t="shared" si="69"/>
        <v>3.8128678596934308E-3</v>
      </c>
      <c r="I197" s="363">
        <f t="shared" si="70"/>
        <v>-3.3680332760625304E-3</v>
      </c>
      <c r="J197" s="364">
        <f t="shared" si="71"/>
        <v>2.7127501427348918E-2</v>
      </c>
      <c r="K197" s="194">
        <f t="shared" si="72"/>
        <v>0.38128678596934307</v>
      </c>
      <c r="L197" s="646">
        <f t="shared" si="73"/>
        <v>2.3314633567655485</v>
      </c>
      <c r="M197" s="365">
        <f t="shared" si="74"/>
        <v>2.7127501427348917</v>
      </c>
      <c r="N197" s="194">
        <f t="shared" si="75"/>
        <v>-0.33680332760625303</v>
      </c>
      <c r="O197" s="422">
        <f t="shared" si="76"/>
        <v>-0.5051503939658688</v>
      </c>
      <c r="P197" s="365">
        <f t="shared" si="77"/>
        <v>-0.84195372157212178</v>
      </c>
      <c r="S197" s="193"/>
      <c r="T197" s="193"/>
      <c r="U197" s="193"/>
      <c r="V197" s="193"/>
      <c r="W197" s="193"/>
      <c r="X197" s="193"/>
      <c r="Y197" s="503"/>
      <c r="Z197" s="193"/>
      <c r="AA197" s="520">
        <f t="shared" si="78"/>
        <v>-7.252643025297062E-2</v>
      </c>
      <c r="AB197" s="496"/>
      <c r="AC197" s="521">
        <f t="shared" si="79"/>
        <v>0.11939821488694168</v>
      </c>
      <c r="AD197" s="496"/>
      <c r="AE197" s="522">
        <f t="shared" si="80"/>
        <v>4.6871784633971056E-2</v>
      </c>
      <c r="AG197" s="531">
        <f t="shared" si="81"/>
        <v>2.3877014075052052E-4</v>
      </c>
      <c r="AH197" s="221" t="str">
        <f t="shared" si="82"/>
        <v>NO</v>
      </c>
      <c r="AI197" s="532">
        <f t="shared" si="83"/>
        <v>-3.9308054283766802E-4</v>
      </c>
      <c r="AJ197" s="221" t="str">
        <f t="shared" si="62"/>
        <v>NO</v>
      </c>
      <c r="AK197" s="533">
        <f>IF('IN-OUT'!$F$35=0,AG197,IF('IN-OUT'!$F$26=0,'transversal subsidence profile'!AI197,'transversal subsidence profile'!AG197+'transversal subsidence profile'!AI197))</f>
        <v>-1.5431040208714749E-4</v>
      </c>
      <c r="AL197" s="513">
        <f t="shared" si="63"/>
        <v>1000</v>
      </c>
    </row>
    <row r="198" spans="1:38">
      <c r="A198" s="542">
        <f t="shared" si="84"/>
        <v>-3</v>
      </c>
      <c r="B198" s="363">
        <f t="shared" si="64"/>
        <v>2.3717851440593102E-2</v>
      </c>
      <c r="C198" s="543">
        <f t="shared" si="65"/>
        <v>-4.74357028811862E-3</v>
      </c>
      <c r="D198" s="542">
        <f t="shared" si="85"/>
        <v>-3</v>
      </c>
      <c r="E198" s="363">
        <f t="shared" si="66"/>
        <v>2.3717851440593102E-2</v>
      </c>
      <c r="F198" s="543">
        <f t="shared" si="67"/>
        <v>-4.74357028811862E-3</v>
      </c>
      <c r="G198" s="548">
        <f t="shared" si="68"/>
        <v>-13</v>
      </c>
      <c r="H198" s="363">
        <f t="shared" si="69"/>
        <v>4.0975862710533311E-3</v>
      </c>
      <c r="I198" s="363">
        <f t="shared" si="70"/>
        <v>-3.5512414349128866E-3</v>
      </c>
      <c r="J198" s="364">
        <f t="shared" si="71"/>
        <v>2.7815437711646435E-2</v>
      </c>
      <c r="K198" s="194">
        <f t="shared" si="72"/>
        <v>0.40975862710533312</v>
      </c>
      <c r="L198" s="646">
        <f t="shared" si="73"/>
        <v>2.3717851440593103</v>
      </c>
      <c r="M198" s="365">
        <f t="shared" si="74"/>
        <v>2.7815437711646434</v>
      </c>
      <c r="N198" s="194">
        <f t="shared" si="75"/>
        <v>-0.35512414349128868</v>
      </c>
      <c r="O198" s="422">
        <f t="shared" si="76"/>
        <v>-0.47435702881186198</v>
      </c>
      <c r="P198" s="365">
        <f t="shared" si="77"/>
        <v>-0.82948117230315066</v>
      </c>
      <c r="S198" s="193"/>
      <c r="T198" s="193"/>
      <c r="U198" s="193"/>
      <c r="V198" s="193"/>
      <c r="W198" s="193"/>
      <c r="X198" s="193"/>
      <c r="Y198" s="503"/>
      <c r="Z198" s="193"/>
      <c r="AA198" s="520">
        <f t="shared" si="78"/>
        <v>-7.4007616692549877E-2</v>
      </c>
      <c r="AB198" s="496"/>
      <c r="AC198" s="521">
        <f t="shared" si="79"/>
        <v>0.12688562499082728</v>
      </c>
      <c r="AD198" s="496"/>
      <c r="AE198" s="522">
        <f t="shared" si="80"/>
        <v>5.2878008298277407E-2</v>
      </c>
      <c r="AG198" s="531">
        <f t="shared" si="81"/>
        <v>2.4364647470798308E-4</v>
      </c>
      <c r="AH198" s="221" t="str">
        <f t="shared" si="82"/>
        <v>NO</v>
      </c>
      <c r="AI198" s="532">
        <f t="shared" si="83"/>
        <v>-4.1773045264469885E-4</v>
      </c>
      <c r="AJ198" s="221" t="str">
        <f t="shared" si="62"/>
        <v>NO</v>
      </c>
      <c r="AK198" s="533">
        <f>IF('IN-OUT'!$F$35=0,AG198,IF('IN-OUT'!$F$26=0,'transversal subsidence profile'!AI198,'transversal subsidence profile'!AG198+'transversal subsidence profile'!AI198))</f>
        <v>-1.7408397793671577E-4</v>
      </c>
      <c r="AL198" s="513">
        <f t="shared" si="63"/>
        <v>1000</v>
      </c>
    </row>
    <row r="199" spans="1:38">
      <c r="A199" s="542">
        <f t="shared" si="84"/>
        <v>-2.75</v>
      </c>
      <c r="B199" s="363">
        <f t="shared" si="64"/>
        <v>2.4094968053713195E-2</v>
      </c>
      <c r="C199" s="543">
        <f t="shared" si="65"/>
        <v>-4.4174108098474184E-3</v>
      </c>
      <c r="D199" s="542">
        <f t="shared" si="85"/>
        <v>-2.75</v>
      </c>
      <c r="E199" s="363">
        <f t="shared" si="66"/>
        <v>2.4094968053713195E-2</v>
      </c>
      <c r="F199" s="543">
        <f t="shared" si="67"/>
        <v>-4.4174108098474184E-3</v>
      </c>
      <c r="G199" s="548">
        <f t="shared" si="68"/>
        <v>-12.75</v>
      </c>
      <c r="H199" s="363">
        <f t="shared" si="69"/>
        <v>4.3975290549763879E-3</v>
      </c>
      <c r="I199" s="363">
        <f t="shared" si="70"/>
        <v>-3.7378996967299301E-3</v>
      </c>
      <c r="J199" s="364">
        <f t="shared" si="71"/>
        <v>2.8492497108689584E-2</v>
      </c>
      <c r="K199" s="194">
        <f t="shared" si="72"/>
        <v>0.43975290549763879</v>
      </c>
      <c r="L199" s="646">
        <f t="shared" si="73"/>
        <v>2.4094968053713197</v>
      </c>
      <c r="M199" s="365">
        <f t="shared" si="74"/>
        <v>2.8492497108689587</v>
      </c>
      <c r="N199" s="194">
        <f t="shared" si="75"/>
        <v>-0.37378996967299299</v>
      </c>
      <c r="O199" s="422">
        <f t="shared" si="76"/>
        <v>-0.44174108098474185</v>
      </c>
      <c r="P199" s="365">
        <f t="shared" si="77"/>
        <v>-0.8155310506577349</v>
      </c>
      <c r="S199" s="193"/>
      <c r="T199" s="193"/>
      <c r="U199" s="193"/>
      <c r="V199" s="193"/>
      <c r="W199" s="193"/>
      <c r="X199" s="193"/>
      <c r="Y199" s="503"/>
      <c r="Z199" s="193"/>
      <c r="AA199" s="520">
        <f t="shared" si="78"/>
        <v>-7.5282801928813883E-2</v>
      </c>
      <c r="AB199" s="496"/>
      <c r="AC199" s="521">
        <f t="shared" si="79"/>
        <v>0.13397110723966735</v>
      </c>
      <c r="AD199" s="496"/>
      <c r="AE199" s="522">
        <f t="shared" si="80"/>
        <v>5.8688305310853464E-2</v>
      </c>
      <c r="AG199" s="531">
        <f t="shared" si="81"/>
        <v>2.4784461540350251E-4</v>
      </c>
      <c r="AH199" s="221" t="str">
        <f t="shared" si="82"/>
        <v>NO</v>
      </c>
      <c r="AI199" s="532">
        <f t="shared" si="83"/>
        <v>-4.4105714317585953E-4</v>
      </c>
      <c r="AJ199" s="221" t="str">
        <f t="shared" si="62"/>
        <v>NO</v>
      </c>
      <c r="AK199" s="533">
        <f>IF('IN-OUT'!$F$35=0,AG199,IF('IN-OUT'!$F$26=0,'transversal subsidence profile'!AI199,'transversal subsidence profile'!AG199+'transversal subsidence profile'!AI199))</f>
        <v>-1.9321252777235702E-4</v>
      </c>
      <c r="AL199" s="513">
        <f t="shared" si="63"/>
        <v>1000</v>
      </c>
    </row>
    <row r="200" spans="1:38">
      <c r="A200" s="542">
        <f t="shared" si="84"/>
        <v>-2.5</v>
      </c>
      <c r="B200" s="363">
        <f t="shared" si="64"/>
        <v>2.4444526270139773E-2</v>
      </c>
      <c r="C200" s="543">
        <f t="shared" si="65"/>
        <v>-4.0740877116899627E-3</v>
      </c>
      <c r="D200" s="542">
        <f t="shared" si="85"/>
        <v>-2.5</v>
      </c>
      <c r="E200" s="363">
        <f t="shared" si="66"/>
        <v>2.4444526270139773E-2</v>
      </c>
      <c r="F200" s="543">
        <f t="shared" si="67"/>
        <v>-4.0740877116899627E-3</v>
      </c>
      <c r="G200" s="548">
        <f t="shared" si="68"/>
        <v>-12.5</v>
      </c>
      <c r="H200" s="363">
        <f t="shared" si="69"/>
        <v>4.7129582123911669E-3</v>
      </c>
      <c r="I200" s="363">
        <f t="shared" si="70"/>
        <v>-3.9274651769926382E-3</v>
      </c>
      <c r="J200" s="364">
        <f t="shared" si="71"/>
        <v>2.915748448253094E-2</v>
      </c>
      <c r="K200" s="194">
        <f t="shared" si="72"/>
        <v>0.47129582123911667</v>
      </c>
      <c r="L200" s="646">
        <f t="shared" si="73"/>
        <v>2.4444526270139773</v>
      </c>
      <c r="M200" s="365">
        <f t="shared" si="74"/>
        <v>2.915748448253094</v>
      </c>
      <c r="N200" s="194">
        <f t="shared" si="75"/>
        <v>-0.39274651769926383</v>
      </c>
      <c r="O200" s="422">
        <f t="shared" si="76"/>
        <v>-0.40740877116899626</v>
      </c>
      <c r="P200" s="365">
        <f t="shared" si="77"/>
        <v>-0.80015528886826015</v>
      </c>
      <c r="S200" s="193"/>
      <c r="T200" s="193"/>
      <c r="U200" s="193"/>
      <c r="V200" s="193"/>
      <c r="W200" s="193"/>
      <c r="X200" s="193"/>
      <c r="Y200" s="503"/>
      <c r="Z200" s="193"/>
      <c r="AA200" s="520">
        <f t="shared" si="78"/>
        <v>-7.6329666155873388E-2</v>
      </c>
      <c r="AB200" s="496"/>
      <c r="AC200" s="521">
        <f t="shared" si="79"/>
        <v>0.14060911773130239</v>
      </c>
      <c r="AD200" s="496"/>
      <c r="AE200" s="522">
        <f t="shared" si="80"/>
        <v>6.4279451575428997E-2</v>
      </c>
      <c r="AG200" s="531">
        <f t="shared" si="81"/>
        <v>2.5129108199464491E-4</v>
      </c>
      <c r="AH200" s="221" t="str">
        <f t="shared" si="82"/>
        <v>NO</v>
      </c>
      <c r="AI200" s="532">
        <f t="shared" si="83"/>
        <v>-4.6291067565860862E-4</v>
      </c>
      <c r="AJ200" s="221" t="str">
        <f t="shared" si="62"/>
        <v>NO</v>
      </c>
      <c r="AK200" s="533">
        <f>IF('IN-OUT'!$F$35=0,AG200,IF('IN-OUT'!$F$26=0,'transversal subsidence profile'!AI200,'transversal subsidence profile'!AG200+'transversal subsidence profile'!AI200))</f>
        <v>-2.1161959366396371E-4</v>
      </c>
      <c r="AL200" s="513">
        <f t="shared" si="63"/>
        <v>1000</v>
      </c>
    </row>
    <row r="201" spans="1:38">
      <c r="A201" s="542">
        <f t="shared" si="84"/>
        <v>-2.25</v>
      </c>
      <c r="B201" s="363">
        <f t="shared" si="64"/>
        <v>2.476516098425997E-2</v>
      </c>
      <c r="C201" s="543">
        <f t="shared" si="65"/>
        <v>-3.7147741476389962E-3</v>
      </c>
      <c r="D201" s="542">
        <f t="shared" si="85"/>
        <v>-2.25</v>
      </c>
      <c r="E201" s="363">
        <f t="shared" si="66"/>
        <v>2.476516098425997E-2</v>
      </c>
      <c r="F201" s="543">
        <f t="shared" si="67"/>
        <v>-3.7147741476389962E-3</v>
      </c>
      <c r="G201" s="548">
        <f t="shared" si="68"/>
        <v>-12.25</v>
      </c>
      <c r="H201" s="363">
        <f t="shared" si="69"/>
        <v>5.0440887646448877E-3</v>
      </c>
      <c r="I201" s="363">
        <f t="shared" si="70"/>
        <v>-4.1193391577933249E-3</v>
      </c>
      <c r="J201" s="364">
        <f t="shared" si="71"/>
        <v>2.9809249748904858E-2</v>
      </c>
      <c r="K201" s="194">
        <f t="shared" si="72"/>
        <v>0.50440887646448873</v>
      </c>
      <c r="L201" s="646">
        <f t="shared" si="73"/>
        <v>2.4765160984259968</v>
      </c>
      <c r="M201" s="365">
        <f t="shared" si="74"/>
        <v>2.9809249748904856</v>
      </c>
      <c r="N201" s="194">
        <f t="shared" si="75"/>
        <v>-0.41193391577933247</v>
      </c>
      <c r="O201" s="422">
        <f t="shared" si="76"/>
        <v>-0.37147741476389962</v>
      </c>
      <c r="P201" s="365">
        <f t="shared" si="77"/>
        <v>-0.78341133054323209</v>
      </c>
      <c r="S201" s="193"/>
      <c r="T201" s="193"/>
      <c r="U201" s="193"/>
      <c r="V201" s="193"/>
      <c r="W201" s="193"/>
      <c r="X201" s="193"/>
      <c r="Y201" s="503"/>
      <c r="Z201" s="193"/>
      <c r="AA201" s="520">
        <f t="shared" si="78"/>
        <v>-7.7125893136591239E-2</v>
      </c>
      <c r="AB201" s="496"/>
      <c r="AC201" s="521">
        <f t="shared" si="79"/>
        <v>0.14675650953635536</v>
      </c>
      <c r="AD201" s="496"/>
      <c r="AE201" s="522">
        <f t="shared" si="80"/>
        <v>6.9630616399764117E-2</v>
      </c>
      <c r="AG201" s="531">
        <f t="shared" si="81"/>
        <v>2.5391240538795467E-4</v>
      </c>
      <c r="AH201" s="221" t="str">
        <f t="shared" si="82"/>
        <v>NO</v>
      </c>
      <c r="AI201" s="532">
        <f t="shared" si="83"/>
        <v>-4.8314900258882422E-4</v>
      </c>
      <c r="AJ201" s="221" t="str">
        <f t="shared" si="62"/>
        <v>NO</v>
      </c>
      <c r="AK201" s="533">
        <f>IF('IN-OUT'!$F$35=0,AG201,IF('IN-OUT'!$F$26=0,'transversal subsidence profile'!AI201,'transversal subsidence profile'!AG201+'transversal subsidence profile'!AI201))</f>
        <v>-2.2923659720086955E-4</v>
      </c>
      <c r="AL201" s="513">
        <f t="shared" si="63"/>
        <v>1000</v>
      </c>
    </row>
    <row r="202" spans="1:38">
      <c r="A202" s="542">
        <f t="shared" si="84"/>
        <v>-2</v>
      </c>
      <c r="B202" s="363">
        <f t="shared" si="64"/>
        <v>2.5055607992967667E-2</v>
      </c>
      <c r="C202" s="543">
        <f t="shared" si="65"/>
        <v>-3.3407477323956886E-3</v>
      </c>
      <c r="D202" s="542">
        <f t="shared" si="85"/>
        <v>-2</v>
      </c>
      <c r="E202" s="363">
        <f t="shared" si="66"/>
        <v>2.5055607992967667E-2</v>
      </c>
      <c r="F202" s="543">
        <f t="shared" si="67"/>
        <v>-3.3407477323956886E-3</v>
      </c>
      <c r="G202" s="548">
        <f t="shared" si="68"/>
        <v>-12</v>
      </c>
      <c r="H202" s="363">
        <f t="shared" si="69"/>
        <v>5.3910841649474402E-3</v>
      </c>
      <c r="I202" s="363">
        <f t="shared" si="70"/>
        <v>-4.3128673319579522E-3</v>
      </c>
      <c r="J202" s="364">
        <f t="shared" si="71"/>
        <v>3.0446692157915109E-2</v>
      </c>
      <c r="K202" s="194">
        <f t="shared" si="72"/>
        <v>0.53910841649474406</v>
      </c>
      <c r="L202" s="646">
        <f t="shared" si="73"/>
        <v>2.5055607992967666</v>
      </c>
      <c r="M202" s="365">
        <f t="shared" si="74"/>
        <v>3.0446692157915107</v>
      </c>
      <c r="N202" s="194">
        <f t="shared" si="75"/>
        <v>-0.43128673319579525</v>
      </c>
      <c r="O202" s="422">
        <f t="shared" si="76"/>
        <v>-0.33407477323956886</v>
      </c>
      <c r="P202" s="365">
        <f t="shared" si="77"/>
        <v>-0.76536150643536405</v>
      </c>
      <c r="S202" s="193"/>
      <c r="T202" s="193"/>
      <c r="U202" s="193"/>
      <c r="V202" s="193"/>
      <c r="W202" s="193"/>
      <c r="X202" s="193"/>
      <c r="Y202" s="503"/>
      <c r="Z202" s="193"/>
      <c r="AA202" s="520">
        <f t="shared" si="78"/>
        <v>-7.7649360400477527E-2</v>
      </c>
      <c r="AB202" s="496"/>
      <c r="AC202" s="521">
        <f t="shared" si="79"/>
        <v>0.15237292469431638</v>
      </c>
      <c r="AD202" s="496"/>
      <c r="AE202" s="522">
        <f t="shared" si="80"/>
        <v>7.4723564293838848E-2</v>
      </c>
      <c r="AG202" s="531">
        <f t="shared" si="81"/>
        <v>2.556357544048643E-4</v>
      </c>
      <c r="AH202" s="221" t="str">
        <f t="shared" si="82"/>
        <v>NO</v>
      </c>
      <c r="AI202" s="532">
        <f t="shared" si="83"/>
        <v>-5.0163925825289348E-4</v>
      </c>
      <c r="AJ202" s="221" t="str">
        <f t="shared" ref="AJ202:AJ265" si="86">IF(AND(ABS(AI201)&gt;ABS(AI202),(ABS(AI203)&gt;(ABS(AI202)))),G202,"NO")</f>
        <v>NO</v>
      </c>
      <c r="AK202" s="533">
        <f>IF('IN-OUT'!$F$35=0,AG202,IF('IN-OUT'!$F$26=0,'transversal subsidence profile'!AI202,'transversal subsidence profile'!AG202+'transversal subsidence profile'!AI202))</f>
        <v>-2.4600350384802917E-4</v>
      </c>
      <c r="AL202" s="513">
        <f t="shared" ref="AL202:AL265" si="87">IF(AND(ABS(AK201)&gt;ABS(AK202),(ABS(AK203)&gt;(ABS(AK202))),(AK201*AK203)&lt;0),G202,1000)</f>
        <v>1000</v>
      </c>
    </row>
    <row r="203" spans="1:38">
      <c r="A203" s="542">
        <f t="shared" si="84"/>
        <v>-1.75</v>
      </c>
      <c r="B203" s="363">
        <f t="shared" ref="B203:B266" si="88">+$L$5*EXP(-(A203^2)/(2*$J$5^2))</f>
        <v>2.5314712293414244E-2</v>
      </c>
      <c r="C203" s="543">
        <f t="shared" ref="C203:C266" si="89">+$L$5*A203/$B$5*EXP(-(A203^2)/(2*$J$5^2))</f>
        <v>-2.9533831008983283E-3</v>
      </c>
      <c r="D203" s="542">
        <f t="shared" si="85"/>
        <v>-1.75</v>
      </c>
      <c r="E203" s="363">
        <f t="shared" ref="E203:E266" si="90">+$L$6*EXP(-(D203^2)/(2*$J$6^2))</f>
        <v>2.5314712293414244E-2</v>
      </c>
      <c r="F203" s="543">
        <f t="shared" ref="F203:F266" si="91">+$L$6*D203/$F$5*EXP(-(D203^2)/(2*$J$6^2))</f>
        <v>-2.9533831008983283E-3</v>
      </c>
      <c r="G203" s="548">
        <f t="shared" ref="G203:G266" si="92">IF(OR($F$5=0,$F$6=0),D203,D203-$D$2)</f>
        <v>-11.75</v>
      </c>
      <c r="H203" s="363">
        <f t="shared" ref="H203:H266" si="93">+$L$5*EXP(-(G203^2)/(2*$J$5^2))</f>
        <v>5.7540517498836782E-3</v>
      </c>
      <c r="I203" s="363">
        <f t="shared" ref="I203:I266" si="94">+$L$5*G203/$B$5*EXP(-(G203^2)/(2*$J$5^2))</f>
        <v>-4.5073405374088807E-3</v>
      </c>
      <c r="J203" s="364">
        <f t="shared" ref="J203:J266" si="95">+H203+B203</f>
        <v>3.1068764043297923E-2</v>
      </c>
      <c r="K203" s="194">
        <f t="shared" ref="K203:K266" si="96">+H203*100</f>
        <v>0.57540517498836785</v>
      </c>
      <c r="L203" s="646">
        <f t="shared" ref="L203:L266" si="97">+E203*100</f>
        <v>2.5314712293414243</v>
      </c>
      <c r="M203" s="365">
        <f t="shared" ref="M203:M266" si="98">+IF(OR($B$5=0,$B$6=0),L203,IF(OR($F$5=0,$F$6=0),K203,K203+L203))</f>
        <v>3.1068764043297921</v>
      </c>
      <c r="N203" s="194">
        <f t="shared" ref="N203:N266" si="99">+I203*100</f>
        <v>-0.4507340537408881</v>
      </c>
      <c r="O203" s="422">
        <f t="shared" ref="O203:O266" si="100">+F203*100</f>
        <v>-0.2953383100898328</v>
      </c>
      <c r="P203" s="365">
        <f t="shared" ref="P203:P266" si="101">+IF(OR($B$5=0,$B$6=0),O203,IF(OR($F$5=0,$F$6=0),N203,N203+O203))</f>
        <v>-0.74607236383072095</v>
      </c>
      <c r="S203" s="193"/>
      <c r="T203" s="193"/>
      <c r="U203" s="193"/>
      <c r="V203" s="193"/>
      <c r="W203" s="193"/>
      <c r="X203" s="193"/>
      <c r="Y203" s="503"/>
      <c r="Z203" s="193"/>
      <c r="AA203" s="520">
        <f t="shared" ref="AA203:AA266" si="102">($L$5/$B$5)*(1-((G203^2)/(($J$5)^2)))*EXP(-(G203^2)/(2*(($J$5)^2)))*100</f>
        <v>-7.787834101351479E-2</v>
      </c>
      <c r="AB203" s="496"/>
      <c r="AC203" s="521">
        <f t="shared" ref="AC203:AC266" si="103">($L$6/$F$5)*(1-D203^2/(($J$6)^2))*EXP(-(D203^2)/(2*(($J$6)^2)))*100</f>
        <v>0.15742116469612882</v>
      </c>
      <c r="AD203" s="496"/>
      <c r="AE203" s="522">
        <f t="shared" ref="AE203:AE266" si="104">AA203+AC203</f>
        <v>7.9542823682614033E-2</v>
      </c>
      <c r="AG203" s="531">
        <f t="shared" ref="AG203:AG266" si="105">($L$5*(1/(($J$5)^2))*(EXP(-(G203^2/(2*$J$5^2))))*((G203^2/($J$5^2))-1))</f>
        <v>2.5638960004449314E-4</v>
      </c>
      <c r="AH203" s="221" t="str">
        <f t="shared" ref="AH203:AH266" si="106">IF(AND(ABS(AG202)&gt;ABS(AG203),(ABS(AG204)&gt;(ABS(AG203)))),G203,"NO")</f>
        <v>NO</v>
      </c>
      <c r="AI203" s="532">
        <f t="shared" ref="AI203:AI266" si="107">($L$6*(1/(($J$6)^2))*(EXP(-((D203)^2/(2*$J$6^2))))*(((D203)^2/($J$6^2))-1))</f>
        <v>-5.1825897842346926E-4</v>
      </c>
      <c r="AJ203" s="221" t="str">
        <f t="shared" si="86"/>
        <v>NO</v>
      </c>
      <c r="AK203" s="533">
        <f>IF('IN-OUT'!$F$35=0,AG203,IF('IN-OUT'!$F$26=0,'transversal subsidence profile'!AI203,'transversal subsidence profile'!AG203+'transversal subsidence profile'!AI203))</f>
        <v>-2.6186937837897612E-4</v>
      </c>
      <c r="AL203" s="513">
        <f t="shared" si="87"/>
        <v>1000</v>
      </c>
    </row>
    <row r="204" spans="1:38">
      <c r="A204" s="542">
        <f t="shared" ref="A204:A267" si="108">A203+0.25</f>
        <v>-1.5</v>
      </c>
      <c r="B204" s="363">
        <f t="shared" si="88"/>
        <v>2.5541435731110482E-2</v>
      </c>
      <c r="C204" s="543">
        <f t="shared" si="89"/>
        <v>-2.5541435731110482E-3</v>
      </c>
      <c r="D204" s="542">
        <f t="shared" ref="D204:D267" si="109">D203+0.25</f>
        <v>-1.5</v>
      </c>
      <c r="E204" s="363">
        <f t="shared" si="90"/>
        <v>2.5541435731110482E-2</v>
      </c>
      <c r="F204" s="543">
        <f t="shared" si="91"/>
        <v>-2.5541435731110482E-3</v>
      </c>
      <c r="G204" s="548">
        <f t="shared" si="92"/>
        <v>-11.5</v>
      </c>
      <c r="H204" s="363">
        <f t="shared" si="93"/>
        <v>6.1330382724851711E-3</v>
      </c>
      <c r="I204" s="363">
        <f t="shared" si="94"/>
        <v>-4.7019960089052975E-3</v>
      </c>
      <c r="J204" s="364">
        <f t="shared" si="95"/>
        <v>3.1674474003595653E-2</v>
      </c>
      <c r="K204" s="194">
        <f t="shared" si="96"/>
        <v>0.61330382724851706</v>
      </c>
      <c r="L204" s="646">
        <f t="shared" si="97"/>
        <v>2.5541435731110482</v>
      </c>
      <c r="M204" s="365">
        <f t="shared" si="98"/>
        <v>3.1674474003595652</v>
      </c>
      <c r="N204" s="194">
        <f t="shared" si="99"/>
        <v>-0.47019960089052976</v>
      </c>
      <c r="O204" s="422">
        <f t="shared" si="100"/>
        <v>-0.25541435731110484</v>
      </c>
      <c r="P204" s="365">
        <f t="shared" si="101"/>
        <v>-0.72561395820163455</v>
      </c>
      <c r="S204" s="193"/>
      <c r="T204" s="193"/>
      <c r="U204" s="193"/>
      <c r="V204" s="193"/>
      <c r="W204" s="193"/>
      <c r="X204" s="193"/>
      <c r="Y204" s="503"/>
      <c r="Z204" s="193"/>
      <c r="AA204" s="520">
        <f t="shared" si="102"/>
        <v>-7.779171544523944E-2</v>
      </c>
      <c r="AB204" s="496"/>
      <c r="AC204" s="521">
        <f t="shared" si="103"/>
        <v>0.16186753508604998</v>
      </c>
      <c r="AD204" s="496"/>
      <c r="AE204" s="522">
        <f t="shared" si="104"/>
        <v>8.407581964081054E-2</v>
      </c>
      <c r="AG204" s="531">
        <f t="shared" si="105"/>
        <v>2.5610441298844254E-4</v>
      </c>
      <c r="AH204" s="221" t="str">
        <f t="shared" si="106"/>
        <v>NO</v>
      </c>
      <c r="AI204" s="532">
        <f t="shared" si="107"/>
        <v>-5.3289723485119324E-4</v>
      </c>
      <c r="AJ204" s="221" t="str">
        <f t="shared" si="86"/>
        <v>NO</v>
      </c>
      <c r="AK204" s="533">
        <f>IF('IN-OUT'!$F$35=0,AG204,IF('IN-OUT'!$F$26=0,'transversal subsidence profile'!AI204,'transversal subsidence profile'!AG204+'transversal subsidence profile'!AI204))</f>
        <v>-2.767928218627507E-4</v>
      </c>
      <c r="AL204" s="513">
        <f t="shared" si="87"/>
        <v>1000</v>
      </c>
    </row>
    <row r="205" spans="1:38">
      <c r="A205" s="542">
        <f t="shared" si="108"/>
        <v>-1.25</v>
      </c>
      <c r="B205" s="363">
        <f t="shared" si="88"/>
        <v>2.5734863927544153E-2</v>
      </c>
      <c r="C205" s="543">
        <f t="shared" si="89"/>
        <v>-2.144571993962013E-3</v>
      </c>
      <c r="D205" s="542">
        <f t="shared" si="109"/>
        <v>-1.25</v>
      </c>
      <c r="E205" s="363">
        <f t="shared" si="90"/>
        <v>2.5734863927544153E-2</v>
      </c>
      <c r="F205" s="543">
        <f t="shared" si="91"/>
        <v>-2.144571993962013E-3</v>
      </c>
      <c r="G205" s="548">
        <f t="shared" si="92"/>
        <v>-11.25</v>
      </c>
      <c r="H205" s="363">
        <f t="shared" si="93"/>
        <v>6.5280255604261844E-3</v>
      </c>
      <c r="I205" s="363">
        <f t="shared" si="94"/>
        <v>-4.8960191703196383E-3</v>
      </c>
      <c r="J205" s="364">
        <f t="shared" si="95"/>
        <v>3.2262889487970334E-2</v>
      </c>
      <c r="K205" s="194">
        <f t="shared" si="96"/>
        <v>0.6528025560426185</v>
      </c>
      <c r="L205" s="646">
        <f t="shared" si="97"/>
        <v>2.5734863927544152</v>
      </c>
      <c r="M205" s="365">
        <f t="shared" si="98"/>
        <v>3.2262889487970337</v>
      </c>
      <c r="N205" s="194">
        <f t="shared" si="99"/>
        <v>-0.48960191703196382</v>
      </c>
      <c r="O205" s="422">
        <f t="shared" si="100"/>
        <v>-0.21445719939620131</v>
      </c>
      <c r="P205" s="365">
        <f t="shared" si="101"/>
        <v>-0.7040591164281651</v>
      </c>
      <c r="S205" s="193"/>
      <c r="T205" s="193"/>
      <c r="U205" s="193"/>
      <c r="V205" s="193"/>
      <c r="W205" s="193"/>
      <c r="X205" s="193"/>
      <c r="Y205" s="503"/>
      <c r="Z205" s="193"/>
      <c r="AA205" s="520">
        <f t="shared" si="102"/>
        <v>-7.7369191827273281E-2</v>
      </c>
      <c r="AB205" s="496"/>
      <c r="AC205" s="521">
        <f t="shared" si="103"/>
        <v>0.16568216008222297</v>
      </c>
      <c r="AD205" s="496"/>
      <c r="AE205" s="522">
        <f t="shared" si="104"/>
        <v>8.8312968254949692E-2</v>
      </c>
      <c r="AG205" s="531">
        <f t="shared" si="105"/>
        <v>2.547133887317639E-4</v>
      </c>
      <c r="AH205" s="221" t="str">
        <f t="shared" si="106"/>
        <v>NO</v>
      </c>
      <c r="AI205" s="532">
        <f t="shared" si="107"/>
        <v>-5.4545567105258592E-4</v>
      </c>
      <c r="AJ205" s="221" t="str">
        <f t="shared" si="86"/>
        <v>NO</v>
      </c>
      <c r="AK205" s="533">
        <f>IF('IN-OUT'!$F$35=0,AG205,IF('IN-OUT'!$F$26=0,'transversal subsidence profile'!AI205,'transversal subsidence profile'!AG205+'transversal subsidence profile'!AI205))</f>
        <v>-2.9074228232082202E-4</v>
      </c>
      <c r="AL205" s="513">
        <f t="shared" si="87"/>
        <v>1000</v>
      </c>
    </row>
    <row r="206" spans="1:38">
      <c r="A206" s="542">
        <f t="shared" si="108"/>
        <v>-1</v>
      </c>
      <c r="B206" s="363">
        <f t="shared" si="88"/>
        <v>2.5894212422641401E-2</v>
      </c>
      <c r="C206" s="543">
        <f t="shared" si="89"/>
        <v>-1.7262808281760934E-3</v>
      </c>
      <c r="D206" s="542">
        <f t="shared" si="109"/>
        <v>-1</v>
      </c>
      <c r="E206" s="363">
        <f t="shared" si="90"/>
        <v>2.5894212422641401E-2</v>
      </c>
      <c r="F206" s="543">
        <f t="shared" si="91"/>
        <v>-1.7262808281760934E-3</v>
      </c>
      <c r="G206" s="548">
        <f t="shared" si="92"/>
        <v>-11</v>
      </c>
      <c r="H206" s="363">
        <f t="shared" si="93"/>
        <v>6.9389263446314898E-3</v>
      </c>
      <c r="I206" s="363">
        <f t="shared" si="94"/>
        <v>-5.0885459860630913E-3</v>
      </c>
      <c r="J206" s="364">
        <f t="shared" si="95"/>
        <v>3.2833138767272889E-2</v>
      </c>
      <c r="K206" s="194">
        <f t="shared" si="96"/>
        <v>0.69389263446314897</v>
      </c>
      <c r="L206" s="646">
        <f t="shared" si="97"/>
        <v>2.5894212422641401</v>
      </c>
      <c r="M206" s="365">
        <f t="shared" si="98"/>
        <v>3.2833138767272891</v>
      </c>
      <c r="N206" s="194">
        <f t="shared" si="99"/>
        <v>-0.50885459860630911</v>
      </c>
      <c r="O206" s="422">
        <f t="shared" si="100"/>
        <v>-0.17262808281760933</v>
      </c>
      <c r="P206" s="365">
        <f t="shared" si="101"/>
        <v>-0.68148268142391843</v>
      </c>
      <c r="S206" s="193"/>
      <c r="T206" s="193"/>
      <c r="U206" s="193"/>
      <c r="V206" s="193"/>
      <c r="W206" s="193"/>
      <c r="X206" s="193"/>
      <c r="Y206" s="503"/>
      <c r="Z206" s="193"/>
      <c r="AA206" s="520">
        <f t="shared" si="102"/>
        <v>-7.6591532674624679E-2</v>
      </c>
      <c r="AB206" s="496"/>
      <c r="AC206" s="521">
        <f t="shared" si="103"/>
        <v>0.16883926344163988</v>
      </c>
      <c r="AD206" s="496"/>
      <c r="AE206" s="522">
        <f t="shared" si="104"/>
        <v>9.2247730767015201E-2</v>
      </c>
      <c r="AG206" s="531">
        <f t="shared" si="105"/>
        <v>2.5215319399053389E-4</v>
      </c>
      <c r="AH206" s="221" t="str">
        <f t="shared" si="106"/>
        <v>NO</v>
      </c>
      <c r="AI206" s="532">
        <f t="shared" si="107"/>
        <v>-5.5584942696836168E-4</v>
      </c>
      <c r="AJ206" s="221" t="str">
        <f t="shared" si="86"/>
        <v>NO</v>
      </c>
      <c r="AK206" s="533">
        <f>IF('IN-OUT'!$F$35=0,AG206,IF('IN-OUT'!$F$26=0,'transversal subsidence profile'!AI206,'transversal subsidence profile'!AG206+'transversal subsidence profile'!AI206))</f>
        <v>-3.0369623297782779E-4</v>
      </c>
      <c r="AL206" s="513">
        <f t="shared" si="87"/>
        <v>1000</v>
      </c>
    </row>
    <row r="207" spans="1:38">
      <c r="A207" s="542">
        <f t="shared" si="108"/>
        <v>-0.75</v>
      </c>
      <c r="B207" s="363">
        <f t="shared" si="88"/>
        <v>2.6018831974338966E-2</v>
      </c>
      <c r="C207" s="543">
        <f t="shared" si="89"/>
        <v>-1.3009415987169481E-3</v>
      </c>
      <c r="D207" s="542">
        <f t="shared" si="109"/>
        <v>-0.75</v>
      </c>
      <c r="E207" s="363">
        <f t="shared" si="90"/>
        <v>2.6018831974338966E-2</v>
      </c>
      <c r="F207" s="543">
        <f t="shared" si="91"/>
        <v>-1.3009415987169481E-3</v>
      </c>
      <c r="G207" s="548">
        <f t="shared" si="92"/>
        <v>-10.75</v>
      </c>
      <c r="H207" s="363">
        <f t="shared" si="93"/>
        <v>7.365580304909804E-3</v>
      </c>
      <c r="I207" s="363">
        <f t="shared" si="94"/>
        <v>-5.2786658851853591E-3</v>
      </c>
      <c r="J207" s="364">
        <f t="shared" si="95"/>
        <v>3.3384412279248772E-2</v>
      </c>
      <c r="K207" s="194">
        <f t="shared" si="96"/>
        <v>0.73655803049098045</v>
      </c>
      <c r="L207" s="646">
        <f t="shared" si="97"/>
        <v>2.6018831974338967</v>
      </c>
      <c r="M207" s="365">
        <f t="shared" si="98"/>
        <v>3.3384412279248772</v>
      </c>
      <c r="N207" s="194">
        <f t="shared" si="99"/>
        <v>-0.52786658851853596</v>
      </c>
      <c r="O207" s="422">
        <f t="shared" si="100"/>
        <v>-0.13009415987169481</v>
      </c>
      <c r="P207" s="365">
        <f t="shared" si="101"/>
        <v>-0.65796074839023078</v>
      </c>
      <c r="S207" s="193"/>
      <c r="T207" s="193"/>
      <c r="U207" s="193"/>
      <c r="V207" s="193"/>
      <c r="W207" s="193"/>
      <c r="X207" s="193"/>
      <c r="Y207" s="503"/>
      <c r="Z207" s="193"/>
      <c r="AA207" s="520">
        <f t="shared" si="102"/>
        <v>-7.5440785930489071E-2</v>
      </c>
      <c r="AB207" s="496"/>
      <c r="AC207" s="521">
        <f t="shared" si="103"/>
        <v>0.17131741217671745</v>
      </c>
      <c r="AD207" s="496"/>
      <c r="AE207" s="522">
        <f t="shared" si="104"/>
        <v>9.5876626246228377E-2</v>
      </c>
      <c r="AG207" s="531">
        <f t="shared" si="105"/>
        <v>2.4836472734317391E-4</v>
      </c>
      <c r="AH207" s="221" t="str">
        <f t="shared" si="106"/>
        <v>NO</v>
      </c>
      <c r="AI207" s="532">
        <f t="shared" si="107"/>
        <v>-5.640079413225266E-4</v>
      </c>
      <c r="AJ207" s="221" t="str">
        <f t="shared" si="86"/>
        <v>NO</v>
      </c>
      <c r="AK207" s="533">
        <f>IF('IN-OUT'!$F$35=0,AG207,IF('IN-OUT'!$F$26=0,'transversal subsidence profile'!AI207,'transversal subsidence profile'!AG207+'transversal subsidence profile'!AI207))</f>
        <v>-3.1564321397935268E-4</v>
      </c>
      <c r="AL207" s="513">
        <f t="shared" si="87"/>
        <v>1000</v>
      </c>
    </row>
    <row r="208" spans="1:38">
      <c r="A208" s="542">
        <f t="shared" si="108"/>
        <v>-0.5</v>
      </c>
      <c r="B208" s="363">
        <f t="shared" si="88"/>
        <v>2.6108212965170567E-2</v>
      </c>
      <c r="C208" s="543">
        <f t="shared" si="89"/>
        <v>-8.702737655056855E-4</v>
      </c>
      <c r="D208" s="542">
        <f t="shared" si="109"/>
        <v>-0.5</v>
      </c>
      <c r="E208" s="363">
        <f t="shared" si="90"/>
        <v>2.6108212965170567E-2</v>
      </c>
      <c r="F208" s="543">
        <f t="shared" si="91"/>
        <v>-8.702737655056855E-4</v>
      </c>
      <c r="G208" s="548">
        <f t="shared" si="92"/>
        <v>-10.5</v>
      </c>
      <c r="H208" s="363">
        <f t="shared" si="93"/>
        <v>7.8077503801128809E-3</v>
      </c>
      <c r="I208" s="363">
        <f t="shared" si="94"/>
        <v>-5.4654252660790168E-3</v>
      </c>
      <c r="J208" s="364">
        <f t="shared" si="95"/>
        <v>3.3915963345283448E-2</v>
      </c>
      <c r="K208" s="194">
        <f t="shared" si="96"/>
        <v>0.78077503801128811</v>
      </c>
      <c r="L208" s="646">
        <f t="shared" si="97"/>
        <v>2.6108212965170567</v>
      </c>
      <c r="M208" s="365">
        <f t="shared" si="98"/>
        <v>3.3915963345283449</v>
      </c>
      <c r="N208" s="194">
        <f t="shared" si="99"/>
        <v>-0.5465425266079017</v>
      </c>
      <c r="O208" s="422">
        <f t="shared" si="100"/>
        <v>-8.7027376550568553E-2</v>
      </c>
      <c r="P208" s="365">
        <f t="shared" si="101"/>
        <v>-0.63356990315847028</v>
      </c>
      <c r="S208" s="193"/>
      <c r="T208" s="193"/>
      <c r="U208" s="193"/>
      <c r="V208" s="193"/>
      <c r="W208" s="193"/>
      <c r="X208" s="193"/>
      <c r="Y208" s="503"/>
      <c r="Z208" s="193"/>
      <c r="AA208" s="520">
        <f t="shared" si="102"/>
        <v>-7.3900518001068408E-2</v>
      </c>
      <c r="AB208" s="496"/>
      <c r="AC208" s="521">
        <f t="shared" si="103"/>
        <v>0.17309972016231057</v>
      </c>
      <c r="AD208" s="496"/>
      <c r="AE208" s="522">
        <f t="shared" si="104"/>
        <v>9.9199202161242159E-2</v>
      </c>
      <c r="AG208" s="531">
        <f t="shared" si="105"/>
        <v>2.4329388642327051E-4</v>
      </c>
      <c r="AH208" s="221" t="str">
        <f t="shared" si="106"/>
        <v>NO</v>
      </c>
      <c r="AI208" s="532">
        <f t="shared" si="107"/>
        <v>-5.6987562193353263E-4</v>
      </c>
      <c r="AJ208" s="221" t="str">
        <f t="shared" si="86"/>
        <v>NO</v>
      </c>
      <c r="AK208" s="533">
        <f>IF('IN-OUT'!$F$35=0,AG208,IF('IN-OUT'!$F$26=0,'transversal subsidence profile'!AI208,'transversal subsidence profile'!AG208+'transversal subsidence profile'!AI208))</f>
        <v>-3.2658173551026212E-4</v>
      </c>
      <c r="AL208" s="513">
        <f t="shared" si="87"/>
        <v>1000</v>
      </c>
    </row>
    <row r="209" spans="1:38">
      <c r="A209" s="542">
        <f t="shared" si="108"/>
        <v>-0.25</v>
      </c>
      <c r="B209" s="363">
        <f t="shared" si="88"/>
        <v>2.6161988874015749E-2</v>
      </c>
      <c r="C209" s="543">
        <f t="shared" si="89"/>
        <v>-4.3603314790026246E-4</v>
      </c>
      <c r="D209" s="542">
        <f t="shared" si="109"/>
        <v>-0.25</v>
      </c>
      <c r="E209" s="363">
        <f t="shared" si="90"/>
        <v>2.6161988874015749E-2</v>
      </c>
      <c r="F209" s="543">
        <f t="shared" si="91"/>
        <v>-4.3603314790026246E-4</v>
      </c>
      <c r="G209" s="548">
        <f t="shared" si="92"/>
        <v>-10.25</v>
      </c>
      <c r="H209" s="363">
        <f t="shared" si="93"/>
        <v>8.265119390726822E-3</v>
      </c>
      <c r="I209" s="363">
        <f t="shared" si="94"/>
        <v>-5.6478315836633276E-3</v>
      </c>
      <c r="J209" s="364">
        <f t="shared" si="95"/>
        <v>3.4427108264742573E-2</v>
      </c>
      <c r="K209" s="194">
        <f t="shared" si="96"/>
        <v>0.82651193907268217</v>
      </c>
      <c r="L209" s="646">
        <f t="shared" si="97"/>
        <v>2.6161988874015751</v>
      </c>
      <c r="M209" s="365">
        <f t="shared" si="98"/>
        <v>3.4427108264742574</v>
      </c>
      <c r="N209" s="194">
        <f t="shared" si="99"/>
        <v>-0.56478315836633275</v>
      </c>
      <c r="O209" s="422">
        <f t="shared" si="100"/>
        <v>-4.3603314790026243E-2</v>
      </c>
      <c r="P209" s="365">
        <f t="shared" si="101"/>
        <v>-0.60838647315635896</v>
      </c>
      <c r="S209" s="193"/>
      <c r="T209" s="193"/>
      <c r="U209" s="193"/>
      <c r="V209" s="193"/>
      <c r="W209" s="193"/>
      <c r="X209" s="193"/>
      <c r="Y209" s="503"/>
      <c r="Z209" s="193"/>
      <c r="AA209" s="520">
        <f t="shared" si="102"/>
        <v>-7.1956046273177268E-2</v>
      </c>
      <c r="AB209" s="496"/>
      <c r="AC209" s="521">
        <f t="shared" si="103"/>
        <v>0.17417400914753969</v>
      </c>
      <c r="AD209" s="496"/>
      <c r="AE209" s="522">
        <f t="shared" si="104"/>
        <v>0.10221796287436243</v>
      </c>
      <c r="AG209" s="531">
        <f t="shared" si="105"/>
        <v>2.3689233340963708E-4</v>
      </c>
      <c r="AH209" s="221" t="str">
        <f t="shared" si="106"/>
        <v>NO</v>
      </c>
      <c r="AI209" s="532">
        <f t="shared" si="107"/>
        <v>-5.7341237579436929E-4</v>
      </c>
      <c r="AJ209" s="221" t="str">
        <f t="shared" si="86"/>
        <v>NO</v>
      </c>
      <c r="AK209" s="533">
        <f>IF('IN-OUT'!$F$35=0,AG209,IF('IN-OUT'!$F$26=0,'transversal subsidence profile'!AI209,'transversal subsidence profile'!AG209+'transversal subsidence profile'!AI209))</f>
        <v>-3.3652004238473221E-4</v>
      </c>
      <c r="AL209" s="513">
        <f t="shared" si="87"/>
        <v>1000</v>
      </c>
    </row>
    <row r="210" spans="1:38">
      <c r="A210" s="542">
        <f t="shared" si="108"/>
        <v>0</v>
      </c>
      <c r="B210" s="363">
        <f t="shared" si="88"/>
        <v>2.6179938779914941E-2</v>
      </c>
      <c r="C210" s="543">
        <f t="shared" si="89"/>
        <v>0</v>
      </c>
      <c r="D210" s="542">
        <f t="shared" si="109"/>
        <v>0</v>
      </c>
      <c r="E210" s="363">
        <f t="shared" si="90"/>
        <v>2.6179938779914941E-2</v>
      </c>
      <c r="F210" s="543">
        <f t="shared" si="91"/>
        <v>0</v>
      </c>
      <c r="G210" s="548">
        <f t="shared" si="92"/>
        <v>-10</v>
      </c>
      <c r="H210" s="363">
        <f t="shared" si="93"/>
        <v>8.7372870216931454E-3</v>
      </c>
      <c r="I210" s="363">
        <f t="shared" si="94"/>
        <v>-5.8248580144620969E-3</v>
      </c>
      <c r="J210" s="364">
        <f t="shared" si="95"/>
        <v>3.4917225801608089E-2</v>
      </c>
      <c r="K210" s="194">
        <f t="shared" si="96"/>
        <v>0.87372870216931453</v>
      </c>
      <c r="L210" s="646">
        <f t="shared" si="97"/>
        <v>2.617993877991494</v>
      </c>
      <c r="M210" s="365">
        <f t="shared" si="98"/>
        <v>3.4917225801608085</v>
      </c>
      <c r="N210" s="194">
        <f t="shared" si="99"/>
        <v>-0.58248580144620965</v>
      </c>
      <c r="O210" s="422">
        <f t="shared" si="100"/>
        <v>0</v>
      </c>
      <c r="P210" s="365">
        <f t="shared" si="101"/>
        <v>-0.58248580144620965</v>
      </c>
      <c r="S210" s="193"/>
      <c r="T210" s="193"/>
      <c r="U210" s="193"/>
      <c r="V210" s="193"/>
      <c r="W210" s="193"/>
      <c r="X210" s="193"/>
      <c r="Y210" s="503"/>
      <c r="Z210" s="193"/>
      <c r="AA210" s="520">
        <f t="shared" si="102"/>
        <v>-6.9594668458113657E-2</v>
      </c>
      <c r="AB210" s="496"/>
      <c r="AC210" s="521">
        <f t="shared" si="103"/>
        <v>0.17453292519943295</v>
      </c>
      <c r="AD210" s="496"/>
      <c r="AE210" s="522">
        <f t="shared" si="104"/>
        <v>0.10493825674131929</v>
      </c>
      <c r="AG210" s="531">
        <f t="shared" si="105"/>
        <v>2.291182500678639E-4</v>
      </c>
      <c r="AH210" s="221" t="str">
        <f t="shared" si="106"/>
        <v>NO</v>
      </c>
      <c r="AI210" s="532">
        <f t="shared" si="107"/>
        <v>-5.7459399242611663E-4</v>
      </c>
      <c r="AJ210" s="221" t="str">
        <f t="shared" si="86"/>
        <v>NO</v>
      </c>
      <c r="AK210" s="533">
        <f>IF('IN-OUT'!$F$35=0,AG210,IF('IN-OUT'!$F$26=0,'transversal subsidence profile'!AI210,'transversal subsidence profile'!AG210+'transversal subsidence profile'!AI210))</f>
        <v>-3.4547574235825271E-4</v>
      </c>
      <c r="AL210" s="513">
        <f t="shared" si="87"/>
        <v>1000</v>
      </c>
    </row>
    <row r="211" spans="1:38">
      <c r="A211" s="542">
        <f t="shared" si="108"/>
        <v>0.25</v>
      </c>
      <c r="B211" s="363">
        <f t="shared" si="88"/>
        <v>2.6161988874015749E-2</v>
      </c>
      <c r="C211" s="543">
        <f t="shared" si="89"/>
        <v>4.3603314790026246E-4</v>
      </c>
      <c r="D211" s="542">
        <f t="shared" si="109"/>
        <v>0.25</v>
      </c>
      <c r="E211" s="363">
        <f t="shared" si="90"/>
        <v>2.6161988874015749E-2</v>
      </c>
      <c r="F211" s="543">
        <f t="shared" si="91"/>
        <v>4.3603314790026246E-4</v>
      </c>
      <c r="G211" s="548">
        <f t="shared" si="92"/>
        <v>-9.75</v>
      </c>
      <c r="H211" s="363">
        <f t="shared" si="93"/>
        <v>9.2237672126020583E-3</v>
      </c>
      <c r="I211" s="363">
        <f t="shared" si="94"/>
        <v>-5.9954486881913377E-3</v>
      </c>
      <c r="J211" s="364">
        <f t="shared" si="95"/>
        <v>3.5385756086617808E-2</v>
      </c>
      <c r="K211" s="194">
        <f t="shared" si="96"/>
        <v>0.92237672126020587</v>
      </c>
      <c r="L211" s="646">
        <f t="shared" si="97"/>
        <v>2.6161988874015751</v>
      </c>
      <c r="M211" s="365">
        <f t="shared" si="98"/>
        <v>3.5385756086617812</v>
      </c>
      <c r="N211" s="194">
        <f t="shared" si="99"/>
        <v>-0.59954486881913382</v>
      </c>
      <c r="O211" s="422">
        <f t="shared" si="100"/>
        <v>4.3603314790026243E-2</v>
      </c>
      <c r="P211" s="365">
        <f t="shared" si="101"/>
        <v>-0.55594155402910761</v>
      </c>
      <c r="S211" s="193"/>
      <c r="T211" s="193"/>
      <c r="U211" s="193"/>
      <c r="V211" s="193"/>
      <c r="W211" s="193"/>
      <c r="X211" s="193"/>
      <c r="Y211" s="503"/>
      <c r="Z211" s="193"/>
      <c r="AA211" s="520">
        <f t="shared" si="102"/>
        <v>-6.6805885984278265E-2</v>
      </c>
      <c r="AB211" s="496"/>
      <c r="AC211" s="521">
        <f t="shared" si="103"/>
        <v>0.17417400914753969</v>
      </c>
      <c r="AD211" s="496"/>
      <c r="AE211" s="522">
        <f t="shared" si="104"/>
        <v>0.10736812316326143</v>
      </c>
      <c r="AG211" s="531">
        <f t="shared" si="105"/>
        <v>2.1993707319927001E-4</v>
      </c>
      <c r="AH211" s="221" t="str">
        <f t="shared" si="106"/>
        <v>NO</v>
      </c>
      <c r="AI211" s="532">
        <f t="shared" si="107"/>
        <v>-5.7341237579436929E-4</v>
      </c>
      <c r="AJ211" s="221" t="str">
        <f t="shared" si="86"/>
        <v>NO</v>
      </c>
      <c r="AK211" s="533">
        <f>IF('IN-OUT'!$F$35=0,AG211,IF('IN-OUT'!$F$26=0,'transversal subsidence profile'!AI211,'transversal subsidence profile'!AG211+'transversal subsidence profile'!AI211))</f>
        <v>-3.5347530259509927E-4</v>
      </c>
      <c r="AL211" s="513">
        <f t="shared" si="87"/>
        <v>1000</v>
      </c>
    </row>
    <row r="212" spans="1:38">
      <c r="A212" s="542">
        <f t="shared" si="108"/>
        <v>0.5</v>
      </c>
      <c r="B212" s="363">
        <f t="shared" si="88"/>
        <v>2.6108212965170567E-2</v>
      </c>
      <c r="C212" s="543">
        <f t="shared" si="89"/>
        <v>8.702737655056855E-4</v>
      </c>
      <c r="D212" s="542">
        <f t="shared" si="109"/>
        <v>0.5</v>
      </c>
      <c r="E212" s="363">
        <f t="shared" si="90"/>
        <v>2.6108212965170567E-2</v>
      </c>
      <c r="F212" s="543">
        <f t="shared" si="91"/>
        <v>8.702737655056855E-4</v>
      </c>
      <c r="G212" s="548">
        <f t="shared" si="92"/>
        <v>-9.5</v>
      </c>
      <c r="H212" s="363">
        <f t="shared" si="93"/>
        <v>9.7239860011743128E-3</v>
      </c>
      <c r="I212" s="363">
        <f t="shared" si="94"/>
        <v>-6.158524467410398E-3</v>
      </c>
      <c r="J212" s="364">
        <f t="shared" si="95"/>
        <v>3.5832198966344882E-2</v>
      </c>
      <c r="K212" s="194">
        <f t="shared" si="96"/>
        <v>0.97239860011743129</v>
      </c>
      <c r="L212" s="646">
        <f t="shared" si="97"/>
        <v>2.6108212965170567</v>
      </c>
      <c r="M212" s="365">
        <f t="shared" si="98"/>
        <v>3.5832198966344881</v>
      </c>
      <c r="N212" s="194">
        <f t="shared" si="99"/>
        <v>-0.61585244674103978</v>
      </c>
      <c r="O212" s="422">
        <f t="shared" si="100"/>
        <v>8.7027376550568553E-2</v>
      </c>
      <c r="P212" s="365">
        <f t="shared" si="101"/>
        <v>-0.5288250701904712</v>
      </c>
      <c r="S212" s="193"/>
      <c r="T212" s="193"/>
      <c r="U212" s="193"/>
      <c r="V212" s="193"/>
      <c r="W212" s="193"/>
      <c r="X212" s="193"/>
      <c r="Y212" s="503"/>
      <c r="Z212" s="193"/>
      <c r="AA212" s="520">
        <f t="shared" si="102"/>
        <v>-6.3581618571921641E-2</v>
      </c>
      <c r="AB212" s="496"/>
      <c r="AC212" s="521">
        <f t="shared" si="103"/>
        <v>0.17309972016231057</v>
      </c>
      <c r="AD212" s="496"/>
      <c r="AE212" s="522">
        <f t="shared" si="104"/>
        <v>0.10951810159038892</v>
      </c>
      <c r="AG212" s="531">
        <f t="shared" si="105"/>
        <v>2.0932220105982435E-4</v>
      </c>
      <c r="AH212" s="221" t="str">
        <f t="shared" si="106"/>
        <v>NO</v>
      </c>
      <c r="AI212" s="532">
        <f t="shared" si="107"/>
        <v>-5.6987562193353263E-4</v>
      </c>
      <c r="AJ212" s="221" t="str">
        <f t="shared" si="86"/>
        <v>NO</v>
      </c>
      <c r="AK212" s="533">
        <f>IF('IN-OUT'!$F$35=0,AG212,IF('IN-OUT'!$F$26=0,'transversal subsidence profile'!AI212,'transversal subsidence profile'!AG212+'transversal subsidence profile'!AI212))</f>
        <v>-3.6055342087370828E-4</v>
      </c>
      <c r="AL212" s="513">
        <f t="shared" si="87"/>
        <v>1000</v>
      </c>
    </row>
    <row r="213" spans="1:38">
      <c r="A213" s="542">
        <f t="shared" si="108"/>
        <v>0.75</v>
      </c>
      <c r="B213" s="363">
        <f t="shared" si="88"/>
        <v>2.6018831974338966E-2</v>
      </c>
      <c r="C213" s="543">
        <f t="shared" si="89"/>
        <v>1.3009415987169481E-3</v>
      </c>
      <c r="D213" s="542">
        <f t="shared" si="109"/>
        <v>0.75</v>
      </c>
      <c r="E213" s="363">
        <f t="shared" si="90"/>
        <v>2.6018831974338966E-2</v>
      </c>
      <c r="F213" s="543">
        <f t="shared" si="91"/>
        <v>1.3009415987169481E-3</v>
      </c>
      <c r="G213" s="548">
        <f t="shared" si="92"/>
        <v>-9.25</v>
      </c>
      <c r="H213" s="363">
        <f t="shared" si="93"/>
        <v>1.0237279864132715E-2</v>
      </c>
      <c r="I213" s="363">
        <f t="shared" si="94"/>
        <v>-6.3129892495485075E-3</v>
      </c>
      <c r="J213" s="364">
        <f t="shared" si="95"/>
        <v>3.6256111838471682E-2</v>
      </c>
      <c r="K213" s="194">
        <f t="shared" si="96"/>
        <v>1.0237279864132716</v>
      </c>
      <c r="L213" s="646">
        <f t="shared" si="97"/>
        <v>2.6018831974338967</v>
      </c>
      <c r="M213" s="365">
        <f t="shared" si="98"/>
        <v>3.6256111838471683</v>
      </c>
      <c r="N213" s="194">
        <f t="shared" si="99"/>
        <v>-0.63129892495485074</v>
      </c>
      <c r="O213" s="422">
        <f t="shared" si="100"/>
        <v>0.13009415987169481</v>
      </c>
      <c r="P213" s="365">
        <f t="shared" si="101"/>
        <v>-0.50120476508315592</v>
      </c>
      <c r="S213" s="193"/>
      <c r="T213" s="193"/>
      <c r="U213" s="193"/>
      <c r="V213" s="193"/>
      <c r="W213" s="193"/>
      <c r="X213" s="193"/>
      <c r="Y213" s="503"/>
      <c r="Z213" s="193"/>
      <c r="AA213" s="520">
        <f t="shared" si="102"/>
        <v>-5.9916407069455307E-2</v>
      </c>
      <c r="AB213" s="496"/>
      <c r="AC213" s="521">
        <f t="shared" si="103"/>
        <v>0.17131741217671745</v>
      </c>
      <c r="AD213" s="496"/>
      <c r="AE213" s="522">
        <f t="shared" si="104"/>
        <v>0.11140100510726214</v>
      </c>
      <c r="AG213" s="531">
        <f t="shared" si="105"/>
        <v>1.9725566113400924E-4</v>
      </c>
      <c r="AH213" s="221" t="str">
        <f t="shared" si="106"/>
        <v>NO</v>
      </c>
      <c r="AI213" s="532">
        <f t="shared" si="107"/>
        <v>-5.640079413225266E-4</v>
      </c>
      <c r="AJ213" s="221" t="str">
        <f t="shared" si="86"/>
        <v>NO</v>
      </c>
      <c r="AK213" s="533">
        <f>IF('IN-OUT'!$F$35=0,AG213,IF('IN-OUT'!$F$26=0,'transversal subsidence profile'!AI213,'transversal subsidence profile'!AG213+'transversal subsidence profile'!AI213))</f>
        <v>-3.6675228018851738E-4</v>
      </c>
      <c r="AL213" s="513">
        <f t="shared" si="87"/>
        <v>1000</v>
      </c>
    </row>
    <row r="214" spans="1:38">
      <c r="A214" s="542">
        <f t="shared" si="108"/>
        <v>1</v>
      </c>
      <c r="B214" s="363">
        <f t="shared" si="88"/>
        <v>2.5894212422641401E-2</v>
      </c>
      <c r="C214" s="543">
        <f t="shared" si="89"/>
        <v>1.7262808281760934E-3</v>
      </c>
      <c r="D214" s="542">
        <f t="shared" si="109"/>
        <v>1</v>
      </c>
      <c r="E214" s="363">
        <f t="shared" si="90"/>
        <v>2.5894212422641401E-2</v>
      </c>
      <c r="F214" s="543">
        <f t="shared" si="91"/>
        <v>1.7262808281760934E-3</v>
      </c>
      <c r="G214" s="548">
        <f t="shared" si="92"/>
        <v>-9</v>
      </c>
      <c r="H214" s="363">
        <f t="shared" si="93"/>
        <v>1.0762894597148773E-2</v>
      </c>
      <c r="I214" s="363">
        <f t="shared" si="94"/>
        <v>-6.4577367582892651E-3</v>
      </c>
      <c r="J214" s="364">
        <f t="shared" si="95"/>
        <v>3.6657107019790178E-2</v>
      </c>
      <c r="K214" s="194">
        <f t="shared" si="96"/>
        <v>1.0762894597148773</v>
      </c>
      <c r="L214" s="646">
        <f t="shared" si="97"/>
        <v>2.5894212422641401</v>
      </c>
      <c r="M214" s="365">
        <f t="shared" si="98"/>
        <v>3.6657107019790174</v>
      </c>
      <c r="N214" s="194">
        <f t="shared" si="99"/>
        <v>-0.64577367582892653</v>
      </c>
      <c r="O214" s="422">
        <f t="shared" si="100"/>
        <v>0.17262808281760933</v>
      </c>
      <c r="P214" s="365">
        <f t="shared" si="101"/>
        <v>-0.4731455930113172</v>
      </c>
      <c r="S214" s="193"/>
      <c r="T214" s="193"/>
      <c r="U214" s="193"/>
      <c r="V214" s="193"/>
      <c r="W214" s="193"/>
      <c r="X214" s="193"/>
      <c r="Y214" s="503"/>
      <c r="Z214" s="193"/>
      <c r="AA214" s="520">
        <f t="shared" si="102"/>
        <v>-5.5807601614845485E-2</v>
      </c>
      <c r="AB214" s="496"/>
      <c r="AC214" s="521">
        <f t="shared" si="103"/>
        <v>0.16883926344163988</v>
      </c>
      <c r="AD214" s="496"/>
      <c r="AE214" s="522">
        <f t="shared" si="104"/>
        <v>0.11303166182679439</v>
      </c>
      <c r="AG214" s="531">
        <f t="shared" si="105"/>
        <v>1.8372872959619913E-4</v>
      </c>
      <c r="AH214" s="221" t="str">
        <f t="shared" si="106"/>
        <v>NO</v>
      </c>
      <c r="AI214" s="532">
        <f t="shared" si="107"/>
        <v>-5.5584942696836168E-4</v>
      </c>
      <c r="AJ214" s="221" t="str">
        <f t="shared" si="86"/>
        <v>NO</v>
      </c>
      <c r="AK214" s="533">
        <f>IF('IN-OUT'!$F$35=0,AG214,IF('IN-OUT'!$F$26=0,'transversal subsidence profile'!AI214,'transversal subsidence profile'!AG214+'transversal subsidence profile'!AI214))</f>
        <v>-3.7212069737216255E-4</v>
      </c>
      <c r="AL214" s="513">
        <f t="shared" si="87"/>
        <v>1000</v>
      </c>
    </row>
    <row r="215" spans="1:38">
      <c r="A215" s="542">
        <f t="shared" si="108"/>
        <v>1.25</v>
      </c>
      <c r="B215" s="363">
        <f t="shared" si="88"/>
        <v>2.5734863927544153E-2</v>
      </c>
      <c r="C215" s="543">
        <f t="shared" si="89"/>
        <v>2.144571993962013E-3</v>
      </c>
      <c r="D215" s="542">
        <f t="shared" si="109"/>
        <v>1.25</v>
      </c>
      <c r="E215" s="363">
        <f t="shared" si="90"/>
        <v>2.5734863927544153E-2</v>
      </c>
      <c r="F215" s="543">
        <f t="shared" si="91"/>
        <v>2.144571993962013E-3</v>
      </c>
      <c r="G215" s="548">
        <f t="shared" si="92"/>
        <v>-8.75</v>
      </c>
      <c r="H215" s="363">
        <f t="shared" si="93"/>
        <v>1.129998477253083E-2</v>
      </c>
      <c r="I215" s="363">
        <f t="shared" si="94"/>
        <v>-6.5916577839763169E-3</v>
      </c>
      <c r="J215" s="364">
        <f t="shared" si="95"/>
        <v>3.7034848700074979E-2</v>
      </c>
      <c r="K215" s="194">
        <f t="shared" si="96"/>
        <v>1.1299984772530829</v>
      </c>
      <c r="L215" s="646">
        <f t="shared" si="97"/>
        <v>2.5734863927544152</v>
      </c>
      <c r="M215" s="365">
        <f t="shared" si="98"/>
        <v>3.703484870007498</v>
      </c>
      <c r="N215" s="194">
        <f t="shared" si="99"/>
        <v>-0.65916577839763169</v>
      </c>
      <c r="O215" s="422">
        <f t="shared" si="100"/>
        <v>0.21445719939620131</v>
      </c>
      <c r="P215" s="365">
        <f t="shared" si="101"/>
        <v>-0.44470857900143035</v>
      </c>
      <c r="S215" s="193"/>
      <c r="T215" s="193"/>
      <c r="U215" s="193"/>
      <c r="V215" s="193"/>
      <c r="W215" s="193"/>
      <c r="X215" s="193"/>
      <c r="Y215" s="503"/>
      <c r="Z215" s="193"/>
      <c r="AA215" s="520">
        <f t="shared" si="102"/>
        <v>-5.125553221010784E-2</v>
      </c>
      <c r="AB215" s="496"/>
      <c r="AC215" s="521">
        <f t="shared" si="103"/>
        <v>0.16568216008222297</v>
      </c>
      <c r="AD215" s="496"/>
      <c r="AE215" s="522">
        <f t="shared" si="104"/>
        <v>0.11442662787211513</v>
      </c>
      <c r="AG215" s="531">
        <f t="shared" si="105"/>
        <v>1.6874249287278297E-4</v>
      </c>
      <c r="AH215" s="221" t="str">
        <f t="shared" si="106"/>
        <v>NO</v>
      </c>
      <c r="AI215" s="532">
        <f t="shared" si="107"/>
        <v>-5.4545567105258592E-4</v>
      </c>
      <c r="AJ215" s="221" t="str">
        <f t="shared" si="86"/>
        <v>NO</v>
      </c>
      <c r="AK215" s="533">
        <f>IF('IN-OUT'!$F$35=0,AG215,IF('IN-OUT'!$F$26=0,'transversal subsidence profile'!AI215,'transversal subsidence profile'!AG215+'transversal subsidence profile'!AI215))</f>
        <v>-3.7671317817980293E-4</v>
      </c>
      <c r="AL215" s="513">
        <f t="shared" si="87"/>
        <v>1000</v>
      </c>
    </row>
    <row r="216" spans="1:38">
      <c r="A216" s="542">
        <f t="shared" si="108"/>
        <v>1.5</v>
      </c>
      <c r="B216" s="363">
        <f t="shared" si="88"/>
        <v>2.5541435731110482E-2</v>
      </c>
      <c r="C216" s="543">
        <f t="shared" si="89"/>
        <v>2.5541435731110482E-3</v>
      </c>
      <c r="D216" s="542">
        <f t="shared" si="109"/>
        <v>1.5</v>
      </c>
      <c r="E216" s="363">
        <f t="shared" si="90"/>
        <v>2.5541435731110482E-2</v>
      </c>
      <c r="F216" s="543">
        <f t="shared" si="91"/>
        <v>2.5541435731110482E-3</v>
      </c>
      <c r="G216" s="548">
        <f t="shared" si="92"/>
        <v>-8.5</v>
      </c>
      <c r="H216" s="363">
        <f t="shared" si="93"/>
        <v>1.1847613809702531E-2</v>
      </c>
      <c r="I216" s="363">
        <f t="shared" si="94"/>
        <v>-6.7136478254981001E-3</v>
      </c>
      <c r="J216" s="364">
        <f t="shared" si="95"/>
        <v>3.7389049540813013E-2</v>
      </c>
      <c r="K216" s="194">
        <f t="shared" si="96"/>
        <v>1.1847613809702531</v>
      </c>
      <c r="L216" s="646">
        <f t="shared" si="97"/>
        <v>2.5541435731110482</v>
      </c>
      <c r="M216" s="365">
        <f t="shared" si="98"/>
        <v>3.7389049540813013</v>
      </c>
      <c r="N216" s="194">
        <f t="shared" si="99"/>
        <v>-0.67136478254981002</v>
      </c>
      <c r="O216" s="422">
        <f t="shared" si="100"/>
        <v>0.25541435731110484</v>
      </c>
      <c r="P216" s="365">
        <f t="shared" si="101"/>
        <v>-0.41595042523870518</v>
      </c>
      <c r="S216" s="193"/>
      <c r="T216" s="193"/>
      <c r="U216" s="193"/>
      <c r="V216" s="193"/>
      <c r="W216" s="193"/>
      <c r="X216" s="193"/>
      <c r="Y216" s="503"/>
      <c r="Z216" s="193"/>
      <c r="AA216" s="520">
        <f t="shared" si="102"/>
        <v>-4.6263658863676088E-2</v>
      </c>
      <c r="AB216" s="496"/>
      <c r="AC216" s="521">
        <f t="shared" si="103"/>
        <v>0.16186753508604998</v>
      </c>
      <c r="AD216" s="496"/>
      <c r="AE216" s="522">
        <f t="shared" si="104"/>
        <v>0.11560387622237389</v>
      </c>
      <c r="AG216" s="531">
        <f t="shared" si="105"/>
        <v>1.5230834193802825E-4</v>
      </c>
      <c r="AH216" s="221" t="str">
        <f t="shared" si="106"/>
        <v>NO</v>
      </c>
      <c r="AI216" s="532">
        <f t="shared" si="107"/>
        <v>-5.3289723485119324E-4</v>
      </c>
      <c r="AJ216" s="221" t="str">
        <f t="shared" si="86"/>
        <v>NO</v>
      </c>
      <c r="AK216" s="533">
        <f>IF('IN-OUT'!$F$35=0,AG216,IF('IN-OUT'!$F$26=0,'transversal subsidence profile'!AI216,'transversal subsidence profile'!AG216+'transversal subsidence profile'!AI216))</f>
        <v>-3.8058889291316502E-4</v>
      </c>
      <c r="AL216" s="513">
        <f t="shared" si="87"/>
        <v>1000</v>
      </c>
    </row>
    <row r="217" spans="1:38">
      <c r="A217" s="542">
        <f t="shared" si="108"/>
        <v>1.75</v>
      </c>
      <c r="B217" s="363">
        <f t="shared" si="88"/>
        <v>2.5314712293414244E-2</v>
      </c>
      <c r="C217" s="543">
        <f t="shared" si="89"/>
        <v>2.9533831008983283E-3</v>
      </c>
      <c r="D217" s="542">
        <f t="shared" si="109"/>
        <v>1.75</v>
      </c>
      <c r="E217" s="363">
        <f t="shared" si="90"/>
        <v>2.5314712293414244E-2</v>
      </c>
      <c r="F217" s="543">
        <f t="shared" si="91"/>
        <v>2.9533831008983283E-3</v>
      </c>
      <c r="G217" s="548">
        <f t="shared" si="92"/>
        <v>-8.25</v>
      </c>
      <c r="H217" s="363">
        <f t="shared" si="93"/>
        <v>1.2404754689318138E-2</v>
      </c>
      <c r="I217" s="363">
        <f t="shared" si="94"/>
        <v>-6.8226150791249763E-3</v>
      </c>
      <c r="J217" s="364">
        <f t="shared" si="95"/>
        <v>3.7719466982732382E-2</v>
      </c>
      <c r="K217" s="194">
        <f t="shared" si="96"/>
        <v>1.2404754689318138</v>
      </c>
      <c r="L217" s="646">
        <f t="shared" si="97"/>
        <v>2.5314712293414243</v>
      </c>
      <c r="M217" s="365">
        <f t="shared" si="98"/>
        <v>3.7719466982732381</v>
      </c>
      <c r="N217" s="194">
        <f t="shared" si="99"/>
        <v>-0.68226150791249762</v>
      </c>
      <c r="O217" s="422">
        <f t="shared" si="100"/>
        <v>0.2953383100898328</v>
      </c>
      <c r="P217" s="365">
        <f t="shared" si="101"/>
        <v>-0.38692319782266482</v>
      </c>
      <c r="S217" s="193"/>
      <c r="T217" s="193"/>
      <c r="U217" s="193"/>
      <c r="V217" s="193"/>
      <c r="W217" s="193"/>
      <c r="X217" s="193"/>
      <c r="Y217" s="503"/>
      <c r="Z217" s="193"/>
      <c r="AA217" s="520">
        <f t="shared" si="102"/>
        <v>-4.0838698565656417E-2</v>
      </c>
      <c r="AB217" s="496"/>
      <c r="AC217" s="521">
        <f t="shared" si="103"/>
        <v>0.15742116469612882</v>
      </c>
      <c r="AD217" s="496"/>
      <c r="AE217" s="522">
        <f t="shared" si="104"/>
        <v>0.11658246613047241</v>
      </c>
      <c r="AG217" s="531">
        <f t="shared" si="105"/>
        <v>1.344483903396096E-4</v>
      </c>
      <c r="AH217" s="221" t="str">
        <f t="shared" si="106"/>
        <v>NO</v>
      </c>
      <c r="AI217" s="532">
        <f t="shared" si="107"/>
        <v>-5.1825897842346926E-4</v>
      </c>
      <c r="AJ217" s="221" t="str">
        <f t="shared" si="86"/>
        <v>NO</v>
      </c>
      <c r="AK217" s="533">
        <f>IF('IN-OUT'!$F$35=0,AG217,IF('IN-OUT'!$F$26=0,'transversal subsidence profile'!AI217,'transversal subsidence profile'!AG217+'transversal subsidence profile'!AI217))</f>
        <v>-3.8381058808385966E-4</v>
      </c>
      <c r="AL217" s="513">
        <f t="shared" si="87"/>
        <v>1000</v>
      </c>
    </row>
    <row r="218" spans="1:38">
      <c r="A218" s="542">
        <f t="shared" si="108"/>
        <v>2</v>
      </c>
      <c r="B218" s="363">
        <f t="shared" si="88"/>
        <v>2.5055607992967667E-2</v>
      </c>
      <c r="C218" s="543">
        <f t="shared" si="89"/>
        <v>3.3407477323956886E-3</v>
      </c>
      <c r="D218" s="542">
        <f t="shared" si="109"/>
        <v>2</v>
      </c>
      <c r="E218" s="363">
        <f t="shared" si="90"/>
        <v>2.5055607992967667E-2</v>
      </c>
      <c r="F218" s="543">
        <f t="shared" si="91"/>
        <v>3.3407477323956886E-3</v>
      </c>
      <c r="G218" s="548">
        <f t="shared" si="92"/>
        <v>-8</v>
      </c>
      <c r="H218" s="363">
        <f t="shared" si="93"/>
        <v>1.2970291337097047E-2</v>
      </c>
      <c r="I218" s="363">
        <f t="shared" si="94"/>
        <v>-6.9174887131184248E-3</v>
      </c>
      <c r="J218" s="364">
        <f t="shared" si="95"/>
        <v>3.8025899330064714E-2</v>
      </c>
      <c r="K218" s="194">
        <f t="shared" si="96"/>
        <v>1.2970291337097046</v>
      </c>
      <c r="L218" s="646">
        <f t="shared" si="97"/>
        <v>2.5055607992967666</v>
      </c>
      <c r="M218" s="365">
        <f t="shared" si="98"/>
        <v>3.8025899330064714</v>
      </c>
      <c r="N218" s="194">
        <f t="shared" si="99"/>
        <v>-0.69174887131184248</v>
      </c>
      <c r="O218" s="422">
        <f t="shared" si="100"/>
        <v>0.33407477323956886</v>
      </c>
      <c r="P218" s="365">
        <f t="shared" si="101"/>
        <v>-0.35767409807227363</v>
      </c>
      <c r="S218" s="193"/>
      <c r="T218" s="193"/>
      <c r="U218" s="193"/>
      <c r="V218" s="193"/>
      <c r="W218" s="193"/>
      <c r="X218" s="193"/>
      <c r="Y218" s="503"/>
      <c r="Z218" s="193"/>
      <c r="AA218" s="520">
        <f t="shared" si="102"/>
        <v>-3.4990726515259515E-2</v>
      </c>
      <c r="AB218" s="496"/>
      <c r="AC218" s="521">
        <f t="shared" si="103"/>
        <v>0.15237292469431638</v>
      </c>
      <c r="AD218" s="496"/>
      <c r="AE218" s="522">
        <f t="shared" si="104"/>
        <v>0.11738219817905686</v>
      </c>
      <c r="AG218" s="531">
        <f t="shared" si="105"/>
        <v>1.1519580745764449E-4</v>
      </c>
      <c r="AH218" s="221" t="str">
        <f t="shared" si="106"/>
        <v>NO</v>
      </c>
      <c r="AI218" s="532">
        <f t="shared" si="107"/>
        <v>-5.0163925825289348E-4</v>
      </c>
      <c r="AJ218" s="221" t="str">
        <f t="shared" si="86"/>
        <v>NO</v>
      </c>
      <c r="AK218" s="533">
        <f>IF('IN-OUT'!$F$35=0,AG218,IF('IN-OUT'!$F$26=0,'transversal subsidence profile'!AI218,'transversal subsidence profile'!AG218+'transversal subsidence profile'!AI218))</f>
        <v>-3.8644345079524899E-4</v>
      </c>
      <c r="AL218" s="513">
        <f t="shared" si="87"/>
        <v>1000</v>
      </c>
    </row>
    <row r="219" spans="1:38">
      <c r="A219" s="542">
        <f t="shared" si="108"/>
        <v>2.25</v>
      </c>
      <c r="B219" s="363">
        <f t="shared" si="88"/>
        <v>2.476516098425997E-2</v>
      </c>
      <c r="C219" s="543">
        <f t="shared" si="89"/>
        <v>3.7147741476389962E-3</v>
      </c>
      <c r="D219" s="542">
        <f t="shared" si="109"/>
        <v>2.25</v>
      </c>
      <c r="E219" s="363">
        <f t="shared" si="90"/>
        <v>2.476516098425997E-2</v>
      </c>
      <c r="F219" s="543">
        <f t="shared" si="91"/>
        <v>3.7147741476389962E-3</v>
      </c>
      <c r="G219" s="548">
        <f t="shared" si="92"/>
        <v>-7.75</v>
      </c>
      <c r="H219" s="363">
        <f t="shared" si="93"/>
        <v>1.3543020698165252E-2</v>
      </c>
      <c r="I219" s="363">
        <f t="shared" si="94"/>
        <v>-6.9972273607187135E-3</v>
      </c>
      <c r="J219" s="364">
        <f t="shared" si="95"/>
        <v>3.8308181682425224E-2</v>
      </c>
      <c r="K219" s="194">
        <f t="shared" si="96"/>
        <v>1.3543020698165253</v>
      </c>
      <c r="L219" s="646">
        <f t="shared" si="97"/>
        <v>2.4765160984259968</v>
      </c>
      <c r="M219" s="365">
        <f t="shared" si="98"/>
        <v>3.830818168242522</v>
      </c>
      <c r="N219" s="194">
        <f t="shared" si="99"/>
        <v>-0.69972273607187141</v>
      </c>
      <c r="O219" s="422">
        <f t="shared" si="100"/>
        <v>0.37147741476389962</v>
      </c>
      <c r="P219" s="365">
        <f t="shared" si="101"/>
        <v>-0.32824532130797179</v>
      </c>
      <c r="S219" s="193"/>
      <c r="T219" s="193"/>
      <c r="U219" s="193"/>
      <c r="V219" s="193"/>
      <c r="W219" s="193"/>
      <c r="X219" s="193"/>
      <c r="Y219" s="503"/>
      <c r="Z219" s="193"/>
      <c r="AA219" s="520">
        <f t="shared" si="102"/>
        <v>-2.873324921787232E-2</v>
      </c>
      <c r="AB219" s="496"/>
      <c r="AC219" s="521">
        <f t="shared" si="103"/>
        <v>0.14675650953635536</v>
      </c>
      <c r="AD219" s="496"/>
      <c r="AE219" s="522">
        <f t="shared" si="104"/>
        <v>0.11802326031848304</v>
      </c>
      <c r="AG219" s="531">
        <f t="shared" si="105"/>
        <v>9.4595059153489112E-5</v>
      </c>
      <c r="AH219" s="221" t="str">
        <f t="shared" si="106"/>
        <v>NO</v>
      </c>
      <c r="AI219" s="532">
        <f t="shared" si="107"/>
        <v>-4.8314900258882422E-4</v>
      </c>
      <c r="AJ219" s="221" t="str">
        <f t="shared" si="86"/>
        <v>NO</v>
      </c>
      <c r="AK219" s="533">
        <f>IF('IN-OUT'!$F$35=0,AG219,IF('IN-OUT'!$F$26=0,'transversal subsidence profile'!AI219,'transversal subsidence profile'!AG219+'transversal subsidence profile'!AI219))</f>
        <v>-3.8855394343533509E-4</v>
      </c>
      <c r="AL219" s="513">
        <f t="shared" si="87"/>
        <v>1000</v>
      </c>
    </row>
    <row r="220" spans="1:38">
      <c r="A220" s="542">
        <f t="shared" si="108"/>
        <v>2.5</v>
      </c>
      <c r="B220" s="363">
        <f t="shared" si="88"/>
        <v>2.4444526270139773E-2</v>
      </c>
      <c r="C220" s="543">
        <f t="shared" si="89"/>
        <v>4.0740877116899627E-3</v>
      </c>
      <c r="D220" s="542">
        <f t="shared" si="109"/>
        <v>2.5</v>
      </c>
      <c r="E220" s="363">
        <f t="shared" si="90"/>
        <v>2.4444526270139773E-2</v>
      </c>
      <c r="F220" s="543">
        <f t="shared" si="91"/>
        <v>4.0740877116899627E-3</v>
      </c>
      <c r="G220" s="548">
        <f t="shared" si="92"/>
        <v>-7.5</v>
      </c>
      <c r="H220" s="363">
        <f t="shared" si="93"/>
        <v>1.4121655516907592E-2</v>
      </c>
      <c r="I220" s="363">
        <f t="shared" si="94"/>
        <v>-7.0608277584537959E-3</v>
      </c>
      <c r="J220" s="364">
        <f t="shared" si="95"/>
        <v>3.8566181787047363E-2</v>
      </c>
      <c r="K220" s="194">
        <f t="shared" si="96"/>
        <v>1.4121655516907592</v>
      </c>
      <c r="L220" s="646">
        <f t="shared" si="97"/>
        <v>2.4444526270139773</v>
      </c>
      <c r="M220" s="365">
        <f t="shared" si="98"/>
        <v>3.8566181787047364</v>
      </c>
      <c r="N220" s="194">
        <f t="shared" si="99"/>
        <v>-0.7060827758453796</v>
      </c>
      <c r="O220" s="422">
        <f t="shared" si="100"/>
        <v>0.40740877116899626</v>
      </c>
      <c r="P220" s="365">
        <f t="shared" si="101"/>
        <v>-0.29867400467638333</v>
      </c>
      <c r="S220" s="193"/>
      <c r="T220" s="193"/>
      <c r="U220" s="193"/>
      <c r="V220" s="193"/>
      <c r="W220" s="193"/>
      <c r="X220" s="193"/>
      <c r="Y220" s="503"/>
      <c r="Z220" s="193"/>
      <c r="AA220" s="520">
        <f t="shared" si="102"/>
        <v>-2.2083247310390467E-2</v>
      </c>
      <c r="AB220" s="496"/>
      <c r="AC220" s="521">
        <f t="shared" si="103"/>
        <v>0.14060911773130239</v>
      </c>
      <c r="AD220" s="496"/>
      <c r="AE220" s="522">
        <f t="shared" si="104"/>
        <v>0.11852587042091192</v>
      </c>
      <c r="AG220" s="531">
        <f t="shared" si="105"/>
        <v>7.2702048758487112E-5</v>
      </c>
      <c r="AH220" s="221" t="str">
        <f t="shared" si="106"/>
        <v>NO</v>
      </c>
      <c r="AI220" s="532">
        <f t="shared" si="107"/>
        <v>-4.6291067565860862E-4</v>
      </c>
      <c r="AJ220" s="221" t="str">
        <f t="shared" si="86"/>
        <v>NO</v>
      </c>
      <c r="AK220" s="533">
        <f>IF('IN-OUT'!$F$35=0,AG220,IF('IN-OUT'!$F$26=0,'transversal subsidence profile'!AI220,'transversal subsidence profile'!AG220+'transversal subsidence profile'!AI220))</f>
        <v>-3.9020862690012151E-4</v>
      </c>
      <c r="AL220" s="513">
        <f t="shared" si="87"/>
        <v>1000</v>
      </c>
    </row>
    <row r="221" spans="1:38">
      <c r="A221" s="542">
        <f t="shared" si="108"/>
        <v>2.75</v>
      </c>
      <c r="B221" s="363">
        <f t="shared" si="88"/>
        <v>2.4094968053713195E-2</v>
      </c>
      <c r="C221" s="543">
        <f t="shared" si="89"/>
        <v>4.4174108098474184E-3</v>
      </c>
      <c r="D221" s="542">
        <f t="shared" si="109"/>
        <v>2.75</v>
      </c>
      <c r="E221" s="363">
        <f t="shared" si="90"/>
        <v>2.4094968053713195E-2</v>
      </c>
      <c r="F221" s="543">
        <f t="shared" si="91"/>
        <v>4.4174108098474184E-3</v>
      </c>
      <c r="G221" s="548">
        <f t="shared" si="92"/>
        <v>-7.25</v>
      </c>
      <c r="H221" s="363">
        <f t="shared" si="93"/>
        <v>1.4704827831110668E-2</v>
      </c>
      <c r="I221" s="363">
        <f t="shared" si="94"/>
        <v>-7.1073334517034892E-3</v>
      </c>
      <c r="J221" s="364">
        <f t="shared" si="95"/>
        <v>3.8799795884823865E-2</v>
      </c>
      <c r="K221" s="194">
        <f t="shared" si="96"/>
        <v>1.4704827831110667</v>
      </c>
      <c r="L221" s="646">
        <f t="shared" si="97"/>
        <v>2.4094968053713197</v>
      </c>
      <c r="M221" s="365">
        <f t="shared" si="98"/>
        <v>3.8799795884823864</v>
      </c>
      <c r="N221" s="194">
        <f t="shared" si="99"/>
        <v>-0.71073334517034892</v>
      </c>
      <c r="O221" s="422">
        <f t="shared" si="100"/>
        <v>0.44174108098474185</v>
      </c>
      <c r="P221" s="365">
        <f t="shared" si="101"/>
        <v>-0.26899226418560707</v>
      </c>
      <c r="S221" s="193"/>
      <c r="T221" s="193"/>
      <c r="U221" s="193"/>
      <c r="V221" s="193"/>
      <c r="W221" s="193"/>
      <c r="X221" s="193"/>
      <c r="Y221" s="503"/>
      <c r="Z221" s="193"/>
      <c r="AA221" s="520">
        <f t="shared" si="102"/>
        <v>-1.5061186255915822E-2</v>
      </c>
      <c r="AB221" s="496"/>
      <c r="AC221" s="521">
        <f t="shared" si="103"/>
        <v>0.13397110723966735</v>
      </c>
      <c r="AD221" s="496"/>
      <c r="AE221" s="522">
        <f t="shared" si="104"/>
        <v>0.11890992098375153</v>
      </c>
      <c r="AG221" s="531">
        <f t="shared" si="105"/>
        <v>4.9584152282850445E-5</v>
      </c>
      <c r="AH221" s="221" t="str">
        <f t="shared" si="106"/>
        <v>NO</v>
      </c>
      <c r="AI221" s="532">
        <f t="shared" si="107"/>
        <v>-4.4105714317585953E-4</v>
      </c>
      <c r="AJ221" s="221" t="str">
        <f t="shared" si="86"/>
        <v>NO</v>
      </c>
      <c r="AK221" s="533">
        <f>IF('IN-OUT'!$F$35=0,AG221,IF('IN-OUT'!$F$26=0,'transversal subsidence profile'!AI221,'transversal subsidence profile'!AG221+'transversal subsidence profile'!AI221))</f>
        <v>-3.9147299089300911E-4</v>
      </c>
      <c r="AL221" s="513">
        <f t="shared" si="87"/>
        <v>1000</v>
      </c>
    </row>
    <row r="222" spans="1:38">
      <c r="A222" s="542">
        <f t="shared" si="108"/>
        <v>3</v>
      </c>
      <c r="B222" s="363">
        <f t="shared" si="88"/>
        <v>2.3717851440593102E-2</v>
      </c>
      <c r="C222" s="543">
        <f t="shared" si="89"/>
        <v>4.74357028811862E-3</v>
      </c>
      <c r="D222" s="542">
        <f t="shared" si="109"/>
        <v>3</v>
      </c>
      <c r="E222" s="363">
        <f t="shared" si="90"/>
        <v>2.3717851440593102E-2</v>
      </c>
      <c r="F222" s="543">
        <f t="shared" si="91"/>
        <v>4.74357028811862E-3</v>
      </c>
      <c r="G222" s="548">
        <f t="shared" si="92"/>
        <v>-7</v>
      </c>
      <c r="H222" s="363">
        <f t="shared" si="93"/>
        <v>1.5291093182570586E-2</v>
      </c>
      <c r="I222" s="363">
        <f t="shared" si="94"/>
        <v>-7.1358434851996055E-3</v>
      </c>
      <c r="J222" s="364">
        <f t="shared" si="95"/>
        <v>3.9008944623163691E-2</v>
      </c>
      <c r="K222" s="194">
        <f t="shared" si="96"/>
        <v>1.5291093182570585</v>
      </c>
      <c r="L222" s="646">
        <f t="shared" si="97"/>
        <v>2.3717851440593103</v>
      </c>
      <c r="M222" s="365">
        <f t="shared" si="98"/>
        <v>3.9008944623163688</v>
      </c>
      <c r="N222" s="194">
        <f t="shared" si="99"/>
        <v>-0.71358434851996055</v>
      </c>
      <c r="O222" s="422">
        <f t="shared" si="100"/>
        <v>0.47435702881186198</v>
      </c>
      <c r="P222" s="365">
        <f t="shared" si="101"/>
        <v>-0.23922731970809857</v>
      </c>
      <c r="S222" s="193"/>
      <c r="T222" s="193"/>
      <c r="U222" s="193"/>
      <c r="V222" s="193"/>
      <c r="W222" s="193"/>
      <c r="X222" s="193"/>
      <c r="Y222" s="503"/>
      <c r="Z222" s="193"/>
      <c r="AA222" s="520">
        <f t="shared" si="102"/>
        <v>-7.6909933702915666E-3</v>
      </c>
      <c r="AB222" s="496"/>
      <c r="AC222" s="521">
        <f t="shared" si="103"/>
        <v>0.12688562499082728</v>
      </c>
      <c r="AD222" s="496"/>
      <c r="AE222" s="522">
        <f t="shared" si="104"/>
        <v>0.11919463162053572</v>
      </c>
      <c r="AG222" s="531">
        <f t="shared" si="105"/>
        <v>2.5320142782852895E-5</v>
      </c>
      <c r="AH222" s="221" t="str">
        <f t="shared" si="106"/>
        <v>NO</v>
      </c>
      <c r="AI222" s="532">
        <f t="shared" si="107"/>
        <v>-4.1773045264469885E-4</v>
      </c>
      <c r="AJ222" s="221" t="str">
        <f t="shared" si="86"/>
        <v>NO</v>
      </c>
      <c r="AK222" s="533">
        <f>IF('IN-OUT'!$F$35=0,AG222,IF('IN-OUT'!$F$26=0,'transversal subsidence profile'!AI222,'transversal subsidence profile'!AG222+'transversal subsidence profile'!AI222))</f>
        <v>-3.9241030986184597E-4</v>
      </c>
      <c r="AL222" s="513">
        <f t="shared" si="87"/>
        <v>1000</v>
      </c>
    </row>
    <row r="223" spans="1:38">
      <c r="A223" s="542">
        <f t="shared" si="108"/>
        <v>3.25</v>
      </c>
      <c r="B223" s="363">
        <f t="shared" si="88"/>
        <v>2.3314633567655486E-2</v>
      </c>
      <c r="C223" s="543">
        <f t="shared" si="89"/>
        <v>5.0515039396586883E-3</v>
      </c>
      <c r="D223" s="542">
        <f t="shared" si="109"/>
        <v>3.25</v>
      </c>
      <c r="E223" s="363">
        <f t="shared" si="90"/>
        <v>2.3314633567655486E-2</v>
      </c>
      <c r="F223" s="543">
        <f t="shared" si="91"/>
        <v>5.0515039396586883E-3</v>
      </c>
      <c r="G223" s="548">
        <f t="shared" si="92"/>
        <v>-6.75</v>
      </c>
      <c r="H223" s="363">
        <f t="shared" si="93"/>
        <v>1.5878935539418163E-2</v>
      </c>
      <c r="I223" s="363">
        <f t="shared" si="94"/>
        <v>-7.1455209927381745E-3</v>
      </c>
      <c r="J223" s="364">
        <f t="shared" si="95"/>
        <v>3.9193569107073653E-2</v>
      </c>
      <c r="K223" s="194">
        <f t="shared" si="96"/>
        <v>1.5878935539418164</v>
      </c>
      <c r="L223" s="646">
        <f t="shared" si="97"/>
        <v>2.3314633567655485</v>
      </c>
      <c r="M223" s="365">
        <f t="shared" si="98"/>
        <v>3.9193569107073651</v>
      </c>
      <c r="N223" s="194">
        <f t="shared" si="99"/>
        <v>-0.71455209927381746</v>
      </c>
      <c r="O223" s="422">
        <f t="shared" si="100"/>
        <v>0.5051503939658688</v>
      </c>
      <c r="P223" s="365">
        <f t="shared" si="101"/>
        <v>-0.20940170530794866</v>
      </c>
      <c r="S223" s="193"/>
      <c r="T223" s="193"/>
      <c r="U223" s="193"/>
      <c r="V223" s="193"/>
      <c r="W223" s="193"/>
      <c r="X223" s="193"/>
      <c r="Y223" s="503"/>
      <c r="Z223" s="193"/>
      <c r="AA223" s="520">
        <f t="shared" si="102"/>
        <v>0</v>
      </c>
      <c r="AB223" s="496"/>
      <c r="AC223" s="521">
        <f t="shared" si="103"/>
        <v>0.11939821488694168</v>
      </c>
      <c r="AD223" s="496"/>
      <c r="AE223" s="522">
        <f t="shared" si="104"/>
        <v>0.11939821488694168</v>
      </c>
      <c r="AG223" s="531">
        <f t="shared" si="105"/>
        <v>0</v>
      </c>
      <c r="AH223" s="221">
        <f t="shared" si="106"/>
        <v>-6.75</v>
      </c>
      <c r="AI223" s="532">
        <f t="shared" si="107"/>
        <v>-3.9308054283766802E-4</v>
      </c>
      <c r="AJ223" s="221" t="str">
        <f t="shared" si="86"/>
        <v>NO</v>
      </c>
      <c r="AK223" s="533">
        <f>IF('IN-OUT'!$F$35=0,AG223,IF('IN-OUT'!$F$26=0,'transversal subsidence profile'!AI223,'transversal subsidence profile'!AG223+'transversal subsidence profile'!AI223))</f>
        <v>-3.9308054283766802E-4</v>
      </c>
      <c r="AL223" s="513">
        <f t="shared" si="87"/>
        <v>1000</v>
      </c>
    </row>
    <row r="224" spans="1:38">
      <c r="A224" s="542">
        <f t="shared" si="108"/>
        <v>3.5</v>
      </c>
      <c r="B224" s="363">
        <f t="shared" si="88"/>
        <v>2.2886854238882211E-2</v>
      </c>
      <c r="C224" s="543">
        <f t="shared" si="89"/>
        <v>5.3402659890725152E-3</v>
      </c>
      <c r="D224" s="542">
        <f t="shared" si="109"/>
        <v>3.5</v>
      </c>
      <c r="E224" s="363">
        <f t="shared" si="90"/>
        <v>2.2886854238882211E-2</v>
      </c>
      <c r="F224" s="543">
        <f t="shared" si="91"/>
        <v>5.3402659890725152E-3</v>
      </c>
      <c r="G224" s="548">
        <f t="shared" si="92"/>
        <v>-6.5</v>
      </c>
      <c r="H224" s="363">
        <f t="shared" si="93"/>
        <v>1.6466772918250553E-2</v>
      </c>
      <c r="I224" s="363">
        <f t="shared" si="94"/>
        <v>-7.1356015979085717E-3</v>
      </c>
      <c r="J224" s="364">
        <f t="shared" si="95"/>
        <v>3.9353627157132767E-2</v>
      </c>
      <c r="K224" s="194">
        <f t="shared" si="96"/>
        <v>1.6466772918250554</v>
      </c>
      <c r="L224" s="646">
        <f t="shared" si="97"/>
        <v>2.288685423888221</v>
      </c>
      <c r="M224" s="365">
        <f t="shared" si="98"/>
        <v>3.9353627157132767</v>
      </c>
      <c r="N224" s="194">
        <f t="shared" si="99"/>
        <v>-0.71356015979085718</v>
      </c>
      <c r="O224" s="422">
        <f t="shared" si="100"/>
        <v>0.53402659890725146</v>
      </c>
      <c r="P224" s="365">
        <f t="shared" si="101"/>
        <v>-0.17953356088360573</v>
      </c>
      <c r="S224" s="193"/>
      <c r="T224" s="193"/>
      <c r="U224" s="193"/>
      <c r="V224" s="193"/>
      <c r="W224" s="193"/>
      <c r="X224" s="193"/>
      <c r="Y224" s="503"/>
      <c r="Z224" s="193"/>
      <c r="AA224" s="520">
        <f t="shared" si="102"/>
        <v>7.9811519402586163E-3</v>
      </c>
      <c r="AB224" s="496"/>
      <c r="AC224" s="521">
        <f t="shared" si="103"/>
        <v>0.11155640886441902</v>
      </c>
      <c r="AD224" s="496"/>
      <c r="AE224" s="522">
        <f t="shared" si="104"/>
        <v>0.11953756080467763</v>
      </c>
      <c r="AG224" s="531">
        <f t="shared" si="105"/>
        <v>-2.6275397334184745E-5</v>
      </c>
      <c r="AH224" s="221" t="str">
        <f t="shared" si="106"/>
        <v>NO</v>
      </c>
      <c r="AI224" s="532">
        <f t="shared" si="107"/>
        <v>-3.6726389749602964E-4</v>
      </c>
      <c r="AJ224" s="221" t="str">
        <f t="shared" si="86"/>
        <v>NO</v>
      </c>
      <c r="AK224" s="533">
        <f>IF('IN-OUT'!$F$35=0,AG224,IF('IN-OUT'!$F$26=0,'transversal subsidence profile'!AI224,'transversal subsidence profile'!AG224+'transversal subsidence profile'!AI224))</f>
        <v>-3.9353929483021437E-4</v>
      </c>
      <c r="AL224" s="513">
        <f t="shared" si="87"/>
        <v>1000</v>
      </c>
    </row>
    <row r="225" spans="1:38">
      <c r="A225" s="542">
        <f t="shared" si="108"/>
        <v>3.75</v>
      </c>
      <c r="B225" s="363">
        <f t="shared" si="88"/>
        <v>2.2436126152353013E-2</v>
      </c>
      <c r="C225" s="543">
        <f t="shared" si="89"/>
        <v>5.6090315380882532E-3</v>
      </c>
      <c r="D225" s="542">
        <f t="shared" si="109"/>
        <v>3.75</v>
      </c>
      <c r="E225" s="363">
        <f t="shared" si="90"/>
        <v>2.2436126152353013E-2</v>
      </c>
      <c r="F225" s="543">
        <f t="shared" si="91"/>
        <v>5.6090315380882532E-3</v>
      </c>
      <c r="G225" s="548">
        <f t="shared" si="92"/>
        <v>-6.25</v>
      </c>
      <c r="H225" s="363">
        <f t="shared" si="93"/>
        <v>1.7052963686831738E-2</v>
      </c>
      <c r="I225" s="363">
        <f t="shared" si="94"/>
        <v>-7.1054015361798903E-3</v>
      </c>
      <c r="J225" s="364">
        <f t="shared" si="95"/>
        <v>3.9489089839184754E-2</v>
      </c>
      <c r="K225" s="194">
        <f t="shared" si="96"/>
        <v>1.7052963686831739</v>
      </c>
      <c r="L225" s="646">
        <f t="shared" si="97"/>
        <v>2.2436126152353011</v>
      </c>
      <c r="M225" s="365">
        <f t="shared" si="98"/>
        <v>3.948908983918475</v>
      </c>
      <c r="N225" s="194">
        <f t="shared" si="99"/>
        <v>-0.71054015361798906</v>
      </c>
      <c r="O225" s="422">
        <f t="shared" si="100"/>
        <v>0.56090315380882527</v>
      </c>
      <c r="P225" s="365">
        <f t="shared" si="101"/>
        <v>-0.14963699980916378</v>
      </c>
      <c r="S225" s="193"/>
      <c r="T225" s="193"/>
      <c r="U225" s="193"/>
      <c r="V225" s="193"/>
      <c r="W225" s="193"/>
      <c r="X225" s="193"/>
      <c r="Y225" s="503"/>
      <c r="Z225" s="193"/>
      <c r="AA225" s="520">
        <f t="shared" si="102"/>
        <v>1.6218639446095119E-2</v>
      </c>
      <c r="AB225" s="496"/>
      <c r="AC225" s="521">
        <f t="shared" si="103"/>
        <v>0.1034093057227793</v>
      </c>
      <c r="AD225" s="496"/>
      <c r="AE225" s="522">
        <f t="shared" si="104"/>
        <v>0.11962794516887443</v>
      </c>
      <c r="AG225" s="531">
        <f t="shared" si="105"/>
        <v>-5.3394697764922208E-5</v>
      </c>
      <c r="AH225" s="221" t="str">
        <f t="shared" si="106"/>
        <v>NO</v>
      </c>
      <c r="AI225" s="532">
        <f t="shared" si="107"/>
        <v>-3.4044215875812117E-4</v>
      </c>
      <c r="AJ225" s="221" t="str">
        <f t="shared" si="86"/>
        <v>NO</v>
      </c>
      <c r="AK225" s="533">
        <f>IF('IN-OUT'!$F$35=0,AG225,IF('IN-OUT'!$F$26=0,'transversal subsidence profile'!AI225,'transversal subsidence profile'!AG225+'transversal subsidence profile'!AI225))</f>
        <v>-3.9383685652304336E-4</v>
      </c>
      <c r="AL225" s="513">
        <f t="shared" si="87"/>
        <v>1000</v>
      </c>
    </row>
    <row r="226" spans="1:38">
      <c r="A226" s="542">
        <f t="shared" si="108"/>
        <v>4</v>
      </c>
      <c r="B226" s="363">
        <f t="shared" si="88"/>
        <v>2.196412480496544E-2</v>
      </c>
      <c r="C226" s="543">
        <f t="shared" si="89"/>
        <v>5.8570999479907833E-3</v>
      </c>
      <c r="D226" s="542">
        <f t="shared" si="109"/>
        <v>4</v>
      </c>
      <c r="E226" s="363">
        <f t="shared" si="90"/>
        <v>2.196412480496544E-2</v>
      </c>
      <c r="F226" s="543">
        <f t="shared" si="91"/>
        <v>5.8570999479907833E-3</v>
      </c>
      <c r="G226" s="548">
        <f t="shared" si="92"/>
        <v>-6</v>
      </c>
      <c r="H226" s="363">
        <f t="shared" si="93"/>
        <v>1.7635813520721411E-2</v>
      </c>
      <c r="I226" s="363">
        <f t="shared" si="94"/>
        <v>-7.0543254082885646E-3</v>
      </c>
      <c r="J226" s="364">
        <f t="shared" si="95"/>
        <v>3.9599938325686854E-2</v>
      </c>
      <c r="K226" s="194">
        <f t="shared" si="96"/>
        <v>1.7635813520721411</v>
      </c>
      <c r="L226" s="646">
        <f t="shared" si="97"/>
        <v>2.1964124804965439</v>
      </c>
      <c r="M226" s="365">
        <f t="shared" si="98"/>
        <v>3.959993832568685</v>
      </c>
      <c r="N226" s="194">
        <f t="shared" si="99"/>
        <v>-0.70543254082885642</v>
      </c>
      <c r="O226" s="422">
        <f t="shared" si="100"/>
        <v>0.58570999479907837</v>
      </c>
      <c r="P226" s="365">
        <f t="shared" si="101"/>
        <v>-0.11972254602977805</v>
      </c>
      <c r="S226" s="193"/>
      <c r="T226" s="193"/>
      <c r="U226" s="193"/>
      <c r="V226" s="193"/>
      <c r="W226" s="193"/>
      <c r="X226" s="193"/>
      <c r="Y226" s="503"/>
      <c r="Z226" s="193"/>
      <c r="AA226" s="520">
        <f t="shared" si="102"/>
        <v>2.4675623856153423E-2</v>
      </c>
      <c r="AB226" s="496"/>
      <c r="AC226" s="521">
        <f t="shared" si="103"/>
        <v>9.5007142503417005E-2</v>
      </c>
      <c r="AD226" s="496"/>
      <c r="AE226" s="522">
        <f t="shared" si="104"/>
        <v>0.11968276635957042</v>
      </c>
      <c r="AG226" s="531">
        <f t="shared" si="105"/>
        <v>-8.1236621748653233E-5</v>
      </c>
      <c r="AH226" s="221" t="str">
        <f t="shared" si="106"/>
        <v>NO</v>
      </c>
      <c r="AI226" s="532">
        <f t="shared" si="107"/>
        <v>-3.1278071606063215E-4</v>
      </c>
      <c r="AJ226" s="221" t="str">
        <f t="shared" si="86"/>
        <v>NO</v>
      </c>
      <c r="AK226" s="533">
        <f>IF('IN-OUT'!$F$35=0,AG226,IF('IN-OUT'!$F$26=0,'transversal subsidence profile'!AI226,'transversal subsidence profile'!AG226+'transversal subsidence profile'!AI226))</f>
        <v>-3.9401733780928541E-4</v>
      </c>
      <c r="AL226" s="513">
        <f t="shared" si="87"/>
        <v>1000</v>
      </c>
    </row>
    <row r="227" spans="1:38">
      <c r="A227" s="542">
        <f t="shared" si="108"/>
        <v>4.25</v>
      </c>
      <c r="B227" s="363">
        <f t="shared" si="88"/>
        <v>2.1472578162994218E-2</v>
      </c>
      <c r="C227" s="543">
        <f t="shared" si="89"/>
        <v>6.0838971461816948E-3</v>
      </c>
      <c r="D227" s="542">
        <f t="shared" si="109"/>
        <v>4.25</v>
      </c>
      <c r="E227" s="363">
        <f t="shared" si="90"/>
        <v>2.1472578162994218E-2</v>
      </c>
      <c r="F227" s="543">
        <f t="shared" si="91"/>
        <v>6.0838971461816948E-3</v>
      </c>
      <c r="G227" s="548">
        <f t="shared" si="92"/>
        <v>-5.75</v>
      </c>
      <c r="H227" s="363">
        <f t="shared" si="93"/>
        <v>1.8213582979801288E-2</v>
      </c>
      <c r="I227" s="363">
        <f t="shared" si="94"/>
        <v>-6.9818734755904928E-3</v>
      </c>
      <c r="J227" s="364">
        <f t="shared" si="95"/>
        <v>3.9686161142795509E-2</v>
      </c>
      <c r="K227" s="194">
        <f t="shared" si="96"/>
        <v>1.8213582979801288</v>
      </c>
      <c r="L227" s="646">
        <f t="shared" si="97"/>
        <v>2.1472578162994216</v>
      </c>
      <c r="M227" s="365">
        <f t="shared" si="98"/>
        <v>3.9686161142795502</v>
      </c>
      <c r="N227" s="194">
        <f t="shared" si="99"/>
        <v>-0.69818734755904932</v>
      </c>
      <c r="O227" s="422">
        <f t="shared" si="100"/>
        <v>0.60838971461816949</v>
      </c>
      <c r="P227" s="365">
        <f t="shared" si="101"/>
        <v>-8.9797632940879835E-2</v>
      </c>
      <c r="S227" s="193"/>
      <c r="T227" s="193"/>
      <c r="U227" s="193"/>
      <c r="V227" s="193"/>
      <c r="W227" s="193"/>
      <c r="X227" s="193"/>
      <c r="Y227" s="503"/>
      <c r="Z227" s="193"/>
      <c r="AA227" s="520">
        <f t="shared" si="102"/>
        <v>3.3312451723459147E-2</v>
      </c>
      <c r="AB227" s="496"/>
      <c r="AC227" s="521">
        <f t="shared" si="103"/>
        <v>8.6400863207292705E-2</v>
      </c>
      <c r="AD227" s="496"/>
      <c r="AE227" s="522">
        <f t="shared" si="104"/>
        <v>0.11971331493075185</v>
      </c>
      <c r="AG227" s="531">
        <f t="shared" si="105"/>
        <v>-1.0967062295789017E-4</v>
      </c>
      <c r="AH227" s="221" t="str">
        <f t="shared" si="106"/>
        <v>NO</v>
      </c>
      <c r="AI227" s="532">
        <f t="shared" si="107"/>
        <v>-2.844472862791529E-4</v>
      </c>
      <c r="AJ227" s="221" t="str">
        <f t="shared" si="86"/>
        <v>NO</v>
      </c>
      <c r="AK227" s="533">
        <f>IF('IN-OUT'!$F$35=0,AG227,IF('IN-OUT'!$F$26=0,'transversal subsidence profile'!AI227,'transversal subsidence profile'!AG227+'transversal subsidence profile'!AI227))</f>
        <v>-3.9411790923704306E-4</v>
      </c>
      <c r="AL227" s="513">
        <f t="shared" si="87"/>
        <v>1000</v>
      </c>
    </row>
    <row r="228" spans="1:38">
      <c r="A228" s="542">
        <f t="shared" si="108"/>
        <v>4.5</v>
      </c>
      <c r="B228" s="363">
        <f t="shared" si="88"/>
        <v>2.0963256187150118E-2</v>
      </c>
      <c r="C228" s="543">
        <f t="shared" si="89"/>
        <v>6.2889768561450368E-3</v>
      </c>
      <c r="D228" s="542">
        <f t="shared" si="109"/>
        <v>4.5</v>
      </c>
      <c r="E228" s="363">
        <f t="shared" si="90"/>
        <v>2.0963256187150118E-2</v>
      </c>
      <c r="F228" s="543">
        <f t="shared" si="91"/>
        <v>6.2889768561450368E-3</v>
      </c>
      <c r="G228" s="548">
        <f t="shared" si="92"/>
        <v>-5.5</v>
      </c>
      <c r="H228" s="363">
        <f t="shared" si="93"/>
        <v>1.8784495663384172E-2</v>
      </c>
      <c r="I228" s="363">
        <f t="shared" si="94"/>
        <v>-6.8876484099075286E-3</v>
      </c>
      <c r="J228" s="364">
        <f t="shared" si="95"/>
        <v>3.9747751850534294E-2</v>
      </c>
      <c r="K228" s="194">
        <f t="shared" si="96"/>
        <v>1.8784495663384173</v>
      </c>
      <c r="L228" s="646">
        <f t="shared" si="97"/>
        <v>2.0963256187150119</v>
      </c>
      <c r="M228" s="365">
        <f t="shared" si="98"/>
        <v>3.9747751850534292</v>
      </c>
      <c r="N228" s="194">
        <f t="shared" si="99"/>
        <v>-0.68876484099075286</v>
      </c>
      <c r="O228" s="422">
        <f t="shared" si="100"/>
        <v>0.62889768561450365</v>
      </c>
      <c r="P228" s="365">
        <f t="shared" si="101"/>
        <v>-5.9867155376249204E-2</v>
      </c>
      <c r="S228" s="193"/>
      <c r="T228" s="193"/>
      <c r="U228" s="193"/>
      <c r="V228" s="193"/>
      <c r="W228" s="193"/>
      <c r="X228" s="193"/>
      <c r="Y228" s="503"/>
      <c r="Z228" s="193"/>
      <c r="AA228" s="520">
        <f t="shared" si="102"/>
        <v>4.2086890146585475E-2</v>
      </c>
      <c r="AB228" s="496"/>
      <c r="AC228" s="521">
        <f t="shared" si="103"/>
        <v>7.7641689582037487E-2</v>
      </c>
      <c r="AD228" s="496"/>
      <c r="AE228" s="522">
        <f t="shared" si="104"/>
        <v>0.11972857972862297</v>
      </c>
      <c r="AG228" s="531">
        <f t="shared" si="105"/>
        <v>-1.3855766303402624E-4</v>
      </c>
      <c r="AH228" s="221" t="str">
        <f t="shared" si="106"/>
        <v>NO</v>
      </c>
      <c r="AI228" s="532">
        <f t="shared" si="107"/>
        <v>-2.5561050068160487E-4</v>
      </c>
      <c r="AJ228" s="221" t="str">
        <f t="shared" si="86"/>
        <v>NO</v>
      </c>
      <c r="AK228" s="533">
        <f>IF('IN-OUT'!$F$35=0,AG228,IF('IN-OUT'!$F$26=0,'transversal subsidence profile'!AI228,'transversal subsidence profile'!AG228+'transversal subsidence profile'!AI228))</f>
        <v>-3.9416816371563108E-4</v>
      </c>
      <c r="AL228" s="513">
        <f t="shared" si="87"/>
        <v>1000</v>
      </c>
    </row>
    <row r="229" spans="1:38">
      <c r="A229" s="542">
        <f t="shared" si="108"/>
        <v>4.75</v>
      </c>
      <c r="B229" s="363">
        <f t="shared" si="88"/>
        <v>2.0437960300374602E-2</v>
      </c>
      <c r="C229" s="543">
        <f t="shared" si="89"/>
        <v>6.4720207617852904E-3</v>
      </c>
      <c r="D229" s="542">
        <f t="shared" si="109"/>
        <v>4.75</v>
      </c>
      <c r="E229" s="363">
        <f t="shared" si="90"/>
        <v>2.0437960300374602E-2</v>
      </c>
      <c r="F229" s="543">
        <f t="shared" si="91"/>
        <v>6.4720207617852904E-3</v>
      </c>
      <c r="G229" s="548">
        <f t="shared" si="92"/>
        <v>-5.25</v>
      </c>
      <c r="H229" s="363">
        <f t="shared" si="93"/>
        <v>1.9346746895508467E-2</v>
      </c>
      <c r="I229" s="363">
        <f t="shared" si="94"/>
        <v>-6.7713614134279647E-3</v>
      </c>
      <c r="J229" s="364">
        <f t="shared" si="95"/>
        <v>3.9784707195883069E-2</v>
      </c>
      <c r="K229" s="194">
        <f t="shared" si="96"/>
        <v>1.9346746895508466</v>
      </c>
      <c r="L229" s="646">
        <f t="shared" si="97"/>
        <v>2.04379603003746</v>
      </c>
      <c r="M229" s="365">
        <f t="shared" si="98"/>
        <v>3.9784707195883069</v>
      </c>
      <c r="N229" s="194">
        <f t="shared" si="99"/>
        <v>-0.67713614134279643</v>
      </c>
      <c r="O229" s="422">
        <f t="shared" si="100"/>
        <v>0.6472020761785291</v>
      </c>
      <c r="P229" s="365">
        <f t="shared" si="101"/>
        <v>-2.9934065164267332E-2</v>
      </c>
      <c r="S229" s="193"/>
      <c r="T229" s="193"/>
      <c r="U229" s="193"/>
      <c r="V229" s="193"/>
      <c r="W229" s="193"/>
      <c r="X229" s="193"/>
      <c r="Y229" s="503"/>
      <c r="Z229" s="193"/>
      <c r="AA229" s="520">
        <f t="shared" si="102"/>
        <v>5.0954395115742464E-2</v>
      </c>
      <c r="AB229" s="496"/>
      <c r="AC229" s="521">
        <f t="shared" si="103"/>
        <v>6.8780698587451797E-2</v>
      </c>
      <c r="AD229" s="496"/>
      <c r="AE229" s="522">
        <f t="shared" si="104"/>
        <v>0.11973509370319427</v>
      </c>
      <c r="AG229" s="531">
        <f t="shared" si="105"/>
        <v>-1.6775109503125091E-4</v>
      </c>
      <c r="AH229" s="221" t="str">
        <f t="shared" si="106"/>
        <v>NO</v>
      </c>
      <c r="AI229" s="532">
        <f t="shared" si="107"/>
        <v>-2.2643851386815403E-4</v>
      </c>
      <c r="AJ229" s="221" t="str">
        <f t="shared" si="86"/>
        <v>NO</v>
      </c>
      <c r="AK229" s="533">
        <f>IF('IN-OUT'!$F$35=0,AG229,IF('IN-OUT'!$F$26=0,'transversal subsidence profile'!AI229,'transversal subsidence profile'!AG229+'transversal subsidence profile'!AI229))</f>
        <v>-3.9418960889940494E-4</v>
      </c>
      <c r="AL229" s="513">
        <f t="shared" si="87"/>
        <v>1000</v>
      </c>
    </row>
    <row r="230" spans="1:38">
      <c r="A230" s="542">
        <f t="shared" si="108"/>
        <v>5</v>
      </c>
      <c r="B230" s="363">
        <f t="shared" si="88"/>
        <v>1.9898512885235583E-2</v>
      </c>
      <c r="C230" s="543">
        <f t="shared" si="89"/>
        <v>6.6328376284118615E-3</v>
      </c>
      <c r="D230" s="542">
        <f t="shared" si="109"/>
        <v>5</v>
      </c>
      <c r="E230" s="363">
        <f t="shared" si="90"/>
        <v>1.9898512885235583E-2</v>
      </c>
      <c r="F230" s="543">
        <f t="shared" si="91"/>
        <v>6.6328376284118615E-3</v>
      </c>
      <c r="G230" s="548">
        <f t="shared" si="92"/>
        <v>-5</v>
      </c>
      <c r="H230" s="363">
        <f t="shared" si="93"/>
        <v>1.9898512885235583E-2</v>
      </c>
      <c r="I230" s="363">
        <f t="shared" si="94"/>
        <v>-6.6328376284118615E-3</v>
      </c>
      <c r="J230" s="364">
        <f t="shared" si="95"/>
        <v>3.9797025770471166E-2</v>
      </c>
      <c r="K230" s="194">
        <f t="shared" si="96"/>
        <v>1.9898512885235582</v>
      </c>
      <c r="L230" s="646">
        <f t="shared" si="97"/>
        <v>1.9898512885235582</v>
      </c>
      <c r="M230" s="365">
        <f t="shared" si="98"/>
        <v>3.9797025770471164</v>
      </c>
      <c r="N230" s="194">
        <f t="shared" si="99"/>
        <v>-0.66328376284118618</v>
      </c>
      <c r="O230" s="422">
        <f t="shared" si="100"/>
        <v>0.66328376284118618</v>
      </c>
      <c r="P230" s="365">
        <f t="shared" si="101"/>
        <v>0</v>
      </c>
      <c r="S230" s="193"/>
      <c r="T230" s="193"/>
      <c r="U230" s="193"/>
      <c r="V230" s="193"/>
      <c r="W230" s="193"/>
      <c r="X230" s="193"/>
      <c r="Y230" s="503"/>
      <c r="Z230" s="193"/>
      <c r="AA230" s="520">
        <f t="shared" si="102"/>
        <v>5.9868410967009664E-2</v>
      </c>
      <c r="AB230" s="496"/>
      <c r="AC230" s="521">
        <f t="shared" si="103"/>
        <v>5.9868410967009664E-2</v>
      </c>
      <c r="AD230" s="496"/>
      <c r="AE230" s="522">
        <f t="shared" si="104"/>
        <v>0.11973682193401933</v>
      </c>
      <c r="AG230" s="531">
        <f t="shared" si="105"/>
        <v>-1.9709764927410586E-4</v>
      </c>
      <c r="AH230" s="221" t="str">
        <f t="shared" si="106"/>
        <v>NO</v>
      </c>
      <c r="AI230" s="532">
        <f t="shared" si="107"/>
        <v>-1.9709764927410586E-4</v>
      </c>
      <c r="AJ230" s="221" t="str">
        <f t="shared" si="86"/>
        <v>NO</v>
      </c>
      <c r="AK230" s="533">
        <f>IF('IN-OUT'!$F$35=0,AG230,IF('IN-OUT'!$F$26=0,'transversal subsidence profile'!AI230,'transversal subsidence profile'!AG230+'transversal subsidence profile'!AI230))</f>
        <v>-3.9419529854821172E-4</v>
      </c>
      <c r="AL230" s="513">
        <f t="shared" si="87"/>
        <v>1000</v>
      </c>
    </row>
    <row r="231" spans="1:38">
      <c r="A231" s="542">
        <f t="shared" si="108"/>
        <v>5.25</v>
      </c>
      <c r="B231" s="363">
        <f t="shared" si="88"/>
        <v>1.9346746895508467E-2</v>
      </c>
      <c r="C231" s="543">
        <f t="shared" si="89"/>
        <v>6.7713614134279647E-3</v>
      </c>
      <c r="D231" s="542">
        <f t="shared" si="109"/>
        <v>5.25</v>
      </c>
      <c r="E231" s="363">
        <f t="shared" si="90"/>
        <v>1.9346746895508467E-2</v>
      </c>
      <c r="F231" s="543">
        <f t="shared" si="91"/>
        <v>6.7713614134279647E-3</v>
      </c>
      <c r="G231" s="548">
        <f t="shared" si="92"/>
        <v>-4.75</v>
      </c>
      <c r="H231" s="363">
        <f t="shared" si="93"/>
        <v>2.0437960300374602E-2</v>
      </c>
      <c r="I231" s="363">
        <f t="shared" si="94"/>
        <v>-6.4720207617852904E-3</v>
      </c>
      <c r="J231" s="364">
        <f t="shared" si="95"/>
        <v>3.9784707195883069E-2</v>
      </c>
      <c r="K231" s="194">
        <f t="shared" si="96"/>
        <v>2.04379603003746</v>
      </c>
      <c r="L231" s="646">
        <f t="shared" si="97"/>
        <v>1.9346746895508466</v>
      </c>
      <c r="M231" s="365">
        <f t="shared" si="98"/>
        <v>3.9784707195883069</v>
      </c>
      <c r="N231" s="194">
        <f t="shared" si="99"/>
        <v>-0.6472020761785291</v>
      </c>
      <c r="O231" s="422">
        <f t="shared" si="100"/>
        <v>0.67713614134279643</v>
      </c>
      <c r="P231" s="365">
        <f t="shared" si="101"/>
        <v>2.9934065164267332E-2</v>
      </c>
      <c r="S231" s="193"/>
      <c r="T231" s="193"/>
      <c r="U231" s="193"/>
      <c r="V231" s="193"/>
      <c r="W231" s="193"/>
      <c r="X231" s="193"/>
      <c r="Y231" s="503"/>
      <c r="Z231" s="193"/>
      <c r="AA231" s="520">
        <f t="shared" si="102"/>
        <v>6.8780698587451797E-2</v>
      </c>
      <c r="AB231" s="496"/>
      <c r="AC231" s="521">
        <f t="shared" si="103"/>
        <v>5.0954395115742464E-2</v>
      </c>
      <c r="AD231" s="496"/>
      <c r="AE231" s="522">
        <f t="shared" si="104"/>
        <v>0.11973509370319427</v>
      </c>
      <c r="AG231" s="531">
        <f t="shared" si="105"/>
        <v>-2.2643851386815403E-4</v>
      </c>
      <c r="AH231" s="221" t="str">
        <f t="shared" si="106"/>
        <v>NO</v>
      </c>
      <c r="AI231" s="532">
        <f t="shared" si="107"/>
        <v>-1.6775109503125091E-4</v>
      </c>
      <c r="AJ231" s="221" t="str">
        <f t="shared" si="86"/>
        <v>NO</v>
      </c>
      <c r="AK231" s="533">
        <f>IF('IN-OUT'!$F$35=0,AG231,IF('IN-OUT'!$F$26=0,'transversal subsidence profile'!AI231,'transversal subsidence profile'!AG231+'transversal subsidence profile'!AI231))</f>
        <v>-3.9418960889940494E-4</v>
      </c>
      <c r="AL231" s="513">
        <f t="shared" si="87"/>
        <v>1000</v>
      </c>
    </row>
    <row r="232" spans="1:38">
      <c r="A232" s="542">
        <f t="shared" si="108"/>
        <v>5.5</v>
      </c>
      <c r="B232" s="363">
        <f t="shared" si="88"/>
        <v>1.8784495663384172E-2</v>
      </c>
      <c r="C232" s="543">
        <f t="shared" si="89"/>
        <v>6.8876484099075286E-3</v>
      </c>
      <c r="D232" s="542">
        <f t="shared" si="109"/>
        <v>5.5</v>
      </c>
      <c r="E232" s="363">
        <f t="shared" si="90"/>
        <v>1.8784495663384172E-2</v>
      </c>
      <c r="F232" s="543">
        <f t="shared" si="91"/>
        <v>6.8876484099075286E-3</v>
      </c>
      <c r="G232" s="548">
        <f t="shared" si="92"/>
        <v>-4.5</v>
      </c>
      <c r="H232" s="363">
        <f t="shared" si="93"/>
        <v>2.0963256187150118E-2</v>
      </c>
      <c r="I232" s="363">
        <f t="shared" si="94"/>
        <v>-6.2889768561450368E-3</v>
      </c>
      <c r="J232" s="364">
        <f t="shared" si="95"/>
        <v>3.9747751850534294E-2</v>
      </c>
      <c r="K232" s="194">
        <f t="shared" si="96"/>
        <v>2.0963256187150119</v>
      </c>
      <c r="L232" s="646">
        <f t="shared" si="97"/>
        <v>1.8784495663384173</v>
      </c>
      <c r="M232" s="365">
        <f t="shared" si="98"/>
        <v>3.9747751850534292</v>
      </c>
      <c r="N232" s="194">
        <f t="shared" si="99"/>
        <v>-0.62889768561450365</v>
      </c>
      <c r="O232" s="422">
        <f t="shared" si="100"/>
        <v>0.68876484099075286</v>
      </c>
      <c r="P232" s="365">
        <f t="shared" si="101"/>
        <v>5.9867155376249204E-2</v>
      </c>
      <c r="S232" s="193"/>
      <c r="T232" s="193"/>
      <c r="U232" s="193"/>
      <c r="V232" s="193"/>
      <c r="W232" s="193"/>
      <c r="X232" s="193"/>
      <c r="Y232" s="503"/>
      <c r="Z232" s="193"/>
      <c r="AA232" s="520">
        <f t="shared" si="102"/>
        <v>7.7641689582037487E-2</v>
      </c>
      <c r="AB232" s="496"/>
      <c r="AC232" s="521">
        <f t="shared" si="103"/>
        <v>4.2086890146585475E-2</v>
      </c>
      <c r="AD232" s="496"/>
      <c r="AE232" s="522">
        <f t="shared" si="104"/>
        <v>0.11972857972862297</v>
      </c>
      <c r="AG232" s="531">
        <f t="shared" si="105"/>
        <v>-2.5561050068160487E-4</v>
      </c>
      <c r="AH232" s="221" t="str">
        <f t="shared" si="106"/>
        <v>NO</v>
      </c>
      <c r="AI232" s="532">
        <f t="shared" si="107"/>
        <v>-1.3855766303402624E-4</v>
      </c>
      <c r="AJ232" s="221" t="str">
        <f t="shared" si="86"/>
        <v>NO</v>
      </c>
      <c r="AK232" s="533">
        <f>IF('IN-OUT'!$F$35=0,AG232,IF('IN-OUT'!$F$26=0,'transversal subsidence profile'!AI232,'transversal subsidence profile'!AG232+'transversal subsidence profile'!AI232))</f>
        <v>-3.9416816371563108E-4</v>
      </c>
      <c r="AL232" s="513">
        <f t="shared" si="87"/>
        <v>1000</v>
      </c>
    </row>
    <row r="233" spans="1:38">
      <c r="A233" s="542">
        <f t="shared" si="108"/>
        <v>5.75</v>
      </c>
      <c r="B233" s="363">
        <f t="shared" si="88"/>
        <v>1.8213582979801288E-2</v>
      </c>
      <c r="C233" s="543">
        <f t="shared" si="89"/>
        <v>6.9818734755904928E-3</v>
      </c>
      <c r="D233" s="542">
        <f t="shared" si="109"/>
        <v>5.75</v>
      </c>
      <c r="E233" s="363">
        <f t="shared" si="90"/>
        <v>1.8213582979801288E-2</v>
      </c>
      <c r="F233" s="543">
        <f t="shared" si="91"/>
        <v>6.9818734755904928E-3</v>
      </c>
      <c r="G233" s="548">
        <f t="shared" si="92"/>
        <v>-4.25</v>
      </c>
      <c r="H233" s="363">
        <f t="shared" si="93"/>
        <v>2.1472578162994218E-2</v>
      </c>
      <c r="I233" s="363">
        <f t="shared" si="94"/>
        <v>-6.0838971461816948E-3</v>
      </c>
      <c r="J233" s="364">
        <f t="shared" si="95"/>
        <v>3.9686161142795509E-2</v>
      </c>
      <c r="K233" s="194">
        <f t="shared" si="96"/>
        <v>2.1472578162994216</v>
      </c>
      <c r="L233" s="646">
        <f t="shared" si="97"/>
        <v>1.8213582979801288</v>
      </c>
      <c r="M233" s="365">
        <f t="shared" si="98"/>
        <v>3.9686161142795502</v>
      </c>
      <c r="N233" s="194">
        <f t="shared" si="99"/>
        <v>-0.60838971461816949</v>
      </c>
      <c r="O233" s="422">
        <f t="shared" si="100"/>
        <v>0.69818734755904932</v>
      </c>
      <c r="P233" s="365">
        <f t="shared" si="101"/>
        <v>8.9797632940879835E-2</v>
      </c>
      <c r="S233" s="193"/>
      <c r="T233" s="193"/>
      <c r="U233" s="193"/>
      <c r="V233" s="193"/>
      <c r="W233" s="193"/>
      <c r="X233" s="193"/>
      <c r="Y233" s="503"/>
      <c r="Z233" s="193"/>
      <c r="AA233" s="520">
        <f t="shared" si="102"/>
        <v>8.6400863207292705E-2</v>
      </c>
      <c r="AB233" s="496"/>
      <c r="AC233" s="521">
        <f t="shared" si="103"/>
        <v>3.3312451723459147E-2</v>
      </c>
      <c r="AD233" s="496"/>
      <c r="AE233" s="522">
        <f t="shared" si="104"/>
        <v>0.11971331493075185</v>
      </c>
      <c r="AG233" s="531">
        <f t="shared" si="105"/>
        <v>-2.844472862791529E-4</v>
      </c>
      <c r="AH233" s="221" t="str">
        <f t="shared" si="106"/>
        <v>NO</v>
      </c>
      <c r="AI233" s="532">
        <f t="shared" si="107"/>
        <v>-1.0967062295789017E-4</v>
      </c>
      <c r="AJ233" s="221" t="str">
        <f t="shared" si="86"/>
        <v>NO</v>
      </c>
      <c r="AK233" s="533">
        <f>IF('IN-OUT'!$F$35=0,AG233,IF('IN-OUT'!$F$26=0,'transversal subsidence profile'!AI233,'transversal subsidence profile'!AG233+'transversal subsidence profile'!AI233))</f>
        <v>-3.9411790923704306E-4</v>
      </c>
      <c r="AL233" s="513">
        <f t="shared" si="87"/>
        <v>1000</v>
      </c>
    </row>
    <row r="234" spans="1:38">
      <c r="A234" s="542">
        <f t="shared" si="108"/>
        <v>6</v>
      </c>
      <c r="B234" s="363">
        <f t="shared" si="88"/>
        <v>1.7635813520721411E-2</v>
      </c>
      <c r="C234" s="543">
        <f t="shared" si="89"/>
        <v>7.0543254082885646E-3</v>
      </c>
      <c r="D234" s="542">
        <f t="shared" si="109"/>
        <v>6</v>
      </c>
      <c r="E234" s="363">
        <f t="shared" si="90"/>
        <v>1.7635813520721411E-2</v>
      </c>
      <c r="F234" s="543">
        <f t="shared" si="91"/>
        <v>7.0543254082885646E-3</v>
      </c>
      <c r="G234" s="548">
        <f t="shared" si="92"/>
        <v>-4</v>
      </c>
      <c r="H234" s="363">
        <f t="shared" si="93"/>
        <v>2.196412480496544E-2</v>
      </c>
      <c r="I234" s="363">
        <f t="shared" si="94"/>
        <v>-5.8570999479907833E-3</v>
      </c>
      <c r="J234" s="364">
        <f t="shared" si="95"/>
        <v>3.9599938325686854E-2</v>
      </c>
      <c r="K234" s="194">
        <f t="shared" si="96"/>
        <v>2.1964124804965439</v>
      </c>
      <c r="L234" s="646">
        <f t="shared" si="97"/>
        <v>1.7635813520721411</v>
      </c>
      <c r="M234" s="365">
        <f t="shared" si="98"/>
        <v>3.959993832568685</v>
      </c>
      <c r="N234" s="194">
        <f t="shared" si="99"/>
        <v>-0.58570999479907837</v>
      </c>
      <c r="O234" s="422">
        <f t="shared" si="100"/>
        <v>0.70543254082885642</v>
      </c>
      <c r="P234" s="365">
        <f t="shared" si="101"/>
        <v>0.11972254602977805</v>
      </c>
      <c r="S234" s="193"/>
      <c r="T234" s="193"/>
      <c r="U234" s="193"/>
      <c r="V234" s="193"/>
      <c r="W234" s="193"/>
      <c r="X234" s="193"/>
      <c r="Y234" s="503"/>
      <c r="Z234" s="193"/>
      <c r="AA234" s="520">
        <f t="shared" si="102"/>
        <v>9.5007142503417005E-2</v>
      </c>
      <c r="AB234" s="496"/>
      <c r="AC234" s="521">
        <f t="shared" si="103"/>
        <v>2.4675623856153423E-2</v>
      </c>
      <c r="AD234" s="496"/>
      <c r="AE234" s="522">
        <f t="shared" si="104"/>
        <v>0.11968276635957042</v>
      </c>
      <c r="AG234" s="531">
        <f t="shared" si="105"/>
        <v>-3.1278071606063215E-4</v>
      </c>
      <c r="AH234" s="221" t="str">
        <f t="shared" si="106"/>
        <v>NO</v>
      </c>
      <c r="AI234" s="532">
        <f t="shared" si="107"/>
        <v>-8.1236621748653233E-5</v>
      </c>
      <c r="AJ234" s="221" t="str">
        <f t="shared" si="86"/>
        <v>NO</v>
      </c>
      <c r="AK234" s="533">
        <f>IF('IN-OUT'!$F$35=0,AG234,IF('IN-OUT'!$F$26=0,'transversal subsidence profile'!AI234,'transversal subsidence profile'!AG234+'transversal subsidence profile'!AI234))</f>
        <v>-3.9401733780928541E-4</v>
      </c>
      <c r="AL234" s="513">
        <f t="shared" si="87"/>
        <v>1000</v>
      </c>
    </row>
    <row r="235" spans="1:38">
      <c r="A235" s="542">
        <f t="shared" si="108"/>
        <v>6.25</v>
      </c>
      <c r="B235" s="363">
        <f t="shared" si="88"/>
        <v>1.7052963686831738E-2</v>
      </c>
      <c r="C235" s="543">
        <f t="shared" si="89"/>
        <v>7.1054015361798903E-3</v>
      </c>
      <c r="D235" s="542">
        <f t="shared" si="109"/>
        <v>6.25</v>
      </c>
      <c r="E235" s="363">
        <f t="shared" si="90"/>
        <v>1.7052963686831738E-2</v>
      </c>
      <c r="F235" s="543">
        <f t="shared" si="91"/>
        <v>7.1054015361798903E-3</v>
      </c>
      <c r="G235" s="548">
        <f t="shared" si="92"/>
        <v>-3.75</v>
      </c>
      <c r="H235" s="363">
        <f t="shared" si="93"/>
        <v>2.2436126152353013E-2</v>
      </c>
      <c r="I235" s="363">
        <f t="shared" si="94"/>
        <v>-5.6090315380882532E-3</v>
      </c>
      <c r="J235" s="364">
        <f t="shared" si="95"/>
        <v>3.9489089839184754E-2</v>
      </c>
      <c r="K235" s="194">
        <f t="shared" si="96"/>
        <v>2.2436126152353011</v>
      </c>
      <c r="L235" s="646">
        <f t="shared" si="97"/>
        <v>1.7052963686831739</v>
      </c>
      <c r="M235" s="365">
        <f t="shared" si="98"/>
        <v>3.948908983918475</v>
      </c>
      <c r="N235" s="194">
        <f t="shared" si="99"/>
        <v>-0.56090315380882527</v>
      </c>
      <c r="O235" s="422">
        <f t="shared" si="100"/>
        <v>0.71054015361798906</v>
      </c>
      <c r="P235" s="365">
        <f t="shared" si="101"/>
        <v>0.14963699980916378</v>
      </c>
      <c r="S235" s="193"/>
      <c r="T235" s="193"/>
      <c r="U235" s="193"/>
      <c r="V235" s="193"/>
      <c r="W235" s="193"/>
      <c r="X235" s="193"/>
      <c r="Y235" s="503"/>
      <c r="Z235" s="193"/>
      <c r="AA235" s="520">
        <f t="shared" si="102"/>
        <v>0.1034093057227793</v>
      </c>
      <c r="AB235" s="496"/>
      <c r="AC235" s="521">
        <f t="shared" si="103"/>
        <v>1.6218639446095119E-2</v>
      </c>
      <c r="AD235" s="496"/>
      <c r="AE235" s="522">
        <f t="shared" si="104"/>
        <v>0.11962794516887443</v>
      </c>
      <c r="AG235" s="531">
        <f t="shared" si="105"/>
        <v>-3.4044215875812117E-4</v>
      </c>
      <c r="AH235" s="221" t="str">
        <f t="shared" si="106"/>
        <v>NO</v>
      </c>
      <c r="AI235" s="532">
        <f t="shared" si="107"/>
        <v>-5.3394697764922208E-5</v>
      </c>
      <c r="AJ235" s="221" t="str">
        <f t="shared" si="86"/>
        <v>NO</v>
      </c>
      <c r="AK235" s="533">
        <f>IF('IN-OUT'!$F$35=0,AG235,IF('IN-OUT'!$F$26=0,'transversal subsidence profile'!AI235,'transversal subsidence profile'!AG235+'transversal subsidence profile'!AI235))</f>
        <v>-3.9383685652304336E-4</v>
      </c>
      <c r="AL235" s="513">
        <f t="shared" si="87"/>
        <v>1000</v>
      </c>
    </row>
    <row r="236" spans="1:38">
      <c r="A236" s="542">
        <f t="shared" si="108"/>
        <v>6.5</v>
      </c>
      <c r="B236" s="363">
        <f t="shared" si="88"/>
        <v>1.6466772918250553E-2</v>
      </c>
      <c r="C236" s="543">
        <f t="shared" si="89"/>
        <v>7.1356015979085717E-3</v>
      </c>
      <c r="D236" s="542">
        <f t="shared" si="109"/>
        <v>6.5</v>
      </c>
      <c r="E236" s="363">
        <f t="shared" si="90"/>
        <v>1.6466772918250553E-2</v>
      </c>
      <c r="F236" s="543">
        <f t="shared" si="91"/>
        <v>7.1356015979085717E-3</v>
      </c>
      <c r="G236" s="548">
        <f t="shared" si="92"/>
        <v>-3.5</v>
      </c>
      <c r="H236" s="363">
        <f t="shared" si="93"/>
        <v>2.2886854238882211E-2</v>
      </c>
      <c r="I236" s="363">
        <f t="shared" si="94"/>
        <v>-5.3402659890725152E-3</v>
      </c>
      <c r="J236" s="364">
        <f t="shared" si="95"/>
        <v>3.9353627157132767E-2</v>
      </c>
      <c r="K236" s="194">
        <f t="shared" si="96"/>
        <v>2.288685423888221</v>
      </c>
      <c r="L236" s="646">
        <f t="shared" si="97"/>
        <v>1.6466772918250554</v>
      </c>
      <c r="M236" s="365">
        <f t="shared" si="98"/>
        <v>3.9353627157132767</v>
      </c>
      <c r="N236" s="194">
        <f t="shared" si="99"/>
        <v>-0.53402659890725146</v>
      </c>
      <c r="O236" s="422">
        <f t="shared" si="100"/>
        <v>0.71356015979085718</v>
      </c>
      <c r="P236" s="365">
        <f t="shared" si="101"/>
        <v>0.17953356088360573</v>
      </c>
      <c r="S236" s="193"/>
      <c r="T236" s="193"/>
      <c r="U236" s="193"/>
      <c r="V236" s="193"/>
      <c r="W236" s="193"/>
      <c r="X236" s="193"/>
      <c r="Y236" s="503"/>
      <c r="Z236" s="193"/>
      <c r="AA236" s="520">
        <f t="shared" si="102"/>
        <v>0.11155640886441902</v>
      </c>
      <c r="AB236" s="496"/>
      <c r="AC236" s="521">
        <f t="shared" si="103"/>
        <v>7.9811519402586163E-3</v>
      </c>
      <c r="AD236" s="496"/>
      <c r="AE236" s="522">
        <f t="shared" si="104"/>
        <v>0.11953756080467763</v>
      </c>
      <c r="AG236" s="531">
        <f t="shared" si="105"/>
        <v>-3.6726389749602964E-4</v>
      </c>
      <c r="AH236" s="221" t="str">
        <f t="shared" si="106"/>
        <v>NO</v>
      </c>
      <c r="AI236" s="532">
        <f t="shared" si="107"/>
        <v>-2.6275397334184745E-5</v>
      </c>
      <c r="AJ236" s="221" t="str">
        <f t="shared" si="86"/>
        <v>NO</v>
      </c>
      <c r="AK236" s="533">
        <f>IF('IN-OUT'!$F$35=0,AG236,IF('IN-OUT'!$F$26=0,'transversal subsidence profile'!AI236,'transversal subsidence profile'!AG236+'transversal subsidence profile'!AI236))</f>
        <v>-3.9353929483021437E-4</v>
      </c>
      <c r="AL236" s="513">
        <f t="shared" si="87"/>
        <v>1000</v>
      </c>
    </row>
    <row r="237" spans="1:38">
      <c r="A237" s="542">
        <f t="shared" si="108"/>
        <v>6.75</v>
      </c>
      <c r="B237" s="363">
        <f t="shared" si="88"/>
        <v>1.5878935539418163E-2</v>
      </c>
      <c r="C237" s="543">
        <f t="shared" si="89"/>
        <v>7.1455209927381745E-3</v>
      </c>
      <c r="D237" s="542">
        <f t="shared" si="109"/>
        <v>6.75</v>
      </c>
      <c r="E237" s="363">
        <f t="shared" si="90"/>
        <v>1.5878935539418163E-2</v>
      </c>
      <c r="F237" s="543">
        <f t="shared" si="91"/>
        <v>7.1455209927381745E-3</v>
      </c>
      <c r="G237" s="548">
        <f t="shared" si="92"/>
        <v>-3.25</v>
      </c>
      <c r="H237" s="363">
        <f t="shared" si="93"/>
        <v>2.3314633567655486E-2</v>
      </c>
      <c r="I237" s="363">
        <f t="shared" si="94"/>
        <v>-5.0515039396586883E-3</v>
      </c>
      <c r="J237" s="364">
        <f t="shared" si="95"/>
        <v>3.9193569107073653E-2</v>
      </c>
      <c r="K237" s="194">
        <f t="shared" si="96"/>
        <v>2.3314633567655485</v>
      </c>
      <c r="L237" s="646">
        <f t="shared" si="97"/>
        <v>1.5878935539418164</v>
      </c>
      <c r="M237" s="365">
        <f t="shared" si="98"/>
        <v>3.9193569107073651</v>
      </c>
      <c r="N237" s="194">
        <f t="shared" si="99"/>
        <v>-0.5051503939658688</v>
      </c>
      <c r="O237" s="422">
        <f t="shared" si="100"/>
        <v>0.71455209927381746</v>
      </c>
      <c r="P237" s="365">
        <f t="shared" si="101"/>
        <v>0.20940170530794866</v>
      </c>
      <c r="S237" s="193"/>
      <c r="T237" s="193"/>
      <c r="U237" s="193"/>
      <c r="V237" s="193"/>
      <c r="W237" s="193"/>
      <c r="X237" s="193"/>
      <c r="Y237" s="503"/>
      <c r="Z237" s="193"/>
      <c r="AA237" s="520">
        <f t="shared" si="102"/>
        <v>0.11939821488694168</v>
      </c>
      <c r="AB237" s="496"/>
      <c r="AC237" s="521">
        <f t="shared" si="103"/>
        <v>0</v>
      </c>
      <c r="AD237" s="496"/>
      <c r="AE237" s="522">
        <f t="shared" si="104"/>
        <v>0.11939821488694168</v>
      </c>
      <c r="AG237" s="531">
        <f t="shared" si="105"/>
        <v>-3.9308054283766802E-4</v>
      </c>
      <c r="AH237" s="221" t="str">
        <f t="shared" si="106"/>
        <v>NO</v>
      </c>
      <c r="AI237" s="532">
        <f t="shared" si="107"/>
        <v>0</v>
      </c>
      <c r="AJ237" s="221">
        <f t="shared" si="86"/>
        <v>-3.25</v>
      </c>
      <c r="AK237" s="533">
        <f>IF('IN-OUT'!$F$35=0,AG237,IF('IN-OUT'!$F$26=0,'transversal subsidence profile'!AI237,'transversal subsidence profile'!AG237+'transversal subsidence profile'!AI237))</f>
        <v>-3.9308054283766802E-4</v>
      </c>
      <c r="AL237" s="513">
        <f t="shared" si="87"/>
        <v>1000</v>
      </c>
    </row>
    <row r="238" spans="1:38">
      <c r="A238" s="542">
        <f t="shared" si="108"/>
        <v>7</v>
      </c>
      <c r="B238" s="363">
        <f t="shared" si="88"/>
        <v>1.5291093182570586E-2</v>
      </c>
      <c r="C238" s="543">
        <f t="shared" si="89"/>
        <v>7.1358434851996055E-3</v>
      </c>
      <c r="D238" s="542">
        <f t="shared" si="109"/>
        <v>7</v>
      </c>
      <c r="E238" s="363">
        <f t="shared" si="90"/>
        <v>1.5291093182570586E-2</v>
      </c>
      <c r="F238" s="543">
        <f t="shared" si="91"/>
        <v>7.1358434851996055E-3</v>
      </c>
      <c r="G238" s="548">
        <f t="shared" si="92"/>
        <v>-3</v>
      </c>
      <c r="H238" s="363">
        <f t="shared" si="93"/>
        <v>2.3717851440593102E-2</v>
      </c>
      <c r="I238" s="363">
        <f t="shared" si="94"/>
        <v>-4.74357028811862E-3</v>
      </c>
      <c r="J238" s="364">
        <f t="shared" si="95"/>
        <v>3.9008944623163691E-2</v>
      </c>
      <c r="K238" s="194">
        <f t="shared" si="96"/>
        <v>2.3717851440593103</v>
      </c>
      <c r="L238" s="646">
        <f t="shared" si="97"/>
        <v>1.5291093182570585</v>
      </c>
      <c r="M238" s="365">
        <f t="shared" si="98"/>
        <v>3.9008944623163688</v>
      </c>
      <c r="N238" s="194">
        <f t="shared" si="99"/>
        <v>-0.47435702881186198</v>
      </c>
      <c r="O238" s="422">
        <f t="shared" si="100"/>
        <v>0.71358434851996055</v>
      </c>
      <c r="P238" s="365">
        <f t="shared" si="101"/>
        <v>0.23922731970809857</v>
      </c>
      <c r="S238" s="193"/>
      <c r="T238" s="193"/>
      <c r="U238" s="193"/>
      <c r="V238" s="193"/>
      <c r="W238" s="193"/>
      <c r="X238" s="193"/>
      <c r="Y238" s="503"/>
      <c r="Z238" s="193"/>
      <c r="AA238" s="520">
        <f t="shared" si="102"/>
        <v>0.12688562499082728</v>
      </c>
      <c r="AB238" s="496"/>
      <c r="AC238" s="521">
        <f t="shared" si="103"/>
        <v>-7.6909933702915666E-3</v>
      </c>
      <c r="AD238" s="496"/>
      <c r="AE238" s="522">
        <f t="shared" si="104"/>
        <v>0.11919463162053572</v>
      </c>
      <c r="AG238" s="531">
        <f t="shared" si="105"/>
        <v>-4.1773045264469885E-4</v>
      </c>
      <c r="AH238" s="221" t="str">
        <f t="shared" si="106"/>
        <v>NO</v>
      </c>
      <c r="AI238" s="532">
        <f t="shared" si="107"/>
        <v>2.5320142782852895E-5</v>
      </c>
      <c r="AJ238" s="221" t="str">
        <f t="shared" si="86"/>
        <v>NO</v>
      </c>
      <c r="AK238" s="533">
        <f>IF('IN-OUT'!$F$35=0,AG238,IF('IN-OUT'!$F$26=0,'transversal subsidence profile'!AI238,'transversal subsidence profile'!AG238+'transversal subsidence profile'!AI238))</f>
        <v>-3.9241030986184597E-4</v>
      </c>
      <c r="AL238" s="513">
        <f t="shared" si="87"/>
        <v>1000</v>
      </c>
    </row>
    <row r="239" spans="1:38">
      <c r="A239" s="542">
        <f t="shared" si="108"/>
        <v>7.25</v>
      </c>
      <c r="B239" s="363">
        <f t="shared" si="88"/>
        <v>1.4704827831110668E-2</v>
      </c>
      <c r="C239" s="543">
        <f t="shared" si="89"/>
        <v>7.1073334517034892E-3</v>
      </c>
      <c r="D239" s="542">
        <f t="shared" si="109"/>
        <v>7.25</v>
      </c>
      <c r="E239" s="363">
        <f t="shared" si="90"/>
        <v>1.4704827831110668E-2</v>
      </c>
      <c r="F239" s="543">
        <f t="shared" si="91"/>
        <v>7.1073334517034892E-3</v>
      </c>
      <c r="G239" s="548">
        <f t="shared" si="92"/>
        <v>-2.75</v>
      </c>
      <c r="H239" s="363">
        <f t="shared" si="93"/>
        <v>2.4094968053713195E-2</v>
      </c>
      <c r="I239" s="363">
        <f t="shared" si="94"/>
        <v>-4.4174108098474184E-3</v>
      </c>
      <c r="J239" s="364">
        <f t="shared" si="95"/>
        <v>3.8799795884823865E-2</v>
      </c>
      <c r="K239" s="194">
        <f t="shared" si="96"/>
        <v>2.4094968053713197</v>
      </c>
      <c r="L239" s="646">
        <f t="shared" si="97"/>
        <v>1.4704827831110667</v>
      </c>
      <c r="M239" s="365">
        <f t="shared" si="98"/>
        <v>3.8799795884823864</v>
      </c>
      <c r="N239" s="194">
        <f t="shared" si="99"/>
        <v>-0.44174108098474185</v>
      </c>
      <c r="O239" s="422">
        <f t="shared" si="100"/>
        <v>0.71073334517034892</v>
      </c>
      <c r="P239" s="365">
        <f t="shared" si="101"/>
        <v>0.26899226418560707</v>
      </c>
      <c r="S239" s="193"/>
      <c r="T239" s="193"/>
      <c r="U239" s="193"/>
      <c r="V239" s="193"/>
      <c r="W239" s="193"/>
      <c r="X239" s="193"/>
      <c r="Y239" s="503"/>
      <c r="Z239" s="193"/>
      <c r="AA239" s="520">
        <f t="shared" si="102"/>
        <v>0.13397110723966735</v>
      </c>
      <c r="AB239" s="496"/>
      <c r="AC239" s="521">
        <f t="shared" si="103"/>
        <v>-1.5061186255915822E-2</v>
      </c>
      <c r="AD239" s="496"/>
      <c r="AE239" s="522">
        <f t="shared" si="104"/>
        <v>0.11890992098375153</v>
      </c>
      <c r="AG239" s="531">
        <f t="shared" si="105"/>
        <v>-4.4105714317585953E-4</v>
      </c>
      <c r="AH239" s="221" t="str">
        <f t="shared" si="106"/>
        <v>NO</v>
      </c>
      <c r="AI239" s="532">
        <f t="shared" si="107"/>
        <v>4.9584152282850445E-5</v>
      </c>
      <c r="AJ239" s="221" t="str">
        <f t="shared" si="86"/>
        <v>NO</v>
      </c>
      <c r="AK239" s="533">
        <f>IF('IN-OUT'!$F$35=0,AG239,IF('IN-OUT'!$F$26=0,'transversal subsidence profile'!AI239,'transversal subsidence profile'!AG239+'transversal subsidence profile'!AI239))</f>
        <v>-3.9147299089300911E-4</v>
      </c>
      <c r="AL239" s="513">
        <f t="shared" si="87"/>
        <v>1000</v>
      </c>
    </row>
    <row r="240" spans="1:38">
      <c r="A240" s="542">
        <f t="shared" si="108"/>
        <v>7.5</v>
      </c>
      <c r="B240" s="363">
        <f t="shared" si="88"/>
        <v>1.4121655516907592E-2</v>
      </c>
      <c r="C240" s="543">
        <f t="shared" si="89"/>
        <v>7.0608277584537959E-3</v>
      </c>
      <c r="D240" s="542">
        <f t="shared" si="109"/>
        <v>7.5</v>
      </c>
      <c r="E240" s="363">
        <f t="shared" si="90"/>
        <v>1.4121655516907592E-2</v>
      </c>
      <c r="F240" s="543">
        <f t="shared" si="91"/>
        <v>7.0608277584537959E-3</v>
      </c>
      <c r="G240" s="548">
        <f t="shared" si="92"/>
        <v>-2.5</v>
      </c>
      <c r="H240" s="363">
        <f t="shared" si="93"/>
        <v>2.4444526270139773E-2</v>
      </c>
      <c r="I240" s="363">
        <f t="shared" si="94"/>
        <v>-4.0740877116899627E-3</v>
      </c>
      <c r="J240" s="364">
        <f t="shared" si="95"/>
        <v>3.8566181787047363E-2</v>
      </c>
      <c r="K240" s="194">
        <f t="shared" si="96"/>
        <v>2.4444526270139773</v>
      </c>
      <c r="L240" s="646">
        <f t="shared" si="97"/>
        <v>1.4121655516907592</v>
      </c>
      <c r="M240" s="365">
        <f t="shared" si="98"/>
        <v>3.8566181787047364</v>
      </c>
      <c r="N240" s="194">
        <f t="shared" si="99"/>
        <v>-0.40740877116899626</v>
      </c>
      <c r="O240" s="422">
        <f t="shared" si="100"/>
        <v>0.7060827758453796</v>
      </c>
      <c r="P240" s="365">
        <f t="shared" si="101"/>
        <v>0.29867400467638333</v>
      </c>
      <c r="S240" s="193"/>
      <c r="T240" s="193"/>
      <c r="U240" s="193"/>
      <c r="V240" s="193"/>
      <c r="W240" s="193"/>
      <c r="X240" s="193"/>
      <c r="Y240" s="503"/>
      <c r="Z240" s="193"/>
      <c r="AA240" s="520">
        <f t="shared" si="102"/>
        <v>0.14060911773130239</v>
      </c>
      <c r="AB240" s="496"/>
      <c r="AC240" s="521">
        <f t="shared" si="103"/>
        <v>-2.2083247310390467E-2</v>
      </c>
      <c r="AD240" s="496"/>
      <c r="AE240" s="522">
        <f t="shared" si="104"/>
        <v>0.11852587042091192</v>
      </c>
      <c r="AG240" s="531">
        <f t="shared" si="105"/>
        <v>-4.6291067565860862E-4</v>
      </c>
      <c r="AH240" s="221" t="str">
        <f t="shared" si="106"/>
        <v>NO</v>
      </c>
      <c r="AI240" s="532">
        <f t="shared" si="107"/>
        <v>7.2702048758487112E-5</v>
      </c>
      <c r="AJ240" s="221" t="str">
        <f t="shared" si="86"/>
        <v>NO</v>
      </c>
      <c r="AK240" s="533">
        <f>IF('IN-OUT'!$F$35=0,AG240,IF('IN-OUT'!$F$26=0,'transversal subsidence profile'!AI240,'transversal subsidence profile'!AG240+'transversal subsidence profile'!AI240))</f>
        <v>-3.9020862690012151E-4</v>
      </c>
      <c r="AL240" s="513">
        <f t="shared" si="87"/>
        <v>1000</v>
      </c>
    </row>
    <row r="241" spans="1:38">
      <c r="A241" s="542">
        <f t="shared" si="108"/>
        <v>7.75</v>
      </c>
      <c r="B241" s="363">
        <f t="shared" si="88"/>
        <v>1.3543020698165252E-2</v>
      </c>
      <c r="C241" s="543">
        <f t="shared" si="89"/>
        <v>6.9972273607187135E-3</v>
      </c>
      <c r="D241" s="542">
        <f t="shared" si="109"/>
        <v>7.75</v>
      </c>
      <c r="E241" s="363">
        <f t="shared" si="90"/>
        <v>1.3543020698165252E-2</v>
      </c>
      <c r="F241" s="543">
        <f t="shared" si="91"/>
        <v>6.9972273607187135E-3</v>
      </c>
      <c r="G241" s="548">
        <f t="shared" si="92"/>
        <v>-2.25</v>
      </c>
      <c r="H241" s="363">
        <f t="shared" si="93"/>
        <v>2.476516098425997E-2</v>
      </c>
      <c r="I241" s="363">
        <f t="shared" si="94"/>
        <v>-3.7147741476389962E-3</v>
      </c>
      <c r="J241" s="364">
        <f t="shared" si="95"/>
        <v>3.8308181682425224E-2</v>
      </c>
      <c r="K241" s="194">
        <f t="shared" si="96"/>
        <v>2.4765160984259968</v>
      </c>
      <c r="L241" s="646">
        <f t="shared" si="97"/>
        <v>1.3543020698165253</v>
      </c>
      <c r="M241" s="365">
        <f t="shared" si="98"/>
        <v>3.830818168242522</v>
      </c>
      <c r="N241" s="194">
        <f t="shared" si="99"/>
        <v>-0.37147741476389962</v>
      </c>
      <c r="O241" s="422">
        <f t="shared" si="100"/>
        <v>0.69972273607187141</v>
      </c>
      <c r="P241" s="365">
        <f t="shared" si="101"/>
        <v>0.32824532130797179</v>
      </c>
      <c r="S241" s="193"/>
      <c r="T241" s="193"/>
      <c r="U241" s="193"/>
      <c r="V241" s="193"/>
      <c r="W241" s="193"/>
      <c r="X241" s="193"/>
      <c r="Y241" s="503"/>
      <c r="Z241" s="193"/>
      <c r="AA241" s="520">
        <f t="shared" si="102"/>
        <v>0.14675650953635536</v>
      </c>
      <c r="AB241" s="496"/>
      <c r="AC241" s="521">
        <f t="shared" si="103"/>
        <v>-2.873324921787232E-2</v>
      </c>
      <c r="AD241" s="496"/>
      <c r="AE241" s="522">
        <f t="shared" si="104"/>
        <v>0.11802326031848304</v>
      </c>
      <c r="AG241" s="531">
        <f t="shared" si="105"/>
        <v>-4.8314900258882422E-4</v>
      </c>
      <c r="AH241" s="221" t="str">
        <f t="shared" si="106"/>
        <v>NO</v>
      </c>
      <c r="AI241" s="532">
        <f t="shared" si="107"/>
        <v>9.4595059153489112E-5</v>
      </c>
      <c r="AJ241" s="221" t="str">
        <f t="shared" si="86"/>
        <v>NO</v>
      </c>
      <c r="AK241" s="533">
        <f>IF('IN-OUT'!$F$35=0,AG241,IF('IN-OUT'!$F$26=0,'transversal subsidence profile'!AI241,'transversal subsidence profile'!AG241+'transversal subsidence profile'!AI241))</f>
        <v>-3.8855394343533509E-4</v>
      </c>
      <c r="AL241" s="513">
        <f t="shared" si="87"/>
        <v>1000</v>
      </c>
    </row>
    <row r="242" spans="1:38">
      <c r="A242" s="542">
        <f t="shared" si="108"/>
        <v>8</v>
      </c>
      <c r="B242" s="363">
        <f t="shared" si="88"/>
        <v>1.2970291337097047E-2</v>
      </c>
      <c r="C242" s="543">
        <f t="shared" si="89"/>
        <v>6.9174887131184248E-3</v>
      </c>
      <c r="D242" s="542">
        <f t="shared" si="109"/>
        <v>8</v>
      </c>
      <c r="E242" s="363">
        <f t="shared" si="90"/>
        <v>1.2970291337097047E-2</v>
      </c>
      <c r="F242" s="543">
        <f t="shared" si="91"/>
        <v>6.9174887131184248E-3</v>
      </c>
      <c r="G242" s="548">
        <f t="shared" si="92"/>
        <v>-2</v>
      </c>
      <c r="H242" s="363">
        <f t="shared" si="93"/>
        <v>2.5055607992967667E-2</v>
      </c>
      <c r="I242" s="363">
        <f t="shared" si="94"/>
        <v>-3.3407477323956886E-3</v>
      </c>
      <c r="J242" s="364">
        <f t="shared" si="95"/>
        <v>3.8025899330064714E-2</v>
      </c>
      <c r="K242" s="194">
        <f t="shared" si="96"/>
        <v>2.5055607992967666</v>
      </c>
      <c r="L242" s="646">
        <f t="shared" si="97"/>
        <v>1.2970291337097046</v>
      </c>
      <c r="M242" s="365">
        <f t="shared" si="98"/>
        <v>3.8025899330064714</v>
      </c>
      <c r="N242" s="194">
        <f t="shared" si="99"/>
        <v>-0.33407477323956886</v>
      </c>
      <c r="O242" s="422">
        <f t="shared" si="100"/>
        <v>0.69174887131184248</v>
      </c>
      <c r="P242" s="365">
        <f t="shared" si="101"/>
        <v>0.35767409807227363</v>
      </c>
      <c r="S242" s="193"/>
      <c r="T242" s="193"/>
      <c r="U242" s="193"/>
      <c r="V242" s="193"/>
      <c r="W242" s="193"/>
      <c r="X242" s="193"/>
      <c r="Y242" s="503"/>
      <c r="Z242" s="193"/>
      <c r="AA242" s="520">
        <f t="shared" si="102"/>
        <v>0.15237292469431638</v>
      </c>
      <c r="AB242" s="496"/>
      <c r="AC242" s="521">
        <f t="shared" si="103"/>
        <v>-3.4990726515259515E-2</v>
      </c>
      <c r="AD242" s="496"/>
      <c r="AE242" s="522">
        <f t="shared" si="104"/>
        <v>0.11738219817905686</v>
      </c>
      <c r="AG242" s="531">
        <f t="shared" si="105"/>
        <v>-5.0163925825289348E-4</v>
      </c>
      <c r="AH242" s="221" t="str">
        <f t="shared" si="106"/>
        <v>NO</v>
      </c>
      <c r="AI242" s="532">
        <f t="shared" si="107"/>
        <v>1.1519580745764449E-4</v>
      </c>
      <c r="AJ242" s="221" t="str">
        <f t="shared" si="86"/>
        <v>NO</v>
      </c>
      <c r="AK242" s="533">
        <f>IF('IN-OUT'!$F$35=0,AG242,IF('IN-OUT'!$F$26=0,'transversal subsidence profile'!AI242,'transversal subsidence profile'!AG242+'transversal subsidence profile'!AI242))</f>
        <v>-3.8644345079524899E-4</v>
      </c>
      <c r="AL242" s="513">
        <f t="shared" si="87"/>
        <v>1000</v>
      </c>
    </row>
    <row r="243" spans="1:38">
      <c r="A243" s="542">
        <f t="shared" si="108"/>
        <v>8.25</v>
      </c>
      <c r="B243" s="363">
        <f t="shared" si="88"/>
        <v>1.2404754689318138E-2</v>
      </c>
      <c r="C243" s="543">
        <f t="shared" si="89"/>
        <v>6.8226150791249763E-3</v>
      </c>
      <c r="D243" s="542">
        <f t="shared" si="109"/>
        <v>8.25</v>
      </c>
      <c r="E243" s="363">
        <f t="shared" si="90"/>
        <v>1.2404754689318138E-2</v>
      </c>
      <c r="F243" s="543">
        <f t="shared" si="91"/>
        <v>6.8226150791249763E-3</v>
      </c>
      <c r="G243" s="548">
        <f t="shared" si="92"/>
        <v>-1.75</v>
      </c>
      <c r="H243" s="363">
        <f t="shared" si="93"/>
        <v>2.5314712293414244E-2</v>
      </c>
      <c r="I243" s="363">
        <f t="shared" si="94"/>
        <v>-2.9533831008983283E-3</v>
      </c>
      <c r="J243" s="364">
        <f t="shared" si="95"/>
        <v>3.7719466982732382E-2</v>
      </c>
      <c r="K243" s="194">
        <f t="shared" si="96"/>
        <v>2.5314712293414243</v>
      </c>
      <c r="L243" s="646">
        <f t="shared" si="97"/>
        <v>1.2404754689318138</v>
      </c>
      <c r="M243" s="365">
        <f t="shared" si="98"/>
        <v>3.7719466982732381</v>
      </c>
      <c r="N243" s="194">
        <f t="shared" si="99"/>
        <v>-0.2953383100898328</v>
      </c>
      <c r="O243" s="422">
        <f t="shared" si="100"/>
        <v>0.68226150791249762</v>
      </c>
      <c r="P243" s="365">
        <f t="shared" si="101"/>
        <v>0.38692319782266482</v>
      </c>
      <c r="S243" s="193"/>
      <c r="T243" s="193"/>
      <c r="U243" s="193"/>
      <c r="V243" s="193"/>
      <c r="W243" s="193"/>
      <c r="X243" s="193"/>
      <c r="Y243" s="503"/>
      <c r="Z243" s="193"/>
      <c r="AA243" s="520">
        <f t="shared" si="102"/>
        <v>0.15742116469612882</v>
      </c>
      <c r="AB243" s="496"/>
      <c r="AC243" s="521">
        <f t="shared" si="103"/>
        <v>-4.0838698565656417E-2</v>
      </c>
      <c r="AD243" s="496"/>
      <c r="AE243" s="522">
        <f t="shared" si="104"/>
        <v>0.11658246613047241</v>
      </c>
      <c r="AG243" s="531">
        <f t="shared" si="105"/>
        <v>-5.1825897842346926E-4</v>
      </c>
      <c r="AH243" s="221" t="str">
        <f t="shared" si="106"/>
        <v>NO</v>
      </c>
      <c r="AI243" s="532">
        <f t="shared" si="107"/>
        <v>1.344483903396096E-4</v>
      </c>
      <c r="AJ243" s="221" t="str">
        <f t="shared" si="86"/>
        <v>NO</v>
      </c>
      <c r="AK243" s="533">
        <f>IF('IN-OUT'!$F$35=0,AG243,IF('IN-OUT'!$F$26=0,'transversal subsidence profile'!AI243,'transversal subsidence profile'!AG243+'transversal subsidence profile'!AI243))</f>
        <v>-3.8381058808385966E-4</v>
      </c>
      <c r="AL243" s="513">
        <f t="shared" si="87"/>
        <v>1000</v>
      </c>
    </row>
    <row r="244" spans="1:38">
      <c r="A244" s="542">
        <f t="shared" si="108"/>
        <v>8.5</v>
      </c>
      <c r="B244" s="363">
        <f t="shared" si="88"/>
        <v>1.1847613809702531E-2</v>
      </c>
      <c r="C244" s="543">
        <f t="shared" si="89"/>
        <v>6.7136478254981001E-3</v>
      </c>
      <c r="D244" s="542">
        <f t="shared" si="109"/>
        <v>8.5</v>
      </c>
      <c r="E244" s="363">
        <f t="shared" si="90"/>
        <v>1.1847613809702531E-2</v>
      </c>
      <c r="F244" s="543">
        <f t="shared" si="91"/>
        <v>6.7136478254981001E-3</v>
      </c>
      <c r="G244" s="548">
        <f t="shared" si="92"/>
        <v>-1.5</v>
      </c>
      <c r="H244" s="363">
        <f t="shared" si="93"/>
        <v>2.5541435731110482E-2</v>
      </c>
      <c r="I244" s="363">
        <f t="shared" si="94"/>
        <v>-2.5541435731110482E-3</v>
      </c>
      <c r="J244" s="364">
        <f t="shared" si="95"/>
        <v>3.7389049540813013E-2</v>
      </c>
      <c r="K244" s="194">
        <f t="shared" si="96"/>
        <v>2.5541435731110482</v>
      </c>
      <c r="L244" s="646">
        <f t="shared" si="97"/>
        <v>1.1847613809702531</v>
      </c>
      <c r="M244" s="365">
        <f t="shared" si="98"/>
        <v>3.7389049540813013</v>
      </c>
      <c r="N244" s="194">
        <f t="shared" si="99"/>
        <v>-0.25541435731110484</v>
      </c>
      <c r="O244" s="422">
        <f t="shared" si="100"/>
        <v>0.67136478254981002</v>
      </c>
      <c r="P244" s="365">
        <f t="shared" si="101"/>
        <v>0.41595042523870518</v>
      </c>
      <c r="S244" s="193"/>
      <c r="T244" s="193"/>
      <c r="U244" s="193"/>
      <c r="V244" s="193"/>
      <c r="W244" s="193"/>
      <c r="X244" s="193"/>
      <c r="Y244" s="503"/>
      <c r="Z244" s="193"/>
      <c r="AA244" s="520">
        <f t="shared" si="102"/>
        <v>0.16186753508604998</v>
      </c>
      <c r="AB244" s="496"/>
      <c r="AC244" s="521">
        <f t="shared" si="103"/>
        <v>-4.6263658863676088E-2</v>
      </c>
      <c r="AD244" s="496"/>
      <c r="AE244" s="522">
        <f t="shared" si="104"/>
        <v>0.11560387622237389</v>
      </c>
      <c r="AG244" s="531">
        <f t="shared" si="105"/>
        <v>-5.3289723485119324E-4</v>
      </c>
      <c r="AH244" s="221" t="str">
        <f t="shared" si="106"/>
        <v>NO</v>
      </c>
      <c r="AI244" s="532">
        <f t="shared" si="107"/>
        <v>1.5230834193802825E-4</v>
      </c>
      <c r="AJ244" s="221" t="str">
        <f t="shared" si="86"/>
        <v>NO</v>
      </c>
      <c r="AK244" s="533">
        <f>IF('IN-OUT'!$F$35=0,AG244,IF('IN-OUT'!$F$26=0,'transversal subsidence profile'!AI244,'transversal subsidence profile'!AG244+'transversal subsidence profile'!AI244))</f>
        <v>-3.8058889291316502E-4</v>
      </c>
      <c r="AL244" s="513">
        <f t="shared" si="87"/>
        <v>1000</v>
      </c>
    </row>
    <row r="245" spans="1:38">
      <c r="A245" s="542">
        <f t="shared" si="108"/>
        <v>8.75</v>
      </c>
      <c r="B245" s="363">
        <f t="shared" si="88"/>
        <v>1.129998477253083E-2</v>
      </c>
      <c r="C245" s="543">
        <f t="shared" si="89"/>
        <v>6.5916577839763169E-3</v>
      </c>
      <c r="D245" s="542">
        <f t="shared" si="109"/>
        <v>8.75</v>
      </c>
      <c r="E245" s="363">
        <f t="shared" si="90"/>
        <v>1.129998477253083E-2</v>
      </c>
      <c r="F245" s="543">
        <f t="shared" si="91"/>
        <v>6.5916577839763169E-3</v>
      </c>
      <c r="G245" s="548">
        <f t="shared" si="92"/>
        <v>-1.25</v>
      </c>
      <c r="H245" s="363">
        <f t="shared" si="93"/>
        <v>2.5734863927544153E-2</v>
      </c>
      <c r="I245" s="363">
        <f t="shared" si="94"/>
        <v>-2.144571993962013E-3</v>
      </c>
      <c r="J245" s="364">
        <f t="shared" si="95"/>
        <v>3.7034848700074979E-2</v>
      </c>
      <c r="K245" s="194">
        <f t="shared" si="96"/>
        <v>2.5734863927544152</v>
      </c>
      <c r="L245" s="646">
        <f t="shared" si="97"/>
        <v>1.1299984772530829</v>
      </c>
      <c r="M245" s="365">
        <f t="shared" si="98"/>
        <v>3.703484870007498</v>
      </c>
      <c r="N245" s="194">
        <f t="shared" si="99"/>
        <v>-0.21445719939620131</v>
      </c>
      <c r="O245" s="422">
        <f t="shared" si="100"/>
        <v>0.65916577839763169</v>
      </c>
      <c r="P245" s="365">
        <f t="shared" si="101"/>
        <v>0.44470857900143035</v>
      </c>
      <c r="S245" s="193"/>
      <c r="T245" s="193"/>
      <c r="U245" s="193"/>
      <c r="V245" s="193"/>
      <c r="W245" s="193"/>
      <c r="X245" s="193"/>
      <c r="Y245" s="503"/>
      <c r="Z245" s="193"/>
      <c r="AA245" s="520">
        <f t="shared" si="102"/>
        <v>0.16568216008222297</v>
      </c>
      <c r="AB245" s="496"/>
      <c r="AC245" s="521">
        <f t="shared" si="103"/>
        <v>-5.125553221010784E-2</v>
      </c>
      <c r="AD245" s="496"/>
      <c r="AE245" s="522">
        <f t="shared" si="104"/>
        <v>0.11442662787211513</v>
      </c>
      <c r="AG245" s="531">
        <f t="shared" si="105"/>
        <v>-5.4545567105258592E-4</v>
      </c>
      <c r="AH245" s="221" t="str">
        <f t="shared" si="106"/>
        <v>NO</v>
      </c>
      <c r="AI245" s="532">
        <f t="shared" si="107"/>
        <v>1.6874249287278297E-4</v>
      </c>
      <c r="AJ245" s="221" t="str">
        <f t="shared" si="86"/>
        <v>NO</v>
      </c>
      <c r="AK245" s="533">
        <f>IF('IN-OUT'!$F$35=0,AG245,IF('IN-OUT'!$F$26=0,'transversal subsidence profile'!AI245,'transversal subsidence profile'!AG245+'transversal subsidence profile'!AI245))</f>
        <v>-3.7671317817980293E-4</v>
      </c>
      <c r="AL245" s="513">
        <f t="shared" si="87"/>
        <v>1000</v>
      </c>
    </row>
    <row r="246" spans="1:38">
      <c r="A246" s="542">
        <f t="shared" si="108"/>
        <v>9</v>
      </c>
      <c r="B246" s="363">
        <f t="shared" si="88"/>
        <v>1.0762894597148773E-2</v>
      </c>
      <c r="C246" s="543">
        <f t="shared" si="89"/>
        <v>6.4577367582892651E-3</v>
      </c>
      <c r="D246" s="542">
        <f t="shared" si="109"/>
        <v>9</v>
      </c>
      <c r="E246" s="363">
        <f t="shared" si="90"/>
        <v>1.0762894597148773E-2</v>
      </c>
      <c r="F246" s="543">
        <f t="shared" si="91"/>
        <v>6.4577367582892651E-3</v>
      </c>
      <c r="G246" s="548">
        <f t="shared" si="92"/>
        <v>-1</v>
      </c>
      <c r="H246" s="363">
        <f t="shared" si="93"/>
        <v>2.5894212422641401E-2</v>
      </c>
      <c r="I246" s="363">
        <f t="shared" si="94"/>
        <v>-1.7262808281760934E-3</v>
      </c>
      <c r="J246" s="364">
        <f t="shared" si="95"/>
        <v>3.6657107019790178E-2</v>
      </c>
      <c r="K246" s="194">
        <f t="shared" si="96"/>
        <v>2.5894212422641401</v>
      </c>
      <c r="L246" s="646">
        <f t="shared" si="97"/>
        <v>1.0762894597148773</v>
      </c>
      <c r="M246" s="365">
        <f t="shared" si="98"/>
        <v>3.6657107019790174</v>
      </c>
      <c r="N246" s="194">
        <f t="shared" si="99"/>
        <v>-0.17262808281760933</v>
      </c>
      <c r="O246" s="422">
        <f t="shared" si="100"/>
        <v>0.64577367582892653</v>
      </c>
      <c r="P246" s="365">
        <f t="shared" si="101"/>
        <v>0.4731455930113172</v>
      </c>
      <c r="S246" s="193"/>
      <c r="T246" s="193"/>
      <c r="U246" s="193"/>
      <c r="V246" s="193"/>
      <c r="W246" s="193"/>
      <c r="X246" s="193"/>
      <c r="Y246" s="503"/>
      <c r="Z246" s="193"/>
      <c r="AA246" s="520">
        <f t="shared" si="102"/>
        <v>0.16883926344163988</v>
      </c>
      <c r="AB246" s="496"/>
      <c r="AC246" s="521">
        <f t="shared" si="103"/>
        <v>-5.5807601614845485E-2</v>
      </c>
      <c r="AD246" s="496"/>
      <c r="AE246" s="522">
        <f t="shared" si="104"/>
        <v>0.11303166182679439</v>
      </c>
      <c r="AG246" s="531">
        <f t="shared" si="105"/>
        <v>-5.5584942696836168E-4</v>
      </c>
      <c r="AH246" s="221" t="str">
        <f t="shared" si="106"/>
        <v>NO</v>
      </c>
      <c r="AI246" s="532">
        <f t="shared" si="107"/>
        <v>1.8372872959619913E-4</v>
      </c>
      <c r="AJ246" s="221" t="str">
        <f t="shared" si="86"/>
        <v>NO</v>
      </c>
      <c r="AK246" s="533">
        <f>IF('IN-OUT'!$F$35=0,AG246,IF('IN-OUT'!$F$26=0,'transversal subsidence profile'!AI246,'transversal subsidence profile'!AG246+'transversal subsidence profile'!AI246))</f>
        <v>-3.7212069737216255E-4</v>
      </c>
      <c r="AL246" s="513">
        <f t="shared" si="87"/>
        <v>1000</v>
      </c>
    </row>
    <row r="247" spans="1:38">
      <c r="A247" s="542">
        <f t="shared" si="108"/>
        <v>9.25</v>
      </c>
      <c r="B247" s="363">
        <f t="shared" si="88"/>
        <v>1.0237279864132715E-2</v>
      </c>
      <c r="C247" s="543">
        <f t="shared" si="89"/>
        <v>6.3129892495485075E-3</v>
      </c>
      <c r="D247" s="542">
        <f t="shared" si="109"/>
        <v>9.25</v>
      </c>
      <c r="E247" s="363">
        <f t="shared" si="90"/>
        <v>1.0237279864132715E-2</v>
      </c>
      <c r="F247" s="543">
        <f t="shared" si="91"/>
        <v>6.3129892495485075E-3</v>
      </c>
      <c r="G247" s="548">
        <f t="shared" si="92"/>
        <v>-0.75</v>
      </c>
      <c r="H247" s="363">
        <f t="shared" si="93"/>
        <v>2.6018831974338966E-2</v>
      </c>
      <c r="I247" s="363">
        <f t="shared" si="94"/>
        <v>-1.3009415987169481E-3</v>
      </c>
      <c r="J247" s="364">
        <f t="shared" si="95"/>
        <v>3.6256111838471682E-2</v>
      </c>
      <c r="K247" s="194">
        <f t="shared" si="96"/>
        <v>2.6018831974338967</v>
      </c>
      <c r="L247" s="646">
        <f t="shared" si="97"/>
        <v>1.0237279864132716</v>
      </c>
      <c r="M247" s="365">
        <f t="shared" si="98"/>
        <v>3.6256111838471683</v>
      </c>
      <c r="N247" s="194">
        <f t="shared" si="99"/>
        <v>-0.13009415987169481</v>
      </c>
      <c r="O247" s="422">
        <f t="shared" si="100"/>
        <v>0.63129892495485074</v>
      </c>
      <c r="P247" s="365">
        <f t="shared" si="101"/>
        <v>0.50120476508315592</v>
      </c>
      <c r="S247" s="193"/>
      <c r="T247" s="193"/>
      <c r="U247" s="193"/>
      <c r="V247" s="193"/>
      <c r="W247" s="193"/>
      <c r="X247" s="193"/>
      <c r="Y247" s="503"/>
      <c r="Z247" s="193"/>
      <c r="AA247" s="520">
        <f t="shared" si="102"/>
        <v>0.17131741217671745</v>
      </c>
      <c r="AB247" s="496"/>
      <c r="AC247" s="521">
        <f t="shared" si="103"/>
        <v>-5.9916407069455307E-2</v>
      </c>
      <c r="AD247" s="496"/>
      <c r="AE247" s="522">
        <f t="shared" si="104"/>
        <v>0.11140100510726214</v>
      </c>
      <c r="AG247" s="531">
        <f t="shared" si="105"/>
        <v>-5.640079413225266E-4</v>
      </c>
      <c r="AH247" s="221" t="str">
        <f t="shared" si="106"/>
        <v>NO</v>
      </c>
      <c r="AI247" s="532">
        <f t="shared" si="107"/>
        <v>1.9725566113400924E-4</v>
      </c>
      <c r="AJ247" s="221" t="str">
        <f t="shared" si="86"/>
        <v>NO</v>
      </c>
      <c r="AK247" s="533">
        <f>IF('IN-OUT'!$F$35=0,AG247,IF('IN-OUT'!$F$26=0,'transversal subsidence profile'!AI247,'transversal subsidence profile'!AG247+'transversal subsidence profile'!AI247))</f>
        <v>-3.6675228018851738E-4</v>
      </c>
      <c r="AL247" s="513">
        <f t="shared" si="87"/>
        <v>1000</v>
      </c>
    </row>
    <row r="248" spans="1:38">
      <c r="A248" s="542">
        <f t="shared" si="108"/>
        <v>9.5</v>
      </c>
      <c r="B248" s="363">
        <f t="shared" si="88"/>
        <v>9.7239860011743128E-3</v>
      </c>
      <c r="C248" s="543">
        <f t="shared" si="89"/>
        <v>6.158524467410398E-3</v>
      </c>
      <c r="D248" s="542">
        <f t="shared" si="109"/>
        <v>9.5</v>
      </c>
      <c r="E248" s="363">
        <f t="shared" si="90"/>
        <v>9.7239860011743128E-3</v>
      </c>
      <c r="F248" s="543">
        <f t="shared" si="91"/>
        <v>6.158524467410398E-3</v>
      </c>
      <c r="G248" s="548">
        <f t="shared" si="92"/>
        <v>-0.5</v>
      </c>
      <c r="H248" s="363">
        <f t="shared" si="93"/>
        <v>2.6108212965170567E-2</v>
      </c>
      <c r="I248" s="363">
        <f t="shared" si="94"/>
        <v>-8.702737655056855E-4</v>
      </c>
      <c r="J248" s="364">
        <f t="shared" si="95"/>
        <v>3.5832198966344882E-2</v>
      </c>
      <c r="K248" s="194">
        <f t="shared" si="96"/>
        <v>2.6108212965170567</v>
      </c>
      <c r="L248" s="646">
        <f t="shared" si="97"/>
        <v>0.97239860011743129</v>
      </c>
      <c r="M248" s="365">
        <f t="shared" si="98"/>
        <v>3.5832198966344881</v>
      </c>
      <c r="N248" s="194">
        <f t="shared" si="99"/>
        <v>-8.7027376550568553E-2</v>
      </c>
      <c r="O248" s="422">
        <f t="shared" si="100"/>
        <v>0.61585244674103978</v>
      </c>
      <c r="P248" s="365">
        <f t="shared" si="101"/>
        <v>0.5288250701904712</v>
      </c>
      <c r="S248" s="193"/>
      <c r="T248" s="193"/>
      <c r="U248" s="193"/>
      <c r="V248" s="193"/>
      <c r="W248" s="193"/>
      <c r="X248" s="193"/>
      <c r="Y248" s="503"/>
      <c r="Z248" s="193"/>
      <c r="AA248" s="520">
        <f t="shared" si="102"/>
        <v>0.17309972016231057</v>
      </c>
      <c r="AB248" s="496"/>
      <c r="AC248" s="521">
        <f t="shared" si="103"/>
        <v>-6.3581618571921641E-2</v>
      </c>
      <c r="AD248" s="496"/>
      <c r="AE248" s="522">
        <f t="shared" si="104"/>
        <v>0.10951810159038892</v>
      </c>
      <c r="AG248" s="531">
        <f t="shared" si="105"/>
        <v>-5.6987562193353263E-4</v>
      </c>
      <c r="AH248" s="221" t="str">
        <f t="shared" si="106"/>
        <v>NO</v>
      </c>
      <c r="AI248" s="532">
        <f t="shared" si="107"/>
        <v>2.0932220105982435E-4</v>
      </c>
      <c r="AJ248" s="221" t="str">
        <f t="shared" si="86"/>
        <v>NO</v>
      </c>
      <c r="AK248" s="533">
        <f>IF('IN-OUT'!$F$35=0,AG248,IF('IN-OUT'!$F$26=0,'transversal subsidence profile'!AI248,'transversal subsidence profile'!AG248+'transversal subsidence profile'!AI248))</f>
        <v>-3.6055342087370828E-4</v>
      </c>
      <c r="AL248" s="513">
        <f t="shared" si="87"/>
        <v>1000</v>
      </c>
    </row>
    <row r="249" spans="1:38">
      <c r="A249" s="542">
        <f t="shared" si="108"/>
        <v>9.75</v>
      </c>
      <c r="B249" s="363">
        <f t="shared" si="88"/>
        <v>9.2237672126020583E-3</v>
      </c>
      <c r="C249" s="543">
        <f t="shared" si="89"/>
        <v>5.9954486881913377E-3</v>
      </c>
      <c r="D249" s="542">
        <f t="shared" si="109"/>
        <v>9.75</v>
      </c>
      <c r="E249" s="363">
        <f t="shared" si="90"/>
        <v>9.2237672126020583E-3</v>
      </c>
      <c r="F249" s="543">
        <f t="shared" si="91"/>
        <v>5.9954486881913377E-3</v>
      </c>
      <c r="G249" s="548">
        <f t="shared" si="92"/>
        <v>-0.25</v>
      </c>
      <c r="H249" s="363">
        <f t="shared" si="93"/>
        <v>2.6161988874015749E-2</v>
      </c>
      <c r="I249" s="363">
        <f t="shared" si="94"/>
        <v>-4.3603314790026246E-4</v>
      </c>
      <c r="J249" s="364">
        <f t="shared" si="95"/>
        <v>3.5385756086617808E-2</v>
      </c>
      <c r="K249" s="194">
        <f t="shared" si="96"/>
        <v>2.6161988874015751</v>
      </c>
      <c r="L249" s="646">
        <f t="shared" si="97"/>
        <v>0.92237672126020587</v>
      </c>
      <c r="M249" s="365">
        <f t="shared" si="98"/>
        <v>3.5385756086617812</v>
      </c>
      <c r="N249" s="194">
        <f t="shared" si="99"/>
        <v>-4.3603314790026243E-2</v>
      </c>
      <c r="O249" s="422">
        <f t="shared" si="100"/>
        <v>0.59954486881913382</v>
      </c>
      <c r="P249" s="365">
        <f t="shared" si="101"/>
        <v>0.55594155402910761</v>
      </c>
      <c r="S249" s="193"/>
      <c r="T249" s="193"/>
      <c r="U249" s="193"/>
      <c r="V249" s="193"/>
      <c r="W249" s="193"/>
      <c r="X249" s="193"/>
      <c r="Y249" s="503"/>
      <c r="Z249" s="193"/>
      <c r="AA249" s="520">
        <f t="shared" si="102"/>
        <v>0.17417400914753969</v>
      </c>
      <c r="AB249" s="496"/>
      <c r="AC249" s="521">
        <f t="shared" si="103"/>
        <v>-6.6805885984278265E-2</v>
      </c>
      <c r="AD249" s="496"/>
      <c r="AE249" s="522">
        <f t="shared" si="104"/>
        <v>0.10736812316326143</v>
      </c>
      <c r="AG249" s="531">
        <f t="shared" si="105"/>
        <v>-5.7341237579436929E-4</v>
      </c>
      <c r="AH249" s="221" t="str">
        <f t="shared" si="106"/>
        <v>NO</v>
      </c>
      <c r="AI249" s="532">
        <f t="shared" si="107"/>
        <v>2.1993707319927001E-4</v>
      </c>
      <c r="AJ249" s="221" t="str">
        <f t="shared" si="86"/>
        <v>NO</v>
      </c>
      <c r="AK249" s="533">
        <f>IF('IN-OUT'!$F$35=0,AG249,IF('IN-OUT'!$F$26=0,'transversal subsidence profile'!AI249,'transversal subsidence profile'!AG249+'transversal subsidence profile'!AI249))</f>
        <v>-3.5347530259509927E-4</v>
      </c>
      <c r="AL249" s="513">
        <f t="shared" si="87"/>
        <v>1000</v>
      </c>
    </row>
    <row r="250" spans="1:38">
      <c r="A250" s="542">
        <f t="shared" si="108"/>
        <v>10</v>
      </c>
      <c r="B250" s="363">
        <f t="shared" si="88"/>
        <v>8.7372870216931454E-3</v>
      </c>
      <c r="C250" s="543">
        <f t="shared" si="89"/>
        <v>5.8248580144620969E-3</v>
      </c>
      <c r="D250" s="542">
        <f t="shared" si="109"/>
        <v>10</v>
      </c>
      <c r="E250" s="363">
        <f t="shared" si="90"/>
        <v>8.7372870216931454E-3</v>
      </c>
      <c r="F250" s="543">
        <f t="shared" si="91"/>
        <v>5.8248580144620969E-3</v>
      </c>
      <c r="G250" s="548">
        <f t="shared" si="92"/>
        <v>0</v>
      </c>
      <c r="H250" s="363">
        <f t="shared" si="93"/>
        <v>2.6179938779914941E-2</v>
      </c>
      <c r="I250" s="363">
        <f t="shared" si="94"/>
        <v>0</v>
      </c>
      <c r="J250" s="364">
        <f t="shared" si="95"/>
        <v>3.4917225801608089E-2</v>
      </c>
      <c r="K250" s="194">
        <f t="shared" si="96"/>
        <v>2.617993877991494</v>
      </c>
      <c r="L250" s="646">
        <f t="shared" si="97"/>
        <v>0.87372870216931453</v>
      </c>
      <c r="M250" s="365">
        <f t="shared" si="98"/>
        <v>3.4917225801608085</v>
      </c>
      <c r="N250" s="194">
        <f t="shared" si="99"/>
        <v>0</v>
      </c>
      <c r="O250" s="422">
        <f t="shared" si="100"/>
        <v>0.58248580144620965</v>
      </c>
      <c r="P250" s="365">
        <f t="shared" si="101"/>
        <v>0.58248580144620965</v>
      </c>
      <c r="S250" s="193"/>
      <c r="T250" s="193"/>
      <c r="U250" s="193"/>
      <c r="V250" s="193"/>
      <c r="W250" s="193"/>
      <c r="X250" s="193"/>
      <c r="Y250" s="503"/>
      <c r="Z250" s="193"/>
      <c r="AA250" s="520">
        <f t="shared" si="102"/>
        <v>0.17453292519943295</v>
      </c>
      <c r="AB250" s="496"/>
      <c r="AC250" s="521">
        <f t="shared" si="103"/>
        <v>-6.9594668458113657E-2</v>
      </c>
      <c r="AD250" s="496"/>
      <c r="AE250" s="522">
        <f t="shared" si="104"/>
        <v>0.10493825674131929</v>
      </c>
      <c r="AG250" s="531">
        <f t="shared" si="105"/>
        <v>-5.7459399242611663E-4</v>
      </c>
      <c r="AH250" s="221" t="str">
        <f t="shared" si="106"/>
        <v>NO</v>
      </c>
      <c r="AI250" s="532">
        <f t="shared" si="107"/>
        <v>2.291182500678639E-4</v>
      </c>
      <c r="AJ250" s="221" t="str">
        <f t="shared" si="86"/>
        <v>NO</v>
      </c>
      <c r="AK250" s="533">
        <f>IF('IN-OUT'!$F$35=0,AG250,IF('IN-OUT'!$F$26=0,'transversal subsidence profile'!AI250,'transversal subsidence profile'!AG250+'transversal subsidence profile'!AI250))</f>
        <v>-3.4547574235825271E-4</v>
      </c>
      <c r="AL250" s="513">
        <f t="shared" si="87"/>
        <v>1000</v>
      </c>
    </row>
    <row r="251" spans="1:38">
      <c r="A251" s="542">
        <f t="shared" si="108"/>
        <v>10.25</v>
      </c>
      <c r="B251" s="363">
        <f t="shared" si="88"/>
        <v>8.265119390726822E-3</v>
      </c>
      <c r="C251" s="543">
        <f t="shared" si="89"/>
        <v>5.6478315836633276E-3</v>
      </c>
      <c r="D251" s="542">
        <f t="shared" si="109"/>
        <v>10.25</v>
      </c>
      <c r="E251" s="363">
        <f t="shared" si="90"/>
        <v>8.265119390726822E-3</v>
      </c>
      <c r="F251" s="543">
        <f t="shared" si="91"/>
        <v>5.6478315836633276E-3</v>
      </c>
      <c r="G251" s="548">
        <f t="shared" si="92"/>
        <v>0.25</v>
      </c>
      <c r="H251" s="363">
        <f t="shared" si="93"/>
        <v>2.6161988874015749E-2</v>
      </c>
      <c r="I251" s="363">
        <f t="shared" si="94"/>
        <v>4.3603314790026246E-4</v>
      </c>
      <c r="J251" s="364">
        <f t="shared" si="95"/>
        <v>3.4427108264742573E-2</v>
      </c>
      <c r="K251" s="194">
        <f t="shared" si="96"/>
        <v>2.6161988874015751</v>
      </c>
      <c r="L251" s="646">
        <f t="shared" si="97"/>
        <v>0.82651193907268217</v>
      </c>
      <c r="M251" s="365">
        <f t="shared" si="98"/>
        <v>3.4427108264742574</v>
      </c>
      <c r="N251" s="194">
        <f t="shared" si="99"/>
        <v>4.3603314790026243E-2</v>
      </c>
      <c r="O251" s="422">
        <f t="shared" si="100"/>
        <v>0.56478315836633275</v>
      </c>
      <c r="P251" s="365">
        <f t="shared" si="101"/>
        <v>0.60838647315635896</v>
      </c>
      <c r="S251" s="193"/>
      <c r="T251" s="193"/>
      <c r="U251" s="193"/>
      <c r="V251" s="193"/>
      <c r="W251" s="193"/>
      <c r="X251" s="193"/>
      <c r="Y251" s="503"/>
      <c r="Z251" s="193"/>
      <c r="AA251" s="520">
        <f t="shared" si="102"/>
        <v>0.17417400914753969</v>
      </c>
      <c r="AB251" s="496"/>
      <c r="AC251" s="521">
        <f t="shared" si="103"/>
        <v>-7.1956046273177268E-2</v>
      </c>
      <c r="AD251" s="496"/>
      <c r="AE251" s="522">
        <f t="shared" si="104"/>
        <v>0.10221796287436243</v>
      </c>
      <c r="AG251" s="531">
        <f t="shared" si="105"/>
        <v>-5.7341237579436929E-4</v>
      </c>
      <c r="AH251" s="221" t="str">
        <f t="shared" si="106"/>
        <v>NO</v>
      </c>
      <c r="AI251" s="532">
        <f t="shared" si="107"/>
        <v>2.3689233340963708E-4</v>
      </c>
      <c r="AJ251" s="221" t="str">
        <f t="shared" si="86"/>
        <v>NO</v>
      </c>
      <c r="AK251" s="533">
        <f>IF('IN-OUT'!$F$35=0,AG251,IF('IN-OUT'!$F$26=0,'transversal subsidence profile'!AI251,'transversal subsidence profile'!AG251+'transversal subsidence profile'!AI251))</f>
        <v>-3.3652004238473221E-4</v>
      </c>
      <c r="AL251" s="513">
        <f t="shared" si="87"/>
        <v>1000</v>
      </c>
    </row>
    <row r="252" spans="1:38">
      <c r="A252" s="542">
        <f t="shared" si="108"/>
        <v>10.5</v>
      </c>
      <c r="B252" s="363">
        <f t="shared" si="88"/>
        <v>7.8077503801128809E-3</v>
      </c>
      <c r="C252" s="543">
        <f t="shared" si="89"/>
        <v>5.4654252660790168E-3</v>
      </c>
      <c r="D252" s="542">
        <f t="shared" si="109"/>
        <v>10.5</v>
      </c>
      <c r="E252" s="363">
        <f t="shared" si="90"/>
        <v>7.8077503801128809E-3</v>
      </c>
      <c r="F252" s="543">
        <f t="shared" si="91"/>
        <v>5.4654252660790168E-3</v>
      </c>
      <c r="G252" s="548">
        <f t="shared" si="92"/>
        <v>0.5</v>
      </c>
      <c r="H252" s="363">
        <f t="shared" si="93"/>
        <v>2.6108212965170567E-2</v>
      </c>
      <c r="I252" s="363">
        <f t="shared" si="94"/>
        <v>8.702737655056855E-4</v>
      </c>
      <c r="J252" s="364">
        <f t="shared" si="95"/>
        <v>3.3915963345283448E-2</v>
      </c>
      <c r="K252" s="194">
        <f t="shared" si="96"/>
        <v>2.6108212965170567</v>
      </c>
      <c r="L252" s="646">
        <f t="shared" si="97"/>
        <v>0.78077503801128811</v>
      </c>
      <c r="M252" s="365">
        <f t="shared" si="98"/>
        <v>3.3915963345283449</v>
      </c>
      <c r="N252" s="194">
        <f t="shared" si="99"/>
        <v>8.7027376550568553E-2</v>
      </c>
      <c r="O252" s="422">
        <f t="shared" si="100"/>
        <v>0.5465425266079017</v>
      </c>
      <c r="P252" s="365">
        <f t="shared" si="101"/>
        <v>0.63356990315847028</v>
      </c>
      <c r="S252" s="193"/>
      <c r="T252" s="193"/>
      <c r="U252" s="193"/>
      <c r="V252" s="193"/>
      <c r="W252" s="193"/>
      <c r="X252" s="193"/>
      <c r="Y252" s="503"/>
      <c r="Z252" s="193"/>
      <c r="AA252" s="520">
        <f t="shared" si="102"/>
        <v>0.17309972016231057</v>
      </c>
      <c r="AB252" s="496"/>
      <c r="AC252" s="521">
        <f t="shared" si="103"/>
        <v>-7.3900518001068408E-2</v>
      </c>
      <c r="AD252" s="496"/>
      <c r="AE252" s="522">
        <f t="shared" si="104"/>
        <v>9.9199202161242159E-2</v>
      </c>
      <c r="AG252" s="531">
        <f t="shared" si="105"/>
        <v>-5.6987562193353263E-4</v>
      </c>
      <c r="AH252" s="221" t="str">
        <f t="shared" si="106"/>
        <v>NO</v>
      </c>
      <c r="AI252" s="532">
        <f t="shared" si="107"/>
        <v>2.4329388642327051E-4</v>
      </c>
      <c r="AJ252" s="221" t="str">
        <f t="shared" si="86"/>
        <v>NO</v>
      </c>
      <c r="AK252" s="533">
        <f>IF('IN-OUT'!$F$35=0,AG252,IF('IN-OUT'!$F$26=0,'transversal subsidence profile'!AI252,'transversal subsidence profile'!AG252+'transversal subsidence profile'!AI252))</f>
        <v>-3.2658173551026212E-4</v>
      </c>
      <c r="AL252" s="513">
        <f t="shared" si="87"/>
        <v>1000</v>
      </c>
    </row>
    <row r="253" spans="1:38">
      <c r="A253" s="542">
        <f t="shared" si="108"/>
        <v>10.75</v>
      </c>
      <c r="B253" s="363">
        <f t="shared" si="88"/>
        <v>7.365580304909804E-3</v>
      </c>
      <c r="C253" s="543">
        <f t="shared" si="89"/>
        <v>5.2786658851853591E-3</v>
      </c>
      <c r="D253" s="542">
        <f t="shared" si="109"/>
        <v>10.75</v>
      </c>
      <c r="E253" s="363">
        <f t="shared" si="90"/>
        <v>7.365580304909804E-3</v>
      </c>
      <c r="F253" s="543">
        <f t="shared" si="91"/>
        <v>5.2786658851853591E-3</v>
      </c>
      <c r="G253" s="548">
        <f t="shared" si="92"/>
        <v>0.75</v>
      </c>
      <c r="H253" s="363">
        <f t="shared" si="93"/>
        <v>2.6018831974338966E-2</v>
      </c>
      <c r="I253" s="363">
        <f t="shared" si="94"/>
        <v>1.3009415987169481E-3</v>
      </c>
      <c r="J253" s="364">
        <f t="shared" si="95"/>
        <v>3.3384412279248772E-2</v>
      </c>
      <c r="K253" s="194">
        <f t="shared" si="96"/>
        <v>2.6018831974338967</v>
      </c>
      <c r="L253" s="646">
        <f t="shared" si="97"/>
        <v>0.73655803049098045</v>
      </c>
      <c r="M253" s="365">
        <f t="shared" si="98"/>
        <v>3.3384412279248772</v>
      </c>
      <c r="N253" s="194">
        <f t="shared" si="99"/>
        <v>0.13009415987169481</v>
      </c>
      <c r="O253" s="422">
        <f t="shared" si="100"/>
        <v>0.52786658851853596</v>
      </c>
      <c r="P253" s="365">
        <f t="shared" si="101"/>
        <v>0.65796074839023078</v>
      </c>
      <c r="S253" s="193"/>
      <c r="T253" s="193"/>
      <c r="U253" s="193"/>
      <c r="V253" s="193"/>
      <c r="W253" s="193"/>
      <c r="X253" s="193"/>
      <c r="Y253" s="503"/>
      <c r="Z253" s="193"/>
      <c r="AA253" s="520">
        <f t="shared" si="102"/>
        <v>0.17131741217671745</v>
      </c>
      <c r="AB253" s="496"/>
      <c r="AC253" s="521">
        <f t="shared" si="103"/>
        <v>-7.5440785930489071E-2</v>
      </c>
      <c r="AD253" s="496"/>
      <c r="AE253" s="522">
        <f t="shared" si="104"/>
        <v>9.5876626246228377E-2</v>
      </c>
      <c r="AG253" s="531">
        <f t="shared" si="105"/>
        <v>-5.640079413225266E-4</v>
      </c>
      <c r="AH253" s="221" t="str">
        <f t="shared" si="106"/>
        <v>NO</v>
      </c>
      <c r="AI253" s="532">
        <f t="shared" si="107"/>
        <v>2.4836472734317391E-4</v>
      </c>
      <c r="AJ253" s="221" t="str">
        <f t="shared" si="86"/>
        <v>NO</v>
      </c>
      <c r="AK253" s="533">
        <f>IF('IN-OUT'!$F$35=0,AG253,IF('IN-OUT'!$F$26=0,'transversal subsidence profile'!AI253,'transversal subsidence profile'!AG253+'transversal subsidence profile'!AI253))</f>
        <v>-3.1564321397935268E-4</v>
      </c>
      <c r="AL253" s="513">
        <f t="shared" si="87"/>
        <v>1000</v>
      </c>
    </row>
    <row r="254" spans="1:38">
      <c r="A254" s="542">
        <f t="shared" si="108"/>
        <v>11</v>
      </c>
      <c r="B254" s="363">
        <f t="shared" si="88"/>
        <v>6.9389263446314898E-3</v>
      </c>
      <c r="C254" s="543">
        <f t="shared" si="89"/>
        <v>5.0885459860630913E-3</v>
      </c>
      <c r="D254" s="542">
        <f t="shared" si="109"/>
        <v>11</v>
      </c>
      <c r="E254" s="363">
        <f t="shared" si="90"/>
        <v>6.9389263446314898E-3</v>
      </c>
      <c r="F254" s="543">
        <f t="shared" si="91"/>
        <v>5.0885459860630913E-3</v>
      </c>
      <c r="G254" s="548">
        <f t="shared" si="92"/>
        <v>1</v>
      </c>
      <c r="H254" s="363">
        <f t="shared" si="93"/>
        <v>2.5894212422641401E-2</v>
      </c>
      <c r="I254" s="363">
        <f t="shared" si="94"/>
        <v>1.7262808281760934E-3</v>
      </c>
      <c r="J254" s="364">
        <f t="shared" si="95"/>
        <v>3.2833138767272889E-2</v>
      </c>
      <c r="K254" s="194">
        <f t="shared" si="96"/>
        <v>2.5894212422641401</v>
      </c>
      <c r="L254" s="646">
        <f t="shared" si="97"/>
        <v>0.69389263446314897</v>
      </c>
      <c r="M254" s="365">
        <f t="shared" si="98"/>
        <v>3.2833138767272891</v>
      </c>
      <c r="N254" s="194">
        <f t="shared" si="99"/>
        <v>0.17262808281760933</v>
      </c>
      <c r="O254" s="422">
        <f t="shared" si="100"/>
        <v>0.50885459860630911</v>
      </c>
      <c r="P254" s="365">
        <f t="shared" si="101"/>
        <v>0.68148268142391843</v>
      </c>
      <c r="S254" s="193"/>
      <c r="T254" s="193"/>
      <c r="U254" s="193"/>
      <c r="V254" s="193"/>
      <c r="W254" s="193"/>
      <c r="X254" s="193"/>
      <c r="Y254" s="503"/>
      <c r="Z254" s="193"/>
      <c r="AA254" s="520">
        <f t="shared" si="102"/>
        <v>0.16883926344163988</v>
      </c>
      <c r="AB254" s="496"/>
      <c r="AC254" s="521">
        <f t="shared" si="103"/>
        <v>-7.6591532674624679E-2</v>
      </c>
      <c r="AD254" s="496"/>
      <c r="AE254" s="522">
        <f t="shared" si="104"/>
        <v>9.2247730767015201E-2</v>
      </c>
      <c r="AG254" s="531">
        <f t="shared" si="105"/>
        <v>-5.5584942696836168E-4</v>
      </c>
      <c r="AH254" s="221" t="str">
        <f t="shared" si="106"/>
        <v>NO</v>
      </c>
      <c r="AI254" s="532">
        <f t="shared" si="107"/>
        <v>2.5215319399053389E-4</v>
      </c>
      <c r="AJ254" s="221" t="str">
        <f t="shared" si="86"/>
        <v>NO</v>
      </c>
      <c r="AK254" s="533">
        <f>IF('IN-OUT'!$F$35=0,AG254,IF('IN-OUT'!$F$26=0,'transversal subsidence profile'!AI254,'transversal subsidence profile'!AG254+'transversal subsidence profile'!AI254))</f>
        <v>-3.0369623297782779E-4</v>
      </c>
      <c r="AL254" s="513">
        <f t="shared" si="87"/>
        <v>1000</v>
      </c>
    </row>
    <row r="255" spans="1:38">
      <c r="A255" s="542">
        <f t="shared" si="108"/>
        <v>11.25</v>
      </c>
      <c r="B255" s="363">
        <f t="shared" si="88"/>
        <v>6.5280255604261844E-3</v>
      </c>
      <c r="C255" s="543">
        <f t="shared" si="89"/>
        <v>4.8960191703196383E-3</v>
      </c>
      <c r="D255" s="542">
        <f t="shared" si="109"/>
        <v>11.25</v>
      </c>
      <c r="E255" s="363">
        <f t="shared" si="90"/>
        <v>6.5280255604261844E-3</v>
      </c>
      <c r="F255" s="543">
        <f t="shared" si="91"/>
        <v>4.8960191703196383E-3</v>
      </c>
      <c r="G255" s="548">
        <f t="shared" si="92"/>
        <v>1.25</v>
      </c>
      <c r="H255" s="363">
        <f t="shared" si="93"/>
        <v>2.5734863927544153E-2</v>
      </c>
      <c r="I255" s="363">
        <f t="shared" si="94"/>
        <v>2.144571993962013E-3</v>
      </c>
      <c r="J255" s="364">
        <f t="shared" si="95"/>
        <v>3.2262889487970334E-2</v>
      </c>
      <c r="K255" s="194">
        <f t="shared" si="96"/>
        <v>2.5734863927544152</v>
      </c>
      <c r="L255" s="646">
        <f t="shared" si="97"/>
        <v>0.6528025560426185</v>
      </c>
      <c r="M255" s="365">
        <f t="shared" si="98"/>
        <v>3.2262889487970337</v>
      </c>
      <c r="N255" s="194">
        <f t="shared" si="99"/>
        <v>0.21445719939620131</v>
      </c>
      <c r="O255" s="422">
        <f t="shared" si="100"/>
        <v>0.48960191703196382</v>
      </c>
      <c r="P255" s="365">
        <f t="shared" si="101"/>
        <v>0.7040591164281651</v>
      </c>
      <c r="S255" s="193"/>
      <c r="T255" s="193"/>
      <c r="U255" s="193"/>
      <c r="V255" s="193"/>
      <c r="W255" s="193"/>
      <c r="X255" s="193"/>
      <c r="Y255" s="503"/>
      <c r="Z255" s="193"/>
      <c r="AA255" s="520">
        <f t="shared" si="102"/>
        <v>0.16568216008222297</v>
      </c>
      <c r="AB255" s="496"/>
      <c r="AC255" s="521">
        <f t="shared" si="103"/>
        <v>-7.7369191827273281E-2</v>
      </c>
      <c r="AD255" s="496"/>
      <c r="AE255" s="522">
        <f t="shared" si="104"/>
        <v>8.8312968254949692E-2</v>
      </c>
      <c r="AG255" s="531">
        <f t="shared" si="105"/>
        <v>-5.4545567105258592E-4</v>
      </c>
      <c r="AH255" s="221" t="str">
        <f t="shared" si="106"/>
        <v>NO</v>
      </c>
      <c r="AI255" s="532">
        <f t="shared" si="107"/>
        <v>2.547133887317639E-4</v>
      </c>
      <c r="AJ255" s="221" t="str">
        <f t="shared" si="86"/>
        <v>NO</v>
      </c>
      <c r="AK255" s="533">
        <f>IF('IN-OUT'!$F$35=0,AG255,IF('IN-OUT'!$F$26=0,'transversal subsidence profile'!AI255,'transversal subsidence profile'!AG255+'transversal subsidence profile'!AI255))</f>
        <v>-2.9074228232082202E-4</v>
      </c>
      <c r="AL255" s="513">
        <f t="shared" si="87"/>
        <v>1000</v>
      </c>
    </row>
    <row r="256" spans="1:38">
      <c r="A256" s="542">
        <f t="shared" si="108"/>
        <v>11.5</v>
      </c>
      <c r="B256" s="363">
        <f t="shared" si="88"/>
        <v>6.1330382724851711E-3</v>
      </c>
      <c r="C256" s="543">
        <f t="shared" si="89"/>
        <v>4.7019960089052975E-3</v>
      </c>
      <c r="D256" s="542">
        <f t="shared" si="109"/>
        <v>11.5</v>
      </c>
      <c r="E256" s="363">
        <f t="shared" si="90"/>
        <v>6.1330382724851711E-3</v>
      </c>
      <c r="F256" s="543">
        <f t="shared" si="91"/>
        <v>4.7019960089052975E-3</v>
      </c>
      <c r="G256" s="548">
        <f t="shared" si="92"/>
        <v>1.5</v>
      </c>
      <c r="H256" s="363">
        <f t="shared" si="93"/>
        <v>2.5541435731110482E-2</v>
      </c>
      <c r="I256" s="363">
        <f t="shared" si="94"/>
        <v>2.5541435731110482E-3</v>
      </c>
      <c r="J256" s="364">
        <f t="shared" si="95"/>
        <v>3.1674474003595653E-2</v>
      </c>
      <c r="K256" s="194">
        <f t="shared" si="96"/>
        <v>2.5541435731110482</v>
      </c>
      <c r="L256" s="646">
        <f t="shared" si="97"/>
        <v>0.61330382724851706</v>
      </c>
      <c r="M256" s="365">
        <f t="shared" si="98"/>
        <v>3.1674474003595652</v>
      </c>
      <c r="N256" s="194">
        <f t="shared" si="99"/>
        <v>0.25541435731110484</v>
      </c>
      <c r="O256" s="422">
        <f t="shared" si="100"/>
        <v>0.47019960089052976</v>
      </c>
      <c r="P256" s="365">
        <f t="shared" si="101"/>
        <v>0.72561395820163455</v>
      </c>
      <c r="S256" s="193"/>
      <c r="T256" s="193"/>
      <c r="U256" s="193"/>
      <c r="V256" s="193"/>
      <c r="W256" s="193"/>
      <c r="X256" s="193"/>
      <c r="Y256" s="503"/>
      <c r="Z256" s="193"/>
      <c r="AA256" s="520">
        <f t="shared" si="102"/>
        <v>0.16186753508604998</v>
      </c>
      <c r="AB256" s="496"/>
      <c r="AC256" s="521">
        <f t="shared" si="103"/>
        <v>-7.779171544523944E-2</v>
      </c>
      <c r="AD256" s="496"/>
      <c r="AE256" s="522">
        <f t="shared" si="104"/>
        <v>8.407581964081054E-2</v>
      </c>
      <c r="AG256" s="531">
        <f t="shared" si="105"/>
        <v>-5.3289723485119324E-4</v>
      </c>
      <c r="AH256" s="221" t="str">
        <f t="shared" si="106"/>
        <v>NO</v>
      </c>
      <c r="AI256" s="532">
        <f t="shared" si="107"/>
        <v>2.5610441298844254E-4</v>
      </c>
      <c r="AJ256" s="221" t="str">
        <f t="shared" si="86"/>
        <v>NO</v>
      </c>
      <c r="AK256" s="533">
        <f>IF('IN-OUT'!$F$35=0,AG256,IF('IN-OUT'!$F$26=0,'transversal subsidence profile'!AI256,'transversal subsidence profile'!AG256+'transversal subsidence profile'!AI256))</f>
        <v>-2.767928218627507E-4</v>
      </c>
      <c r="AL256" s="513">
        <f t="shared" si="87"/>
        <v>1000</v>
      </c>
    </row>
    <row r="257" spans="1:38">
      <c r="A257" s="542">
        <f t="shared" si="108"/>
        <v>11.75</v>
      </c>
      <c r="B257" s="363">
        <f t="shared" si="88"/>
        <v>5.7540517498836782E-3</v>
      </c>
      <c r="C257" s="543">
        <f t="shared" si="89"/>
        <v>4.5073405374088807E-3</v>
      </c>
      <c r="D257" s="542">
        <f t="shared" si="109"/>
        <v>11.75</v>
      </c>
      <c r="E257" s="363">
        <f t="shared" si="90"/>
        <v>5.7540517498836782E-3</v>
      </c>
      <c r="F257" s="543">
        <f t="shared" si="91"/>
        <v>4.5073405374088807E-3</v>
      </c>
      <c r="G257" s="548">
        <f t="shared" si="92"/>
        <v>1.75</v>
      </c>
      <c r="H257" s="363">
        <f t="shared" si="93"/>
        <v>2.5314712293414244E-2</v>
      </c>
      <c r="I257" s="363">
        <f t="shared" si="94"/>
        <v>2.9533831008983283E-3</v>
      </c>
      <c r="J257" s="364">
        <f t="shared" si="95"/>
        <v>3.1068764043297923E-2</v>
      </c>
      <c r="K257" s="194">
        <f t="shared" si="96"/>
        <v>2.5314712293414243</v>
      </c>
      <c r="L257" s="646">
        <f t="shared" si="97"/>
        <v>0.57540517498836785</v>
      </c>
      <c r="M257" s="365">
        <f t="shared" si="98"/>
        <v>3.1068764043297921</v>
      </c>
      <c r="N257" s="194">
        <f t="shared" si="99"/>
        <v>0.2953383100898328</v>
      </c>
      <c r="O257" s="422">
        <f t="shared" si="100"/>
        <v>0.4507340537408881</v>
      </c>
      <c r="P257" s="365">
        <f t="shared" si="101"/>
        <v>0.74607236383072095</v>
      </c>
      <c r="S257" s="193"/>
      <c r="T257" s="193"/>
      <c r="U257" s="193"/>
      <c r="V257" s="193"/>
      <c r="W257" s="193"/>
      <c r="X257" s="193"/>
      <c r="Y257" s="503"/>
      <c r="Z257" s="193"/>
      <c r="AA257" s="520">
        <f t="shared" si="102"/>
        <v>0.15742116469612882</v>
      </c>
      <c r="AB257" s="496"/>
      <c r="AC257" s="521">
        <f t="shared" si="103"/>
        <v>-7.787834101351479E-2</v>
      </c>
      <c r="AD257" s="496"/>
      <c r="AE257" s="522">
        <f t="shared" si="104"/>
        <v>7.9542823682614033E-2</v>
      </c>
      <c r="AG257" s="531">
        <f t="shared" si="105"/>
        <v>-5.1825897842346926E-4</v>
      </c>
      <c r="AH257" s="221" t="str">
        <f t="shared" si="106"/>
        <v>NO</v>
      </c>
      <c r="AI257" s="532">
        <f t="shared" si="107"/>
        <v>2.5638960004449314E-4</v>
      </c>
      <c r="AJ257" s="221" t="str">
        <f t="shared" si="86"/>
        <v>NO</v>
      </c>
      <c r="AK257" s="533">
        <f>IF('IN-OUT'!$F$35=0,AG257,IF('IN-OUT'!$F$26=0,'transversal subsidence profile'!AI257,'transversal subsidence profile'!AG257+'transversal subsidence profile'!AI257))</f>
        <v>-2.6186937837897612E-4</v>
      </c>
      <c r="AL257" s="513">
        <f t="shared" si="87"/>
        <v>1000</v>
      </c>
    </row>
    <row r="258" spans="1:38">
      <c r="A258" s="542">
        <f t="shared" si="108"/>
        <v>12</v>
      </c>
      <c r="B258" s="363">
        <f t="shared" si="88"/>
        <v>5.3910841649474402E-3</v>
      </c>
      <c r="C258" s="543">
        <f t="shared" si="89"/>
        <v>4.3128673319579522E-3</v>
      </c>
      <c r="D258" s="542">
        <f t="shared" si="109"/>
        <v>12</v>
      </c>
      <c r="E258" s="363">
        <f t="shared" si="90"/>
        <v>5.3910841649474402E-3</v>
      </c>
      <c r="F258" s="543">
        <f t="shared" si="91"/>
        <v>4.3128673319579522E-3</v>
      </c>
      <c r="G258" s="548">
        <f t="shared" si="92"/>
        <v>2</v>
      </c>
      <c r="H258" s="363">
        <f t="shared" si="93"/>
        <v>2.5055607992967667E-2</v>
      </c>
      <c r="I258" s="363">
        <f t="shared" si="94"/>
        <v>3.3407477323956886E-3</v>
      </c>
      <c r="J258" s="364">
        <f t="shared" si="95"/>
        <v>3.0446692157915109E-2</v>
      </c>
      <c r="K258" s="194">
        <f t="shared" si="96"/>
        <v>2.5055607992967666</v>
      </c>
      <c r="L258" s="646">
        <f t="shared" si="97"/>
        <v>0.53910841649474406</v>
      </c>
      <c r="M258" s="365">
        <f t="shared" si="98"/>
        <v>3.0446692157915107</v>
      </c>
      <c r="N258" s="194">
        <f t="shared" si="99"/>
        <v>0.33407477323956886</v>
      </c>
      <c r="O258" s="422">
        <f t="shared" si="100"/>
        <v>0.43128673319579525</v>
      </c>
      <c r="P258" s="365">
        <f t="shared" si="101"/>
        <v>0.76536150643536405</v>
      </c>
      <c r="S258" s="193"/>
      <c r="T258" s="193"/>
      <c r="U258" s="193"/>
      <c r="V258" s="193"/>
      <c r="W258" s="193"/>
      <c r="X258" s="193"/>
      <c r="Y258" s="503"/>
      <c r="Z258" s="193"/>
      <c r="AA258" s="520">
        <f t="shared" si="102"/>
        <v>0.15237292469431638</v>
      </c>
      <c r="AB258" s="496"/>
      <c r="AC258" s="521">
        <f t="shared" si="103"/>
        <v>-7.7649360400477527E-2</v>
      </c>
      <c r="AD258" s="496"/>
      <c r="AE258" s="522">
        <f t="shared" si="104"/>
        <v>7.4723564293838848E-2</v>
      </c>
      <c r="AG258" s="531">
        <f t="shared" si="105"/>
        <v>-5.0163925825289348E-4</v>
      </c>
      <c r="AH258" s="221" t="str">
        <f t="shared" si="106"/>
        <v>NO</v>
      </c>
      <c r="AI258" s="532">
        <f t="shared" si="107"/>
        <v>2.556357544048643E-4</v>
      </c>
      <c r="AJ258" s="221" t="str">
        <f t="shared" si="86"/>
        <v>NO</v>
      </c>
      <c r="AK258" s="533">
        <f>IF('IN-OUT'!$F$35=0,AG258,IF('IN-OUT'!$F$26=0,'transversal subsidence profile'!AI258,'transversal subsidence profile'!AG258+'transversal subsidence profile'!AI258))</f>
        <v>-2.4600350384802917E-4</v>
      </c>
      <c r="AL258" s="513">
        <f t="shared" si="87"/>
        <v>1000</v>
      </c>
    </row>
    <row r="259" spans="1:38">
      <c r="A259" s="542">
        <f t="shared" si="108"/>
        <v>12.25</v>
      </c>
      <c r="B259" s="363">
        <f t="shared" si="88"/>
        <v>5.0440887646448877E-3</v>
      </c>
      <c r="C259" s="543">
        <f t="shared" si="89"/>
        <v>4.1193391577933249E-3</v>
      </c>
      <c r="D259" s="542">
        <f t="shared" si="109"/>
        <v>12.25</v>
      </c>
      <c r="E259" s="363">
        <f t="shared" si="90"/>
        <v>5.0440887646448877E-3</v>
      </c>
      <c r="F259" s="543">
        <f t="shared" si="91"/>
        <v>4.1193391577933249E-3</v>
      </c>
      <c r="G259" s="548">
        <f t="shared" si="92"/>
        <v>2.25</v>
      </c>
      <c r="H259" s="363">
        <f t="shared" si="93"/>
        <v>2.476516098425997E-2</v>
      </c>
      <c r="I259" s="363">
        <f t="shared" si="94"/>
        <v>3.7147741476389962E-3</v>
      </c>
      <c r="J259" s="364">
        <f t="shared" si="95"/>
        <v>2.9809249748904858E-2</v>
      </c>
      <c r="K259" s="194">
        <f t="shared" si="96"/>
        <v>2.4765160984259968</v>
      </c>
      <c r="L259" s="646">
        <f t="shared" si="97"/>
        <v>0.50440887646448873</v>
      </c>
      <c r="M259" s="365">
        <f t="shared" si="98"/>
        <v>2.9809249748904856</v>
      </c>
      <c r="N259" s="194">
        <f t="shared" si="99"/>
        <v>0.37147741476389962</v>
      </c>
      <c r="O259" s="422">
        <f t="shared" si="100"/>
        <v>0.41193391577933247</v>
      </c>
      <c r="P259" s="365">
        <f t="shared" si="101"/>
        <v>0.78341133054323209</v>
      </c>
      <c r="S259" s="193"/>
      <c r="T259" s="193"/>
      <c r="U259" s="193"/>
      <c r="V259" s="193"/>
      <c r="W259" s="193"/>
      <c r="X259" s="193"/>
      <c r="Y259" s="503"/>
      <c r="Z259" s="193"/>
      <c r="AA259" s="520">
        <f t="shared" si="102"/>
        <v>0.14675650953635536</v>
      </c>
      <c r="AB259" s="496"/>
      <c r="AC259" s="521">
        <f t="shared" si="103"/>
        <v>-7.7125893136591239E-2</v>
      </c>
      <c r="AD259" s="496"/>
      <c r="AE259" s="522">
        <f t="shared" si="104"/>
        <v>6.9630616399764117E-2</v>
      </c>
      <c r="AG259" s="531">
        <f t="shared" si="105"/>
        <v>-4.8314900258882422E-4</v>
      </c>
      <c r="AH259" s="221" t="str">
        <f t="shared" si="106"/>
        <v>NO</v>
      </c>
      <c r="AI259" s="532">
        <f t="shared" si="107"/>
        <v>2.5391240538795467E-4</v>
      </c>
      <c r="AJ259" s="221" t="str">
        <f t="shared" si="86"/>
        <v>NO</v>
      </c>
      <c r="AK259" s="533">
        <f>IF('IN-OUT'!$F$35=0,AG259,IF('IN-OUT'!$F$26=0,'transversal subsidence profile'!AI259,'transversal subsidence profile'!AG259+'transversal subsidence profile'!AI259))</f>
        <v>-2.2923659720086955E-4</v>
      </c>
      <c r="AL259" s="513">
        <f t="shared" si="87"/>
        <v>1000</v>
      </c>
    </row>
    <row r="260" spans="1:38">
      <c r="A260" s="542">
        <f t="shared" si="108"/>
        <v>12.5</v>
      </c>
      <c r="B260" s="363">
        <f t="shared" si="88"/>
        <v>4.7129582123911669E-3</v>
      </c>
      <c r="C260" s="543">
        <f t="shared" si="89"/>
        <v>3.9274651769926382E-3</v>
      </c>
      <c r="D260" s="542">
        <f t="shared" si="109"/>
        <v>12.5</v>
      </c>
      <c r="E260" s="363">
        <f t="shared" si="90"/>
        <v>4.7129582123911669E-3</v>
      </c>
      <c r="F260" s="543">
        <f t="shared" si="91"/>
        <v>3.9274651769926382E-3</v>
      </c>
      <c r="G260" s="548">
        <f t="shared" si="92"/>
        <v>2.5</v>
      </c>
      <c r="H260" s="363">
        <f t="shared" si="93"/>
        <v>2.4444526270139773E-2</v>
      </c>
      <c r="I260" s="363">
        <f t="shared" si="94"/>
        <v>4.0740877116899627E-3</v>
      </c>
      <c r="J260" s="364">
        <f t="shared" si="95"/>
        <v>2.915748448253094E-2</v>
      </c>
      <c r="K260" s="194">
        <f t="shared" si="96"/>
        <v>2.4444526270139773</v>
      </c>
      <c r="L260" s="646">
        <f t="shared" si="97"/>
        <v>0.47129582123911667</v>
      </c>
      <c r="M260" s="365">
        <f t="shared" si="98"/>
        <v>2.915748448253094</v>
      </c>
      <c r="N260" s="194">
        <f t="shared" si="99"/>
        <v>0.40740877116899626</v>
      </c>
      <c r="O260" s="422">
        <f t="shared" si="100"/>
        <v>0.39274651769926383</v>
      </c>
      <c r="P260" s="365">
        <f t="shared" si="101"/>
        <v>0.80015528886826015</v>
      </c>
      <c r="S260" s="193"/>
      <c r="T260" s="193"/>
      <c r="U260" s="193"/>
      <c r="V260" s="193"/>
      <c r="W260" s="193"/>
      <c r="X260" s="193"/>
      <c r="Y260" s="503"/>
      <c r="Z260" s="193"/>
      <c r="AA260" s="520">
        <f t="shared" si="102"/>
        <v>0.14060911773130239</v>
      </c>
      <c r="AB260" s="496"/>
      <c r="AC260" s="521">
        <f t="shared" si="103"/>
        <v>-7.6329666155873388E-2</v>
      </c>
      <c r="AD260" s="496"/>
      <c r="AE260" s="522">
        <f t="shared" si="104"/>
        <v>6.4279451575428997E-2</v>
      </c>
      <c r="AG260" s="531">
        <f t="shared" si="105"/>
        <v>-4.6291067565860862E-4</v>
      </c>
      <c r="AH260" s="221" t="str">
        <f t="shared" si="106"/>
        <v>NO</v>
      </c>
      <c r="AI260" s="532">
        <f t="shared" si="107"/>
        <v>2.5129108199464491E-4</v>
      </c>
      <c r="AJ260" s="221" t="str">
        <f t="shared" si="86"/>
        <v>NO</v>
      </c>
      <c r="AK260" s="533">
        <f>IF('IN-OUT'!$F$35=0,AG260,IF('IN-OUT'!$F$26=0,'transversal subsidence profile'!AI260,'transversal subsidence profile'!AG260+'transversal subsidence profile'!AI260))</f>
        <v>-2.1161959366396371E-4</v>
      </c>
      <c r="AL260" s="513">
        <f t="shared" si="87"/>
        <v>1000</v>
      </c>
    </row>
    <row r="261" spans="1:38">
      <c r="A261" s="542">
        <f t="shared" si="108"/>
        <v>12.75</v>
      </c>
      <c r="B261" s="363">
        <f t="shared" si="88"/>
        <v>4.3975290549763879E-3</v>
      </c>
      <c r="C261" s="543">
        <f t="shared" si="89"/>
        <v>3.7378996967299301E-3</v>
      </c>
      <c r="D261" s="542">
        <f t="shared" si="109"/>
        <v>12.75</v>
      </c>
      <c r="E261" s="363">
        <f t="shared" si="90"/>
        <v>4.3975290549763879E-3</v>
      </c>
      <c r="F261" s="543">
        <f t="shared" si="91"/>
        <v>3.7378996967299301E-3</v>
      </c>
      <c r="G261" s="548">
        <f t="shared" si="92"/>
        <v>2.75</v>
      </c>
      <c r="H261" s="363">
        <f t="shared" si="93"/>
        <v>2.4094968053713195E-2</v>
      </c>
      <c r="I261" s="363">
        <f t="shared" si="94"/>
        <v>4.4174108098474184E-3</v>
      </c>
      <c r="J261" s="364">
        <f t="shared" si="95"/>
        <v>2.8492497108689584E-2</v>
      </c>
      <c r="K261" s="194">
        <f t="shared" si="96"/>
        <v>2.4094968053713197</v>
      </c>
      <c r="L261" s="646">
        <f t="shared" si="97"/>
        <v>0.43975290549763879</v>
      </c>
      <c r="M261" s="365">
        <f t="shared" si="98"/>
        <v>2.8492497108689587</v>
      </c>
      <c r="N261" s="194">
        <f t="shared" si="99"/>
        <v>0.44174108098474185</v>
      </c>
      <c r="O261" s="422">
        <f t="shared" si="100"/>
        <v>0.37378996967299299</v>
      </c>
      <c r="P261" s="365">
        <f t="shared" si="101"/>
        <v>0.8155310506577349</v>
      </c>
      <c r="S261" s="193"/>
      <c r="T261" s="193"/>
      <c r="U261" s="193"/>
      <c r="V261" s="193"/>
      <c r="W261" s="193"/>
      <c r="X261" s="193"/>
      <c r="Y261" s="503"/>
      <c r="Z261" s="193"/>
      <c r="AA261" s="520">
        <f t="shared" si="102"/>
        <v>0.13397110723966735</v>
      </c>
      <c r="AB261" s="496"/>
      <c r="AC261" s="521">
        <f t="shared" si="103"/>
        <v>-7.5282801928813883E-2</v>
      </c>
      <c r="AD261" s="496"/>
      <c r="AE261" s="522">
        <f t="shared" si="104"/>
        <v>5.8688305310853464E-2</v>
      </c>
      <c r="AG261" s="531">
        <f t="shared" si="105"/>
        <v>-4.4105714317585953E-4</v>
      </c>
      <c r="AH261" s="221" t="str">
        <f t="shared" si="106"/>
        <v>NO</v>
      </c>
      <c r="AI261" s="532">
        <f t="shared" si="107"/>
        <v>2.4784461540350251E-4</v>
      </c>
      <c r="AJ261" s="221" t="str">
        <f t="shared" si="86"/>
        <v>NO</v>
      </c>
      <c r="AK261" s="533">
        <f>IF('IN-OUT'!$F$35=0,AG261,IF('IN-OUT'!$F$26=0,'transversal subsidence profile'!AI261,'transversal subsidence profile'!AG261+'transversal subsidence profile'!AI261))</f>
        <v>-1.9321252777235702E-4</v>
      </c>
      <c r="AL261" s="513">
        <f t="shared" si="87"/>
        <v>1000</v>
      </c>
    </row>
    <row r="262" spans="1:38">
      <c r="A262" s="542">
        <f t="shared" si="108"/>
        <v>13</v>
      </c>
      <c r="B262" s="363">
        <f t="shared" si="88"/>
        <v>4.0975862710533311E-3</v>
      </c>
      <c r="C262" s="543">
        <f t="shared" si="89"/>
        <v>3.5512414349128866E-3</v>
      </c>
      <c r="D262" s="542">
        <f t="shared" si="109"/>
        <v>13</v>
      </c>
      <c r="E262" s="363">
        <f t="shared" si="90"/>
        <v>4.0975862710533311E-3</v>
      </c>
      <c r="F262" s="543">
        <f t="shared" si="91"/>
        <v>3.5512414349128866E-3</v>
      </c>
      <c r="G262" s="548">
        <f t="shared" si="92"/>
        <v>3</v>
      </c>
      <c r="H262" s="363">
        <f t="shared" si="93"/>
        <v>2.3717851440593102E-2</v>
      </c>
      <c r="I262" s="363">
        <f t="shared" si="94"/>
        <v>4.74357028811862E-3</v>
      </c>
      <c r="J262" s="364">
        <f t="shared" si="95"/>
        <v>2.7815437711646435E-2</v>
      </c>
      <c r="K262" s="194">
        <f t="shared" si="96"/>
        <v>2.3717851440593103</v>
      </c>
      <c r="L262" s="646">
        <f t="shared" si="97"/>
        <v>0.40975862710533312</v>
      </c>
      <c r="M262" s="365">
        <f t="shared" si="98"/>
        <v>2.7815437711646434</v>
      </c>
      <c r="N262" s="194">
        <f t="shared" si="99"/>
        <v>0.47435702881186198</v>
      </c>
      <c r="O262" s="422">
        <f t="shared" si="100"/>
        <v>0.35512414349128868</v>
      </c>
      <c r="P262" s="365">
        <f t="shared" si="101"/>
        <v>0.82948117230315066</v>
      </c>
      <c r="S262" s="193"/>
      <c r="T262" s="193"/>
      <c r="U262" s="193"/>
      <c r="V262" s="193"/>
      <c r="W262" s="193"/>
      <c r="X262" s="193"/>
      <c r="Y262" s="503"/>
      <c r="Z262" s="193"/>
      <c r="AA262" s="520">
        <f t="shared" si="102"/>
        <v>0.12688562499082728</v>
      </c>
      <c r="AB262" s="496"/>
      <c r="AC262" s="521">
        <f t="shared" si="103"/>
        <v>-7.4007616692549877E-2</v>
      </c>
      <c r="AD262" s="496"/>
      <c r="AE262" s="522">
        <f t="shared" si="104"/>
        <v>5.2878008298277407E-2</v>
      </c>
      <c r="AG262" s="531">
        <f t="shared" si="105"/>
        <v>-4.1773045264469885E-4</v>
      </c>
      <c r="AH262" s="221" t="str">
        <f t="shared" si="106"/>
        <v>NO</v>
      </c>
      <c r="AI262" s="532">
        <f t="shared" si="107"/>
        <v>2.4364647470798308E-4</v>
      </c>
      <c r="AJ262" s="221" t="str">
        <f t="shared" si="86"/>
        <v>NO</v>
      </c>
      <c r="AK262" s="533">
        <f>IF('IN-OUT'!$F$35=0,AG262,IF('IN-OUT'!$F$26=0,'transversal subsidence profile'!AI262,'transversal subsidence profile'!AG262+'transversal subsidence profile'!AI262))</f>
        <v>-1.7408397793671577E-4</v>
      </c>
      <c r="AL262" s="513">
        <f t="shared" si="87"/>
        <v>1000</v>
      </c>
    </row>
    <row r="263" spans="1:38">
      <c r="A263" s="542">
        <f t="shared" si="108"/>
        <v>13.25</v>
      </c>
      <c r="B263" s="363">
        <f t="shared" si="88"/>
        <v>3.8128678596934308E-3</v>
      </c>
      <c r="C263" s="543">
        <f t="shared" si="89"/>
        <v>3.3680332760625304E-3</v>
      </c>
      <c r="D263" s="542">
        <f t="shared" si="109"/>
        <v>13.25</v>
      </c>
      <c r="E263" s="363">
        <f t="shared" si="90"/>
        <v>3.8128678596934308E-3</v>
      </c>
      <c r="F263" s="543">
        <f t="shared" si="91"/>
        <v>3.3680332760625304E-3</v>
      </c>
      <c r="G263" s="548">
        <f t="shared" si="92"/>
        <v>3.25</v>
      </c>
      <c r="H263" s="363">
        <f t="shared" si="93"/>
        <v>2.3314633567655486E-2</v>
      </c>
      <c r="I263" s="363">
        <f t="shared" si="94"/>
        <v>5.0515039396586883E-3</v>
      </c>
      <c r="J263" s="364">
        <f t="shared" si="95"/>
        <v>2.7127501427348918E-2</v>
      </c>
      <c r="K263" s="194">
        <f t="shared" si="96"/>
        <v>2.3314633567655485</v>
      </c>
      <c r="L263" s="646">
        <f t="shared" si="97"/>
        <v>0.38128678596934307</v>
      </c>
      <c r="M263" s="365">
        <f t="shared" si="98"/>
        <v>2.7127501427348917</v>
      </c>
      <c r="N263" s="194">
        <f t="shared" si="99"/>
        <v>0.5051503939658688</v>
      </c>
      <c r="O263" s="422">
        <f t="shared" si="100"/>
        <v>0.33680332760625303</v>
      </c>
      <c r="P263" s="365">
        <f t="shared" si="101"/>
        <v>0.84195372157212178</v>
      </c>
      <c r="S263" s="193"/>
      <c r="T263" s="193"/>
      <c r="U263" s="193"/>
      <c r="V263" s="193"/>
      <c r="W263" s="193"/>
      <c r="X263" s="193"/>
      <c r="Y263" s="503"/>
      <c r="Z263" s="193"/>
      <c r="AA263" s="520">
        <f t="shared" si="102"/>
        <v>0.11939821488694168</v>
      </c>
      <c r="AB263" s="496"/>
      <c r="AC263" s="521">
        <f t="shared" si="103"/>
        <v>-7.252643025297062E-2</v>
      </c>
      <c r="AD263" s="496"/>
      <c r="AE263" s="522">
        <f t="shared" si="104"/>
        <v>4.6871784633971056E-2</v>
      </c>
      <c r="AG263" s="531">
        <f t="shared" si="105"/>
        <v>-3.9308054283766802E-4</v>
      </c>
      <c r="AH263" s="221" t="str">
        <f t="shared" si="106"/>
        <v>NO</v>
      </c>
      <c r="AI263" s="532">
        <f t="shared" si="107"/>
        <v>2.3877014075052052E-4</v>
      </c>
      <c r="AJ263" s="221" t="str">
        <f t="shared" si="86"/>
        <v>NO</v>
      </c>
      <c r="AK263" s="533">
        <f>IF('IN-OUT'!$F$35=0,AG263,IF('IN-OUT'!$F$26=0,'transversal subsidence profile'!AI263,'transversal subsidence profile'!AG263+'transversal subsidence profile'!AI263))</f>
        <v>-1.5431040208714749E-4</v>
      </c>
      <c r="AL263" s="513">
        <f t="shared" si="87"/>
        <v>1000</v>
      </c>
    </row>
    <row r="264" spans="1:38">
      <c r="A264" s="542">
        <f t="shared" si="108"/>
        <v>13.5</v>
      </c>
      <c r="B264" s="363">
        <f t="shared" si="88"/>
        <v>3.5430694298969694E-3</v>
      </c>
      <c r="C264" s="543">
        <f t="shared" si="89"/>
        <v>3.1887624869072722E-3</v>
      </c>
      <c r="D264" s="542">
        <f t="shared" si="109"/>
        <v>13.5</v>
      </c>
      <c r="E264" s="363">
        <f t="shared" si="90"/>
        <v>3.5430694298969694E-3</v>
      </c>
      <c r="F264" s="543">
        <f t="shared" si="91"/>
        <v>3.1887624869072722E-3</v>
      </c>
      <c r="G264" s="548">
        <f t="shared" si="92"/>
        <v>3.5</v>
      </c>
      <c r="H264" s="363">
        <f t="shared" si="93"/>
        <v>2.2886854238882211E-2</v>
      </c>
      <c r="I264" s="363">
        <f t="shared" si="94"/>
        <v>5.3402659890725152E-3</v>
      </c>
      <c r="J264" s="364">
        <f t="shared" si="95"/>
        <v>2.6429923668779179E-2</v>
      </c>
      <c r="K264" s="194">
        <f t="shared" si="96"/>
        <v>2.288685423888221</v>
      </c>
      <c r="L264" s="646">
        <f t="shared" si="97"/>
        <v>0.35430694298969695</v>
      </c>
      <c r="M264" s="365">
        <f t="shared" si="98"/>
        <v>2.6429923668779178</v>
      </c>
      <c r="N264" s="194">
        <f t="shared" si="99"/>
        <v>0.53402659890725146</v>
      </c>
      <c r="O264" s="422">
        <f t="shared" si="100"/>
        <v>0.31887624869072723</v>
      </c>
      <c r="P264" s="365">
        <f t="shared" si="101"/>
        <v>0.85290284759797874</v>
      </c>
      <c r="S264" s="193"/>
      <c r="T264" s="193"/>
      <c r="U264" s="193"/>
      <c r="V264" s="193"/>
      <c r="W264" s="193"/>
      <c r="X264" s="193"/>
      <c r="Y264" s="503"/>
      <c r="Z264" s="193"/>
      <c r="AA264" s="520">
        <f t="shared" si="102"/>
        <v>0.11155640886441902</v>
      </c>
      <c r="AB264" s="496"/>
      <c r="AC264" s="521">
        <f t="shared" si="103"/>
        <v>-7.086138859793939E-2</v>
      </c>
      <c r="AD264" s="496"/>
      <c r="AE264" s="522">
        <f t="shared" si="104"/>
        <v>4.0695020266479628E-2</v>
      </c>
      <c r="AG264" s="531">
        <f t="shared" si="105"/>
        <v>-3.6726389749602964E-4</v>
      </c>
      <c r="AH264" s="221" t="str">
        <f t="shared" si="106"/>
        <v>NO</v>
      </c>
      <c r="AI264" s="532">
        <f t="shared" si="107"/>
        <v>2.3328852213313375E-4</v>
      </c>
      <c r="AJ264" s="221" t="str">
        <f t="shared" si="86"/>
        <v>NO</v>
      </c>
      <c r="AK264" s="533">
        <f>IF('IN-OUT'!$F$35=0,AG264,IF('IN-OUT'!$F$26=0,'transversal subsidence profile'!AI264,'transversal subsidence profile'!AG264+'transversal subsidence profile'!AI264))</f>
        <v>-1.3397537536289589E-4</v>
      </c>
      <c r="AL264" s="513">
        <f t="shared" si="87"/>
        <v>1000</v>
      </c>
    </row>
    <row r="265" spans="1:38">
      <c r="A265" s="542">
        <f t="shared" si="108"/>
        <v>13.75</v>
      </c>
      <c r="B265" s="363">
        <f t="shared" si="88"/>
        <v>3.2878487545752884E-3</v>
      </c>
      <c r="C265" s="543">
        <f t="shared" si="89"/>
        <v>3.013861358360681E-3</v>
      </c>
      <c r="D265" s="542">
        <f t="shared" si="109"/>
        <v>13.75</v>
      </c>
      <c r="E265" s="363">
        <f t="shared" si="90"/>
        <v>3.2878487545752884E-3</v>
      </c>
      <c r="F265" s="543">
        <f t="shared" si="91"/>
        <v>3.013861358360681E-3</v>
      </c>
      <c r="G265" s="548">
        <f t="shared" si="92"/>
        <v>3.75</v>
      </c>
      <c r="H265" s="363">
        <f t="shared" si="93"/>
        <v>2.2436126152353013E-2</v>
      </c>
      <c r="I265" s="363">
        <f t="shared" si="94"/>
        <v>5.6090315380882532E-3</v>
      </c>
      <c r="J265" s="364">
        <f t="shared" si="95"/>
        <v>2.57239749069283E-2</v>
      </c>
      <c r="K265" s="194">
        <f t="shared" si="96"/>
        <v>2.2436126152353011</v>
      </c>
      <c r="L265" s="646">
        <f t="shared" si="97"/>
        <v>0.32878487545752882</v>
      </c>
      <c r="M265" s="365">
        <f t="shared" si="98"/>
        <v>2.57239749069283</v>
      </c>
      <c r="N265" s="194">
        <f t="shared" si="99"/>
        <v>0.56090315380882527</v>
      </c>
      <c r="O265" s="422">
        <f t="shared" si="100"/>
        <v>0.3013861358360681</v>
      </c>
      <c r="P265" s="365">
        <f t="shared" si="101"/>
        <v>0.86228928964489338</v>
      </c>
      <c r="S265" s="193"/>
      <c r="T265" s="193"/>
      <c r="U265" s="193"/>
      <c r="V265" s="193"/>
      <c r="W265" s="193"/>
      <c r="X265" s="193"/>
      <c r="Y265" s="503"/>
      <c r="Z265" s="193"/>
      <c r="AA265" s="520">
        <f t="shared" si="102"/>
        <v>0.1034093057227793</v>
      </c>
      <c r="AB265" s="496"/>
      <c r="AC265" s="521">
        <f t="shared" si="103"/>
        <v>-6.9034300324690101E-2</v>
      </c>
      <c r="AD265" s="496"/>
      <c r="AE265" s="522">
        <f t="shared" si="104"/>
        <v>3.4375005398089201E-2</v>
      </c>
      <c r="AG265" s="531">
        <f t="shared" si="105"/>
        <v>-3.4044215875812117E-4</v>
      </c>
      <c r="AH265" s="221" t="str">
        <f t="shared" si="106"/>
        <v>NO</v>
      </c>
      <c r="AI265" s="532">
        <f t="shared" si="107"/>
        <v>2.2727341670679868E-4</v>
      </c>
      <c r="AJ265" s="221" t="str">
        <f t="shared" si="86"/>
        <v>NO</v>
      </c>
      <c r="AK265" s="533">
        <f>IF('IN-OUT'!$F$35=0,AG265,IF('IN-OUT'!$F$26=0,'transversal subsidence profile'!AI265,'transversal subsidence profile'!AG265+'transversal subsidence profile'!AI265))</f>
        <v>-1.1316874205132249E-4</v>
      </c>
      <c r="AL265" s="513">
        <f t="shared" si="87"/>
        <v>1000</v>
      </c>
    </row>
    <row r="266" spans="1:38">
      <c r="A266" s="542">
        <f t="shared" si="108"/>
        <v>14</v>
      </c>
      <c r="B266" s="363">
        <f t="shared" si="88"/>
        <v>3.0468302553613462E-3</v>
      </c>
      <c r="C266" s="543">
        <f t="shared" si="89"/>
        <v>2.8437082383372561E-3</v>
      </c>
      <c r="D266" s="542">
        <f t="shared" si="109"/>
        <v>14</v>
      </c>
      <c r="E266" s="363">
        <f t="shared" si="90"/>
        <v>3.0468302553613462E-3</v>
      </c>
      <c r="F266" s="543">
        <f t="shared" si="91"/>
        <v>2.8437082383372561E-3</v>
      </c>
      <c r="G266" s="548">
        <f t="shared" si="92"/>
        <v>4</v>
      </c>
      <c r="H266" s="363">
        <f t="shared" si="93"/>
        <v>2.196412480496544E-2</v>
      </c>
      <c r="I266" s="363">
        <f t="shared" si="94"/>
        <v>5.8570999479907833E-3</v>
      </c>
      <c r="J266" s="364">
        <f t="shared" si="95"/>
        <v>2.5010955060326787E-2</v>
      </c>
      <c r="K266" s="194">
        <f t="shared" si="96"/>
        <v>2.1964124804965439</v>
      </c>
      <c r="L266" s="646">
        <f t="shared" si="97"/>
        <v>0.30468302553613463</v>
      </c>
      <c r="M266" s="365">
        <f t="shared" si="98"/>
        <v>2.5010955060326787</v>
      </c>
      <c r="N266" s="194">
        <f t="shared" si="99"/>
        <v>0.58570999479907837</v>
      </c>
      <c r="O266" s="422">
        <f t="shared" si="100"/>
        <v>0.28437082383372558</v>
      </c>
      <c r="P266" s="365">
        <f t="shared" si="101"/>
        <v>0.87008081863280395</v>
      </c>
      <c r="S266" s="193"/>
      <c r="T266" s="193"/>
      <c r="U266" s="193"/>
      <c r="V266" s="193"/>
      <c r="W266" s="193"/>
      <c r="X266" s="193"/>
      <c r="Y266" s="503"/>
      <c r="Z266" s="193"/>
      <c r="AA266" s="520">
        <f t="shared" si="102"/>
        <v>9.5007142503417005E-2</v>
      </c>
      <c r="AB266" s="496"/>
      <c r="AC266" s="521">
        <f t="shared" si="103"/>
        <v>-6.7066487651163784E-2</v>
      </c>
      <c r="AD266" s="496"/>
      <c r="AE266" s="522">
        <f t="shared" si="104"/>
        <v>2.7940654852253222E-2</v>
      </c>
      <c r="AG266" s="531">
        <f t="shared" si="105"/>
        <v>-3.1278071606063215E-4</v>
      </c>
      <c r="AH266" s="221" t="str">
        <f t="shared" si="106"/>
        <v>NO</v>
      </c>
      <c r="AI266" s="532">
        <f t="shared" si="107"/>
        <v>2.2079502107379023E-4</v>
      </c>
      <c r="AJ266" s="221" t="str">
        <f t="shared" ref="AJ266:AJ329" si="110">IF(AND(ABS(AI265)&gt;ABS(AI266),(ABS(AI267)&gt;(ABS(AI266)))),G266,"NO")</f>
        <v>NO</v>
      </c>
      <c r="AK266" s="533">
        <f>IF('IN-OUT'!$F$35=0,AG266,IF('IN-OUT'!$F$26=0,'transversal subsidence profile'!AI266,'transversal subsidence profile'!AG266+'transversal subsidence profile'!AI266))</f>
        <v>-9.1985694986841915E-5</v>
      </c>
      <c r="AL266" s="513">
        <f t="shared" ref="AL266:AL329" si="111">IF(AND(ABS(AK265)&gt;ABS(AK266),(ABS(AK267)&gt;(ABS(AK266))),(AK265*AK267)&lt;0),G266,1000)</f>
        <v>1000</v>
      </c>
    </row>
    <row r="267" spans="1:38">
      <c r="A267" s="542">
        <f t="shared" si="108"/>
        <v>14.25</v>
      </c>
      <c r="B267" s="363">
        <f t="shared" ref="B267:B330" si="112">+$L$5*EXP(-(A267^2)/(2*$J$5^2))</f>
        <v>2.8196093876017713E-3</v>
      </c>
      <c r="C267" s="543">
        <f t="shared" ref="C267:C330" si="113">+$L$5*A267/$B$5*EXP(-(A267^2)/(2*$J$5^2))</f>
        <v>2.6786289182216829E-3</v>
      </c>
      <c r="D267" s="542">
        <f t="shared" si="109"/>
        <v>14.25</v>
      </c>
      <c r="E267" s="363">
        <f t="shared" ref="E267:E330" si="114">+$L$6*EXP(-(D267^2)/(2*$J$6^2))</f>
        <v>2.8196093876017713E-3</v>
      </c>
      <c r="F267" s="543">
        <f t="shared" ref="F267:F330" si="115">+$L$6*D267/$F$5*EXP(-(D267^2)/(2*$J$6^2))</f>
        <v>2.6786289182216829E-3</v>
      </c>
      <c r="G267" s="548">
        <f t="shared" ref="G267:G330" si="116">IF(OR($F$5=0,$F$6=0),D267,D267-$D$2)</f>
        <v>4.25</v>
      </c>
      <c r="H267" s="363">
        <f t="shared" ref="H267:H330" si="117">+$L$5*EXP(-(G267^2)/(2*$J$5^2))</f>
        <v>2.1472578162994218E-2</v>
      </c>
      <c r="I267" s="363">
        <f t="shared" ref="I267:I330" si="118">+$L$5*G267/$B$5*EXP(-(G267^2)/(2*$J$5^2))</f>
        <v>6.0838971461816948E-3</v>
      </c>
      <c r="J267" s="364">
        <f t="shared" ref="J267:J330" si="119">+H267+B267</f>
        <v>2.4292187550595989E-2</v>
      </c>
      <c r="K267" s="194">
        <f t="shared" ref="K267:K330" si="120">+H267*100</f>
        <v>2.1472578162994216</v>
      </c>
      <c r="L267" s="646">
        <f t="shared" ref="L267:L330" si="121">+E267*100</f>
        <v>0.28196093876017714</v>
      </c>
      <c r="M267" s="365">
        <f t="shared" ref="M267:M330" si="122">+IF(OR($B$5=0,$B$6=0),L267,IF(OR($F$5=0,$F$6=0),K267,K267+L267))</f>
        <v>2.4292187550595985</v>
      </c>
      <c r="N267" s="194">
        <f t="shared" ref="N267:N330" si="123">+I267*100</f>
        <v>0.60838971461816949</v>
      </c>
      <c r="O267" s="422">
        <f t="shared" ref="O267:O330" si="124">+F267*100</f>
        <v>0.26786289182216827</v>
      </c>
      <c r="P267" s="365">
        <f t="shared" ref="P267:P330" si="125">+IF(OR($B$5=0,$B$6=0),O267,IF(OR($F$5=0,$F$6=0),N267,N267+O267))</f>
        <v>0.87625260644033776</v>
      </c>
      <c r="S267" s="193"/>
      <c r="T267" s="193"/>
      <c r="U267" s="193"/>
      <c r="V267" s="193"/>
      <c r="W267" s="193"/>
      <c r="X267" s="193"/>
      <c r="Y267" s="503"/>
      <c r="Z267" s="193"/>
      <c r="AA267" s="520">
        <f t="shared" ref="AA267:AA330" si="126">($L$5/$B$5)*(1-((G267^2)/(($J$5)^2)))*EXP(-(G267^2)/(2*(($J$5)^2)))*100</f>
        <v>8.6400863207292705E-2</v>
      </c>
      <c r="AB267" s="496"/>
      <c r="AC267" s="521">
        <f t="shared" ref="AC267:AC330" si="127">($L$6/$F$5)*(1-D267^2/(($J$6)^2))*EXP(-(D267^2)/(2*(($J$6)^2)))*100</f>
        <v>-6.4978652553785682E-2</v>
      </c>
      <c r="AD267" s="496"/>
      <c r="AE267" s="522">
        <f t="shared" ref="AE267:AE330" si="128">AA267+AC267</f>
        <v>2.1422210653507023E-2</v>
      </c>
      <c r="AG267" s="531">
        <f t="shared" ref="AG267:AG330" si="129">($L$5*(1/(($J$5)^2))*(EXP(-(G267^2/(2*$J$5^2))))*((G267^2/($J$5^2))-1))</f>
        <v>-2.844472862791529E-4</v>
      </c>
      <c r="AH267" s="221" t="str">
        <f t="shared" ref="AH267:AH330" si="130">IF(AND(ABS(AG266)&gt;ABS(AG267),(ABS(AG268)&gt;(ABS(AG267)))),G267,"NO")</f>
        <v>NO</v>
      </c>
      <c r="AI267" s="532">
        <f t="shared" ref="AI267:AI330" si="131">($L$6*(1/(($J$6)^2))*(EXP(-((D267)^2/(2*$J$6^2))))*(((D267)^2/($J$6^2))-1))</f>
        <v>2.1392148988900631E-4</v>
      </c>
      <c r="AJ267" s="221" t="str">
        <f t="shared" si="110"/>
        <v>NO</v>
      </c>
      <c r="AK267" s="533">
        <f>IF('IN-OUT'!$F$35=0,AG267,IF('IN-OUT'!$F$26=0,'transversal subsidence profile'!AI267,'transversal subsidence profile'!AG267+'transversal subsidence profile'!AI267))</f>
        <v>-7.0525796390146585E-5</v>
      </c>
      <c r="AL267" s="513">
        <f t="shared" si="111"/>
        <v>1000</v>
      </c>
    </row>
    <row r="268" spans="1:38">
      <c r="A268" s="542">
        <f t="shared" ref="A268:A331" si="132">A267+0.25</f>
        <v>14.5</v>
      </c>
      <c r="B268" s="363">
        <f t="shared" si="112"/>
        <v>2.6057568979923197E-3</v>
      </c>
      <c r="C268" s="543">
        <f t="shared" si="113"/>
        <v>2.5188983347259088E-3</v>
      </c>
      <c r="D268" s="542">
        <f t="shared" ref="D268:D331" si="133">D267+0.25</f>
        <v>14.5</v>
      </c>
      <c r="E268" s="363">
        <f t="shared" si="114"/>
        <v>2.6057568979923197E-3</v>
      </c>
      <c r="F268" s="543">
        <f t="shared" si="115"/>
        <v>2.5188983347259088E-3</v>
      </c>
      <c r="G268" s="548">
        <f t="shared" si="116"/>
        <v>4.5</v>
      </c>
      <c r="H268" s="363">
        <f t="shared" si="117"/>
        <v>2.0963256187150118E-2</v>
      </c>
      <c r="I268" s="363">
        <f t="shared" si="118"/>
        <v>6.2889768561450368E-3</v>
      </c>
      <c r="J268" s="364">
        <f t="shared" si="119"/>
        <v>2.3569013085142438E-2</v>
      </c>
      <c r="K268" s="194">
        <f t="shared" si="120"/>
        <v>2.0963256187150119</v>
      </c>
      <c r="L268" s="646">
        <f t="shared" si="121"/>
        <v>0.26057568979923196</v>
      </c>
      <c r="M268" s="365">
        <f t="shared" si="122"/>
        <v>2.3569013085142441</v>
      </c>
      <c r="N268" s="194">
        <f t="shared" si="123"/>
        <v>0.62889768561450365</v>
      </c>
      <c r="O268" s="422">
        <f t="shared" si="124"/>
        <v>0.25188983347259086</v>
      </c>
      <c r="P268" s="365">
        <f t="shared" si="125"/>
        <v>0.88078751908709452</v>
      </c>
      <c r="S268" s="193"/>
      <c r="T268" s="193"/>
      <c r="U268" s="193"/>
      <c r="V268" s="193"/>
      <c r="W268" s="193"/>
      <c r="X268" s="193"/>
      <c r="Y268" s="503"/>
      <c r="Z268" s="193"/>
      <c r="AA268" s="520">
        <f t="shared" si="126"/>
        <v>7.7641689582037487E-2</v>
      </c>
      <c r="AB268" s="496"/>
      <c r="AC268" s="521">
        <f t="shared" si="127"/>
        <v>-6.279075835582773E-2</v>
      </c>
      <c r="AD268" s="496"/>
      <c r="AE268" s="522">
        <f t="shared" si="128"/>
        <v>1.4850931226209757E-2</v>
      </c>
      <c r="AG268" s="531">
        <f t="shared" si="129"/>
        <v>-2.5561050068160487E-4</v>
      </c>
      <c r="AH268" s="221" t="str">
        <f t="shared" si="130"/>
        <v>NO</v>
      </c>
      <c r="AI268" s="532">
        <f t="shared" si="131"/>
        <v>2.0671854602741639E-4</v>
      </c>
      <c r="AJ268" s="221" t="str">
        <f t="shared" si="110"/>
        <v>NO</v>
      </c>
      <c r="AK268" s="533">
        <f>IF('IN-OUT'!$F$35=0,AG268,IF('IN-OUT'!$F$26=0,'transversal subsidence profile'!AI268,'transversal subsidence profile'!AG268+'transversal subsidence profile'!AI268))</f>
        <v>-4.8891954654188481E-5</v>
      </c>
      <c r="AL268" s="513">
        <f t="shared" si="111"/>
        <v>1000</v>
      </c>
    </row>
    <row r="269" spans="1:38">
      <c r="A269" s="542">
        <f t="shared" si="132"/>
        <v>14.75</v>
      </c>
      <c r="B269" s="363">
        <f t="shared" si="112"/>
        <v>2.4048229304941843E-3</v>
      </c>
      <c r="C269" s="543">
        <f t="shared" si="113"/>
        <v>2.3647425483192814E-3</v>
      </c>
      <c r="D269" s="542">
        <f t="shared" si="133"/>
        <v>14.75</v>
      </c>
      <c r="E269" s="363">
        <f t="shared" si="114"/>
        <v>2.4048229304941843E-3</v>
      </c>
      <c r="F269" s="543">
        <f t="shared" si="115"/>
        <v>2.3647425483192814E-3</v>
      </c>
      <c r="G269" s="548">
        <f t="shared" si="116"/>
        <v>4.75</v>
      </c>
      <c r="H269" s="363">
        <f t="shared" si="117"/>
        <v>2.0437960300374602E-2</v>
      </c>
      <c r="I269" s="363">
        <f t="shared" si="118"/>
        <v>6.4720207617852904E-3</v>
      </c>
      <c r="J269" s="364">
        <f t="shared" si="119"/>
        <v>2.2842783230868788E-2</v>
      </c>
      <c r="K269" s="194">
        <f t="shared" si="120"/>
        <v>2.04379603003746</v>
      </c>
      <c r="L269" s="646">
        <f t="shared" si="121"/>
        <v>0.24048229304941843</v>
      </c>
      <c r="M269" s="365">
        <f t="shared" si="122"/>
        <v>2.2842783230868786</v>
      </c>
      <c r="N269" s="194">
        <f t="shared" si="123"/>
        <v>0.6472020761785291</v>
      </c>
      <c r="O269" s="422">
        <f t="shared" si="124"/>
        <v>0.23647425483192813</v>
      </c>
      <c r="P269" s="365">
        <f t="shared" si="125"/>
        <v>0.88367633101045717</v>
      </c>
      <c r="S269" s="193"/>
      <c r="T269" s="193"/>
      <c r="U269" s="193"/>
      <c r="V269" s="193"/>
      <c r="W269" s="193"/>
      <c r="X269" s="193"/>
      <c r="Y269" s="503"/>
      <c r="Z269" s="193"/>
      <c r="AA269" s="520">
        <f t="shared" si="126"/>
        <v>6.8780698587451797E-2</v>
      </c>
      <c r="AB269" s="496"/>
      <c r="AC269" s="521">
        <f t="shared" si="127"/>
        <v>-6.0521926883584785E-2</v>
      </c>
      <c r="AD269" s="496"/>
      <c r="AE269" s="522">
        <f t="shared" si="128"/>
        <v>8.2587717038670114E-3</v>
      </c>
      <c r="AG269" s="531">
        <f t="shared" si="129"/>
        <v>-2.2643851386815403E-4</v>
      </c>
      <c r="AH269" s="221" t="str">
        <f t="shared" si="130"/>
        <v>NO</v>
      </c>
      <c r="AI269" s="532">
        <f t="shared" si="131"/>
        <v>1.9924914200357126E-4</v>
      </c>
      <c r="AJ269" s="221" t="str">
        <f t="shared" si="110"/>
        <v>NO</v>
      </c>
      <c r="AK269" s="533">
        <f>IF('IN-OUT'!$F$35=0,AG269,IF('IN-OUT'!$F$26=0,'transversal subsidence profile'!AI269,'transversal subsidence profile'!AG269+'transversal subsidence profile'!AI269))</f>
        <v>-2.7189371864582774E-5</v>
      </c>
      <c r="AL269" s="513">
        <f t="shared" si="111"/>
        <v>1000</v>
      </c>
    </row>
    <row r="270" spans="1:38">
      <c r="A270" s="542">
        <f t="shared" si="132"/>
        <v>15</v>
      </c>
      <c r="B270" s="363">
        <f t="shared" si="112"/>
        <v>2.2163409593685705E-3</v>
      </c>
      <c r="C270" s="543">
        <f t="shared" si="113"/>
        <v>2.2163409593685705E-3</v>
      </c>
      <c r="D270" s="542">
        <f t="shared" si="133"/>
        <v>15</v>
      </c>
      <c r="E270" s="363">
        <f t="shared" si="114"/>
        <v>2.2163409593685705E-3</v>
      </c>
      <c r="F270" s="543">
        <f t="shared" si="115"/>
        <v>2.2163409593685705E-3</v>
      </c>
      <c r="G270" s="548">
        <f t="shared" si="116"/>
        <v>5</v>
      </c>
      <c r="H270" s="363">
        <f t="shared" si="117"/>
        <v>1.9898512885235583E-2</v>
      </c>
      <c r="I270" s="363">
        <f t="shared" si="118"/>
        <v>6.6328376284118615E-3</v>
      </c>
      <c r="J270" s="364">
        <f t="shared" si="119"/>
        <v>2.2114853844604154E-2</v>
      </c>
      <c r="K270" s="194">
        <f t="shared" si="120"/>
        <v>1.9898512885235582</v>
      </c>
      <c r="L270" s="646">
        <f t="shared" si="121"/>
        <v>0.22163409593685704</v>
      </c>
      <c r="M270" s="365">
        <f t="shared" si="122"/>
        <v>2.2114853844604152</v>
      </c>
      <c r="N270" s="194">
        <f t="shared" si="123"/>
        <v>0.66328376284118618</v>
      </c>
      <c r="O270" s="422">
        <f t="shared" si="124"/>
        <v>0.22163409593685704</v>
      </c>
      <c r="P270" s="365">
        <f t="shared" si="125"/>
        <v>0.88491785877804319</v>
      </c>
      <c r="S270" s="193"/>
      <c r="T270" s="193"/>
      <c r="U270" s="193"/>
      <c r="V270" s="193"/>
      <c r="W270" s="193"/>
      <c r="X270" s="193"/>
      <c r="Y270" s="503"/>
      <c r="Z270" s="193"/>
      <c r="AA270" s="520">
        <f t="shared" si="126"/>
        <v>5.9868410967009664E-2</v>
      </c>
      <c r="AB270" s="496"/>
      <c r="AC270" s="521">
        <f t="shared" si="127"/>
        <v>-5.8190351114285908E-2</v>
      </c>
      <c r="AD270" s="496"/>
      <c r="AE270" s="522">
        <f t="shared" si="128"/>
        <v>1.6780598527237553E-3</v>
      </c>
      <c r="AG270" s="531">
        <f t="shared" si="129"/>
        <v>-1.9709764927410586E-4</v>
      </c>
      <c r="AH270" s="221" t="str">
        <f t="shared" si="130"/>
        <v>NO</v>
      </c>
      <c r="AI270" s="532">
        <f t="shared" si="131"/>
        <v>1.9157317239271084E-4</v>
      </c>
      <c r="AJ270" s="221" t="str">
        <f t="shared" si="110"/>
        <v>NO</v>
      </c>
      <c r="AK270" s="533">
        <f>IF('IN-OUT'!$F$35=0,AG270,IF('IN-OUT'!$F$26=0,'transversal subsidence profile'!AI270,'transversal subsidence profile'!AG270+'transversal subsidence profile'!AI270))</f>
        <v>-5.5244768813950194E-6</v>
      </c>
      <c r="AL270" s="513">
        <f t="shared" si="111"/>
        <v>5</v>
      </c>
    </row>
    <row r="271" spans="1:38">
      <c r="A271" s="542">
        <f t="shared" si="132"/>
        <v>15.25</v>
      </c>
      <c r="B271" s="363">
        <f t="shared" si="112"/>
        <v>2.0398315313514743E-3</v>
      </c>
      <c r="C271" s="543">
        <f t="shared" si="113"/>
        <v>2.0738287235406655E-3</v>
      </c>
      <c r="D271" s="542">
        <f t="shared" si="133"/>
        <v>15.25</v>
      </c>
      <c r="E271" s="363">
        <f t="shared" si="114"/>
        <v>2.0398315313514743E-3</v>
      </c>
      <c r="F271" s="543">
        <f t="shared" si="115"/>
        <v>2.0738287235406655E-3</v>
      </c>
      <c r="G271" s="548">
        <f t="shared" si="116"/>
        <v>5.25</v>
      </c>
      <c r="H271" s="363">
        <f t="shared" si="117"/>
        <v>1.9346746895508467E-2</v>
      </c>
      <c r="I271" s="363">
        <f t="shared" si="118"/>
        <v>6.7713614134279647E-3</v>
      </c>
      <c r="J271" s="364">
        <f t="shared" si="119"/>
        <v>2.1386578426859943E-2</v>
      </c>
      <c r="K271" s="194">
        <f t="shared" si="120"/>
        <v>1.9346746895508466</v>
      </c>
      <c r="L271" s="646">
        <f t="shared" si="121"/>
        <v>0.20398315313514742</v>
      </c>
      <c r="M271" s="365">
        <f t="shared" si="122"/>
        <v>2.1386578426859941</v>
      </c>
      <c r="N271" s="194">
        <f t="shared" si="123"/>
        <v>0.67713614134279643</v>
      </c>
      <c r="O271" s="422">
        <f t="shared" si="124"/>
        <v>0.20738287235406655</v>
      </c>
      <c r="P271" s="365">
        <f t="shared" si="125"/>
        <v>0.88451901369686303</v>
      </c>
      <c r="S271" s="193"/>
      <c r="T271" s="193"/>
      <c r="U271" s="193"/>
      <c r="V271" s="193"/>
      <c r="W271" s="193"/>
      <c r="X271" s="193"/>
      <c r="Y271" s="503"/>
      <c r="Z271" s="193"/>
      <c r="AA271" s="520">
        <f t="shared" si="126"/>
        <v>5.0954395115742464E-2</v>
      </c>
      <c r="AB271" s="496"/>
      <c r="AC271" s="521">
        <f t="shared" si="127"/>
        <v>-5.5813223061761424E-2</v>
      </c>
      <c r="AD271" s="496"/>
      <c r="AE271" s="522">
        <f t="shared" si="128"/>
        <v>-4.8588279460189607E-3</v>
      </c>
      <c r="AG271" s="531">
        <f t="shared" si="129"/>
        <v>-1.6775109503125091E-4</v>
      </c>
      <c r="AH271" s="221" t="str">
        <f t="shared" si="130"/>
        <v>NO</v>
      </c>
      <c r="AI271" s="532">
        <f t="shared" si="131"/>
        <v>1.8374723641732151E-4</v>
      </c>
      <c r="AJ271" s="221" t="str">
        <f t="shared" si="110"/>
        <v>NO</v>
      </c>
      <c r="AK271" s="533">
        <f>IF('IN-OUT'!$F$35=0,AG271,IF('IN-OUT'!$F$26=0,'transversal subsidence profile'!AI271,'transversal subsidence profile'!AG271+'transversal subsidence profile'!AI271))</f>
        <v>1.5996141386070604E-5</v>
      </c>
      <c r="AL271" s="513">
        <f t="shared" si="111"/>
        <v>1000</v>
      </c>
    </row>
    <row r="272" spans="1:38">
      <c r="A272" s="542">
        <f t="shared" si="132"/>
        <v>15.5</v>
      </c>
      <c r="B272" s="363">
        <f t="shared" si="112"/>
        <v>1.8748058021232075E-3</v>
      </c>
      <c r="C272" s="543">
        <f t="shared" si="113"/>
        <v>1.9372993288606474E-3</v>
      </c>
      <c r="D272" s="542">
        <f t="shared" si="133"/>
        <v>15.5</v>
      </c>
      <c r="E272" s="363">
        <f t="shared" si="114"/>
        <v>1.8748058021232075E-3</v>
      </c>
      <c r="F272" s="543">
        <f t="shared" si="115"/>
        <v>1.9372993288606474E-3</v>
      </c>
      <c r="G272" s="548">
        <f t="shared" si="116"/>
        <v>5.5</v>
      </c>
      <c r="H272" s="363">
        <f t="shared" si="117"/>
        <v>1.8784495663384172E-2</v>
      </c>
      <c r="I272" s="363">
        <f t="shared" si="118"/>
        <v>6.8876484099075286E-3</v>
      </c>
      <c r="J272" s="364">
        <f t="shared" si="119"/>
        <v>2.0659301465507381E-2</v>
      </c>
      <c r="K272" s="194">
        <f t="shared" si="120"/>
        <v>1.8784495663384173</v>
      </c>
      <c r="L272" s="646">
        <f t="shared" si="121"/>
        <v>0.18748058021232075</v>
      </c>
      <c r="M272" s="365">
        <f t="shared" si="122"/>
        <v>2.065930146550738</v>
      </c>
      <c r="N272" s="194">
        <f t="shared" si="123"/>
        <v>0.68876484099075286</v>
      </c>
      <c r="O272" s="422">
        <f t="shared" si="124"/>
        <v>0.19372993288606474</v>
      </c>
      <c r="P272" s="365">
        <f t="shared" si="125"/>
        <v>0.88249477387681763</v>
      </c>
      <c r="S272" s="193"/>
      <c r="T272" s="193"/>
      <c r="U272" s="193"/>
      <c r="V272" s="193"/>
      <c r="W272" s="193"/>
      <c r="X272" s="193"/>
      <c r="Y272" s="503"/>
      <c r="Z272" s="193"/>
      <c r="AA272" s="520">
        <f t="shared" si="126"/>
        <v>4.2086890146585475E-2</v>
      </c>
      <c r="AB272" s="496"/>
      <c r="AC272" s="521">
        <f t="shared" si="127"/>
        <v>-5.3406676484808326E-2</v>
      </c>
      <c r="AD272" s="496"/>
      <c r="AE272" s="522">
        <f t="shared" si="128"/>
        <v>-1.1319786338222851E-2</v>
      </c>
      <c r="AG272" s="531">
        <f t="shared" si="129"/>
        <v>-1.3855766303402624E-4</v>
      </c>
      <c r="AH272" s="221" t="str">
        <f t="shared" si="130"/>
        <v>NO</v>
      </c>
      <c r="AI272" s="532">
        <f t="shared" si="131"/>
        <v>1.7582444933270233E-4</v>
      </c>
      <c r="AJ272" s="221" t="str">
        <f t="shared" si="110"/>
        <v>NO</v>
      </c>
      <c r="AK272" s="533">
        <f>IF('IN-OUT'!$F$35=0,AG272,IF('IN-OUT'!$F$26=0,'transversal subsidence profile'!AI272,'transversal subsidence profile'!AG272+'transversal subsidence profile'!AI272))</f>
        <v>3.7266786298676091E-5</v>
      </c>
      <c r="AL272" s="513">
        <f t="shared" si="111"/>
        <v>1000</v>
      </c>
    </row>
    <row r="273" spans="1:40" s="340" customFormat="1">
      <c r="A273" s="542">
        <f t="shared" si="132"/>
        <v>15.75</v>
      </c>
      <c r="B273" s="363">
        <f t="shared" si="112"/>
        <v>1.720768855274655E-3</v>
      </c>
      <c r="C273" s="543">
        <f t="shared" si="113"/>
        <v>1.8068072980383879E-3</v>
      </c>
      <c r="D273" s="542">
        <f t="shared" si="133"/>
        <v>15.75</v>
      </c>
      <c r="E273" s="363">
        <f t="shared" si="114"/>
        <v>1.720768855274655E-3</v>
      </c>
      <c r="F273" s="543">
        <f t="shared" si="115"/>
        <v>1.8068072980383879E-3</v>
      </c>
      <c r="G273" s="548">
        <f t="shared" si="116"/>
        <v>5.75</v>
      </c>
      <c r="H273" s="363">
        <f t="shared" si="117"/>
        <v>1.8213582979801288E-2</v>
      </c>
      <c r="I273" s="363">
        <f t="shared" si="118"/>
        <v>6.9818734755904928E-3</v>
      </c>
      <c r="J273" s="364">
        <f t="shared" si="119"/>
        <v>1.9934351835075942E-2</v>
      </c>
      <c r="K273" s="194">
        <f t="shared" si="120"/>
        <v>1.8213582979801288</v>
      </c>
      <c r="L273" s="646">
        <f t="shared" si="121"/>
        <v>0.1720768855274655</v>
      </c>
      <c r="M273" s="365">
        <f t="shared" si="122"/>
        <v>1.9934351835075943</v>
      </c>
      <c r="N273" s="194">
        <f t="shared" si="123"/>
        <v>0.69818734755904932</v>
      </c>
      <c r="O273" s="422">
        <f t="shared" si="124"/>
        <v>0.18068072980383879</v>
      </c>
      <c r="P273" s="365">
        <f t="shared" si="125"/>
        <v>0.87886807736288808</v>
      </c>
      <c r="Q273" s="193"/>
      <c r="R273" s="193"/>
      <c r="S273" s="193"/>
      <c r="T273" s="193"/>
      <c r="U273" s="193"/>
      <c r="V273" s="193"/>
      <c r="W273" s="193"/>
      <c r="X273" s="193"/>
      <c r="Y273" s="503"/>
      <c r="Z273" s="193"/>
      <c r="AA273" s="520">
        <f t="shared" si="126"/>
        <v>3.3312451723459147E-2</v>
      </c>
      <c r="AB273" s="496"/>
      <c r="AC273" s="521">
        <f t="shared" si="127"/>
        <v>-5.0985743859989781E-2</v>
      </c>
      <c r="AD273" s="496"/>
      <c r="AE273" s="522">
        <f t="shared" si="128"/>
        <v>-1.7673292136530634E-2</v>
      </c>
      <c r="AF273" s="193"/>
      <c r="AG273" s="531">
        <f t="shared" si="129"/>
        <v>-1.0967062295789017E-4</v>
      </c>
      <c r="AH273" s="221" t="str">
        <f t="shared" si="130"/>
        <v>NO</v>
      </c>
      <c r="AI273" s="532">
        <f t="shared" si="131"/>
        <v>1.678543007736289E-4</v>
      </c>
      <c r="AJ273" s="221" t="str">
        <f t="shared" si="110"/>
        <v>NO</v>
      </c>
      <c r="AK273" s="533">
        <f>IF('IN-OUT'!$F$35=0,AG273,IF('IN-OUT'!$F$26=0,'transversal subsidence profile'!AI273,'transversal subsidence profile'!AG273+'transversal subsidence profile'!AI273))</f>
        <v>5.8183677815738726E-5</v>
      </c>
      <c r="AL273" s="513">
        <f t="shared" si="111"/>
        <v>1000</v>
      </c>
    </row>
    <row r="274" spans="1:40" s="340" customFormat="1">
      <c r="A274" s="542">
        <f t="shared" si="132"/>
        <v>16</v>
      </c>
      <c r="B274" s="363">
        <f t="shared" si="112"/>
        <v>1.5772227949052372E-3</v>
      </c>
      <c r="C274" s="543">
        <f t="shared" si="113"/>
        <v>1.6823709812322529E-3</v>
      </c>
      <c r="D274" s="542">
        <f t="shared" si="133"/>
        <v>16</v>
      </c>
      <c r="E274" s="363">
        <f t="shared" si="114"/>
        <v>1.5772227949052372E-3</v>
      </c>
      <c r="F274" s="543">
        <f t="shared" si="115"/>
        <v>1.6823709812322529E-3</v>
      </c>
      <c r="G274" s="548">
        <f t="shared" si="116"/>
        <v>6</v>
      </c>
      <c r="H274" s="363">
        <f t="shared" si="117"/>
        <v>1.7635813520721411E-2</v>
      </c>
      <c r="I274" s="363">
        <f t="shared" si="118"/>
        <v>7.0543254082885646E-3</v>
      </c>
      <c r="J274" s="364">
        <f t="shared" si="119"/>
        <v>1.9213036315626649E-2</v>
      </c>
      <c r="K274" s="194">
        <f t="shared" si="120"/>
        <v>1.7635813520721411</v>
      </c>
      <c r="L274" s="646">
        <f t="shared" si="121"/>
        <v>0.15772227949052373</v>
      </c>
      <c r="M274" s="365">
        <f t="shared" si="122"/>
        <v>1.9213036315626648</v>
      </c>
      <c r="N274" s="194">
        <f t="shared" si="123"/>
        <v>0.70543254082885642</v>
      </c>
      <c r="O274" s="422">
        <f t="shared" si="124"/>
        <v>0.16823709812322529</v>
      </c>
      <c r="P274" s="365">
        <f t="shared" si="125"/>
        <v>0.87366963895208172</v>
      </c>
      <c r="Q274" s="193"/>
      <c r="R274" s="193"/>
      <c r="S274" s="193"/>
      <c r="T274" s="193"/>
      <c r="U274" s="193"/>
      <c r="V274" s="193"/>
      <c r="W274" s="193"/>
      <c r="X274" s="193"/>
      <c r="Y274" s="503"/>
      <c r="Z274" s="193"/>
      <c r="AA274" s="520">
        <f t="shared" si="126"/>
        <v>2.4675623856153423E-2</v>
      </c>
      <c r="AB274" s="496"/>
      <c r="AC274" s="521">
        <f t="shared" si="127"/>
        <v>-4.8564326935948178E-2</v>
      </c>
      <c r="AD274" s="496"/>
      <c r="AE274" s="522">
        <f t="shared" si="128"/>
        <v>-2.3888703079794755E-2</v>
      </c>
      <c r="AF274" s="193"/>
      <c r="AG274" s="531">
        <f t="shared" si="129"/>
        <v>-8.1236621748653233E-5</v>
      </c>
      <c r="AH274" s="221" t="str">
        <f t="shared" si="130"/>
        <v>NO</v>
      </c>
      <c r="AI274" s="532">
        <f t="shared" si="131"/>
        <v>1.5988255781382115E-4</v>
      </c>
      <c r="AJ274" s="221" t="str">
        <f t="shared" si="110"/>
        <v>NO</v>
      </c>
      <c r="AK274" s="533">
        <f>IF('IN-OUT'!$F$35=0,AG274,IF('IN-OUT'!$F$26=0,'transversal subsidence profile'!AI274,'transversal subsidence profile'!AG274+'transversal subsidence profile'!AI274))</f>
        <v>7.8645936065167913E-5</v>
      </c>
      <c r="AL274" s="513">
        <f t="shared" si="111"/>
        <v>1000</v>
      </c>
    </row>
    <row r="275" spans="1:40" s="340" customFormat="1">
      <c r="A275" s="542">
        <f t="shared" si="132"/>
        <v>16.25</v>
      </c>
      <c r="B275" s="363">
        <f t="shared" si="112"/>
        <v>1.4436696057802179E-3</v>
      </c>
      <c r="C275" s="543">
        <f t="shared" si="113"/>
        <v>1.5639754062619028E-3</v>
      </c>
      <c r="D275" s="542">
        <f t="shared" si="133"/>
        <v>16.25</v>
      </c>
      <c r="E275" s="363">
        <f t="shared" si="114"/>
        <v>1.4436696057802179E-3</v>
      </c>
      <c r="F275" s="543">
        <f t="shared" si="115"/>
        <v>1.5639754062619028E-3</v>
      </c>
      <c r="G275" s="548">
        <f t="shared" si="116"/>
        <v>6.25</v>
      </c>
      <c r="H275" s="363">
        <f t="shared" si="117"/>
        <v>1.7052963686831738E-2</v>
      </c>
      <c r="I275" s="363">
        <f t="shared" si="118"/>
        <v>7.1054015361798903E-3</v>
      </c>
      <c r="J275" s="364">
        <f t="shared" si="119"/>
        <v>1.8496633292611957E-2</v>
      </c>
      <c r="K275" s="194">
        <f t="shared" si="120"/>
        <v>1.7052963686831739</v>
      </c>
      <c r="L275" s="646">
        <f t="shared" si="121"/>
        <v>0.14436696057802179</v>
      </c>
      <c r="M275" s="365">
        <f t="shared" si="122"/>
        <v>1.8496633292611957</v>
      </c>
      <c r="N275" s="194">
        <f t="shared" si="123"/>
        <v>0.71054015361798906</v>
      </c>
      <c r="O275" s="422">
        <f t="shared" si="124"/>
        <v>0.15639754062619027</v>
      </c>
      <c r="P275" s="365">
        <f t="shared" si="125"/>
        <v>0.86693769424417932</v>
      </c>
      <c r="Q275" s="193"/>
      <c r="R275" s="193"/>
      <c r="S275" s="193"/>
      <c r="T275" s="193"/>
      <c r="U275" s="193"/>
      <c r="V275" s="193"/>
      <c r="W275" s="193"/>
      <c r="X275" s="193"/>
      <c r="Y275" s="503"/>
      <c r="Z275" s="193"/>
      <c r="AA275" s="520">
        <f t="shared" si="126"/>
        <v>1.6218639446095119E-2</v>
      </c>
      <c r="AB275" s="496"/>
      <c r="AC275" s="521">
        <f t="shared" si="127"/>
        <v>-4.6155180080545415E-2</v>
      </c>
      <c r="AD275" s="496"/>
      <c r="AE275" s="522">
        <f t="shared" si="128"/>
        <v>-2.9936540634450295E-2</v>
      </c>
      <c r="AF275" s="193"/>
      <c r="AG275" s="531">
        <f t="shared" si="129"/>
        <v>-5.3394697764922208E-5</v>
      </c>
      <c r="AH275" s="221" t="str">
        <f t="shared" si="130"/>
        <v>NO</v>
      </c>
      <c r="AI275" s="532">
        <f t="shared" si="131"/>
        <v>1.519512101417133E-4</v>
      </c>
      <c r="AJ275" s="221" t="str">
        <f t="shared" si="110"/>
        <v>NO</v>
      </c>
      <c r="AK275" s="533">
        <f>IF('IN-OUT'!$F$35=0,AG275,IF('IN-OUT'!$F$26=0,'transversal subsidence profile'!AI275,'transversal subsidence profile'!AG275+'transversal subsidence profile'!AI275))</f>
        <v>9.8556512376791084E-5</v>
      </c>
      <c r="AL275" s="513">
        <f t="shared" si="111"/>
        <v>1000</v>
      </c>
    </row>
    <row r="276" spans="1:40" s="340" customFormat="1">
      <c r="A276" s="542">
        <f t="shared" si="132"/>
        <v>16.5</v>
      </c>
      <c r="B276" s="363">
        <f t="shared" si="112"/>
        <v>1.3196137776058507E-3</v>
      </c>
      <c r="C276" s="543">
        <f t="shared" si="113"/>
        <v>1.4515751553664357E-3</v>
      </c>
      <c r="D276" s="542">
        <f t="shared" si="133"/>
        <v>16.5</v>
      </c>
      <c r="E276" s="363">
        <f t="shared" si="114"/>
        <v>1.3196137776058507E-3</v>
      </c>
      <c r="F276" s="543">
        <f t="shared" si="115"/>
        <v>1.4515751553664357E-3</v>
      </c>
      <c r="G276" s="548">
        <f t="shared" si="116"/>
        <v>6.5</v>
      </c>
      <c r="H276" s="363">
        <f t="shared" si="117"/>
        <v>1.6466772918250553E-2</v>
      </c>
      <c r="I276" s="363">
        <f t="shared" si="118"/>
        <v>7.1356015979085717E-3</v>
      </c>
      <c r="J276" s="364">
        <f t="shared" si="119"/>
        <v>1.7786386695856405E-2</v>
      </c>
      <c r="K276" s="194">
        <f t="shared" si="120"/>
        <v>1.6466772918250554</v>
      </c>
      <c r="L276" s="646">
        <f t="shared" si="121"/>
        <v>0.13196137776058506</v>
      </c>
      <c r="M276" s="365">
        <f t="shared" si="122"/>
        <v>1.7786386695856404</v>
      </c>
      <c r="N276" s="194">
        <f t="shared" si="123"/>
        <v>0.71356015979085718</v>
      </c>
      <c r="O276" s="422">
        <f t="shared" si="124"/>
        <v>0.14515751553664358</v>
      </c>
      <c r="P276" s="365">
        <f t="shared" si="125"/>
        <v>0.85871767532750076</v>
      </c>
      <c r="Q276" s="193"/>
      <c r="R276" s="193"/>
      <c r="S276" s="193"/>
      <c r="T276" s="193"/>
      <c r="U276" s="193"/>
      <c r="V276" s="193"/>
      <c r="W276" s="193"/>
      <c r="X276" s="193"/>
      <c r="Y276" s="503"/>
      <c r="Z276" s="193"/>
      <c r="AA276" s="520">
        <f t="shared" si="126"/>
        <v>7.9811519402586163E-3</v>
      </c>
      <c r="AB276" s="496"/>
      <c r="AC276" s="521">
        <f t="shared" si="127"/>
        <v>-4.3769905545280471E-2</v>
      </c>
      <c r="AD276" s="496"/>
      <c r="AE276" s="522">
        <f t="shared" si="128"/>
        <v>-3.5788753605021859E-2</v>
      </c>
      <c r="AF276" s="193"/>
      <c r="AG276" s="531">
        <f t="shared" si="129"/>
        <v>-2.6275397334184745E-5</v>
      </c>
      <c r="AH276" s="221" t="str">
        <f t="shared" si="130"/>
        <v>NO</v>
      </c>
      <c r="AI276" s="532">
        <f t="shared" si="131"/>
        <v>1.4409845447005916E-4</v>
      </c>
      <c r="AJ276" s="221" t="str">
        <f t="shared" si="110"/>
        <v>NO</v>
      </c>
      <c r="AK276" s="533">
        <f>IF('IN-OUT'!$F$35=0,AG276,IF('IN-OUT'!$F$26=0,'transversal subsidence profile'!AI276,'transversal subsidence profile'!AG276+'transversal subsidence profile'!AI276))</f>
        <v>1.1782305713587441E-4</v>
      </c>
      <c r="AL276" s="513">
        <f t="shared" si="111"/>
        <v>1000</v>
      </c>
      <c r="AM276" s="362"/>
      <c r="AN276" s="362"/>
    </row>
    <row r="277" spans="1:40" s="340" customFormat="1">
      <c r="A277" s="542">
        <f t="shared" si="132"/>
        <v>16.75</v>
      </c>
      <c r="B277" s="363">
        <f t="shared" si="112"/>
        <v>1.204564692431735E-3</v>
      </c>
      <c r="C277" s="543">
        <f t="shared" si="113"/>
        <v>1.3450972398821042E-3</v>
      </c>
      <c r="D277" s="542">
        <f t="shared" si="133"/>
        <v>16.75</v>
      </c>
      <c r="E277" s="363">
        <f t="shared" si="114"/>
        <v>1.204564692431735E-3</v>
      </c>
      <c r="F277" s="543">
        <f t="shared" si="115"/>
        <v>1.3450972398821042E-3</v>
      </c>
      <c r="G277" s="548">
        <f t="shared" si="116"/>
        <v>6.75</v>
      </c>
      <c r="H277" s="363">
        <f t="shared" si="117"/>
        <v>1.5878935539418163E-2</v>
      </c>
      <c r="I277" s="363">
        <f t="shared" si="118"/>
        <v>7.1455209927381745E-3</v>
      </c>
      <c r="J277" s="364">
        <f t="shared" si="119"/>
        <v>1.7083500231849898E-2</v>
      </c>
      <c r="K277" s="194">
        <f t="shared" si="120"/>
        <v>1.5878935539418164</v>
      </c>
      <c r="L277" s="646">
        <f t="shared" si="121"/>
        <v>0.12045646924317349</v>
      </c>
      <c r="M277" s="365">
        <f t="shared" si="122"/>
        <v>1.70835002318499</v>
      </c>
      <c r="N277" s="194">
        <f t="shared" si="123"/>
        <v>0.71455209927381746</v>
      </c>
      <c r="O277" s="422">
        <f t="shared" si="124"/>
        <v>0.13450972398821043</v>
      </c>
      <c r="P277" s="365">
        <f t="shared" si="125"/>
        <v>0.84906182326202795</v>
      </c>
      <c r="Q277" s="193"/>
      <c r="R277" s="193"/>
      <c r="S277" s="193"/>
      <c r="T277" s="193"/>
      <c r="U277" s="193"/>
      <c r="V277" s="193"/>
      <c r="W277" s="193"/>
      <c r="X277" s="193"/>
      <c r="Y277" s="503"/>
      <c r="Z277" s="193"/>
      <c r="AA277" s="520">
        <f t="shared" si="126"/>
        <v>0</v>
      </c>
      <c r="AB277" s="496"/>
      <c r="AC277" s="521">
        <f t="shared" si="127"/>
        <v>-4.1418959703185397E-2</v>
      </c>
      <c r="AD277" s="496"/>
      <c r="AE277" s="522">
        <f t="shared" si="128"/>
        <v>-4.1418959703185397E-2</v>
      </c>
      <c r="AF277" s="193"/>
      <c r="AG277" s="531">
        <f t="shared" si="129"/>
        <v>0</v>
      </c>
      <c r="AH277" s="221">
        <f t="shared" si="130"/>
        <v>6.75</v>
      </c>
      <c r="AI277" s="532">
        <f t="shared" si="131"/>
        <v>1.3635871507221531E-4</v>
      </c>
      <c r="AJ277" s="221" t="str">
        <f t="shared" si="110"/>
        <v>NO</v>
      </c>
      <c r="AK277" s="533">
        <f>IF('IN-OUT'!$F$35=0,AG277,IF('IN-OUT'!$F$26=0,'transversal subsidence profile'!AI277,'transversal subsidence profile'!AG277+'transversal subsidence profile'!AI277))</f>
        <v>1.3635871507221531E-4</v>
      </c>
      <c r="AL277" s="513">
        <f t="shared" si="111"/>
        <v>1000</v>
      </c>
      <c r="AM277" s="362"/>
      <c r="AN277" s="362"/>
    </row>
    <row r="278" spans="1:40" s="340" customFormat="1">
      <c r="A278" s="542">
        <f t="shared" si="132"/>
        <v>17</v>
      </c>
      <c r="B278" s="363">
        <f t="shared" si="112"/>
        <v>1.0980387764468608E-3</v>
      </c>
      <c r="C278" s="543">
        <f t="shared" si="113"/>
        <v>1.2444439466397755E-3</v>
      </c>
      <c r="D278" s="542">
        <f t="shared" si="133"/>
        <v>17</v>
      </c>
      <c r="E278" s="363">
        <f t="shared" si="114"/>
        <v>1.0980387764468608E-3</v>
      </c>
      <c r="F278" s="543">
        <f t="shared" si="115"/>
        <v>1.2444439466397755E-3</v>
      </c>
      <c r="G278" s="548">
        <f t="shared" si="116"/>
        <v>7</v>
      </c>
      <c r="H278" s="363">
        <f t="shared" si="117"/>
        <v>1.5291093182570586E-2</v>
      </c>
      <c r="I278" s="363">
        <f t="shared" si="118"/>
        <v>7.1358434851996055E-3</v>
      </c>
      <c r="J278" s="364">
        <f t="shared" si="119"/>
        <v>1.6389131959017447E-2</v>
      </c>
      <c r="K278" s="194">
        <f t="shared" si="120"/>
        <v>1.5291093182570585</v>
      </c>
      <c r="L278" s="646">
        <f t="shared" si="121"/>
        <v>0.10980387764468608</v>
      </c>
      <c r="M278" s="365">
        <f t="shared" si="122"/>
        <v>1.6389131959017447</v>
      </c>
      <c r="N278" s="194">
        <f t="shared" si="123"/>
        <v>0.71358434851996055</v>
      </c>
      <c r="O278" s="422">
        <f t="shared" si="124"/>
        <v>0.12444439466397755</v>
      </c>
      <c r="P278" s="365">
        <f t="shared" si="125"/>
        <v>0.83802874318393816</v>
      </c>
      <c r="Q278" s="193"/>
      <c r="R278" s="193"/>
      <c r="S278" s="193"/>
      <c r="T278" s="193"/>
      <c r="U278" s="193"/>
      <c r="V278" s="193"/>
      <c r="W278" s="193"/>
      <c r="X278" s="193"/>
      <c r="Y278" s="503"/>
      <c r="Z278" s="193"/>
      <c r="AA278" s="520">
        <f t="shared" si="126"/>
        <v>-7.6909933702915666E-3</v>
      </c>
      <c r="AB278" s="496"/>
      <c r="AC278" s="521">
        <f t="shared" si="127"/>
        <v>-3.9111669266214198E-2</v>
      </c>
      <c r="AD278" s="496"/>
      <c r="AE278" s="522">
        <f t="shared" si="128"/>
        <v>-4.6802662636505767E-2</v>
      </c>
      <c r="AF278" s="193"/>
      <c r="AG278" s="531">
        <f t="shared" si="129"/>
        <v>2.5320142782852895E-5</v>
      </c>
      <c r="AH278" s="221" t="str">
        <f t="shared" si="130"/>
        <v>NO</v>
      </c>
      <c r="AI278" s="532">
        <f t="shared" si="131"/>
        <v>1.2876269717272164E-4</v>
      </c>
      <c r="AJ278" s="221" t="str">
        <f t="shared" si="110"/>
        <v>NO</v>
      </c>
      <c r="AK278" s="533">
        <f>IF('IN-OUT'!$F$35=0,AG278,IF('IN-OUT'!$F$26=0,'transversal subsidence profile'!AI278,'transversal subsidence profile'!AG278+'transversal subsidence profile'!AI278))</f>
        <v>1.5408283995557454E-4</v>
      </c>
      <c r="AL278" s="513">
        <f t="shared" si="111"/>
        <v>1000</v>
      </c>
      <c r="AM278" s="362"/>
      <c r="AN278" s="362"/>
    </row>
    <row r="279" spans="1:40" s="340" customFormat="1">
      <c r="A279" s="542">
        <f t="shared" si="132"/>
        <v>17.25</v>
      </c>
      <c r="B279" s="363">
        <f t="shared" si="112"/>
        <v>9.9956141948862151E-4</v>
      </c>
      <c r="C279" s="543">
        <f t="shared" si="113"/>
        <v>1.1494956324119149E-3</v>
      </c>
      <c r="D279" s="542">
        <f t="shared" si="133"/>
        <v>17.25</v>
      </c>
      <c r="E279" s="363">
        <f t="shared" si="114"/>
        <v>9.9956141948862151E-4</v>
      </c>
      <c r="F279" s="543">
        <f t="shared" si="115"/>
        <v>1.1494956324119149E-3</v>
      </c>
      <c r="G279" s="548">
        <f t="shared" si="116"/>
        <v>7.25</v>
      </c>
      <c r="H279" s="363">
        <f t="shared" si="117"/>
        <v>1.4704827831110668E-2</v>
      </c>
      <c r="I279" s="363">
        <f t="shared" si="118"/>
        <v>7.1073334517034892E-3</v>
      </c>
      <c r="J279" s="364">
        <f t="shared" si="119"/>
        <v>1.570438925059929E-2</v>
      </c>
      <c r="K279" s="194">
        <f t="shared" si="120"/>
        <v>1.4704827831110667</v>
      </c>
      <c r="L279" s="646">
        <f t="shared" si="121"/>
        <v>9.9956141948862154E-2</v>
      </c>
      <c r="M279" s="365">
        <f t="shared" si="122"/>
        <v>1.5704389250599289</v>
      </c>
      <c r="N279" s="194">
        <f t="shared" si="123"/>
        <v>0.71073334517034892</v>
      </c>
      <c r="O279" s="422">
        <f t="shared" si="124"/>
        <v>0.11494956324119149</v>
      </c>
      <c r="P279" s="365">
        <f t="shared" si="125"/>
        <v>0.82568290841154046</v>
      </c>
      <c r="Q279" s="193"/>
      <c r="R279" s="193"/>
      <c r="S279" s="193"/>
      <c r="T279" s="193"/>
      <c r="U279" s="193"/>
      <c r="V279" s="193"/>
      <c r="W279" s="193"/>
      <c r="X279" s="193"/>
      <c r="Y279" s="503"/>
      <c r="Z279" s="193"/>
      <c r="AA279" s="520">
        <f t="shared" si="126"/>
        <v>-1.5061186255915822E-2</v>
      </c>
      <c r="AB279" s="496"/>
      <c r="AC279" s="521">
        <f t="shared" si="127"/>
        <v>-3.6856256455218304E-2</v>
      </c>
      <c r="AD279" s="496"/>
      <c r="AE279" s="522">
        <f t="shared" si="128"/>
        <v>-5.1917442711134125E-2</v>
      </c>
      <c r="AF279" s="193"/>
      <c r="AG279" s="531">
        <f t="shared" si="129"/>
        <v>4.9584152282850445E-5</v>
      </c>
      <c r="AH279" s="221" t="str">
        <f t="shared" si="130"/>
        <v>NO</v>
      </c>
      <c r="AI279" s="532">
        <f t="shared" si="131"/>
        <v>1.2133746981141829E-4</v>
      </c>
      <c r="AJ279" s="221" t="str">
        <f t="shared" si="110"/>
        <v>NO</v>
      </c>
      <c r="AK279" s="533">
        <f>IF('IN-OUT'!$F$35=0,AG279,IF('IN-OUT'!$F$26=0,'transversal subsidence profile'!AI279,'transversal subsidence profile'!AG279+'transversal subsidence profile'!AI279))</f>
        <v>1.7092162209426874E-4</v>
      </c>
      <c r="AL279" s="513">
        <f t="shared" si="111"/>
        <v>1000</v>
      </c>
      <c r="AM279" s="362"/>
      <c r="AN279" s="362"/>
    </row>
    <row r="280" spans="1:40" s="340" customFormat="1">
      <c r="A280" s="542">
        <f t="shared" si="132"/>
        <v>17.5</v>
      </c>
      <c r="B280" s="363">
        <f t="shared" si="112"/>
        <v>9.0866866742590074E-4</v>
      </c>
      <c r="C280" s="543">
        <f t="shared" si="113"/>
        <v>1.0601134453302175E-3</v>
      </c>
      <c r="D280" s="542">
        <f t="shared" si="133"/>
        <v>17.5</v>
      </c>
      <c r="E280" s="363">
        <f t="shared" si="114"/>
        <v>9.0866866742590074E-4</v>
      </c>
      <c r="F280" s="543">
        <f t="shared" si="115"/>
        <v>1.0601134453302175E-3</v>
      </c>
      <c r="G280" s="548">
        <f t="shared" si="116"/>
        <v>7.5</v>
      </c>
      <c r="H280" s="363">
        <f t="shared" si="117"/>
        <v>1.4121655516907592E-2</v>
      </c>
      <c r="I280" s="363">
        <f t="shared" si="118"/>
        <v>7.0608277584537959E-3</v>
      </c>
      <c r="J280" s="364">
        <f t="shared" si="119"/>
        <v>1.5030324184333492E-2</v>
      </c>
      <c r="K280" s="194">
        <f t="shared" si="120"/>
        <v>1.4121655516907592</v>
      </c>
      <c r="L280" s="646">
        <f t="shared" si="121"/>
        <v>9.0866866742590077E-2</v>
      </c>
      <c r="M280" s="365">
        <f t="shared" si="122"/>
        <v>1.5030324184333492</v>
      </c>
      <c r="N280" s="194">
        <f t="shared" si="123"/>
        <v>0.7060827758453796</v>
      </c>
      <c r="O280" s="422">
        <f t="shared" si="124"/>
        <v>0.10601134453302175</v>
      </c>
      <c r="P280" s="365">
        <f t="shared" si="125"/>
        <v>0.81209412037840134</v>
      </c>
      <c r="Q280" s="193"/>
      <c r="R280" s="193"/>
      <c r="S280" s="193"/>
      <c r="T280" s="193"/>
      <c r="U280" s="193"/>
      <c r="V280" s="193"/>
      <c r="W280" s="193"/>
      <c r="X280" s="193"/>
      <c r="Y280" s="503"/>
      <c r="Z280" s="193"/>
      <c r="AA280" s="520">
        <f t="shared" si="126"/>
        <v>-2.2083247310390467E-2</v>
      </c>
      <c r="AB280" s="496"/>
      <c r="AC280" s="521">
        <f t="shared" si="127"/>
        <v>-3.4659872078952277E-2</v>
      </c>
      <c r="AD280" s="496"/>
      <c r="AE280" s="522">
        <f t="shared" si="128"/>
        <v>-5.6743119389342747E-2</v>
      </c>
      <c r="AF280" s="193"/>
      <c r="AG280" s="531">
        <f t="shared" si="129"/>
        <v>7.2702048758487112E-5</v>
      </c>
      <c r="AH280" s="221" t="str">
        <f t="shared" si="130"/>
        <v>NO</v>
      </c>
      <c r="AI280" s="532">
        <f t="shared" si="131"/>
        <v>1.1410657474552191E-4</v>
      </c>
      <c r="AJ280" s="221" t="str">
        <f t="shared" si="110"/>
        <v>NO</v>
      </c>
      <c r="AK280" s="533">
        <f>IF('IN-OUT'!$F$35=0,AG280,IF('IN-OUT'!$F$26=0,'transversal subsidence profile'!AI280,'transversal subsidence profile'!AG280+'transversal subsidence profile'!AI280))</f>
        <v>1.8680862350400901E-4</v>
      </c>
      <c r="AL280" s="513">
        <f t="shared" si="111"/>
        <v>1000</v>
      </c>
      <c r="AM280" s="362"/>
      <c r="AN280" s="362"/>
    </row>
    <row r="281" spans="1:40" s="340" customFormat="1">
      <c r="A281" s="542">
        <f t="shared" si="132"/>
        <v>17.75</v>
      </c>
      <c r="B281" s="363">
        <f t="shared" si="112"/>
        <v>8.2490869420467786E-4</v>
      </c>
      <c r="C281" s="543">
        <f t="shared" si="113"/>
        <v>9.7614195480886883E-4</v>
      </c>
      <c r="D281" s="542">
        <f t="shared" si="133"/>
        <v>17.75</v>
      </c>
      <c r="E281" s="363">
        <f t="shared" si="114"/>
        <v>8.2490869420467786E-4</v>
      </c>
      <c r="F281" s="543">
        <f t="shared" si="115"/>
        <v>9.7614195480886883E-4</v>
      </c>
      <c r="G281" s="548">
        <f t="shared" si="116"/>
        <v>7.75</v>
      </c>
      <c r="H281" s="363">
        <f t="shared" si="117"/>
        <v>1.3543020698165252E-2</v>
      </c>
      <c r="I281" s="363">
        <f t="shared" si="118"/>
        <v>6.9972273607187135E-3</v>
      </c>
      <c r="J281" s="364">
        <f t="shared" si="119"/>
        <v>1.436792939236993E-2</v>
      </c>
      <c r="K281" s="194">
        <f t="shared" si="120"/>
        <v>1.3543020698165253</v>
      </c>
      <c r="L281" s="646">
        <f t="shared" si="121"/>
        <v>8.249086942046778E-2</v>
      </c>
      <c r="M281" s="365">
        <f t="shared" si="122"/>
        <v>1.4367929392369931</v>
      </c>
      <c r="N281" s="194">
        <f t="shared" si="123"/>
        <v>0.69972273607187141</v>
      </c>
      <c r="O281" s="422">
        <f t="shared" si="124"/>
        <v>9.7614195480886887E-2</v>
      </c>
      <c r="P281" s="365">
        <f t="shared" si="125"/>
        <v>0.79733693155275831</v>
      </c>
      <c r="Q281" s="193"/>
      <c r="R281" s="193"/>
      <c r="S281" s="193"/>
      <c r="T281" s="193"/>
      <c r="U281" s="193"/>
      <c r="V281" s="193"/>
      <c r="W281" s="193"/>
      <c r="X281" s="193"/>
      <c r="Y281" s="503"/>
      <c r="Z281" s="193"/>
      <c r="AA281" s="520">
        <f t="shared" si="126"/>
        <v>-2.873324921787232E-2</v>
      </c>
      <c r="AB281" s="496"/>
      <c r="AC281" s="521">
        <f t="shared" si="127"/>
        <v>-3.2528635477005678E-2</v>
      </c>
      <c r="AD281" s="496"/>
      <c r="AE281" s="522">
        <f t="shared" si="128"/>
        <v>-6.1261884694877998E-2</v>
      </c>
      <c r="AF281" s="193"/>
      <c r="AG281" s="531">
        <f t="shared" si="129"/>
        <v>9.4595059153489112E-5</v>
      </c>
      <c r="AH281" s="221" t="str">
        <f t="shared" si="130"/>
        <v>NO</v>
      </c>
      <c r="AI281" s="532">
        <f t="shared" si="131"/>
        <v>1.0709015794898989E-4</v>
      </c>
      <c r="AJ281" s="221" t="str">
        <f t="shared" si="110"/>
        <v>NO</v>
      </c>
      <c r="AK281" s="533">
        <f>IF('IN-OUT'!$F$35=0,AG281,IF('IN-OUT'!$F$26=0,'transversal subsidence profile'!AI281,'transversal subsidence profile'!AG281+'transversal subsidence profile'!AI281))</f>
        <v>2.0168521710247901E-4</v>
      </c>
      <c r="AL281" s="513">
        <f t="shared" si="111"/>
        <v>1000</v>
      </c>
      <c r="AM281" s="362"/>
      <c r="AN281" s="362"/>
    </row>
    <row r="282" spans="1:40" s="340" customFormat="1">
      <c r="A282" s="542">
        <f t="shared" si="132"/>
        <v>18</v>
      </c>
      <c r="B282" s="363">
        <f t="shared" si="112"/>
        <v>7.4784306175714106E-4</v>
      </c>
      <c r="C282" s="543">
        <f t="shared" si="113"/>
        <v>8.974116741085694E-4</v>
      </c>
      <c r="D282" s="542">
        <f t="shared" si="133"/>
        <v>18</v>
      </c>
      <c r="E282" s="363">
        <f t="shared" si="114"/>
        <v>7.4784306175714106E-4</v>
      </c>
      <c r="F282" s="543">
        <f t="shared" si="115"/>
        <v>8.974116741085694E-4</v>
      </c>
      <c r="G282" s="548">
        <f t="shared" si="116"/>
        <v>8</v>
      </c>
      <c r="H282" s="363">
        <f t="shared" si="117"/>
        <v>1.2970291337097047E-2</v>
      </c>
      <c r="I282" s="363">
        <f t="shared" si="118"/>
        <v>6.9174887131184248E-3</v>
      </c>
      <c r="J282" s="364">
        <f t="shared" si="119"/>
        <v>1.3718134398854187E-2</v>
      </c>
      <c r="K282" s="194">
        <f t="shared" si="120"/>
        <v>1.2970291337097046</v>
      </c>
      <c r="L282" s="646">
        <f t="shared" si="121"/>
        <v>7.4784306175714105E-2</v>
      </c>
      <c r="M282" s="365">
        <f t="shared" si="122"/>
        <v>1.3718134398854187</v>
      </c>
      <c r="N282" s="194">
        <f t="shared" si="123"/>
        <v>0.69174887131184248</v>
      </c>
      <c r="O282" s="422">
        <f t="shared" si="124"/>
        <v>8.9741167410856942E-2</v>
      </c>
      <c r="P282" s="365">
        <f t="shared" si="125"/>
        <v>0.7814900387226994</v>
      </c>
      <c r="Q282" s="193"/>
      <c r="R282" s="193"/>
      <c r="S282" s="193"/>
      <c r="T282" s="193"/>
      <c r="U282" s="193"/>
      <c r="V282" s="193"/>
      <c r="W282" s="193"/>
      <c r="X282" s="193"/>
      <c r="Y282" s="503"/>
      <c r="Z282" s="193"/>
      <c r="AA282" s="520">
        <f t="shared" si="126"/>
        <v>-3.4990726515259515E-2</v>
      </c>
      <c r="AB282" s="496"/>
      <c r="AC282" s="521">
        <f t="shared" si="127"/>
        <v>-3.0467680293809453E-2</v>
      </c>
      <c r="AD282" s="496"/>
      <c r="AE282" s="522">
        <f t="shared" si="128"/>
        <v>-6.5458406809068975E-2</v>
      </c>
      <c r="AF282" s="193"/>
      <c r="AG282" s="531">
        <f t="shared" si="129"/>
        <v>1.1519580745764449E-4</v>
      </c>
      <c r="AH282" s="221" t="str">
        <f t="shared" si="130"/>
        <v>NO</v>
      </c>
      <c r="AI282" s="532">
        <f t="shared" si="131"/>
        <v>1.0030512030883768E-4</v>
      </c>
      <c r="AJ282" s="221" t="str">
        <f t="shared" si="110"/>
        <v>NO</v>
      </c>
      <c r="AK282" s="533">
        <f>IF('IN-OUT'!$F$35=0,AG282,IF('IN-OUT'!$F$26=0,'transversal subsidence profile'!AI282,'transversal subsidence profile'!AG282+'transversal subsidence profile'!AI282))</f>
        <v>2.1550092776648216E-4</v>
      </c>
      <c r="AL282" s="513">
        <f t="shared" si="111"/>
        <v>1000</v>
      </c>
    </row>
    <row r="283" spans="1:40" s="340" customFormat="1">
      <c r="A283" s="542">
        <f t="shared" si="132"/>
        <v>18.25</v>
      </c>
      <c r="B283" s="363">
        <f t="shared" si="112"/>
        <v>6.7704777717553515E-4</v>
      </c>
      <c r="C283" s="543">
        <f t="shared" si="113"/>
        <v>8.2374146223023435E-4</v>
      </c>
      <c r="D283" s="542">
        <f t="shared" si="133"/>
        <v>18.25</v>
      </c>
      <c r="E283" s="363">
        <f t="shared" si="114"/>
        <v>6.7704777717553515E-4</v>
      </c>
      <c r="F283" s="543">
        <f t="shared" si="115"/>
        <v>8.2374146223023435E-4</v>
      </c>
      <c r="G283" s="548">
        <f t="shared" si="116"/>
        <v>8.25</v>
      </c>
      <c r="H283" s="363">
        <f t="shared" si="117"/>
        <v>1.2404754689318138E-2</v>
      </c>
      <c r="I283" s="363">
        <f t="shared" si="118"/>
        <v>6.8226150791249763E-3</v>
      </c>
      <c r="J283" s="364">
        <f t="shared" si="119"/>
        <v>1.3081802466493674E-2</v>
      </c>
      <c r="K283" s="194">
        <f t="shared" si="120"/>
        <v>1.2404754689318138</v>
      </c>
      <c r="L283" s="646">
        <f t="shared" si="121"/>
        <v>6.770477771755351E-2</v>
      </c>
      <c r="M283" s="365">
        <f t="shared" si="122"/>
        <v>1.3081802466493673</v>
      </c>
      <c r="N283" s="194">
        <f t="shared" si="123"/>
        <v>0.68226150791249762</v>
      </c>
      <c r="O283" s="422">
        <f t="shared" si="124"/>
        <v>8.2374146223023442E-2</v>
      </c>
      <c r="P283" s="365">
        <f t="shared" si="125"/>
        <v>0.76463565413552104</v>
      </c>
      <c r="Q283" s="193"/>
      <c r="R283" s="193"/>
      <c r="S283" s="193"/>
      <c r="T283" s="193"/>
      <c r="U283" s="193"/>
      <c r="V283" s="193"/>
      <c r="W283" s="193"/>
      <c r="X283" s="193"/>
      <c r="Y283" s="503"/>
      <c r="Z283" s="193"/>
      <c r="AA283" s="520">
        <f t="shared" si="126"/>
        <v>-4.0838698565656417E-2</v>
      </c>
      <c r="AB283" s="496"/>
      <c r="AC283" s="521">
        <f t="shared" si="127"/>
        <v>-2.8481205075514049E-2</v>
      </c>
      <c r="AD283" s="496"/>
      <c r="AE283" s="522">
        <f t="shared" si="128"/>
        <v>-6.9319903641170466E-2</v>
      </c>
      <c r="AF283" s="193"/>
      <c r="AG283" s="531">
        <f t="shared" si="129"/>
        <v>1.344483903396096E-4</v>
      </c>
      <c r="AH283" s="221" t="str">
        <f t="shared" si="130"/>
        <v>NO</v>
      </c>
      <c r="AI283" s="532">
        <f t="shared" si="131"/>
        <v>9.3765284199223204E-5</v>
      </c>
      <c r="AJ283" s="221" t="str">
        <f t="shared" si="110"/>
        <v>NO</v>
      </c>
      <c r="AK283" s="533">
        <f>IF('IN-OUT'!$F$35=0,AG283,IF('IN-OUT'!$F$26=0,'transversal subsidence profile'!AI283,'transversal subsidence profile'!AG283+'transversal subsidence profile'!AI283))</f>
        <v>2.2821367453883281E-4</v>
      </c>
      <c r="AL283" s="513">
        <f t="shared" si="111"/>
        <v>1000</v>
      </c>
    </row>
    <row r="284" spans="1:40" s="340" customFormat="1">
      <c r="A284" s="542">
        <f t="shared" si="132"/>
        <v>18.5</v>
      </c>
      <c r="B284" s="363">
        <f t="shared" si="112"/>
        <v>6.1211415754493497E-4</v>
      </c>
      <c r="C284" s="543">
        <f t="shared" si="113"/>
        <v>7.5494079430541978E-4</v>
      </c>
      <c r="D284" s="542">
        <f t="shared" si="133"/>
        <v>18.5</v>
      </c>
      <c r="E284" s="363">
        <f t="shared" si="114"/>
        <v>6.1211415754493497E-4</v>
      </c>
      <c r="F284" s="543">
        <f t="shared" si="115"/>
        <v>7.5494079430541978E-4</v>
      </c>
      <c r="G284" s="548">
        <f t="shared" si="116"/>
        <v>8.5</v>
      </c>
      <c r="H284" s="363">
        <f t="shared" si="117"/>
        <v>1.1847613809702531E-2</v>
      </c>
      <c r="I284" s="363">
        <f t="shared" si="118"/>
        <v>6.7136478254981001E-3</v>
      </c>
      <c r="J284" s="364">
        <f t="shared" si="119"/>
        <v>1.2459727967247466E-2</v>
      </c>
      <c r="K284" s="194">
        <f t="shared" si="120"/>
        <v>1.1847613809702531</v>
      </c>
      <c r="L284" s="646">
        <f t="shared" si="121"/>
        <v>6.1211415754493501E-2</v>
      </c>
      <c r="M284" s="365">
        <f t="shared" si="122"/>
        <v>1.2459727967247465</v>
      </c>
      <c r="N284" s="194">
        <f t="shared" si="123"/>
        <v>0.67136478254981002</v>
      </c>
      <c r="O284" s="422">
        <f t="shared" si="124"/>
        <v>7.5494079430541983E-2</v>
      </c>
      <c r="P284" s="365">
        <f t="shared" si="125"/>
        <v>0.74685886198035201</v>
      </c>
      <c r="Q284" s="193"/>
      <c r="R284" s="193"/>
      <c r="S284" s="193"/>
      <c r="T284" s="193"/>
      <c r="U284" s="193"/>
      <c r="V284" s="193"/>
      <c r="W284" s="193"/>
      <c r="X284" s="193"/>
      <c r="Y284" s="503"/>
      <c r="Z284" s="193"/>
      <c r="AA284" s="520">
        <f t="shared" si="126"/>
        <v>-4.6263658863676088E-2</v>
      </c>
      <c r="AB284" s="496"/>
      <c r="AC284" s="521">
        <f t="shared" si="127"/>
        <v>-2.6572527717108427E-2</v>
      </c>
      <c r="AD284" s="496"/>
      <c r="AE284" s="522">
        <f t="shared" si="128"/>
        <v>-7.2836186580784515E-2</v>
      </c>
      <c r="AF284" s="193"/>
      <c r="AG284" s="531">
        <f t="shared" si="129"/>
        <v>1.5230834193802825E-4</v>
      </c>
      <c r="AH284" s="221" t="str">
        <f t="shared" si="130"/>
        <v>NO</v>
      </c>
      <c r="AI284" s="532">
        <f t="shared" si="131"/>
        <v>8.7481572731221157E-5</v>
      </c>
      <c r="AJ284" s="221" t="str">
        <f t="shared" si="110"/>
        <v>NO</v>
      </c>
      <c r="AK284" s="533">
        <f>IF('IN-OUT'!$F$35=0,AG284,IF('IN-OUT'!$F$26=0,'transversal subsidence profile'!AI284,'transversal subsidence profile'!AG284+'transversal subsidence profile'!AI284))</f>
        <v>2.397899146692494E-4</v>
      </c>
      <c r="AL284" s="513">
        <f t="shared" si="111"/>
        <v>1000</v>
      </c>
    </row>
    <row r="285" spans="1:40" s="340" customFormat="1">
      <c r="A285" s="542">
        <f t="shared" si="132"/>
        <v>18.75</v>
      </c>
      <c r="B285" s="363">
        <f t="shared" si="112"/>
        <v>5.5264951362214471E-4</v>
      </c>
      <c r="C285" s="543">
        <f t="shared" si="113"/>
        <v>6.9081189202768083E-4</v>
      </c>
      <c r="D285" s="542">
        <f t="shared" si="133"/>
        <v>18.75</v>
      </c>
      <c r="E285" s="363">
        <f t="shared" si="114"/>
        <v>5.5264951362214471E-4</v>
      </c>
      <c r="F285" s="543">
        <f t="shared" si="115"/>
        <v>6.9081189202768083E-4</v>
      </c>
      <c r="G285" s="548">
        <f t="shared" si="116"/>
        <v>8.75</v>
      </c>
      <c r="H285" s="363">
        <f t="shared" si="117"/>
        <v>1.129998477253083E-2</v>
      </c>
      <c r="I285" s="363">
        <f t="shared" si="118"/>
        <v>6.5916577839763169E-3</v>
      </c>
      <c r="J285" s="364">
        <f t="shared" si="119"/>
        <v>1.1852634286152975E-2</v>
      </c>
      <c r="K285" s="194">
        <f t="shared" si="120"/>
        <v>1.1299984772530829</v>
      </c>
      <c r="L285" s="646">
        <f t="shared" si="121"/>
        <v>5.5264951362214473E-2</v>
      </c>
      <c r="M285" s="365">
        <f t="shared" si="122"/>
        <v>1.1852634286152974</v>
      </c>
      <c r="N285" s="194">
        <f t="shared" si="123"/>
        <v>0.65916577839763169</v>
      </c>
      <c r="O285" s="422">
        <f t="shared" si="124"/>
        <v>6.9081189202768081E-2</v>
      </c>
      <c r="P285" s="365">
        <f t="shared" si="125"/>
        <v>0.72824696760039975</v>
      </c>
      <c r="Q285" s="193"/>
      <c r="R285" s="193"/>
      <c r="S285" s="193"/>
      <c r="T285" s="193"/>
      <c r="U285" s="193"/>
      <c r="V285" s="193"/>
      <c r="W285" s="193"/>
      <c r="X285" s="193"/>
      <c r="Y285" s="503"/>
      <c r="Z285" s="193"/>
      <c r="AA285" s="520">
        <f t="shared" si="126"/>
        <v>-5.125553221010784E-2</v>
      </c>
      <c r="AB285" s="496"/>
      <c r="AC285" s="521">
        <f t="shared" si="127"/>
        <v>-2.4744142832135531E-2</v>
      </c>
      <c r="AD285" s="496"/>
      <c r="AE285" s="522">
        <f t="shared" si="128"/>
        <v>-7.5999675042243364E-2</v>
      </c>
      <c r="AF285" s="193"/>
      <c r="AG285" s="531">
        <f t="shared" si="129"/>
        <v>1.6874249287278297E-4</v>
      </c>
      <c r="AH285" s="221" t="str">
        <f t="shared" si="130"/>
        <v>NO</v>
      </c>
      <c r="AI285" s="532">
        <f t="shared" si="131"/>
        <v>8.1462198624314492E-5</v>
      </c>
      <c r="AJ285" s="221" t="str">
        <f t="shared" si="110"/>
        <v>NO</v>
      </c>
      <c r="AK285" s="533">
        <f>IF('IN-OUT'!$F$35=0,AG285,IF('IN-OUT'!$F$26=0,'transversal subsidence profile'!AI285,'transversal subsidence profile'!AG285+'transversal subsidence profile'!AI285))</f>
        <v>2.5020469149709745E-4</v>
      </c>
      <c r="AL285" s="513">
        <f t="shared" si="111"/>
        <v>1000</v>
      </c>
    </row>
    <row r="286" spans="1:40" s="340" customFormat="1">
      <c r="A286" s="542">
        <f t="shared" si="132"/>
        <v>19</v>
      </c>
      <c r="B286" s="363">
        <f t="shared" si="112"/>
        <v>4.9827766415018232E-4</v>
      </c>
      <c r="C286" s="543">
        <f t="shared" si="113"/>
        <v>6.3115170792356432E-4</v>
      </c>
      <c r="D286" s="542">
        <f t="shared" si="133"/>
        <v>19</v>
      </c>
      <c r="E286" s="363">
        <f t="shared" si="114"/>
        <v>4.9827766415018232E-4</v>
      </c>
      <c r="F286" s="543">
        <f t="shared" si="115"/>
        <v>6.3115170792356432E-4</v>
      </c>
      <c r="G286" s="548">
        <f t="shared" si="116"/>
        <v>9</v>
      </c>
      <c r="H286" s="363">
        <f t="shared" si="117"/>
        <v>1.0762894597148773E-2</v>
      </c>
      <c r="I286" s="363">
        <f t="shared" si="118"/>
        <v>6.4577367582892651E-3</v>
      </c>
      <c r="J286" s="364">
        <f t="shared" si="119"/>
        <v>1.1261172261298956E-2</v>
      </c>
      <c r="K286" s="194">
        <f t="shared" si="120"/>
        <v>1.0762894597148773</v>
      </c>
      <c r="L286" s="646">
        <f t="shared" si="121"/>
        <v>4.9827766415018231E-2</v>
      </c>
      <c r="M286" s="365">
        <f t="shared" si="122"/>
        <v>1.1261172261298955</v>
      </c>
      <c r="N286" s="194">
        <f t="shared" si="123"/>
        <v>0.64577367582892653</v>
      </c>
      <c r="O286" s="422">
        <f t="shared" si="124"/>
        <v>6.3115170792356429E-2</v>
      </c>
      <c r="P286" s="365">
        <f t="shared" si="125"/>
        <v>0.70888884662128293</v>
      </c>
      <c r="Q286" s="193"/>
      <c r="R286" s="193"/>
      <c r="S286" s="193"/>
      <c r="T286" s="193"/>
      <c r="U286" s="193"/>
      <c r="V286" s="193"/>
      <c r="W286" s="193"/>
      <c r="X286" s="193"/>
      <c r="Y286" s="503"/>
      <c r="Z286" s="193"/>
      <c r="AA286" s="520">
        <f t="shared" si="126"/>
        <v>-5.5807601614845485E-2</v>
      </c>
      <c r="AB286" s="496"/>
      <c r="AC286" s="521">
        <f t="shared" si="127"/>
        <v>-2.2997781170242069E-2</v>
      </c>
      <c r="AD286" s="496"/>
      <c r="AE286" s="522">
        <f t="shared" si="128"/>
        <v>-7.8805382785087558E-2</v>
      </c>
      <c r="AF286" s="193"/>
      <c r="AG286" s="531">
        <f t="shared" si="129"/>
        <v>1.8372872959619913E-4</v>
      </c>
      <c r="AH286" s="221" t="str">
        <f t="shared" si="130"/>
        <v>NO</v>
      </c>
      <c r="AI286" s="532">
        <f t="shared" si="131"/>
        <v>7.5712859819726969E-5</v>
      </c>
      <c r="AJ286" s="221" t="str">
        <f t="shared" si="110"/>
        <v>NO</v>
      </c>
      <c r="AK286" s="533">
        <f>IF('IN-OUT'!$F$35=0,AG286,IF('IN-OUT'!$F$26=0,'transversal subsidence profile'!AI286,'transversal subsidence profile'!AG286+'transversal subsidence profile'!AI286))</f>
        <v>2.5944158941592613E-4</v>
      </c>
      <c r="AL286" s="513">
        <f t="shared" si="111"/>
        <v>1000</v>
      </c>
    </row>
    <row r="287" spans="1:40" s="340" customFormat="1">
      <c r="A287" s="542">
        <f t="shared" si="132"/>
        <v>19.25</v>
      </c>
      <c r="B287" s="363">
        <f t="shared" si="112"/>
        <v>4.4863929302020323E-4</v>
      </c>
      <c r="C287" s="543">
        <f t="shared" si="113"/>
        <v>5.7575375937592751E-4</v>
      </c>
      <c r="D287" s="542">
        <f t="shared" si="133"/>
        <v>19.25</v>
      </c>
      <c r="E287" s="363">
        <f t="shared" si="114"/>
        <v>4.4863929302020323E-4</v>
      </c>
      <c r="F287" s="543">
        <f t="shared" si="115"/>
        <v>5.7575375937592751E-4</v>
      </c>
      <c r="G287" s="548">
        <f t="shared" si="116"/>
        <v>9.25</v>
      </c>
      <c r="H287" s="363">
        <f t="shared" si="117"/>
        <v>1.0237279864132715E-2</v>
      </c>
      <c r="I287" s="363">
        <f t="shared" si="118"/>
        <v>6.3129892495485075E-3</v>
      </c>
      <c r="J287" s="364">
        <f t="shared" si="119"/>
        <v>1.0685919157152918E-2</v>
      </c>
      <c r="K287" s="194">
        <f t="shared" si="120"/>
        <v>1.0237279864132716</v>
      </c>
      <c r="L287" s="646">
        <f t="shared" si="121"/>
        <v>4.4863929302020322E-2</v>
      </c>
      <c r="M287" s="365">
        <f t="shared" si="122"/>
        <v>1.0685919157152919</v>
      </c>
      <c r="N287" s="194">
        <f t="shared" si="123"/>
        <v>0.63129892495485074</v>
      </c>
      <c r="O287" s="422">
        <f t="shared" si="124"/>
        <v>5.7575375937592752E-2</v>
      </c>
      <c r="P287" s="365">
        <f t="shared" si="125"/>
        <v>0.6888743008924435</v>
      </c>
      <c r="Q287" s="193"/>
      <c r="R287" s="193"/>
      <c r="S287" s="193"/>
      <c r="T287" s="193"/>
      <c r="U287" s="193"/>
      <c r="V287" s="193"/>
      <c r="W287" s="193"/>
      <c r="X287" s="193"/>
      <c r="Y287" s="503"/>
      <c r="Z287" s="193"/>
      <c r="AA287" s="520">
        <f t="shared" si="126"/>
        <v>-5.9916407069455307E-2</v>
      </c>
      <c r="AB287" s="496"/>
      <c r="AC287" s="521">
        <f t="shared" si="127"/>
        <v>-2.1334470267078711E-2</v>
      </c>
      <c r="AD287" s="496"/>
      <c r="AE287" s="522">
        <f t="shared" si="128"/>
        <v>-8.1250877336534022E-2</v>
      </c>
      <c r="AF287" s="193"/>
      <c r="AG287" s="531">
        <f t="shared" si="129"/>
        <v>1.9725566113400924E-4</v>
      </c>
      <c r="AH287" s="221" t="str">
        <f t="shared" si="130"/>
        <v>NO</v>
      </c>
      <c r="AI287" s="532">
        <f t="shared" si="131"/>
        <v>7.0236939150876421E-5</v>
      </c>
      <c r="AJ287" s="221" t="str">
        <f t="shared" si="110"/>
        <v>NO</v>
      </c>
      <c r="AK287" s="533">
        <f>IF('IN-OUT'!$F$35=0,AG287,IF('IN-OUT'!$F$26=0,'transversal subsidence profile'!AI287,'transversal subsidence profile'!AG287+'transversal subsidence profile'!AI287))</f>
        <v>2.6749260028488563E-4</v>
      </c>
      <c r="AL287" s="513">
        <f t="shared" si="111"/>
        <v>1000</v>
      </c>
    </row>
    <row r="288" spans="1:40" s="340" customFormat="1">
      <c r="A288" s="542">
        <f t="shared" si="132"/>
        <v>19.5</v>
      </c>
      <c r="B288" s="363">
        <f t="shared" si="112"/>
        <v>4.0339216174737393E-4</v>
      </c>
      <c r="C288" s="543">
        <f t="shared" si="113"/>
        <v>5.2440981027158614E-4</v>
      </c>
      <c r="D288" s="542">
        <f t="shared" si="133"/>
        <v>19.5</v>
      </c>
      <c r="E288" s="363">
        <f t="shared" si="114"/>
        <v>4.0339216174737393E-4</v>
      </c>
      <c r="F288" s="543">
        <f t="shared" si="115"/>
        <v>5.2440981027158614E-4</v>
      </c>
      <c r="G288" s="548">
        <f t="shared" si="116"/>
        <v>9.5</v>
      </c>
      <c r="H288" s="363">
        <f t="shared" si="117"/>
        <v>9.7239860011743128E-3</v>
      </c>
      <c r="I288" s="363">
        <f t="shared" si="118"/>
        <v>6.158524467410398E-3</v>
      </c>
      <c r="J288" s="364">
        <f t="shared" si="119"/>
        <v>1.0127378162921686E-2</v>
      </c>
      <c r="K288" s="194">
        <f t="shared" si="120"/>
        <v>0.97239860011743129</v>
      </c>
      <c r="L288" s="646">
        <f t="shared" si="121"/>
        <v>4.0339216174737395E-2</v>
      </c>
      <c r="M288" s="365">
        <f t="shared" si="122"/>
        <v>1.0127378162921687</v>
      </c>
      <c r="N288" s="194">
        <f t="shared" si="123"/>
        <v>0.61585244674103978</v>
      </c>
      <c r="O288" s="422">
        <f t="shared" si="124"/>
        <v>5.2440981027158613E-2</v>
      </c>
      <c r="P288" s="365">
        <f t="shared" si="125"/>
        <v>0.66829342776819844</v>
      </c>
      <c r="Q288" s="193"/>
      <c r="R288" s="193"/>
      <c r="S288" s="193"/>
      <c r="T288" s="193"/>
      <c r="U288" s="193"/>
      <c r="V288" s="193"/>
      <c r="W288" s="193"/>
      <c r="X288" s="193"/>
      <c r="Y288" s="503"/>
      <c r="Z288" s="193"/>
      <c r="AA288" s="520">
        <f t="shared" si="126"/>
        <v>-6.3581618571921641E-2</v>
      </c>
      <c r="AB288" s="496"/>
      <c r="AC288" s="521">
        <f t="shared" si="127"/>
        <v>-1.9754595575282918E-2</v>
      </c>
      <c r="AD288" s="496"/>
      <c r="AE288" s="522">
        <f t="shared" si="128"/>
        <v>-8.333621414720456E-2</v>
      </c>
      <c r="AF288" s="193"/>
      <c r="AG288" s="531">
        <f t="shared" si="129"/>
        <v>2.0932220105982435E-4</v>
      </c>
      <c r="AH288" s="221" t="str">
        <f t="shared" si="130"/>
        <v>NO</v>
      </c>
      <c r="AI288" s="532">
        <f t="shared" si="131"/>
        <v>6.5035705597639239E-5</v>
      </c>
      <c r="AJ288" s="221" t="str">
        <f t="shared" si="110"/>
        <v>NO</v>
      </c>
      <c r="AK288" s="533">
        <f>IF('IN-OUT'!$F$35=0,AG288,IF('IN-OUT'!$F$26=0,'transversal subsidence profile'!AI288,'transversal subsidence profile'!AG288+'transversal subsidence profile'!AI288))</f>
        <v>2.743579066574636E-4</v>
      </c>
      <c r="AL288" s="513">
        <f t="shared" si="111"/>
        <v>1000</v>
      </c>
    </row>
    <row r="289" spans="1:38">
      <c r="A289" s="542">
        <f t="shared" si="132"/>
        <v>19.75</v>
      </c>
      <c r="B289" s="363">
        <f t="shared" si="112"/>
        <v>3.6221118982736697E-4</v>
      </c>
      <c r="C289" s="543">
        <f t="shared" si="113"/>
        <v>4.769113999393664E-4</v>
      </c>
      <c r="D289" s="542">
        <f t="shared" si="133"/>
        <v>19.75</v>
      </c>
      <c r="E289" s="363">
        <f t="shared" si="114"/>
        <v>3.6221118982736697E-4</v>
      </c>
      <c r="F289" s="543">
        <f t="shared" si="115"/>
        <v>4.769113999393664E-4</v>
      </c>
      <c r="G289" s="548">
        <f t="shared" si="116"/>
        <v>9.75</v>
      </c>
      <c r="H289" s="363">
        <f t="shared" si="117"/>
        <v>9.2237672126020583E-3</v>
      </c>
      <c r="I289" s="363">
        <f t="shared" si="118"/>
        <v>5.9954486881913377E-3</v>
      </c>
      <c r="J289" s="364">
        <f t="shared" si="119"/>
        <v>9.5859784024294251E-3</v>
      </c>
      <c r="K289" s="194">
        <f t="shared" si="120"/>
        <v>0.92237672126020587</v>
      </c>
      <c r="L289" s="646">
        <f t="shared" si="121"/>
        <v>3.6221118982736694E-2</v>
      </c>
      <c r="M289" s="365">
        <f t="shared" si="122"/>
        <v>0.95859784024294259</v>
      </c>
      <c r="N289" s="194">
        <f t="shared" si="123"/>
        <v>0.59954486881913382</v>
      </c>
      <c r="O289" s="422">
        <f t="shared" si="124"/>
        <v>4.7691139993936642E-2</v>
      </c>
      <c r="P289" s="365">
        <f t="shared" si="125"/>
        <v>0.64723600881307042</v>
      </c>
      <c r="S289" s="193"/>
      <c r="T289" s="193"/>
      <c r="U289" s="193"/>
      <c r="V289" s="193"/>
      <c r="W289" s="193"/>
      <c r="X289" s="193"/>
      <c r="Y289" s="503"/>
      <c r="Z289" s="193"/>
      <c r="AA289" s="520">
        <f t="shared" si="126"/>
        <v>-6.6805885984278265E-2</v>
      </c>
      <c r="AB289" s="496"/>
      <c r="AC289" s="521">
        <f t="shared" si="127"/>
        <v>-1.8257961393035635E-2</v>
      </c>
      <c r="AD289" s="496"/>
      <c r="AE289" s="522">
        <f t="shared" si="128"/>
        <v>-8.50638473773139E-2</v>
      </c>
      <c r="AG289" s="531">
        <f t="shared" si="129"/>
        <v>2.1993707319927001E-4</v>
      </c>
      <c r="AH289" s="221" t="str">
        <f t="shared" si="130"/>
        <v>NO</v>
      </c>
      <c r="AI289" s="532">
        <f t="shared" si="131"/>
        <v>6.0108514874191379E-5</v>
      </c>
      <c r="AJ289" s="221" t="str">
        <f t="shared" si="110"/>
        <v>NO</v>
      </c>
      <c r="AK289" s="533">
        <f>IF('IN-OUT'!$F$35=0,AG289,IF('IN-OUT'!$F$26=0,'transversal subsidence profile'!AI289,'transversal subsidence profile'!AG289+'transversal subsidence profile'!AI289))</f>
        <v>2.8004558807346138E-4</v>
      </c>
      <c r="AL289" s="513">
        <f t="shared" si="111"/>
        <v>1000</v>
      </c>
    </row>
    <row r="290" spans="1:38">
      <c r="A290" s="542">
        <f t="shared" si="132"/>
        <v>20</v>
      </c>
      <c r="B290" s="363">
        <f t="shared" si="112"/>
        <v>3.247884154997016E-4</v>
      </c>
      <c r="C290" s="543">
        <f t="shared" si="113"/>
        <v>4.3305122066626884E-4</v>
      </c>
      <c r="D290" s="542">
        <f t="shared" si="133"/>
        <v>20</v>
      </c>
      <c r="E290" s="363">
        <f t="shared" si="114"/>
        <v>3.247884154997016E-4</v>
      </c>
      <c r="F290" s="543">
        <f t="shared" si="115"/>
        <v>4.3305122066626884E-4</v>
      </c>
      <c r="G290" s="548">
        <f t="shared" si="116"/>
        <v>10</v>
      </c>
      <c r="H290" s="363">
        <f t="shared" si="117"/>
        <v>8.7372870216931454E-3</v>
      </c>
      <c r="I290" s="363">
        <f t="shared" si="118"/>
        <v>5.8248580144620969E-3</v>
      </c>
      <c r="J290" s="364">
        <f t="shared" si="119"/>
        <v>9.0620754371928472E-3</v>
      </c>
      <c r="K290" s="194">
        <f t="shared" si="120"/>
        <v>0.87372870216931453</v>
      </c>
      <c r="L290" s="646">
        <f t="shared" si="121"/>
        <v>3.2478841549970161E-2</v>
      </c>
      <c r="M290" s="365">
        <f t="shared" si="122"/>
        <v>0.90620754371928469</v>
      </c>
      <c r="N290" s="194">
        <f t="shared" si="123"/>
        <v>0.58248580144620965</v>
      </c>
      <c r="O290" s="422">
        <f t="shared" si="124"/>
        <v>4.3305122066626886E-2</v>
      </c>
      <c r="P290" s="365">
        <f t="shared" si="125"/>
        <v>0.62579092351283649</v>
      </c>
      <c r="S290" s="193"/>
      <c r="T290" s="193"/>
      <c r="U290" s="193"/>
      <c r="V290" s="193"/>
      <c r="W290" s="193"/>
      <c r="X290" s="193"/>
      <c r="Y290" s="503"/>
      <c r="Z290" s="193"/>
      <c r="AA290" s="520">
        <f t="shared" si="126"/>
        <v>-6.9594668458113657E-2</v>
      </c>
      <c r="AB290" s="496"/>
      <c r="AC290" s="521">
        <f t="shared" si="127"/>
        <v>-1.6843850976669482E-2</v>
      </c>
      <c r="AD290" s="496"/>
      <c r="AE290" s="522">
        <f t="shared" si="128"/>
        <v>-8.6438519434783145E-2</v>
      </c>
      <c r="AG290" s="531">
        <f t="shared" si="129"/>
        <v>2.291182500678639E-4</v>
      </c>
      <c r="AH290" s="221" t="str">
        <f t="shared" si="130"/>
        <v>NO</v>
      </c>
      <c r="AI290" s="532">
        <f t="shared" si="131"/>
        <v>5.5453007330599119E-5</v>
      </c>
      <c r="AJ290" s="221" t="str">
        <f t="shared" si="110"/>
        <v>NO</v>
      </c>
      <c r="AK290" s="533">
        <f>IF('IN-OUT'!$F$35=0,AG290,IF('IN-OUT'!$F$26=0,'transversal subsidence profile'!AI290,'transversal subsidence profile'!AG290+'transversal subsidence profile'!AI290))</f>
        <v>2.8457125739846301E-4</v>
      </c>
      <c r="AL290" s="513">
        <f t="shared" si="111"/>
        <v>1000</v>
      </c>
    </row>
    <row r="291" spans="1:38">
      <c r="A291" s="542">
        <f t="shared" si="132"/>
        <v>20.25</v>
      </c>
      <c r="B291" s="363">
        <f t="shared" si="112"/>
        <v>2.908328492774706E-4</v>
      </c>
      <c r="C291" s="543">
        <f t="shared" si="113"/>
        <v>3.9262434652458534E-4</v>
      </c>
      <c r="D291" s="542">
        <f t="shared" si="133"/>
        <v>20.25</v>
      </c>
      <c r="E291" s="363">
        <f t="shared" si="114"/>
        <v>2.908328492774706E-4</v>
      </c>
      <c r="F291" s="543">
        <f t="shared" si="115"/>
        <v>3.9262434652458534E-4</v>
      </c>
      <c r="G291" s="548">
        <f t="shared" si="116"/>
        <v>10.25</v>
      </c>
      <c r="H291" s="363">
        <f t="shared" si="117"/>
        <v>8.265119390726822E-3</v>
      </c>
      <c r="I291" s="363">
        <f t="shared" si="118"/>
        <v>5.6478315836633276E-3</v>
      </c>
      <c r="J291" s="364">
        <f t="shared" si="119"/>
        <v>8.5559522400042928E-3</v>
      </c>
      <c r="K291" s="194">
        <f t="shared" si="120"/>
        <v>0.82651193907268217</v>
      </c>
      <c r="L291" s="646">
        <f t="shared" si="121"/>
        <v>2.9083284927747061E-2</v>
      </c>
      <c r="M291" s="365">
        <f t="shared" si="122"/>
        <v>0.8555952240004292</v>
      </c>
      <c r="N291" s="194">
        <f t="shared" si="123"/>
        <v>0.56478315836633275</v>
      </c>
      <c r="O291" s="422">
        <f t="shared" si="124"/>
        <v>3.926243465245853E-2</v>
      </c>
      <c r="P291" s="365">
        <f t="shared" si="125"/>
        <v>0.60404559301879124</v>
      </c>
      <c r="S291" s="193"/>
      <c r="T291" s="193"/>
      <c r="U291" s="193"/>
      <c r="V291" s="193"/>
      <c r="W291" s="193"/>
      <c r="X291" s="193"/>
      <c r="Y291" s="503"/>
      <c r="Z291" s="193"/>
      <c r="AA291" s="520">
        <f t="shared" si="126"/>
        <v>-7.1956046273177268E-2</v>
      </c>
      <c r="AB291" s="496"/>
      <c r="AC291" s="521">
        <f t="shared" si="127"/>
        <v>-1.5511085294798431E-2</v>
      </c>
      <c r="AD291" s="496"/>
      <c r="AE291" s="522">
        <f t="shared" si="128"/>
        <v>-8.7467131567975698E-2</v>
      </c>
      <c r="AG291" s="531">
        <f t="shared" si="129"/>
        <v>2.3689233340963708E-4</v>
      </c>
      <c r="AH291" s="221" t="str">
        <f t="shared" si="130"/>
        <v>NO</v>
      </c>
      <c r="AI291" s="532">
        <f t="shared" si="131"/>
        <v>5.1065301382052446E-5</v>
      </c>
      <c r="AJ291" s="221" t="str">
        <f t="shared" si="110"/>
        <v>NO</v>
      </c>
      <c r="AK291" s="533">
        <f>IF('IN-OUT'!$F$35=0,AG291,IF('IN-OUT'!$F$26=0,'transversal subsidence profile'!AI291,'transversal subsidence profile'!AG291+'transversal subsidence profile'!AI291))</f>
        <v>2.8795763479168952E-4</v>
      </c>
      <c r="AL291" s="513">
        <f t="shared" si="111"/>
        <v>1000</v>
      </c>
    </row>
    <row r="292" spans="1:38">
      <c r="A292" s="542">
        <f t="shared" si="132"/>
        <v>20.5</v>
      </c>
      <c r="B292" s="363">
        <f t="shared" si="112"/>
        <v>2.6007023232469621E-4</v>
      </c>
      <c r="C292" s="543">
        <f t="shared" si="113"/>
        <v>3.5542931751041806E-4</v>
      </c>
      <c r="D292" s="542">
        <f t="shared" si="133"/>
        <v>20.5</v>
      </c>
      <c r="E292" s="363">
        <f t="shared" si="114"/>
        <v>2.6007023232469621E-4</v>
      </c>
      <c r="F292" s="543">
        <f t="shared" si="115"/>
        <v>3.5542931751041806E-4</v>
      </c>
      <c r="G292" s="548">
        <f t="shared" si="116"/>
        <v>10.5</v>
      </c>
      <c r="H292" s="363">
        <f t="shared" si="117"/>
        <v>7.8077503801128809E-3</v>
      </c>
      <c r="I292" s="363">
        <f t="shared" si="118"/>
        <v>5.4654252660790168E-3</v>
      </c>
      <c r="J292" s="364">
        <f t="shared" si="119"/>
        <v>8.0678206124375762E-3</v>
      </c>
      <c r="K292" s="194">
        <f t="shared" si="120"/>
        <v>0.78077503801128811</v>
      </c>
      <c r="L292" s="646">
        <f t="shared" si="121"/>
        <v>2.6007023232469621E-2</v>
      </c>
      <c r="M292" s="365">
        <f t="shared" si="122"/>
        <v>0.80678206124375773</v>
      </c>
      <c r="N292" s="194">
        <f t="shared" si="123"/>
        <v>0.5465425266079017</v>
      </c>
      <c r="O292" s="422">
        <f t="shared" si="124"/>
        <v>3.5542931751041805E-2</v>
      </c>
      <c r="P292" s="365">
        <f t="shared" si="125"/>
        <v>0.58208545835894354</v>
      </c>
      <c r="S292" s="193"/>
      <c r="T292" s="193"/>
      <c r="U292" s="193"/>
      <c r="V292" s="193"/>
      <c r="W292" s="193"/>
      <c r="X292" s="193"/>
      <c r="Y292" s="503"/>
      <c r="Z292" s="193"/>
      <c r="AA292" s="520">
        <f t="shared" si="126"/>
        <v>-7.3900518001068408E-2</v>
      </c>
      <c r="AB292" s="496"/>
      <c r="AC292" s="521">
        <f t="shared" si="127"/>
        <v>-1.4258079952323309E-2</v>
      </c>
      <c r="AD292" s="496"/>
      <c r="AE292" s="522">
        <f t="shared" si="128"/>
        <v>-8.8158597953391718E-2</v>
      </c>
      <c r="AG292" s="531">
        <f t="shared" si="129"/>
        <v>2.4329388642327051E-4</v>
      </c>
      <c r="AH292" s="221" t="str">
        <f t="shared" si="130"/>
        <v>NO</v>
      </c>
      <c r="AI292" s="532">
        <f t="shared" si="131"/>
        <v>4.6940180912998539E-5</v>
      </c>
      <c r="AJ292" s="221" t="str">
        <f t="shared" si="110"/>
        <v>NO</v>
      </c>
      <c r="AK292" s="533">
        <f>IF('IN-OUT'!$F$35=0,AG292,IF('IN-OUT'!$F$26=0,'transversal subsidence profile'!AI292,'transversal subsidence profile'!AG292+'transversal subsidence profile'!AI292))</f>
        <v>2.9023406733626905E-4</v>
      </c>
      <c r="AL292" s="513">
        <f t="shared" si="111"/>
        <v>1000</v>
      </c>
    </row>
    <row r="293" spans="1:38">
      <c r="A293" s="542">
        <f t="shared" si="132"/>
        <v>20.75</v>
      </c>
      <c r="B293" s="363">
        <f t="shared" si="112"/>
        <v>2.322427113871871E-4</v>
      </c>
      <c r="C293" s="543">
        <f t="shared" si="113"/>
        <v>3.2126908408560881E-4</v>
      </c>
      <c r="D293" s="542">
        <f t="shared" si="133"/>
        <v>20.75</v>
      </c>
      <c r="E293" s="363">
        <f t="shared" si="114"/>
        <v>2.322427113871871E-4</v>
      </c>
      <c r="F293" s="543">
        <f t="shared" si="115"/>
        <v>3.2126908408560881E-4</v>
      </c>
      <c r="G293" s="548">
        <f t="shared" si="116"/>
        <v>10.75</v>
      </c>
      <c r="H293" s="363">
        <f t="shared" si="117"/>
        <v>7.365580304909804E-3</v>
      </c>
      <c r="I293" s="363">
        <f t="shared" si="118"/>
        <v>5.2786658851853591E-3</v>
      </c>
      <c r="J293" s="364">
        <f t="shared" si="119"/>
        <v>7.5978230162969907E-3</v>
      </c>
      <c r="K293" s="194">
        <f t="shared" si="120"/>
        <v>0.73655803049098045</v>
      </c>
      <c r="L293" s="646">
        <f t="shared" si="121"/>
        <v>2.3224271138718711E-2</v>
      </c>
      <c r="M293" s="365">
        <f t="shared" si="122"/>
        <v>0.75978230162969917</v>
      </c>
      <c r="N293" s="194">
        <f t="shared" si="123"/>
        <v>0.52786658851853596</v>
      </c>
      <c r="O293" s="422">
        <f t="shared" si="124"/>
        <v>3.2126908408560882E-2</v>
      </c>
      <c r="P293" s="365">
        <f t="shared" si="125"/>
        <v>0.55999349692709688</v>
      </c>
      <c r="S293" s="193"/>
      <c r="T293" s="193"/>
      <c r="U293" s="193"/>
      <c r="V293" s="193"/>
      <c r="W293" s="193"/>
      <c r="X293" s="193"/>
      <c r="Y293" s="503"/>
      <c r="Z293" s="193"/>
      <c r="AA293" s="520">
        <f t="shared" si="126"/>
        <v>-7.5440785930489071E-2</v>
      </c>
      <c r="AB293" s="496"/>
      <c r="AC293" s="521">
        <f t="shared" si="127"/>
        <v>-1.3082899882442363E-2</v>
      </c>
      <c r="AD293" s="496"/>
      <c r="AE293" s="522">
        <f t="shared" si="128"/>
        <v>-8.8523685812931435E-2</v>
      </c>
      <c r="AG293" s="531">
        <f t="shared" si="129"/>
        <v>2.4836472734317391E-4</v>
      </c>
      <c r="AH293" s="221" t="str">
        <f t="shared" si="130"/>
        <v>NO</v>
      </c>
      <c r="AI293" s="532">
        <f t="shared" si="131"/>
        <v>4.3071275333143581E-5</v>
      </c>
      <c r="AJ293" s="221" t="str">
        <f t="shared" si="110"/>
        <v>NO</v>
      </c>
      <c r="AK293" s="533">
        <f>IF('IN-OUT'!$F$35=0,AG293,IF('IN-OUT'!$F$26=0,'transversal subsidence profile'!AI293,'transversal subsidence profile'!AG293+'transversal subsidence profile'!AI293))</f>
        <v>2.9143600267631751E-4</v>
      </c>
      <c r="AL293" s="513">
        <f t="shared" si="111"/>
        <v>1000</v>
      </c>
    </row>
    <row r="294" spans="1:38">
      <c r="A294" s="542">
        <f t="shared" si="132"/>
        <v>21</v>
      </c>
      <c r="B294" s="363">
        <f t="shared" si="112"/>
        <v>2.0710844152466607E-4</v>
      </c>
      <c r="C294" s="543">
        <f t="shared" si="113"/>
        <v>2.899518181345325E-4</v>
      </c>
      <c r="D294" s="542">
        <f t="shared" si="133"/>
        <v>21</v>
      </c>
      <c r="E294" s="363">
        <f t="shared" si="114"/>
        <v>2.0710844152466607E-4</v>
      </c>
      <c r="F294" s="543">
        <f t="shared" si="115"/>
        <v>2.899518181345325E-4</v>
      </c>
      <c r="G294" s="548">
        <f t="shared" si="116"/>
        <v>11</v>
      </c>
      <c r="H294" s="363">
        <f t="shared" si="117"/>
        <v>6.9389263446314898E-3</v>
      </c>
      <c r="I294" s="363">
        <f t="shared" si="118"/>
        <v>5.0885459860630913E-3</v>
      </c>
      <c r="J294" s="364">
        <f t="shared" si="119"/>
        <v>7.1460347861561557E-3</v>
      </c>
      <c r="K294" s="194">
        <f t="shared" si="120"/>
        <v>0.69389263446314897</v>
      </c>
      <c r="L294" s="646">
        <f t="shared" si="121"/>
        <v>2.0710844152466608E-2</v>
      </c>
      <c r="M294" s="365">
        <f t="shared" si="122"/>
        <v>0.71460347861561557</v>
      </c>
      <c r="N294" s="194">
        <f t="shared" si="123"/>
        <v>0.50885459860630911</v>
      </c>
      <c r="O294" s="422">
        <f t="shared" si="124"/>
        <v>2.8995181813453251E-2</v>
      </c>
      <c r="P294" s="365">
        <f t="shared" si="125"/>
        <v>0.53784978041976239</v>
      </c>
      <c r="S294" s="193"/>
      <c r="T294" s="193"/>
      <c r="U294" s="193"/>
      <c r="V294" s="193"/>
      <c r="W294" s="193"/>
      <c r="X294" s="193"/>
      <c r="Y294" s="503"/>
      <c r="Z294" s="193"/>
      <c r="AA294" s="520">
        <f t="shared" si="126"/>
        <v>-7.6591532674624679E-2</v>
      </c>
      <c r="AB294" s="496"/>
      <c r="AC294" s="521">
        <f t="shared" si="127"/>
        <v>-1.1983311472579443E-2</v>
      </c>
      <c r="AD294" s="496"/>
      <c r="AE294" s="522">
        <f t="shared" si="128"/>
        <v>-8.8574844147204124E-2</v>
      </c>
      <c r="AG294" s="531">
        <f t="shared" si="129"/>
        <v>2.5215319399053389E-4</v>
      </c>
      <c r="AH294" s="221" t="str">
        <f t="shared" si="130"/>
        <v>NO</v>
      </c>
      <c r="AI294" s="532">
        <f t="shared" si="131"/>
        <v>3.9451231185446728E-5</v>
      </c>
      <c r="AJ294" s="221" t="str">
        <f t="shared" si="110"/>
        <v>NO</v>
      </c>
      <c r="AK294" s="533">
        <f>IF('IN-OUT'!$F$35=0,AG294,IF('IN-OUT'!$F$26=0,'transversal subsidence profile'!AI294,'transversal subsidence profile'!AG294+'transversal subsidence profile'!AI294))</f>
        <v>2.9160442517598063E-4</v>
      </c>
      <c r="AL294" s="513">
        <f t="shared" si="111"/>
        <v>1000</v>
      </c>
    </row>
    <row r="295" spans="1:38">
      <c r="A295" s="542">
        <f t="shared" si="132"/>
        <v>21.25</v>
      </c>
      <c r="B295" s="363">
        <f t="shared" si="112"/>
        <v>1.8444112736506108E-4</v>
      </c>
      <c r="C295" s="543">
        <f t="shared" si="113"/>
        <v>2.6129159710050319E-4</v>
      </c>
      <c r="D295" s="542">
        <f t="shared" si="133"/>
        <v>21.25</v>
      </c>
      <c r="E295" s="363">
        <f t="shared" si="114"/>
        <v>1.8444112736506108E-4</v>
      </c>
      <c r="F295" s="543">
        <f t="shared" si="115"/>
        <v>2.6129159710050319E-4</v>
      </c>
      <c r="G295" s="548">
        <f t="shared" si="116"/>
        <v>11.25</v>
      </c>
      <c r="H295" s="363">
        <f t="shared" si="117"/>
        <v>6.5280255604261844E-3</v>
      </c>
      <c r="I295" s="363">
        <f t="shared" si="118"/>
        <v>4.8960191703196383E-3</v>
      </c>
      <c r="J295" s="364">
        <f t="shared" si="119"/>
        <v>6.7124666877912452E-3</v>
      </c>
      <c r="K295" s="194">
        <f t="shared" si="120"/>
        <v>0.6528025560426185</v>
      </c>
      <c r="L295" s="646">
        <f t="shared" si="121"/>
        <v>1.8444112736506108E-2</v>
      </c>
      <c r="M295" s="365">
        <f t="shared" si="122"/>
        <v>0.67124666877912464</v>
      </c>
      <c r="N295" s="194">
        <f t="shared" si="123"/>
        <v>0.48960191703196382</v>
      </c>
      <c r="O295" s="422">
        <f t="shared" si="124"/>
        <v>2.612915971005032E-2</v>
      </c>
      <c r="P295" s="365">
        <f t="shared" si="125"/>
        <v>0.51573107674201413</v>
      </c>
      <c r="S295" s="193"/>
      <c r="T295" s="193"/>
      <c r="U295" s="193"/>
      <c r="V295" s="193"/>
      <c r="W295" s="193"/>
      <c r="X295" s="193"/>
      <c r="Y295" s="503"/>
      <c r="Z295" s="193"/>
      <c r="AA295" s="520">
        <f t="shared" si="126"/>
        <v>-7.7369191827273281E-2</v>
      </c>
      <c r="AB295" s="496"/>
      <c r="AC295" s="521">
        <f t="shared" si="127"/>
        <v>-1.0956831855175462E-2</v>
      </c>
      <c r="AD295" s="496"/>
      <c r="AE295" s="522">
        <f t="shared" si="128"/>
        <v>-8.832602368244874E-2</v>
      </c>
      <c r="AG295" s="531">
        <f t="shared" si="129"/>
        <v>2.547133887317639E-4</v>
      </c>
      <c r="AH295" s="221" t="str">
        <f t="shared" si="130"/>
        <v>NO</v>
      </c>
      <c r="AI295" s="532">
        <f t="shared" si="131"/>
        <v>3.607187442033074E-5</v>
      </c>
      <c r="AJ295" s="221" t="str">
        <f t="shared" si="110"/>
        <v>NO</v>
      </c>
      <c r="AK295" s="533">
        <f>IF('IN-OUT'!$F$35=0,AG295,IF('IN-OUT'!$F$26=0,'transversal subsidence profile'!AI295,'transversal subsidence profile'!AG295+'transversal subsidence profile'!AI295))</f>
        <v>2.9078526315209463E-4</v>
      </c>
      <c r="AL295" s="513">
        <f t="shared" si="111"/>
        <v>1000</v>
      </c>
    </row>
    <row r="296" spans="1:38">
      <c r="A296" s="542">
        <f t="shared" si="132"/>
        <v>21.5</v>
      </c>
      <c r="B296" s="363">
        <f t="shared" si="112"/>
        <v>1.6402951301954264E-4</v>
      </c>
      <c r="C296" s="543">
        <f t="shared" si="113"/>
        <v>2.3510896866134445E-4</v>
      </c>
      <c r="D296" s="542">
        <f t="shared" si="133"/>
        <v>21.5</v>
      </c>
      <c r="E296" s="363">
        <f t="shared" si="114"/>
        <v>1.6402951301954264E-4</v>
      </c>
      <c r="F296" s="543">
        <f t="shared" si="115"/>
        <v>2.3510896866134445E-4</v>
      </c>
      <c r="G296" s="548">
        <f t="shared" si="116"/>
        <v>11.5</v>
      </c>
      <c r="H296" s="363">
        <f t="shared" si="117"/>
        <v>6.1330382724851711E-3</v>
      </c>
      <c r="I296" s="363">
        <f t="shared" si="118"/>
        <v>4.7019960089052975E-3</v>
      </c>
      <c r="J296" s="364">
        <f t="shared" si="119"/>
        <v>6.2970677855047133E-3</v>
      </c>
      <c r="K296" s="194">
        <f t="shared" si="120"/>
        <v>0.61330382724851706</v>
      </c>
      <c r="L296" s="646">
        <f t="shared" si="121"/>
        <v>1.6402951301954266E-2</v>
      </c>
      <c r="M296" s="365">
        <f t="shared" si="122"/>
        <v>0.6297067785504713</v>
      </c>
      <c r="N296" s="194">
        <f t="shared" si="123"/>
        <v>0.47019960089052976</v>
      </c>
      <c r="O296" s="422">
        <f t="shared" si="124"/>
        <v>2.3510896866134445E-2</v>
      </c>
      <c r="P296" s="365">
        <f t="shared" si="125"/>
        <v>0.4937104977566642</v>
      </c>
      <c r="S296" s="193"/>
      <c r="T296" s="193"/>
      <c r="U296" s="193"/>
      <c r="V296" s="193"/>
      <c r="W296" s="193"/>
      <c r="X296" s="193"/>
      <c r="Y296" s="503"/>
      <c r="Z296" s="193"/>
      <c r="AA296" s="520">
        <f t="shared" si="126"/>
        <v>-7.779171544523944E-2</v>
      </c>
      <c r="AB296" s="496"/>
      <c r="AC296" s="521">
        <f t="shared" si="127"/>
        <v>-1.0000775155933157E-2</v>
      </c>
      <c r="AD296" s="496"/>
      <c r="AE296" s="522">
        <f t="shared" si="128"/>
        <v>-8.7792490601172599E-2</v>
      </c>
      <c r="AG296" s="531">
        <f t="shared" si="129"/>
        <v>2.5610441298844254E-4</v>
      </c>
      <c r="AH296" s="221" t="str">
        <f t="shared" si="130"/>
        <v>NO</v>
      </c>
      <c r="AI296" s="532">
        <f t="shared" si="131"/>
        <v>3.2924362653277883E-5</v>
      </c>
      <c r="AJ296" s="221" t="str">
        <f t="shared" si="110"/>
        <v>NO</v>
      </c>
      <c r="AK296" s="533">
        <f>IF('IN-OUT'!$F$35=0,AG296,IF('IN-OUT'!$F$26=0,'transversal subsidence profile'!AI296,'transversal subsidence profile'!AG296+'transversal subsidence profile'!AI296))</f>
        <v>2.8902877564172043E-4</v>
      </c>
      <c r="AL296" s="513">
        <f t="shared" si="111"/>
        <v>1000</v>
      </c>
    </row>
    <row r="297" spans="1:38">
      <c r="A297" s="542">
        <f t="shared" si="132"/>
        <v>21.75</v>
      </c>
      <c r="B297" s="363">
        <f t="shared" si="112"/>
        <v>1.4567683017184562E-4</v>
      </c>
      <c r="C297" s="543">
        <f t="shared" si="113"/>
        <v>2.1123140374917614E-4</v>
      </c>
      <c r="D297" s="542">
        <f t="shared" si="133"/>
        <v>21.75</v>
      </c>
      <c r="E297" s="363">
        <f t="shared" si="114"/>
        <v>1.4567683017184562E-4</v>
      </c>
      <c r="F297" s="543">
        <f t="shared" si="115"/>
        <v>2.1123140374917614E-4</v>
      </c>
      <c r="G297" s="548">
        <f t="shared" si="116"/>
        <v>11.75</v>
      </c>
      <c r="H297" s="363">
        <f t="shared" si="117"/>
        <v>5.7540517498836782E-3</v>
      </c>
      <c r="I297" s="363">
        <f t="shared" si="118"/>
        <v>4.5073405374088807E-3</v>
      </c>
      <c r="J297" s="364">
        <f t="shared" si="119"/>
        <v>5.8997285800555235E-3</v>
      </c>
      <c r="K297" s="194">
        <f t="shared" si="120"/>
        <v>0.57540517498836785</v>
      </c>
      <c r="L297" s="646">
        <f t="shared" si="121"/>
        <v>1.4567683017184562E-2</v>
      </c>
      <c r="M297" s="365">
        <f t="shared" si="122"/>
        <v>0.58997285800555244</v>
      </c>
      <c r="N297" s="194">
        <f t="shared" si="123"/>
        <v>0.4507340537408881</v>
      </c>
      <c r="O297" s="422">
        <f t="shared" si="124"/>
        <v>2.1123140374917613E-2</v>
      </c>
      <c r="P297" s="365">
        <f t="shared" si="125"/>
        <v>0.47185719411580573</v>
      </c>
      <c r="S297" s="193"/>
      <c r="T297" s="193"/>
      <c r="U297" s="193"/>
      <c r="V297" s="193"/>
      <c r="W297" s="193"/>
      <c r="X297" s="193"/>
      <c r="Y297" s="503"/>
      <c r="Z297" s="193"/>
      <c r="AA297" s="520">
        <f t="shared" si="126"/>
        <v>-7.787834101351479E-2</v>
      </c>
      <c r="AB297" s="496"/>
      <c r="AC297" s="521">
        <f t="shared" si="127"/>
        <v>-9.1122955498438418E-3</v>
      </c>
      <c r="AD297" s="496"/>
      <c r="AE297" s="522">
        <f t="shared" si="128"/>
        <v>-8.6990636563358634E-2</v>
      </c>
      <c r="AG297" s="531">
        <f t="shared" si="129"/>
        <v>2.5638960004449314E-4</v>
      </c>
      <c r="AH297" s="221" t="str">
        <f t="shared" si="130"/>
        <v>NO</v>
      </c>
      <c r="AI297" s="532">
        <f t="shared" si="131"/>
        <v>2.9999326913066145E-5</v>
      </c>
      <c r="AJ297" s="221" t="str">
        <f t="shared" si="110"/>
        <v>NO</v>
      </c>
      <c r="AK297" s="533">
        <f>IF('IN-OUT'!$F$35=0,AG297,IF('IN-OUT'!$F$26=0,'transversal subsidence profile'!AI297,'transversal subsidence profile'!AG297+'transversal subsidence profile'!AI297))</f>
        <v>2.8638892695755926E-4</v>
      </c>
      <c r="AL297" s="513">
        <f t="shared" si="111"/>
        <v>1000</v>
      </c>
    </row>
    <row r="298" spans="1:38">
      <c r="A298" s="542">
        <f t="shared" si="132"/>
        <v>22</v>
      </c>
      <c r="B298" s="363">
        <f t="shared" si="112"/>
        <v>1.292002131994937E-4</v>
      </c>
      <c r="C298" s="543">
        <f t="shared" si="113"/>
        <v>1.8949364602592408E-4</v>
      </c>
      <c r="D298" s="542">
        <f t="shared" si="133"/>
        <v>22</v>
      </c>
      <c r="E298" s="363">
        <f t="shared" si="114"/>
        <v>1.292002131994937E-4</v>
      </c>
      <c r="F298" s="543">
        <f t="shared" si="115"/>
        <v>1.8949364602592408E-4</v>
      </c>
      <c r="G298" s="548">
        <f t="shared" si="116"/>
        <v>12</v>
      </c>
      <c r="H298" s="363">
        <f t="shared" si="117"/>
        <v>5.3910841649474402E-3</v>
      </c>
      <c r="I298" s="363">
        <f t="shared" si="118"/>
        <v>4.3128673319579522E-3</v>
      </c>
      <c r="J298" s="364">
        <f t="shared" si="119"/>
        <v>5.5202843781469342E-3</v>
      </c>
      <c r="K298" s="194">
        <f t="shared" si="120"/>
        <v>0.53910841649474406</v>
      </c>
      <c r="L298" s="646">
        <f t="shared" si="121"/>
        <v>1.2920021319949369E-2</v>
      </c>
      <c r="M298" s="365">
        <f t="shared" si="122"/>
        <v>0.55202843781469346</v>
      </c>
      <c r="N298" s="194">
        <f t="shared" si="123"/>
        <v>0.43128673319579525</v>
      </c>
      <c r="O298" s="422">
        <f t="shared" si="124"/>
        <v>1.8949364602592406E-2</v>
      </c>
      <c r="P298" s="365">
        <f t="shared" si="125"/>
        <v>0.45023609779838764</v>
      </c>
      <c r="S298" s="193"/>
      <c r="T298" s="193"/>
      <c r="U298" s="193"/>
      <c r="V298" s="193"/>
      <c r="W298" s="193"/>
      <c r="X298" s="193"/>
      <c r="Y298" s="503"/>
      <c r="Z298" s="193"/>
      <c r="AA298" s="520">
        <f t="shared" si="126"/>
        <v>-7.7649360400477527E-2</v>
      </c>
      <c r="AB298" s="496"/>
      <c r="AC298" s="521">
        <f t="shared" si="127"/>
        <v>-8.2884270287558147E-3</v>
      </c>
      <c r="AD298" s="496"/>
      <c r="AE298" s="522">
        <f t="shared" si="128"/>
        <v>-8.5937787429233345E-2</v>
      </c>
      <c r="AG298" s="531">
        <f t="shared" si="129"/>
        <v>2.556357544048643E-4</v>
      </c>
      <c r="AH298" s="221" t="str">
        <f t="shared" si="130"/>
        <v>NO</v>
      </c>
      <c r="AI298" s="532">
        <f t="shared" si="131"/>
        <v>2.7287002563805154E-5</v>
      </c>
      <c r="AJ298" s="221" t="str">
        <f t="shared" si="110"/>
        <v>NO</v>
      </c>
      <c r="AK298" s="533">
        <f>IF('IN-OUT'!$F$35=0,AG298,IF('IN-OUT'!$F$26=0,'transversal subsidence profile'!AI298,'transversal subsidence profile'!AG298+'transversal subsidence profile'!AI298))</f>
        <v>2.8292275696866945E-4</v>
      </c>
      <c r="AL298" s="513">
        <f t="shared" si="111"/>
        <v>1000</v>
      </c>
    </row>
    <row r="299" spans="1:38">
      <c r="A299" s="542">
        <f t="shared" si="132"/>
        <v>22.25</v>
      </c>
      <c r="B299" s="363">
        <f t="shared" si="112"/>
        <v>1.1443008950874467E-4</v>
      </c>
      <c r="C299" s="543">
        <f t="shared" si="113"/>
        <v>1.6973796610463793E-4</v>
      </c>
      <c r="D299" s="542">
        <f t="shared" si="133"/>
        <v>22.25</v>
      </c>
      <c r="E299" s="363">
        <f t="shared" si="114"/>
        <v>1.1443008950874467E-4</v>
      </c>
      <c r="F299" s="543">
        <f t="shared" si="115"/>
        <v>1.6973796610463793E-4</v>
      </c>
      <c r="G299" s="548">
        <f t="shared" si="116"/>
        <v>12.25</v>
      </c>
      <c r="H299" s="363">
        <f t="shared" si="117"/>
        <v>5.0440887646448877E-3</v>
      </c>
      <c r="I299" s="363">
        <f t="shared" si="118"/>
        <v>4.1193391577933249E-3</v>
      </c>
      <c r="J299" s="364">
        <f t="shared" si="119"/>
        <v>5.1585188541536323E-3</v>
      </c>
      <c r="K299" s="194">
        <f t="shared" si="120"/>
        <v>0.50440887646448873</v>
      </c>
      <c r="L299" s="646">
        <f t="shared" si="121"/>
        <v>1.1443008950874467E-2</v>
      </c>
      <c r="M299" s="365">
        <f t="shared" si="122"/>
        <v>0.5158518854153632</v>
      </c>
      <c r="N299" s="194">
        <f t="shared" si="123"/>
        <v>0.41193391577933247</v>
      </c>
      <c r="O299" s="422">
        <f t="shared" si="124"/>
        <v>1.6973796610463793E-2</v>
      </c>
      <c r="P299" s="365">
        <f t="shared" si="125"/>
        <v>0.42890771238979625</v>
      </c>
      <c r="S299" s="193"/>
      <c r="T299" s="193"/>
      <c r="U299" s="193"/>
      <c r="V299" s="193"/>
      <c r="W299" s="193"/>
      <c r="X299" s="193"/>
      <c r="Y299" s="503"/>
      <c r="Z299" s="193"/>
      <c r="AA299" s="520">
        <f t="shared" si="126"/>
        <v>-7.7125893136591239E-2</v>
      </c>
      <c r="AB299" s="496"/>
      <c r="AC299" s="521">
        <f t="shared" si="127"/>
        <v>-7.5261198330762837E-3</v>
      </c>
      <c r="AD299" s="496"/>
      <c r="AE299" s="522">
        <f t="shared" si="128"/>
        <v>-8.4652012969667526E-2</v>
      </c>
      <c r="AG299" s="531">
        <f t="shared" si="129"/>
        <v>2.5391240538795467E-4</v>
      </c>
      <c r="AH299" s="221" t="str">
        <f t="shared" si="130"/>
        <v>NO</v>
      </c>
      <c r="AI299" s="532">
        <f t="shared" si="131"/>
        <v>2.4777349244695585E-5</v>
      </c>
      <c r="AJ299" s="221" t="str">
        <f t="shared" si="110"/>
        <v>NO</v>
      </c>
      <c r="AK299" s="533">
        <f>IF('IN-OUT'!$F$35=0,AG299,IF('IN-OUT'!$F$26=0,'transversal subsidence profile'!AI299,'transversal subsidence profile'!AG299+'transversal subsidence profile'!AI299))</f>
        <v>2.7868975463265025E-4</v>
      </c>
      <c r="AL299" s="513">
        <f t="shared" si="111"/>
        <v>1000</v>
      </c>
    </row>
    <row r="300" spans="1:38" s="238" customFormat="1">
      <c r="A300" s="626">
        <f t="shared" si="132"/>
        <v>22.5</v>
      </c>
      <c r="B300" s="235">
        <f t="shared" si="112"/>
        <v>1.0120955257943833E-4</v>
      </c>
      <c r="C300" s="627">
        <f t="shared" si="113"/>
        <v>1.518143288691575E-4</v>
      </c>
      <c r="D300" s="626">
        <f t="shared" si="133"/>
        <v>22.5</v>
      </c>
      <c r="E300" s="235">
        <f t="shared" si="114"/>
        <v>1.0120955257943833E-4</v>
      </c>
      <c r="F300" s="627">
        <f t="shared" si="115"/>
        <v>1.518143288691575E-4</v>
      </c>
      <c r="G300" s="628">
        <f t="shared" si="116"/>
        <v>12.5</v>
      </c>
      <c r="H300" s="235">
        <f t="shared" si="117"/>
        <v>4.7129582123911669E-3</v>
      </c>
      <c r="I300" s="235">
        <f t="shared" si="118"/>
        <v>3.9274651769926382E-3</v>
      </c>
      <c r="J300" s="231">
        <f t="shared" si="119"/>
        <v>4.8141677649706054E-3</v>
      </c>
      <c r="K300" s="215">
        <f t="shared" si="120"/>
        <v>0.47129582123911667</v>
      </c>
      <c r="L300" s="647">
        <f t="shared" si="121"/>
        <v>1.0120955257943832E-2</v>
      </c>
      <c r="M300" s="230">
        <f t="shared" si="122"/>
        <v>0.48141677649706049</v>
      </c>
      <c r="N300" s="215">
        <f t="shared" si="123"/>
        <v>0.39274651769926383</v>
      </c>
      <c r="O300" s="629">
        <f t="shared" si="124"/>
        <v>1.5181432886915751E-2</v>
      </c>
      <c r="P300" s="230">
        <f t="shared" si="125"/>
        <v>0.40792795058617959</v>
      </c>
      <c r="Q300" s="237"/>
      <c r="R300" s="237"/>
      <c r="S300" s="237"/>
      <c r="T300" s="237"/>
      <c r="U300" s="237"/>
      <c r="V300" s="237"/>
      <c r="W300" s="237"/>
      <c r="X300" s="237"/>
      <c r="Y300" s="630"/>
      <c r="Z300" s="237"/>
      <c r="AA300" s="631">
        <f t="shared" si="126"/>
        <v>-7.6329666155873388E-2</v>
      </c>
      <c r="AB300" s="632"/>
      <c r="AC300" s="633">
        <f t="shared" si="127"/>
        <v>-6.82227354424362E-3</v>
      </c>
      <c r="AD300" s="632"/>
      <c r="AE300" s="634">
        <f t="shared" si="128"/>
        <v>-8.3151939700117014E-2</v>
      </c>
      <c r="AF300" s="237"/>
      <c r="AG300" s="635">
        <f t="shared" si="129"/>
        <v>2.5129108199464491E-4</v>
      </c>
      <c r="AH300" s="636" t="str">
        <f t="shared" si="130"/>
        <v>NO</v>
      </c>
      <c r="AI300" s="637">
        <f t="shared" si="131"/>
        <v>2.2460159816439899E-5</v>
      </c>
      <c r="AJ300" s="636" t="str">
        <f t="shared" si="110"/>
        <v>NO</v>
      </c>
      <c r="AK300" s="638">
        <f>IF('IN-OUT'!$F$35=0,AG300,IF('IN-OUT'!$F$26=0,'transversal subsidence profile'!AI300,'transversal subsidence profile'!AG300+'transversal subsidence profile'!AI300))</f>
        <v>2.737512418110848E-4</v>
      </c>
      <c r="AL300" s="639">
        <f t="shared" si="111"/>
        <v>1000</v>
      </c>
    </row>
    <row r="301" spans="1:38">
      <c r="A301" s="542">
        <f t="shared" si="132"/>
        <v>22.75</v>
      </c>
      <c r="B301" s="363">
        <f t="shared" si="112"/>
        <v>8.9393724529516328E-5</v>
      </c>
      <c r="C301" s="543">
        <f t="shared" si="113"/>
        <v>1.3558048220309974E-4</v>
      </c>
      <c r="D301" s="542">
        <f t="shared" si="133"/>
        <v>22.75</v>
      </c>
      <c r="E301" s="363">
        <f t="shared" si="114"/>
        <v>8.9393724529516328E-5</v>
      </c>
      <c r="F301" s="543">
        <f t="shared" si="115"/>
        <v>1.3558048220309974E-4</v>
      </c>
      <c r="G301" s="548">
        <f t="shared" si="116"/>
        <v>12.75</v>
      </c>
      <c r="H301" s="363">
        <f t="shared" si="117"/>
        <v>4.3975290549763879E-3</v>
      </c>
      <c r="I301" s="363">
        <f t="shared" si="118"/>
        <v>3.7378996967299301E-3</v>
      </c>
      <c r="J301" s="364">
        <f t="shared" si="119"/>
        <v>4.4869227795059042E-3</v>
      </c>
      <c r="K301" s="194">
        <f t="shared" si="120"/>
        <v>0.43975290549763879</v>
      </c>
      <c r="L301" s="646">
        <f t="shared" si="121"/>
        <v>8.939372452951632E-3</v>
      </c>
      <c r="M301" s="365">
        <f t="shared" si="122"/>
        <v>0.44869227795059041</v>
      </c>
      <c r="N301" s="194">
        <f t="shared" si="123"/>
        <v>0.37378996967299299</v>
      </c>
      <c r="O301" s="422">
        <f t="shared" si="124"/>
        <v>1.3558048220309975E-2</v>
      </c>
      <c r="P301" s="365">
        <f t="shared" si="125"/>
        <v>0.38734801789330298</v>
      </c>
      <c r="S301" s="193"/>
      <c r="T301" s="193"/>
      <c r="U301" s="193"/>
      <c r="V301" s="193"/>
      <c r="W301" s="193"/>
      <c r="X301" s="193"/>
      <c r="Y301" s="503"/>
      <c r="Z301" s="193"/>
      <c r="AA301" s="520">
        <f t="shared" si="126"/>
        <v>-7.5282801928813883E-2</v>
      </c>
      <c r="AB301" s="496"/>
      <c r="AC301" s="521">
        <f t="shared" si="127"/>
        <v>-6.1737668737714439E-3</v>
      </c>
      <c r="AD301" s="496"/>
      <c r="AE301" s="522">
        <f t="shared" si="128"/>
        <v>-8.1456568802585325E-2</v>
      </c>
      <c r="AG301" s="531">
        <f t="shared" si="129"/>
        <v>2.4784461540350251E-4</v>
      </c>
      <c r="AH301" s="221" t="str">
        <f t="shared" si="130"/>
        <v>NO</v>
      </c>
      <c r="AI301" s="532">
        <f t="shared" si="131"/>
        <v>2.0325158432169357E-5</v>
      </c>
      <c r="AJ301" s="221" t="str">
        <f t="shared" si="110"/>
        <v>NO</v>
      </c>
      <c r="AK301" s="533">
        <f>IF('IN-OUT'!$F$35=0,AG301,IF('IN-OUT'!$F$26=0,'transversal subsidence profile'!AI301,'transversal subsidence profile'!AG301+'transversal subsidence profile'!AI301))</f>
        <v>2.6816977383567188E-4</v>
      </c>
      <c r="AL301" s="513">
        <f t="shared" si="111"/>
        <v>1000</v>
      </c>
    </row>
    <row r="302" spans="1:38">
      <c r="A302" s="542">
        <f t="shared" si="132"/>
        <v>23</v>
      </c>
      <c r="B302" s="363">
        <f t="shared" si="112"/>
        <v>7.8849114329851376E-5</v>
      </c>
      <c r="C302" s="543">
        <f t="shared" si="113"/>
        <v>1.209019753057721E-4</v>
      </c>
      <c r="D302" s="542">
        <f t="shared" si="133"/>
        <v>23</v>
      </c>
      <c r="E302" s="363">
        <f t="shared" si="114"/>
        <v>7.8849114329851376E-5</v>
      </c>
      <c r="F302" s="543">
        <f t="shared" si="115"/>
        <v>1.209019753057721E-4</v>
      </c>
      <c r="G302" s="548">
        <f t="shared" si="116"/>
        <v>13</v>
      </c>
      <c r="H302" s="363">
        <f t="shared" si="117"/>
        <v>4.0975862710533311E-3</v>
      </c>
      <c r="I302" s="363">
        <f t="shared" si="118"/>
        <v>3.5512414349128866E-3</v>
      </c>
      <c r="J302" s="364">
        <f t="shared" si="119"/>
        <v>4.1764353853831829E-3</v>
      </c>
      <c r="K302" s="194">
        <f t="shared" si="120"/>
        <v>0.40975862710533312</v>
      </c>
      <c r="L302" s="646">
        <f t="shared" si="121"/>
        <v>7.884911432985137E-3</v>
      </c>
      <c r="M302" s="365">
        <f t="shared" si="122"/>
        <v>0.41764353853831826</v>
      </c>
      <c r="N302" s="194">
        <f t="shared" si="123"/>
        <v>0.35512414349128868</v>
      </c>
      <c r="O302" s="422">
        <f t="shared" si="124"/>
        <v>1.2090197530577209E-2</v>
      </c>
      <c r="P302" s="365">
        <f t="shared" si="125"/>
        <v>0.3672143410218659</v>
      </c>
      <c r="S302" s="193"/>
      <c r="T302" s="193"/>
      <c r="U302" s="193"/>
      <c r="V302" s="193"/>
      <c r="W302" s="193"/>
      <c r="X302" s="193"/>
      <c r="Y302" s="503"/>
      <c r="Z302" s="193"/>
      <c r="AA302" s="520">
        <f t="shared" si="126"/>
        <v>-7.4007616692549877E-2</v>
      </c>
      <c r="AB302" s="496"/>
      <c r="AC302" s="521">
        <f t="shared" si="127"/>
        <v>-5.5774842189428471E-3</v>
      </c>
      <c r="AD302" s="496"/>
      <c r="AE302" s="522">
        <f t="shared" si="128"/>
        <v>-7.958510091149272E-2</v>
      </c>
      <c r="AG302" s="531">
        <f t="shared" si="129"/>
        <v>2.4364647470798308E-4</v>
      </c>
      <c r="AH302" s="221" t="str">
        <f t="shared" si="130"/>
        <v>NO</v>
      </c>
      <c r="AI302" s="532">
        <f t="shared" si="131"/>
        <v>1.836208796359785E-5</v>
      </c>
      <c r="AJ302" s="221" t="str">
        <f t="shared" si="110"/>
        <v>NO</v>
      </c>
      <c r="AK302" s="533">
        <f>IF('IN-OUT'!$F$35=0,AG302,IF('IN-OUT'!$F$26=0,'transversal subsidence profile'!AI302,'transversal subsidence profile'!AG302+'transversal subsidence profile'!AI302))</f>
        <v>2.6200856267158092E-4</v>
      </c>
      <c r="AL302" s="513">
        <f t="shared" si="111"/>
        <v>1000</v>
      </c>
    </row>
    <row r="303" spans="1:38">
      <c r="A303" s="542">
        <f t="shared" si="132"/>
        <v>23.25</v>
      </c>
      <c r="B303" s="363">
        <f t="shared" si="112"/>
        <v>6.9452977135231898E-5</v>
      </c>
      <c r="C303" s="543">
        <f t="shared" si="113"/>
        <v>1.0765211455960944E-4</v>
      </c>
      <c r="D303" s="542">
        <f t="shared" si="133"/>
        <v>23.25</v>
      </c>
      <c r="E303" s="363">
        <f t="shared" si="114"/>
        <v>6.9452977135231898E-5</v>
      </c>
      <c r="F303" s="543">
        <f t="shared" si="115"/>
        <v>1.0765211455960944E-4</v>
      </c>
      <c r="G303" s="548">
        <f t="shared" si="116"/>
        <v>13.25</v>
      </c>
      <c r="H303" s="363">
        <f t="shared" si="117"/>
        <v>3.8128678596934308E-3</v>
      </c>
      <c r="I303" s="363">
        <f t="shared" si="118"/>
        <v>3.3680332760625304E-3</v>
      </c>
      <c r="J303" s="364">
        <f t="shared" si="119"/>
        <v>3.8823208368286627E-3</v>
      </c>
      <c r="K303" s="194">
        <f t="shared" si="120"/>
        <v>0.38128678596934307</v>
      </c>
      <c r="L303" s="646">
        <f t="shared" si="121"/>
        <v>6.9452977135231898E-3</v>
      </c>
      <c r="M303" s="365">
        <f t="shared" si="122"/>
        <v>0.38823208368286627</v>
      </c>
      <c r="N303" s="194">
        <f t="shared" si="123"/>
        <v>0.33680332760625303</v>
      </c>
      <c r="O303" s="422">
        <f t="shared" si="124"/>
        <v>1.0765211455960945E-2</v>
      </c>
      <c r="P303" s="365">
        <f t="shared" si="125"/>
        <v>0.34756853906221397</v>
      </c>
      <c r="S303" s="193"/>
      <c r="T303" s="193"/>
      <c r="U303" s="193"/>
      <c r="V303" s="193"/>
      <c r="W303" s="193"/>
      <c r="X303" s="193"/>
      <c r="Y303" s="503"/>
      <c r="Z303" s="193"/>
      <c r="AA303" s="520">
        <f t="shared" si="126"/>
        <v>-7.252643025297062E-2</v>
      </c>
      <c r="AB303" s="496"/>
      <c r="AC303" s="521">
        <f t="shared" si="127"/>
        <v>-5.0303390846916929E-3</v>
      </c>
      <c r="AD303" s="496"/>
      <c r="AE303" s="522">
        <f t="shared" si="128"/>
        <v>-7.7556769337662312E-2</v>
      </c>
      <c r="AG303" s="531">
        <f t="shared" si="129"/>
        <v>2.3877014075052052E-4</v>
      </c>
      <c r="AH303" s="221" t="str">
        <f t="shared" si="130"/>
        <v>NO</v>
      </c>
      <c r="AI303" s="532">
        <f t="shared" si="131"/>
        <v>1.6560787110096106E-5</v>
      </c>
      <c r="AJ303" s="221" t="str">
        <f t="shared" si="110"/>
        <v>NO</v>
      </c>
      <c r="AK303" s="533">
        <f>IF('IN-OUT'!$F$35=0,AG303,IF('IN-OUT'!$F$26=0,'transversal subsidence profile'!AI303,'transversal subsidence profile'!AG303+'transversal subsidence profile'!AI303))</f>
        <v>2.5533092786061664E-4</v>
      </c>
      <c r="AL303" s="513">
        <f t="shared" si="111"/>
        <v>1000</v>
      </c>
    </row>
    <row r="304" spans="1:38">
      <c r="A304" s="542">
        <f t="shared" si="132"/>
        <v>23.5</v>
      </c>
      <c r="B304" s="363">
        <f t="shared" si="112"/>
        <v>6.1092679552955076E-5</v>
      </c>
      <c r="C304" s="543">
        <f t="shared" si="113"/>
        <v>9.571186463296293E-5</v>
      </c>
      <c r="D304" s="542">
        <f t="shared" si="133"/>
        <v>23.5</v>
      </c>
      <c r="E304" s="363">
        <f t="shared" si="114"/>
        <v>6.1092679552955076E-5</v>
      </c>
      <c r="F304" s="543">
        <f t="shared" si="115"/>
        <v>9.571186463296293E-5</v>
      </c>
      <c r="G304" s="548">
        <f t="shared" si="116"/>
        <v>13.5</v>
      </c>
      <c r="H304" s="363">
        <f t="shared" si="117"/>
        <v>3.5430694298969694E-3</v>
      </c>
      <c r="I304" s="363">
        <f t="shared" si="118"/>
        <v>3.1887624869072722E-3</v>
      </c>
      <c r="J304" s="364">
        <f t="shared" si="119"/>
        <v>3.6041621094499245E-3</v>
      </c>
      <c r="K304" s="194">
        <f t="shared" si="120"/>
        <v>0.35430694298969695</v>
      </c>
      <c r="L304" s="646">
        <f t="shared" si="121"/>
        <v>6.1092679552955075E-3</v>
      </c>
      <c r="M304" s="365">
        <f t="shared" si="122"/>
        <v>0.36041621094499243</v>
      </c>
      <c r="N304" s="194">
        <f t="shared" si="123"/>
        <v>0.31887624869072723</v>
      </c>
      <c r="O304" s="422">
        <f t="shared" si="124"/>
        <v>9.5711864632962926E-3</v>
      </c>
      <c r="P304" s="365">
        <f t="shared" si="125"/>
        <v>0.32844743515402353</v>
      </c>
      <c r="S304" s="193"/>
      <c r="T304" s="193"/>
      <c r="U304" s="193"/>
      <c r="V304" s="193"/>
      <c r="W304" s="193"/>
      <c r="X304" s="193"/>
      <c r="Y304" s="503"/>
      <c r="Z304" s="193"/>
      <c r="AA304" s="520">
        <f t="shared" si="126"/>
        <v>-7.086138859793939E-2</v>
      </c>
      <c r="AB304" s="496"/>
      <c r="AC304" s="521">
        <f t="shared" si="127"/>
        <v>-4.5292944959836002E-3</v>
      </c>
      <c r="AD304" s="496"/>
      <c r="AE304" s="522">
        <f t="shared" si="128"/>
        <v>-7.5390683093922994E-2</v>
      </c>
      <c r="AG304" s="531">
        <f t="shared" si="129"/>
        <v>2.3328852213313375E-4</v>
      </c>
      <c r="AH304" s="221" t="str">
        <f t="shared" si="130"/>
        <v>NO</v>
      </c>
      <c r="AI304" s="532">
        <f t="shared" si="131"/>
        <v>1.4911257599946009E-5</v>
      </c>
      <c r="AJ304" s="221" t="str">
        <f t="shared" si="110"/>
        <v>NO</v>
      </c>
      <c r="AK304" s="533">
        <f>IF('IN-OUT'!$F$35=0,AG304,IF('IN-OUT'!$F$26=0,'transversal subsidence profile'!AI304,'transversal subsidence profile'!AG304+'transversal subsidence profile'!AI304))</f>
        <v>2.4819977973307975E-4</v>
      </c>
      <c r="AL304" s="513">
        <f t="shared" si="111"/>
        <v>1000</v>
      </c>
    </row>
    <row r="305" spans="1:38">
      <c r="A305" s="542">
        <f t="shared" si="132"/>
        <v>23.75</v>
      </c>
      <c r="B305" s="363">
        <f t="shared" si="112"/>
        <v>5.3665075051588847E-5</v>
      </c>
      <c r="C305" s="543">
        <f t="shared" si="113"/>
        <v>8.4969702165015672E-5</v>
      </c>
      <c r="D305" s="542">
        <f t="shared" si="133"/>
        <v>23.75</v>
      </c>
      <c r="E305" s="363">
        <f t="shared" si="114"/>
        <v>5.3665075051588847E-5</v>
      </c>
      <c r="F305" s="543">
        <f t="shared" si="115"/>
        <v>8.4969702165015672E-5</v>
      </c>
      <c r="G305" s="548">
        <f t="shared" si="116"/>
        <v>13.75</v>
      </c>
      <c r="H305" s="363">
        <f t="shared" si="117"/>
        <v>3.2878487545752884E-3</v>
      </c>
      <c r="I305" s="363">
        <f t="shared" si="118"/>
        <v>3.013861358360681E-3</v>
      </c>
      <c r="J305" s="364">
        <f t="shared" si="119"/>
        <v>3.3415138296268771E-3</v>
      </c>
      <c r="K305" s="194">
        <f t="shared" si="120"/>
        <v>0.32878487545752882</v>
      </c>
      <c r="L305" s="646">
        <f t="shared" si="121"/>
        <v>5.3665075051588847E-3</v>
      </c>
      <c r="M305" s="365">
        <f t="shared" si="122"/>
        <v>0.3341513829626877</v>
      </c>
      <c r="N305" s="194">
        <f t="shared" si="123"/>
        <v>0.3013861358360681</v>
      </c>
      <c r="O305" s="422">
        <f t="shared" si="124"/>
        <v>8.4969702165015679E-3</v>
      </c>
      <c r="P305" s="365">
        <f t="shared" si="125"/>
        <v>0.30988310605256969</v>
      </c>
      <c r="S305" s="193"/>
      <c r="T305" s="193"/>
      <c r="U305" s="193"/>
      <c r="V305" s="193"/>
      <c r="W305" s="193"/>
      <c r="X305" s="193"/>
      <c r="Y305" s="503"/>
      <c r="Z305" s="193"/>
      <c r="AA305" s="520">
        <f t="shared" si="126"/>
        <v>-6.9034300324690101E-2</v>
      </c>
      <c r="AB305" s="496"/>
      <c r="AC305" s="521">
        <f t="shared" si="127"/>
        <v>-4.0713805452947515E-3</v>
      </c>
      <c r="AD305" s="496"/>
      <c r="AE305" s="522">
        <f t="shared" si="128"/>
        <v>-7.3105680869984854E-2</v>
      </c>
      <c r="AG305" s="531">
        <f t="shared" si="129"/>
        <v>2.2727341670679868E-4</v>
      </c>
      <c r="AH305" s="221" t="str">
        <f t="shared" si="130"/>
        <v>NO</v>
      </c>
      <c r="AI305" s="532">
        <f t="shared" si="131"/>
        <v>1.3403721959818113E-5</v>
      </c>
      <c r="AJ305" s="221" t="str">
        <f t="shared" si="110"/>
        <v>NO</v>
      </c>
      <c r="AK305" s="533">
        <f>IF('IN-OUT'!$F$35=0,AG305,IF('IN-OUT'!$F$26=0,'transversal subsidence profile'!AI305,'transversal subsidence profile'!AG305+'transversal subsidence profile'!AI305))</f>
        <v>2.406771386666168E-4</v>
      </c>
      <c r="AL305" s="513">
        <f t="shared" si="111"/>
        <v>1000</v>
      </c>
    </row>
    <row r="306" spans="1:38">
      <c r="A306" s="542">
        <f t="shared" si="132"/>
        <v>24</v>
      </c>
      <c r="B306" s="363">
        <f t="shared" si="112"/>
        <v>4.7075893123253738E-5</v>
      </c>
      <c r="C306" s="543">
        <f t="shared" si="113"/>
        <v>7.5321428997205983E-5</v>
      </c>
      <c r="D306" s="542">
        <f t="shared" si="133"/>
        <v>24</v>
      </c>
      <c r="E306" s="363">
        <f t="shared" si="114"/>
        <v>4.7075893123253738E-5</v>
      </c>
      <c r="F306" s="543">
        <f t="shared" si="115"/>
        <v>7.5321428997205983E-5</v>
      </c>
      <c r="G306" s="548">
        <f t="shared" si="116"/>
        <v>14</v>
      </c>
      <c r="H306" s="363">
        <f t="shared" si="117"/>
        <v>3.0468302553613462E-3</v>
      </c>
      <c r="I306" s="363">
        <f t="shared" si="118"/>
        <v>2.8437082383372561E-3</v>
      </c>
      <c r="J306" s="364">
        <f t="shared" si="119"/>
        <v>3.0939061484846E-3</v>
      </c>
      <c r="K306" s="194">
        <f t="shared" si="120"/>
        <v>0.30468302553613463</v>
      </c>
      <c r="L306" s="646">
        <f t="shared" si="121"/>
        <v>4.7075893123253738E-3</v>
      </c>
      <c r="M306" s="365">
        <f t="shared" si="122"/>
        <v>0.30939061484846003</v>
      </c>
      <c r="N306" s="194">
        <f t="shared" si="123"/>
        <v>0.28437082383372558</v>
      </c>
      <c r="O306" s="422">
        <f t="shared" si="124"/>
        <v>7.5321428997205987E-3</v>
      </c>
      <c r="P306" s="365">
        <f t="shared" si="125"/>
        <v>0.29190296673344618</v>
      </c>
      <c r="S306" s="193"/>
      <c r="T306" s="193"/>
      <c r="U306" s="193"/>
      <c r="V306" s="193"/>
      <c r="W306" s="193"/>
      <c r="X306" s="193"/>
      <c r="Y306" s="503"/>
      <c r="Z306" s="193"/>
      <c r="AA306" s="520">
        <f t="shared" si="126"/>
        <v>-6.7066487651163784E-2</v>
      </c>
      <c r="AB306" s="496"/>
      <c r="AC306" s="521">
        <f t="shared" si="127"/>
        <v>-3.6537092358212577E-3</v>
      </c>
      <c r="AD306" s="496"/>
      <c r="AE306" s="522">
        <f t="shared" si="128"/>
        <v>-7.072019688698504E-2</v>
      </c>
      <c r="AG306" s="531">
        <f t="shared" si="129"/>
        <v>2.2079502107379023E-4</v>
      </c>
      <c r="AH306" s="221" t="str">
        <f t="shared" si="130"/>
        <v>NO</v>
      </c>
      <c r="AI306" s="532">
        <f t="shared" si="131"/>
        <v>1.2028672381304548E-5</v>
      </c>
      <c r="AJ306" s="221" t="str">
        <f t="shared" si="110"/>
        <v>NO</v>
      </c>
      <c r="AK306" s="533">
        <f>IF('IN-OUT'!$F$35=0,AG306,IF('IN-OUT'!$F$26=0,'transversal subsidence profile'!AI306,'transversal subsidence profile'!AG306+'transversal subsidence profile'!AI306))</f>
        <v>2.3282369345509478E-4</v>
      </c>
      <c r="AL306" s="513">
        <f t="shared" si="111"/>
        <v>1000</v>
      </c>
    </row>
    <row r="307" spans="1:38">
      <c r="A307" s="542">
        <f t="shared" si="132"/>
        <v>24.25</v>
      </c>
      <c r="B307" s="363">
        <f t="shared" si="112"/>
        <v>4.123914525654635E-5</v>
      </c>
      <c r="C307" s="543">
        <f t="shared" si="113"/>
        <v>6.6669951498083267E-5</v>
      </c>
      <c r="D307" s="542">
        <f t="shared" si="133"/>
        <v>24.25</v>
      </c>
      <c r="E307" s="363">
        <f t="shared" si="114"/>
        <v>4.123914525654635E-5</v>
      </c>
      <c r="F307" s="543">
        <f t="shared" si="115"/>
        <v>6.6669951498083267E-5</v>
      </c>
      <c r="G307" s="548">
        <f t="shared" si="116"/>
        <v>14.25</v>
      </c>
      <c r="H307" s="363">
        <f t="shared" si="117"/>
        <v>2.8196093876017713E-3</v>
      </c>
      <c r="I307" s="363">
        <f t="shared" si="118"/>
        <v>2.6786289182216829E-3</v>
      </c>
      <c r="J307" s="364">
        <f t="shared" si="119"/>
        <v>2.8608485328583174E-3</v>
      </c>
      <c r="K307" s="194">
        <f t="shared" si="120"/>
        <v>0.28196093876017714</v>
      </c>
      <c r="L307" s="646">
        <f t="shared" si="121"/>
        <v>4.1239145256546346E-3</v>
      </c>
      <c r="M307" s="365">
        <f t="shared" si="122"/>
        <v>0.28608485328583177</v>
      </c>
      <c r="N307" s="194">
        <f t="shared" si="123"/>
        <v>0.26786289182216827</v>
      </c>
      <c r="O307" s="422">
        <f t="shared" si="124"/>
        <v>6.6669951498083265E-3</v>
      </c>
      <c r="P307" s="365">
        <f t="shared" si="125"/>
        <v>0.27452988697197661</v>
      </c>
      <c r="S307" s="193"/>
      <c r="T307" s="193"/>
      <c r="U307" s="193"/>
      <c r="V307" s="193"/>
      <c r="W307" s="193"/>
      <c r="X307" s="193"/>
      <c r="Y307" s="503"/>
      <c r="Z307" s="193"/>
      <c r="AA307" s="520">
        <f t="shared" si="126"/>
        <v>-6.4978652553785682E-2</v>
      </c>
      <c r="AB307" s="496"/>
      <c r="AC307" s="521">
        <f t="shared" si="127"/>
        <v>-3.2734867931122295E-3</v>
      </c>
      <c r="AD307" s="496"/>
      <c r="AE307" s="522">
        <f t="shared" si="128"/>
        <v>-6.8252139346897917E-2</v>
      </c>
      <c r="AG307" s="531">
        <f t="shared" si="129"/>
        <v>2.1392148988900631E-4</v>
      </c>
      <c r="AH307" s="221" t="str">
        <f t="shared" si="130"/>
        <v>NO</v>
      </c>
      <c r="AI307" s="532">
        <f t="shared" si="131"/>
        <v>1.0776911253044376E-5</v>
      </c>
      <c r="AJ307" s="221" t="str">
        <f t="shared" si="110"/>
        <v>NO</v>
      </c>
      <c r="AK307" s="533">
        <f>IF('IN-OUT'!$F$35=0,AG307,IF('IN-OUT'!$F$26=0,'transversal subsidence profile'!AI307,'transversal subsidence profile'!AG307+'transversal subsidence profile'!AI307))</f>
        <v>2.2469840114205068E-4</v>
      </c>
      <c r="AL307" s="513">
        <f t="shared" si="111"/>
        <v>1000</v>
      </c>
    </row>
    <row r="308" spans="1:38">
      <c r="A308" s="542">
        <f t="shared" si="132"/>
        <v>24.5</v>
      </c>
      <c r="B308" s="363">
        <f t="shared" si="112"/>
        <v>3.607655025647109E-5</v>
      </c>
      <c r="C308" s="543">
        <f t="shared" si="113"/>
        <v>5.8925032085569447E-5</v>
      </c>
      <c r="D308" s="542">
        <f t="shared" si="133"/>
        <v>24.5</v>
      </c>
      <c r="E308" s="363">
        <f t="shared" si="114"/>
        <v>3.607655025647109E-5</v>
      </c>
      <c r="F308" s="543">
        <f t="shared" si="115"/>
        <v>5.8925032085569447E-5</v>
      </c>
      <c r="G308" s="548">
        <f t="shared" si="116"/>
        <v>14.5</v>
      </c>
      <c r="H308" s="363">
        <f t="shared" si="117"/>
        <v>2.6057568979923197E-3</v>
      </c>
      <c r="I308" s="363">
        <f t="shared" si="118"/>
        <v>2.5188983347259088E-3</v>
      </c>
      <c r="J308" s="364">
        <f t="shared" si="119"/>
        <v>2.6418334482487906E-3</v>
      </c>
      <c r="K308" s="194">
        <f t="shared" si="120"/>
        <v>0.26057568979923196</v>
      </c>
      <c r="L308" s="646">
        <f t="shared" si="121"/>
        <v>3.607655025647109E-3</v>
      </c>
      <c r="M308" s="365">
        <f t="shared" si="122"/>
        <v>0.26418334482487904</v>
      </c>
      <c r="N308" s="194">
        <f t="shared" si="123"/>
        <v>0.25188983347259086</v>
      </c>
      <c r="O308" s="422">
        <f t="shared" si="124"/>
        <v>5.8925032085569446E-3</v>
      </c>
      <c r="P308" s="365">
        <f t="shared" si="125"/>
        <v>0.25778233668114781</v>
      </c>
      <c r="S308" s="193"/>
      <c r="T308" s="193"/>
      <c r="U308" s="193"/>
      <c r="V308" s="193"/>
      <c r="W308" s="193"/>
      <c r="X308" s="193"/>
      <c r="Y308" s="503"/>
      <c r="Z308" s="193"/>
      <c r="AA308" s="520">
        <f t="shared" si="126"/>
        <v>-6.279075835582773E-2</v>
      </c>
      <c r="AB308" s="496"/>
      <c r="AC308" s="521">
        <f t="shared" si="127"/>
        <v>-2.928023626211074E-3</v>
      </c>
      <c r="AD308" s="496"/>
      <c r="AE308" s="522">
        <f t="shared" si="128"/>
        <v>-6.5718781982038801E-2</v>
      </c>
      <c r="AG308" s="531">
        <f t="shared" si="129"/>
        <v>2.0671854602741639E-4</v>
      </c>
      <c r="AH308" s="221" t="str">
        <f t="shared" si="130"/>
        <v>NO</v>
      </c>
      <c r="AI308" s="532">
        <f t="shared" si="131"/>
        <v>9.639583954604358E-6</v>
      </c>
      <c r="AJ308" s="221" t="str">
        <f t="shared" si="110"/>
        <v>NO</v>
      </c>
      <c r="AK308" s="533">
        <f>IF('IN-OUT'!$F$35=0,AG308,IF('IN-OUT'!$F$26=0,'transversal subsidence profile'!AI308,'transversal subsidence profile'!AG308+'transversal subsidence profile'!AI308))</f>
        <v>2.1635812998202074E-4</v>
      </c>
      <c r="AL308" s="513">
        <f t="shared" si="111"/>
        <v>1000</v>
      </c>
    </row>
    <row r="309" spans="1:38">
      <c r="A309" s="542">
        <f t="shared" si="132"/>
        <v>24.75</v>
      </c>
      <c r="B309" s="363">
        <f t="shared" si="112"/>
        <v>3.151698096419107E-5</v>
      </c>
      <c r="C309" s="543">
        <f t="shared" si="113"/>
        <v>5.2003018590915269E-5</v>
      </c>
      <c r="D309" s="542">
        <f t="shared" si="133"/>
        <v>24.75</v>
      </c>
      <c r="E309" s="363">
        <f t="shared" si="114"/>
        <v>3.151698096419107E-5</v>
      </c>
      <c r="F309" s="543">
        <f t="shared" si="115"/>
        <v>5.2003018590915269E-5</v>
      </c>
      <c r="G309" s="548">
        <f t="shared" si="116"/>
        <v>14.75</v>
      </c>
      <c r="H309" s="363">
        <f t="shared" si="117"/>
        <v>2.4048229304941843E-3</v>
      </c>
      <c r="I309" s="363">
        <f t="shared" si="118"/>
        <v>2.3647425483192814E-3</v>
      </c>
      <c r="J309" s="364">
        <f t="shared" si="119"/>
        <v>2.4363399114583754E-3</v>
      </c>
      <c r="K309" s="194">
        <f t="shared" si="120"/>
        <v>0.24048229304941843</v>
      </c>
      <c r="L309" s="646">
        <f t="shared" si="121"/>
        <v>3.1516980964191072E-3</v>
      </c>
      <c r="M309" s="365">
        <f t="shared" si="122"/>
        <v>0.24363399114583753</v>
      </c>
      <c r="N309" s="194">
        <f t="shared" si="123"/>
        <v>0.23647425483192813</v>
      </c>
      <c r="O309" s="422">
        <f t="shared" si="124"/>
        <v>5.2003018590915271E-3</v>
      </c>
      <c r="P309" s="365">
        <f t="shared" si="125"/>
        <v>0.24167455669101967</v>
      </c>
      <c r="S309" s="193"/>
      <c r="T309" s="193"/>
      <c r="U309" s="193"/>
      <c r="V309" s="193"/>
      <c r="W309" s="193"/>
      <c r="X309" s="193"/>
      <c r="Y309" s="503"/>
      <c r="Z309" s="193"/>
      <c r="AA309" s="520">
        <f t="shared" si="126"/>
        <v>-6.0521926883584785E-2</v>
      </c>
      <c r="AB309" s="496"/>
      <c r="AC309" s="521">
        <f t="shared" si="127"/>
        <v>-2.6147421244365923E-3</v>
      </c>
      <c r="AD309" s="496"/>
      <c r="AE309" s="522">
        <f t="shared" si="128"/>
        <v>-6.3136669008021382E-2</v>
      </c>
      <c r="AG309" s="531">
        <f t="shared" si="129"/>
        <v>1.9924914200357126E-4</v>
      </c>
      <c r="AH309" s="221" t="str">
        <f t="shared" si="130"/>
        <v>NO</v>
      </c>
      <c r="AI309" s="532">
        <f t="shared" si="131"/>
        <v>8.6082045248941313E-6</v>
      </c>
      <c r="AJ309" s="221" t="str">
        <f t="shared" si="110"/>
        <v>NO</v>
      </c>
      <c r="AK309" s="533">
        <f>IF('IN-OUT'!$F$35=0,AG309,IF('IN-OUT'!$F$26=0,'transversal subsidence profile'!AI309,'transversal subsidence profile'!AG309+'transversal subsidence profile'!AI309))</f>
        <v>2.0785734652846539E-4</v>
      </c>
      <c r="AL309" s="513">
        <f t="shared" si="111"/>
        <v>1000</v>
      </c>
    </row>
    <row r="310" spans="1:38">
      <c r="A310" s="542">
        <f t="shared" si="132"/>
        <v>25</v>
      </c>
      <c r="B310" s="363">
        <f t="shared" si="112"/>
        <v>2.7495933984103291E-5</v>
      </c>
      <c r="C310" s="543">
        <f t="shared" si="113"/>
        <v>4.5826556640172145E-5</v>
      </c>
      <c r="D310" s="542">
        <f t="shared" si="133"/>
        <v>25</v>
      </c>
      <c r="E310" s="363">
        <f t="shared" si="114"/>
        <v>2.7495933984103291E-5</v>
      </c>
      <c r="F310" s="543">
        <f t="shared" si="115"/>
        <v>4.5826556640172145E-5</v>
      </c>
      <c r="G310" s="548">
        <f t="shared" si="116"/>
        <v>15</v>
      </c>
      <c r="H310" s="363">
        <f t="shared" si="117"/>
        <v>2.2163409593685705E-3</v>
      </c>
      <c r="I310" s="363">
        <f t="shared" si="118"/>
        <v>2.2163409593685705E-3</v>
      </c>
      <c r="J310" s="364">
        <f t="shared" si="119"/>
        <v>2.2438368933526739E-3</v>
      </c>
      <c r="K310" s="194">
        <f t="shared" si="120"/>
        <v>0.22163409593685704</v>
      </c>
      <c r="L310" s="646">
        <f t="shared" si="121"/>
        <v>2.7495933984103289E-3</v>
      </c>
      <c r="M310" s="365">
        <f t="shared" si="122"/>
        <v>0.22438368933526737</v>
      </c>
      <c r="N310" s="194">
        <f t="shared" si="123"/>
        <v>0.22163409593685704</v>
      </c>
      <c r="O310" s="422">
        <f t="shared" si="124"/>
        <v>4.5826556640172142E-3</v>
      </c>
      <c r="P310" s="365">
        <f t="shared" si="125"/>
        <v>0.22621675160087426</v>
      </c>
      <c r="S310" s="193"/>
      <c r="T310" s="193"/>
      <c r="U310" s="193"/>
      <c r="V310" s="193"/>
      <c r="W310" s="193"/>
      <c r="X310" s="193"/>
      <c r="Y310" s="503"/>
      <c r="Z310" s="193"/>
      <c r="AA310" s="520">
        <f t="shared" si="126"/>
        <v>-5.8190351114285908E-2</v>
      </c>
      <c r="AB310" s="496"/>
      <c r="AC310" s="521">
        <f t="shared" si="127"/>
        <v>-2.3311824779755062E-3</v>
      </c>
      <c r="AD310" s="496"/>
      <c r="AE310" s="522">
        <f t="shared" si="128"/>
        <v>-6.0521533592261416E-2</v>
      </c>
      <c r="AG310" s="531">
        <f t="shared" si="129"/>
        <v>1.9157317239271084E-4</v>
      </c>
      <c r="AH310" s="221" t="str">
        <f t="shared" si="130"/>
        <v>NO</v>
      </c>
      <c r="AI310" s="532">
        <f t="shared" si="131"/>
        <v>7.6746748246107181E-6</v>
      </c>
      <c r="AJ310" s="221" t="str">
        <f t="shared" si="110"/>
        <v>NO</v>
      </c>
      <c r="AK310" s="533">
        <f>IF('IN-OUT'!$F$35=0,AG310,IF('IN-OUT'!$F$26=0,'transversal subsidence profile'!AI310,'transversal subsidence profile'!AG310+'transversal subsidence profile'!AI310))</f>
        <v>1.9924784721732155E-4</v>
      </c>
      <c r="AL310" s="513">
        <f t="shared" si="111"/>
        <v>1000</v>
      </c>
    </row>
    <row r="311" spans="1:38">
      <c r="A311" s="542">
        <f t="shared" si="132"/>
        <v>25.25</v>
      </c>
      <c r="B311" s="363">
        <f t="shared" si="112"/>
        <v>2.3955023619108636E-5</v>
      </c>
      <c r="C311" s="543">
        <f t="shared" si="113"/>
        <v>4.032428975883287E-5</v>
      </c>
      <c r="D311" s="542">
        <f t="shared" si="133"/>
        <v>25.25</v>
      </c>
      <c r="E311" s="363">
        <f t="shared" si="114"/>
        <v>2.3955023619108636E-5</v>
      </c>
      <c r="F311" s="543">
        <f t="shared" si="115"/>
        <v>4.032428975883287E-5</v>
      </c>
      <c r="G311" s="548">
        <f t="shared" si="116"/>
        <v>15.25</v>
      </c>
      <c r="H311" s="363">
        <f t="shared" si="117"/>
        <v>2.0398315313514743E-3</v>
      </c>
      <c r="I311" s="363">
        <f t="shared" si="118"/>
        <v>2.0738287235406655E-3</v>
      </c>
      <c r="J311" s="364">
        <f t="shared" si="119"/>
        <v>2.0637865549705831E-3</v>
      </c>
      <c r="K311" s="194">
        <f t="shared" si="120"/>
        <v>0.20398315313514742</v>
      </c>
      <c r="L311" s="646">
        <f t="shared" si="121"/>
        <v>2.3955023619108636E-3</v>
      </c>
      <c r="M311" s="365">
        <f t="shared" si="122"/>
        <v>0.20637865549705828</v>
      </c>
      <c r="N311" s="194">
        <f t="shared" si="123"/>
        <v>0.20738287235406655</v>
      </c>
      <c r="O311" s="422">
        <f t="shared" si="124"/>
        <v>4.0324289758832867E-3</v>
      </c>
      <c r="P311" s="365">
        <f t="shared" si="125"/>
        <v>0.21141530132994985</v>
      </c>
      <c r="S311" s="193"/>
      <c r="T311" s="193"/>
      <c r="U311" s="193"/>
      <c r="V311" s="193"/>
      <c r="W311" s="193"/>
      <c r="X311" s="193"/>
      <c r="Y311" s="503"/>
      <c r="Z311" s="193"/>
      <c r="AA311" s="520">
        <f t="shared" si="126"/>
        <v>-5.5813223061761424E-2</v>
      </c>
      <c r="AB311" s="496"/>
      <c r="AC311" s="521">
        <f t="shared" si="127"/>
        <v>-2.0750067098326201E-3</v>
      </c>
      <c r="AD311" s="496"/>
      <c r="AE311" s="522">
        <f t="shared" si="128"/>
        <v>-5.7888229771594045E-2</v>
      </c>
      <c r="AG311" s="531">
        <f t="shared" si="129"/>
        <v>1.8374723641732151E-4</v>
      </c>
      <c r="AH311" s="221" t="str">
        <f t="shared" si="130"/>
        <v>NO</v>
      </c>
      <c r="AI311" s="532">
        <f t="shared" si="131"/>
        <v>6.8312978101485429E-6</v>
      </c>
      <c r="AJ311" s="221" t="str">
        <f t="shared" si="110"/>
        <v>NO</v>
      </c>
      <c r="AK311" s="533">
        <f>IF('IN-OUT'!$F$35=0,AG311,IF('IN-OUT'!$F$26=0,'transversal subsidence profile'!AI311,'transversal subsidence profile'!AG311+'transversal subsidence profile'!AI311))</f>
        <v>1.9057853422747005E-4</v>
      </c>
      <c r="AL311" s="513">
        <f t="shared" si="111"/>
        <v>1000</v>
      </c>
    </row>
    <row r="312" spans="1:38">
      <c r="A312" s="542">
        <f t="shared" si="132"/>
        <v>25.5</v>
      </c>
      <c r="B312" s="363">
        <f t="shared" si="112"/>
        <v>2.0841500846863253E-5</v>
      </c>
      <c r="C312" s="543">
        <f t="shared" si="113"/>
        <v>3.5430551439667534E-5</v>
      </c>
      <c r="D312" s="542">
        <f t="shared" si="133"/>
        <v>25.5</v>
      </c>
      <c r="E312" s="363">
        <f t="shared" si="114"/>
        <v>2.0841500846863253E-5</v>
      </c>
      <c r="F312" s="543">
        <f t="shared" si="115"/>
        <v>3.5430551439667534E-5</v>
      </c>
      <c r="G312" s="548">
        <f t="shared" si="116"/>
        <v>15.5</v>
      </c>
      <c r="H312" s="363">
        <f t="shared" si="117"/>
        <v>1.8748058021232075E-3</v>
      </c>
      <c r="I312" s="363">
        <f t="shared" si="118"/>
        <v>1.9372993288606474E-3</v>
      </c>
      <c r="J312" s="364">
        <f t="shared" si="119"/>
        <v>1.8956473029700708E-3</v>
      </c>
      <c r="K312" s="194">
        <f t="shared" si="120"/>
        <v>0.18748058021232075</v>
      </c>
      <c r="L312" s="646">
        <f t="shared" si="121"/>
        <v>2.0841500846863251E-3</v>
      </c>
      <c r="M312" s="365">
        <f t="shared" si="122"/>
        <v>0.18956473029700707</v>
      </c>
      <c r="N312" s="194">
        <f t="shared" si="123"/>
        <v>0.19372993288606474</v>
      </c>
      <c r="O312" s="422">
        <f t="shared" si="124"/>
        <v>3.5430551439667533E-3</v>
      </c>
      <c r="P312" s="365">
        <f t="shared" si="125"/>
        <v>0.19727298803003149</v>
      </c>
      <c r="S312" s="193"/>
      <c r="T312" s="193"/>
      <c r="U312" s="193"/>
      <c r="V312" s="193"/>
      <c r="W312" s="193"/>
      <c r="X312" s="193"/>
      <c r="Y312" s="503"/>
      <c r="Z312" s="193"/>
      <c r="AA312" s="520">
        <f t="shared" si="126"/>
        <v>-5.3406676484808326E-2</v>
      </c>
      <c r="AB312" s="496"/>
      <c r="AC312" s="521">
        <f t="shared" si="127"/>
        <v>-1.8440011037348146E-3</v>
      </c>
      <c r="AD312" s="496"/>
      <c r="AE312" s="522">
        <f t="shared" si="128"/>
        <v>-5.5250677588543143E-2</v>
      </c>
      <c r="AG312" s="531">
        <f t="shared" si="129"/>
        <v>1.7582444933270233E-4</v>
      </c>
      <c r="AH312" s="221" t="str">
        <f t="shared" si="130"/>
        <v>NO</v>
      </c>
      <c r="AI312" s="532">
        <f t="shared" si="131"/>
        <v>6.0707855266989773E-6</v>
      </c>
      <c r="AJ312" s="221" t="str">
        <f t="shared" si="110"/>
        <v>NO</v>
      </c>
      <c r="AK312" s="533">
        <f>IF('IN-OUT'!$F$35=0,AG312,IF('IN-OUT'!$F$26=0,'transversal subsidence profile'!AI312,'transversal subsidence profile'!AG312+'transversal subsidence profile'!AI312))</f>
        <v>1.818952348594013E-4</v>
      </c>
      <c r="AL312" s="513">
        <f t="shared" si="111"/>
        <v>1000</v>
      </c>
    </row>
    <row r="313" spans="1:38">
      <c r="A313" s="542">
        <f t="shared" si="132"/>
        <v>25.75</v>
      </c>
      <c r="B313" s="363">
        <f t="shared" si="112"/>
        <v>1.8107797839661258E-5</v>
      </c>
      <c r="C313" s="543">
        <f t="shared" si="113"/>
        <v>3.108505295808516E-5</v>
      </c>
      <c r="D313" s="542">
        <f t="shared" si="133"/>
        <v>25.75</v>
      </c>
      <c r="E313" s="363">
        <f t="shared" si="114"/>
        <v>1.8107797839661258E-5</v>
      </c>
      <c r="F313" s="543">
        <f t="shared" si="115"/>
        <v>3.108505295808516E-5</v>
      </c>
      <c r="G313" s="548">
        <f t="shared" si="116"/>
        <v>15.75</v>
      </c>
      <c r="H313" s="363">
        <f t="shared" si="117"/>
        <v>1.720768855274655E-3</v>
      </c>
      <c r="I313" s="363">
        <f t="shared" si="118"/>
        <v>1.8068072980383879E-3</v>
      </c>
      <c r="J313" s="364">
        <f t="shared" si="119"/>
        <v>1.7388766531143162E-3</v>
      </c>
      <c r="K313" s="194">
        <f t="shared" si="120"/>
        <v>0.1720768855274655</v>
      </c>
      <c r="L313" s="646">
        <f t="shared" si="121"/>
        <v>1.8107797839661257E-3</v>
      </c>
      <c r="M313" s="365">
        <f t="shared" si="122"/>
        <v>0.17388766531143163</v>
      </c>
      <c r="N313" s="194">
        <f t="shared" si="123"/>
        <v>0.18068072980383879</v>
      </c>
      <c r="O313" s="422">
        <f t="shared" si="124"/>
        <v>3.1085052958085158E-3</v>
      </c>
      <c r="P313" s="365">
        <f t="shared" si="125"/>
        <v>0.18378923509964731</v>
      </c>
      <c r="S313" s="193"/>
      <c r="T313" s="193"/>
      <c r="U313" s="193"/>
      <c r="V313" s="193"/>
      <c r="W313" s="193"/>
      <c r="X313" s="193"/>
      <c r="Y313" s="503"/>
      <c r="Z313" s="193"/>
      <c r="AA313" s="520">
        <f t="shared" si="126"/>
        <v>-5.0985743859989781E-2</v>
      </c>
      <c r="AB313" s="496"/>
      <c r="AC313" s="521">
        <f t="shared" si="127"/>
        <v>-1.6360772076438341E-3</v>
      </c>
      <c r="AD313" s="496"/>
      <c r="AE313" s="522">
        <f t="shared" si="128"/>
        <v>-5.2621821067633613E-2</v>
      </c>
      <c r="AG313" s="531">
        <f t="shared" si="129"/>
        <v>1.678543007736289E-4</v>
      </c>
      <c r="AH313" s="221" t="str">
        <f t="shared" si="130"/>
        <v>NO</v>
      </c>
      <c r="AI313" s="532">
        <f t="shared" si="131"/>
        <v>5.3862624119961604E-6</v>
      </c>
      <c r="AJ313" s="221" t="str">
        <f t="shared" si="110"/>
        <v>NO</v>
      </c>
      <c r="AK313" s="533">
        <f>IF('IN-OUT'!$F$35=0,AG313,IF('IN-OUT'!$F$26=0,'transversal subsidence profile'!AI313,'transversal subsidence profile'!AG313+'transversal subsidence profile'!AI313))</f>
        <v>1.7324056318562505E-4</v>
      </c>
      <c r="AL313" s="513">
        <f t="shared" si="111"/>
        <v>1000</v>
      </c>
    </row>
    <row r="314" spans="1:38">
      <c r="A314" s="542">
        <f t="shared" si="132"/>
        <v>26</v>
      </c>
      <c r="B314" s="363">
        <f t="shared" si="112"/>
        <v>1.5711098237402173E-5</v>
      </c>
      <c r="C314" s="543">
        <f t="shared" si="113"/>
        <v>2.7232570278163765E-5</v>
      </c>
      <c r="D314" s="542">
        <f t="shared" si="133"/>
        <v>26</v>
      </c>
      <c r="E314" s="363">
        <f t="shared" si="114"/>
        <v>1.5711098237402173E-5</v>
      </c>
      <c r="F314" s="543">
        <f t="shared" si="115"/>
        <v>2.7232570278163765E-5</v>
      </c>
      <c r="G314" s="548">
        <f t="shared" si="116"/>
        <v>16</v>
      </c>
      <c r="H314" s="363">
        <f t="shared" si="117"/>
        <v>1.5772227949052372E-3</v>
      </c>
      <c r="I314" s="363">
        <f t="shared" si="118"/>
        <v>1.6823709812322529E-3</v>
      </c>
      <c r="J314" s="364">
        <f t="shared" si="119"/>
        <v>1.5929338931426394E-3</v>
      </c>
      <c r="K314" s="194">
        <f t="shared" si="120"/>
        <v>0.15772227949052373</v>
      </c>
      <c r="L314" s="646">
        <f t="shared" si="121"/>
        <v>1.5711098237402173E-3</v>
      </c>
      <c r="M314" s="365">
        <f t="shared" si="122"/>
        <v>0.15929338931426396</v>
      </c>
      <c r="N314" s="194">
        <f t="shared" si="123"/>
        <v>0.16823709812322529</v>
      </c>
      <c r="O314" s="422">
        <f t="shared" si="124"/>
        <v>2.7232570278163766E-3</v>
      </c>
      <c r="P314" s="365">
        <f t="shared" si="125"/>
        <v>0.17096035515104166</v>
      </c>
      <c r="S314" s="193"/>
      <c r="T314" s="193"/>
      <c r="U314" s="193"/>
      <c r="V314" s="193"/>
      <c r="W314" s="193"/>
      <c r="X314" s="193"/>
      <c r="Y314" s="503"/>
      <c r="Z314" s="193"/>
      <c r="AA314" s="520">
        <f t="shared" si="126"/>
        <v>-4.8564326935948178E-2</v>
      </c>
      <c r="AB314" s="496"/>
      <c r="AC314" s="521">
        <f t="shared" si="127"/>
        <v>-1.4492715859229601E-3</v>
      </c>
      <c r="AD314" s="496"/>
      <c r="AE314" s="522">
        <f t="shared" si="128"/>
        <v>-5.0013598521871136E-2</v>
      </c>
      <c r="AG314" s="531">
        <f t="shared" si="129"/>
        <v>1.5988255781382115E-4</v>
      </c>
      <c r="AH314" s="221" t="str">
        <f t="shared" si="130"/>
        <v>NO</v>
      </c>
      <c r="AI314" s="532">
        <f t="shared" si="131"/>
        <v>4.7712644804048075E-6</v>
      </c>
      <c r="AJ314" s="221" t="str">
        <f t="shared" si="110"/>
        <v>NO</v>
      </c>
      <c r="AK314" s="533">
        <f>IF('IN-OUT'!$F$35=0,AG314,IF('IN-OUT'!$F$26=0,'transversal subsidence profile'!AI314,'transversal subsidence profile'!AG314+'transversal subsidence profile'!AI314))</f>
        <v>1.6465382229422597E-4</v>
      </c>
      <c r="AL314" s="513">
        <f t="shared" si="111"/>
        <v>1000</v>
      </c>
    </row>
    <row r="315" spans="1:38">
      <c r="A315" s="542">
        <f t="shared" si="132"/>
        <v>26.25</v>
      </c>
      <c r="B315" s="363">
        <f t="shared" si="112"/>
        <v>1.3612933125479041E-5</v>
      </c>
      <c r="C315" s="543">
        <f t="shared" si="113"/>
        <v>2.3822632969588324E-5</v>
      </c>
      <c r="D315" s="542">
        <f t="shared" si="133"/>
        <v>26.25</v>
      </c>
      <c r="E315" s="363">
        <f t="shared" si="114"/>
        <v>1.3612933125479041E-5</v>
      </c>
      <c r="F315" s="543">
        <f t="shared" si="115"/>
        <v>2.3822632969588324E-5</v>
      </c>
      <c r="G315" s="548">
        <f t="shared" si="116"/>
        <v>16.25</v>
      </c>
      <c r="H315" s="363">
        <f t="shared" si="117"/>
        <v>1.4436696057802179E-3</v>
      </c>
      <c r="I315" s="363">
        <f t="shared" si="118"/>
        <v>1.5639754062619028E-3</v>
      </c>
      <c r="J315" s="364">
        <f t="shared" si="119"/>
        <v>1.457282538905697E-3</v>
      </c>
      <c r="K315" s="194">
        <f t="shared" si="120"/>
        <v>0.14436696057802179</v>
      </c>
      <c r="L315" s="646">
        <f t="shared" si="121"/>
        <v>1.361293312547904E-3</v>
      </c>
      <c r="M315" s="365">
        <f t="shared" si="122"/>
        <v>0.1457282538905697</v>
      </c>
      <c r="N315" s="194">
        <f t="shared" si="123"/>
        <v>0.15639754062619027</v>
      </c>
      <c r="O315" s="422">
        <f t="shared" si="124"/>
        <v>2.3822632969588324E-3</v>
      </c>
      <c r="P315" s="365">
        <f t="shared" si="125"/>
        <v>0.15877980392314911</v>
      </c>
      <c r="S315" s="193"/>
      <c r="T315" s="193"/>
      <c r="U315" s="193"/>
      <c r="V315" s="193"/>
      <c r="W315" s="193"/>
      <c r="X315" s="193"/>
      <c r="Y315" s="503"/>
      <c r="Z315" s="193"/>
      <c r="AA315" s="520">
        <f t="shared" si="126"/>
        <v>-4.6155180080545415E-2</v>
      </c>
      <c r="AB315" s="496"/>
      <c r="AC315" s="521">
        <f t="shared" si="127"/>
        <v>-1.28174448523029E-3</v>
      </c>
      <c r="AD315" s="496"/>
      <c r="AE315" s="522">
        <f t="shared" si="128"/>
        <v>-4.7436924565775702E-2</v>
      </c>
      <c r="AG315" s="531">
        <f t="shared" si="129"/>
        <v>1.519512101417133E-4</v>
      </c>
      <c r="AH315" s="221" t="str">
        <f t="shared" si="130"/>
        <v>NO</v>
      </c>
      <c r="AI315" s="532">
        <f t="shared" si="131"/>
        <v>4.2197349307993085E-6</v>
      </c>
      <c r="AJ315" s="221" t="str">
        <f t="shared" si="110"/>
        <v>NO</v>
      </c>
      <c r="AK315" s="533">
        <f>IF('IN-OUT'!$F$35=0,AG315,IF('IN-OUT'!$F$26=0,'transversal subsidence profile'!AI315,'transversal subsidence profile'!AG315+'transversal subsidence profile'!AI315))</f>
        <v>1.5617094507251262E-4</v>
      </c>
      <c r="AL315" s="513">
        <f t="shared" si="111"/>
        <v>1000</v>
      </c>
    </row>
    <row r="316" spans="1:38">
      <c r="A316" s="542">
        <f t="shared" si="132"/>
        <v>26.5</v>
      </c>
      <c r="B316" s="363">
        <f t="shared" si="112"/>
        <v>1.1778802445756498E-5</v>
      </c>
      <c r="C316" s="543">
        <f t="shared" si="113"/>
        <v>2.0809217654169814E-5</v>
      </c>
      <c r="D316" s="542">
        <f t="shared" si="133"/>
        <v>26.5</v>
      </c>
      <c r="E316" s="363">
        <f t="shared" si="114"/>
        <v>1.1778802445756498E-5</v>
      </c>
      <c r="F316" s="543">
        <f t="shared" si="115"/>
        <v>2.0809217654169814E-5</v>
      </c>
      <c r="G316" s="548">
        <f t="shared" si="116"/>
        <v>16.5</v>
      </c>
      <c r="H316" s="363">
        <f t="shared" si="117"/>
        <v>1.3196137776058507E-3</v>
      </c>
      <c r="I316" s="363">
        <f t="shared" si="118"/>
        <v>1.4515751553664357E-3</v>
      </c>
      <c r="J316" s="364">
        <f t="shared" si="119"/>
        <v>1.3313925800516073E-3</v>
      </c>
      <c r="K316" s="194">
        <f t="shared" si="120"/>
        <v>0.13196137776058506</v>
      </c>
      <c r="L316" s="646">
        <f t="shared" si="121"/>
        <v>1.1778802445756497E-3</v>
      </c>
      <c r="M316" s="365">
        <f t="shared" si="122"/>
        <v>0.13313925800516072</v>
      </c>
      <c r="N316" s="194">
        <f t="shared" si="123"/>
        <v>0.14515751553664358</v>
      </c>
      <c r="O316" s="422">
        <f t="shared" si="124"/>
        <v>2.0809217654169814E-3</v>
      </c>
      <c r="P316" s="365">
        <f t="shared" si="125"/>
        <v>0.14723843730206057</v>
      </c>
      <c r="S316" s="193"/>
      <c r="T316" s="193"/>
      <c r="U316" s="193"/>
      <c r="V316" s="193"/>
      <c r="W316" s="193"/>
      <c r="X316" s="193"/>
      <c r="Y316" s="503"/>
      <c r="Z316" s="193"/>
      <c r="AA316" s="520">
        <f t="shared" si="126"/>
        <v>-4.3769905545280471E-2</v>
      </c>
      <c r="AB316" s="496"/>
      <c r="AC316" s="521">
        <f t="shared" si="127"/>
        <v>-1.1317775701651903E-3</v>
      </c>
      <c r="AD316" s="496"/>
      <c r="AE316" s="522">
        <f t="shared" si="128"/>
        <v>-4.4901683115445665E-2</v>
      </c>
      <c r="AG316" s="531">
        <f t="shared" si="129"/>
        <v>1.4409845447005916E-4</v>
      </c>
      <c r="AH316" s="221" t="str">
        <f t="shared" si="130"/>
        <v>NO</v>
      </c>
      <c r="AI316" s="532">
        <f t="shared" si="131"/>
        <v>3.7260166919018598E-6</v>
      </c>
      <c r="AJ316" s="221" t="str">
        <f t="shared" si="110"/>
        <v>NO</v>
      </c>
      <c r="AK316" s="533">
        <f>IF('IN-OUT'!$F$35=0,AG316,IF('IN-OUT'!$F$26=0,'transversal subsidence profile'!AI316,'transversal subsidence profile'!AG316+'transversal subsidence profile'!AI316))</f>
        <v>1.4782447116196102E-4</v>
      </c>
      <c r="AL316" s="513">
        <f t="shared" si="111"/>
        <v>1000</v>
      </c>
    </row>
    <row r="317" spans="1:38">
      <c r="A317" s="542">
        <f t="shared" si="132"/>
        <v>26.75</v>
      </c>
      <c r="B317" s="363">
        <f t="shared" si="112"/>
        <v>1.0177821377228691E-5</v>
      </c>
      <c r="C317" s="543">
        <f t="shared" si="113"/>
        <v>1.8150448122724499E-5</v>
      </c>
      <c r="D317" s="542">
        <f t="shared" si="133"/>
        <v>26.75</v>
      </c>
      <c r="E317" s="363">
        <f t="shared" si="114"/>
        <v>1.0177821377228691E-5</v>
      </c>
      <c r="F317" s="543">
        <f t="shared" si="115"/>
        <v>1.8150448122724499E-5</v>
      </c>
      <c r="G317" s="548">
        <f t="shared" si="116"/>
        <v>16.75</v>
      </c>
      <c r="H317" s="363">
        <f t="shared" si="117"/>
        <v>1.204564692431735E-3</v>
      </c>
      <c r="I317" s="363">
        <f t="shared" si="118"/>
        <v>1.3450972398821042E-3</v>
      </c>
      <c r="J317" s="364">
        <f t="shared" si="119"/>
        <v>1.2147425138089637E-3</v>
      </c>
      <c r="K317" s="194">
        <f t="shared" si="120"/>
        <v>0.12045646924317349</v>
      </c>
      <c r="L317" s="646">
        <f t="shared" si="121"/>
        <v>1.0177821377228692E-3</v>
      </c>
      <c r="M317" s="365">
        <f t="shared" si="122"/>
        <v>0.12147425138089636</v>
      </c>
      <c r="N317" s="194">
        <f t="shared" si="123"/>
        <v>0.13450972398821043</v>
      </c>
      <c r="O317" s="422">
        <f t="shared" si="124"/>
        <v>1.8150448122724499E-3</v>
      </c>
      <c r="P317" s="365">
        <f t="shared" si="125"/>
        <v>0.13632476880048289</v>
      </c>
      <c r="S317" s="193"/>
      <c r="T317" s="193"/>
      <c r="U317" s="193"/>
      <c r="V317" s="193"/>
      <c r="W317" s="193"/>
      <c r="X317" s="193"/>
      <c r="Y317" s="503"/>
      <c r="Z317" s="193"/>
      <c r="AA317" s="520">
        <f t="shared" si="126"/>
        <v>-4.1418959703185397E-2</v>
      </c>
      <c r="AB317" s="496"/>
      <c r="AC317" s="521">
        <f t="shared" si="127"/>
        <v>-9.9777087484125807E-4</v>
      </c>
      <c r="AD317" s="496"/>
      <c r="AE317" s="522">
        <f t="shared" si="128"/>
        <v>-4.2416730578026654E-2</v>
      </c>
      <c r="AG317" s="531">
        <f t="shared" si="129"/>
        <v>1.3635871507221531E-4</v>
      </c>
      <c r="AH317" s="221" t="str">
        <f t="shared" si="130"/>
        <v>NO</v>
      </c>
      <c r="AI317" s="532">
        <f t="shared" si="131"/>
        <v>3.2848423863086682E-6</v>
      </c>
      <c r="AJ317" s="221" t="str">
        <f t="shared" si="110"/>
        <v>NO</v>
      </c>
      <c r="AK317" s="533">
        <f>IF('IN-OUT'!$F$35=0,AG317,IF('IN-OUT'!$F$26=0,'transversal subsidence profile'!AI317,'transversal subsidence profile'!AG317+'transversal subsidence profile'!AI317))</f>
        <v>1.3964355745852398E-4</v>
      </c>
      <c r="AL317" s="513">
        <f t="shared" si="111"/>
        <v>1000</v>
      </c>
    </row>
    <row r="318" spans="1:38">
      <c r="A318" s="542">
        <f t="shared" si="132"/>
        <v>27</v>
      </c>
      <c r="B318" s="363">
        <f t="shared" si="112"/>
        <v>8.7823910614371457E-6</v>
      </c>
      <c r="C318" s="543">
        <f t="shared" si="113"/>
        <v>1.5808303910586863E-5</v>
      </c>
      <c r="D318" s="542">
        <f t="shared" si="133"/>
        <v>27</v>
      </c>
      <c r="E318" s="363">
        <f t="shared" si="114"/>
        <v>8.7823910614371457E-6</v>
      </c>
      <c r="F318" s="543">
        <f t="shared" si="115"/>
        <v>1.5808303910586863E-5</v>
      </c>
      <c r="G318" s="548">
        <f t="shared" si="116"/>
        <v>17</v>
      </c>
      <c r="H318" s="363">
        <f t="shared" si="117"/>
        <v>1.0980387764468608E-3</v>
      </c>
      <c r="I318" s="363">
        <f t="shared" si="118"/>
        <v>1.2444439466397755E-3</v>
      </c>
      <c r="J318" s="364">
        <f t="shared" si="119"/>
        <v>1.1068211675082978E-3</v>
      </c>
      <c r="K318" s="194">
        <f t="shared" si="120"/>
        <v>0.10980387764468608</v>
      </c>
      <c r="L318" s="646">
        <f t="shared" si="121"/>
        <v>8.7823910614371454E-4</v>
      </c>
      <c r="M318" s="365">
        <f t="shared" si="122"/>
        <v>0.11068211675082978</v>
      </c>
      <c r="N318" s="194">
        <f t="shared" si="123"/>
        <v>0.12444439466397755</v>
      </c>
      <c r="O318" s="422">
        <f t="shared" si="124"/>
        <v>1.5808303910586864E-3</v>
      </c>
      <c r="P318" s="365">
        <f t="shared" si="125"/>
        <v>0.12602522505503624</v>
      </c>
      <c r="S318" s="193"/>
      <c r="T318" s="193"/>
      <c r="U318" s="193"/>
      <c r="V318" s="193"/>
      <c r="W318" s="193"/>
      <c r="X318" s="193"/>
      <c r="Y318" s="503"/>
      <c r="Z318" s="193"/>
      <c r="AA318" s="520">
        <f t="shared" si="126"/>
        <v>-3.9111669266214198E-2</v>
      </c>
      <c r="AB318" s="496"/>
      <c r="AC318" s="521">
        <f t="shared" si="127"/>
        <v>-8.7823910614371454E-4</v>
      </c>
      <c r="AD318" s="496"/>
      <c r="AE318" s="522">
        <f t="shared" si="128"/>
        <v>-3.9989908372357913E-2</v>
      </c>
      <c r="AG318" s="531">
        <f t="shared" si="129"/>
        <v>1.2876269717272164E-4</v>
      </c>
      <c r="AH318" s="221" t="str">
        <f t="shared" si="130"/>
        <v>NO</v>
      </c>
      <c r="AI318" s="532">
        <f t="shared" si="131"/>
        <v>2.8913221601439161E-6</v>
      </c>
      <c r="AJ318" s="221" t="str">
        <f t="shared" si="110"/>
        <v>NO</v>
      </c>
      <c r="AK318" s="533">
        <f>IF('IN-OUT'!$F$35=0,AG318,IF('IN-OUT'!$F$26=0,'transversal subsidence profile'!AI318,'transversal subsidence profile'!AG318+'transversal subsidence profile'!AI318))</f>
        <v>1.3165401933286556E-4</v>
      </c>
      <c r="AL318" s="513">
        <f t="shared" si="111"/>
        <v>1000</v>
      </c>
    </row>
    <row r="319" spans="1:38">
      <c r="A319" s="542">
        <f t="shared" si="132"/>
        <v>27.25</v>
      </c>
      <c r="B319" s="363">
        <f t="shared" si="112"/>
        <v>7.5678929141453698E-6</v>
      </c>
      <c r="C319" s="543">
        <f t="shared" si="113"/>
        <v>1.3748338794030754E-5</v>
      </c>
      <c r="D319" s="542">
        <f t="shared" si="133"/>
        <v>27.25</v>
      </c>
      <c r="E319" s="363">
        <f t="shared" si="114"/>
        <v>7.5678929141453698E-6</v>
      </c>
      <c r="F319" s="543">
        <f t="shared" si="115"/>
        <v>1.3748338794030754E-5</v>
      </c>
      <c r="G319" s="548">
        <f t="shared" si="116"/>
        <v>17.25</v>
      </c>
      <c r="H319" s="363">
        <f t="shared" si="117"/>
        <v>9.9956141948862151E-4</v>
      </c>
      <c r="I319" s="363">
        <f t="shared" si="118"/>
        <v>1.1494956324119149E-3</v>
      </c>
      <c r="J319" s="364">
        <f t="shared" si="119"/>
        <v>1.0071293124027669E-3</v>
      </c>
      <c r="K319" s="194">
        <f t="shared" si="120"/>
        <v>9.9956141948862154E-2</v>
      </c>
      <c r="L319" s="646">
        <f t="shared" si="121"/>
        <v>7.5678929141453693E-4</v>
      </c>
      <c r="M319" s="365">
        <f t="shared" si="122"/>
        <v>0.10071293124027669</v>
      </c>
      <c r="N319" s="194">
        <f t="shared" si="123"/>
        <v>0.11494956324119149</v>
      </c>
      <c r="O319" s="422">
        <f t="shared" si="124"/>
        <v>1.3748338794030753E-3</v>
      </c>
      <c r="P319" s="365">
        <f t="shared" si="125"/>
        <v>0.11632439712059456</v>
      </c>
      <c r="S319" s="193"/>
      <c r="T319" s="193"/>
      <c r="U319" s="193"/>
      <c r="V319" s="193"/>
      <c r="W319" s="193"/>
      <c r="X319" s="193"/>
      <c r="Y319" s="503"/>
      <c r="Z319" s="193"/>
      <c r="AA319" s="520">
        <f t="shared" si="126"/>
        <v>-3.6856256455218304E-2</v>
      </c>
      <c r="AB319" s="496"/>
      <c r="AC319" s="521">
        <f t="shared" si="127"/>
        <v>-7.7180742367214598E-4</v>
      </c>
      <c r="AD319" s="496"/>
      <c r="AE319" s="522">
        <f t="shared" si="128"/>
        <v>-3.762806387889045E-2</v>
      </c>
      <c r="AG319" s="531">
        <f t="shared" si="129"/>
        <v>1.2133746981141829E-4</v>
      </c>
      <c r="AH319" s="221" t="str">
        <f t="shared" si="130"/>
        <v>NO</v>
      </c>
      <c r="AI319" s="532">
        <f t="shared" si="131"/>
        <v>2.5409297898671471E-6</v>
      </c>
      <c r="AJ319" s="221" t="str">
        <f t="shared" si="110"/>
        <v>NO</v>
      </c>
      <c r="AK319" s="533">
        <f>IF('IN-OUT'!$F$35=0,AG319,IF('IN-OUT'!$F$26=0,'transversal subsidence profile'!AI319,'transversal subsidence profile'!AG319+'transversal subsidence profile'!AI319))</f>
        <v>1.2387839960128545E-4</v>
      </c>
      <c r="AL319" s="513">
        <f t="shared" si="111"/>
        <v>1000</v>
      </c>
    </row>
    <row r="320" spans="1:38">
      <c r="A320" s="542">
        <f t="shared" si="132"/>
        <v>27.5</v>
      </c>
      <c r="B320" s="363">
        <f t="shared" si="112"/>
        <v>6.5124056569019646E-6</v>
      </c>
      <c r="C320" s="543">
        <f t="shared" si="113"/>
        <v>1.1939410370986936E-5</v>
      </c>
      <c r="D320" s="542">
        <f t="shared" si="133"/>
        <v>27.5</v>
      </c>
      <c r="E320" s="363">
        <f t="shared" si="114"/>
        <v>6.5124056569019646E-6</v>
      </c>
      <c r="F320" s="543">
        <f t="shared" si="115"/>
        <v>1.1939410370986936E-5</v>
      </c>
      <c r="G320" s="548">
        <f t="shared" si="116"/>
        <v>17.5</v>
      </c>
      <c r="H320" s="363">
        <f t="shared" si="117"/>
        <v>9.0866866742590074E-4</v>
      </c>
      <c r="I320" s="363">
        <f t="shared" si="118"/>
        <v>1.0601134453302175E-3</v>
      </c>
      <c r="J320" s="364">
        <f t="shared" si="119"/>
        <v>9.1518107308280266E-4</v>
      </c>
      <c r="K320" s="194">
        <f t="shared" si="120"/>
        <v>9.0866866742590077E-2</v>
      </c>
      <c r="L320" s="646">
        <f t="shared" si="121"/>
        <v>6.5124056569019649E-4</v>
      </c>
      <c r="M320" s="365">
        <f t="shared" si="122"/>
        <v>9.1518107308280278E-2</v>
      </c>
      <c r="N320" s="194">
        <f t="shared" si="123"/>
        <v>0.10601134453302175</v>
      </c>
      <c r="O320" s="422">
        <f t="shared" si="124"/>
        <v>1.1939410370986937E-3</v>
      </c>
      <c r="P320" s="365">
        <f t="shared" si="125"/>
        <v>0.10720528557012043</v>
      </c>
      <c r="S320" s="193"/>
      <c r="T320" s="193"/>
      <c r="U320" s="193"/>
      <c r="V320" s="193"/>
      <c r="W320" s="193"/>
      <c r="X320" s="193"/>
      <c r="Y320" s="503"/>
      <c r="Z320" s="193"/>
      <c r="AA320" s="520">
        <f t="shared" si="126"/>
        <v>-3.4659872078952277E-2</v>
      </c>
      <c r="AB320" s="496"/>
      <c r="AC320" s="521">
        <f t="shared" si="127"/>
        <v>-6.7720681046760163E-4</v>
      </c>
      <c r="AD320" s="496"/>
      <c r="AE320" s="522">
        <f t="shared" si="128"/>
        <v>-3.5337078889419879E-2</v>
      </c>
      <c r="AG320" s="531">
        <f t="shared" si="129"/>
        <v>1.1410657474552191E-4</v>
      </c>
      <c r="AH320" s="221" t="str">
        <f t="shared" si="130"/>
        <v>NO</v>
      </c>
      <c r="AI320" s="532">
        <f t="shared" si="131"/>
        <v>2.2294874418686472E-6</v>
      </c>
      <c r="AJ320" s="221" t="str">
        <f t="shared" si="110"/>
        <v>NO</v>
      </c>
      <c r="AK320" s="533">
        <f>IF('IN-OUT'!$F$35=0,AG320,IF('IN-OUT'!$F$26=0,'transversal subsidence profile'!AI320,'transversal subsidence profile'!AG320+'transversal subsidence profile'!AI320))</f>
        <v>1.1633606218739055E-4</v>
      </c>
      <c r="AL320" s="513">
        <f t="shared" si="111"/>
        <v>1000</v>
      </c>
    </row>
    <row r="321" spans="1:38">
      <c r="A321" s="542">
        <f t="shared" si="132"/>
        <v>27.75</v>
      </c>
      <c r="B321" s="363">
        <f t="shared" si="112"/>
        <v>5.596444117736857E-6</v>
      </c>
      <c r="C321" s="543">
        <f t="shared" si="113"/>
        <v>1.0353421617813186E-5</v>
      </c>
      <c r="D321" s="542">
        <f t="shared" si="133"/>
        <v>27.75</v>
      </c>
      <c r="E321" s="363">
        <f t="shared" si="114"/>
        <v>5.596444117736857E-6</v>
      </c>
      <c r="F321" s="543">
        <f t="shared" si="115"/>
        <v>1.0353421617813186E-5</v>
      </c>
      <c r="G321" s="548">
        <f t="shared" si="116"/>
        <v>17.75</v>
      </c>
      <c r="H321" s="363">
        <f t="shared" si="117"/>
        <v>8.2490869420467786E-4</v>
      </c>
      <c r="I321" s="363">
        <f t="shared" si="118"/>
        <v>9.7614195480886883E-4</v>
      </c>
      <c r="J321" s="364">
        <f t="shared" si="119"/>
        <v>8.3050513832241477E-4</v>
      </c>
      <c r="K321" s="194">
        <f t="shared" si="120"/>
        <v>8.249086942046778E-2</v>
      </c>
      <c r="L321" s="646">
        <f t="shared" si="121"/>
        <v>5.5964441177368566E-4</v>
      </c>
      <c r="M321" s="365">
        <f t="shared" si="122"/>
        <v>8.3050513832241463E-2</v>
      </c>
      <c r="N321" s="194">
        <f t="shared" si="123"/>
        <v>9.7614195480886887E-2</v>
      </c>
      <c r="O321" s="422">
        <f t="shared" si="124"/>
        <v>1.0353421617813187E-3</v>
      </c>
      <c r="P321" s="365">
        <f t="shared" si="125"/>
        <v>9.8649537642668206E-2</v>
      </c>
      <c r="S321" s="193"/>
      <c r="T321" s="193"/>
      <c r="U321" s="193"/>
      <c r="V321" s="193"/>
      <c r="W321" s="193"/>
      <c r="X321" s="193"/>
      <c r="Y321" s="503"/>
      <c r="Z321" s="193"/>
      <c r="AA321" s="520">
        <f t="shared" si="126"/>
        <v>-3.2528635477005678E-2</v>
      </c>
      <c r="AB321" s="496"/>
      <c r="AC321" s="521">
        <f t="shared" si="127"/>
        <v>-5.9326913774856559E-4</v>
      </c>
      <c r="AD321" s="496"/>
      <c r="AE321" s="522">
        <f t="shared" si="128"/>
        <v>-3.3121904614754241E-2</v>
      </c>
      <c r="AG321" s="531">
        <f t="shared" si="129"/>
        <v>1.0709015794898989E-4</v>
      </c>
      <c r="AH321" s="221" t="str">
        <f t="shared" si="130"/>
        <v>NO</v>
      </c>
      <c r="AI321" s="532">
        <f t="shared" si="131"/>
        <v>1.9531494246866355E-6</v>
      </c>
      <c r="AJ321" s="221" t="str">
        <f t="shared" si="110"/>
        <v>NO</v>
      </c>
      <c r="AK321" s="533">
        <f>IF('IN-OUT'!$F$35=0,AG321,IF('IN-OUT'!$F$26=0,'transversal subsidence profile'!AI321,'transversal subsidence profile'!AG321+'transversal subsidence profile'!AI321))</f>
        <v>1.0904330737367653E-4</v>
      </c>
      <c r="AL321" s="513">
        <f t="shared" si="111"/>
        <v>1000</v>
      </c>
    </row>
    <row r="322" spans="1:38">
      <c r="A322" s="542">
        <f t="shared" si="132"/>
        <v>28</v>
      </c>
      <c r="B322" s="363">
        <f t="shared" si="112"/>
        <v>4.8027187870904464E-6</v>
      </c>
      <c r="C322" s="543">
        <f t="shared" si="113"/>
        <v>8.9650750692354989E-6</v>
      </c>
      <c r="D322" s="542">
        <f t="shared" si="133"/>
        <v>28</v>
      </c>
      <c r="E322" s="363">
        <f t="shared" si="114"/>
        <v>4.8027187870904464E-6</v>
      </c>
      <c r="F322" s="543">
        <f t="shared" si="115"/>
        <v>8.9650750692354989E-6</v>
      </c>
      <c r="G322" s="548">
        <f t="shared" si="116"/>
        <v>18</v>
      </c>
      <c r="H322" s="363">
        <f t="shared" si="117"/>
        <v>7.4784306175714106E-4</v>
      </c>
      <c r="I322" s="363">
        <f t="shared" si="118"/>
        <v>8.974116741085694E-4</v>
      </c>
      <c r="J322" s="364">
        <f t="shared" si="119"/>
        <v>7.5264578054423149E-4</v>
      </c>
      <c r="K322" s="194">
        <f t="shared" si="120"/>
        <v>7.4784306175714105E-2</v>
      </c>
      <c r="L322" s="646">
        <f t="shared" si="121"/>
        <v>4.8027187870904465E-4</v>
      </c>
      <c r="M322" s="365">
        <f t="shared" si="122"/>
        <v>7.5264578054423145E-2</v>
      </c>
      <c r="N322" s="194">
        <f t="shared" si="123"/>
        <v>8.9741167410856942E-2</v>
      </c>
      <c r="O322" s="422">
        <f t="shared" si="124"/>
        <v>8.9650750692354985E-4</v>
      </c>
      <c r="P322" s="365">
        <f t="shared" si="125"/>
        <v>9.0637674917780492E-2</v>
      </c>
      <c r="S322" s="193"/>
      <c r="T322" s="193"/>
      <c r="U322" s="193"/>
      <c r="V322" s="193"/>
      <c r="W322" s="193"/>
      <c r="X322" s="193"/>
      <c r="Y322" s="503"/>
      <c r="Z322" s="193"/>
      <c r="AA322" s="520">
        <f t="shared" si="126"/>
        <v>-3.0467680293809453E-2</v>
      </c>
      <c r="AB322" s="496"/>
      <c r="AC322" s="521">
        <f t="shared" si="127"/>
        <v>-5.1892201618174323E-4</v>
      </c>
      <c r="AD322" s="496"/>
      <c r="AE322" s="522">
        <f t="shared" si="128"/>
        <v>-3.0986602309991194E-2</v>
      </c>
      <c r="AG322" s="531">
        <f t="shared" si="129"/>
        <v>1.0030512030883768E-4</v>
      </c>
      <c r="AH322" s="221" t="str">
        <f t="shared" si="130"/>
        <v>NO</v>
      </c>
      <c r="AI322" s="532">
        <f t="shared" si="131"/>
        <v>1.7083852384584139E-6</v>
      </c>
      <c r="AJ322" s="221" t="str">
        <f t="shared" si="110"/>
        <v>NO</v>
      </c>
      <c r="AK322" s="533">
        <f>IF('IN-OUT'!$F$35=0,AG322,IF('IN-OUT'!$F$26=0,'transversal subsidence profile'!AI322,'transversal subsidence profile'!AG322+'transversal subsidence profile'!AI322))</f>
        <v>1.0201350554729608E-4</v>
      </c>
      <c r="AL322" s="513">
        <f t="shared" si="111"/>
        <v>1000</v>
      </c>
    </row>
    <row r="323" spans="1:38">
      <c r="A323" s="542">
        <f t="shared" si="132"/>
        <v>28.25</v>
      </c>
      <c r="B323" s="363">
        <f t="shared" si="112"/>
        <v>4.1159150709743239E-6</v>
      </c>
      <c r="C323" s="543">
        <f t="shared" si="113"/>
        <v>7.7516400503349768E-6</v>
      </c>
      <c r="D323" s="542">
        <f t="shared" si="133"/>
        <v>28.25</v>
      </c>
      <c r="E323" s="363">
        <f t="shared" si="114"/>
        <v>4.1159150709743239E-6</v>
      </c>
      <c r="F323" s="543">
        <f t="shared" si="115"/>
        <v>7.7516400503349768E-6</v>
      </c>
      <c r="G323" s="548">
        <f t="shared" si="116"/>
        <v>18.25</v>
      </c>
      <c r="H323" s="363">
        <f t="shared" si="117"/>
        <v>6.7704777717553515E-4</v>
      </c>
      <c r="I323" s="363">
        <f t="shared" si="118"/>
        <v>8.2374146223023435E-4</v>
      </c>
      <c r="J323" s="364">
        <f t="shared" si="119"/>
        <v>6.811636922465095E-4</v>
      </c>
      <c r="K323" s="194">
        <f t="shared" si="120"/>
        <v>6.770477771755351E-2</v>
      </c>
      <c r="L323" s="646">
        <f t="shared" si="121"/>
        <v>4.115915070974324E-4</v>
      </c>
      <c r="M323" s="365">
        <f t="shared" si="122"/>
        <v>6.8116369224650947E-2</v>
      </c>
      <c r="N323" s="194">
        <f t="shared" si="123"/>
        <v>8.2374146223023442E-2</v>
      </c>
      <c r="O323" s="422">
        <f t="shared" si="124"/>
        <v>7.7516400503349766E-4</v>
      </c>
      <c r="P323" s="365">
        <f t="shared" si="125"/>
        <v>8.3149310228056938E-2</v>
      </c>
      <c r="S323" s="193"/>
      <c r="T323" s="193"/>
      <c r="U323" s="193"/>
      <c r="V323" s="193"/>
      <c r="W323" s="193"/>
      <c r="X323" s="193"/>
      <c r="Y323" s="503"/>
      <c r="Z323" s="193"/>
      <c r="AA323" s="520">
        <f t="shared" si="126"/>
        <v>-2.8481205075514049E-2</v>
      </c>
      <c r="AB323" s="496"/>
      <c r="AC323" s="521">
        <f t="shared" si="127"/>
        <v>-4.5318351581646882E-4</v>
      </c>
      <c r="AD323" s="496"/>
      <c r="AE323" s="522">
        <f t="shared" si="128"/>
        <v>-2.8934388591330518E-2</v>
      </c>
      <c r="AG323" s="531">
        <f t="shared" si="129"/>
        <v>9.3765284199223204E-5</v>
      </c>
      <c r="AH323" s="221" t="str">
        <f t="shared" si="130"/>
        <v>NO</v>
      </c>
      <c r="AI323" s="532">
        <f t="shared" si="131"/>
        <v>1.4919621919883746E-6</v>
      </c>
      <c r="AJ323" s="221" t="str">
        <f t="shared" si="110"/>
        <v>NO</v>
      </c>
      <c r="AK323" s="533">
        <f>IF('IN-OUT'!$F$35=0,AG323,IF('IN-OUT'!$F$26=0,'transversal subsidence profile'!AI323,'transversal subsidence profile'!AG323+'transversal subsidence profile'!AI323))</f>
        <v>9.5257246391211578E-5</v>
      </c>
      <c r="AL323" s="513">
        <f t="shared" si="111"/>
        <v>1000</v>
      </c>
    </row>
    <row r="324" spans="1:38">
      <c r="A324" s="542">
        <f t="shared" si="132"/>
        <v>28.5</v>
      </c>
      <c r="B324" s="363">
        <f t="shared" si="112"/>
        <v>3.5224911561666891E-6</v>
      </c>
      <c r="C324" s="543">
        <f t="shared" si="113"/>
        <v>6.6927331967167102E-6</v>
      </c>
      <c r="D324" s="542">
        <f t="shared" si="133"/>
        <v>28.5</v>
      </c>
      <c r="E324" s="363">
        <f t="shared" si="114"/>
        <v>3.5224911561666891E-6</v>
      </c>
      <c r="F324" s="543">
        <f t="shared" si="115"/>
        <v>6.6927331967167102E-6</v>
      </c>
      <c r="G324" s="548">
        <f t="shared" si="116"/>
        <v>18.5</v>
      </c>
      <c r="H324" s="363">
        <f t="shared" si="117"/>
        <v>6.1211415754493497E-4</v>
      </c>
      <c r="I324" s="363">
        <f t="shared" si="118"/>
        <v>7.5494079430541978E-4</v>
      </c>
      <c r="J324" s="364">
        <f t="shared" si="119"/>
        <v>6.1563664870110165E-4</v>
      </c>
      <c r="K324" s="194">
        <f t="shared" si="120"/>
        <v>6.1211415754493501E-2</v>
      </c>
      <c r="L324" s="646">
        <f t="shared" si="121"/>
        <v>3.5224911561666892E-4</v>
      </c>
      <c r="M324" s="365">
        <f t="shared" si="122"/>
        <v>6.1563664870110169E-2</v>
      </c>
      <c r="N324" s="194">
        <f t="shared" si="123"/>
        <v>7.5494079430541983E-2</v>
      </c>
      <c r="O324" s="422">
        <f t="shared" si="124"/>
        <v>6.6927331967167104E-4</v>
      </c>
      <c r="P324" s="365">
        <f t="shared" si="125"/>
        <v>7.6163352750213659E-2</v>
      </c>
      <c r="S324" s="193"/>
      <c r="T324" s="193"/>
      <c r="U324" s="193"/>
      <c r="V324" s="193"/>
      <c r="W324" s="193"/>
      <c r="X324" s="193"/>
      <c r="Y324" s="503"/>
      <c r="Z324" s="193"/>
      <c r="AA324" s="520">
        <f t="shared" si="126"/>
        <v>-2.6572527717108427E-2</v>
      </c>
      <c r="AB324" s="496"/>
      <c r="AC324" s="521">
        <f t="shared" si="127"/>
        <v>-3.9515682681935785E-4</v>
      </c>
      <c r="AD324" s="496"/>
      <c r="AE324" s="522">
        <f t="shared" si="128"/>
        <v>-2.6967684543927783E-2</v>
      </c>
      <c r="AG324" s="531">
        <f t="shared" si="129"/>
        <v>8.7481572731221157E-5</v>
      </c>
      <c r="AH324" s="221" t="str">
        <f t="shared" si="130"/>
        <v>NO</v>
      </c>
      <c r="AI324" s="532">
        <f t="shared" si="131"/>
        <v>1.3009278249196963E-6</v>
      </c>
      <c r="AJ324" s="221" t="str">
        <f t="shared" si="110"/>
        <v>NO</v>
      </c>
      <c r="AK324" s="533">
        <f>IF('IN-OUT'!$F$35=0,AG324,IF('IN-OUT'!$F$26=0,'transversal subsidence profile'!AI324,'transversal subsidence profile'!AG324+'transversal subsidence profile'!AI324))</f>
        <v>8.8782500556140853E-5</v>
      </c>
      <c r="AL324" s="513">
        <f t="shared" si="111"/>
        <v>1000</v>
      </c>
    </row>
    <row r="325" spans="1:38">
      <c r="A325" s="542">
        <f t="shared" si="132"/>
        <v>28.75</v>
      </c>
      <c r="B325" s="363">
        <f t="shared" si="112"/>
        <v>3.0104933899017672E-6</v>
      </c>
      <c r="C325" s="543">
        <f t="shared" si="113"/>
        <v>5.7701123306450534E-6</v>
      </c>
      <c r="D325" s="542">
        <f t="shared" si="133"/>
        <v>28.75</v>
      </c>
      <c r="E325" s="363">
        <f t="shared" si="114"/>
        <v>3.0104933899017672E-6</v>
      </c>
      <c r="F325" s="543">
        <f t="shared" si="115"/>
        <v>5.7701123306450534E-6</v>
      </c>
      <c r="G325" s="548">
        <f t="shared" si="116"/>
        <v>18.75</v>
      </c>
      <c r="H325" s="363">
        <f t="shared" si="117"/>
        <v>5.5264951362214471E-4</v>
      </c>
      <c r="I325" s="363">
        <f t="shared" si="118"/>
        <v>6.9081189202768083E-4</v>
      </c>
      <c r="J325" s="364">
        <f t="shared" si="119"/>
        <v>5.5566000701204646E-4</v>
      </c>
      <c r="K325" s="194">
        <f t="shared" si="120"/>
        <v>5.5264951362214473E-2</v>
      </c>
      <c r="L325" s="646">
        <f t="shared" si="121"/>
        <v>3.0104933899017671E-4</v>
      </c>
      <c r="M325" s="365">
        <f t="shared" si="122"/>
        <v>5.5566000701204647E-2</v>
      </c>
      <c r="N325" s="194">
        <f t="shared" si="123"/>
        <v>6.9081189202768081E-2</v>
      </c>
      <c r="O325" s="422">
        <f t="shared" si="124"/>
        <v>5.770112330645053E-4</v>
      </c>
      <c r="P325" s="365">
        <f t="shared" si="125"/>
        <v>6.9658200435832582E-2</v>
      </c>
      <c r="S325" s="193"/>
      <c r="T325" s="193"/>
      <c r="U325" s="193"/>
      <c r="V325" s="193"/>
      <c r="W325" s="193"/>
      <c r="X325" s="193"/>
      <c r="Y325" s="503"/>
      <c r="Z325" s="193"/>
      <c r="AA325" s="520">
        <f t="shared" si="126"/>
        <v>-2.4744142832135531E-2</v>
      </c>
      <c r="AB325" s="496"/>
      <c r="AC325" s="521">
        <f t="shared" si="127"/>
        <v>-3.4402492364163216E-4</v>
      </c>
      <c r="AD325" s="496"/>
      <c r="AE325" s="522">
        <f t="shared" si="128"/>
        <v>-2.5088167755777165E-2</v>
      </c>
      <c r="AG325" s="531">
        <f t="shared" si="129"/>
        <v>8.1462198624314492E-5</v>
      </c>
      <c r="AH325" s="221" t="str">
        <f t="shared" si="130"/>
        <v>NO</v>
      </c>
      <c r="AI325" s="532">
        <f t="shared" si="131"/>
        <v>1.1325923412070195E-6</v>
      </c>
      <c r="AJ325" s="221" t="str">
        <f t="shared" si="110"/>
        <v>NO</v>
      </c>
      <c r="AK325" s="533">
        <f>IF('IN-OUT'!$F$35=0,AG325,IF('IN-OUT'!$F$26=0,'transversal subsidence profile'!AI325,'transversal subsidence profile'!AG325+'transversal subsidence profile'!AI325))</f>
        <v>8.2594790965521517E-5</v>
      </c>
      <c r="AL325" s="513">
        <f t="shared" si="111"/>
        <v>1000</v>
      </c>
    </row>
    <row r="326" spans="1:38">
      <c r="A326" s="542">
        <f t="shared" si="132"/>
        <v>29</v>
      </c>
      <c r="B326" s="363">
        <f t="shared" si="112"/>
        <v>2.5693880770651459E-6</v>
      </c>
      <c r="C326" s="543">
        <f t="shared" si="113"/>
        <v>4.9674836156592812E-6</v>
      </c>
      <c r="D326" s="542">
        <f t="shared" si="133"/>
        <v>29</v>
      </c>
      <c r="E326" s="363">
        <f t="shared" si="114"/>
        <v>2.5693880770651459E-6</v>
      </c>
      <c r="F326" s="543">
        <f t="shared" si="115"/>
        <v>4.9674836156592812E-6</v>
      </c>
      <c r="G326" s="548">
        <f t="shared" si="116"/>
        <v>19</v>
      </c>
      <c r="H326" s="363">
        <f t="shared" si="117"/>
        <v>4.9827766415018232E-4</v>
      </c>
      <c r="I326" s="363">
        <f t="shared" si="118"/>
        <v>6.3115170792356432E-4</v>
      </c>
      <c r="J326" s="364">
        <f t="shared" si="119"/>
        <v>5.0084705222724749E-4</v>
      </c>
      <c r="K326" s="194">
        <f t="shared" si="120"/>
        <v>4.9827766415018231E-2</v>
      </c>
      <c r="L326" s="646">
        <f t="shared" si="121"/>
        <v>2.5693880770651459E-4</v>
      </c>
      <c r="M326" s="365">
        <f t="shared" si="122"/>
        <v>5.0084705222724749E-2</v>
      </c>
      <c r="N326" s="194">
        <f t="shared" si="123"/>
        <v>6.3115170792356429E-2</v>
      </c>
      <c r="O326" s="422">
        <f t="shared" si="124"/>
        <v>4.9674836156592811E-4</v>
      </c>
      <c r="P326" s="365">
        <f t="shared" si="125"/>
        <v>6.361191915392235E-2</v>
      </c>
      <c r="S326" s="193"/>
      <c r="T326" s="193"/>
      <c r="U326" s="193"/>
      <c r="V326" s="193"/>
      <c r="W326" s="193"/>
      <c r="X326" s="193"/>
      <c r="Y326" s="503"/>
      <c r="Z326" s="193"/>
      <c r="AA326" s="520">
        <f t="shared" si="126"/>
        <v>-2.2997781170242069E-2</v>
      </c>
      <c r="AB326" s="496"/>
      <c r="AC326" s="521">
        <f t="shared" si="127"/>
        <v>-2.9904528629911393E-4</v>
      </c>
      <c r="AD326" s="496"/>
      <c r="AE326" s="522">
        <f t="shared" si="128"/>
        <v>-2.3296826456541183E-2</v>
      </c>
      <c r="AG326" s="531">
        <f t="shared" si="129"/>
        <v>7.5712859819726969E-5</v>
      </c>
      <c r="AH326" s="221" t="str">
        <f t="shared" si="130"/>
        <v>NO</v>
      </c>
      <c r="AI326" s="532">
        <f t="shared" si="131"/>
        <v>9.8451123061436669E-7</v>
      </c>
      <c r="AJ326" s="221" t="str">
        <f t="shared" si="110"/>
        <v>NO</v>
      </c>
      <c r="AK326" s="533">
        <f>IF('IN-OUT'!$F$35=0,AG326,IF('IN-OUT'!$F$26=0,'transversal subsidence profile'!AI326,'transversal subsidence profile'!AG326+'transversal subsidence profile'!AI326))</f>
        <v>7.6697371050341332E-5</v>
      </c>
      <c r="AL326" s="513">
        <f t="shared" si="111"/>
        <v>1000</v>
      </c>
    </row>
    <row r="327" spans="1:38">
      <c r="A327" s="542">
        <f t="shared" si="132"/>
        <v>29.25</v>
      </c>
      <c r="B327" s="363">
        <f t="shared" si="112"/>
        <v>2.1899086095153342E-6</v>
      </c>
      <c r="C327" s="543">
        <f t="shared" si="113"/>
        <v>4.2703217885549017E-6</v>
      </c>
      <c r="D327" s="542">
        <f t="shared" si="133"/>
        <v>29.25</v>
      </c>
      <c r="E327" s="363">
        <f t="shared" si="114"/>
        <v>2.1899086095153342E-6</v>
      </c>
      <c r="F327" s="543">
        <f t="shared" si="115"/>
        <v>4.2703217885549017E-6</v>
      </c>
      <c r="G327" s="548">
        <f t="shared" si="116"/>
        <v>19.25</v>
      </c>
      <c r="H327" s="363">
        <f t="shared" si="117"/>
        <v>4.4863929302020323E-4</v>
      </c>
      <c r="I327" s="363">
        <f t="shared" si="118"/>
        <v>5.7575375937592751E-4</v>
      </c>
      <c r="J327" s="364">
        <f t="shared" si="119"/>
        <v>4.5082920162971859E-4</v>
      </c>
      <c r="K327" s="194">
        <f t="shared" si="120"/>
        <v>4.4863929302020322E-2</v>
      </c>
      <c r="L327" s="646">
        <f t="shared" si="121"/>
        <v>2.1899086095153342E-4</v>
      </c>
      <c r="M327" s="365">
        <f t="shared" si="122"/>
        <v>4.5082920162971857E-2</v>
      </c>
      <c r="N327" s="194">
        <f t="shared" si="123"/>
        <v>5.7575375937592752E-2</v>
      </c>
      <c r="O327" s="422">
        <f t="shared" si="124"/>
        <v>4.2703217885549019E-4</v>
      </c>
      <c r="P327" s="365">
        <f t="shared" si="125"/>
        <v>5.8002408116448238E-2</v>
      </c>
      <c r="S327" s="193"/>
      <c r="T327" s="193"/>
      <c r="U327" s="193"/>
      <c r="V327" s="193"/>
      <c r="W327" s="193"/>
      <c r="X327" s="193"/>
      <c r="Y327" s="503"/>
      <c r="Z327" s="193"/>
      <c r="AA327" s="520">
        <f t="shared" si="126"/>
        <v>-2.1334470267078711E-2</v>
      </c>
      <c r="AB327" s="496"/>
      <c r="AC327" s="521">
        <f t="shared" si="127"/>
        <v>-2.5954472409070624E-4</v>
      </c>
      <c r="AD327" s="496"/>
      <c r="AE327" s="522">
        <f t="shared" si="128"/>
        <v>-2.1594014991169419E-2</v>
      </c>
      <c r="AG327" s="531">
        <f t="shared" si="129"/>
        <v>7.0236939150876421E-5</v>
      </c>
      <c r="AH327" s="221" t="str">
        <f t="shared" si="130"/>
        <v>NO</v>
      </c>
      <c r="AI327" s="532">
        <f t="shared" si="131"/>
        <v>8.5446822745911534E-7</v>
      </c>
      <c r="AJ327" s="221" t="str">
        <f t="shared" si="110"/>
        <v>NO</v>
      </c>
      <c r="AK327" s="533">
        <f>IF('IN-OUT'!$F$35=0,AG327,IF('IN-OUT'!$F$26=0,'transversal subsidence profile'!AI327,'transversal subsidence profile'!AG327+'transversal subsidence profile'!AI327))</f>
        <v>7.1091407378335534E-5</v>
      </c>
      <c r="AL327" s="513">
        <f t="shared" si="111"/>
        <v>1000</v>
      </c>
    </row>
    <row r="328" spans="1:38">
      <c r="A328" s="542">
        <f t="shared" si="132"/>
        <v>29.5</v>
      </c>
      <c r="B328" s="363">
        <f t="shared" si="112"/>
        <v>1.8639168630971588E-6</v>
      </c>
      <c r="C328" s="543">
        <f t="shared" si="113"/>
        <v>3.6657031640910789E-6</v>
      </c>
      <c r="D328" s="542">
        <f t="shared" si="133"/>
        <v>29.5</v>
      </c>
      <c r="E328" s="363">
        <f t="shared" si="114"/>
        <v>1.8639168630971588E-6</v>
      </c>
      <c r="F328" s="543">
        <f t="shared" si="115"/>
        <v>3.6657031640910789E-6</v>
      </c>
      <c r="G328" s="548">
        <f t="shared" si="116"/>
        <v>19.5</v>
      </c>
      <c r="H328" s="363">
        <f t="shared" si="117"/>
        <v>4.0339216174737393E-4</v>
      </c>
      <c r="I328" s="363">
        <f t="shared" si="118"/>
        <v>5.2440981027158614E-4</v>
      </c>
      <c r="J328" s="364">
        <f t="shared" si="119"/>
        <v>4.052560786104711E-4</v>
      </c>
      <c r="K328" s="194">
        <f t="shared" si="120"/>
        <v>4.0339216174737395E-2</v>
      </c>
      <c r="L328" s="646">
        <f t="shared" si="121"/>
        <v>1.8639168630971587E-4</v>
      </c>
      <c r="M328" s="365">
        <f t="shared" si="122"/>
        <v>4.0525607861047114E-2</v>
      </c>
      <c r="N328" s="194">
        <f t="shared" si="123"/>
        <v>5.2440981027158613E-2</v>
      </c>
      <c r="O328" s="422">
        <f t="shared" si="124"/>
        <v>3.6657031640910788E-4</v>
      </c>
      <c r="P328" s="365">
        <f t="shared" si="125"/>
        <v>5.2807551343567724E-2</v>
      </c>
      <c r="S328" s="193"/>
      <c r="T328" s="193"/>
      <c r="U328" s="193"/>
      <c r="V328" s="193"/>
      <c r="W328" s="193"/>
      <c r="X328" s="193"/>
      <c r="Y328" s="503"/>
      <c r="Z328" s="193"/>
      <c r="AA328" s="520">
        <f t="shared" si="126"/>
        <v>-1.9754595575282918E-2</v>
      </c>
      <c r="AB328" s="496"/>
      <c r="AC328" s="521">
        <f t="shared" si="127"/>
        <v>-2.2491433935589399E-4</v>
      </c>
      <c r="AD328" s="496"/>
      <c r="AE328" s="522">
        <f t="shared" si="128"/>
        <v>-1.9979509914638812E-2</v>
      </c>
      <c r="AG328" s="531">
        <f t="shared" si="129"/>
        <v>6.5035705597639239E-5</v>
      </c>
      <c r="AH328" s="221" t="str">
        <f t="shared" si="130"/>
        <v>NO</v>
      </c>
      <c r="AI328" s="532">
        <f t="shared" si="131"/>
        <v>7.4045873038977444E-7</v>
      </c>
      <c r="AJ328" s="221" t="str">
        <f t="shared" si="110"/>
        <v>NO</v>
      </c>
      <c r="AK328" s="533">
        <f>IF('IN-OUT'!$F$35=0,AG328,IF('IN-OUT'!$F$26=0,'transversal subsidence profile'!AI328,'transversal subsidence profile'!AG328+'transversal subsidence profile'!AI328))</f>
        <v>6.577616432802901E-5</v>
      </c>
      <c r="AL328" s="513">
        <f t="shared" si="111"/>
        <v>1000</v>
      </c>
    </row>
    <row r="329" spans="1:38">
      <c r="A329" s="542">
        <f t="shared" si="132"/>
        <v>29.75</v>
      </c>
      <c r="B329" s="363">
        <f t="shared" si="112"/>
        <v>1.5842778266059401E-6</v>
      </c>
      <c r="C329" s="543">
        <f t="shared" si="113"/>
        <v>3.1421510227684479E-6</v>
      </c>
      <c r="D329" s="542">
        <f t="shared" si="133"/>
        <v>29.75</v>
      </c>
      <c r="E329" s="363">
        <f t="shared" si="114"/>
        <v>1.5842778266059401E-6</v>
      </c>
      <c r="F329" s="543">
        <f t="shared" si="115"/>
        <v>3.1421510227684479E-6</v>
      </c>
      <c r="G329" s="548">
        <f t="shared" si="116"/>
        <v>19.75</v>
      </c>
      <c r="H329" s="363">
        <f t="shared" si="117"/>
        <v>3.6221118982736697E-4</v>
      </c>
      <c r="I329" s="363">
        <f t="shared" si="118"/>
        <v>4.769113999393664E-4</v>
      </c>
      <c r="J329" s="364">
        <f t="shared" si="119"/>
        <v>3.6379546765397293E-4</v>
      </c>
      <c r="K329" s="194">
        <f t="shared" si="120"/>
        <v>3.6221118982736694E-2</v>
      </c>
      <c r="L329" s="646">
        <f t="shared" si="121"/>
        <v>1.5842778266059401E-4</v>
      </c>
      <c r="M329" s="365">
        <f t="shared" si="122"/>
        <v>3.6379546765397286E-2</v>
      </c>
      <c r="N329" s="194">
        <f t="shared" si="123"/>
        <v>4.7691139993936642E-2</v>
      </c>
      <c r="O329" s="422">
        <f t="shared" si="124"/>
        <v>3.1421510227684478E-4</v>
      </c>
      <c r="P329" s="365">
        <f t="shared" si="125"/>
        <v>4.8005355096213488E-2</v>
      </c>
      <c r="S329" s="193"/>
      <c r="T329" s="193"/>
      <c r="U329" s="193"/>
      <c r="V329" s="193"/>
      <c r="W329" s="193"/>
      <c r="X329" s="193"/>
      <c r="Y329" s="503"/>
      <c r="Z329" s="193"/>
      <c r="AA329" s="520">
        <f t="shared" si="126"/>
        <v>-1.8257961393035635E-2</v>
      </c>
      <c r="AB329" s="496"/>
      <c r="AC329" s="521">
        <f t="shared" si="127"/>
        <v>-1.9460466179214441E-4</v>
      </c>
      <c r="AD329" s="496"/>
      <c r="AE329" s="522">
        <f t="shared" si="128"/>
        <v>-1.8452566054827778E-2</v>
      </c>
      <c r="AG329" s="531">
        <f t="shared" si="129"/>
        <v>6.0108514874191379E-5</v>
      </c>
      <c r="AH329" s="221" t="str">
        <f t="shared" si="130"/>
        <v>NO</v>
      </c>
      <c r="AI329" s="532">
        <f t="shared" si="131"/>
        <v>6.4067378367784165E-7</v>
      </c>
      <c r="AJ329" s="221" t="str">
        <f t="shared" si="110"/>
        <v>NO</v>
      </c>
      <c r="AK329" s="533">
        <f>IF('IN-OUT'!$F$35=0,AG329,IF('IN-OUT'!$F$26=0,'transversal subsidence profile'!AI329,'transversal subsidence profile'!AG329+'transversal subsidence profile'!AI329))</f>
        <v>6.0749188657869218E-5</v>
      </c>
      <c r="AL329" s="513">
        <f t="shared" si="111"/>
        <v>1000</v>
      </c>
    </row>
    <row r="330" spans="1:38">
      <c r="A330" s="542">
        <f t="shared" si="132"/>
        <v>30</v>
      </c>
      <c r="B330" s="363">
        <f t="shared" si="112"/>
        <v>1.3447464619457143E-6</v>
      </c>
      <c r="C330" s="543">
        <f t="shared" si="113"/>
        <v>2.6894929238914286E-6</v>
      </c>
      <c r="D330" s="542">
        <f t="shared" si="133"/>
        <v>30</v>
      </c>
      <c r="E330" s="363">
        <f t="shared" si="114"/>
        <v>1.3447464619457143E-6</v>
      </c>
      <c r="F330" s="543">
        <f t="shared" si="115"/>
        <v>2.6894929238914286E-6</v>
      </c>
      <c r="G330" s="548">
        <f t="shared" si="116"/>
        <v>20</v>
      </c>
      <c r="H330" s="363">
        <f t="shared" si="117"/>
        <v>3.247884154997016E-4</v>
      </c>
      <c r="I330" s="363">
        <f t="shared" si="118"/>
        <v>4.3305122066626884E-4</v>
      </c>
      <c r="J330" s="364">
        <f t="shared" si="119"/>
        <v>3.2613316196164732E-4</v>
      </c>
      <c r="K330" s="194">
        <f t="shared" si="120"/>
        <v>3.2478841549970161E-2</v>
      </c>
      <c r="L330" s="646">
        <f t="shared" si="121"/>
        <v>1.3447464619457142E-4</v>
      </c>
      <c r="M330" s="365">
        <f t="shared" si="122"/>
        <v>3.2613316196164734E-2</v>
      </c>
      <c r="N330" s="194">
        <f t="shared" si="123"/>
        <v>4.3305122066626886E-2</v>
      </c>
      <c r="O330" s="422">
        <f t="shared" si="124"/>
        <v>2.6894929238914283E-4</v>
      </c>
      <c r="P330" s="365">
        <f t="shared" si="125"/>
        <v>4.3574071359016031E-2</v>
      </c>
      <c r="S330" s="193"/>
      <c r="T330" s="193"/>
      <c r="U330" s="193"/>
      <c r="V330" s="193"/>
      <c r="W330" s="193"/>
      <c r="X330" s="193"/>
      <c r="Y330" s="503"/>
      <c r="Z330" s="193"/>
      <c r="AA330" s="520">
        <f t="shared" si="126"/>
        <v>-1.6843850976669482E-2</v>
      </c>
      <c r="AB330" s="496"/>
      <c r="AC330" s="521">
        <f t="shared" si="127"/>
        <v>-1.6812097742350125E-4</v>
      </c>
      <c r="AD330" s="496"/>
      <c r="AE330" s="522">
        <f t="shared" si="128"/>
        <v>-1.7011971954092982E-2</v>
      </c>
      <c r="AG330" s="531">
        <f t="shared" si="129"/>
        <v>5.5453007330599119E-5</v>
      </c>
      <c r="AH330" s="221" t="str">
        <f t="shared" si="130"/>
        <v>NO</v>
      </c>
      <c r="AI330" s="532">
        <f t="shared" si="131"/>
        <v>5.5348469933662948E-7</v>
      </c>
      <c r="AJ330" s="221" t="str">
        <f t="shared" ref="AJ330:AJ393" si="134">IF(AND(ABS(AI329)&gt;ABS(AI330),(ABS(AI331)&gt;(ABS(AI330)))),G330,"NO")</f>
        <v>NO</v>
      </c>
      <c r="AK330" s="533">
        <f>IF('IN-OUT'!$F$35=0,AG330,IF('IN-OUT'!$F$26=0,'transversal subsidence profile'!AI330,'transversal subsidence profile'!AG330+'transversal subsidence profile'!AI330))</f>
        <v>5.6006492029935748E-5</v>
      </c>
      <c r="AL330" s="513">
        <f t="shared" ref="AL330:AL393" si="135">IF(AND(ABS(AK329)&gt;ABS(AK330),(ABS(AK331)&gt;(ABS(AK330))),(AK329*AK331)&lt;0),G330,1000)</f>
        <v>1000</v>
      </c>
    </row>
    <row r="331" spans="1:38">
      <c r="A331" s="542">
        <f t="shared" si="132"/>
        <v>30.25</v>
      </c>
      <c r="B331" s="363">
        <f t="shared" ref="B331:B394" si="136">+$L$5*EXP(-(A331^2)/(2*$J$5^2))</f>
        <v>1.1398658346772302E-6</v>
      </c>
      <c r="C331" s="543">
        <f t="shared" ref="C331:C394" si="137">+$L$5*A331/$B$5*EXP(-(A331^2)/(2*$J$5^2))</f>
        <v>2.2987294332657477E-6</v>
      </c>
      <c r="D331" s="542">
        <f t="shared" si="133"/>
        <v>30.25</v>
      </c>
      <c r="E331" s="363">
        <f t="shared" ref="E331:E394" si="138">+$L$6*EXP(-(D331^2)/(2*$J$6^2))</f>
        <v>1.1398658346772302E-6</v>
      </c>
      <c r="F331" s="543">
        <f t="shared" ref="F331:F394" si="139">+$L$6*D331/$F$5*EXP(-(D331^2)/(2*$J$6^2))</f>
        <v>2.2987294332657477E-6</v>
      </c>
      <c r="G331" s="548">
        <f t="shared" ref="G331:G394" si="140">IF(OR($F$5=0,$F$6=0),D331,D331-$D$2)</f>
        <v>20.25</v>
      </c>
      <c r="H331" s="363">
        <f t="shared" ref="H331:H394" si="141">+$L$5*EXP(-(G331^2)/(2*$J$5^2))</f>
        <v>2.908328492774706E-4</v>
      </c>
      <c r="I331" s="363">
        <f t="shared" ref="I331:I394" si="142">+$L$5*G331/$B$5*EXP(-(G331^2)/(2*$J$5^2))</f>
        <v>3.9262434652458534E-4</v>
      </c>
      <c r="J331" s="364">
        <f t="shared" ref="J331:J394" si="143">+H331+B331</f>
        <v>2.9197271511214782E-4</v>
      </c>
      <c r="K331" s="194">
        <f t="shared" ref="K331:K394" si="144">+H331*100</f>
        <v>2.9083284927747061E-2</v>
      </c>
      <c r="L331" s="646">
        <f t="shared" ref="L331:L394" si="145">+E331*100</f>
        <v>1.1398658346772302E-4</v>
      </c>
      <c r="M331" s="365">
        <f t="shared" ref="M331:M394" si="146">+IF(OR($B$5=0,$B$6=0),L331,IF(OR($F$5=0,$F$6=0),K331,K331+L331))</f>
        <v>2.9197271511214783E-2</v>
      </c>
      <c r="N331" s="194">
        <f t="shared" ref="N331:N394" si="147">+I331*100</f>
        <v>3.926243465245853E-2</v>
      </c>
      <c r="O331" s="422">
        <f t="shared" ref="O331:O394" si="148">+F331*100</f>
        <v>2.2987294332657478E-4</v>
      </c>
      <c r="P331" s="365">
        <f t="shared" ref="P331:P394" si="149">+IF(OR($B$5=0,$B$6=0),O331,IF(OR($F$5=0,$F$6=0),N331,N331+O331))</f>
        <v>3.9492307595785106E-2</v>
      </c>
      <c r="S331" s="193"/>
      <c r="T331" s="193"/>
      <c r="U331" s="193"/>
      <c r="V331" s="193"/>
      <c r="W331" s="193"/>
      <c r="X331" s="193"/>
      <c r="Y331" s="503"/>
      <c r="Z331" s="193"/>
      <c r="AA331" s="520">
        <f t="shared" ref="AA331:AA394" si="150">($L$5/$B$5)*(1-((G331^2)/(($J$5)^2)))*EXP(-(G331^2)/(2*(($J$5)^2)))*100</f>
        <v>-1.5511085294798431E-2</v>
      </c>
      <c r="AB331" s="496"/>
      <c r="AC331" s="521">
        <f t="shared" ref="AC331:AC394" si="151">($L$6/$F$5)*(1-D331^2/(($J$6)^2))*EXP(-(D331^2)/(2*(($J$6)^2)))*100</f>
        <v>-1.450188705261054E-4</v>
      </c>
      <c r="AD331" s="496"/>
      <c r="AE331" s="522">
        <f t="shared" ref="AE331:AE394" si="152">AA331+AC331</f>
        <v>-1.5656104165324536E-2</v>
      </c>
      <c r="AG331" s="531">
        <f t="shared" ref="AG331:AG394" si="153">($L$5*(1/(($J$5)^2))*(EXP(-(G331^2/(2*$J$5^2))))*((G331^2/($J$5^2))-1))</f>
        <v>5.1065301382052446E-5</v>
      </c>
      <c r="AH331" s="221" t="str">
        <f t="shared" ref="AH331:AH394" si="154">IF(AND(ABS(AG330)&gt;ABS(AG331),(ABS(AG332)&gt;(ABS(AG331)))),G331,"NO")</f>
        <v>NO</v>
      </c>
      <c r="AI331" s="532">
        <f t="shared" ref="AI331:AI394" si="155">($L$6*(1/(($J$6)^2))*(EXP(-((D331)^2/(2*$J$6^2))))*(((D331)^2/($J$6^2))-1))</f>
        <v>4.7742838033285727E-7</v>
      </c>
      <c r="AJ331" s="221" t="str">
        <f t="shared" si="134"/>
        <v>NO</v>
      </c>
      <c r="AK331" s="533">
        <f>IF('IN-OUT'!$F$35=0,AG331,IF('IN-OUT'!$F$26=0,'transversal subsidence profile'!AI331,'transversal subsidence profile'!AG331+'transversal subsidence profile'!AI331))</f>
        <v>5.1542729762385302E-5</v>
      </c>
      <c r="AL331" s="513">
        <f t="shared" si="135"/>
        <v>1000</v>
      </c>
    </row>
    <row r="332" spans="1:38">
      <c r="A332" s="542">
        <f t="shared" ref="A332:A395" si="156">A331+0.25</f>
        <v>30.5</v>
      </c>
      <c r="B332" s="363">
        <f t="shared" si="136"/>
        <v>9.6487559788146035E-7</v>
      </c>
      <c r="C332" s="543">
        <f t="shared" si="137"/>
        <v>1.9619137156923026E-6</v>
      </c>
      <c r="D332" s="542">
        <f t="shared" ref="D332:D395" si="157">D331+0.25</f>
        <v>30.5</v>
      </c>
      <c r="E332" s="363">
        <f t="shared" si="138"/>
        <v>9.6487559788146035E-7</v>
      </c>
      <c r="F332" s="543">
        <f t="shared" si="139"/>
        <v>1.9619137156923026E-6</v>
      </c>
      <c r="G332" s="548">
        <f t="shared" si="140"/>
        <v>20.5</v>
      </c>
      <c r="H332" s="363">
        <f t="shared" si="141"/>
        <v>2.6007023232469621E-4</v>
      </c>
      <c r="I332" s="363">
        <f t="shared" si="142"/>
        <v>3.5542931751041806E-4</v>
      </c>
      <c r="J332" s="364">
        <f t="shared" si="143"/>
        <v>2.6103510792257768E-4</v>
      </c>
      <c r="K332" s="194">
        <f t="shared" si="144"/>
        <v>2.6007023232469621E-2</v>
      </c>
      <c r="L332" s="646">
        <f t="shared" si="145"/>
        <v>9.648755978814604E-5</v>
      </c>
      <c r="M332" s="365">
        <f t="shared" si="146"/>
        <v>2.6103510792257766E-2</v>
      </c>
      <c r="N332" s="194">
        <f t="shared" si="147"/>
        <v>3.5542931751041805E-2</v>
      </c>
      <c r="O332" s="422">
        <f t="shared" si="148"/>
        <v>1.9619137156923026E-4</v>
      </c>
      <c r="P332" s="365">
        <f t="shared" si="149"/>
        <v>3.5739123122611037E-2</v>
      </c>
      <c r="S332" s="193"/>
      <c r="T332" s="193"/>
      <c r="U332" s="193"/>
      <c r="V332" s="193"/>
      <c r="W332" s="193"/>
      <c r="X332" s="193"/>
      <c r="Y332" s="503"/>
      <c r="Z332" s="193"/>
      <c r="AA332" s="520">
        <f t="shared" si="150"/>
        <v>-1.4258079952323309E-2</v>
      </c>
      <c r="AB332" s="496"/>
      <c r="AC332" s="521">
        <f t="shared" si="151"/>
        <v>-1.2489999165991831E-4</v>
      </c>
      <c r="AD332" s="496"/>
      <c r="AE332" s="522">
        <f t="shared" si="152"/>
        <v>-1.4382979943983227E-2</v>
      </c>
      <c r="AG332" s="531">
        <f t="shared" si="153"/>
        <v>4.6940180912998539E-5</v>
      </c>
      <c r="AH332" s="221" t="str">
        <f t="shared" si="154"/>
        <v>NO</v>
      </c>
      <c r="AI332" s="532">
        <f t="shared" si="155"/>
        <v>4.1119338818080111E-7</v>
      </c>
      <c r="AJ332" s="221" t="str">
        <f t="shared" si="134"/>
        <v>NO</v>
      </c>
      <c r="AK332" s="533">
        <f>IF('IN-OUT'!$F$35=0,AG332,IF('IN-OUT'!$F$26=0,'transversal subsidence profile'!AI332,'transversal subsidence profile'!AG332+'transversal subsidence profile'!AI332))</f>
        <v>4.735137430117934E-5</v>
      </c>
      <c r="AL332" s="513">
        <f t="shared" si="135"/>
        <v>1000</v>
      </c>
    </row>
    <row r="333" spans="1:38">
      <c r="A333" s="542">
        <f t="shared" si="156"/>
        <v>30.75</v>
      </c>
      <c r="B333" s="363">
        <f t="shared" si="136"/>
        <v>8.1562995871016387E-7</v>
      </c>
      <c r="C333" s="543">
        <f t="shared" si="137"/>
        <v>1.6720414153558358E-6</v>
      </c>
      <c r="D333" s="542">
        <f t="shared" si="157"/>
        <v>30.75</v>
      </c>
      <c r="E333" s="363">
        <f t="shared" si="138"/>
        <v>8.1562995871016387E-7</v>
      </c>
      <c r="F333" s="543">
        <f t="shared" si="139"/>
        <v>1.6720414153558358E-6</v>
      </c>
      <c r="G333" s="548">
        <f t="shared" si="140"/>
        <v>20.75</v>
      </c>
      <c r="H333" s="363">
        <f t="shared" si="141"/>
        <v>2.322427113871871E-4</v>
      </c>
      <c r="I333" s="363">
        <f t="shared" si="142"/>
        <v>3.2126908408560881E-4</v>
      </c>
      <c r="J333" s="364">
        <f t="shared" si="143"/>
        <v>2.3305834134589726E-4</v>
      </c>
      <c r="K333" s="194">
        <f t="shared" si="144"/>
        <v>2.3224271138718711E-2</v>
      </c>
      <c r="L333" s="646">
        <f t="shared" si="145"/>
        <v>8.1562995871016392E-5</v>
      </c>
      <c r="M333" s="365">
        <f t="shared" si="146"/>
        <v>2.3305834134589729E-2</v>
      </c>
      <c r="N333" s="194">
        <f t="shared" si="147"/>
        <v>3.2126908408560882E-2</v>
      </c>
      <c r="O333" s="422">
        <f t="shared" si="148"/>
        <v>1.6720414153558358E-4</v>
      </c>
      <c r="P333" s="365">
        <f t="shared" si="149"/>
        <v>3.2294112550096468E-2</v>
      </c>
      <c r="S333" s="193"/>
      <c r="T333" s="193"/>
      <c r="U333" s="193"/>
      <c r="V333" s="193"/>
      <c r="W333" s="193"/>
      <c r="X333" s="193"/>
      <c r="Y333" s="503"/>
      <c r="Z333" s="193"/>
      <c r="AA333" s="520">
        <f t="shared" si="150"/>
        <v>-1.3082899882442363E-2</v>
      </c>
      <c r="AB333" s="496"/>
      <c r="AC333" s="521">
        <f t="shared" si="151"/>
        <v>-1.074080604062767E-4</v>
      </c>
      <c r="AD333" s="496"/>
      <c r="AE333" s="522">
        <f t="shared" si="152"/>
        <v>-1.319030794284864E-2</v>
      </c>
      <c r="AG333" s="531">
        <f t="shared" si="153"/>
        <v>4.3071275333143581E-5</v>
      </c>
      <c r="AH333" s="221" t="str">
        <f t="shared" si="154"/>
        <v>NO</v>
      </c>
      <c r="AI333" s="532">
        <f t="shared" si="155"/>
        <v>3.5360678323054059E-7</v>
      </c>
      <c r="AJ333" s="221" t="str">
        <f t="shared" si="134"/>
        <v>NO</v>
      </c>
      <c r="AK333" s="533">
        <f>IF('IN-OUT'!$F$35=0,AG333,IF('IN-OUT'!$F$26=0,'transversal subsidence profile'!AI333,'transversal subsidence profile'!AG333+'transversal subsidence profile'!AI333))</f>
        <v>4.3424882116374123E-5</v>
      </c>
      <c r="AL333" s="513">
        <f t="shared" si="135"/>
        <v>1000</v>
      </c>
    </row>
    <row r="334" spans="1:38">
      <c r="A334" s="542">
        <f t="shared" si="156"/>
        <v>31</v>
      </c>
      <c r="B334" s="363">
        <f t="shared" si="136"/>
        <v>6.8852430522042997E-7</v>
      </c>
      <c r="C334" s="543">
        <f t="shared" si="137"/>
        <v>1.4229502307888884E-6</v>
      </c>
      <c r="D334" s="542">
        <f t="shared" si="157"/>
        <v>31</v>
      </c>
      <c r="E334" s="363">
        <f t="shared" si="138"/>
        <v>6.8852430522042997E-7</v>
      </c>
      <c r="F334" s="543">
        <f t="shared" si="139"/>
        <v>1.4229502307888884E-6</v>
      </c>
      <c r="G334" s="548">
        <f t="shared" si="140"/>
        <v>21</v>
      </c>
      <c r="H334" s="363">
        <f t="shared" si="141"/>
        <v>2.0710844152466607E-4</v>
      </c>
      <c r="I334" s="363">
        <f t="shared" si="142"/>
        <v>2.899518181345325E-4</v>
      </c>
      <c r="J334" s="364">
        <f t="shared" si="143"/>
        <v>2.077969658298865E-4</v>
      </c>
      <c r="K334" s="194">
        <f t="shared" si="144"/>
        <v>2.0710844152466608E-2</v>
      </c>
      <c r="L334" s="646">
        <f t="shared" si="145"/>
        <v>6.8852430522042994E-5</v>
      </c>
      <c r="M334" s="365">
        <f t="shared" si="146"/>
        <v>2.0779696582988651E-2</v>
      </c>
      <c r="N334" s="194">
        <f t="shared" si="147"/>
        <v>2.8995181813453251E-2</v>
      </c>
      <c r="O334" s="422">
        <f t="shared" si="148"/>
        <v>1.4229502307888884E-4</v>
      </c>
      <c r="P334" s="365">
        <f t="shared" si="149"/>
        <v>2.9137476836532141E-2</v>
      </c>
      <c r="S334" s="193"/>
      <c r="T334" s="193"/>
      <c r="U334" s="193"/>
      <c r="V334" s="193"/>
      <c r="W334" s="193"/>
      <c r="X334" s="193"/>
      <c r="Y334" s="503"/>
      <c r="Z334" s="193"/>
      <c r="AA334" s="520">
        <f t="shared" si="150"/>
        <v>-1.1983311472579443E-2</v>
      </c>
      <c r="AB334" s="496"/>
      <c r="AC334" s="521">
        <f t="shared" si="151"/>
        <v>-9.2225107439996684E-5</v>
      </c>
      <c r="AD334" s="496"/>
      <c r="AE334" s="522">
        <f t="shared" si="152"/>
        <v>-1.207553658001944E-2</v>
      </c>
      <c r="AG334" s="531">
        <f t="shared" si="153"/>
        <v>3.9451231185446728E-5</v>
      </c>
      <c r="AH334" s="221" t="str">
        <f t="shared" si="154"/>
        <v>NO</v>
      </c>
      <c r="AI334" s="532">
        <f t="shared" si="155"/>
        <v>3.0362175288887793E-7</v>
      </c>
      <c r="AJ334" s="221" t="str">
        <f t="shared" si="134"/>
        <v>NO</v>
      </c>
      <c r="AK334" s="533">
        <f>IF('IN-OUT'!$F$35=0,AG334,IF('IN-OUT'!$F$26=0,'transversal subsidence profile'!AI334,'transversal subsidence profile'!AG334+'transversal subsidence profile'!AI334))</f>
        <v>3.9754852938335608E-5</v>
      </c>
      <c r="AL334" s="513">
        <f t="shared" si="135"/>
        <v>1000</v>
      </c>
    </row>
    <row r="335" spans="1:38">
      <c r="A335" s="542">
        <f t="shared" si="156"/>
        <v>31.25</v>
      </c>
      <c r="B335" s="363">
        <f t="shared" si="136"/>
        <v>5.804297202772394E-7</v>
      </c>
      <c r="C335" s="543">
        <f t="shared" si="137"/>
        <v>1.2092285839109156E-6</v>
      </c>
      <c r="D335" s="542">
        <f t="shared" si="157"/>
        <v>31.25</v>
      </c>
      <c r="E335" s="363">
        <f t="shared" si="138"/>
        <v>5.804297202772394E-7</v>
      </c>
      <c r="F335" s="543">
        <f t="shared" si="139"/>
        <v>1.2092285839109156E-6</v>
      </c>
      <c r="G335" s="548">
        <f t="shared" si="140"/>
        <v>21.25</v>
      </c>
      <c r="H335" s="363">
        <f t="shared" si="141"/>
        <v>1.8444112736506108E-4</v>
      </c>
      <c r="I335" s="363">
        <f t="shared" si="142"/>
        <v>2.6129159710050319E-4</v>
      </c>
      <c r="J335" s="364">
        <f t="shared" si="143"/>
        <v>1.8502155708533831E-4</v>
      </c>
      <c r="K335" s="194">
        <f t="shared" si="144"/>
        <v>1.8444112736506108E-2</v>
      </c>
      <c r="L335" s="646">
        <f t="shared" si="145"/>
        <v>5.804297202772394E-5</v>
      </c>
      <c r="M335" s="365">
        <f t="shared" si="146"/>
        <v>1.8502155708533832E-2</v>
      </c>
      <c r="N335" s="194">
        <f t="shared" si="147"/>
        <v>2.612915971005032E-2</v>
      </c>
      <c r="O335" s="422">
        <f t="shared" si="148"/>
        <v>1.2092285839109156E-4</v>
      </c>
      <c r="P335" s="365">
        <f t="shared" si="149"/>
        <v>2.6250082568441409E-2</v>
      </c>
      <c r="S335" s="193"/>
      <c r="T335" s="193"/>
      <c r="U335" s="193"/>
      <c r="V335" s="193"/>
      <c r="W335" s="193"/>
      <c r="X335" s="193"/>
      <c r="Y335" s="503"/>
      <c r="Z335" s="193"/>
      <c r="AA335" s="520">
        <f t="shared" si="150"/>
        <v>-1.0956831855175462E-2</v>
      </c>
      <c r="AB335" s="496"/>
      <c r="AC335" s="521">
        <f t="shared" si="151"/>
        <v>-7.9067957139915482E-5</v>
      </c>
      <c r="AD335" s="496"/>
      <c r="AE335" s="522">
        <f t="shared" si="152"/>
        <v>-1.1035899812315378E-2</v>
      </c>
      <c r="AG335" s="531">
        <f t="shared" si="153"/>
        <v>3.607187442033074E-5</v>
      </c>
      <c r="AH335" s="221" t="str">
        <f t="shared" si="154"/>
        <v>NO</v>
      </c>
      <c r="AI335" s="532">
        <f t="shared" si="155"/>
        <v>2.6030603173634727E-7</v>
      </c>
      <c r="AJ335" s="221" t="str">
        <f t="shared" si="134"/>
        <v>NO</v>
      </c>
      <c r="AK335" s="533">
        <f>IF('IN-OUT'!$F$35=0,AG335,IF('IN-OUT'!$F$26=0,'transversal subsidence profile'!AI335,'transversal subsidence profile'!AG335+'transversal subsidence profile'!AI335))</f>
        <v>3.6332180452067091E-5</v>
      </c>
      <c r="AL335" s="513">
        <f t="shared" si="135"/>
        <v>1000</v>
      </c>
    </row>
    <row r="336" spans="1:38">
      <c r="A336" s="542">
        <f t="shared" si="156"/>
        <v>31.5</v>
      </c>
      <c r="B336" s="363">
        <f t="shared" si="136"/>
        <v>4.8863465875158187E-7</v>
      </c>
      <c r="C336" s="543">
        <f t="shared" si="137"/>
        <v>1.026132783378322E-6</v>
      </c>
      <c r="D336" s="542">
        <f t="shared" si="157"/>
        <v>31.5</v>
      </c>
      <c r="E336" s="363">
        <f t="shared" si="138"/>
        <v>4.8863465875158187E-7</v>
      </c>
      <c r="F336" s="543">
        <f t="shared" si="139"/>
        <v>1.026132783378322E-6</v>
      </c>
      <c r="G336" s="548">
        <f t="shared" si="140"/>
        <v>21.5</v>
      </c>
      <c r="H336" s="363">
        <f t="shared" si="141"/>
        <v>1.6402951301954264E-4</v>
      </c>
      <c r="I336" s="363">
        <f t="shared" si="142"/>
        <v>2.3510896866134445E-4</v>
      </c>
      <c r="J336" s="364">
        <f t="shared" si="143"/>
        <v>1.6451814767829423E-4</v>
      </c>
      <c r="K336" s="194">
        <f t="shared" si="144"/>
        <v>1.6402951301954266E-2</v>
      </c>
      <c r="L336" s="646">
        <f t="shared" si="145"/>
        <v>4.886346587515819E-5</v>
      </c>
      <c r="M336" s="365">
        <f t="shared" si="146"/>
        <v>1.6451814767829424E-2</v>
      </c>
      <c r="N336" s="194">
        <f t="shared" si="147"/>
        <v>2.3510896866134445E-2</v>
      </c>
      <c r="O336" s="422">
        <f t="shared" si="148"/>
        <v>1.0261327833783219E-4</v>
      </c>
      <c r="P336" s="365">
        <f t="shared" si="149"/>
        <v>2.3613510144472279E-2</v>
      </c>
      <c r="S336" s="193"/>
      <c r="T336" s="193"/>
      <c r="U336" s="193"/>
      <c r="V336" s="193"/>
      <c r="W336" s="193"/>
      <c r="X336" s="193"/>
      <c r="Y336" s="503"/>
      <c r="Z336" s="193"/>
      <c r="AA336" s="520">
        <f t="shared" si="150"/>
        <v>-1.0000775155933157E-2</v>
      </c>
      <c r="AB336" s="496"/>
      <c r="AC336" s="521">
        <f t="shared" si="151"/>
        <v>-6.7684949027070957E-5</v>
      </c>
      <c r="AD336" s="496"/>
      <c r="AE336" s="522">
        <f t="shared" si="152"/>
        <v>-1.0068460104960228E-2</v>
      </c>
      <c r="AG336" s="531">
        <f t="shared" si="153"/>
        <v>3.2924362653277883E-5</v>
      </c>
      <c r="AH336" s="221" t="str">
        <f t="shared" si="154"/>
        <v>NO</v>
      </c>
      <c r="AI336" s="532">
        <f t="shared" si="155"/>
        <v>2.2283110790805255E-7</v>
      </c>
      <c r="AJ336" s="221" t="str">
        <f t="shared" si="134"/>
        <v>NO</v>
      </c>
      <c r="AK336" s="533">
        <f>IF('IN-OUT'!$F$35=0,AG336,IF('IN-OUT'!$F$26=0,'transversal subsidence profile'!AI336,'transversal subsidence profile'!AG336+'transversal subsidence profile'!AI336))</f>
        <v>3.3147193761185935E-5</v>
      </c>
      <c r="AL336" s="513">
        <f t="shared" si="135"/>
        <v>1000</v>
      </c>
    </row>
    <row r="337" spans="1:38">
      <c r="A337" s="542">
        <f t="shared" si="156"/>
        <v>31.75</v>
      </c>
      <c r="B337" s="363">
        <f t="shared" si="136"/>
        <v>4.10793113341369E-7</v>
      </c>
      <c r="C337" s="543">
        <f t="shared" si="137"/>
        <v>8.6951208990589773E-7</v>
      </c>
      <c r="D337" s="542">
        <f t="shared" si="157"/>
        <v>31.75</v>
      </c>
      <c r="E337" s="363">
        <f t="shared" si="138"/>
        <v>4.10793113341369E-7</v>
      </c>
      <c r="F337" s="543">
        <f t="shared" si="139"/>
        <v>8.6951208990589773E-7</v>
      </c>
      <c r="G337" s="548">
        <f t="shared" si="140"/>
        <v>21.75</v>
      </c>
      <c r="H337" s="363">
        <f t="shared" si="141"/>
        <v>1.4567683017184562E-4</v>
      </c>
      <c r="I337" s="363">
        <f t="shared" si="142"/>
        <v>2.1123140374917614E-4</v>
      </c>
      <c r="J337" s="364">
        <f t="shared" si="143"/>
        <v>1.4608762328518698E-4</v>
      </c>
      <c r="K337" s="194">
        <f t="shared" si="144"/>
        <v>1.4567683017184562E-2</v>
      </c>
      <c r="L337" s="646">
        <f t="shared" si="145"/>
        <v>4.1079311334136901E-5</v>
      </c>
      <c r="M337" s="365">
        <f t="shared" si="146"/>
        <v>1.4608762328518699E-2</v>
      </c>
      <c r="N337" s="194">
        <f t="shared" si="147"/>
        <v>2.1123140374917613E-2</v>
      </c>
      <c r="O337" s="422">
        <f t="shared" si="148"/>
        <v>8.6951208990589769E-5</v>
      </c>
      <c r="P337" s="365">
        <f t="shared" si="149"/>
        <v>2.1210091583908203E-2</v>
      </c>
      <c r="S337" s="193"/>
      <c r="T337" s="193"/>
      <c r="U337" s="193"/>
      <c r="V337" s="193"/>
      <c r="W337" s="193"/>
      <c r="X337" s="193"/>
      <c r="Y337" s="503"/>
      <c r="Z337" s="193"/>
      <c r="AA337" s="520">
        <f t="shared" si="150"/>
        <v>-9.1122955498438418E-3</v>
      </c>
      <c r="AB337" s="496"/>
      <c r="AC337" s="521">
        <f t="shared" si="151"/>
        <v>-5.7852893877065229E-5</v>
      </c>
      <c r="AD337" s="496"/>
      <c r="AE337" s="522">
        <f t="shared" si="152"/>
        <v>-9.1701484437209067E-3</v>
      </c>
      <c r="AG337" s="531">
        <f t="shared" si="153"/>
        <v>2.9999326913066145E-5</v>
      </c>
      <c r="AH337" s="221" t="str">
        <f t="shared" si="154"/>
        <v>NO</v>
      </c>
      <c r="AI337" s="532">
        <f t="shared" si="155"/>
        <v>1.9046220206441224E-7</v>
      </c>
      <c r="AJ337" s="221" t="str">
        <f t="shared" si="134"/>
        <v>NO</v>
      </c>
      <c r="AK337" s="533">
        <f>IF('IN-OUT'!$F$35=0,AG337,IF('IN-OUT'!$F$26=0,'transversal subsidence profile'!AI337,'transversal subsidence profile'!AG337+'transversal subsidence profile'!AI337))</f>
        <v>3.0189789115130558E-5</v>
      </c>
      <c r="AL337" s="513">
        <f t="shared" si="135"/>
        <v>1000</v>
      </c>
    </row>
    <row r="338" spans="1:38">
      <c r="A338" s="542">
        <f t="shared" si="156"/>
        <v>32</v>
      </c>
      <c r="B338" s="363">
        <f t="shared" si="136"/>
        <v>3.4487864259477436E-7</v>
      </c>
      <c r="C338" s="543">
        <f t="shared" si="137"/>
        <v>7.3574110420218521E-7</v>
      </c>
      <c r="D338" s="542">
        <f t="shared" si="157"/>
        <v>32</v>
      </c>
      <c r="E338" s="363">
        <f t="shared" si="138"/>
        <v>3.4487864259477436E-7</v>
      </c>
      <c r="F338" s="543">
        <f t="shared" si="139"/>
        <v>7.3574110420218521E-7</v>
      </c>
      <c r="G338" s="548">
        <f t="shared" si="140"/>
        <v>22</v>
      </c>
      <c r="H338" s="363">
        <f t="shared" si="141"/>
        <v>1.292002131994937E-4</v>
      </c>
      <c r="I338" s="363">
        <f t="shared" si="142"/>
        <v>1.8949364602592408E-4</v>
      </c>
      <c r="J338" s="364">
        <f t="shared" si="143"/>
        <v>1.2954509184208847E-4</v>
      </c>
      <c r="K338" s="194">
        <f t="shared" si="144"/>
        <v>1.2920021319949369E-2</v>
      </c>
      <c r="L338" s="646">
        <f t="shared" si="145"/>
        <v>3.4487864259477438E-5</v>
      </c>
      <c r="M338" s="365">
        <f t="shared" si="146"/>
        <v>1.2954509184208847E-2</v>
      </c>
      <c r="N338" s="194">
        <f t="shared" si="147"/>
        <v>1.8949364602592406E-2</v>
      </c>
      <c r="O338" s="422">
        <f t="shared" si="148"/>
        <v>7.3574110420218525E-5</v>
      </c>
      <c r="P338" s="365">
        <f t="shared" si="149"/>
        <v>1.9022938713012624E-2</v>
      </c>
      <c r="S338" s="193"/>
      <c r="T338" s="193"/>
      <c r="U338" s="193"/>
      <c r="V338" s="193"/>
      <c r="W338" s="193"/>
      <c r="X338" s="193"/>
      <c r="Y338" s="503"/>
      <c r="Z338" s="193"/>
      <c r="AA338" s="520">
        <f t="shared" si="150"/>
        <v>-8.2884270287558147E-3</v>
      </c>
      <c r="AB338" s="496"/>
      <c r="AC338" s="521">
        <f t="shared" si="151"/>
        <v>-4.9374258343129331E-5</v>
      </c>
      <c r="AD338" s="496"/>
      <c r="AE338" s="522">
        <f t="shared" si="152"/>
        <v>-8.3378012870989442E-3</v>
      </c>
      <c r="AG338" s="531">
        <f t="shared" si="153"/>
        <v>2.7287002563805154E-5</v>
      </c>
      <c r="AH338" s="221" t="str">
        <f t="shared" si="154"/>
        <v>NO</v>
      </c>
      <c r="AI338" s="532">
        <f t="shared" si="155"/>
        <v>1.6254899866050806E-7</v>
      </c>
      <c r="AJ338" s="221" t="str">
        <f t="shared" si="134"/>
        <v>NO</v>
      </c>
      <c r="AK338" s="533">
        <f>IF('IN-OUT'!$F$35=0,AG338,IF('IN-OUT'!$F$26=0,'transversal subsidence profile'!AI338,'transversal subsidence profile'!AG338+'transversal subsidence profile'!AI338))</f>
        <v>2.7449551562465661E-5</v>
      </c>
      <c r="AL338" s="513">
        <f t="shared" si="135"/>
        <v>1000</v>
      </c>
    </row>
    <row r="339" spans="1:38">
      <c r="A339" s="542">
        <f t="shared" si="156"/>
        <v>32.25</v>
      </c>
      <c r="B339" s="363">
        <f t="shared" si="136"/>
        <v>2.8914368170663837E-7</v>
      </c>
      <c r="C339" s="543">
        <f t="shared" si="137"/>
        <v>6.2165891566927255E-7</v>
      </c>
      <c r="D339" s="542">
        <f t="shared" si="157"/>
        <v>32.25</v>
      </c>
      <c r="E339" s="363">
        <f t="shared" si="138"/>
        <v>2.8914368170663837E-7</v>
      </c>
      <c r="F339" s="543">
        <f t="shared" si="139"/>
        <v>6.2165891566927255E-7</v>
      </c>
      <c r="G339" s="548">
        <f t="shared" si="140"/>
        <v>22.25</v>
      </c>
      <c r="H339" s="363">
        <f t="shared" si="141"/>
        <v>1.1443008950874467E-4</v>
      </c>
      <c r="I339" s="363">
        <f t="shared" si="142"/>
        <v>1.6973796610463793E-4</v>
      </c>
      <c r="J339" s="364">
        <f t="shared" si="143"/>
        <v>1.1471923319045131E-4</v>
      </c>
      <c r="K339" s="194">
        <f t="shared" si="144"/>
        <v>1.1443008950874467E-2</v>
      </c>
      <c r="L339" s="646">
        <f t="shared" si="145"/>
        <v>2.8914368170663838E-5</v>
      </c>
      <c r="M339" s="365">
        <f t="shared" si="146"/>
        <v>1.1471923319045131E-2</v>
      </c>
      <c r="N339" s="194">
        <f t="shared" si="147"/>
        <v>1.6973796610463793E-2</v>
      </c>
      <c r="O339" s="422">
        <f t="shared" si="148"/>
        <v>6.2165891566927259E-5</v>
      </c>
      <c r="P339" s="365">
        <f t="shared" si="149"/>
        <v>1.7035962502030721E-2</v>
      </c>
      <c r="S339" s="193"/>
      <c r="T339" s="193"/>
      <c r="U339" s="193"/>
      <c r="V339" s="193"/>
      <c r="W339" s="193"/>
      <c r="X339" s="193"/>
      <c r="Y339" s="503"/>
      <c r="Z339" s="193"/>
      <c r="AA339" s="520">
        <f t="shared" si="150"/>
        <v>-7.5261198330762837E-3</v>
      </c>
      <c r="AB339" s="496"/>
      <c r="AC339" s="521">
        <f t="shared" si="151"/>
        <v>-4.2074570309245817E-5</v>
      </c>
      <c r="AD339" s="496"/>
      <c r="AE339" s="522">
        <f t="shared" si="152"/>
        <v>-7.5681944033855293E-3</v>
      </c>
      <c r="AG339" s="531">
        <f t="shared" si="153"/>
        <v>2.4777349244695585E-5</v>
      </c>
      <c r="AH339" s="221" t="str">
        <f t="shared" si="154"/>
        <v>NO</v>
      </c>
      <c r="AI339" s="532">
        <f t="shared" si="155"/>
        <v>1.3851710389875164E-7</v>
      </c>
      <c r="AJ339" s="221" t="str">
        <f t="shared" si="134"/>
        <v>NO</v>
      </c>
      <c r="AK339" s="533">
        <f>IF('IN-OUT'!$F$35=0,AG339,IF('IN-OUT'!$F$26=0,'transversal subsidence profile'!AI339,'transversal subsidence profile'!AG339+'transversal subsidence profile'!AI339))</f>
        <v>2.4915866348594336E-5</v>
      </c>
      <c r="AL339" s="513">
        <f t="shared" si="135"/>
        <v>1000</v>
      </c>
    </row>
    <row r="340" spans="1:38">
      <c r="A340" s="542">
        <f t="shared" si="156"/>
        <v>32.5</v>
      </c>
      <c r="B340" s="363">
        <f t="shared" si="136"/>
        <v>2.4208360205461144E-7</v>
      </c>
      <c r="C340" s="543">
        <f t="shared" si="137"/>
        <v>5.2451447111832478E-7</v>
      </c>
      <c r="D340" s="542">
        <f t="shared" si="157"/>
        <v>32.5</v>
      </c>
      <c r="E340" s="363">
        <f t="shared" si="138"/>
        <v>2.4208360205461144E-7</v>
      </c>
      <c r="F340" s="543">
        <f t="shared" si="139"/>
        <v>5.2451447111832478E-7</v>
      </c>
      <c r="G340" s="548">
        <f t="shared" si="140"/>
        <v>22.5</v>
      </c>
      <c r="H340" s="363">
        <f t="shared" si="141"/>
        <v>1.0120955257943833E-4</v>
      </c>
      <c r="I340" s="363">
        <f t="shared" si="142"/>
        <v>1.518143288691575E-4</v>
      </c>
      <c r="J340" s="364">
        <f t="shared" si="143"/>
        <v>1.0145163618149294E-4</v>
      </c>
      <c r="K340" s="194">
        <f t="shared" si="144"/>
        <v>1.0120955257943832E-2</v>
      </c>
      <c r="L340" s="646">
        <f t="shared" si="145"/>
        <v>2.4208360205461144E-5</v>
      </c>
      <c r="M340" s="365">
        <f t="shared" si="146"/>
        <v>1.0145163618149293E-2</v>
      </c>
      <c r="N340" s="194">
        <f t="shared" si="147"/>
        <v>1.5181432886915751E-2</v>
      </c>
      <c r="O340" s="422">
        <f t="shared" si="148"/>
        <v>5.2451447111832479E-5</v>
      </c>
      <c r="P340" s="365">
        <f t="shared" si="149"/>
        <v>1.5233884334027583E-2</v>
      </c>
      <c r="S340" s="193"/>
      <c r="T340" s="193"/>
      <c r="U340" s="193"/>
      <c r="V340" s="193"/>
      <c r="W340" s="193"/>
      <c r="X340" s="193"/>
      <c r="Y340" s="503"/>
      <c r="Z340" s="193"/>
      <c r="AA340" s="520">
        <f t="shared" si="150"/>
        <v>-6.82227354424362E-3</v>
      </c>
      <c r="AB340" s="496"/>
      <c r="AC340" s="521">
        <f t="shared" si="151"/>
        <v>-3.5800035928899141E-5</v>
      </c>
      <c r="AD340" s="496"/>
      <c r="AE340" s="522">
        <f t="shared" si="152"/>
        <v>-6.8580735801725195E-3</v>
      </c>
      <c r="AG340" s="531">
        <f t="shared" si="153"/>
        <v>2.2460159816439899E-5</v>
      </c>
      <c r="AH340" s="221" t="str">
        <f t="shared" si="154"/>
        <v>NO</v>
      </c>
      <c r="AI340" s="532">
        <f t="shared" si="155"/>
        <v>1.1786020058896835E-7</v>
      </c>
      <c r="AJ340" s="221" t="str">
        <f t="shared" si="134"/>
        <v>NO</v>
      </c>
      <c r="AK340" s="533">
        <f>IF('IN-OUT'!$F$35=0,AG340,IF('IN-OUT'!$F$26=0,'transversal subsidence profile'!AI340,'transversal subsidence profile'!AG340+'transversal subsidence profile'!AI340))</f>
        <v>2.2578020017028867E-5</v>
      </c>
      <c r="AL340" s="513">
        <f t="shared" si="135"/>
        <v>1000</v>
      </c>
    </row>
    <row r="341" spans="1:38">
      <c r="A341" s="542">
        <f t="shared" si="156"/>
        <v>32.75</v>
      </c>
      <c r="B341" s="363">
        <f t="shared" si="136"/>
        <v>2.0240502898220163E-7</v>
      </c>
      <c r="C341" s="543">
        <f t="shared" si="137"/>
        <v>4.4191764661114027E-7</v>
      </c>
      <c r="D341" s="542">
        <f t="shared" si="157"/>
        <v>32.75</v>
      </c>
      <c r="E341" s="363">
        <f t="shared" si="138"/>
        <v>2.0240502898220163E-7</v>
      </c>
      <c r="F341" s="543">
        <f t="shared" si="139"/>
        <v>4.4191764661114027E-7</v>
      </c>
      <c r="G341" s="548">
        <f t="shared" si="140"/>
        <v>22.75</v>
      </c>
      <c r="H341" s="363">
        <f t="shared" si="141"/>
        <v>8.9393724529516328E-5</v>
      </c>
      <c r="I341" s="363">
        <f t="shared" si="142"/>
        <v>1.3558048220309974E-4</v>
      </c>
      <c r="J341" s="364">
        <f t="shared" si="143"/>
        <v>8.9596129558498533E-5</v>
      </c>
      <c r="K341" s="194">
        <f t="shared" si="144"/>
        <v>8.939372452951632E-3</v>
      </c>
      <c r="L341" s="646">
        <f t="shared" si="145"/>
        <v>2.0240502898220164E-5</v>
      </c>
      <c r="M341" s="365">
        <f t="shared" si="146"/>
        <v>8.9596129558498529E-3</v>
      </c>
      <c r="N341" s="194">
        <f t="shared" si="147"/>
        <v>1.3558048220309975E-2</v>
      </c>
      <c r="O341" s="422">
        <f t="shared" si="148"/>
        <v>4.4191764661114027E-5</v>
      </c>
      <c r="P341" s="365">
        <f t="shared" si="149"/>
        <v>1.3602239984971089E-2</v>
      </c>
      <c r="S341" s="193"/>
      <c r="T341" s="193"/>
      <c r="U341" s="193"/>
      <c r="V341" s="193"/>
      <c r="W341" s="193"/>
      <c r="X341" s="193"/>
      <c r="Y341" s="503"/>
      <c r="Z341" s="193"/>
      <c r="AA341" s="520">
        <f t="shared" si="150"/>
        <v>-6.1737668737714439E-3</v>
      </c>
      <c r="AB341" s="496"/>
      <c r="AC341" s="521">
        <f t="shared" si="151"/>
        <v>-3.0415358356063437E-5</v>
      </c>
      <c r="AD341" s="496"/>
      <c r="AE341" s="522">
        <f t="shared" si="152"/>
        <v>-6.2041822321275072E-3</v>
      </c>
      <c r="AG341" s="531">
        <f t="shared" si="153"/>
        <v>2.0325158432169357E-5</v>
      </c>
      <c r="AH341" s="221" t="str">
        <f t="shared" si="154"/>
        <v>NO</v>
      </c>
      <c r="AI341" s="532">
        <f t="shared" si="155"/>
        <v>1.0013286701584671E-7</v>
      </c>
      <c r="AJ341" s="221" t="str">
        <f t="shared" si="134"/>
        <v>NO</v>
      </c>
      <c r="AK341" s="533">
        <f>IF('IN-OUT'!$F$35=0,AG341,IF('IN-OUT'!$F$26=0,'transversal subsidence profile'!AI341,'transversal subsidence profile'!AG341+'transversal subsidence profile'!AI341))</f>
        <v>2.0425291299185204E-5</v>
      </c>
      <c r="AL341" s="513">
        <f t="shared" si="135"/>
        <v>1000</v>
      </c>
    </row>
    <row r="342" spans="1:38">
      <c r="A342" s="542">
        <f t="shared" si="156"/>
        <v>33</v>
      </c>
      <c r="B342" s="363">
        <f t="shared" si="136"/>
        <v>1.6899796882487886E-7</v>
      </c>
      <c r="C342" s="543">
        <f t="shared" si="137"/>
        <v>3.7179553141473351E-7</v>
      </c>
      <c r="D342" s="542">
        <f t="shared" si="157"/>
        <v>33</v>
      </c>
      <c r="E342" s="363">
        <f t="shared" si="138"/>
        <v>1.6899796882487886E-7</v>
      </c>
      <c r="F342" s="543">
        <f t="shared" si="139"/>
        <v>3.7179553141473351E-7</v>
      </c>
      <c r="G342" s="548">
        <f t="shared" si="140"/>
        <v>23</v>
      </c>
      <c r="H342" s="363">
        <f t="shared" si="141"/>
        <v>7.8849114329851376E-5</v>
      </c>
      <c r="I342" s="363">
        <f t="shared" si="142"/>
        <v>1.209019753057721E-4</v>
      </c>
      <c r="J342" s="364">
        <f t="shared" si="143"/>
        <v>7.9018112298676253E-5</v>
      </c>
      <c r="K342" s="194">
        <f t="shared" si="144"/>
        <v>7.884911432985137E-3</v>
      </c>
      <c r="L342" s="646">
        <f t="shared" si="145"/>
        <v>1.6899796882487886E-5</v>
      </c>
      <c r="M342" s="365">
        <f t="shared" si="146"/>
        <v>7.9018112298676248E-3</v>
      </c>
      <c r="N342" s="194">
        <f t="shared" si="147"/>
        <v>1.2090197530577209E-2</v>
      </c>
      <c r="O342" s="422">
        <f t="shared" si="148"/>
        <v>3.7179553141473351E-5</v>
      </c>
      <c r="P342" s="365">
        <f t="shared" si="149"/>
        <v>1.2127377083718683E-2</v>
      </c>
      <c r="S342" s="193"/>
      <c r="T342" s="193"/>
      <c r="U342" s="193"/>
      <c r="V342" s="193"/>
      <c r="W342" s="193"/>
      <c r="X342" s="193"/>
      <c r="Y342" s="503"/>
      <c r="Z342" s="193"/>
      <c r="AA342" s="520">
        <f t="shared" si="150"/>
        <v>-5.5774842189428471E-3</v>
      </c>
      <c r="AB342" s="496"/>
      <c r="AC342" s="521">
        <f t="shared" si="151"/>
        <v>-2.580174750371607E-5</v>
      </c>
      <c r="AD342" s="496"/>
      <c r="AE342" s="522">
        <f t="shared" si="152"/>
        <v>-5.6032859664465629E-3</v>
      </c>
      <c r="AG342" s="531">
        <f t="shared" si="153"/>
        <v>1.836208796359785E-5</v>
      </c>
      <c r="AH342" s="221" t="str">
        <f t="shared" si="154"/>
        <v>NO</v>
      </c>
      <c r="AI342" s="532">
        <f t="shared" si="155"/>
        <v>8.4944024703591998E-8</v>
      </c>
      <c r="AJ342" s="221" t="str">
        <f t="shared" si="134"/>
        <v>NO</v>
      </c>
      <c r="AK342" s="533">
        <f>IF('IN-OUT'!$F$35=0,AG342,IF('IN-OUT'!$F$26=0,'transversal subsidence profile'!AI342,'transversal subsidence profile'!AG342+'transversal subsidence profile'!AI342))</f>
        <v>1.8447031988301441E-5</v>
      </c>
      <c r="AL342" s="513">
        <f t="shared" si="135"/>
        <v>1000</v>
      </c>
    </row>
    <row r="343" spans="1:38">
      <c r="A343" s="542">
        <f t="shared" si="156"/>
        <v>33.25</v>
      </c>
      <c r="B343" s="363">
        <f t="shared" si="136"/>
        <v>1.4091133547411193E-7</v>
      </c>
      <c r="C343" s="543">
        <f t="shared" si="137"/>
        <v>3.1235346030094807E-7</v>
      </c>
      <c r="D343" s="542">
        <f t="shared" si="157"/>
        <v>33.25</v>
      </c>
      <c r="E343" s="363">
        <f t="shared" si="138"/>
        <v>1.4091133547411193E-7</v>
      </c>
      <c r="F343" s="543">
        <f t="shared" si="139"/>
        <v>3.1235346030094807E-7</v>
      </c>
      <c r="G343" s="548">
        <f t="shared" si="140"/>
        <v>23.25</v>
      </c>
      <c r="H343" s="363">
        <f t="shared" si="141"/>
        <v>6.9452977135231898E-5</v>
      </c>
      <c r="I343" s="363">
        <f t="shared" si="142"/>
        <v>1.0765211455960944E-4</v>
      </c>
      <c r="J343" s="364">
        <f t="shared" si="143"/>
        <v>6.9593888470706006E-5</v>
      </c>
      <c r="K343" s="194">
        <f t="shared" si="144"/>
        <v>6.9452977135231898E-3</v>
      </c>
      <c r="L343" s="646">
        <f t="shared" si="145"/>
        <v>1.4091133547411193E-5</v>
      </c>
      <c r="M343" s="365">
        <f t="shared" si="146"/>
        <v>6.9593888470706007E-3</v>
      </c>
      <c r="N343" s="194">
        <f t="shared" si="147"/>
        <v>1.0765211455960945E-2</v>
      </c>
      <c r="O343" s="422">
        <f t="shared" si="148"/>
        <v>3.1235346030094804E-5</v>
      </c>
      <c r="P343" s="365">
        <f t="shared" si="149"/>
        <v>1.0796446801991039E-2</v>
      </c>
      <c r="S343" s="193"/>
      <c r="T343" s="193"/>
      <c r="U343" s="193"/>
      <c r="V343" s="193"/>
      <c r="W343" s="193"/>
      <c r="X343" s="193"/>
      <c r="Y343" s="503"/>
      <c r="Z343" s="193"/>
      <c r="AA343" s="520">
        <f t="shared" si="150"/>
        <v>-5.0303390846916929E-3</v>
      </c>
      <c r="AB343" s="496"/>
      <c r="AC343" s="521">
        <f t="shared" si="151"/>
        <v>-2.1855109736085395E-5</v>
      </c>
      <c r="AD343" s="496"/>
      <c r="AE343" s="522">
        <f t="shared" si="152"/>
        <v>-5.052194194427778E-3</v>
      </c>
      <c r="AG343" s="531">
        <f t="shared" si="153"/>
        <v>1.6560787110096106E-5</v>
      </c>
      <c r="AH343" s="221" t="str">
        <f t="shared" si="154"/>
        <v>NO</v>
      </c>
      <c r="AI343" s="532">
        <f t="shared" si="155"/>
        <v>7.1950978555013647E-8</v>
      </c>
      <c r="AJ343" s="221" t="str">
        <f t="shared" si="134"/>
        <v>NO</v>
      </c>
      <c r="AK343" s="533">
        <f>IF('IN-OUT'!$F$35=0,AG343,IF('IN-OUT'!$F$26=0,'transversal subsidence profile'!AI343,'transversal subsidence profile'!AG343+'transversal subsidence profile'!AI343))</f>
        <v>1.663273808865112E-5</v>
      </c>
      <c r="AL343" s="513">
        <f t="shared" si="135"/>
        <v>1000</v>
      </c>
    </row>
    <row r="344" spans="1:38">
      <c r="A344" s="542">
        <f t="shared" si="156"/>
        <v>33.5</v>
      </c>
      <c r="B344" s="363">
        <f t="shared" si="136"/>
        <v>1.1733150379388988E-7</v>
      </c>
      <c r="C344" s="543">
        <f t="shared" si="137"/>
        <v>2.6204035847302074E-7</v>
      </c>
      <c r="D344" s="542">
        <f t="shared" si="157"/>
        <v>33.5</v>
      </c>
      <c r="E344" s="363">
        <f t="shared" si="138"/>
        <v>1.1733150379388988E-7</v>
      </c>
      <c r="F344" s="543">
        <f t="shared" si="139"/>
        <v>2.6204035847302074E-7</v>
      </c>
      <c r="G344" s="548">
        <f t="shared" si="140"/>
        <v>23.5</v>
      </c>
      <c r="H344" s="363">
        <f t="shared" si="141"/>
        <v>6.1092679552955076E-5</v>
      </c>
      <c r="I344" s="363">
        <f t="shared" si="142"/>
        <v>9.571186463296293E-5</v>
      </c>
      <c r="J344" s="364">
        <f t="shared" si="143"/>
        <v>6.121001105674896E-5</v>
      </c>
      <c r="K344" s="194">
        <f t="shared" si="144"/>
        <v>6.1092679552955075E-3</v>
      </c>
      <c r="L344" s="646">
        <f t="shared" si="145"/>
        <v>1.1733150379388987E-5</v>
      </c>
      <c r="M344" s="365">
        <f t="shared" si="146"/>
        <v>6.1210011056748968E-3</v>
      </c>
      <c r="N344" s="194">
        <f t="shared" si="147"/>
        <v>9.5711864632962926E-3</v>
      </c>
      <c r="O344" s="422">
        <f t="shared" si="148"/>
        <v>2.6204035847302074E-5</v>
      </c>
      <c r="P344" s="365">
        <f t="shared" si="149"/>
        <v>9.5973904991435953E-3</v>
      </c>
      <c r="S344" s="193"/>
      <c r="T344" s="193"/>
      <c r="U344" s="193"/>
      <c r="V344" s="193"/>
      <c r="W344" s="193"/>
      <c r="X344" s="193"/>
      <c r="Y344" s="503"/>
      <c r="Z344" s="193"/>
      <c r="AA344" s="520">
        <f t="shared" si="150"/>
        <v>-4.5292944959836002E-3</v>
      </c>
      <c r="AB344" s="496"/>
      <c r="AC344" s="521">
        <f t="shared" si="151"/>
        <v>-1.8484406180679844E-5</v>
      </c>
      <c r="AD344" s="496"/>
      <c r="AE344" s="522">
        <f t="shared" si="152"/>
        <v>-4.5477789021642805E-3</v>
      </c>
      <c r="AG344" s="531">
        <f t="shared" si="153"/>
        <v>1.4911257599946009E-5</v>
      </c>
      <c r="AH344" s="221" t="str">
        <f t="shared" si="154"/>
        <v>NO</v>
      </c>
      <c r="AI344" s="532">
        <f t="shared" si="155"/>
        <v>6.0854012117464505E-8</v>
      </c>
      <c r="AJ344" s="221" t="str">
        <f t="shared" si="134"/>
        <v>NO</v>
      </c>
      <c r="AK344" s="533">
        <f>IF('IN-OUT'!$F$35=0,AG344,IF('IN-OUT'!$F$26=0,'transversal subsidence profile'!AI344,'transversal subsidence profile'!AG344+'transversal subsidence profile'!AI344))</f>
        <v>1.4972111612063474E-5</v>
      </c>
      <c r="AL344" s="513">
        <f t="shared" si="135"/>
        <v>1000</v>
      </c>
    </row>
    <row r="345" spans="1:38">
      <c r="A345" s="542">
        <f t="shared" si="156"/>
        <v>33.75</v>
      </c>
      <c r="B345" s="363">
        <f t="shared" si="136"/>
        <v>9.7563551898995426E-8</v>
      </c>
      <c r="C345" s="543">
        <f t="shared" si="137"/>
        <v>2.1951799177273973E-7</v>
      </c>
      <c r="D345" s="542">
        <f t="shared" si="157"/>
        <v>33.75</v>
      </c>
      <c r="E345" s="363">
        <f t="shared" si="138"/>
        <v>9.7563551898995426E-8</v>
      </c>
      <c r="F345" s="543">
        <f t="shared" si="139"/>
        <v>2.1951799177273973E-7</v>
      </c>
      <c r="G345" s="548">
        <f t="shared" si="140"/>
        <v>23.75</v>
      </c>
      <c r="H345" s="363">
        <f t="shared" si="141"/>
        <v>5.3665075051588847E-5</v>
      </c>
      <c r="I345" s="363">
        <f t="shared" si="142"/>
        <v>8.4969702165015672E-5</v>
      </c>
      <c r="J345" s="364">
        <f t="shared" si="143"/>
        <v>5.3762638603487844E-5</v>
      </c>
      <c r="K345" s="194">
        <f t="shared" si="144"/>
        <v>5.3665075051588847E-3</v>
      </c>
      <c r="L345" s="646">
        <f t="shared" si="145"/>
        <v>9.7563551898995425E-6</v>
      </c>
      <c r="M345" s="365">
        <f t="shared" si="146"/>
        <v>5.3762638603487845E-3</v>
      </c>
      <c r="N345" s="194">
        <f t="shared" si="147"/>
        <v>8.4969702165015679E-3</v>
      </c>
      <c r="O345" s="422">
        <f t="shared" si="148"/>
        <v>2.1951799177273973E-5</v>
      </c>
      <c r="P345" s="365">
        <f t="shared" si="149"/>
        <v>8.5189220156788419E-3</v>
      </c>
      <c r="S345" s="193"/>
      <c r="T345" s="193"/>
      <c r="U345" s="193"/>
      <c r="V345" s="193"/>
      <c r="W345" s="193"/>
      <c r="X345" s="193"/>
      <c r="Y345" s="503"/>
      <c r="Z345" s="193"/>
      <c r="AA345" s="520">
        <f t="shared" si="150"/>
        <v>-4.0713805452947515E-3</v>
      </c>
      <c r="AB345" s="496"/>
      <c r="AC345" s="521">
        <f t="shared" si="151"/>
        <v>-1.5610168303839267E-5</v>
      </c>
      <c r="AD345" s="496"/>
      <c r="AE345" s="522">
        <f t="shared" si="152"/>
        <v>-4.0869907135985904E-3</v>
      </c>
      <c r="AG345" s="531">
        <f t="shared" si="153"/>
        <v>1.3403721959818113E-5</v>
      </c>
      <c r="AH345" s="221" t="str">
        <f t="shared" si="154"/>
        <v>NO</v>
      </c>
      <c r="AI345" s="532">
        <f t="shared" si="155"/>
        <v>5.1391500588771252E-8</v>
      </c>
      <c r="AJ345" s="221" t="str">
        <f t="shared" si="134"/>
        <v>NO</v>
      </c>
      <c r="AK345" s="533">
        <f>IF('IN-OUT'!$F$35=0,AG345,IF('IN-OUT'!$F$26=0,'transversal subsidence profile'!AI345,'transversal subsidence profile'!AG345+'transversal subsidence profile'!AI345))</f>
        <v>1.3455113460406884E-5</v>
      </c>
      <c r="AL345" s="513">
        <f t="shared" si="135"/>
        <v>1000</v>
      </c>
    </row>
    <row r="346" spans="1:38">
      <c r="A346" s="542">
        <f t="shared" si="156"/>
        <v>34</v>
      </c>
      <c r="B346" s="363">
        <f t="shared" si="136"/>
        <v>8.1014886664904516E-8</v>
      </c>
      <c r="C346" s="543">
        <f t="shared" si="137"/>
        <v>1.8363374310711691E-7</v>
      </c>
      <c r="D346" s="542">
        <f t="shared" si="157"/>
        <v>34</v>
      </c>
      <c r="E346" s="363">
        <f t="shared" si="138"/>
        <v>8.1014886664904516E-8</v>
      </c>
      <c r="F346" s="543">
        <f t="shared" si="139"/>
        <v>1.8363374310711691E-7</v>
      </c>
      <c r="G346" s="548">
        <f t="shared" si="140"/>
        <v>24</v>
      </c>
      <c r="H346" s="363">
        <f t="shared" si="141"/>
        <v>4.7075893123253738E-5</v>
      </c>
      <c r="I346" s="363">
        <f t="shared" si="142"/>
        <v>7.5321428997205983E-5</v>
      </c>
      <c r="J346" s="364">
        <f t="shared" si="143"/>
        <v>4.7156908009918645E-5</v>
      </c>
      <c r="K346" s="194">
        <f t="shared" si="144"/>
        <v>4.7075893123253738E-3</v>
      </c>
      <c r="L346" s="646">
        <f t="shared" si="145"/>
        <v>8.101488666490452E-6</v>
      </c>
      <c r="M346" s="365">
        <f t="shared" si="146"/>
        <v>4.7156908009918638E-3</v>
      </c>
      <c r="N346" s="194">
        <f t="shared" si="147"/>
        <v>7.5321428997205987E-3</v>
      </c>
      <c r="O346" s="422">
        <f t="shared" si="148"/>
        <v>1.8363374310711692E-5</v>
      </c>
      <c r="P346" s="365">
        <f t="shared" si="149"/>
        <v>7.55050627403131E-3</v>
      </c>
      <c r="S346" s="193"/>
      <c r="T346" s="193"/>
      <c r="U346" s="193"/>
      <c r="V346" s="193"/>
      <c r="W346" s="193"/>
      <c r="X346" s="193"/>
      <c r="Y346" s="503"/>
      <c r="Z346" s="193"/>
      <c r="AA346" s="520">
        <f t="shared" si="150"/>
        <v>-3.6537092358212577E-3</v>
      </c>
      <c r="AB346" s="496"/>
      <c r="AC346" s="521">
        <f t="shared" si="151"/>
        <v>-1.3163159500460527E-5</v>
      </c>
      <c r="AD346" s="496"/>
      <c r="AE346" s="522">
        <f t="shared" si="152"/>
        <v>-3.6668723953217183E-3</v>
      </c>
      <c r="AG346" s="531">
        <f t="shared" si="153"/>
        <v>1.2028672381304548E-5</v>
      </c>
      <c r="AH346" s="221" t="str">
        <f t="shared" si="154"/>
        <v>NO</v>
      </c>
      <c r="AI346" s="532">
        <f t="shared" si="155"/>
        <v>4.33355045282651E-8</v>
      </c>
      <c r="AJ346" s="221" t="str">
        <f t="shared" si="134"/>
        <v>NO</v>
      </c>
      <c r="AK346" s="533">
        <f>IF('IN-OUT'!$F$35=0,AG346,IF('IN-OUT'!$F$26=0,'transversal subsidence profile'!AI346,'transversal subsidence profile'!AG346+'transversal subsidence profile'!AI346))</f>
        <v>1.2072007885832814E-5</v>
      </c>
      <c r="AL346" s="513">
        <f t="shared" si="135"/>
        <v>1000</v>
      </c>
    </row>
    <row r="347" spans="1:38">
      <c r="A347" s="542">
        <f t="shared" si="156"/>
        <v>34.25</v>
      </c>
      <c r="B347" s="363">
        <f t="shared" si="136"/>
        <v>6.7180976887221607E-8</v>
      </c>
      <c r="C347" s="543">
        <f t="shared" si="137"/>
        <v>1.5339656389248932E-7</v>
      </c>
      <c r="D347" s="542">
        <f t="shared" si="157"/>
        <v>34.25</v>
      </c>
      <c r="E347" s="363">
        <f t="shared" si="138"/>
        <v>6.7180976887221607E-8</v>
      </c>
      <c r="F347" s="543">
        <f t="shared" si="139"/>
        <v>1.5339656389248932E-7</v>
      </c>
      <c r="G347" s="548">
        <f t="shared" si="140"/>
        <v>24.25</v>
      </c>
      <c r="H347" s="363">
        <f t="shared" si="141"/>
        <v>4.123914525654635E-5</v>
      </c>
      <c r="I347" s="363">
        <f t="shared" si="142"/>
        <v>6.6669951498083267E-5</v>
      </c>
      <c r="J347" s="364">
        <f t="shared" si="143"/>
        <v>4.1306326233433572E-5</v>
      </c>
      <c r="K347" s="194">
        <f t="shared" si="144"/>
        <v>4.1239145256546346E-3</v>
      </c>
      <c r="L347" s="646">
        <f t="shared" si="145"/>
        <v>6.718097688722161E-6</v>
      </c>
      <c r="M347" s="365">
        <f t="shared" si="146"/>
        <v>4.1306326233433565E-3</v>
      </c>
      <c r="N347" s="194">
        <f t="shared" si="147"/>
        <v>6.6669951498083265E-3</v>
      </c>
      <c r="O347" s="422">
        <f t="shared" si="148"/>
        <v>1.5339656389248934E-5</v>
      </c>
      <c r="P347" s="365">
        <f t="shared" si="149"/>
        <v>6.6823348061975756E-3</v>
      </c>
      <c r="S347" s="193"/>
      <c r="T347" s="193"/>
      <c r="U347" s="193"/>
      <c r="V347" s="193"/>
      <c r="W347" s="193"/>
      <c r="X347" s="193"/>
      <c r="Y347" s="503"/>
      <c r="Z347" s="193"/>
      <c r="AA347" s="520">
        <f t="shared" si="150"/>
        <v>-3.2734867931122295E-3</v>
      </c>
      <c r="AB347" s="496"/>
      <c r="AC347" s="521">
        <f t="shared" si="151"/>
        <v>-1.1083171678513743E-5</v>
      </c>
      <c r="AD347" s="496"/>
      <c r="AE347" s="522">
        <f t="shared" si="152"/>
        <v>-3.2845699647907432E-3</v>
      </c>
      <c r="AG347" s="531">
        <f t="shared" si="153"/>
        <v>1.0776911253044376E-5</v>
      </c>
      <c r="AH347" s="221" t="str">
        <f t="shared" si="154"/>
        <v>NO</v>
      </c>
      <c r="AI347" s="532">
        <f t="shared" si="155"/>
        <v>3.6487807995106969E-8</v>
      </c>
      <c r="AJ347" s="221" t="str">
        <f t="shared" si="134"/>
        <v>NO</v>
      </c>
      <c r="AK347" s="533">
        <f>IF('IN-OUT'!$F$35=0,AG347,IF('IN-OUT'!$F$26=0,'transversal subsidence profile'!AI347,'transversal subsidence profile'!AG347+'transversal subsidence profile'!AI347))</f>
        <v>1.0813399061039484E-5</v>
      </c>
      <c r="AL347" s="513">
        <f t="shared" si="135"/>
        <v>1000</v>
      </c>
    </row>
    <row r="348" spans="1:38">
      <c r="A348" s="542">
        <f t="shared" si="156"/>
        <v>34.5</v>
      </c>
      <c r="B348" s="363">
        <f t="shared" si="136"/>
        <v>5.5632946290929177E-8</v>
      </c>
      <c r="C348" s="543">
        <f t="shared" si="137"/>
        <v>1.2795577646913713E-7</v>
      </c>
      <c r="D348" s="542">
        <f t="shared" si="157"/>
        <v>34.5</v>
      </c>
      <c r="E348" s="363">
        <f t="shared" si="138"/>
        <v>5.5632946290929177E-8</v>
      </c>
      <c r="F348" s="543">
        <f t="shared" si="139"/>
        <v>1.2795577646913713E-7</v>
      </c>
      <c r="G348" s="548">
        <f t="shared" si="140"/>
        <v>24.5</v>
      </c>
      <c r="H348" s="363">
        <f t="shared" si="141"/>
        <v>3.607655025647109E-5</v>
      </c>
      <c r="I348" s="363">
        <f t="shared" si="142"/>
        <v>5.8925032085569447E-5</v>
      </c>
      <c r="J348" s="364">
        <f t="shared" si="143"/>
        <v>3.6132183202762021E-5</v>
      </c>
      <c r="K348" s="194">
        <f t="shared" si="144"/>
        <v>3.607655025647109E-3</v>
      </c>
      <c r="L348" s="646">
        <f t="shared" si="145"/>
        <v>5.5632946290929175E-6</v>
      </c>
      <c r="M348" s="365">
        <f t="shared" si="146"/>
        <v>3.6132183202762019E-3</v>
      </c>
      <c r="N348" s="194">
        <f t="shared" si="147"/>
        <v>5.8925032085569446E-3</v>
      </c>
      <c r="O348" s="422">
        <f t="shared" si="148"/>
        <v>1.2795577646913713E-5</v>
      </c>
      <c r="P348" s="365">
        <f t="shared" si="149"/>
        <v>5.9052987862038579E-3</v>
      </c>
      <c r="S348" s="193"/>
      <c r="T348" s="193"/>
      <c r="U348" s="193"/>
      <c r="V348" s="193"/>
      <c r="W348" s="193"/>
      <c r="X348" s="193"/>
      <c r="Y348" s="503"/>
      <c r="Z348" s="193"/>
      <c r="AA348" s="520">
        <f t="shared" si="150"/>
        <v>-2.928023626211074E-3</v>
      </c>
      <c r="AB348" s="496"/>
      <c r="AC348" s="521">
        <f t="shared" si="151"/>
        <v>-9.3179461483161215E-6</v>
      </c>
      <c r="AD348" s="496"/>
      <c r="AE348" s="522">
        <f t="shared" si="152"/>
        <v>-2.9373415723593899E-3</v>
      </c>
      <c r="AG348" s="531">
        <f t="shared" si="153"/>
        <v>9.639583954604358E-6</v>
      </c>
      <c r="AH348" s="221" t="str">
        <f t="shared" si="154"/>
        <v>NO</v>
      </c>
      <c r="AI348" s="532">
        <f t="shared" si="155"/>
        <v>3.0676365920382285E-8</v>
      </c>
      <c r="AJ348" s="221" t="str">
        <f t="shared" si="134"/>
        <v>NO</v>
      </c>
      <c r="AK348" s="533">
        <f>IF('IN-OUT'!$F$35=0,AG348,IF('IN-OUT'!$F$26=0,'transversal subsidence profile'!AI348,'transversal subsidence profile'!AG348+'transversal subsidence profile'!AI348))</f>
        <v>9.6702603205247399E-6</v>
      </c>
      <c r="AL348" s="513">
        <f t="shared" si="135"/>
        <v>1000</v>
      </c>
    </row>
    <row r="349" spans="1:38">
      <c r="A349" s="542">
        <f t="shared" si="156"/>
        <v>34.75</v>
      </c>
      <c r="B349" s="363">
        <f t="shared" si="136"/>
        <v>4.6006804173843368E-8</v>
      </c>
      <c r="C349" s="543">
        <f t="shared" si="137"/>
        <v>1.065824296694038E-7</v>
      </c>
      <c r="D349" s="542">
        <f t="shared" si="157"/>
        <v>34.75</v>
      </c>
      <c r="E349" s="363">
        <f t="shared" si="138"/>
        <v>4.6006804173843368E-8</v>
      </c>
      <c r="F349" s="543">
        <f t="shared" si="139"/>
        <v>1.065824296694038E-7</v>
      </c>
      <c r="G349" s="548">
        <f t="shared" si="140"/>
        <v>24.75</v>
      </c>
      <c r="H349" s="363">
        <f t="shared" si="141"/>
        <v>3.151698096419107E-5</v>
      </c>
      <c r="I349" s="363">
        <f t="shared" si="142"/>
        <v>5.2003018590915269E-5</v>
      </c>
      <c r="J349" s="364">
        <f t="shared" si="143"/>
        <v>3.1562987768364912E-5</v>
      </c>
      <c r="K349" s="194">
        <f t="shared" si="144"/>
        <v>3.1516980964191072E-3</v>
      </c>
      <c r="L349" s="646">
        <f t="shared" si="145"/>
        <v>4.6006804173843364E-6</v>
      </c>
      <c r="M349" s="365">
        <f t="shared" si="146"/>
        <v>3.1562987768364915E-3</v>
      </c>
      <c r="N349" s="194">
        <f t="shared" si="147"/>
        <v>5.2003018590915271E-3</v>
      </c>
      <c r="O349" s="422">
        <f t="shared" si="148"/>
        <v>1.065824296694038E-5</v>
      </c>
      <c r="P349" s="365">
        <f t="shared" si="149"/>
        <v>5.2109601020584673E-3</v>
      </c>
      <c r="S349" s="193"/>
      <c r="T349" s="193"/>
      <c r="U349" s="193"/>
      <c r="V349" s="193"/>
      <c r="W349" s="193"/>
      <c r="X349" s="193"/>
      <c r="Y349" s="503"/>
      <c r="Z349" s="193"/>
      <c r="AA349" s="520">
        <f t="shared" si="150"/>
        <v>-2.6147421244365923E-3</v>
      </c>
      <c r="AB349" s="496"/>
      <c r="AC349" s="521">
        <f t="shared" si="151"/>
        <v>-7.8222085340658061E-6</v>
      </c>
      <c r="AD349" s="496"/>
      <c r="AE349" s="522">
        <f t="shared" si="152"/>
        <v>-2.622564332970658E-3</v>
      </c>
      <c r="AG349" s="531">
        <f t="shared" si="153"/>
        <v>8.6082045248941313E-6</v>
      </c>
      <c r="AH349" s="221" t="str">
        <f t="shared" si="154"/>
        <v>NO</v>
      </c>
      <c r="AI349" s="532">
        <f t="shared" si="155"/>
        <v>2.5752126861121995E-8</v>
      </c>
      <c r="AJ349" s="221" t="str">
        <f t="shared" si="134"/>
        <v>NO</v>
      </c>
      <c r="AK349" s="533">
        <f>IF('IN-OUT'!$F$35=0,AG349,IF('IN-OUT'!$F$26=0,'transversal subsidence profile'!AI349,'transversal subsidence profile'!AG349+'transversal subsidence profile'!AI349))</f>
        <v>8.6339566517552529E-6</v>
      </c>
      <c r="AL349" s="513">
        <f t="shared" si="135"/>
        <v>1000</v>
      </c>
    </row>
    <row r="350" spans="1:38">
      <c r="A350" s="542">
        <f t="shared" si="156"/>
        <v>35</v>
      </c>
      <c r="B350" s="363">
        <f t="shared" si="136"/>
        <v>3.799411493806283E-8</v>
      </c>
      <c r="C350" s="543">
        <f t="shared" si="137"/>
        <v>8.8652934855479936E-8</v>
      </c>
      <c r="D350" s="542">
        <f t="shared" si="157"/>
        <v>35</v>
      </c>
      <c r="E350" s="363">
        <f t="shared" si="138"/>
        <v>3.799411493806283E-8</v>
      </c>
      <c r="F350" s="543">
        <f t="shared" si="139"/>
        <v>8.8652934855479936E-8</v>
      </c>
      <c r="G350" s="548">
        <f t="shared" si="140"/>
        <v>25</v>
      </c>
      <c r="H350" s="363">
        <f t="shared" si="141"/>
        <v>2.7495933984103291E-5</v>
      </c>
      <c r="I350" s="363">
        <f t="shared" si="142"/>
        <v>4.5826556640172145E-5</v>
      </c>
      <c r="J350" s="364">
        <f t="shared" si="143"/>
        <v>2.7533928099041354E-5</v>
      </c>
      <c r="K350" s="194">
        <f t="shared" si="144"/>
        <v>2.7495933984103289E-3</v>
      </c>
      <c r="L350" s="646">
        <f t="shared" si="145"/>
        <v>3.7994114938062831E-6</v>
      </c>
      <c r="M350" s="365">
        <f t="shared" si="146"/>
        <v>2.753392809904135E-3</v>
      </c>
      <c r="N350" s="194">
        <f t="shared" si="147"/>
        <v>4.5826556640172142E-3</v>
      </c>
      <c r="O350" s="422">
        <f t="shared" si="148"/>
        <v>8.8652934855479935E-6</v>
      </c>
      <c r="P350" s="365">
        <f t="shared" si="149"/>
        <v>4.591520957502762E-3</v>
      </c>
      <c r="S350" s="193"/>
      <c r="T350" s="193"/>
      <c r="U350" s="193"/>
      <c r="V350" s="193"/>
      <c r="W350" s="193"/>
      <c r="X350" s="193"/>
      <c r="Y350" s="503"/>
      <c r="Z350" s="193"/>
      <c r="AA350" s="520">
        <f t="shared" si="150"/>
        <v>-2.3311824779755062E-3</v>
      </c>
      <c r="AB350" s="496"/>
      <c r="AC350" s="521">
        <f t="shared" si="151"/>
        <v>-6.5568078920547199E-6</v>
      </c>
      <c r="AD350" s="496"/>
      <c r="AE350" s="522">
        <f t="shared" si="152"/>
        <v>-2.3377392858675611E-3</v>
      </c>
      <c r="AG350" s="531">
        <f t="shared" si="153"/>
        <v>7.6746748246107181E-6</v>
      </c>
      <c r="AH350" s="221" t="str">
        <f t="shared" si="154"/>
        <v>NO</v>
      </c>
      <c r="AI350" s="532">
        <f t="shared" si="155"/>
        <v>2.1586198821579325E-8</v>
      </c>
      <c r="AJ350" s="221" t="str">
        <f t="shared" si="134"/>
        <v>NO</v>
      </c>
      <c r="AK350" s="533">
        <f>IF('IN-OUT'!$F$35=0,AG350,IF('IN-OUT'!$F$26=0,'transversal subsidence profile'!AI350,'transversal subsidence profile'!AG350+'transversal subsidence profile'!AI350))</f>
        <v>7.6962610234322969E-6</v>
      </c>
      <c r="AL350" s="513">
        <f t="shared" si="135"/>
        <v>1000</v>
      </c>
    </row>
    <row r="351" spans="1:38">
      <c r="A351" s="542">
        <f t="shared" si="156"/>
        <v>35.25</v>
      </c>
      <c r="B351" s="363">
        <f t="shared" si="136"/>
        <v>3.1333929213649484E-8</v>
      </c>
      <c r="C351" s="543">
        <f t="shared" si="137"/>
        <v>7.3634733652076292E-8</v>
      </c>
      <c r="D351" s="542">
        <f t="shared" si="157"/>
        <v>35.25</v>
      </c>
      <c r="E351" s="363">
        <f t="shared" si="138"/>
        <v>3.1333929213649484E-8</v>
      </c>
      <c r="F351" s="543">
        <f t="shared" si="139"/>
        <v>7.3634733652076292E-8</v>
      </c>
      <c r="G351" s="548">
        <f t="shared" si="140"/>
        <v>25.25</v>
      </c>
      <c r="H351" s="363">
        <f t="shared" si="141"/>
        <v>2.3955023619108636E-5</v>
      </c>
      <c r="I351" s="363">
        <f t="shared" si="142"/>
        <v>4.032428975883287E-5</v>
      </c>
      <c r="J351" s="364">
        <f t="shared" si="143"/>
        <v>2.3986357548322286E-5</v>
      </c>
      <c r="K351" s="194">
        <f t="shared" si="144"/>
        <v>2.3955023619108636E-3</v>
      </c>
      <c r="L351" s="646">
        <f t="shared" si="145"/>
        <v>3.1333929213649484E-6</v>
      </c>
      <c r="M351" s="365">
        <f t="shared" si="146"/>
        <v>2.3986357548322285E-3</v>
      </c>
      <c r="N351" s="194">
        <f t="shared" si="147"/>
        <v>4.0324289758832867E-3</v>
      </c>
      <c r="O351" s="422">
        <f t="shared" si="148"/>
        <v>7.3634733652076295E-6</v>
      </c>
      <c r="P351" s="365">
        <f t="shared" si="149"/>
        <v>4.0397924492484947E-3</v>
      </c>
      <c r="S351" s="193"/>
      <c r="T351" s="193"/>
      <c r="U351" s="193"/>
      <c r="V351" s="193"/>
      <c r="W351" s="193"/>
      <c r="X351" s="193"/>
      <c r="Y351" s="503"/>
      <c r="Z351" s="193"/>
      <c r="AA351" s="520">
        <f t="shared" si="150"/>
        <v>-2.0750067098326201E-3</v>
      </c>
      <c r="AB351" s="496"/>
      <c r="AC351" s="521">
        <f t="shared" si="151"/>
        <v>-5.4879507297651114E-6</v>
      </c>
      <c r="AD351" s="496"/>
      <c r="AE351" s="522">
        <f t="shared" si="152"/>
        <v>-2.0804946605623852E-3</v>
      </c>
      <c r="AG351" s="531">
        <f t="shared" si="153"/>
        <v>6.8312978101485429E-6</v>
      </c>
      <c r="AH351" s="221" t="str">
        <f t="shared" si="154"/>
        <v>NO</v>
      </c>
      <c r="AI351" s="532">
        <f t="shared" si="155"/>
        <v>1.8067327505399543E-8</v>
      </c>
      <c r="AJ351" s="221" t="str">
        <f t="shared" si="134"/>
        <v>NO</v>
      </c>
      <c r="AK351" s="533">
        <f>IF('IN-OUT'!$F$35=0,AG351,IF('IN-OUT'!$F$26=0,'transversal subsidence profile'!AI351,'transversal subsidence profile'!AG351+'transversal subsidence profile'!AI351))</f>
        <v>6.8493651376539425E-6</v>
      </c>
      <c r="AL351" s="513">
        <f t="shared" si="135"/>
        <v>1000</v>
      </c>
    </row>
    <row r="352" spans="1:38">
      <c r="A352" s="542">
        <f t="shared" si="156"/>
        <v>35.5</v>
      </c>
      <c r="B352" s="363">
        <f t="shared" si="136"/>
        <v>2.5805818814954858E-8</v>
      </c>
      <c r="C352" s="543">
        <f t="shared" si="137"/>
        <v>6.1073771195393161E-8</v>
      </c>
      <c r="D352" s="542">
        <f t="shared" si="157"/>
        <v>35.5</v>
      </c>
      <c r="E352" s="363">
        <f t="shared" si="138"/>
        <v>2.5805818814954858E-8</v>
      </c>
      <c r="F352" s="543">
        <f t="shared" si="139"/>
        <v>6.1073771195393161E-8</v>
      </c>
      <c r="G352" s="548">
        <f t="shared" si="140"/>
        <v>25.5</v>
      </c>
      <c r="H352" s="363">
        <f t="shared" si="141"/>
        <v>2.0841500846863253E-5</v>
      </c>
      <c r="I352" s="363">
        <f t="shared" si="142"/>
        <v>3.5430551439667534E-5</v>
      </c>
      <c r="J352" s="364">
        <f t="shared" si="143"/>
        <v>2.0867306665678208E-5</v>
      </c>
      <c r="K352" s="194">
        <f t="shared" si="144"/>
        <v>2.0841500846863251E-3</v>
      </c>
      <c r="L352" s="646">
        <f t="shared" si="145"/>
        <v>2.5805818814954856E-6</v>
      </c>
      <c r="M352" s="365">
        <f t="shared" si="146"/>
        <v>2.0867306665678207E-3</v>
      </c>
      <c r="N352" s="194">
        <f t="shared" si="147"/>
        <v>3.5430551439667533E-3</v>
      </c>
      <c r="O352" s="422">
        <f t="shared" si="148"/>
        <v>6.1073771195393159E-6</v>
      </c>
      <c r="P352" s="365">
        <f t="shared" si="149"/>
        <v>3.5491625210862924E-3</v>
      </c>
      <c r="S352" s="193"/>
      <c r="T352" s="193"/>
      <c r="U352" s="193"/>
      <c r="V352" s="193"/>
      <c r="W352" s="193"/>
      <c r="X352" s="193"/>
      <c r="Y352" s="503"/>
      <c r="Z352" s="193"/>
      <c r="AA352" s="520">
        <f t="shared" si="150"/>
        <v>-1.8440011037348146E-3</v>
      </c>
      <c r="AB352" s="496"/>
      <c r="AC352" s="521">
        <f t="shared" si="151"/>
        <v>-4.5865211583781222E-6</v>
      </c>
      <c r="AD352" s="496"/>
      <c r="AE352" s="522">
        <f t="shared" si="152"/>
        <v>-1.8485876248931928E-3</v>
      </c>
      <c r="AG352" s="531">
        <f t="shared" si="153"/>
        <v>6.0707855266989773E-6</v>
      </c>
      <c r="AH352" s="221" t="str">
        <f t="shared" si="154"/>
        <v>NO</v>
      </c>
      <c r="AI352" s="532">
        <f t="shared" si="155"/>
        <v>1.5099658134578179E-8</v>
      </c>
      <c r="AJ352" s="221" t="str">
        <f t="shared" si="134"/>
        <v>NO</v>
      </c>
      <c r="AK352" s="533">
        <f>IF('IN-OUT'!$F$35=0,AG352,IF('IN-OUT'!$F$26=0,'transversal subsidence profile'!AI352,'transversal subsidence profile'!AG352+'transversal subsidence profile'!AI352))</f>
        <v>6.085885184833555E-6</v>
      </c>
      <c r="AL352" s="513">
        <f t="shared" si="135"/>
        <v>1000</v>
      </c>
    </row>
    <row r="353" spans="1:38">
      <c r="A353" s="542">
        <f t="shared" si="156"/>
        <v>35.75</v>
      </c>
      <c r="B353" s="363">
        <f t="shared" si="136"/>
        <v>2.1223875502448237E-8</v>
      </c>
      <c r="C353" s="543">
        <f t="shared" si="137"/>
        <v>5.0583569947501633E-8</v>
      </c>
      <c r="D353" s="542">
        <f t="shared" si="157"/>
        <v>35.75</v>
      </c>
      <c r="E353" s="363">
        <f t="shared" si="138"/>
        <v>2.1223875502448237E-8</v>
      </c>
      <c r="F353" s="543">
        <f t="shared" si="139"/>
        <v>5.0583569947501633E-8</v>
      </c>
      <c r="G353" s="548">
        <f t="shared" si="140"/>
        <v>25.75</v>
      </c>
      <c r="H353" s="363">
        <f t="shared" si="141"/>
        <v>1.8107797839661258E-5</v>
      </c>
      <c r="I353" s="363">
        <f t="shared" si="142"/>
        <v>3.108505295808516E-5</v>
      </c>
      <c r="J353" s="364">
        <f t="shared" si="143"/>
        <v>1.8129021715163707E-5</v>
      </c>
      <c r="K353" s="194">
        <f t="shared" si="144"/>
        <v>1.8107797839661257E-3</v>
      </c>
      <c r="L353" s="646">
        <f t="shared" si="145"/>
        <v>2.1223875502448236E-6</v>
      </c>
      <c r="M353" s="365">
        <f t="shared" si="146"/>
        <v>1.8129021715163705E-3</v>
      </c>
      <c r="N353" s="194">
        <f t="shared" si="147"/>
        <v>3.1085052958085158E-3</v>
      </c>
      <c r="O353" s="422">
        <f t="shared" si="148"/>
        <v>5.0583569947501631E-6</v>
      </c>
      <c r="P353" s="365">
        <f t="shared" si="149"/>
        <v>3.1135636528032661E-3</v>
      </c>
      <c r="S353" s="193"/>
      <c r="T353" s="193"/>
      <c r="U353" s="193"/>
      <c r="V353" s="193"/>
      <c r="W353" s="193"/>
      <c r="X353" s="193"/>
      <c r="Y353" s="503"/>
      <c r="Z353" s="193"/>
      <c r="AA353" s="520">
        <f t="shared" si="150"/>
        <v>-1.6360772076438341E-3</v>
      </c>
      <c r="AB353" s="496"/>
      <c r="AC353" s="521">
        <f t="shared" si="151"/>
        <v>-3.8274789657821604E-6</v>
      </c>
      <c r="AD353" s="496"/>
      <c r="AE353" s="522">
        <f t="shared" si="152"/>
        <v>-1.6399046866096164E-3</v>
      </c>
      <c r="AG353" s="531">
        <f t="shared" si="153"/>
        <v>5.3862624119961604E-6</v>
      </c>
      <c r="AH353" s="221" t="str">
        <f t="shared" si="154"/>
        <v>NO</v>
      </c>
      <c r="AI353" s="532">
        <f t="shared" si="155"/>
        <v>1.2600753796813694E-8</v>
      </c>
      <c r="AJ353" s="221" t="str">
        <f t="shared" si="134"/>
        <v>NO</v>
      </c>
      <c r="AK353" s="533">
        <f>IF('IN-OUT'!$F$35=0,AG353,IF('IN-OUT'!$F$26=0,'transversal subsidence profile'!AI353,'transversal subsidence profile'!AG353+'transversal subsidence profile'!AI353))</f>
        <v>5.3988631657929738E-6</v>
      </c>
      <c r="AL353" s="513">
        <f t="shared" si="135"/>
        <v>1000</v>
      </c>
    </row>
    <row r="354" spans="1:38">
      <c r="A354" s="542">
        <f t="shared" si="156"/>
        <v>36</v>
      </c>
      <c r="B354" s="363">
        <f t="shared" si="136"/>
        <v>1.7431549565540899E-8</v>
      </c>
      <c r="C354" s="543">
        <f t="shared" si="137"/>
        <v>4.1835718957298162E-8</v>
      </c>
      <c r="D354" s="542">
        <f t="shared" si="157"/>
        <v>36</v>
      </c>
      <c r="E354" s="363">
        <f t="shared" si="138"/>
        <v>1.7431549565540899E-8</v>
      </c>
      <c r="F354" s="543">
        <f t="shared" si="139"/>
        <v>4.1835718957298162E-8</v>
      </c>
      <c r="G354" s="548">
        <f t="shared" si="140"/>
        <v>26</v>
      </c>
      <c r="H354" s="363">
        <f t="shared" si="141"/>
        <v>1.5711098237402173E-5</v>
      </c>
      <c r="I354" s="363">
        <f t="shared" si="142"/>
        <v>2.7232570278163765E-5</v>
      </c>
      <c r="J354" s="364">
        <f t="shared" si="143"/>
        <v>1.5728529786967713E-5</v>
      </c>
      <c r="K354" s="194">
        <f t="shared" si="144"/>
        <v>1.5711098237402173E-3</v>
      </c>
      <c r="L354" s="646">
        <f t="shared" si="145"/>
        <v>1.74315495655409E-6</v>
      </c>
      <c r="M354" s="365">
        <f t="shared" si="146"/>
        <v>1.5728529786967714E-3</v>
      </c>
      <c r="N354" s="194">
        <f t="shared" si="147"/>
        <v>2.7232570278163766E-3</v>
      </c>
      <c r="O354" s="422">
        <f t="shared" si="148"/>
        <v>4.1835718957298166E-6</v>
      </c>
      <c r="P354" s="365">
        <f t="shared" si="149"/>
        <v>2.7274405997121062E-3</v>
      </c>
      <c r="S354" s="193"/>
      <c r="T354" s="193"/>
      <c r="U354" s="193"/>
      <c r="V354" s="193"/>
      <c r="W354" s="193"/>
      <c r="X354" s="193"/>
      <c r="Y354" s="503"/>
      <c r="Z354" s="193"/>
      <c r="AA354" s="520">
        <f t="shared" si="150"/>
        <v>-1.4492715859229601E-3</v>
      </c>
      <c r="AB354" s="496"/>
      <c r="AC354" s="521">
        <f t="shared" si="151"/>
        <v>-3.1893279575471119E-6</v>
      </c>
      <c r="AD354" s="496"/>
      <c r="AE354" s="522">
        <f t="shared" si="152"/>
        <v>-1.4524609138805073E-3</v>
      </c>
      <c r="AG354" s="531">
        <f t="shared" si="153"/>
        <v>4.7712644804048075E-6</v>
      </c>
      <c r="AH354" s="221" t="str">
        <f t="shared" si="154"/>
        <v>NO</v>
      </c>
      <c r="AI354" s="532">
        <f t="shared" si="155"/>
        <v>1.0499845127727117E-8</v>
      </c>
      <c r="AJ354" s="221" t="str">
        <f t="shared" si="134"/>
        <v>NO</v>
      </c>
      <c r="AK354" s="533">
        <f>IF('IN-OUT'!$F$35=0,AG354,IF('IN-OUT'!$F$26=0,'transversal subsidence profile'!AI354,'transversal subsidence profile'!AG354+'transversal subsidence profile'!AI354))</f>
        <v>4.7817643255325345E-6</v>
      </c>
      <c r="AL354" s="513">
        <f t="shared" si="135"/>
        <v>1000</v>
      </c>
    </row>
    <row r="355" spans="1:38">
      <c r="A355" s="542">
        <f t="shared" si="156"/>
        <v>36.25</v>
      </c>
      <c r="B355" s="363">
        <f t="shared" si="136"/>
        <v>1.4297218709898016E-8</v>
      </c>
      <c r="C355" s="543">
        <f t="shared" si="137"/>
        <v>3.4551611882253539E-8</v>
      </c>
      <c r="D355" s="542">
        <f t="shared" si="157"/>
        <v>36.25</v>
      </c>
      <c r="E355" s="363">
        <f t="shared" si="138"/>
        <v>1.4297218709898016E-8</v>
      </c>
      <c r="F355" s="543">
        <f t="shared" si="139"/>
        <v>3.4551611882253539E-8</v>
      </c>
      <c r="G355" s="548">
        <f t="shared" si="140"/>
        <v>26.25</v>
      </c>
      <c r="H355" s="363">
        <f t="shared" si="141"/>
        <v>1.3612933125479041E-5</v>
      </c>
      <c r="I355" s="363">
        <f t="shared" si="142"/>
        <v>2.3822632969588324E-5</v>
      </c>
      <c r="J355" s="364">
        <f t="shared" si="143"/>
        <v>1.3627230344188939E-5</v>
      </c>
      <c r="K355" s="194">
        <f t="shared" si="144"/>
        <v>1.361293312547904E-3</v>
      </c>
      <c r="L355" s="646">
        <f t="shared" si="145"/>
        <v>1.4297218709898016E-6</v>
      </c>
      <c r="M355" s="365">
        <f t="shared" si="146"/>
        <v>1.3627230344188939E-3</v>
      </c>
      <c r="N355" s="194">
        <f t="shared" si="147"/>
        <v>2.3822632969588324E-3</v>
      </c>
      <c r="O355" s="422">
        <f t="shared" si="148"/>
        <v>3.4551611882253537E-6</v>
      </c>
      <c r="P355" s="365">
        <f t="shared" si="149"/>
        <v>2.3857184581470578E-3</v>
      </c>
      <c r="S355" s="193"/>
      <c r="T355" s="193"/>
      <c r="U355" s="193"/>
      <c r="V355" s="193"/>
      <c r="W355" s="193"/>
      <c r="X355" s="193"/>
      <c r="Y355" s="503"/>
      <c r="Z355" s="193"/>
      <c r="AA355" s="520">
        <f t="shared" si="150"/>
        <v>-1.28174448523029E-3</v>
      </c>
      <c r="AB355" s="496"/>
      <c r="AC355" s="521">
        <f t="shared" si="151"/>
        <v>-2.6536474708375868E-6</v>
      </c>
      <c r="AD355" s="496"/>
      <c r="AE355" s="522">
        <f t="shared" si="152"/>
        <v>-1.2843981327011276E-3</v>
      </c>
      <c r="AG355" s="531">
        <f t="shared" si="153"/>
        <v>4.2197349307993085E-6</v>
      </c>
      <c r="AH355" s="221" t="str">
        <f t="shared" si="154"/>
        <v>NO</v>
      </c>
      <c r="AI355" s="532">
        <f t="shared" si="155"/>
        <v>8.7362879698356765E-9</v>
      </c>
      <c r="AJ355" s="221" t="str">
        <f t="shared" si="134"/>
        <v>NO</v>
      </c>
      <c r="AK355" s="533">
        <f>IF('IN-OUT'!$F$35=0,AG355,IF('IN-OUT'!$F$26=0,'transversal subsidence profile'!AI355,'transversal subsidence profile'!AG355+'transversal subsidence profile'!AI355))</f>
        <v>4.2284712187691439E-6</v>
      </c>
      <c r="AL355" s="513">
        <f t="shared" si="135"/>
        <v>1000</v>
      </c>
    </row>
    <row r="356" spans="1:38">
      <c r="A356" s="542">
        <f t="shared" si="156"/>
        <v>36.5</v>
      </c>
      <c r="B356" s="363">
        <f t="shared" si="136"/>
        <v>1.1710390740668723E-8</v>
      </c>
      <c r="C356" s="543">
        <f t="shared" si="137"/>
        <v>2.8495284135627222E-8</v>
      </c>
      <c r="D356" s="542">
        <f t="shared" si="157"/>
        <v>36.5</v>
      </c>
      <c r="E356" s="363">
        <f t="shared" si="138"/>
        <v>1.1710390740668723E-8</v>
      </c>
      <c r="F356" s="543">
        <f t="shared" si="139"/>
        <v>2.8495284135627222E-8</v>
      </c>
      <c r="G356" s="548">
        <f t="shared" si="140"/>
        <v>26.5</v>
      </c>
      <c r="H356" s="363">
        <f t="shared" si="141"/>
        <v>1.1778802445756498E-5</v>
      </c>
      <c r="I356" s="363">
        <f t="shared" si="142"/>
        <v>2.0809217654169814E-5</v>
      </c>
      <c r="J356" s="364">
        <f t="shared" si="143"/>
        <v>1.1790512836497166E-5</v>
      </c>
      <c r="K356" s="194">
        <f t="shared" si="144"/>
        <v>1.1778802445756497E-3</v>
      </c>
      <c r="L356" s="646">
        <f t="shared" si="145"/>
        <v>1.1710390740668724E-6</v>
      </c>
      <c r="M356" s="365">
        <f t="shared" si="146"/>
        <v>1.1790512836497165E-3</v>
      </c>
      <c r="N356" s="194">
        <f t="shared" si="147"/>
        <v>2.0809217654169814E-3</v>
      </c>
      <c r="O356" s="422">
        <f t="shared" si="148"/>
        <v>2.8495284135627221E-6</v>
      </c>
      <c r="P356" s="365">
        <f t="shared" si="149"/>
        <v>2.083771293830544E-3</v>
      </c>
      <c r="S356" s="193"/>
      <c r="T356" s="193"/>
      <c r="U356" s="193"/>
      <c r="V356" s="193"/>
      <c r="W356" s="193"/>
      <c r="X356" s="193"/>
      <c r="Y356" s="503"/>
      <c r="Z356" s="193"/>
      <c r="AA356" s="520">
        <f t="shared" si="150"/>
        <v>-1.1317775701651903E-3</v>
      </c>
      <c r="AB356" s="496"/>
      <c r="AC356" s="521">
        <f t="shared" si="151"/>
        <v>-2.2046805137462002E-6</v>
      </c>
      <c r="AD356" s="496"/>
      <c r="AE356" s="522">
        <f t="shared" si="152"/>
        <v>-1.1339822506789366E-3</v>
      </c>
      <c r="AG356" s="531">
        <f t="shared" si="153"/>
        <v>3.7260166919018598E-6</v>
      </c>
      <c r="AH356" s="221" t="str">
        <f t="shared" si="154"/>
        <v>NO</v>
      </c>
      <c r="AI356" s="532">
        <f t="shared" si="155"/>
        <v>7.258207452662387E-9</v>
      </c>
      <c r="AJ356" s="221" t="str">
        <f t="shared" si="134"/>
        <v>NO</v>
      </c>
      <c r="AK356" s="533">
        <f>IF('IN-OUT'!$F$35=0,AG356,IF('IN-OUT'!$F$26=0,'transversal subsidence profile'!AI356,'transversal subsidence profile'!AG356+'transversal subsidence profile'!AI356))</f>
        <v>3.7332748993545223E-6</v>
      </c>
      <c r="AL356" s="513">
        <f t="shared" si="135"/>
        <v>1000</v>
      </c>
    </row>
    <row r="357" spans="1:38">
      <c r="A357" s="542">
        <f t="shared" si="156"/>
        <v>36.75</v>
      </c>
      <c r="B357" s="363">
        <f t="shared" si="136"/>
        <v>9.5784551935078375E-9</v>
      </c>
      <c r="C357" s="543">
        <f t="shared" si="137"/>
        <v>2.3467215224094203E-8</v>
      </c>
      <c r="D357" s="542">
        <f t="shared" si="157"/>
        <v>36.75</v>
      </c>
      <c r="E357" s="363">
        <f t="shared" si="138"/>
        <v>9.5784551935078375E-9</v>
      </c>
      <c r="F357" s="543">
        <f t="shared" si="139"/>
        <v>2.3467215224094203E-8</v>
      </c>
      <c r="G357" s="548">
        <f t="shared" si="140"/>
        <v>26.75</v>
      </c>
      <c r="H357" s="363">
        <f t="shared" si="141"/>
        <v>1.0177821377228691E-5</v>
      </c>
      <c r="I357" s="363">
        <f t="shared" si="142"/>
        <v>1.8150448122724499E-5</v>
      </c>
      <c r="J357" s="364">
        <f t="shared" si="143"/>
        <v>1.0187399832422199E-5</v>
      </c>
      <c r="K357" s="194">
        <f t="shared" si="144"/>
        <v>1.0177821377228692E-3</v>
      </c>
      <c r="L357" s="646">
        <f t="shared" si="145"/>
        <v>9.5784551935078368E-7</v>
      </c>
      <c r="M357" s="365">
        <f t="shared" si="146"/>
        <v>1.0187399832422199E-3</v>
      </c>
      <c r="N357" s="194">
        <f t="shared" si="147"/>
        <v>1.8150448122724499E-3</v>
      </c>
      <c r="O357" s="422">
        <f t="shared" si="148"/>
        <v>2.3467215224094204E-6</v>
      </c>
      <c r="P357" s="365">
        <f t="shared" si="149"/>
        <v>1.8173915337948592E-3</v>
      </c>
      <c r="S357" s="193"/>
      <c r="T357" s="193"/>
      <c r="U357" s="193"/>
      <c r="V357" s="193"/>
      <c r="W357" s="193"/>
      <c r="X357" s="193"/>
      <c r="Y357" s="503"/>
      <c r="Z357" s="193"/>
      <c r="AA357" s="520">
        <f t="shared" si="150"/>
        <v>-9.9777087484125807E-4</v>
      </c>
      <c r="AB357" s="496"/>
      <c r="AC357" s="521">
        <f t="shared" si="151"/>
        <v>-1.8289725143158999E-6</v>
      </c>
      <c r="AD357" s="496"/>
      <c r="AE357" s="522">
        <f t="shared" si="152"/>
        <v>-9.9959984735557405E-4</v>
      </c>
      <c r="AG357" s="531">
        <f t="shared" si="153"/>
        <v>3.2848423863086682E-6</v>
      </c>
      <c r="AH357" s="221" t="str">
        <f t="shared" si="154"/>
        <v>NO</v>
      </c>
      <c r="AI357" s="532">
        <f t="shared" si="155"/>
        <v>6.0213086891058433E-9</v>
      </c>
      <c r="AJ357" s="221" t="str">
        <f t="shared" si="134"/>
        <v>NO</v>
      </c>
      <c r="AK357" s="533">
        <f>IF('IN-OUT'!$F$35=0,AG357,IF('IN-OUT'!$F$26=0,'transversal subsidence profile'!AI357,'transversal subsidence profile'!AG357+'transversal subsidence profile'!AI357))</f>
        <v>3.2908636949977742E-6</v>
      </c>
      <c r="AL357" s="513">
        <f t="shared" si="135"/>
        <v>1000</v>
      </c>
    </row>
    <row r="358" spans="1:38">
      <c r="A358" s="542">
        <f t="shared" si="156"/>
        <v>37</v>
      </c>
      <c r="B358" s="363">
        <f t="shared" si="136"/>
        <v>7.8239094875549225E-9</v>
      </c>
      <c r="C358" s="543">
        <f t="shared" si="137"/>
        <v>1.9298976735968808E-8</v>
      </c>
      <c r="D358" s="542">
        <f t="shared" si="157"/>
        <v>37</v>
      </c>
      <c r="E358" s="363">
        <f t="shared" si="138"/>
        <v>7.8239094875549225E-9</v>
      </c>
      <c r="F358" s="543">
        <f t="shared" si="139"/>
        <v>1.9298976735968808E-8</v>
      </c>
      <c r="G358" s="548">
        <f t="shared" si="140"/>
        <v>27</v>
      </c>
      <c r="H358" s="363">
        <f t="shared" si="141"/>
        <v>8.7823910614371457E-6</v>
      </c>
      <c r="I358" s="363">
        <f t="shared" si="142"/>
        <v>1.5808303910586863E-5</v>
      </c>
      <c r="J358" s="364">
        <f t="shared" si="143"/>
        <v>8.7902149709247E-6</v>
      </c>
      <c r="K358" s="194">
        <f t="shared" si="144"/>
        <v>8.7823910614371454E-4</v>
      </c>
      <c r="L358" s="646">
        <f t="shared" si="145"/>
        <v>7.823909487554923E-7</v>
      </c>
      <c r="M358" s="365">
        <f t="shared" si="146"/>
        <v>8.7902149709247006E-4</v>
      </c>
      <c r="N358" s="194">
        <f t="shared" si="147"/>
        <v>1.5808303910586864E-3</v>
      </c>
      <c r="O358" s="422">
        <f t="shared" si="148"/>
        <v>1.9298976735968807E-6</v>
      </c>
      <c r="P358" s="365">
        <f t="shared" si="149"/>
        <v>1.5827602887322832E-3</v>
      </c>
      <c r="S358" s="193"/>
      <c r="T358" s="193"/>
      <c r="U358" s="193"/>
      <c r="V358" s="193"/>
      <c r="W358" s="193"/>
      <c r="X358" s="193"/>
      <c r="Y358" s="503"/>
      <c r="Z358" s="193"/>
      <c r="AA358" s="520">
        <f t="shared" si="150"/>
        <v>-8.7823910614371454E-4</v>
      </c>
      <c r="AB358" s="496"/>
      <c r="AC358" s="521">
        <f t="shared" si="151"/>
        <v>-1.5150551751163741E-6</v>
      </c>
      <c r="AD358" s="496"/>
      <c r="AE358" s="522">
        <f t="shared" si="152"/>
        <v>-8.7975416131883086E-4</v>
      </c>
      <c r="AG358" s="531">
        <f t="shared" si="153"/>
        <v>2.8913221601439161E-6</v>
      </c>
      <c r="AH358" s="221" t="str">
        <f t="shared" si="154"/>
        <v>NO</v>
      </c>
      <c r="AI358" s="532">
        <f t="shared" si="155"/>
        <v>4.9878359674613133E-9</v>
      </c>
      <c r="AJ358" s="221" t="str">
        <f t="shared" si="134"/>
        <v>NO</v>
      </c>
      <c r="AK358" s="533">
        <f>IF('IN-OUT'!$F$35=0,AG358,IF('IN-OUT'!$F$26=0,'transversal subsidence profile'!AI358,'transversal subsidence profile'!AG358+'transversal subsidence profile'!AI358))</f>
        <v>2.8963099961113772E-6</v>
      </c>
      <c r="AL358" s="513">
        <f t="shared" si="135"/>
        <v>1000</v>
      </c>
    </row>
    <row r="359" spans="1:38">
      <c r="A359" s="542">
        <f t="shared" si="156"/>
        <v>37.25</v>
      </c>
      <c r="B359" s="363">
        <f t="shared" si="136"/>
        <v>6.3819944638841815E-9</v>
      </c>
      <c r="C359" s="543">
        <f t="shared" si="137"/>
        <v>1.5848619585312386E-8</v>
      </c>
      <c r="D359" s="542">
        <f t="shared" si="157"/>
        <v>37.25</v>
      </c>
      <c r="E359" s="363">
        <f t="shared" si="138"/>
        <v>6.3819944638841815E-9</v>
      </c>
      <c r="F359" s="543">
        <f t="shared" si="139"/>
        <v>1.5848619585312386E-8</v>
      </c>
      <c r="G359" s="548">
        <f t="shared" si="140"/>
        <v>27.25</v>
      </c>
      <c r="H359" s="363">
        <f t="shared" si="141"/>
        <v>7.5678929141453698E-6</v>
      </c>
      <c r="I359" s="363">
        <f t="shared" si="142"/>
        <v>1.3748338794030754E-5</v>
      </c>
      <c r="J359" s="364">
        <f t="shared" si="143"/>
        <v>7.5742749086092544E-6</v>
      </c>
      <c r="K359" s="194">
        <f t="shared" si="144"/>
        <v>7.5678929141453693E-4</v>
      </c>
      <c r="L359" s="646">
        <f t="shared" si="145"/>
        <v>6.3819944638841817E-7</v>
      </c>
      <c r="M359" s="365">
        <f t="shared" si="146"/>
        <v>7.5742749086092534E-4</v>
      </c>
      <c r="N359" s="194">
        <f t="shared" si="147"/>
        <v>1.3748338794030753E-3</v>
      </c>
      <c r="O359" s="422">
        <f t="shared" si="148"/>
        <v>1.5848619585312384E-6</v>
      </c>
      <c r="P359" s="365">
        <f t="shared" si="149"/>
        <v>1.3764187413616066E-3</v>
      </c>
      <c r="S359" s="193"/>
      <c r="T359" s="193"/>
      <c r="U359" s="193"/>
      <c r="V359" s="193"/>
      <c r="W359" s="193"/>
      <c r="X359" s="193"/>
      <c r="Y359" s="503"/>
      <c r="Z359" s="193"/>
      <c r="AA359" s="520">
        <f t="shared" si="150"/>
        <v>-7.7180742367214598E-4</v>
      </c>
      <c r="AB359" s="496"/>
      <c r="AC359" s="521">
        <f t="shared" si="151"/>
        <v>-1.2531704172704266E-6</v>
      </c>
      <c r="AD359" s="496"/>
      <c r="AE359" s="522">
        <f t="shared" si="152"/>
        <v>-7.7306059408941644E-4</v>
      </c>
      <c r="AG359" s="531">
        <f t="shared" si="153"/>
        <v>2.5409297898671471E-6</v>
      </c>
      <c r="AH359" s="221" t="str">
        <f t="shared" si="154"/>
        <v>NO</v>
      </c>
      <c r="AI359" s="532">
        <f t="shared" si="155"/>
        <v>4.1256639251701279E-9</v>
      </c>
      <c r="AJ359" s="221" t="str">
        <f t="shared" si="134"/>
        <v>NO</v>
      </c>
      <c r="AK359" s="533">
        <f>IF('IN-OUT'!$F$35=0,AG359,IF('IN-OUT'!$F$26=0,'transversal subsidence profile'!AI359,'transversal subsidence profile'!AG359+'transversal subsidence profile'!AI359))</f>
        <v>2.5450554537923172E-6</v>
      </c>
      <c r="AL359" s="513">
        <f t="shared" si="135"/>
        <v>1000</v>
      </c>
    </row>
    <row r="360" spans="1:38">
      <c r="A360" s="542">
        <f t="shared" si="156"/>
        <v>37.5</v>
      </c>
      <c r="B360" s="363">
        <f t="shared" si="136"/>
        <v>5.1986824297207413E-9</v>
      </c>
      <c r="C360" s="543">
        <f t="shared" si="137"/>
        <v>1.2996706074301852E-8</v>
      </c>
      <c r="D360" s="542">
        <f t="shared" si="157"/>
        <v>37.5</v>
      </c>
      <c r="E360" s="363">
        <f t="shared" si="138"/>
        <v>5.1986824297207413E-9</v>
      </c>
      <c r="F360" s="543">
        <f t="shared" si="139"/>
        <v>1.2996706074301852E-8</v>
      </c>
      <c r="G360" s="548">
        <f t="shared" si="140"/>
        <v>27.5</v>
      </c>
      <c r="H360" s="363">
        <f t="shared" si="141"/>
        <v>6.5124056569019646E-6</v>
      </c>
      <c r="I360" s="363">
        <f t="shared" si="142"/>
        <v>1.1939410370986936E-5</v>
      </c>
      <c r="J360" s="364">
        <f t="shared" si="143"/>
        <v>6.5176043393316852E-6</v>
      </c>
      <c r="K360" s="194">
        <f t="shared" si="144"/>
        <v>6.5124056569019649E-4</v>
      </c>
      <c r="L360" s="646">
        <f t="shared" si="145"/>
        <v>5.1986824297207416E-7</v>
      </c>
      <c r="M360" s="365">
        <f t="shared" si="146"/>
        <v>6.5176043393316851E-4</v>
      </c>
      <c r="N360" s="194">
        <f t="shared" si="147"/>
        <v>1.1939410370986937E-3</v>
      </c>
      <c r="O360" s="422">
        <f t="shared" si="148"/>
        <v>1.2996706074301852E-6</v>
      </c>
      <c r="P360" s="365">
        <f t="shared" si="149"/>
        <v>1.1952407077061239E-3</v>
      </c>
      <c r="S360" s="193"/>
      <c r="T360" s="193"/>
      <c r="U360" s="193"/>
      <c r="V360" s="193"/>
      <c r="W360" s="193"/>
      <c r="X360" s="193"/>
      <c r="Y360" s="503"/>
      <c r="Z360" s="193"/>
      <c r="AA360" s="520">
        <f t="shared" si="150"/>
        <v>-6.7720681046760163E-4</v>
      </c>
      <c r="AB360" s="496"/>
      <c r="AC360" s="521">
        <f t="shared" si="151"/>
        <v>-1.0350298598760881E-6</v>
      </c>
      <c r="AD360" s="496"/>
      <c r="AE360" s="522">
        <f t="shared" si="152"/>
        <v>-6.7824184032747774E-4</v>
      </c>
      <c r="AG360" s="531">
        <f t="shared" si="153"/>
        <v>2.2294874418686472E-6</v>
      </c>
      <c r="AH360" s="221" t="str">
        <f t="shared" si="154"/>
        <v>NO</v>
      </c>
      <c r="AI360" s="532">
        <f t="shared" si="155"/>
        <v>3.4075057115262161E-9</v>
      </c>
      <c r="AJ360" s="221" t="str">
        <f t="shared" si="134"/>
        <v>NO</v>
      </c>
      <c r="AK360" s="533">
        <f>IF('IN-OUT'!$F$35=0,AG360,IF('IN-OUT'!$F$26=0,'transversal subsidence profile'!AI360,'transversal subsidence profile'!AG360+'transversal subsidence profile'!AI360))</f>
        <v>2.2328949475801733E-6</v>
      </c>
      <c r="AL360" s="513">
        <f t="shared" si="135"/>
        <v>1000</v>
      </c>
    </row>
    <row r="361" spans="1:38">
      <c r="A361" s="542">
        <f t="shared" si="156"/>
        <v>37.75</v>
      </c>
      <c r="B361" s="363">
        <f t="shared" si="136"/>
        <v>4.2289681479797784E-9</v>
      </c>
      <c r="C361" s="543">
        <f t="shared" si="137"/>
        <v>1.0642903172415775E-8</v>
      </c>
      <c r="D361" s="542">
        <f t="shared" si="157"/>
        <v>37.75</v>
      </c>
      <c r="E361" s="363">
        <f t="shared" si="138"/>
        <v>4.2289681479797784E-9</v>
      </c>
      <c r="F361" s="543">
        <f t="shared" si="139"/>
        <v>1.0642903172415775E-8</v>
      </c>
      <c r="G361" s="548">
        <f t="shared" si="140"/>
        <v>27.75</v>
      </c>
      <c r="H361" s="363">
        <f t="shared" si="141"/>
        <v>5.596444117736857E-6</v>
      </c>
      <c r="I361" s="363">
        <f t="shared" si="142"/>
        <v>1.0353421617813186E-5</v>
      </c>
      <c r="J361" s="364">
        <f t="shared" si="143"/>
        <v>5.600673085884837E-6</v>
      </c>
      <c r="K361" s="194">
        <f t="shared" si="144"/>
        <v>5.5964441177368566E-4</v>
      </c>
      <c r="L361" s="646">
        <f t="shared" si="145"/>
        <v>4.2289681479797782E-7</v>
      </c>
      <c r="M361" s="365">
        <f t="shared" si="146"/>
        <v>5.6006730858848368E-4</v>
      </c>
      <c r="N361" s="194">
        <f t="shared" si="147"/>
        <v>1.0353421617813187E-3</v>
      </c>
      <c r="O361" s="422">
        <f t="shared" si="148"/>
        <v>1.0642903172415774E-6</v>
      </c>
      <c r="P361" s="365">
        <f t="shared" si="149"/>
        <v>1.0364064520985603E-3</v>
      </c>
      <c r="S361" s="193"/>
      <c r="T361" s="193"/>
      <c r="U361" s="193"/>
      <c r="V361" s="193"/>
      <c r="W361" s="193"/>
      <c r="X361" s="193"/>
      <c r="Y361" s="503"/>
      <c r="Z361" s="193"/>
      <c r="AA361" s="520">
        <f t="shared" si="150"/>
        <v>-5.9326913774856559E-4</v>
      </c>
      <c r="AB361" s="496"/>
      <c r="AC361" s="521">
        <f t="shared" si="151"/>
        <v>-8.5360571524654466E-7</v>
      </c>
      <c r="AD361" s="496"/>
      <c r="AE361" s="522">
        <f t="shared" si="152"/>
        <v>-5.9412274346381209E-4</v>
      </c>
      <c r="AG361" s="531">
        <f t="shared" si="153"/>
        <v>1.9531494246866355E-6</v>
      </c>
      <c r="AH361" s="221" t="str">
        <f t="shared" si="154"/>
        <v>NO</v>
      </c>
      <c r="AI361" s="532">
        <f t="shared" si="155"/>
        <v>2.8102245769433571E-9</v>
      </c>
      <c r="AJ361" s="221" t="str">
        <f t="shared" si="134"/>
        <v>NO</v>
      </c>
      <c r="AK361" s="533">
        <f>IF('IN-OUT'!$F$35=0,AG361,IF('IN-OUT'!$F$26=0,'transversal subsidence profile'!AI361,'transversal subsidence profile'!AG361+'transversal subsidence profile'!AI361))</f>
        <v>1.9559596492635789E-6</v>
      </c>
      <c r="AL361" s="513">
        <f t="shared" si="135"/>
        <v>1000</v>
      </c>
    </row>
    <row r="362" spans="1:38">
      <c r="A362" s="542">
        <f t="shared" si="156"/>
        <v>38</v>
      </c>
      <c r="B362" s="363">
        <f t="shared" si="136"/>
        <v>3.4354196828064236E-9</v>
      </c>
      <c r="C362" s="543">
        <f t="shared" si="137"/>
        <v>8.7030631964429403E-9</v>
      </c>
      <c r="D362" s="542">
        <f t="shared" si="157"/>
        <v>38</v>
      </c>
      <c r="E362" s="363">
        <f t="shared" si="138"/>
        <v>3.4354196828064236E-9</v>
      </c>
      <c r="F362" s="543">
        <f t="shared" si="139"/>
        <v>8.7030631964429403E-9</v>
      </c>
      <c r="G362" s="548">
        <f t="shared" si="140"/>
        <v>28</v>
      </c>
      <c r="H362" s="363">
        <f t="shared" si="141"/>
        <v>4.8027187870904464E-6</v>
      </c>
      <c r="I362" s="363">
        <f t="shared" si="142"/>
        <v>8.9650750692354989E-6</v>
      </c>
      <c r="J362" s="364">
        <f t="shared" si="143"/>
        <v>4.8061542067732529E-6</v>
      </c>
      <c r="K362" s="194">
        <f t="shared" si="144"/>
        <v>4.8027187870904465E-4</v>
      </c>
      <c r="L362" s="646">
        <f t="shared" si="145"/>
        <v>3.4354196828064235E-7</v>
      </c>
      <c r="M362" s="365">
        <f t="shared" si="146"/>
        <v>4.8061542067732527E-4</v>
      </c>
      <c r="N362" s="194">
        <f t="shared" si="147"/>
        <v>8.9650750692354985E-4</v>
      </c>
      <c r="O362" s="422">
        <f t="shared" si="148"/>
        <v>8.7030631964429403E-7</v>
      </c>
      <c r="P362" s="365">
        <f t="shared" si="149"/>
        <v>8.9737781324319412E-4</v>
      </c>
      <c r="S362" s="193"/>
      <c r="T362" s="193"/>
      <c r="U362" s="193"/>
      <c r="V362" s="193"/>
      <c r="W362" s="193"/>
      <c r="X362" s="193"/>
      <c r="Y362" s="503"/>
      <c r="Z362" s="193"/>
      <c r="AA362" s="520">
        <f t="shared" si="150"/>
        <v>-5.1892201618174323E-4</v>
      </c>
      <c r="AB362" s="496"/>
      <c r="AC362" s="521">
        <f t="shared" si="151"/>
        <v>-7.0294938639957686E-7</v>
      </c>
      <c r="AD362" s="496"/>
      <c r="AE362" s="522">
        <f t="shared" si="152"/>
        <v>-5.196249655681428E-4</v>
      </c>
      <c r="AG362" s="531">
        <f t="shared" si="153"/>
        <v>1.7083852384584139E-6</v>
      </c>
      <c r="AH362" s="221" t="str">
        <f t="shared" si="154"/>
        <v>NO</v>
      </c>
      <c r="AI362" s="532">
        <f t="shared" si="155"/>
        <v>2.3142366630438742E-9</v>
      </c>
      <c r="AJ362" s="221" t="str">
        <f t="shared" si="134"/>
        <v>NO</v>
      </c>
      <c r="AK362" s="533">
        <f>IF('IN-OUT'!$F$35=0,AG362,IF('IN-OUT'!$F$26=0,'transversal subsidence profile'!AI362,'transversal subsidence profile'!AG362+'transversal subsidence profile'!AI362))</f>
        <v>1.7106994751214576E-6</v>
      </c>
      <c r="AL362" s="513">
        <f t="shared" si="135"/>
        <v>1000</v>
      </c>
    </row>
    <row r="363" spans="1:38">
      <c r="A363" s="542">
        <f t="shared" si="156"/>
        <v>38.25</v>
      </c>
      <c r="B363" s="363">
        <f t="shared" si="136"/>
        <v>2.7869517183142704E-9</v>
      </c>
      <c r="C363" s="543">
        <f t="shared" si="137"/>
        <v>7.1067268817013894E-9</v>
      </c>
      <c r="D363" s="542">
        <f t="shared" si="157"/>
        <v>38.25</v>
      </c>
      <c r="E363" s="363">
        <f t="shared" si="138"/>
        <v>2.7869517183142704E-9</v>
      </c>
      <c r="F363" s="543">
        <f t="shared" si="139"/>
        <v>7.1067268817013894E-9</v>
      </c>
      <c r="G363" s="548">
        <f t="shared" si="140"/>
        <v>28.25</v>
      </c>
      <c r="H363" s="363">
        <f t="shared" si="141"/>
        <v>4.1159150709743239E-6</v>
      </c>
      <c r="I363" s="363">
        <f t="shared" si="142"/>
        <v>7.7516400503349768E-6</v>
      </c>
      <c r="J363" s="364">
        <f t="shared" si="143"/>
        <v>4.1187020226926383E-6</v>
      </c>
      <c r="K363" s="194">
        <f t="shared" si="144"/>
        <v>4.115915070974324E-4</v>
      </c>
      <c r="L363" s="646">
        <f t="shared" si="145"/>
        <v>2.7869517183142703E-7</v>
      </c>
      <c r="M363" s="365">
        <f t="shared" si="146"/>
        <v>4.1187020226926384E-4</v>
      </c>
      <c r="N363" s="194">
        <f t="shared" si="147"/>
        <v>7.7516400503349766E-4</v>
      </c>
      <c r="O363" s="422">
        <f t="shared" si="148"/>
        <v>7.1067268817013891E-7</v>
      </c>
      <c r="P363" s="365">
        <f t="shared" si="149"/>
        <v>7.7587467772166781E-4</v>
      </c>
      <c r="S363" s="193"/>
      <c r="T363" s="193"/>
      <c r="U363" s="193"/>
      <c r="V363" s="193"/>
      <c r="W363" s="193"/>
      <c r="X363" s="193"/>
      <c r="Y363" s="503"/>
      <c r="Z363" s="193"/>
      <c r="AA363" s="520">
        <f t="shared" si="150"/>
        <v>-4.5318351581646882E-4</v>
      </c>
      <c r="AB363" s="496"/>
      <c r="AC363" s="521">
        <f t="shared" si="151"/>
        <v>-5.780344304651821E-7</v>
      </c>
      <c r="AD363" s="496"/>
      <c r="AE363" s="522">
        <f t="shared" si="152"/>
        <v>-4.5376155024693402E-4</v>
      </c>
      <c r="AG363" s="531">
        <f t="shared" si="153"/>
        <v>1.4919621919883746E-6</v>
      </c>
      <c r="AH363" s="221" t="str">
        <f t="shared" si="154"/>
        <v>NO</v>
      </c>
      <c r="AI363" s="532">
        <f t="shared" si="155"/>
        <v>1.9029940097619161E-9</v>
      </c>
      <c r="AJ363" s="221" t="str">
        <f t="shared" si="134"/>
        <v>NO</v>
      </c>
      <c r="AK363" s="533">
        <f>IF('IN-OUT'!$F$35=0,AG363,IF('IN-OUT'!$F$26=0,'transversal subsidence profile'!AI363,'transversal subsidence profile'!AG363+'transversal subsidence profile'!AI363))</f>
        <v>1.4938651859981365E-6</v>
      </c>
      <c r="AL363" s="513">
        <f t="shared" si="135"/>
        <v>1000</v>
      </c>
    </row>
    <row r="364" spans="1:38">
      <c r="A364" s="542">
        <f t="shared" si="156"/>
        <v>38.5</v>
      </c>
      <c r="B364" s="363">
        <f t="shared" si="136"/>
        <v>2.2577889872614198E-9</v>
      </c>
      <c r="C364" s="543">
        <f t="shared" si="137"/>
        <v>5.7949917339709783E-9</v>
      </c>
      <c r="D364" s="542">
        <f t="shared" si="157"/>
        <v>38.5</v>
      </c>
      <c r="E364" s="363">
        <f t="shared" si="138"/>
        <v>2.2577889872614198E-9</v>
      </c>
      <c r="F364" s="543">
        <f t="shared" si="139"/>
        <v>5.7949917339709783E-9</v>
      </c>
      <c r="G364" s="548">
        <f t="shared" si="140"/>
        <v>28.5</v>
      </c>
      <c r="H364" s="363">
        <f t="shared" si="141"/>
        <v>3.5224911561666891E-6</v>
      </c>
      <c r="I364" s="363">
        <f t="shared" si="142"/>
        <v>6.6927331967167102E-6</v>
      </c>
      <c r="J364" s="364">
        <f t="shared" si="143"/>
        <v>3.5247489451539507E-6</v>
      </c>
      <c r="K364" s="194">
        <f t="shared" si="144"/>
        <v>3.5224911561666892E-4</v>
      </c>
      <c r="L364" s="646">
        <f t="shared" si="145"/>
        <v>2.2577889872614197E-7</v>
      </c>
      <c r="M364" s="365">
        <f t="shared" si="146"/>
        <v>3.5247489451539505E-4</v>
      </c>
      <c r="N364" s="194">
        <f t="shared" si="147"/>
        <v>6.6927331967167104E-4</v>
      </c>
      <c r="O364" s="422">
        <f t="shared" si="148"/>
        <v>5.7949917339709782E-7</v>
      </c>
      <c r="P364" s="365">
        <f t="shared" si="149"/>
        <v>6.6985281884506811E-4</v>
      </c>
      <c r="S364" s="193"/>
      <c r="T364" s="193"/>
      <c r="U364" s="193"/>
      <c r="V364" s="193"/>
      <c r="W364" s="193"/>
      <c r="X364" s="193"/>
      <c r="Y364" s="503"/>
      <c r="Z364" s="193"/>
      <c r="AA364" s="520">
        <f t="shared" si="150"/>
        <v>-3.9515682681935785E-4</v>
      </c>
      <c r="AB364" s="496"/>
      <c r="AC364" s="521">
        <f t="shared" si="151"/>
        <v>-4.7462090032170341E-7</v>
      </c>
      <c r="AD364" s="496"/>
      <c r="AE364" s="522">
        <f t="shared" si="152"/>
        <v>-3.9563144771967955E-4</v>
      </c>
      <c r="AG364" s="531">
        <f t="shared" si="153"/>
        <v>1.3009278249196963E-6</v>
      </c>
      <c r="AH364" s="221" t="str">
        <f t="shared" si="154"/>
        <v>NO</v>
      </c>
      <c r="AI364" s="532">
        <f t="shared" si="155"/>
        <v>1.5625379434459368E-9</v>
      </c>
      <c r="AJ364" s="221" t="str">
        <f t="shared" si="134"/>
        <v>NO</v>
      </c>
      <c r="AK364" s="533">
        <f>IF('IN-OUT'!$F$35=0,AG364,IF('IN-OUT'!$F$26=0,'transversal subsidence profile'!AI364,'transversal subsidence profile'!AG364+'transversal subsidence profile'!AI364))</f>
        <v>1.3024903628631422E-6</v>
      </c>
      <c r="AL364" s="513">
        <f t="shared" si="135"/>
        <v>1000</v>
      </c>
    </row>
    <row r="365" spans="1:38">
      <c r="A365" s="542">
        <f t="shared" si="156"/>
        <v>38.75</v>
      </c>
      <c r="B365" s="363">
        <f t="shared" si="136"/>
        <v>1.8265918507117785E-9</v>
      </c>
      <c r="C365" s="543">
        <f t="shared" si="137"/>
        <v>4.7186956143387612E-9</v>
      </c>
      <c r="D365" s="542">
        <f t="shared" si="157"/>
        <v>38.75</v>
      </c>
      <c r="E365" s="363">
        <f t="shared" si="138"/>
        <v>1.8265918507117785E-9</v>
      </c>
      <c r="F365" s="543">
        <f t="shared" si="139"/>
        <v>4.7186956143387612E-9</v>
      </c>
      <c r="G365" s="548">
        <f t="shared" si="140"/>
        <v>28.75</v>
      </c>
      <c r="H365" s="363">
        <f t="shared" si="141"/>
        <v>3.0104933899017672E-6</v>
      </c>
      <c r="I365" s="363">
        <f t="shared" si="142"/>
        <v>5.7701123306450534E-6</v>
      </c>
      <c r="J365" s="364">
        <f t="shared" si="143"/>
        <v>3.012319981752479E-6</v>
      </c>
      <c r="K365" s="194">
        <f t="shared" si="144"/>
        <v>3.0104933899017671E-4</v>
      </c>
      <c r="L365" s="646">
        <f t="shared" si="145"/>
        <v>1.8265918507117785E-7</v>
      </c>
      <c r="M365" s="365">
        <f t="shared" si="146"/>
        <v>3.0123199817524786E-4</v>
      </c>
      <c r="N365" s="194">
        <f t="shared" si="147"/>
        <v>5.770112330645053E-4</v>
      </c>
      <c r="O365" s="422">
        <f t="shared" si="148"/>
        <v>4.7186956143387611E-7</v>
      </c>
      <c r="P365" s="365">
        <f t="shared" si="149"/>
        <v>5.7748310262593916E-4</v>
      </c>
      <c r="S365" s="193"/>
      <c r="T365" s="193"/>
      <c r="U365" s="193"/>
      <c r="V365" s="193"/>
      <c r="W365" s="193"/>
      <c r="X365" s="193"/>
      <c r="Y365" s="503"/>
      <c r="Z365" s="193"/>
      <c r="AA365" s="520">
        <f t="shared" si="150"/>
        <v>-3.4402492364163216E-4</v>
      </c>
      <c r="AB365" s="496"/>
      <c r="AC365" s="521">
        <f t="shared" si="151"/>
        <v>-3.8913839738620569E-7</v>
      </c>
      <c r="AD365" s="496"/>
      <c r="AE365" s="522">
        <f t="shared" si="152"/>
        <v>-3.4441406203901837E-4</v>
      </c>
      <c r="AG365" s="531">
        <f t="shared" si="153"/>
        <v>1.1325923412070195E-6</v>
      </c>
      <c r="AH365" s="221" t="str">
        <f t="shared" si="154"/>
        <v>NO</v>
      </c>
      <c r="AI365" s="532">
        <f t="shared" si="155"/>
        <v>1.2811140654689898E-9</v>
      </c>
      <c r="AJ365" s="221" t="str">
        <f t="shared" si="134"/>
        <v>NO</v>
      </c>
      <c r="AK365" s="533">
        <f>IF('IN-OUT'!$F$35=0,AG365,IF('IN-OUT'!$F$26=0,'transversal subsidence profile'!AI365,'transversal subsidence profile'!AG365+'transversal subsidence profile'!AI365))</f>
        <v>1.1338734552724886E-6</v>
      </c>
      <c r="AL365" s="513">
        <f t="shared" si="135"/>
        <v>1000</v>
      </c>
    </row>
    <row r="366" spans="1:38">
      <c r="A366" s="542">
        <f t="shared" si="156"/>
        <v>39</v>
      </c>
      <c r="B366" s="363">
        <f t="shared" si="136"/>
        <v>1.4757199247926278E-9</v>
      </c>
      <c r="C366" s="543">
        <f t="shared" si="137"/>
        <v>3.8368718044608324E-9</v>
      </c>
      <c r="D366" s="542">
        <f t="shared" si="157"/>
        <v>39</v>
      </c>
      <c r="E366" s="363">
        <f t="shared" si="138"/>
        <v>1.4757199247926278E-9</v>
      </c>
      <c r="F366" s="543">
        <f t="shared" si="139"/>
        <v>3.8368718044608324E-9</v>
      </c>
      <c r="G366" s="548">
        <f t="shared" si="140"/>
        <v>29</v>
      </c>
      <c r="H366" s="363">
        <f t="shared" si="141"/>
        <v>2.5693880770651459E-6</v>
      </c>
      <c r="I366" s="363">
        <f t="shared" si="142"/>
        <v>4.9674836156592812E-6</v>
      </c>
      <c r="J366" s="364">
        <f t="shared" si="143"/>
        <v>2.5708637969899386E-6</v>
      </c>
      <c r="K366" s="194">
        <f t="shared" si="144"/>
        <v>2.5693880770651459E-4</v>
      </c>
      <c r="L366" s="646">
        <f t="shared" si="145"/>
        <v>1.4757199247926277E-7</v>
      </c>
      <c r="M366" s="365">
        <f t="shared" si="146"/>
        <v>2.5708637969899383E-4</v>
      </c>
      <c r="N366" s="194">
        <f t="shared" si="147"/>
        <v>4.9674836156592811E-4</v>
      </c>
      <c r="O366" s="422">
        <f t="shared" si="148"/>
        <v>3.8368718044608324E-7</v>
      </c>
      <c r="P366" s="365">
        <f t="shared" si="149"/>
        <v>4.9713204874637419E-4</v>
      </c>
      <c r="S366" s="193"/>
      <c r="T366" s="193"/>
      <c r="U366" s="193"/>
      <c r="V366" s="193"/>
      <c r="W366" s="193"/>
      <c r="X366" s="193"/>
      <c r="Y366" s="503"/>
      <c r="Z366" s="193"/>
      <c r="AA366" s="520">
        <f t="shared" si="150"/>
        <v>-2.9904528629911393E-4</v>
      </c>
      <c r="AB366" s="496"/>
      <c r="AC366" s="521">
        <f t="shared" si="151"/>
        <v>-3.1858546195317385E-7</v>
      </c>
      <c r="AD366" s="496"/>
      <c r="AE366" s="522">
        <f t="shared" si="152"/>
        <v>-2.9936387176106712E-4</v>
      </c>
      <c r="AG366" s="531">
        <f t="shared" si="153"/>
        <v>9.8451123061436669E-7</v>
      </c>
      <c r="AH366" s="221" t="str">
        <f t="shared" si="154"/>
        <v>NO</v>
      </c>
      <c r="AI366" s="532">
        <f t="shared" si="155"/>
        <v>1.0488410270063338E-9</v>
      </c>
      <c r="AJ366" s="221" t="str">
        <f t="shared" si="134"/>
        <v>NO</v>
      </c>
      <c r="AK366" s="533">
        <f>IF('IN-OUT'!$F$35=0,AG366,IF('IN-OUT'!$F$26=0,'transversal subsidence profile'!AI366,'transversal subsidence profile'!AG366+'transversal subsidence profile'!AI366))</f>
        <v>9.8556007164137296E-7</v>
      </c>
      <c r="AL366" s="513">
        <f t="shared" si="135"/>
        <v>1000</v>
      </c>
    </row>
    <row r="367" spans="1:38">
      <c r="A367" s="542">
        <f t="shared" si="156"/>
        <v>39.25</v>
      </c>
      <c r="B367" s="363">
        <f t="shared" si="136"/>
        <v>1.1906130168791525E-9</v>
      </c>
      <c r="C367" s="543">
        <f t="shared" si="137"/>
        <v>3.1154373941671162E-9</v>
      </c>
      <c r="D367" s="542">
        <f t="shared" si="157"/>
        <v>39.25</v>
      </c>
      <c r="E367" s="363">
        <f t="shared" si="138"/>
        <v>1.1906130168791525E-9</v>
      </c>
      <c r="F367" s="543">
        <f t="shared" si="139"/>
        <v>3.1154373941671162E-9</v>
      </c>
      <c r="G367" s="548">
        <f t="shared" si="140"/>
        <v>29.25</v>
      </c>
      <c r="H367" s="363">
        <f t="shared" si="141"/>
        <v>2.1899086095153342E-6</v>
      </c>
      <c r="I367" s="363">
        <f t="shared" si="142"/>
        <v>4.2703217885549017E-6</v>
      </c>
      <c r="J367" s="364">
        <f t="shared" si="143"/>
        <v>2.1910992225322133E-6</v>
      </c>
      <c r="K367" s="194">
        <f t="shared" si="144"/>
        <v>2.1899086095153342E-4</v>
      </c>
      <c r="L367" s="646">
        <f t="shared" si="145"/>
        <v>1.1906130168791524E-7</v>
      </c>
      <c r="M367" s="365">
        <f t="shared" si="146"/>
        <v>2.1910992225322132E-4</v>
      </c>
      <c r="N367" s="194">
        <f t="shared" si="147"/>
        <v>4.2703217885549019E-4</v>
      </c>
      <c r="O367" s="422">
        <f t="shared" si="148"/>
        <v>3.1154373941671163E-7</v>
      </c>
      <c r="P367" s="365">
        <f t="shared" si="149"/>
        <v>4.2734372259490693E-4</v>
      </c>
      <c r="S367" s="193"/>
      <c r="T367" s="193"/>
      <c r="U367" s="193"/>
      <c r="V367" s="193"/>
      <c r="W367" s="193"/>
      <c r="X367" s="193"/>
      <c r="Y367" s="503"/>
      <c r="Z367" s="193"/>
      <c r="AA367" s="520">
        <f t="shared" si="150"/>
        <v>-2.5954472409070624E-4</v>
      </c>
      <c r="AB367" s="496"/>
      <c r="AC367" s="521">
        <f t="shared" si="151"/>
        <v>-2.6044319491311688E-7</v>
      </c>
      <c r="AD367" s="496"/>
      <c r="AE367" s="522">
        <f t="shared" si="152"/>
        <v>-2.5980516728561938E-4</v>
      </c>
      <c r="AG367" s="531">
        <f t="shared" si="153"/>
        <v>8.5446822745911534E-7</v>
      </c>
      <c r="AH367" s="221" t="str">
        <f t="shared" si="154"/>
        <v>NO</v>
      </c>
      <c r="AI367" s="532">
        <f t="shared" si="155"/>
        <v>8.5742615609256584E-10</v>
      </c>
      <c r="AJ367" s="221" t="str">
        <f t="shared" si="134"/>
        <v>NO</v>
      </c>
      <c r="AK367" s="533">
        <f>IF('IN-OUT'!$F$35=0,AG367,IF('IN-OUT'!$F$26=0,'transversal subsidence profile'!AI367,'transversal subsidence profile'!AG367+'transversal subsidence profile'!AI367))</f>
        <v>8.5532565361520795E-7</v>
      </c>
      <c r="AL367" s="513">
        <f t="shared" si="135"/>
        <v>1000</v>
      </c>
    </row>
    <row r="368" spans="1:38">
      <c r="A368" s="542">
        <f t="shared" si="156"/>
        <v>39.5</v>
      </c>
      <c r="B368" s="363">
        <f t="shared" si="136"/>
        <v>9.5927156596457984E-10</v>
      </c>
      <c r="C368" s="543">
        <f t="shared" si="137"/>
        <v>2.526081790373393E-9</v>
      </c>
      <c r="D368" s="542">
        <f t="shared" si="157"/>
        <v>39.5</v>
      </c>
      <c r="E368" s="363">
        <f t="shared" si="138"/>
        <v>9.5927156596457984E-10</v>
      </c>
      <c r="F368" s="543">
        <f t="shared" si="139"/>
        <v>2.526081790373393E-9</v>
      </c>
      <c r="G368" s="548">
        <f t="shared" si="140"/>
        <v>29.5</v>
      </c>
      <c r="H368" s="363">
        <f t="shared" si="141"/>
        <v>1.8639168630971588E-6</v>
      </c>
      <c r="I368" s="363">
        <f t="shared" si="142"/>
        <v>3.6657031640910789E-6</v>
      </c>
      <c r="J368" s="364">
        <f t="shared" si="143"/>
        <v>1.8648761346631234E-6</v>
      </c>
      <c r="K368" s="194">
        <f t="shared" si="144"/>
        <v>1.8639168630971587E-4</v>
      </c>
      <c r="L368" s="646">
        <f t="shared" si="145"/>
        <v>9.5927156596457989E-8</v>
      </c>
      <c r="M368" s="365">
        <f t="shared" si="146"/>
        <v>1.8648761346631233E-4</v>
      </c>
      <c r="N368" s="194">
        <f t="shared" si="147"/>
        <v>3.6657031640910788E-4</v>
      </c>
      <c r="O368" s="422">
        <f t="shared" si="148"/>
        <v>2.5260817903733927E-7</v>
      </c>
      <c r="P368" s="365">
        <f t="shared" si="149"/>
        <v>3.6682292458814524E-4</v>
      </c>
      <c r="S368" s="193"/>
      <c r="T368" s="193"/>
      <c r="U368" s="193"/>
      <c r="V368" s="193"/>
      <c r="W368" s="193"/>
      <c r="X368" s="193"/>
      <c r="Y368" s="503"/>
      <c r="Z368" s="193"/>
      <c r="AA368" s="520">
        <f t="shared" si="150"/>
        <v>-2.2491433935589399E-4</v>
      </c>
      <c r="AB368" s="496"/>
      <c r="AC368" s="521">
        <f t="shared" si="151"/>
        <v>-2.1260124738135883E-7</v>
      </c>
      <c r="AD368" s="496"/>
      <c r="AE368" s="522">
        <f t="shared" si="152"/>
        <v>-2.2512694060327536E-4</v>
      </c>
      <c r="AG368" s="531">
        <f t="shared" si="153"/>
        <v>7.4045873038977444E-7</v>
      </c>
      <c r="AH368" s="221" t="str">
        <f t="shared" si="154"/>
        <v>NO</v>
      </c>
      <c r="AI368" s="532">
        <f t="shared" si="155"/>
        <v>6.9992180207854756E-10</v>
      </c>
      <c r="AJ368" s="221" t="str">
        <f t="shared" si="134"/>
        <v>NO</v>
      </c>
      <c r="AK368" s="533">
        <f>IF('IN-OUT'!$F$35=0,AG368,IF('IN-OUT'!$F$26=0,'transversal subsidence profile'!AI368,'transversal subsidence profile'!AG368+'transversal subsidence profile'!AI368))</f>
        <v>7.41158652191853E-7</v>
      </c>
      <c r="AL368" s="513">
        <f t="shared" si="135"/>
        <v>1000</v>
      </c>
    </row>
    <row r="369" spans="1:38">
      <c r="A369" s="542">
        <f t="shared" si="156"/>
        <v>39.75</v>
      </c>
      <c r="B369" s="363">
        <f t="shared" si="136"/>
        <v>7.7182133057216668E-10</v>
      </c>
      <c r="C369" s="543">
        <f t="shared" si="137"/>
        <v>2.0453265260162412E-9</v>
      </c>
      <c r="D369" s="542">
        <f t="shared" si="157"/>
        <v>39.75</v>
      </c>
      <c r="E369" s="363">
        <f t="shared" si="138"/>
        <v>7.7182133057216668E-10</v>
      </c>
      <c r="F369" s="543">
        <f t="shared" si="139"/>
        <v>2.0453265260162412E-9</v>
      </c>
      <c r="G369" s="548">
        <f t="shared" si="140"/>
        <v>29.75</v>
      </c>
      <c r="H369" s="363">
        <f t="shared" si="141"/>
        <v>1.5842778266059401E-6</v>
      </c>
      <c r="I369" s="363">
        <f t="shared" si="142"/>
        <v>3.1421510227684479E-6</v>
      </c>
      <c r="J369" s="364">
        <f t="shared" si="143"/>
        <v>1.5850496479365123E-6</v>
      </c>
      <c r="K369" s="194">
        <f t="shared" si="144"/>
        <v>1.5842778266059401E-4</v>
      </c>
      <c r="L369" s="646">
        <f t="shared" si="145"/>
        <v>7.7182133057216667E-8</v>
      </c>
      <c r="M369" s="365">
        <f t="shared" si="146"/>
        <v>1.5850496479365123E-4</v>
      </c>
      <c r="N369" s="194">
        <f t="shared" si="147"/>
        <v>3.1421510227684478E-4</v>
      </c>
      <c r="O369" s="422">
        <f t="shared" si="148"/>
        <v>2.0453265260162411E-7</v>
      </c>
      <c r="P369" s="365">
        <f t="shared" si="149"/>
        <v>3.1441963492944639E-4</v>
      </c>
      <c r="S369" s="193"/>
      <c r="T369" s="193"/>
      <c r="U369" s="193"/>
      <c r="V369" s="193"/>
      <c r="W369" s="193"/>
      <c r="X369" s="193"/>
      <c r="Y369" s="503"/>
      <c r="Z369" s="193"/>
      <c r="AA369" s="520">
        <f t="shared" si="150"/>
        <v>-1.9460466179214441E-4</v>
      </c>
      <c r="AB369" s="496"/>
      <c r="AC369" s="521">
        <f t="shared" si="151"/>
        <v>-1.7329453413998934E-7</v>
      </c>
      <c r="AD369" s="496"/>
      <c r="AE369" s="522">
        <f t="shared" si="152"/>
        <v>-1.9477795632628439E-4</v>
      </c>
      <c r="AG369" s="531">
        <f t="shared" si="153"/>
        <v>6.4067378367784165E-7</v>
      </c>
      <c r="AH369" s="221" t="str">
        <f t="shared" si="154"/>
        <v>NO</v>
      </c>
      <c r="AI369" s="532">
        <f t="shared" si="155"/>
        <v>5.7051698482301015E-10</v>
      </c>
      <c r="AJ369" s="221" t="str">
        <f t="shared" si="134"/>
        <v>NO</v>
      </c>
      <c r="AK369" s="533">
        <f>IF('IN-OUT'!$F$35=0,AG369,IF('IN-OUT'!$F$26=0,'transversal subsidence profile'!AI369,'transversal subsidence profile'!AG369+'transversal subsidence profile'!AI369))</f>
        <v>6.4124430066266466E-7</v>
      </c>
      <c r="AL369" s="513">
        <f t="shared" si="135"/>
        <v>1000</v>
      </c>
    </row>
    <row r="370" spans="1:38">
      <c r="A370" s="542">
        <f t="shared" si="156"/>
        <v>40</v>
      </c>
      <c r="B370" s="363">
        <f t="shared" si="136"/>
        <v>6.2014927749717002E-10</v>
      </c>
      <c r="C370" s="543">
        <f t="shared" si="137"/>
        <v>1.65373140665912E-9</v>
      </c>
      <c r="D370" s="542">
        <f t="shared" si="157"/>
        <v>40</v>
      </c>
      <c r="E370" s="363">
        <f t="shared" si="138"/>
        <v>6.2014927749717002E-10</v>
      </c>
      <c r="F370" s="543">
        <f t="shared" si="139"/>
        <v>1.65373140665912E-9</v>
      </c>
      <c r="G370" s="548">
        <f t="shared" si="140"/>
        <v>30</v>
      </c>
      <c r="H370" s="363">
        <f t="shared" si="141"/>
        <v>1.3447464619457143E-6</v>
      </c>
      <c r="I370" s="363">
        <f t="shared" si="142"/>
        <v>2.6894929238914286E-6</v>
      </c>
      <c r="J370" s="364">
        <f t="shared" si="143"/>
        <v>1.3453666112232114E-6</v>
      </c>
      <c r="K370" s="194">
        <f t="shared" si="144"/>
        <v>1.3447464619457142E-4</v>
      </c>
      <c r="L370" s="646">
        <f t="shared" si="145"/>
        <v>6.2014927749717004E-8</v>
      </c>
      <c r="M370" s="365">
        <f t="shared" si="146"/>
        <v>1.3453666112232113E-4</v>
      </c>
      <c r="N370" s="194">
        <f t="shared" si="147"/>
        <v>2.6894929238914283E-4</v>
      </c>
      <c r="O370" s="422">
        <f t="shared" si="148"/>
        <v>1.6537314066591201E-7</v>
      </c>
      <c r="P370" s="365">
        <f t="shared" si="149"/>
        <v>2.6911466552980877E-4</v>
      </c>
      <c r="S370" s="193"/>
      <c r="T370" s="193"/>
      <c r="U370" s="193"/>
      <c r="V370" s="193"/>
      <c r="W370" s="193"/>
      <c r="X370" s="193"/>
      <c r="Y370" s="503"/>
      <c r="Z370" s="193"/>
      <c r="AA370" s="520">
        <f t="shared" si="150"/>
        <v>-1.6812097742350125E-4</v>
      </c>
      <c r="AB370" s="496"/>
      <c r="AC370" s="521">
        <f t="shared" si="151"/>
        <v>-1.4104922433134079E-7</v>
      </c>
      <c r="AD370" s="496"/>
      <c r="AE370" s="522">
        <f t="shared" si="152"/>
        <v>-1.6826202664783259E-4</v>
      </c>
      <c r="AG370" s="531">
        <f t="shared" si="153"/>
        <v>5.5348469933662948E-7</v>
      </c>
      <c r="AH370" s="221" t="str">
        <f t="shared" si="154"/>
        <v>NO</v>
      </c>
      <c r="AI370" s="532">
        <f t="shared" si="155"/>
        <v>4.6435958627601905E-10</v>
      </c>
      <c r="AJ370" s="221" t="str">
        <f t="shared" si="134"/>
        <v>NO</v>
      </c>
      <c r="AK370" s="533">
        <f>IF('IN-OUT'!$F$35=0,AG370,IF('IN-OUT'!$F$26=0,'transversal subsidence profile'!AI370,'transversal subsidence profile'!AG370+'transversal subsidence profile'!AI370))</f>
        <v>5.5394905892290548E-7</v>
      </c>
      <c r="AL370" s="513">
        <f t="shared" si="135"/>
        <v>1000</v>
      </c>
    </row>
    <row r="371" spans="1:38">
      <c r="A371" s="542">
        <f t="shared" si="156"/>
        <v>40.25</v>
      </c>
      <c r="B371" s="363">
        <f t="shared" si="136"/>
        <v>4.9759953660370367E-10</v>
      </c>
      <c r="C371" s="543">
        <f t="shared" si="137"/>
        <v>1.3352254232199381E-9</v>
      </c>
      <c r="D371" s="542">
        <f t="shared" si="157"/>
        <v>40.25</v>
      </c>
      <c r="E371" s="363">
        <f t="shared" si="138"/>
        <v>4.9759953660370367E-10</v>
      </c>
      <c r="F371" s="543">
        <f t="shared" si="139"/>
        <v>1.3352254232199381E-9</v>
      </c>
      <c r="G371" s="548">
        <f t="shared" si="140"/>
        <v>30.25</v>
      </c>
      <c r="H371" s="363">
        <f t="shared" si="141"/>
        <v>1.1398658346772302E-6</v>
      </c>
      <c r="I371" s="363">
        <f t="shared" si="142"/>
        <v>2.2987294332657477E-6</v>
      </c>
      <c r="J371" s="364">
        <f t="shared" si="143"/>
        <v>1.1403634342138339E-6</v>
      </c>
      <c r="K371" s="194">
        <f t="shared" si="144"/>
        <v>1.1398658346772302E-4</v>
      </c>
      <c r="L371" s="646">
        <f t="shared" si="145"/>
        <v>4.9759953660370369E-8</v>
      </c>
      <c r="M371" s="365">
        <f t="shared" si="146"/>
        <v>1.1403634342138339E-4</v>
      </c>
      <c r="N371" s="194">
        <f t="shared" si="147"/>
        <v>2.2987294332657478E-4</v>
      </c>
      <c r="O371" s="422">
        <f t="shared" si="148"/>
        <v>1.3352254232199381E-7</v>
      </c>
      <c r="P371" s="365">
        <f t="shared" si="149"/>
        <v>2.3000646586889678E-4</v>
      </c>
      <c r="S371" s="193"/>
      <c r="T371" s="193"/>
      <c r="U371" s="193"/>
      <c r="V371" s="193"/>
      <c r="W371" s="193"/>
      <c r="X371" s="193"/>
      <c r="Y371" s="503"/>
      <c r="Z371" s="193"/>
      <c r="AA371" s="520">
        <f t="shared" si="150"/>
        <v>-1.450188705261054E-4</v>
      </c>
      <c r="AB371" s="496"/>
      <c r="AC371" s="521">
        <f t="shared" si="151"/>
        <v>-1.1463674006511662E-7</v>
      </c>
      <c r="AD371" s="496"/>
      <c r="AE371" s="522">
        <f t="shared" si="152"/>
        <v>-1.4513350726617051E-4</v>
      </c>
      <c r="AG371" s="531">
        <f t="shared" si="153"/>
        <v>4.7742838033285727E-7</v>
      </c>
      <c r="AH371" s="221" t="str">
        <f t="shared" si="154"/>
        <v>NO</v>
      </c>
      <c r="AI371" s="532">
        <f t="shared" si="155"/>
        <v>3.7740490556416989E-10</v>
      </c>
      <c r="AJ371" s="221" t="str">
        <f t="shared" si="134"/>
        <v>NO</v>
      </c>
      <c r="AK371" s="533">
        <f>IF('IN-OUT'!$F$35=0,AG371,IF('IN-OUT'!$F$26=0,'transversal subsidence profile'!AI371,'transversal subsidence profile'!AG371+'transversal subsidence profile'!AI371))</f>
        <v>4.7780578523842148E-7</v>
      </c>
      <c r="AL371" s="513">
        <f t="shared" si="135"/>
        <v>1000</v>
      </c>
    </row>
    <row r="372" spans="1:38">
      <c r="A372" s="542">
        <f t="shared" si="156"/>
        <v>40.5</v>
      </c>
      <c r="B372" s="363">
        <f t="shared" si="136"/>
        <v>3.987199373359212E-10</v>
      </c>
      <c r="C372" s="543">
        <f t="shared" si="137"/>
        <v>1.0765438308069875E-9</v>
      </c>
      <c r="D372" s="542">
        <f t="shared" si="157"/>
        <v>40.5</v>
      </c>
      <c r="E372" s="363">
        <f t="shared" si="138"/>
        <v>3.987199373359212E-10</v>
      </c>
      <c r="F372" s="543">
        <f t="shared" si="139"/>
        <v>1.0765438308069875E-9</v>
      </c>
      <c r="G372" s="548">
        <f t="shared" si="140"/>
        <v>30.5</v>
      </c>
      <c r="H372" s="363">
        <f t="shared" si="141"/>
        <v>9.6487559788146035E-7</v>
      </c>
      <c r="I372" s="363">
        <f t="shared" si="142"/>
        <v>1.9619137156923026E-6</v>
      </c>
      <c r="J372" s="364">
        <f t="shared" si="143"/>
        <v>9.6527431781879626E-7</v>
      </c>
      <c r="K372" s="194">
        <f t="shared" si="144"/>
        <v>9.648755978814604E-5</v>
      </c>
      <c r="L372" s="646">
        <f t="shared" si="145"/>
        <v>3.9871993733592123E-8</v>
      </c>
      <c r="M372" s="365">
        <f t="shared" si="146"/>
        <v>9.6527431781879625E-5</v>
      </c>
      <c r="N372" s="194">
        <f t="shared" si="147"/>
        <v>1.9619137156923026E-4</v>
      </c>
      <c r="O372" s="422">
        <f t="shared" si="148"/>
        <v>1.0765438308069874E-7</v>
      </c>
      <c r="P372" s="365">
        <f t="shared" si="149"/>
        <v>1.9629902595231095E-4</v>
      </c>
      <c r="S372" s="193"/>
      <c r="T372" s="193"/>
      <c r="U372" s="193"/>
      <c r="V372" s="193"/>
      <c r="W372" s="193"/>
      <c r="X372" s="193"/>
      <c r="Y372" s="503"/>
      <c r="Z372" s="193"/>
      <c r="AA372" s="520">
        <f t="shared" si="150"/>
        <v>-1.2489999165991831E-4</v>
      </c>
      <c r="AB372" s="496"/>
      <c r="AC372" s="521">
        <f t="shared" si="151"/>
        <v>-9.303465204504829E-8</v>
      </c>
      <c r="AD372" s="496"/>
      <c r="AE372" s="522">
        <f t="shared" si="152"/>
        <v>-1.2499302631196335E-4</v>
      </c>
      <c r="AG372" s="531">
        <f t="shared" si="153"/>
        <v>4.1119338818080111E-7</v>
      </c>
      <c r="AH372" s="221" t="str">
        <f t="shared" si="154"/>
        <v>NO</v>
      </c>
      <c r="AI372" s="532">
        <f t="shared" si="155"/>
        <v>3.0628692031291619E-10</v>
      </c>
      <c r="AJ372" s="221" t="str">
        <f t="shared" si="134"/>
        <v>NO</v>
      </c>
      <c r="AK372" s="533">
        <f>IF('IN-OUT'!$F$35=0,AG372,IF('IN-OUT'!$F$26=0,'transversal subsidence profile'!AI372,'transversal subsidence profile'!AG372+'transversal subsidence profile'!AI372))</f>
        <v>4.1149967510111401E-7</v>
      </c>
      <c r="AL372" s="513">
        <f t="shared" si="135"/>
        <v>1000</v>
      </c>
    </row>
    <row r="373" spans="1:38">
      <c r="A373" s="542">
        <f t="shared" si="156"/>
        <v>40.75</v>
      </c>
      <c r="B373" s="363">
        <f t="shared" si="136"/>
        <v>3.1905106416212858E-10</v>
      </c>
      <c r="C373" s="543">
        <f t="shared" si="137"/>
        <v>8.6675539097378271E-10</v>
      </c>
      <c r="D373" s="542">
        <f t="shared" si="157"/>
        <v>40.75</v>
      </c>
      <c r="E373" s="363">
        <f t="shared" si="138"/>
        <v>3.1905106416212858E-10</v>
      </c>
      <c r="F373" s="543">
        <f t="shared" si="139"/>
        <v>8.6675539097378271E-10</v>
      </c>
      <c r="G373" s="548">
        <f t="shared" si="140"/>
        <v>30.75</v>
      </c>
      <c r="H373" s="363">
        <f t="shared" si="141"/>
        <v>8.1562995871016387E-7</v>
      </c>
      <c r="I373" s="363">
        <f t="shared" si="142"/>
        <v>1.6720414153558358E-6</v>
      </c>
      <c r="J373" s="364">
        <f t="shared" si="143"/>
        <v>8.1594900977432597E-7</v>
      </c>
      <c r="K373" s="194">
        <f t="shared" si="144"/>
        <v>8.1562995871016392E-5</v>
      </c>
      <c r="L373" s="646">
        <f t="shared" si="145"/>
        <v>3.190510641621286E-8</v>
      </c>
      <c r="M373" s="365">
        <f t="shared" si="146"/>
        <v>8.1594900977432599E-5</v>
      </c>
      <c r="N373" s="194">
        <f t="shared" si="147"/>
        <v>1.6720414153558358E-4</v>
      </c>
      <c r="O373" s="422">
        <f t="shared" si="148"/>
        <v>8.6675539097378266E-8</v>
      </c>
      <c r="P373" s="365">
        <f t="shared" si="149"/>
        <v>1.6729081707468095E-4</v>
      </c>
      <c r="S373" s="193"/>
      <c r="T373" s="193"/>
      <c r="U373" s="193"/>
      <c r="V373" s="193"/>
      <c r="W373" s="193"/>
      <c r="X373" s="193"/>
      <c r="Y373" s="503"/>
      <c r="Z373" s="193"/>
      <c r="AA373" s="520">
        <f t="shared" si="150"/>
        <v>-1.074080604062767E-4</v>
      </c>
      <c r="AB373" s="496"/>
      <c r="AC373" s="521">
        <f t="shared" si="151"/>
        <v>-7.5393502496107925E-8</v>
      </c>
      <c r="AD373" s="496"/>
      <c r="AE373" s="522">
        <f t="shared" si="152"/>
        <v>-1.0748345390877281E-4</v>
      </c>
      <c r="AG373" s="531">
        <f t="shared" si="153"/>
        <v>3.5360678323054059E-7</v>
      </c>
      <c r="AH373" s="221" t="str">
        <f t="shared" si="154"/>
        <v>NO</v>
      </c>
      <c r="AI373" s="532">
        <f t="shared" si="155"/>
        <v>2.4820906171558165E-10</v>
      </c>
      <c r="AJ373" s="221" t="str">
        <f t="shared" si="134"/>
        <v>NO</v>
      </c>
      <c r="AK373" s="533">
        <f>IF('IN-OUT'!$F$35=0,AG373,IF('IN-OUT'!$F$26=0,'transversal subsidence profile'!AI373,'transversal subsidence profile'!AG373+'transversal subsidence profile'!AI373))</f>
        <v>3.5385499229225618E-7</v>
      </c>
      <c r="AL373" s="513">
        <f t="shared" si="135"/>
        <v>1000</v>
      </c>
    </row>
    <row r="374" spans="1:38">
      <c r="A374" s="542">
        <f t="shared" si="156"/>
        <v>41</v>
      </c>
      <c r="B374" s="363">
        <f t="shared" si="136"/>
        <v>2.5495098992823882E-10</v>
      </c>
      <c r="C374" s="543">
        <f t="shared" si="137"/>
        <v>6.9686603913718603E-10</v>
      </c>
      <c r="D374" s="542">
        <f t="shared" si="157"/>
        <v>41</v>
      </c>
      <c r="E374" s="363">
        <f t="shared" si="138"/>
        <v>2.5495098992823882E-10</v>
      </c>
      <c r="F374" s="543">
        <f t="shared" si="139"/>
        <v>6.9686603913718603E-10</v>
      </c>
      <c r="G374" s="548">
        <f t="shared" si="140"/>
        <v>31</v>
      </c>
      <c r="H374" s="363">
        <f t="shared" si="141"/>
        <v>6.8852430522042997E-7</v>
      </c>
      <c r="I374" s="363">
        <f t="shared" si="142"/>
        <v>1.4229502307888884E-6</v>
      </c>
      <c r="J374" s="364">
        <f t="shared" si="143"/>
        <v>6.887792562103582E-7</v>
      </c>
      <c r="K374" s="194">
        <f t="shared" si="144"/>
        <v>6.8852430522042994E-5</v>
      </c>
      <c r="L374" s="646">
        <f t="shared" si="145"/>
        <v>2.5495098992823883E-8</v>
      </c>
      <c r="M374" s="365">
        <f t="shared" si="146"/>
        <v>6.8877925621035817E-5</v>
      </c>
      <c r="N374" s="194">
        <f t="shared" si="147"/>
        <v>1.4229502307888884E-4</v>
      </c>
      <c r="O374" s="422">
        <f t="shared" si="148"/>
        <v>6.9686603913718604E-8</v>
      </c>
      <c r="P374" s="365">
        <f t="shared" si="149"/>
        <v>1.4236470968280256E-4</v>
      </c>
      <c r="S374" s="193"/>
      <c r="T374" s="193"/>
      <c r="U374" s="193"/>
      <c r="V374" s="193"/>
      <c r="W374" s="193"/>
      <c r="X374" s="193"/>
      <c r="Y374" s="503"/>
      <c r="Z374" s="193"/>
      <c r="AA374" s="520">
        <f t="shared" si="150"/>
        <v>-9.2225107439996684E-5</v>
      </c>
      <c r="AB374" s="496"/>
      <c r="AC374" s="521">
        <f t="shared" si="151"/>
        <v>-6.1008711051232058E-8</v>
      </c>
      <c r="AD374" s="496"/>
      <c r="AE374" s="522">
        <f t="shared" si="152"/>
        <v>-9.2286116151047917E-5</v>
      </c>
      <c r="AG374" s="531">
        <f t="shared" si="153"/>
        <v>3.0362175288887793E-7</v>
      </c>
      <c r="AH374" s="221" t="str">
        <f t="shared" si="154"/>
        <v>NO</v>
      </c>
      <c r="AI374" s="532">
        <f t="shared" si="155"/>
        <v>2.0085172362545533E-10</v>
      </c>
      <c r="AJ374" s="221" t="str">
        <f t="shared" si="134"/>
        <v>NO</v>
      </c>
      <c r="AK374" s="533">
        <f>IF('IN-OUT'!$F$35=0,AG374,IF('IN-OUT'!$F$26=0,'transversal subsidence profile'!AI374,'transversal subsidence profile'!AG374+'transversal subsidence profile'!AI374))</f>
        <v>3.0382260461250339E-7</v>
      </c>
      <c r="AL374" s="513">
        <f t="shared" si="135"/>
        <v>1000</v>
      </c>
    </row>
    <row r="375" spans="1:38">
      <c r="A375" s="542">
        <f t="shared" si="156"/>
        <v>41.25</v>
      </c>
      <c r="B375" s="363">
        <f t="shared" si="136"/>
        <v>2.0344989387549568E-10</v>
      </c>
      <c r="C375" s="543">
        <f t="shared" si="137"/>
        <v>5.5948720815761305E-10</v>
      </c>
      <c r="D375" s="542">
        <f t="shared" si="157"/>
        <v>41.25</v>
      </c>
      <c r="E375" s="363">
        <f t="shared" si="138"/>
        <v>2.0344989387549568E-10</v>
      </c>
      <c r="F375" s="543">
        <f t="shared" si="139"/>
        <v>5.5948720815761305E-10</v>
      </c>
      <c r="G375" s="548">
        <f t="shared" si="140"/>
        <v>31.25</v>
      </c>
      <c r="H375" s="363">
        <f t="shared" si="141"/>
        <v>5.804297202772394E-7</v>
      </c>
      <c r="I375" s="363">
        <f t="shared" si="142"/>
        <v>1.2092285839109156E-6</v>
      </c>
      <c r="J375" s="364">
        <f t="shared" si="143"/>
        <v>5.8063317017111489E-7</v>
      </c>
      <c r="K375" s="194">
        <f t="shared" si="144"/>
        <v>5.804297202772394E-5</v>
      </c>
      <c r="L375" s="646">
        <f t="shared" si="145"/>
        <v>2.0344989387549566E-8</v>
      </c>
      <c r="M375" s="365">
        <f t="shared" si="146"/>
        <v>5.8063317017111492E-5</v>
      </c>
      <c r="N375" s="194">
        <f t="shared" si="147"/>
        <v>1.2092285839109156E-4</v>
      </c>
      <c r="O375" s="422">
        <f t="shared" si="148"/>
        <v>5.5948720815761308E-8</v>
      </c>
      <c r="P375" s="365">
        <f t="shared" si="149"/>
        <v>1.2097880711190732E-4</v>
      </c>
      <c r="S375" s="193"/>
      <c r="T375" s="193"/>
      <c r="U375" s="193"/>
      <c r="V375" s="193"/>
      <c r="W375" s="193"/>
      <c r="X375" s="193"/>
      <c r="Y375" s="503"/>
      <c r="Z375" s="193"/>
      <c r="AA375" s="520">
        <f t="shared" si="150"/>
        <v>-7.9067957139915482E-5</v>
      </c>
      <c r="AB375" s="496"/>
      <c r="AC375" s="521">
        <f t="shared" si="151"/>
        <v>-4.9296830252630389E-8</v>
      </c>
      <c r="AD375" s="496"/>
      <c r="AE375" s="522">
        <f t="shared" si="152"/>
        <v>-7.9117253970168119E-5</v>
      </c>
      <c r="AG375" s="531">
        <f t="shared" si="153"/>
        <v>2.6030603173634727E-7</v>
      </c>
      <c r="AH375" s="221" t="str">
        <f t="shared" si="154"/>
        <v>NO</v>
      </c>
      <c r="AI375" s="532">
        <f t="shared" si="155"/>
        <v>1.6229409136668441E-10</v>
      </c>
      <c r="AJ375" s="221" t="str">
        <f t="shared" si="134"/>
        <v>NO</v>
      </c>
      <c r="AK375" s="533">
        <f>IF('IN-OUT'!$F$35=0,AG375,IF('IN-OUT'!$F$26=0,'transversal subsidence profile'!AI375,'transversal subsidence profile'!AG375+'transversal subsidence profile'!AI375))</f>
        <v>2.6046832582771394E-7</v>
      </c>
      <c r="AL375" s="513">
        <f t="shared" si="135"/>
        <v>1000</v>
      </c>
    </row>
    <row r="376" spans="1:38">
      <c r="A376" s="542">
        <f t="shared" si="156"/>
        <v>41.5</v>
      </c>
      <c r="B376" s="363">
        <f t="shared" si="136"/>
        <v>1.6212966773844231E-10</v>
      </c>
      <c r="C376" s="543">
        <f t="shared" si="137"/>
        <v>4.4855874740969039E-10</v>
      </c>
      <c r="D376" s="542">
        <f t="shared" si="157"/>
        <v>41.5</v>
      </c>
      <c r="E376" s="363">
        <f t="shared" si="138"/>
        <v>1.6212966773844231E-10</v>
      </c>
      <c r="F376" s="543">
        <f t="shared" si="139"/>
        <v>4.4855874740969039E-10</v>
      </c>
      <c r="G376" s="548">
        <f t="shared" si="140"/>
        <v>31.5</v>
      </c>
      <c r="H376" s="363">
        <f t="shared" si="141"/>
        <v>4.8863465875158187E-7</v>
      </c>
      <c r="I376" s="363">
        <f t="shared" si="142"/>
        <v>1.026132783378322E-6</v>
      </c>
      <c r="J376" s="364">
        <f t="shared" si="143"/>
        <v>4.8879678841932036E-7</v>
      </c>
      <c r="K376" s="194">
        <f t="shared" si="144"/>
        <v>4.886346587515819E-5</v>
      </c>
      <c r="L376" s="646">
        <f t="shared" si="145"/>
        <v>1.6212966773844232E-8</v>
      </c>
      <c r="M376" s="365">
        <f t="shared" si="146"/>
        <v>4.8879678841932032E-5</v>
      </c>
      <c r="N376" s="194">
        <f t="shared" si="147"/>
        <v>1.0261327833783219E-4</v>
      </c>
      <c r="O376" s="422">
        <f t="shared" si="148"/>
        <v>4.4855874740969038E-8</v>
      </c>
      <c r="P376" s="365">
        <f t="shared" si="149"/>
        <v>1.0265813421257316E-4</v>
      </c>
      <c r="S376" s="193"/>
      <c r="T376" s="193"/>
      <c r="U376" s="193"/>
      <c r="V376" s="193"/>
      <c r="W376" s="193"/>
      <c r="X376" s="193"/>
      <c r="Y376" s="503"/>
      <c r="Z376" s="193"/>
      <c r="AA376" s="520">
        <f t="shared" si="150"/>
        <v>-6.7684949027070957E-5</v>
      </c>
      <c r="AB376" s="496"/>
      <c r="AC376" s="521">
        <f t="shared" si="151"/>
        <v>-3.9775515285040622E-8</v>
      </c>
      <c r="AD376" s="496"/>
      <c r="AE376" s="522">
        <f t="shared" si="152"/>
        <v>-6.7724724542355994E-5</v>
      </c>
      <c r="AG376" s="531">
        <f t="shared" si="153"/>
        <v>2.2283110790805255E-7</v>
      </c>
      <c r="AH376" s="221" t="str">
        <f t="shared" si="154"/>
        <v>NO</v>
      </c>
      <c r="AI376" s="532">
        <f t="shared" si="155"/>
        <v>1.3094819846926952E-10</v>
      </c>
      <c r="AJ376" s="221" t="str">
        <f t="shared" si="134"/>
        <v>NO</v>
      </c>
      <c r="AK376" s="533">
        <f>IF('IN-OUT'!$F$35=0,AG376,IF('IN-OUT'!$F$26=0,'transversal subsidence profile'!AI376,'transversal subsidence profile'!AG376+'transversal subsidence profile'!AI376))</f>
        <v>2.2296205610652183E-7</v>
      </c>
      <c r="AL376" s="513">
        <f t="shared" si="135"/>
        <v>1000</v>
      </c>
    </row>
    <row r="377" spans="1:38">
      <c r="A377" s="542">
        <f t="shared" si="156"/>
        <v>41.75</v>
      </c>
      <c r="B377" s="363">
        <f t="shared" si="136"/>
        <v>1.290243790614516E-10</v>
      </c>
      <c r="C377" s="543">
        <f t="shared" si="137"/>
        <v>3.5911785505437364E-10</v>
      </c>
      <c r="D377" s="542">
        <f t="shared" si="157"/>
        <v>41.75</v>
      </c>
      <c r="E377" s="363">
        <f t="shared" si="138"/>
        <v>1.290243790614516E-10</v>
      </c>
      <c r="F377" s="543">
        <f t="shared" si="139"/>
        <v>3.5911785505437364E-10</v>
      </c>
      <c r="G377" s="548">
        <f t="shared" si="140"/>
        <v>31.75</v>
      </c>
      <c r="H377" s="363">
        <f t="shared" si="141"/>
        <v>4.10793113341369E-7</v>
      </c>
      <c r="I377" s="363">
        <f t="shared" si="142"/>
        <v>8.6951208990589773E-7</v>
      </c>
      <c r="J377" s="364">
        <f t="shared" si="143"/>
        <v>4.1092213772043043E-7</v>
      </c>
      <c r="K377" s="194">
        <f t="shared" si="144"/>
        <v>4.1079311334136901E-5</v>
      </c>
      <c r="L377" s="646">
        <f t="shared" si="145"/>
        <v>1.2902437906145159E-8</v>
      </c>
      <c r="M377" s="365">
        <f t="shared" si="146"/>
        <v>4.1092213772043049E-5</v>
      </c>
      <c r="N377" s="194">
        <f t="shared" si="147"/>
        <v>8.6951208990589769E-5</v>
      </c>
      <c r="O377" s="422">
        <f t="shared" si="148"/>
        <v>3.5911785505437363E-8</v>
      </c>
      <c r="P377" s="365">
        <f t="shared" si="149"/>
        <v>8.6987120776095206E-5</v>
      </c>
      <c r="S377" s="193"/>
      <c r="T377" s="193"/>
      <c r="U377" s="193"/>
      <c r="V377" s="193"/>
      <c r="W377" s="193"/>
      <c r="X377" s="193"/>
      <c r="Y377" s="503"/>
      <c r="Z377" s="193"/>
      <c r="AA377" s="520">
        <f t="shared" si="150"/>
        <v>-5.7852893877065229E-5</v>
      </c>
      <c r="AB377" s="496"/>
      <c r="AC377" s="521">
        <f t="shared" si="151"/>
        <v>-3.2046658759113176E-8</v>
      </c>
      <c r="AD377" s="496"/>
      <c r="AE377" s="522">
        <f t="shared" si="152"/>
        <v>-5.7884940535824343E-5</v>
      </c>
      <c r="AG377" s="531">
        <f t="shared" si="153"/>
        <v>1.9046220206441224E-7</v>
      </c>
      <c r="AH377" s="221" t="str">
        <f t="shared" si="154"/>
        <v>NO</v>
      </c>
      <c r="AI377" s="532">
        <f t="shared" si="155"/>
        <v>1.0550340332218329E-10</v>
      </c>
      <c r="AJ377" s="221" t="str">
        <f t="shared" si="134"/>
        <v>NO</v>
      </c>
      <c r="AK377" s="533">
        <f>IF('IN-OUT'!$F$35=0,AG377,IF('IN-OUT'!$F$26=0,'transversal subsidence profile'!AI377,'transversal subsidence profile'!AG377+'transversal subsidence profile'!AI377))</f>
        <v>1.9056770546773443E-7</v>
      </c>
      <c r="AL377" s="513">
        <f t="shared" si="135"/>
        <v>1000</v>
      </c>
    </row>
    <row r="378" spans="1:38">
      <c r="A378" s="542">
        <f t="shared" si="156"/>
        <v>42</v>
      </c>
      <c r="B378" s="363">
        <f t="shared" si="136"/>
        <v>1.0253811341284479E-10</v>
      </c>
      <c r="C378" s="543">
        <f t="shared" si="137"/>
        <v>2.8710671755596545E-10</v>
      </c>
      <c r="D378" s="542">
        <f t="shared" si="157"/>
        <v>42</v>
      </c>
      <c r="E378" s="363">
        <f t="shared" si="138"/>
        <v>1.0253811341284479E-10</v>
      </c>
      <c r="F378" s="543">
        <f t="shared" si="139"/>
        <v>2.8710671755596545E-10</v>
      </c>
      <c r="G378" s="548">
        <f t="shared" si="140"/>
        <v>32</v>
      </c>
      <c r="H378" s="363">
        <f t="shared" si="141"/>
        <v>3.4487864259477436E-7</v>
      </c>
      <c r="I378" s="363">
        <f t="shared" si="142"/>
        <v>7.3574110420218521E-7</v>
      </c>
      <c r="J378" s="364">
        <f t="shared" si="143"/>
        <v>3.449811807081872E-7</v>
      </c>
      <c r="K378" s="194">
        <f t="shared" si="144"/>
        <v>3.4487864259477438E-5</v>
      </c>
      <c r="L378" s="646">
        <f t="shared" si="145"/>
        <v>1.0253811341284478E-8</v>
      </c>
      <c r="M378" s="365">
        <f t="shared" si="146"/>
        <v>3.4498118070818721E-5</v>
      </c>
      <c r="N378" s="194">
        <f t="shared" si="147"/>
        <v>7.3574110420218525E-5</v>
      </c>
      <c r="O378" s="422">
        <f t="shared" si="148"/>
        <v>2.8710671755596544E-8</v>
      </c>
      <c r="P378" s="365">
        <f t="shared" si="149"/>
        <v>7.3602821091974121E-5</v>
      </c>
      <c r="S378" s="193"/>
      <c r="T378" s="193"/>
      <c r="U378" s="193"/>
      <c r="V378" s="193"/>
      <c r="W378" s="193"/>
      <c r="X378" s="193"/>
      <c r="Y378" s="503"/>
      <c r="Z378" s="193"/>
      <c r="AA378" s="520">
        <f t="shared" si="150"/>
        <v>-4.9374258343129331E-5</v>
      </c>
      <c r="AB378" s="496"/>
      <c r="AC378" s="521">
        <f t="shared" si="151"/>
        <v>-2.5782216993929284E-8</v>
      </c>
      <c r="AD378" s="496"/>
      <c r="AE378" s="522">
        <f t="shared" si="152"/>
        <v>-4.9400040560123261E-5</v>
      </c>
      <c r="AG378" s="531">
        <f t="shared" si="153"/>
        <v>1.6254899866050806E-7</v>
      </c>
      <c r="AH378" s="221" t="str">
        <f t="shared" si="154"/>
        <v>NO</v>
      </c>
      <c r="AI378" s="532">
        <f t="shared" si="155"/>
        <v>8.4879726728985296E-11</v>
      </c>
      <c r="AJ378" s="221" t="str">
        <f t="shared" si="134"/>
        <v>NO</v>
      </c>
      <c r="AK378" s="533">
        <f>IF('IN-OUT'!$F$35=0,AG378,IF('IN-OUT'!$F$26=0,'transversal subsidence profile'!AI378,'transversal subsidence profile'!AG378+'transversal subsidence profile'!AI378))</f>
        <v>1.6263387838723705E-7</v>
      </c>
      <c r="AL378" s="513">
        <f t="shared" si="135"/>
        <v>1000</v>
      </c>
    </row>
    <row r="379" spans="1:38">
      <c r="A379" s="542">
        <f t="shared" si="156"/>
        <v>42.25</v>
      </c>
      <c r="B379" s="363">
        <f t="shared" si="136"/>
        <v>8.1377272115771769E-11</v>
      </c>
      <c r="C379" s="543">
        <f t="shared" si="137"/>
        <v>2.2921264979275718E-10</v>
      </c>
      <c r="D379" s="542">
        <f t="shared" si="157"/>
        <v>42.25</v>
      </c>
      <c r="E379" s="363">
        <f t="shared" si="138"/>
        <v>8.1377272115771769E-11</v>
      </c>
      <c r="F379" s="543">
        <f t="shared" si="139"/>
        <v>2.2921264979275718E-10</v>
      </c>
      <c r="G379" s="548">
        <f t="shared" si="140"/>
        <v>32.25</v>
      </c>
      <c r="H379" s="363">
        <f t="shared" si="141"/>
        <v>2.8914368170663837E-7</v>
      </c>
      <c r="I379" s="363">
        <f t="shared" si="142"/>
        <v>6.2165891566927255E-7</v>
      </c>
      <c r="J379" s="364">
        <f t="shared" si="143"/>
        <v>2.8922505897875416E-7</v>
      </c>
      <c r="K379" s="194">
        <f t="shared" si="144"/>
        <v>2.8914368170663838E-5</v>
      </c>
      <c r="L379" s="646">
        <f t="shared" si="145"/>
        <v>8.1377272115771774E-9</v>
      </c>
      <c r="M379" s="365">
        <f t="shared" si="146"/>
        <v>2.8922505897875416E-5</v>
      </c>
      <c r="N379" s="194">
        <f t="shared" si="147"/>
        <v>6.2165891566927259E-5</v>
      </c>
      <c r="O379" s="422">
        <f t="shared" si="148"/>
        <v>2.2921264979275717E-8</v>
      </c>
      <c r="P379" s="365">
        <f t="shared" si="149"/>
        <v>6.2188812831906541E-5</v>
      </c>
      <c r="S379" s="193"/>
      <c r="T379" s="193"/>
      <c r="U379" s="193"/>
      <c r="V379" s="193"/>
      <c r="W379" s="193"/>
      <c r="X379" s="193"/>
      <c r="Y379" s="503"/>
      <c r="Z379" s="193"/>
      <c r="AA379" s="520">
        <f t="shared" si="150"/>
        <v>-4.2074570309245817E-5</v>
      </c>
      <c r="AB379" s="496"/>
      <c r="AC379" s="521">
        <f t="shared" si="151"/>
        <v>-2.0712320416334336E-8</v>
      </c>
      <c r="AD379" s="496"/>
      <c r="AE379" s="522">
        <f t="shared" si="152"/>
        <v>-4.2095282629662149E-5</v>
      </c>
      <c r="AG379" s="531">
        <f t="shared" si="153"/>
        <v>1.3851710389875164E-7</v>
      </c>
      <c r="AH379" s="221" t="str">
        <f t="shared" si="154"/>
        <v>NO</v>
      </c>
      <c r="AI379" s="532">
        <f t="shared" si="155"/>
        <v>6.8188709189578058E-11</v>
      </c>
      <c r="AJ379" s="221" t="str">
        <f t="shared" si="134"/>
        <v>NO</v>
      </c>
      <c r="AK379" s="533">
        <f>IF('IN-OUT'!$F$35=0,AG379,IF('IN-OUT'!$F$26=0,'transversal subsidence profile'!AI379,'transversal subsidence profile'!AG379+'transversal subsidence profile'!AI379))</f>
        <v>1.3858529260794122E-7</v>
      </c>
      <c r="AL379" s="513">
        <f t="shared" si="135"/>
        <v>1000</v>
      </c>
    </row>
    <row r="380" spans="1:38">
      <c r="A380" s="542">
        <f t="shared" si="156"/>
        <v>42.5</v>
      </c>
      <c r="B380" s="363">
        <f t="shared" si="136"/>
        <v>6.4494873086965418E-11</v>
      </c>
      <c r="C380" s="543">
        <f t="shared" si="137"/>
        <v>1.82735473746402E-10</v>
      </c>
      <c r="D380" s="542">
        <f t="shared" si="157"/>
        <v>42.5</v>
      </c>
      <c r="E380" s="363">
        <f t="shared" si="138"/>
        <v>6.4494873086965418E-11</v>
      </c>
      <c r="F380" s="543">
        <f t="shared" si="139"/>
        <v>1.82735473746402E-10</v>
      </c>
      <c r="G380" s="548">
        <f t="shared" si="140"/>
        <v>32.5</v>
      </c>
      <c r="H380" s="363">
        <f t="shared" si="141"/>
        <v>2.4208360205461144E-7</v>
      </c>
      <c r="I380" s="363">
        <f t="shared" si="142"/>
        <v>5.2451447111832478E-7</v>
      </c>
      <c r="J380" s="364">
        <f t="shared" si="143"/>
        <v>2.4214809692769839E-7</v>
      </c>
      <c r="K380" s="194">
        <f t="shared" si="144"/>
        <v>2.4208360205461144E-5</v>
      </c>
      <c r="L380" s="646">
        <f t="shared" si="145"/>
        <v>6.4494873086965421E-9</v>
      </c>
      <c r="M380" s="365">
        <f t="shared" si="146"/>
        <v>2.4214809692769842E-5</v>
      </c>
      <c r="N380" s="194">
        <f t="shared" si="147"/>
        <v>5.2451447111832479E-5</v>
      </c>
      <c r="O380" s="422">
        <f t="shared" si="148"/>
        <v>1.8273547374640201E-8</v>
      </c>
      <c r="P380" s="365">
        <f t="shared" si="149"/>
        <v>5.2469720659207116E-5</v>
      </c>
      <c r="S380" s="193"/>
      <c r="T380" s="193"/>
      <c r="U380" s="193"/>
      <c r="V380" s="193"/>
      <c r="W380" s="193"/>
      <c r="X380" s="193"/>
      <c r="Y380" s="503"/>
      <c r="Z380" s="193"/>
      <c r="AA380" s="520">
        <f t="shared" si="150"/>
        <v>-3.5800035928899141E-5</v>
      </c>
      <c r="AB380" s="496"/>
      <c r="AC380" s="521">
        <f t="shared" si="151"/>
        <v>-1.6615318424626453E-8</v>
      </c>
      <c r="AD380" s="496"/>
      <c r="AE380" s="522">
        <f t="shared" si="152"/>
        <v>-3.5816651247323766E-5</v>
      </c>
      <c r="AG380" s="531">
        <f t="shared" si="153"/>
        <v>1.1786020058896835E-7</v>
      </c>
      <c r="AH380" s="221" t="str">
        <f t="shared" si="154"/>
        <v>NO</v>
      </c>
      <c r="AI380" s="532">
        <f t="shared" si="155"/>
        <v>5.4700636788893667E-11</v>
      </c>
      <c r="AJ380" s="221" t="str">
        <f t="shared" si="134"/>
        <v>NO</v>
      </c>
      <c r="AK380" s="533">
        <f>IF('IN-OUT'!$F$35=0,AG380,IF('IN-OUT'!$F$26=0,'transversal subsidence profile'!AI380,'transversal subsidence profile'!AG380+'transversal subsidence profile'!AI380))</f>
        <v>1.1791490122575725E-7</v>
      </c>
      <c r="AL380" s="513">
        <f t="shared" si="135"/>
        <v>1000</v>
      </c>
    </row>
    <row r="381" spans="1:38">
      <c r="A381" s="542">
        <f t="shared" si="156"/>
        <v>42.75</v>
      </c>
      <c r="B381" s="363">
        <f t="shared" si="136"/>
        <v>5.1044801272981394E-11</v>
      </c>
      <c r="C381" s="543">
        <f t="shared" si="137"/>
        <v>1.4547768362799698E-10</v>
      </c>
      <c r="D381" s="542">
        <f t="shared" si="157"/>
        <v>42.75</v>
      </c>
      <c r="E381" s="363">
        <f t="shared" si="138"/>
        <v>5.1044801272981394E-11</v>
      </c>
      <c r="F381" s="543">
        <f t="shared" si="139"/>
        <v>1.4547768362799698E-10</v>
      </c>
      <c r="G381" s="548">
        <f t="shared" si="140"/>
        <v>32.75</v>
      </c>
      <c r="H381" s="363">
        <f t="shared" si="141"/>
        <v>2.0240502898220163E-7</v>
      </c>
      <c r="I381" s="363">
        <f t="shared" si="142"/>
        <v>4.4191764661114027E-7</v>
      </c>
      <c r="J381" s="364">
        <f t="shared" si="143"/>
        <v>2.0245607378347461E-7</v>
      </c>
      <c r="K381" s="194">
        <f t="shared" si="144"/>
        <v>2.0240502898220164E-5</v>
      </c>
      <c r="L381" s="646">
        <f t="shared" si="145"/>
        <v>5.1044801272981395E-9</v>
      </c>
      <c r="M381" s="365">
        <f t="shared" si="146"/>
        <v>2.0245607378347463E-5</v>
      </c>
      <c r="N381" s="194">
        <f t="shared" si="147"/>
        <v>4.4191764661114027E-5</v>
      </c>
      <c r="O381" s="422">
        <f t="shared" si="148"/>
        <v>1.4547768362799697E-8</v>
      </c>
      <c r="P381" s="365">
        <f t="shared" si="149"/>
        <v>4.4206312429476824E-5</v>
      </c>
      <c r="S381" s="193"/>
      <c r="T381" s="193"/>
      <c r="U381" s="193"/>
      <c r="V381" s="193"/>
      <c r="W381" s="193"/>
      <c r="X381" s="193"/>
      <c r="Y381" s="503"/>
      <c r="Z381" s="193"/>
      <c r="AA381" s="520">
        <f t="shared" si="150"/>
        <v>-3.0415358356063437E-5</v>
      </c>
      <c r="AB381" s="496"/>
      <c r="AC381" s="521">
        <f t="shared" si="151"/>
        <v>-1.3309459294881077E-8</v>
      </c>
      <c r="AD381" s="496"/>
      <c r="AE381" s="522">
        <f t="shared" si="152"/>
        <v>-3.0428667815358318E-5</v>
      </c>
      <c r="AG381" s="531">
        <f t="shared" si="153"/>
        <v>1.0013286701584671E-7</v>
      </c>
      <c r="AH381" s="221" t="str">
        <f t="shared" si="154"/>
        <v>NO</v>
      </c>
      <c r="AI381" s="532">
        <f t="shared" si="155"/>
        <v>4.381714994199531E-11</v>
      </c>
      <c r="AJ381" s="221" t="str">
        <f t="shared" si="134"/>
        <v>NO</v>
      </c>
      <c r="AK381" s="533">
        <f>IF('IN-OUT'!$F$35=0,AG381,IF('IN-OUT'!$F$26=0,'transversal subsidence profile'!AI381,'transversal subsidence profile'!AG381+'transversal subsidence profile'!AI381))</f>
        <v>1.001766841657887E-7</v>
      </c>
      <c r="AL381" s="513">
        <f t="shared" si="135"/>
        <v>1000</v>
      </c>
    </row>
    <row r="382" spans="1:38">
      <c r="A382" s="542">
        <f t="shared" si="156"/>
        <v>43</v>
      </c>
      <c r="B382" s="363">
        <f t="shared" si="136"/>
        <v>4.0344292348816813E-11</v>
      </c>
      <c r="C382" s="543">
        <f t="shared" si="137"/>
        <v>1.1565363806660819E-10</v>
      </c>
      <c r="D382" s="542">
        <f t="shared" si="157"/>
        <v>43</v>
      </c>
      <c r="E382" s="363">
        <f t="shared" si="138"/>
        <v>4.0344292348816813E-11</v>
      </c>
      <c r="F382" s="543">
        <f t="shared" si="139"/>
        <v>1.1565363806660819E-10</v>
      </c>
      <c r="G382" s="548">
        <f t="shared" si="140"/>
        <v>33</v>
      </c>
      <c r="H382" s="363">
        <f t="shared" si="141"/>
        <v>1.6899796882487886E-7</v>
      </c>
      <c r="I382" s="363">
        <f t="shared" si="142"/>
        <v>3.7179553141473351E-7</v>
      </c>
      <c r="J382" s="364">
        <f t="shared" si="143"/>
        <v>1.6903831311722767E-7</v>
      </c>
      <c r="K382" s="194">
        <f t="shared" si="144"/>
        <v>1.6899796882487886E-5</v>
      </c>
      <c r="L382" s="646">
        <f t="shared" si="145"/>
        <v>4.0344292348816814E-9</v>
      </c>
      <c r="M382" s="365">
        <f t="shared" si="146"/>
        <v>1.6903831311722769E-5</v>
      </c>
      <c r="N382" s="194">
        <f t="shared" si="147"/>
        <v>3.7179553141473351E-5</v>
      </c>
      <c r="O382" s="422">
        <f t="shared" si="148"/>
        <v>1.1565363806660819E-8</v>
      </c>
      <c r="P382" s="365">
        <f t="shared" si="149"/>
        <v>3.7191118505280015E-5</v>
      </c>
      <c r="S382" s="193"/>
      <c r="T382" s="193"/>
      <c r="U382" s="193"/>
      <c r="V382" s="193"/>
      <c r="W382" s="193"/>
      <c r="X382" s="193"/>
      <c r="Y382" s="503"/>
      <c r="Z382" s="193"/>
      <c r="AA382" s="520">
        <f t="shared" si="150"/>
        <v>-2.580174750371607E-5</v>
      </c>
      <c r="AB382" s="496"/>
      <c r="AC382" s="521">
        <f t="shared" si="151"/>
        <v>-1.0645949297897659E-8</v>
      </c>
      <c r="AD382" s="496"/>
      <c r="AE382" s="522">
        <f t="shared" si="152"/>
        <v>-2.5812393453013967E-5</v>
      </c>
      <c r="AG382" s="531">
        <f t="shared" si="153"/>
        <v>8.4944024703591998E-8</v>
      </c>
      <c r="AH382" s="221" t="str">
        <f t="shared" si="154"/>
        <v>NO</v>
      </c>
      <c r="AI382" s="532">
        <f t="shared" si="155"/>
        <v>3.5048392750280358E-11</v>
      </c>
      <c r="AJ382" s="221" t="str">
        <f t="shared" si="134"/>
        <v>NO</v>
      </c>
      <c r="AK382" s="533">
        <f>IF('IN-OUT'!$F$35=0,AG382,IF('IN-OUT'!$F$26=0,'transversal subsidence profile'!AI382,'transversal subsidence profile'!AG382+'transversal subsidence profile'!AI382))</f>
        <v>8.4979073096342278E-8</v>
      </c>
      <c r="AL382" s="513">
        <f t="shared" si="135"/>
        <v>1000</v>
      </c>
    </row>
    <row r="383" spans="1:38">
      <c r="A383" s="542">
        <f t="shared" si="156"/>
        <v>43.25</v>
      </c>
      <c r="B383" s="363">
        <f t="shared" si="136"/>
        <v>3.1843217778303569E-11</v>
      </c>
      <c r="C383" s="543">
        <f t="shared" si="137"/>
        <v>9.1814611260775289E-11</v>
      </c>
      <c r="D383" s="542">
        <f t="shared" si="157"/>
        <v>43.25</v>
      </c>
      <c r="E383" s="363">
        <f t="shared" si="138"/>
        <v>3.1843217778303569E-11</v>
      </c>
      <c r="F383" s="543">
        <f t="shared" si="139"/>
        <v>9.1814611260775289E-11</v>
      </c>
      <c r="G383" s="548">
        <f t="shared" si="140"/>
        <v>33.25</v>
      </c>
      <c r="H383" s="363">
        <f t="shared" si="141"/>
        <v>1.4091133547411193E-7</v>
      </c>
      <c r="I383" s="363">
        <f t="shared" si="142"/>
        <v>3.1235346030094807E-7</v>
      </c>
      <c r="J383" s="364">
        <f t="shared" si="143"/>
        <v>1.4094317869189024E-7</v>
      </c>
      <c r="K383" s="194">
        <f t="shared" si="144"/>
        <v>1.4091133547411193E-5</v>
      </c>
      <c r="L383" s="646">
        <f t="shared" si="145"/>
        <v>3.184321777830357E-9</v>
      </c>
      <c r="M383" s="365">
        <f t="shared" si="146"/>
        <v>1.4094317869189023E-5</v>
      </c>
      <c r="N383" s="194">
        <f t="shared" si="147"/>
        <v>3.1235346030094804E-5</v>
      </c>
      <c r="O383" s="422">
        <f t="shared" si="148"/>
        <v>9.1814611260775283E-9</v>
      </c>
      <c r="P383" s="365">
        <f t="shared" si="149"/>
        <v>3.1244527491220884E-5</v>
      </c>
      <c r="S383" s="193"/>
      <c r="T383" s="193"/>
      <c r="U383" s="193"/>
      <c r="V383" s="193"/>
      <c r="W383" s="193"/>
      <c r="X383" s="193"/>
      <c r="Y383" s="503"/>
      <c r="Z383" s="193"/>
      <c r="AA383" s="520">
        <f t="shared" si="150"/>
        <v>-2.1855109736085395E-5</v>
      </c>
      <c r="AB383" s="496"/>
      <c r="AC383" s="521">
        <f t="shared" si="151"/>
        <v>-8.503172922967208E-9</v>
      </c>
      <c r="AD383" s="496"/>
      <c r="AE383" s="522">
        <f t="shared" si="152"/>
        <v>-2.1863612909008364E-5</v>
      </c>
      <c r="AG383" s="531">
        <f t="shared" si="153"/>
        <v>7.1950978555013647E-8</v>
      </c>
      <c r="AH383" s="221" t="str">
        <f t="shared" si="154"/>
        <v>NO</v>
      </c>
      <c r="AI383" s="532">
        <f t="shared" si="155"/>
        <v>2.7993984931579285E-11</v>
      </c>
      <c r="AJ383" s="221" t="str">
        <f t="shared" si="134"/>
        <v>NO</v>
      </c>
      <c r="AK383" s="533">
        <f>IF('IN-OUT'!$F$35=0,AG383,IF('IN-OUT'!$F$26=0,'transversal subsidence profile'!AI383,'transversal subsidence profile'!AG383+'transversal subsidence profile'!AI383))</f>
        <v>7.1978972539945232E-8</v>
      </c>
      <c r="AL383" s="513">
        <f t="shared" si="135"/>
        <v>1000</v>
      </c>
    </row>
    <row r="384" spans="1:38">
      <c r="A384" s="542">
        <f t="shared" si="156"/>
        <v>43.5</v>
      </c>
      <c r="B384" s="363">
        <f t="shared" si="136"/>
        <v>2.5098978804501809E-11</v>
      </c>
      <c r="C384" s="543">
        <f t="shared" si="137"/>
        <v>7.2787038533055244E-11</v>
      </c>
      <c r="D384" s="542">
        <f t="shared" si="157"/>
        <v>43.5</v>
      </c>
      <c r="E384" s="363">
        <f t="shared" si="138"/>
        <v>2.5098978804501809E-11</v>
      </c>
      <c r="F384" s="543">
        <f t="shared" si="139"/>
        <v>7.2787038533055244E-11</v>
      </c>
      <c r="G384" s="548">
        <f t="shared" si="140"/>
        <v>33.5</v>
      </c>
      <c r="H384" s="363">
        <f t="shared" si="141"/>
        <v>1.1733150379388988E-7</v>
      </c>
      <c r="I384" s="363">
        <f t="shared" si="142"/>
        <v>2.6204035847302074E-7</v>
      </c>
      <c r="J384" s="364">
        <f t="shared" si="143"/>
        <v>1.1735660277269438E-7</v>
      </c>
      <c r="K384" s="194">
        <f t="shared" si="144"/>
        <v>1.1733150379388987E-5</v>
      </c>
      <c r="L384" s="646">
        <f t="shared" si="145"/>
        <v>2.5098978804501809E-9</v>
      </c>
      <c r="M384" s="365">
        <f t="shared" si="146"/>
        <v>1.1735660277269438E-5</v>
      </c>
      <c r="N384" s="194">
        <f t="shared" si="147"/>
        <v>2.6204035847302074E-5</v>
      </c>
      <c r="O384" s="422">
        <f t="shared" si="148"/>
        <v>7.2787038533055247E-9</v>
      </c>
      <c r="P384" s="365">
        <f t="shared" si="149"/>
        <v>2.621131455115538E-5</v>
      </c>
      <c r="S384" s="193"/>
      <c r="T384" s="193"/>
      <c r="U384" s="193"/>
      <c r="V384" s="193"/>
      <c r="W384" s="193"/>
      <c r="X384" s="193"/>
      <c r="Y384" s="503"/>
      <c r="Z384" s="193"/>
      <c r="AA384" s="520">
        <f t="shared" si="150"/>
        <v>-1.8484406180679844E-5</v>
      </c>
      <c r="AB384" s="496"/>
      <c r="AC384" s="521">
        <f t="shared" si="151"/>
        <v>-6.7818886761464562E-9</v>
      </c>
      <c r="AD384" s="496"/>
      <c r="AE384" s="522">
        <f t="shared" si="152"/>
        <v>-1.849118806935599E-5</v>
      </c>
      <c r="AG384" s="531">
        <f t="shared" si="153"/>
        <v>6.0854012117464505E-8</v>
      </c>
      <c r="AH384" s="221" t="str">
        <f t="shared" si="154"/>
        <v>NO</v>
      </c>
      <c r="AI384" s="532">
        <f t="shared" si="155"/>
        <v>2.2327205518177631E-11</v>
      </c>
      <c r="AJ384" s="221" t="str">
        <f t="shared" si="134"/>
        <v>NO</v>
      </c>
      <c r="AK384" s="533">
        <f>IF('IN-OUT'!$F$35=0,AG384,IF('IN-OUT'!$F$26=0,'transversal subsidence profile'!AI384,'transversal subsidence profile'!AG384+'transversal subsidence profile'!AI384))</f>
        <v>6.0876339322982683E-8</v>
      </c>
      <c r="AL384" s="513">
        <f t="shared" si="135"/>
        <v>1000</v>
      </c>
    </row>
    <row r="385" spans="1:38">
      <c r="A385" s="542">
        <f t="shared" si="156"/>
        <v>43.75</v>
      </c>
      <c r="B385" s="363">
        <f t="shared" si="136"/>
        <v>1.9756018154267637E-11</v>
      </c>
      <c r="C385" s="543">
        <f t="shared" si="137"/>
        <v>5.7621719616613943E-11</v>
      </c>
      <c r="D385" s="542">
        <f t="shared" si="157"/>
        <v>43.75</v>
      </c>
      <c r="E385" s="363">
        <f t="shared" si="138"/>
        <v>1.9756018154267637E-11</v>
      </c>
      <c r="F385" s="543">
        <f t="shared" si="139"/>
        <v>5.7621719616613943E-11</v>
      </c>
      <c r="G385" s="548">
        <f t="shared" si="140"/>
        <v>33.75</v>
      </c>
      <c r="H385" s="363">
        <f t="shared" si="141"/>
        <v>9.7563551898995426E-8</v>
      </c>
      <c r="I385" s="363">
        <f t="shared" si="142"/>
        <v>2.1951799177273973E-7</v>
      </c>
      <c r="J385" s="364">
        <f t="shared" si="143"/>
        <v>9.7583307917149696E-8</v>
      </c>
      <c r="K385" s="194">
        <f t="shared" si="144"/>
        <v>9.7563551898995425E-6</v>
      </c>
      <c r="L385" s="646">
        <f t="shared" si="145"/>
        <v>1.9756018154267636E-9</v>
      </c>
      <c r="M385" s="365">
        <f t="shared" si="146"/>
        <v>9.7583307917149685E-6</v>
      </c>
      <c r="N385" s="194">
        <f t="shared" si="147"/>
        <v>2.1951799177273973E-5</v>
      </c>
      <c r="O385" s="422">
        <f t="shared" si="148"/>
        <v>5.7621719616613945E-9</v>
      </c>
      <c r="P385" s="365">
        <f t="shared" si="149"/>
        <v>2.1957561349235636E-5</v>
      </c>
      <c r="S385" s="193"/>
      <c r="T385" s="193"/>
      <c r="U385" s="193"/>
      <c r="V385" s="193"/>
      <c r="W385" s="193"/>
      <c r="X385" s="193"/>
      <c r="Y385" s="503"/>
      <c r="Z385" s="193"/>
      <c r="AA385" s="520">
        <f t="shared" si="150"/>
        <v>-1.5610168303839267E-5</v>
      </c>
      <c r="AB385" s="496"/>
      <c r="AC385" s="521">
        <f t="shared" si="151"/>
        <v>-5.4012429697300894E-9</v>
      </c>
      <c r="AD385" s="496"/>
      <c r="AE385" s="522">
        <f t="shared" si="152"/>
        <v>-1.5615569546808999E-5</v>
      </c>
      <c r="AG385" s="531">
        <f t="shared" si="153"/>
        <v>5.1391500588771252E-8</v>
      </c>
      <c r="AH385" s="221" t="str">
        <f t="shared" si="154"/>
        <v>NO</v>
      </c>
      <c r="AI385" s="532">
        <f t="shared" si="155"/>
        <v>1.7781869859193709E-11</v>
      </c>
      <c r="AJ385" s="221" t="str">
        <f t="shared" si="134"/>
        <v>NO</v>
      </c>
      <c r="AK385" s="533">
        <f>IF('IN-OUT'!$F$35=0,AG385,IF('IN-OUT'!$F$26=0,'transversal subsidence profile'!AI385,'transversal subsidence profile'!AG385+'transversal subsidence profile'!AI385))</f>
        <v>5.1409282458630447E-8</v>
      </c>
      <c r="AL385" s="513">
        <f t="shared" si="135"/>
        <v>1000</v>
      </c>
    </row>
    <row r="386" spans="1:38">
      <c r="A386" s="542">
        <f t="shared" si="156"/>
        <v>44</v>
      </c>
      <c r="B386" s="363">
        <f t="shared" si="136"/>
        <v>1.5529126985413633E-11</v>
      </c>
      <c r="C386" s="543">
        <f t="shared" si="137"/>
        <v>4.5552105823879982E-11</v>
      </c>
      <c r="D386" s="542">
        <f t="shared" si="157"/>
        <v>44</v>
      </c>
      <c r="E386" s="363">
        <f t="shared" si="138"/>
        <v>1.5529126985413633E-11</v>
      </c>
      <c r="F386" s="543">
        <f t="shared" si="139"/>
        <v>4.5552105823879982E-11</v>
      </c>
      <c r="G386" s="548">
        <f t="shared" si="140"/>
        <v>34</v>
      </c>
      <c r="H386" s="363">
        <f t="shared" si="141"/>
        <v>8.1014886664904516E-8</v>
      </c>
      <c r="I386" s="363">
        <f t="shared" si="142"/>
        <v>1.8363374310711691E-7</v>
      </c>
      <c r="J386" s="364">
        <f t="shared" si="143"/>
        <v>8.1030415791889926E-8</v>
      </c>
      <c r="K386" s="194">
        <f t="shared" si="144"/>
        <v>8.101488666490452E-6</v>
      </c>
      <c r="L386" s="646">
        <f t="shared" si="145"/>
        <v>1.5529126985413634E-9</v>
      </c>
      <c r="M386" s="365">
        <f t="shared" si="146"/>
        <v>8.1030415791889937E-6</v>
      </c>
      <c r="N386" s="194">
        <f t="shared" si="147"/>
        <v>1.8363374310711692E-5</v>
      </c>
      <c r="O386" s="422">
        <f t="shared" si="148"/>
        <v>4.5552105823879982E-9</v>
      </c>
      <c r="P386" s="365">
        <f t="shared" si="149"/>
        <v>1.8367929521294081E-5</v>
      </c>
      <c r="S386" s="193"/>
      <c r="T386" s="193"/>
      <c r="U386" s="193"/>
      <c r="V386" s="193"/>
      <c r="W386" s="193"/>
      <c r="X386" s="193"/>
      <c r="Y386" s="503"/>
      <c r="Z386" s="193"/>
      <c r="AA386" s="520">
        <f t="shared" si="150"/>
        <v>-1.3163159500460527E-5</v>
      </c>
      <c r="AB386" s="496"/>
      <c r="AC386" s="521">
        <f t="shared" si="151"/>
        <v>-4.2954687144746791E-9</v>
      </c>
      <c r="AD386" s="496"/>
      <c r="AE386" s="522">
        <f t="shared" si="152"/>
        <v>-1.3167454969175001E-5</v>
      </c>
      <c r="AG386" s="531">
        <f t="shared" si="153"/>
        <v>4.33355045282651E-8</v>
      </c>
      <c r="AH386" s="221" t="str">
        <f t="shared" si="154"/>
        <v>NO</v>
      </c>
      <c r="AI386" s="532">
        <f t="shared" si="155"/>
        <v>1.4141460788394004E-11</v>
      </c>
      <c r="AJ386" s="221" t="str">
        <f t="shared" si="134"/>
        <v>NO</v>
      </c>
      <c r="AK386" s="533">
        <f>IF('IN-OUT'!$F$35=0,AG386,IF('IN-OUT'!$F$26=0,'transversal subsidence profile'!AI386,'transversal subsidence profile'!AG386+'transversal subsidence profile'!AI386))</f>
        <v>4.3349645989053496E-8</v>
      </c>
      <c r="AL386" s="513">
        <f t="shared" si="135"/>
        <v>1000</v>
      </c>
    </row>
    <row r="387" spans="1:38">
      <c r="A387" s="542">
        <f t="shared" si="156"/>
        <v>44.25</v>
      </c>
      <c r="B387" s="363">
        <f t="shared" si="136"/>
        <v>1.2189865843876895E-11</v>
      </c>
      <c r="C387" s="543">
        <f t="shared" si="137"/>
        <v>3.5960104239436837E-11</v>
      </c>
      <c r="D387" s="542">
        <f t="shared" si="157"/>
        <v>44.25</v>
      </c>
      <c r="E387" s="363">
        <f t="shared" si="138"/>
        <v>1.2189865843876895E-11</v>
      </c>
      <c r="F387" s="543">
        <f t="shared" si="139"/>
        <v>3.5960104239436837E-11</v>
      </c>
      <c r="G387" s="548">
        <f t="shared" si="140"/>
        <v>34.25</v>
      </c>
      <c r="H387" s="363">
        <f t="shared" si="141"/>
        <v>6.7180976887221607E-8</v>
      </c>
      <c r="I387" s="363">
        <f t="shared" si="142"/>
        <v>1.5339656389248932E-7</v>
      </c>
      <c r="J387" s="364">
        <f t="shared" si="143"/>
        <v>6.7193166753065486E-8</v>
      </c>
      <c r="K387" s="194">
        <f t="shared" si="144"/>
        <v>6.718097688722161E-6</v>
      </c>
      <c r="L387" s="646">
        <f t="shared" si="145"/>
        <v>1.2189865843876894E-9</v>
      </c>
      <c r="M387" s="365">
        <f t="shared" si="146"/>
        <v>6.7193166753065486E-6</v>
      </c>
      <c r="N387" s="194">
        <f t="shared" si="147"/>
        <v>1.5339656389248934E-5</v>
      </c>
      <c r="O387" s="422">
        <f t="shared" si="148"/>
        <v>3.5960104239436837E-9</v>
      </c>
      <c r="P387" s="365">
        <f t="shared" si="149"/>
        <v>1.5343252399672877E-5</v>
      </c>
      <c r="S387" s="193"/>
      <c r="T387" s="193"/>
      <c r="U387" s="193"/>
      <c r="V387" s="193"/>
      <c r="W387" s="193"/>
      <c r="X387" s="193"/>
      <c r="Y387" s="503"/>
      <c r="Z387" s="193"/>
      <c r="AA387" s="520">
        <f t="shared" si="150"/>
        <v>-1.1083171678513743E-5</v>
      </c>
      <c r="AB387" s="496"/>
      <c r="AC387" s="521">
        <f t="shared" si="151"/>
        <v>-3.4111558740067029E-9</v>
      </c>
      <c r="AD387" s="496"/>
      <c r="AE387" s="522">
        <f t="shared" si="152"/>
        <v>-1.1086582834387751E-5</v>
      </c>
      <c r="AG387" s="531">
        <f t="shared" si="153"/>
        <v>3.6487807995106969E-8</v>
      </c>
      <c r="AH387" s="221" t="str">
        <f t="shared" si="154"/>
        <v>NO</v>
      </c>
      <c r="AI387" s="532">
        <f t="shared" si="155"/>
        <v>1.1230142795083795E-11</v>
      </c>
      <c r="AJ387" s="221" t="str">
        <f t="shared" si="134"/>
        <v>NO</v>
      </c>
      <c r="AK387" s="533">
        <f>IF('IN-OUT'!$F$35=0,AG387,IF('IN-OUT'!$F$26=0,'transversal subsidence profile'!AI387,'transversal subsidence profile'!AG387+'transversal subsidence profile'!AI387))</f>
        <v>3.6499038137902053E-8</v>
      </c>
      <c r="AL387" s="513">
        <f t="shared" si="135"/>
        <v>1000</v>
      </c>
    </row>
    <row r="388" spans="1:38">
      <c r="A388" s="542">
        <f t="shared" si="156"/>
        <v>44.5</v>
      </c>
      <c r="B388" s="363">
        <f t="shared" si="136"/>
        <v>9.555536388327201E-12</v>
      </c>
      <c r="C388" s="543">
        <f t="shared" si="137"/>
        <v>2.8348091285370701E-11</v>
      </c>
      <c r="D388" s="542">
        <f t="shared" si="157"/>
        <v>44.5</v>
      </c>
      <c r="E388" s="363">
        <f t="shared" si="138"/>
        <v>9.555536388327201E-12</v>
      </c>
      <c r="F388" s="543">
        <f t="shared" si="139"/>
        <v>2.8348091285370701E-11</v>
      </c>
      <c r="G388" s="548">
        <f t="shared" si="140"/>
        <v>34.5</v>
      </c>
      <c r="H388" s="363">
        <f t="shared" si="141"/>
        <v>5.5632946290929177E-8</v>
      </c>
      <c r="I388" s="363">
        <f t="shared" si="142"/>
        <v>1.2795577646913713E-7</v>
      </c>
      <c r="J388" s="364">
        <f t="shared" si="143"/>
        <v>5.5642501827317501E-8</v>
      </c>
      <c r="K388" s="194">
        <f t="shared" si="144"/>
        <v>5.5632946290929175E-6</v>
      </c>
      <c r="L388" s="646">
        <f t="shared" si="145"/>
        <v>9.555536388327201E-10</v>
      </c>
      <c r="M388" s="365">
        <f t="shared" si="146"/>
        <v>5.5642501827317502E-6</v>
      </c>
      <c r="N388" s="194">
        <f t="shared" si="147"/>
        <v>1.2795577646913713E-5</v>
      </c>
      <c r="O388" s="422">
        <f t="shared" si="148"/>
        <v>2.83480912853707E-9</v>
      </c>
      <c r="P388" s="365">
        <f t="shared" si="149"/>
        <v>1.279841245604225E-5</v>
      </c>
      <c r="S388" s="193"/>
      <c r="T388" s="193"/>
      <c r="U388" s="193"/>
      <c r="V388" s="193"/>
      <c r="W388" s="193"/>
      <c r="X388" s="193"/>
      <c r="Y388" s="503"/>
      <c r="Z388" s="193"/>
      <c r="AA388" s="520">
        <f t="shared" si="150"/>
        <v>-9.3179461483161215E-6</v>
      </c>
      <c r="AB388" s="496"/>
      <c r="AC388" s="521">
        <f t="shared" si="151"/>
        <v>-2.7049988925529816E-9</v>
      </c>
      <c r="AD388" s="496"/>
      <c r="AE388" s="522">
        <f t="shared" si="152"/>
        <v>-9.3206511472086745E-6</v>
      </c>
      <c r="AG388" s="531">
        <f t="shared" si="153"/>
        <v>3.0676365920382285E-8</v>
      </c>
      <c r="AH388" s="221" t="str">
        <f t="shared" si="154"/>
        <v>NO</v>
      </c>
      <c r="AI388" s="532">
        <f t="shared" si="155"/>
        <v>8.9053461483225731E-12</v>
      </c>
      <c r="AJ388" s="221" t="str">
        <f t="shared" si="134"/>
        <v>NO</v>
      </c>
      <c r="AK388" s="533">
        <f>IF('IN-OUT'!$F$35=0,AG388,IF('IN-OUT'!$F$26=0,'transversal subsidence profile'!AI388,'transversal subsidence profile'!AG388+'transversal subsidence profile'!AI388))</f>
        <v>3.0685271266530607E-8</v>
      </c>
      <c r="AL388" s="513">
        <f t="shared" si="135"/>
        <v>1000</v>
      </c>
    </row>
    <row r="389" spans="1:38">
      <c r="A389" s="542">
        <f t="shared" si="156"/>
        <v>44.75</v>
      </c>
      <c r="B389" s="363">
        <f t="shared" si="136"/>
        <v>7.4802390195739709E-12</v>
      </c>
      <c r="C389" s="543">
        <f t="shared" si="137"/>
        <v>2.2316046408395679E-11</v>
      </c>
      <c r="D389" s="542">
        <f t="shared" si="157"/>
        <v>44.75</v>
      </c>
      <c r="E389" s="363">
        <f t="shared" si="138"/>
        <v>7.4802390195739709E-12</v>
      </c>
      <c r="F389" s="543">
        <f t="shared" si="139"/>
        <v>2.2316046408395679E-11</v>
      </c>
      <c r="G389" s="548">
        <f t="shared" si="140"/>
        <v>34.75</v>
      </c>
      <c r="H389" s="363">
        <f t="shared" si="141"/>
        <v>4.6006804173843368E-8</v>
      </c>
      <c r="I389" s="363">
        <f t="shared" si="142"/>
        <v>1.065824296694038E-7</v>
      </c>
      <c r="J389" s="364">
        <f t="shared" si="143"/>
        <v>4.6014284412862939E-8</v>
      </c>
      <c r="K389" s="194">
        <f t="shared" si="144"/>
        <v>4.6006804173843364E-6</v>
      </c>
      <c r="L389" s="646">
        <f t="shared" si="145"/>
        <v>7.4802390195739705E-10</v>
      </c>
      <c r="M389" s="365">
        <f t="shared" si="146"/>
        <v>4.6014284412862936E-6</v>
      </c>
      <c r="N389" s="194">
        <f t="shared" si="147"/>
        <v>1.065824296694038E-5</v>
      </c>
      <c r="O389" s="422">
        <f t="shared" si="148"/>
        <v>2.2316046408395681E-9</v>
      </c>
      <c r="P389" s="365">
        <f t="shared" si="149"/>
        <v>1.066047457158122E-5</v>
      </c>
      <c r="S389" s="193"/>
      <c r="T389" s="193"/>
      <c r="U389" s="193"/>
      <c r="V389" s="193"/>
      <c r="W389" s="193"/>
      <c r="X389" s="193"/>
      <c r="Y389" s="503"/>
      <c r="Z389" s="193"/>
      <c r="AA389" s="520">
        <f t="shared" si="150"/>
        <v>-7.8222085340658061E-6</v>
      </c>
      <c r="AB389" s="496"/>
      <c r="AC389" s="521">
        <f t="shared" si="151"/>
        <v>-2.141940961873801E-9</v>
      </c>
      <c r="AD389" s="496"/>
      <c r="AE389" s="522">
        <f t="shared" si="152"/>
        <v>-7.8243504750276802E-6</v>
      </c>
      <c r="AG389" s="531">
        <f t="shared" si="153"/>
        <v>2.5752126861121995E-8</v>
      </c>
      <c r="AH389" s="221" t="str">
        <f t="shared" si="154"/>
        <v>NO</v>
      </c>
      <c r="AI389" s="532">
        <f t="shared" si="155"/>
        <v>7.0516574876503732E-12</v>
      </c>
      <c r="AJ389" s="221" t="str">
        <f t="shared" si="134"/>
        <v>NO</v>
      </c>
      <c r="AK389" s="533">
        <f>IF('IN-OUT'!$F$35=0,AG389,IF('IN-OUT'!$F$26=0,'transversal subsidence profile'!AI389,'transversal subsidence profile'!AG389+'transversal subsidence profile'!AI389))</f>
        <v>2.5759178518609646E-8</v>
      </c>
      <c r="AL389" s="513">
        <f t="shared" si="135"/>
        <v>1000</v>
      </c>
    </row>
    <row r="390" spans="1:38">
      <c r="A390" s="542">
        <f t="shared" si="156"/>
        <v>45</v>
      </c>
      <c r="B390" s="363">
        <f t="shared" si="136"/>
        <v>5.8476334256692369E-12</v>
      </c>
      <c r="C390" s="543">
        <f t="shared" si="137"/>
        <v>1.7542900277007712E-11</v>
      </c>
      <c r="D390" s="542">
        <f t="shared" si="157"/>
        <v>45</v>
      </c>
      <c r="E390" s="363">
        <f t="shared" si="138"/>
        <v>5.8476334256692369E-12</v>
      </c>
      <c r="F390" s="543">
        <f t="shared" si="139"/>
        <v>1.7542900277007712E-11</v>
      </c>
      <c r="G390" s="548">
        <f t="shared" si="140"/>
        <v>35</v>
      </c>
      <c r="H390" s="363">
        <f t="shared" si="141"/>
        <v>3.799411493806283E-8</v>
      </c>
      <c r="I390" s="363">
        <f t="shared" si="142"/>
        <v>8.8652934855479936E-8</v>
      </c>
      <c r="J390" s="364">
        <f t="shared" si="143"/>
        <v>3.7999962571488501E-8</v>
      </c>
      <c r="K390" s="194">
        <f t="shared" si="144"/>
        <v>3.7994114938062831E-6</v>
      </c>
      <c r="L390" s="646">
        <f t="shared" si="145"/>
        <v>5.8476334256692367E-10</v>
      </c>
      <c r="M390" s="365">
        <f t="shared" si="146"/>
        <v>3.7999962571488499E-6</v>
      </c>
      <c r="N390" s="194">
        <f t="shared" si="147"/>
        <v>8.8652934855479935E-6</v>
      </c>
      <c r="O390" s="422">
        <f t="shared" si="148"/>
        <v>1.7542900277007713E-9</v>
      </c>
      <c r="P390" s="365">
        <f t="shared" si="149"/>
        <v>8.8670477755756946E-6</v>
      </c>
      <c r="S390" s="193"/>
      <c r="T390" s="193"/>
      <c r="U390" s="193"/>
      <c r="V390" s="193"/>
      <c r="W390" s="193"/>
      <c r="X390" s="193"/>
      <c r="Y390" s="503"/>
      <c r="Z390" s="193"/>
      <c r="AA390" s="520">
        <f t="shared" si="150"/>
        <v>-6.5568078920547199E-6</v>
      </c>
      <c r="AB390" s="496"/>
      <c r="AC390" s="521">
        <f t="shared" si="151"/>
        <v>-1.6936479032864237E-9</v>
      </c>
      <c r="AD390" s="496"/>
      <c r="AE390" s="522">
        <f t="shared" si="152"/>
        <v>-6.5585015399580067E-6</v>
      </c>
      <c r="AG390" s="531">
        <f t="shared" si="153"/>
        <v>2.1586198821579325E-8</v>
      </c>
      <c r="AH390" s="221" t="str">
        <f t="shared" si="154"/>
        <v>NO</v>
      </c>
      <c r="AI390" s="532">
        <f t="shared" si="155"/>
        <v>5.575795566375056E-12</v>
      </c>
      <c r="AJ390" s="221" t="str">
        <f t="shared" si="134"/>
        <v>NO</v>
      </c>
      <c r="AK390" s="533">
        <f>IF('IN-OUT'!$F$35=0,AG390,IF('IN-OUT'!$F$26=0,'transversal subsidence profile'!AI390,'transversal subsidence profile'!AG390+'transversal subsidence profile'!AI390))</f>
        <v>2.15917746171457E-8</v>
      </c>
      <c r="AL390" s="513">
        <f t="shared" si="135"/>
        <v>1000</v>
      </c>
    </row>
    <row r="391" spans="1:38">
      <c r="A391" s="542">
        <f t="shared" si="156"/>
        <v>45.25</v>
      </c>
      <c r="B391" s="363">
        <f t="shared" si="136"/>
        <v>4.5650870618788978E-12</v>
      </c>
      <c r="C391" s="543">
        <f t="shared" si="137"/>
        <v>1.3771345970001341E-11</v>
      </c>
      <c r="D391" s="542">
        <f t="shared" si="157"/>
        <v>45.25</v>
      </c>
      <c r="E391" s="363">
        <f t="shared" si="138"/>
        <v>4.5650870618788978E-12</v>
      </c>
      <c r="F391" s="543">
        <f t="shared" si="139"/>
        <v>1.3771345970001341E-11</v>
      </c>
      <c r="G391" s="548">
        <f t="shared" si="140"/>
        <v>35.25</v>
      </c>
      <c r="H391" s="363">
        <f t="shared" si="141"/>
        <v>3.1333929213649484E-8</v>
      </c>
      <c r="I391" s="363">
        <f t="shared" si="142"/>
        <v>7.3634733652076292E-8</v>
      </c>
      <c r="J391" s="364">
        <f t="shared" si="143"/>
        <v>3.1338494300711365E-8</v>
      </c>
      <c r="K391" s="194">
        <f t="shared" si="144"/>
        <v>3.1333929213649484E-6</v>
      </c>
      <c r="L391" s="646">
        <f t="shared" si="145"/>
        <v>4.5650870618788981E-10</v>
      </c>
      <c r="M391" s="365">
        <f t="shared" si="146"/>
        <v>3.1338494300711363E-6</v>
      </c>
      <c r="N391" s="194">
        <f t="shared" si="147"/>
        <v>7.3634733652076295E-6</v>
      </c>
      <c r="O391" s="422">
        <f t="shared" si="148"/>
        <v>1.3771345970001342E-9</v>
      </c>
      <c r="P391" s="365">
        <f t="shared" si="149"/>
        <v>7.3648504998046293E-6</v>
      </c>
      <c r="S391" s="193"/>
      <c r="T391" s="193"/>
      <c r="U391" s="193"/>
      <c r="V391" s="193"/>
      <c r="W391" s="193"/>
      <c r="X391" s="193"/>
      <c r="Y391" s="503"/>
      <c r="Z391" s="193"/>
      <c r="AA391" s="520">
        <f t="shared" si="150"/>
        <v>-5.4879507297651114E-6</v>
      </c>
      <c r="AB391" s="496"/>
      <c r="AC391" s="521">
        <f t="shared" si="151"/>
        <v>-1.337255315647964E-9</v>
      </c>
      <c r="AD391" s="496"/>
      <c r="AE391" s="522">
        <f t="shared" si="152"/>
        <v>-5.4892879850807596E-6</v>
      </c>
      <c r="AG391" s="531">
        <f t="shared" si="153"/>
        <v>1.8067327505399543E-8</v>
      </c>
      <c r="AH391" s="221" t="str">
        <f t="shared" si="154"/>
        <v>NO</v>
      </c>
      <c r="AI391" s="532">
        <f t="shared" si="155"/>
        <v>4.4024866358780695E-12</v>
      </c>
      <c r="AJ391" s="221" t="str">
        <f t="shared" si="134"/>
        <v>NO</v>
      </c>
      <c r="AK391" s="533">
        <f>IF('IN-OUT'!$F$35=0,AG391,IF('IN-OUT'!$F$26=0,'transversal subsidence profile'!AI391,'transversal subsidence profile'!AG391+'transversal subsidence profile'!AI391))</f>
        <v>1.807172999203542E-8</v>
      </c>
      <c r="AL391" s="513">
        <f t="shared" si="135"/>
        <v>1000</v>
      </c>
    </row>
    <row r="392" spans="1:38">
      <c r="A392" s="542">
        <f t="shared" si="156"/>
        <v>45.5</v>
      </c>
      <c r="B392" s="363">
        <f t="shared" si="136"/>
        <v>3.5589529700007312E-12</v>
      </c>
      <c r="C392" s="543">
        <f t="shared" si="137"/>
        <v>1.0795490675668883E-11</v>
      </c>
      <c r="D392" s="542">
        <f t="shared" si="157"/>
        <v>45.5</v>
      </c>
      <c r="E392" s="363">
        <f t="shared" si="138"/>
        <v>3.5589529700007312E-12</v>
      </c>
      <c r="F392" s="543">
        <f t="shared" si="139"/>
        <v>1.0795490675668883E-11</v>
      </c>
      <c r="G392" s="548">
        <f t="shared" si="140"/>
        <v>35.5</v>
      </c>
      <c r="H392" s="363">
        <f t="shared" si="141"/>
        <v>2.5805818814954858E-8</v>
      </c>
      <c r="I392" s="363">
        <f t="shared" si="142"/>
        <v>6.1073771195393161E-8</v>
      </c>
      <c r="J392" s="364">
        <f t="shared" si="143"/>
        <v>2.5809377767924858E-8</v>
      </c>
      <c r="K392" s="194">
        <f t="shared" si="144"/>
        <v>2.5805818814954856E-6</v>
      </c>
      <c r="L392" s="646">
        <f t="shared" si="145"/>
        <v>3.558952970000731E-10</v>
      </c>
      <c r="M392" s="365">
        <f t="shared" si="146"/>
        <v>2.5809377767924857E-6</v>
      </c>
      <c r="N392" s="194">
        <f t="shared" si="147"/>
        <v>6.1073771195393159E-6</v>
      </c>
      <c r="O392" s="422">
        <f t="shared" si="148"/>
        <v>1.0795490675668884E-9</v>
      </c>
      <c r="P392" s="365">
        <f t="shared" si="149"/>
        <v>6.108456668606883E-6</v>
      </c>
      <c r="S392" s="193"/>
      <c r="T392" s="193"/>
      <c r="U392" s="193"/>
      <c r="V392" s="193"/>
      <c r="W392" s="193"/>
      <c r="X392" s="193"/>
      <c r="Y392" s="503"/>
      <c r="Z392" s="193"/>
      <c r="AA392" s="520">
        <f t="shared" si="150"/>
        <v>-4.5865211583781222E-6</v>
      </c>
      <c r="AB392" s="496"/>
      <c r="AC392" s="521">
        <f t="shared" si="151"/>
        <v>-1.0543418515150771E-9</v>
      </c>
      <c r="AD392" s="496"/>
      <c r="AE392" s="522">
        <f t="shared" si="152"/>
        <v>-4.587575500229637E-6</v>
      </c>
      <c r="AG392" s="531">
        <f t="shared" si="153"/>
        <v>1.5099658134578179E-8</v>
      </c>
      <c r="AH392" s="221" t="str">
        <f t="shared" si="154"/>
        <v>NO</v>
      </c>
      <c r="AI392" s="532">
        <f t="shared" si="155"/>
        <v>3.4710842848232987E-12</v>
      </c>
      <c r="AJ392" s="221" t="str">
        <f t="shared" si="134"/>
        <v>NO</v>
      </c>
      <c r="AK392" s="533">
        <f>IF('IN-OUT'!$F$35=0,AG392,IF('IN-OUT'!$F$26=0,'transversal subsidence profile'!AI392,'transversal subsidence profile'!AG392+'transversal subsidence profile'!AI392))</f>
        <v>1.5103129218863001E-8</v>
      </c>
      <c r="AL392" s="513">
        <f t="shared" si="135"/>
        <v>1000</v>
      </c>
    </row>
    <row r="393" spans="1:38">
      <c r="A393" s="542">
        <f t="shared" si="156"/>
        <v>45.75</v>
      </c>
      <c r="B393" s="363">
        <f t="shared" si="136"/>
        <v>2.7707650032449599E-12</v>
      </c>
      <c r="C393" s="543">
        <f t="shared" si="137"/>
        <v>8.4508332598971273E-12</v>
      </c>
      <c r="D393" s="542">
        <f t="shared" si="157"/>
        <v>45.75</v>
      </c>
      <c r="E393" s="363">
        <f t="shared" si="138"/>
        <v>2.7707650032449599E-12</v>
      </c>
      <c r="F393" s="543">
        <f t="shared" si="139"/>
        <v>8.4508332598971273E-12</v>
      </c>
      <c r="G393" s="548">
        <f t="shared" si="140"/>
        <v>35.75</v>
      </c>
      <c r="H393" s="363">
        <f t="shared" si="141"/>
        <v>2.1223875502448237E-8</v>
      </c>
      <c r="I393" s="363">
        <f t="shared" si="142"/>
        <v>5.0583569947501633E-8</v>
      </c>
      <c r="J393" s="364">
        <f t="shared" si="143"/>
        <v>2.1226646267451482E-8</v>
      </c>
      <c r="K393" s="194">
        <f t="shared" si="144"/>
        <v>2.1223875502448236E-6</v>
      </c>
      <c r="L393" s="646">
        <f t="shared" si="145"/>
        <v>2.7707650032449598E-10</v>
      </c>
      <c r="M393" s="365">
        <f t="shared" si="146"/>
        <v>2.1226646267451483E-6</v>
      </c>
      <c r="N393" s="194">
        <f t="shared" si="147"/>
        <v>5.0583569947501631E-6</v>
      </c>
      <c r="O393" s="422">
        <f t="shared" si="148"/>
        <v>8.4508332598971268E-10</v>
      </c>
      <c r="P393" s="365">
        <f t="shared" si="149"/>
        <v>5.0592020780761524E-6</v>
      </c>
      <c r="S393" s="193"/>
      <c r="T393" s="193"/>
      <c r="U393" s="193"/>
      <c r="V393" s="193"/>
      <c r="W393" s="193"/>
      <c r="X393" s="193"/>
      <c r="Y393" s="503"/>
      <c r="Z393" s="193"/>
      <c r="AA393" s="520">
        <f t="shared" si="150"/>
        <v>-3.8274789657821604E-6</v>
      </c>
      <c r="AB393" s="496"/>
      <c r="AC393" s="521">
        <f t="shared" si="151"/>
        <v>-8.3008926846186461E-10</v>
      </c>
      <c r="AD393" s="496"/>
      <c r="AE393" s="522">
        <f t="shared" si="152"/>
        <v>-3.8283090550506227E-6</v>
      </c>
      <c r="AG393" s="531">
        <f t="shared" si="153"/>
        <v>1.2600753796813694E-8</v>
      </c>
      <c r="AH393" s="221" t="str">
        <f t="shared" si="154"/>
        <v>NO</v>
      </c>
      <c r="AI393" s="532">
        <f t="shared" si="155"/>
        <v>2.7328041760061386E-12</v>
      </c>
      <c r="AJ393" s="221" t="str">
        <f t="shared" si="134"/>
        <v>NO</v>
      </c>
      <c r="AK393" s="533">
        <f>IF('IN-OUT'!$F$35=0,AG393,IF('IN-OUT'!$F$26=0,'transversal subsidence profile'!AI393,'transversal subsidence profile'!AG393+'transversal subsidence profile'!AI393))</f>
        <v>1.26034866009897E-8</v>
      </c>
      <c r="AL393" s="513">
        <f t="shared" si="135"/>
        <v>1000</v>
      </c>
    </row>
    <row r="394" spans="1:38">
      <c r="A394" s="542">
        <f t="shared" si="156"/>
        <v>46</v>
      </c>
      <c r="B394" s="363">
        <f t="shared" si="136"/>
        <v>2.154177066404679E-12</v>
      </c>
      <c r="C394" s="543">
        <f t="shared" si="137"/>
        <v>6.6061430036410141E-12</v>
      </c>
      <c r="D394" s="542">
        <f t="shared" si="157"/>
        <v>46</v>
      </c>
      <c r="E394" s="363">
        <f t="shared" si="138"/>
        <v>2.154177066404679E-12</v>
      </c>
      <c r="F394" s="543">
        <f t="shared" si="139"/>
        <v>6.6061430036410141E-12</v>
      </c>
      <c r="G394" s="548">
        <f t="shared" si="140"/>
        <v>36</v>
      </c>
      <c r="H394" s="363">
        <f t="shared" si="141"/>
        <v>1.7431549565540899E-8</v>
      </c>
      <c r="I394" s="363">
        <f t="shared" si="142"/>
        <v>4.1835718957298162E-8</v>
      </c>
      <c r="J394" s="364">
        <f t="shared" si="143"/>
        <v>1.7433703742607305E-8</v>
      </c>
      <c r="K394" s="194">
        <f t="shared" si="144"/>
        <v>1.74315495655409E-6</v>
      </c>
      <c r="L394" s="646">
        <f t="shared" si="145"/>
        <v>2.154177066404679E-10</v>
      </c>
      <c r="M394" s="365">
        <f t="shared" si="146"/>
        <v>1.7433703742607305E-6</v>
      </c>
      <c r="N394" s="194">
        <f t="shared" si="147"/>
        <v>4.1835718957298166E-6</v>
      </c>
      <c r="O394" s="422">
        <f t="shared" si="148"/>
        <v>6.6061430036410142E-10</v>
      </c>
      <c r="P394" s="365">
        <f t="shared" si="149"/>
        <v>4.1842325100301807E-6</v>
      </c>
      <c r="S394" s="193"/>
      <c r="T394" s="193"/>
      <c r="U394" s="193"/>
      <c r="V394" s="193"/>
      <c r="W394" s="193"/>
      <c r="X394" s="193"/>
      <c r="Y394" s="503"/>
      <c r="Z394" s="193"/>
      <c r="AA394" s="520">
        <f t="shared" si="150"/>
        <v>-3.1893279575471119E-6</v>
      </c>
      <c r="AB394" s="496"/>
      <c r="AC394" s="521">
        <f t="shared" si="151"/>
        <v>-6.5259646711282853E-10</v>
      </c>
      <c r="AD394" s="496"/>
      <c r="AE394" s="522">
        <f t="shared" si="152"/>
        <v>-3.1899805540142246E-6</v>
      </c>
      <c r="AG394" s="531">
        <f t="shared" si="153"/>
        <v>1.0499845127727117E-8</v>
      </c>
      <c r="AH394" s="221" t="str">
        <f t="shared" si="154"/>
        <v>NO</v>
      </c>
      <c r="AI394" s="532">
        <f t="shared" si="155"/>
        <v>2.1484657353508753E-12</v>
      </c>
      <c r="AJ394" s="221" t="str">
        <f t="shared" ref="AJ394:AJ410" si="158">IF(AND(ABS(AI393)&gt;ABS(AI394),(ABS(AI395)&gt;(ABS(AI394)))),G394,"NO")</f>
        <v>NO</v>
      </c>
      <c r="AK394" s="533">
        <f>IF('IN-OUT'!$F$35=0,AG394,IF('IN-OUT'!$F$26=0,'transversal subsidence profile'!AI394,'transversal subsidence profile'!AG394+'transversal subsidence profile'!AI394))</f>
        <v>1.0501993593462469E-8</v>
      </c>
      <c r="AL394" s="513">
        <f t="shared" ref="AL394:AL410" si="159">IF(AND(ABS(AK393)&gt;ABS(AK394),(ABS(AK395)&gt;(ABS(AK394))),(AK393*AK395)&lt;0),G394,1000)</f>
        <v>1000</v>
      </c>
    </row>
    <row r="395" spans="1:38">
      <c r="A395" s="542">
        <f t="shared" si="156"/>
        <v>46.25</v>
      </c>
      <c r="B395" s="363">
        <f t="shared" ref="B395:B410" si="160">+$L$5*EXP(-(A395^2)/(2*$J$5^2))</f>
        <v>1.6725047601304845E-12</v>
      </c>
      <c r="C395" s="543">
        <f t="shared" ref="C395:C410" si="161">+$L$5*A395/$B$5*EXP(-(A395^2)/(2*$J$5^2))</f>
        <v>5.1568896770689945E-12</v>
      </c>
      <c r="D395" s="542">
        <f t="shared" si="157"/>
        <v>46.25</v>
      </c>
      <c r="E395" s="363">
        <f t="shared" ref="E395:E410" si="162">+$L$6*EXP(-(D395^2)/(2*$J$6^2))</f>
        <v>1.6725047601304845E-12</v>
      </c>
      <c r="F395" s="543">
        <f t="shared" ref="F395:F410" si="163">+$L$6*D395/$F$5*EXP(-(D395^2)/(2*$J$6^2))</f>
        <v>5.1568896770689945E-12</v>
      </c>
      <c r="G395" s="548">
        <f t="shared" ref="G395:G410" si="164">IF(OR($F$5=0,$F$6=0),D395,D395-$D$2)</f>
        <v>36.25</v>
      </c>
      <c r="H395" s="363">
        <f t="shared" ref="H395:H410" si="165">+$L$5*EXP(-(G395^2)/(2*$J$5^2))</f>
        <v>1.4297218709898016E-8</v>
      </c>
      <c r="I395" s="363">
        <f t="shared" ref="I395:I410" si="166">+$L$5*G395/$B$5*EXP(-(G395^2)/(2*$J$5^2))</f>
        <v>3.4551611882253539E-8</v>
      </c>
      <c r="J395" s="364">
        <f t="shared" ref="J395:J410" si="167">+H395+B395</f>
        <v>1.4298891214658146E-8</v>
      </c>
      <c r="K395" s="194">
        <f t="shared" ref="K395:K410" si="168">+H395*100</f>
        <v>1.4297218709898016E-6</v>
      </c>
      <c r="L395" s="646">
        <f t="shared" ref="L395:L410" si="169">+E395*100</f>
        <v>1.6725047601304845E-10</v>
      </c>
      <c r="M395" s="365">
        <f t="shared" ref="M395:M410" si="170">+IF(OR($B$5=0,$B$6=0),L395,IF(OR($F$5=0,$F$6=0),K395,K395+L395))</f>
        <v>1.4298891214658146E-6</v>
      </c>
      <c r="N395" s="194">
        <f t="shared" ref="N395:N410" si="171">+I395*100</f>
        <v>3.4551611882253537E-6</v>
      </c>
      <c r="O395" s="422">
        <f t="shared" ref="O395:O410" si="172">+F395*100</f>
        <v>5.1568896770689949E-10</v>
      </c>
      <c r="P395" s="365">
        <f t="shared" ref="P395:P410" si="173">+IF(OR($B$5=0,$B$6=0),O395,IF(OR($F$5=0,$F$6=0),N395,N395+O395))</f>
        <v>3.4556768771930605E-6</v>
      </c>
      <c r="S395" s="193"/>
      <c r="T395" s="193"/>
      <c r="U395" s="193"/>
      <c r="V395" s="193"/>
      <c r="W395" s="193"/>
      <c r="X395" s="193"/>
      <c r="Y395" s="503"/>
      <c r="Z395" s="193"/>
      <c r="AA395" s="520">
        <f t="shared" ref="AA395:AA410" si="174">($L$5/$B$5)*(1-((G395^2)/(($J$5)^2)))*EXP(-(G395^2)/(2*(($J$5)^2)))*100</f>
        <v>-2.6536474708375868E-6</v>
      </c>
      <c r="AB395" s="496"/>
      <c r="AC395" s="521">
        <f t="shared" ref="AC395:AC410" si="175">($L$6/$F$5)*(1-D395^2/(($J$6)^2))*EXP(-(D395^2)/(2*(($J$6)^2)))*100</f>
        <v>-5.1232025098610612E-10</v>
      </c>
      <c r="AD395" s="496"/>
      <c r="AE395" s="522">
        <f t="shared" ref="AE395:AE410" si="176">AA395+AC395</f>
        <v>-2.6541597910885728E-6</v>
      </c>
      <c r="AG395" s="531">
        <f t="shared" ref="AG395:AG410" si="177">($L$5*(1/(($J$5)^2))*(EXP(-(G395^2/(2*$J$5^2))))*((G395^2/($J$5^2))-1))</f>
        <v>8.7362879698356765E-9</v>
      </c>
      <c r="AH395" s="221" t="str">
        <f t="shared" ref="AH395:AH410" si="178">IF(AND(ABS(AG394)&gt;ABS(AG395),(ABS(AG396)&gt;(ABS(AG395)))),G395,"NO")</f>
        <v>NO</v>
      </c>
      <c r="AI395" s="532">
        <f t="shared" ref="AI395:AI410" si="179">($L$6*(1/(($J$6)^2))*(EXP(-((D395)^2/(2*$J$6^2))))*(((D395)^2/($J$6^2))-1))</f>
        <v>1.6866510320530242E-12</v>
      </c>
      <c r="AJ395" s="221" t="str">
        <f t="shared" si="158"/>
        <v>NO</v>
      </c>
      <c r="AK395" s="533">
        <f>IF('IN-OUT'!$F$35=0,AG395,IF('IN-OUT'!$F$26=0,'transversal subsidence profile'!AI395,'transversal subsidence profile'!AG395+'transversal subsidence profile'!AI395))</f>
        <v>8.7379746208677291E-9</v>
      </c>
      <c r="AL395" s="513">
        <f t="shared" si="159"/>
        <v>1000</v>
      </c>
    </row>
    <row r="396" spans="1:38">
      <c r="A396" s="542">
        <f t="shared" ref="A396:A410" si="180">A395+0.25</f>
        <v>46.5</v>
      </c>
      <c r="B396" s="363">
        <f t="shared" si="160"/>
        <v>1.2967539719748486E-12</v>
      </c>
      <c r="C396" s="543">
        <f t="shared" si="161"/>
        <v>4.0199373131220309E-12</v>
      </c>
      <c r="D396" s="542">
        <f t="shared" ref="D396:D410" si="181">D395+0.25</f>
        <v>46.5</v>
      </c>
      <c r="E396" s="363">
        <f t="shared" si="162"/>
        <v>1.2967539719748486E-12</v>
      </c>
      <c r="F396" s="543">
        <f t="shared" si="163"/>
        <v>4.0199373131220309E-12</v>
      </c>
      <c r="G396" s="548">
        <f t="shared" si="164"/>
        <v>36.5</v>
      </c>
      <c r="H396" s="363">
        <f t="shared" si="165"/>
        <v>1.1710390740668723E-8</v>
      </c>
      <c r="I396" s="363">
        <f t="shared" si="166"/>
        <v>2.8495284135627222E-8</v>
      </c>
      <c r="J396" s="364">
        <f t="shared" si="167"/>
        <v>1.1711687494640697E-8</v>
      </c>
      <c r="K396" s="194">
        <f t="shared" si="168"/>
        <v>1.1710390740668724E-6</v>
      </c>
      <c r="L396" s="646">
        <f t="shared" si="169"/>
        <v>1.2967539719748486E-10</v>
      </c>
      <c r="M396" s="365">
        <f t="shared" si="170"/>
        <v>1.1711687494640698E-6</v>
      </c>
      <c r="N396" s="194">
        <f t="shared" si="171"/>
        <v>2.8495284135627221E-6</v>
      </c>
      <c r="O396" s="422">
        <f t="shared" si="172"/>
        <v>4.0199373131220308E-10</v>
      </c>
      <c r="P396" s="365">
        <f t="shared" si="173"/>
        <v>2.8499304072940343E-6</v>
      </c>
      <c r="S396" s="193"/>
      <c r="T396" s="193"/>
      <c r="U396" s="193"/>
      <c r="V396" s="193"/>
      <c r="W396" s="193"/>
      <c r="X396" s="193"/>
      <c r="Y396" s="503"/>
      <c r="Z396" s="193"/>
      <c r="AA396" s="520">
        <f t="shared" si="174"/>
        <v>-2.2046805137462002E-6</v>
      </c>
      <c r="AB396" s="496"/>
      <c r="AC396" s="521">
        <f t="shared" si="175"/>
        <v>-4.0162018078529666E-10</v>
      </c>
      <c r="AD396" s="496"/>
      <c r="AE396" s="522">
        <f t="shared" si="176"/>
        <v>-2.2050821339269854E-6</v>
      </c>
      <c r="AG396" s="531">
        <f t="shared" si="177"/>
        <v>7.258207452662387E-9</v>
      </c>
      <c r="AH396" s="221" t="str">
        <f t="shared" si="178"/>
        <v>NO</v>
      </c>
      <c r="AI396" s="532">
        <f t="shared" si="179"/>
        <v>1.3222063564948039E-12</v>
      </c>
      <c r="AJ396" s="221" t="str">
        <f t="shared" si="158"/>
        <v>NO</v>
      </c>
      <c r="AK396" s="533">
        <f>IF('IN-OUT'!$F$35=0,AG396,IF('IN-OUT'!$F$26=0,'transversal subsidence profile'!AI396,'transversal subsidence profile'!AG396+'transversal subsidence profile'!AI396))</f>
        <v>7.2595296590188817E-9</v>
      </c>
      <c r="AL396" s="513">
        <f t="shared" si="159"/>
        <v>1000</v>
      </c>
    </row>
    <row r="397" spans="1:38">
      <c r="A397" s="542">
        <f t="shared" si="180"/>
        <v>46.75</v>
      </c>
      <c r="B397" s="363">
        <f t="shared" si="160"/>
        <v>1.0040424420050472E-12</v>
      </c>
      <c r="C397" s="543">
        <f t="shared" si="161"/>
        <v>3.1292656109157306E-12</v>
      </c>
      <c r="D397" s="542">
        <f t="shared" si="181"/>
        <v>46.75</v>
      </c>
      <c r="E397" s="363">
        <f t="shared" si="162"/>
        <v>1.0040424420050472E-12</v>
      </c>
      <c r="F397" s="543">
        <f t="shared" si="163"/>
        <v>3.1292656109157306E-12</v>
      </c>
      <c r="G397" s="548">
        <f t="shared" si="164"/>
        <v>36.75</v>
      </c>
      <c r="H397" s="363">
        <f t="shared" si="165"/>
        <v>9.5784551935078375E-9</v>
      </c>
      <c r="I397" s="363">
        <f t="shared" si="166"/>
        <v>2.3467215224094203E-8</v>
      </c>
      <c r="J397" s="364">
        <f t="shared" si="167"/>
        <v>9.5794592359498419E-9</v>
      </c>
      <c r="K397" s="194">
        <f t="shared" si="168"/>
        <v>9.5784551935078368E-7</v>
      </c>
      <c r="L397" s="646">
        <f t="shared" si="169"/>
        <v>1.0040424420050472E-10</v>
      </c>
      <c r="M397" s="365">
        <f t="shared" si="170"/>
        <v>9.5794592359498411E-7</v>
      </c>
      <c r="N397" s="194">
        <f t="shared" si="171"/>
        <v>2.3467215224094204E-6</v>
      </c>
      <c r="O397" s="422">
        <f t="shared" si="172"/>
        <v>3.1292656109157308E-10</v>
      </c>
      <c r="P397" s="365">
        <f t="shared" si="173"/>
        <v>2.3470344489705119E-6</v>
      </c>
      <c r="S397" s="193"/>
      <c r="T397" s="193"/>
      <c r="U397" s="193"/>
      <c r="V397" s="193"/>
      <c r="W397" s="193"/>
      <c r="X397" s="193"/>
      <c r="Y397" s="503"/>
      <c r="Z397" s="193"/>
      <c r="AA397" s="520">
        <f t="shared" si="174"/>
        <v>-1.8289725143158999E-6</v>
      </c>
      <c r="AB397" s="496"/>
      <c r="AC397" s="521">
        <f t="shared" si="175"/>
        <v>-3.1438878110885053E-10</v>
      </c>
      <c r="AD397" s="496"/>
      <c r="AE397" s="522">
        <f t="shared" si="176"/>
        <v>-1.8292869030970088E-6</v>
      </c>
      <c r="AG397" s="531">
        <f t="shared" si="177"/>
        <v>6.0213086891058433E-9</v>
      </c>
      <c r="AH397" s="221" t="str">
        <f t="shared" si="178"/>
        <v>NO</v>
      </c>
      <c r="AI397" s="532">
        <f t="shared" si="179"/>
        <v>1.0350247937739936E-12</v>
      </c>
      <c r="AJ397" s="221" t="str">
        <f t="shared" si="158"/>
        <v>NO</v>
      </c>
      <c r="AK397" s="533">
        <f>IF('IN-OUT'!$F$35=0,AG397,IF('IN-OUT'!$F$26=0,'transversal subsidence profile'!AI397,'transversal subsidence profile'!AG397+'transversal subsidence profile'!AI397))</f>
        <v>6.0223437138996176E-9</v>
      </c>
      <c r="AL397" s="513">
        <f t="shared" si="159"/>
        <v>1000</v>
      </c>
    </row>
    <row r="398" spans="1:38">
      <c r="A398" s="542">
        <f t="shared" si="180"/>
        <v>47</v>
      </c>
      <c r="B398" s="363">
        <f t="shared" si="160"/>
        <v>7.7633794862141246E-13</v>
      </c>
      <c r="C398" s="543">
        <f t="shared" si="161"/>
        <v>2.4325255723470922E-12</v>
      </c>
      <c r="D398" s="542">
        <f t="shared" si="181"/>
        <v>47</v>
      </c>
      <c r="E398" s="363">
        <f t="shared" si="162"/>
        <v>7.7633794862141246E-13</v>
      </c>
      <c r="F398" s="543">
        <f t="shared" si="163"/>
        <v>2.4325255723470922E-12</v>
      </c>
      <c r="G398" s="548">
        <f t="shared" si="164"/>
        <v>37</v>
      </c>
      <c r="H398" s="363">
        <f t="shared" si="165"/>
        <v>7.8239094875549225E-9</v>
      </c>
      <c r="I398" s="363">
        <f t="shared" si="166"/>
        <v>1.9298976735968808E-8</v>
      </c>
      <c r="J398" s="364">
        <f t="shared" si="167"/>
        <v>7.8246858255035447E-9</v>
      </c>
      <c r="K398" s="194">
        <f t="shared" si="168"/>
        <v>7.823909487554923E-7</v>
      </c>
      <c r="L398" s="646">
        <f t="shared" si="169"/>
        <v>7.7633794862141246E-11</v>
      </c>
      <c r="M398" s="365">
        <f t="shared" si="170"/>
        <v>7.8246858255035445E-7</v>
      </c>
      <c r="N398" s="194">
        <f t="shared" si="171"/>
        <v>1.9298976735968807E-6</v>
      </c>
      <c r="O398" s="422">
        <f t="shared" si="172"/>
        <v>2.432525572347092E-10</v>
      </c>
      <c r="P398" s="365">
        <f t="shared" si="173"/>
        <v>1.9301409261541155E-6</v>
      </c>
      <c r="S398" s="193"/>
      <c r="T398" s="193"/>
      <c r="U398" s="193"/>
      <c r="V398" s="193"/>
      <c r="W398" s="193"/>
      <c r="X398" s="193"/>
      <c r="Y398" s="503"/>
      <c r="Z398" s="193"/>
      <c r="AA398" s="520">
        <f t="shared" si="174"/>
        <v>-1.5150551751163741E-6</v>
      </c>
      <c r="AB398" s="496"/>
      <c r="AC398" s="521">
        <f t="shared" si="175"/>
        <v>-2.4575160577531036E-10</v>
      </c>
      <c r="AD398" s="496"/>
      <c r="AE398" s="522">
        <f t="shared" si="176"/>
        <v>-1.5153009267221495E-6</v>
      </c>
      <c r="AG398" s="531">
        <f t="shared" si="177"/>
        <v>4.9878359674613133E-9</v>
      </c>
      <c r="AH398" s="221" t="str">
        <f t="shared" si="178"/>
        <v>NO</v>
      </c>
      <c r="AI398" s="532">
        <f t="shared" si="179"/>
        <v>8.0905878444546625E-13</v>
      </c>
      <c r="AJ398" s="221" t="str">
        <f t="shared" si="158"/>
        <v>NO</v>
      </c>
      <c r="AK398" s="533">
        <f>IF('IN-OUT'!$F$35=0,AG398,IF('IN-OUT'!$F$26=0,'transversal subsidence profile'!AI398,'transversal subsidence profile'!AG398+'transversal subsidence profile'!AI398))</f>
        <v>4.9886450262457586E-9</v>
      </c>
      <c r="AL398" s="513">
        <f t="shared" si="159"/>
        <v>1000</v>
      </c>
    </row>
    <row r="399" spans="1:38">
      <c r="A399" s="542">
        <f t="shared" si="180"/>
        <v>47.25</v>
      </c>
      <c r="B399" s="363">
        <f t="shared" si="160"/>
        <v>5.9945118081238562E-13</v>
      </c>
      <c r="C399" s="543">
        <f t="shared" si="161"/>
        <v>1.8882712195590146E-12</v>
      </c>
      <c r="D399" s="542">
        <f t="shared" si="181"/>
        <v>47.25</v>
      </c>
      <c r="E399" s="363">
        <f t="shared" si="162"/>
        <v>5.9945118081238562E-13</v>
      </c>
      <c r="F399" s="543">
        <f t="shared" si="163"/>
        <v>1.8882712195590146E-12</v>
      </c>
      <c r="G399" s="548">
        <f t="shared" si="164"/>
        <v>37.25</v>
      </c>
      <c r="H399" s="363">
        <f t="shared" si="165"/>
        <v>6.3819944638841815E-9</v>
      </c>
      <c r="I399" s="363">
        <f t="shared" si="166"/>
        <v>1.5848619585312386E-8</v>
      </c>
      <c r="J399" s="364">
        <f t="shared" si="167"/>
        <v>6.3825939150649942E-9</v>
      </c>
      <c r="K399" s="194">
        <f t="shared" si="168"/>
        <v>6.3819944638841817E-7</v>
      </c>
      <c r="L399" s="646">
        <f t="shared" si="169"/>
        <v>5.9945118081238568E-11</v>
      </c>
      <c r="M399" s="365">
        <f t="shared" si="170"/>
        <v>6.382593915064994E-7</v>
      </c>
      <c r="N399" s="194">
        <f t="shared" si="171"/>
        <v>1.5848619585312384E-6</v>
      </c>
      <c r="O399" s="422">
        <f t="shared" si="172"/>
        <v>1.8882712195590147E-10</v>
      </c>
      <c r="P399" s="365">
        <f t="shared" si="173"/>
        <v>1.5850507856531943E-6</v>
      </c>
      <c r="S399" s="193"/>
      <c r="T399" s="193"/>
      <c r="U399" s="193"/>
      <c r="V399" s="193"/>
      <c r="W399" s="193"/>
      <c r="X399" s="193"/>
      <c r="Y399" s="503"/>
      <c r="Z399" s="193"/>
      <c r="AA399" s="520">
        <f t="shared" si="174"/>
        <v>-1.2531704172704266E-6</v>
      </c>
      <c r="AB399" s="496"/>
      <c r="AC399" s="521">
        <f t="shared" si="175"/>
        <v>-1.9182437785996339E-10</v>
      </c>
      <c r="AD399" s="496"/>
      <c r="AE399" s="522">
        <f t="shared" si="176"/>
        <v>-1.2533622416482865E-6</v>
      </c>
      <c r="AG399" s="531">
        <f t="shared" si="177"/>
        <v>4.1256639251701279E-9</v>
      </c>
      <c r="AH399" s="221" t="str">
        <f t="shared" si="178"/>
        <v>NO</v>
      </c>
      <c r="AI399" s="532">
        <f t="shared" si="179"/>
        <v>6.3152058554720455E-13</v>
      </c>
      <c r="AJ399" s="221" t="str">
        <f t="shared" si="158"/>
        <v>NO</v>
      </c>
      <c r="AK399" s="533">
        <f>IF('IN-OUT'!$F$35=0,AG399,IF('IN-OUT'!$F$26=0,'transversal subsidence profile'!AI399,'transversal subsidence profile'!AG399+'transversal subsidence profile'!AI399))</f>
        <v>4.126295445755675E-9</v>
      </c>
      <c r="AL399" s="513">
        <f t="shared" si="159"/>
        <v>1000</v>
      </c>
    </row>
    <row r="400" spans="1:38">
      <c r="A400" s="542">
        <f t="shared" si="180"/>
        <v>47.5</v>
      </c>
      <c r="B400" s="363">
        <f t="shared" si="160"/>
        <v>4.6223314546826137E-13</v>
      </c>
      <c r="C400" s="543">
        <f t="shared" si="161"/>
        <v>1.4637382939828277E-12</v>
      </c>
      <c r="D400" s="542">
        <f t="shared" si="181"/>
        <v>47.5</v>
      </c>
      <c r="E400" s="363">
        <f t="shared" si="162"/>
        <v>4.6223314546826137E-13</v>
      </c>
      <c r="F400" s="543">
        <f t="shared" si="163"/>
        <v>1.4637382939828277E-12</v>
      </c>
      <c r="G400" s="548">
        <f t="shared" si="164"/>
        <v>37.5</v>
      </c>
      <c r="H400" s="363">
        <f t="shared" si="165"/>
        <v>5.1986824297207413E-9</v>
      </c>
      <c r="I400" s="363">
        <f t="shared" si="166"/>
        <v>1.2996706074301852E-8</v>
      </c>
      <c r="J400" s="364">
        <f t="shared" si="167"/>
        <v>5.1991446628662093E-9</v>
      </c>
      <c r="K400" s="194">
        <f t="shared" si="168"/>
        <v>5.1986824297207416E-7</v>
      </c>
      <c r="L400" s="646">
        <f t="shared" si="169"/>
        <v>4.6223314546826139E-11</v>
      </c>
      <c r="M400" s="365">
        <f t="shared" si="170"/>
        <v>5.1991446628662097E-7</v>
      </c>
      <c r="N400" s="194">
        <f t="shared" si="171"/>
        <v>1.2996706074301852E-6</v>
      </c>
      <c r="O400" s="422">
        <f t="shared" si="172"/>
        <v>1.4637382939828277E-10</v>
      </c>
      <c r="P400" s="365">
        <f t="shared" si="173"/>
        <v>1.2998169812595835E-6</v>
      </c>
      <c r="S400" s="193"/>
      <c r="T400" s="193"/>
      <c r="U400" s="193"/>
      <c r="V400" s="193"/>
      <c r="W400" s="193"/>
      <c r="X400" s="193"/>
      <c r="Y400" s="503"/>
      <c r="Z400" s="193"/>
      <c r="AA400" s="520">
        <f t="shared" si="174"/>
        <v>-1.0350298598760881E-6</v>
      </c>
      <c r="AB400" s="496"/>
      <c r="AC400" s="521">
        <f t="shared" si="175"/>
        <v>-1.495166766196422E-10</v>
      </c>
      <c r="AD400" s="496"/>
      <c r="AE400" s="522">
        <f t="shared" si="176"/>
        <v>-1.0351793765527078E-6</v>
      </c>
      <c r="AG400" s="531">
        <f t="shared" si="177"/>
        <v>3.4075057115262161E-9</v>
      </c>
      <c r="AH400" s="221" t="str">
        <f t="shared" si="178"/>
        <v>NO</v>
      </c>
      <c r="AI400" s="532">
        <f t="shared" si="179"/>
        <v>4.9223597241034462E-13</v>
      </c>
      <c r="AJ400" s="221" t="str">
        <f t="shared" si="158"/>
        <v>NO</v>
      </c>
      <c r="AK400" s="533">
        <f>IF('IN-OUT'!$F$35=0,AG400,IF('IN-OUT'!$F$26=0,'transversal subsidence profile'!AI400,'transversal subsidence profile'!AG400+'transversal subsidence profile'!AI400))</f>
        <v>3.4079979474986265E-9</v>
      </c>
      <c r="AL400" s="513">
        <f t="shared" si="159"/>
        <v>1000</v>
      </c>
    </row>
    <row r="401" spans="1:38">
      <c r="A401" s="542">
        <f t="shared" si="180"/>
        <v>47.75</v>
      </c>
      <c r="B401" s="363">
        <f t="shared" si="160"/>
        <v>3.5593656801199791E-13</v>
      </c>
      <c r="C401" s="543">
        <f t="shared" si="161"/>
        <v>1.1330647415048601E-12</v>
      </c>
      <c r="D401" s="542">
        <f t="shared" si="181"/>
        <v>47.75</v>
      </c>
      <c r="E401" s="363">
        <f t="shared" si="162"/>
        <v>3.5593656801199791E-13</v>
      </c>
      <c r="F401" s="543">
        <f t="shared" si="163"/>
        <v>1.1330647415048601E-12</v>
      </c>
      <c r="G401" s="548">
        <f t="shared" si="164"/>
        <v>37.75</v>
      </c>
      <c r="H401" s="363">
        <f t="shared" si="165"/>
        <v>4.2289681479797784E-9</v>
      </c>
      <c r="I401" s="363">
        <f t="shared" si="166"/>
        <v>1.0642903172415775E-8</v>
      </c>
      <c r="J401" s="364">
        <f t="shared" si="167"/>
        <v>4.2293240845477906E-9</v>
      </c>
      <c r="K401" s="194">
        <f t="shared" si="168"/>
        <v>4.2289681479797782E-7</v>
      </c>
      <c r="L401" s="646">
        <f t="shared" si="169"/>
        <v>3.5593656801199794E-11</v>
      </c>
      <c r="M401" s="365">
        <f t="shared" si="170"/>
        <v>4.2293240845477902E-7</v>
      </c>
      <c r="N401" s="194">
        <f t="shared" si="171"/>
        <v>1.0642903172415774E-6</v>
      </c>
      <c r="O401" s="422">
        <f t="shared" si="172"/>
        <v>1.1330647415048601E-10</v>
      </c>
      <c r="P401" s="365">
        <f t="shared" si="173"/>
        <v>1.0644036237157278E-6</v>
      </c>
      <c r="S401" s="193"/>
      <c r="T401" s="193"/>
      <c r="U401" s="193"/>
      <c r="V401" s="193"/>
      <c r="W401" s="193"/>
      <c r="X401" s="193"/>
      <c r="Y401" s="503"/>
      <c r="Z401" s="193"/>
      <c r="AA401" s="520">
        <f t="shared" si="174"/>
        <v>-8.5360571524654466E-7</v>
      </c>
      <c r="AB401" s="496"/>
      <c r="AC401" s="521">
        <f t="shared" si="175"/>
        <v>-1.1637351787439369E-10</v>
      </c>
      <c r="AD401" s="496"/>
      <c r="AE401" s="522">
        <f t="shared" si="176"/>
        <v>-8.5372208876441902E-7</v>
      </c>
      <c r="AG401" s="531">
        <f t="shared" si="177"/>
        <v>2.8102245769433571E-9</v>
      </c>
      <c r="AH401" s="221" t="str">
        <f t="shared" si="178"/>
        <v>NO</v>
      </c>
      <c r="AI401" s="532">
        <f t="shared" si="179"/>
        <v>3.8312269259059644E-13</v>
      </c>
      <c r="AJ401" s="221" t="str">
        <f t="shared" si="158"/>
        <v>NO</v>
      </c>
      <c r="AK401" s="533">
        <f>IF('IN-OUT'!$F$35=0,AG401,IF('IN-OUT'!$F$26=0,'transversal subsidence profile'!AI401,'transversal subsidence profile'!AG401+'transversal subsidence profile'!AI401))</f>
        <v>2.8106076996359476E-9</v>
      </c>
      <c r="AL401" s="513">
        <f t="shared" si="159"/>
        <v>1000</v>
      </c>
    </row>
    <row r="402" spans="1:38">
      <c r="A402" s="542">
        <f t="shared" si="180"/>
        <v>48</v>
      </c>
      <c r="B402" s="363">
        <f t="shared" si="160"/>
        <v>2.7370856821612073E-13</v>
      </c>
      <c r="C402" s="543">
        <f t="shared" si="161"/>
        <v>8.7586741829158625E-13</v>
      </c>
      <c r="D402" s="542">
        <f t="shared" si="181"/>
        <v>48</v>
      </c>
      <c r="E402" s="363">
        <f t="shared" si="162"/>
        <v>2.7370856821612073E-13</v>
      </c>
      <c r="F402" s="543">
        <f t="shared" si="163"/>
        <v>8.7586741829158625E-13</v>
      </c>
      <c r="G402" s="548">
        <f t="shared" si="164"/>
        <v>38</v>
      </c>
      <c r="H402" s="363">
        <f t="shared" si="165"/>
        <v>3.4354196828064236E-9</v>
      </c>
      <c r="I402" s="363">
        <f t="shared" si="166"/>
        <v>8.7030631964429403E-9</v>
      </c>
      <c r="J402" s="364">
        <f t="shared" si="167"/>
        <v>3.4356933913746395E-9</v>
      </c>
      <c r="K402" s="194">
        <f t="shared" si="168"/>
        <v>3.4354196828064235E-7</v>
      </c>
      <c r="L402" s="646">
        <f t="shared" si="169"/>
        <v>2.7370856821612073E-11</v>
      </c>
      <c r="M402" s="365">
        <f t="shared" si="170"/>
        <v>3.4356933913746395E-7</v>
      </c>
      <c r="N402" s="194">
        <f t="shared" si="171"/>
        <v>8.7030631964429403E-7</v>
      </c>
      <c r="O402" s="422">
        <f t="shared" si="172"/>
        <v>8.7586741829158625E-11</v>
      </c>
      <c r="P402" s="365">
        <f t="shared" si="173"/>
        <v>8.7039390638612323E-7</v>
      </c>
      <c r="S402" s="193"/>
      <c r="T402" s="193"/>
      <c r="U402" s="193"/>
      <c r="V402" s="193"/>
      <c r="W402" s="193"/>
      <c r="X402" s="193"/>
      <c r="Y402" s="503"/>
      <c r="Z402" s="193"/>
      <c r="AA402" s="520">
        <f t="shared" si="174"/>
        <v>-7.0294938639957686E-7</v>
      </c>
      <c r="AB402" s="496"/>
      <c r="AC402" s="521">
        <f t="shared" si="175"/>
        <v>-9.0447728509277747E-11</v>
      </c>
      <c r="AD402" s="496"/>
      <c r="AE402" s="522">
        <f t="shared" si="176"/>
        <v>-7.0303983412808616E-7</v>
      </c>
      <c r="AG402" s="531">
        <f t="shared" si="177"/>
        <v>2.3142366630438742E-9</v>
      </c>
      <c r="AH402" s="221" t="str">
        <f t="shared" si="178"/>
        <v>NO</v>
      </c>
      <c r="AI402" s="532">
        <f t="shared" si="179"/>
        <v>2.977702996190214E-13</v>
      </c>
      <c r="AJ402" s="221" t="str">
        <f t="shared" si="158"/>
        <v>NO</v>
      </c>
      <c r="AK402" s="533">
        <f>IF('IN-OUT'!$F$35=0,AG402,IF('IN-OUT'!$F$26=0,'transversal subsidence profile'!AI402,'transversal subsidence profile'!AG402+'transversal subsidence profile'!AI402))</f>
        <v>2.3145344333434934E-9</v>
      </c>
      <c r="AL402" s="513">
        <f t="shared" si="159"/>
        <v>1000</v>
      </c>
    </row>
    <row r="403" spans="1:38">
      <c r="A403" s="542">
        <f t="shared" si="180"/>
        <v>48.25</v>
      </c>
      <c r="B403" s="363">
        <f t="shared" si="160"/>
        <v>2.1018825132510579E-13</v>
      </c>
      <c r="C403" s="543">
        <f t="shared" si="161"/>
        <v>6.7610554176242371E-13</v>
      </c>
      <c r="D403" s="542">
        <f t="shared" si="181"/>
        <v>48.25</v>
      </c>
      <c r="E403" s="363">
        <f t="shared" si="162"/>
        <v>2.1018825132510579E-13</v>
      </c>
      <c r="F403" s="543">
        <f t="shared" si="163"/>
        <v>6.7610554176242371E-13</v>
      </c>
      <c r="G403" s="548">
        <f t="shared" si="164"/>
        <v>38.25</v>
      </c>
      <c r="H403" s="363">
        <f t="shared" si="165"/>
        <v>2.7869517183142704E-9</v>
      </c>
      <c r="I403" s="363">
        <f t="shared" si="166"/>
        <v>7.1067268817013894E-9</v>
      </c>
      <c r="J403" s="364">
        <f t="shared" si="167"/>
        <v>2.7871619065655955E-9</v>
      </c>
      <c r="K403" s="194">
        <f t="shared" si="168"/>
        <v>2.7869517183142703E-7</v>
      </c>
      <c r="L403" s="646">
        <f t="shared" si="169"/>
        <v>2.1018825132510579E-11</v>
      </c>
      <c r="M403" s="365">
        <f t="shared" si="170"/>
        <v>2.7871619065655953E-7</v>
      </c>
      <c r="N403" s="194">
        <f t="shared" si="171"/>
        <v>7.1067268817013891E-7</v>
      </c>
      <c r="O403" s="422">
        <f t="shared" si="172"/>
        <v>6.7610554176242368E-11</v>
      </c>
      <c r="P403" s="365">
        <f t="shared" si="173"/>
        <v>7.1074029872431512E-7</v>
      </c>
      <c r="S403" s="193"/>
      <c r="T403" s="193"/>
      <c r="U403" s="193"/>
      <c r="V403" s="193"/>
      <c r="W403" s="193"/>
      <c r="X403" s="193"/>
      <c r="Y403" s="503"/>
      <c r="Z403" s="193"/>
      <c r="AA403" s="520">
        <f t="shared" si="174"/>
        <v>-5.780344304651821E-7</v>
      </c>
      <c r="AB403" s="496"/>
      <c r="AC403" s="521">
        <f t="shared" si="175"/>
        <v>-7.0197301677118094E-11</v>
      </c>
      <c r="AD403" s="496"/>
      <c r="AE403" s="522">
        <f t="shared" si="176"/>
        <v>-5.7810462776685924E-7</v>
      </c>
      <c r="AG403" s="531">
        <f t="shared" si="177"/>
        <v>1.9029940097619161E-9</v>
      </c>
      <c r="AH403" s="221" t="str">
        <f t="shared" si="178"/>
        <v>NO</v>
      </c>
      <c r="AI403" s="532">
        <f t="shared" si="179"/>
        <v>2.3110222774359862E-13</v>
      </c>
      <c r="AJ403" s="221" t="str">
        <f t="shared" si="158"/>
        <v>NO</v>
      </c>
      <c r="AK403" s="533">
        <f>IF('IN-OUT'!$F$35=0,AG403,IF('IN-OUT'!$F$26=0,'transversal subsidence profile'!AI403,'transversal subsidence profile'!AG403+'transversal subsidence profile'!AI403))</f>
        <v>1.9032251119896595E-9</v>
      </c>
      <c r="AL403" s="513">
        <f t="shared" si="159"/>
        <v>1000</v>
      </c>
    </row>
    <row r="404" spans="1:38">
      <c r="A404" s="542">
        <f t="shared" si="180"/>
        <v>48.5</v>
      </c>
      <c r="B404" s="363">
        <f t="shared" si="160"/>
        <v>1.611880128404696E-13</v>
      </c>
      <c r="C404" s="543">
        <f t="shared" si="161"/>
        <v>5.2117457485085173E-13</v>
      </c>
      <c r="D404" s="542">
        <f t="shared" si="181"/>
        <v>48.5</v>
      </c>
      <c r="E404" s="363">
        <f t="shared" si="162"/>
        <v>1.611880128404696E-13</v>
      </c>
      <c r="F404" s="543">
        <f t="shared" si="163"/>
        <v>5.2117457485085173E-13</v>
      </c>
      <c r="G404" s="548">
        <f t="shared" si="164"/>
        <v>38.5</v>
      </c>
      <c r="H404" s="363">
        <f t="shared" si="165"/>
        <v>2.2577889872614198E-9</v>
      </c>
      <c r="I404" s="363">
        <f t="shared" si="166"/>
        <v>5.7949917339709783E-9</v>
      </c>
      <c r="J404" s="364">
        <f t="shared" si="167"/>
        <v>2.2579501752742601E-9</v>
      </c>
      <c r="K404" s="194">
        <f t="shared" si="168"/>
        <v>2.2577889872614197E-7</v>
      </c>
      <c r="L404" s="646">
        <f t="shared" si="169"/>
        <v>1.611880128404696E-11</v>
      </c>
      <c r="M404" s="365">
        <f t="shared" si="170"/>
        <v>2.2579501752742603E-7</v>
      </c>
      <c r="N404" s="194">
        <f t="shared" si="171"/>
        <v>5.7949917339709782E-7</v>
      </c>
      <c r="O404" s="422">
        <f t="shared" si="172"/>
        <v>5.211745748508517E-11</v>
      </c>
      <c r="P404" s="365">
        <f t="shared" si="173"/>
        <v>5.7955129085458291E-7</v>
      </c>
      <c r="S404" s="193"/>
      <c r="T404" s="193"/>
      <c r="U404" s="193"/>
      <c r="V404" s="193"/>
      <c r="W404" s="193"/>
      <c r="X404" s="193"/>
      <c r="Y404" s="503"/>
      <c r="Z404" s="193"/>
      <c r="AA404" s="520">
        <f t="shared" si="174"/>
        <v>-4.7462090032170341E-7</v>
      </c>
      <c r="AB404" s="496"/>
      <c r="AC404" s="521">
        <f t="shared" si="175"/>
        <v>-5.4402981160523196E-11</v>
      </c>
      <c r="AD404" s="496"/>
      <c r="AE404" s="522">
        <f t="shared" si="176"/>
        <v>-4.7467530330286396E-7</v>
      </c>
      <c r="AG404" s="531">
        <f t="shared" si="177"/>
        <v>1.5625379434459368E-9</v>
      </c>
      <c r="AH404" s="221" t="str">
        <f t="shared" si="178"/>
        <v>NO</v>
      </c>
      <c r="AI404" s="532">
        <f t="shared" si="179"/>
        <v>1.7910446472600227E-13</v>
      </c>
      <c r="AJ404" s="221" t="str">
        <f t="shared" si="158"/>
        <v>NO</v>
      </c>
      <c r="AK404" s="533">
        <f>IF('IN-OUT'!$F$35=0,AG404,IF('IN-OUT'!$F$26=0,'transversal subsidence profile'!AI404,'transversal subsidence profile'!AG404+'transversal subsidence profile'!AI404))</f>
        <v>1.5627170479106628E-9</v>
      </c>
      <c r="AL404" s="513">
        <f t="shared" si="159"/>
        <v>1000</v>
      </c>
    </row>
    <row r="405" spans="1:38">
      <c r="A405" s="542">
        <f t="shared" si="180"/>
        <v>48.75</v>
      </c>
      <c r="B405" s="363">
        <f t="shared" si="160"/>
        <v>1.2344153268288112E-13</v>
      </c>
      <c r="C405" s="543">
        <f t="shared" si="161"/>
        <v>4.0118498121936368E-13</v>
      </c>
      <c r="D405" s="542">
        <f t="shared" si="181"/>
        <v>48.75</v>
      </c>
      <c r="E405" s="363">
        <f t="shared" si="162"/>
        <v>1.2344153268288112E-13</v>
      </c>
      <c r="F405" s="543">
        <f t="shared" si="163"/>
        <v>4.0118498121936368E-13</v>
      </c>
      <c r="G405" s="548">
        <f t="shared" si="164"/>
        <v>38.75</v>
      </c>
      <c r="H405" s="363">
        <f t="shared" si="165"/>
        <v>1.8265918507117785E-9</v>
      </c>
      <c r="I405" s="363">
        <f t="shared" si="166"/>
        <v>4.7186956143387612E-9</v>
      </c>
      <c r="J405" s="364">
        <f t="shared" si="167"/>
        <v>1.8267152922444615E-9</v>
      </c>
      <c r="K405" s="194">
        <f t="shared" si="168"/>
        <v>1.8265918507117785E-7</v>
      </c>
      <c r="L405" s="646">
        <f t="shared" si="169"/>
        <v>1.2344153268288111E-11</v>
      </c>
      <c r="M405" s="365">
        <f t="shared" si="170"/>
        <v>1.8267152922444615E-7</v>
      </c>
      <c r="N405" s="194">
        <f t="shared" si="171"/>
        <v>4.7186956143387611E-7</v>
      </c>
      <c r="O405" s="422">
        <f t="shared" si="172"/>
        <v>4.0118498121936366E-11</v>
      </c>
      <c r="P405" s="365">
        <f t="shared" si="173"/>
        <v>4.7190967993199802E-7</v>
      </c>
      <c r="S405" s="193"/>
      <c r="T405" s="193"/>
      <c r="U405" s="193"/>
      <c r="V405" s="193"/>
      <c r="W405" s="193"/>
      <c r="X405" s="193"/>
      <c r="Y405" s="503"/>
      <c r="Z405" s="193"/>
      <c r="AA405" s="520">
        <f t="shared" si="174"/>
        <v>-3.8913839738620569E-7</v>
      </c>
      <c r="AB405" s="496"/>
      <c r="AC405" s="521">
        <f t="shared" si="175"/>
        <v>-4.2102198472251801E-11</v>
      </c>
      <c r="AD405" s="496"/>
      <c r="AE405" s="522">
        <f t="shared" si="176"/>
        <v>-3.8918049958467794E-7</v>
      </c>
      <c r="AG405" s="531">
        <f t="shared" si="177"/>
        <v>1.2811140654689898E-9</v>
      </c>
      <c r="AH405" s="221" t="str">
        <f t="shared" si="178"/>
        <v>NO</v>
      </c>
      <c r="AI405" s="532">
        <f t="shared" si="179"/>
        <v>1.386080608139977E-13</v>
      </c>
      <c r="AJ405" s="221" t="str">
        <f t="shared" si="158"/>
        <v>NO</v>
      </c>
      <c r="AK405" s="533">
        <f>IF('IN-OUT'!$F$35=0,AG405,IF('IN-OUT'!$F$26=0,'transversal subsidence profile'!AI405,'transversal subsidence profile'!AG405+'transversal subsidence profile'!AI405))</f>
        <v>1.2812526735298038E-9</v>
      </c>
      <c r="AL405" s="513">
        <f t="shared" si="159"/>
        <v>1000</v>
      </c>
    </row>
    <row r="406" spans="1:38">
      <c r="A406" s="542">
        <f t="shared" si="180"/>
        <v>49</v>
      </c>
      <c r="B406" s="363">
        <f t="shared" si="160"/>
        <v>9.4404811525977154E-14</v>
      </c>
      <c r="C406" s="543">
        <f t="shared" si="161"/>
        <v>3.083890509848587E-13</v>
      </c>
      <c r="D406" s="542">
        <f t="shared" si="181"/>
        <v>49</v>
      </c>
      <c r="E406" s="363">
        <f t="shared" si="162"/>
        <v>9.4404811525977154E-14</v>
      </c>
      <c r="F406" s="543">
        <f t="shared" si="163"/>
        <v>3.083890509848587E-13</v>
      </c>
      <c r="G406" s="548">
        <f t="shared" si="164"/>
        <v>39</v>
      </c>
      <c r="H406" s="363">
        <f t="shared" si="165"/>
        <v>1.4757199247926278E-9</v>
      </c>
      <c r="I406" s="363">
        <f t="shared" si="166"/>
        <v>3.8368718044608324E-9</v>
      </c>
      <c r="J406" s="364">
        <f t="shared" si="167"/>
        <v>1.4758143296041537E-9</v>
      </c>
      <c r="K406" s="194">
        <f t="shared" si="168"/>
        <v>1.4757199247926277E-7</v>
      </c>
      <c r="L406" s="646">
        <f t="shared" si="169"/>
        <v>9.4404811525977155E-12</v>
      </c>
      <c r="M406" s="365">
        <f t="shared" si="170"/>
        <v>1.4758143296041538E-7</v>
      </c>
      <c r="N406" s="194">
        <f t="shared" si="171"/>
        <v>3.8368718044608324E-7</v>
      </c>
      <c r="O406" s="422">
        <f t="shared" si="172"/>
        <v>3.083890509848587E-11</v>
      </c>
      <c r="P406" s="365">
        <f t="shared" si="173"/>
        <v>3.8371801935118172E-7</v>
      </c>
      <c r="S406" s="193"/>
      <c r="T406" s="193"/>
      <c r="U406" s="193"/>
      <c r="V406" s="193"/>
      <c r="W406" s="193"/>
      <c r="X406" s="193"/>
      <c r="Y406" s="503"/>
      <c r="Z406" s="193"/>
      <c r="AA406" s="520">
        <f t="shared" si="174"/>
        <v>-3.1858546195317385E-7</v>
      </c>
      <c r="AB406" s="496"/>
      <c r="AC406" s="521">
        <f t="shared" si="175"/>
        <v>-3.2536206053767727E-11</v>
      </c>
      <c r="AD406" s="496"/>
      <c r="AE406" s="522">
        <f t="shared" si="176"/>
        <v>-3.186179981592276E-7</v>
      </c>
      <c r="AG406" s="531">
        <f t="shared" si="177"/>
        <v>1.0488410270063338E-9</v>
      </c>
      <c r="AH406" s="221" t="str">
        <f t="shared" si="178"/>
        <v>NO</v>
      </c>
      <c r="AI406" s="532">
        <f t="shared" si="179"/>
        <v>1.0711508165849457E-13</v>
      </c>
      <c r="AJ406" s="221" t="str">
        <f t="shared" si="158"/>
        <v>NO</v>
      </c>
      <c r="AK406" s="533">
        <f>IF('IN-OUT'!$F$35=0,AG406,IF('IN-OUT'!$F$26=0,'transversal subsidence profile'!AI406,'transversal subsidence profile'!AG406+'transversal subsidence profile'!AI406))</f>
        <v>1.0489481420879922E-9</v>
      </c>
      <c r="AL406" s="513">
        <f t="shared" si="159"/>
        <v>1000</v>
      </c>
    </row>
    <row r="407" spans="1:38">
      <c r="A407" s="542">
        <f t="shared" si="180"/>
        <v>49.25</v>
      </c>
      <c r="B407" s="363">
        <f t="shared" si="160"/>
        <v>7.2099327455318011E-14</v>
      </c>
      <c r="C407" s="543">
        <f t="shared" si="161"/>
        <v>2.367261251449608E-13</v>
      </c>
      <c r="D407" s="542">
        <f t="shared" si="181"/>
        <v>49.25</v>
      </c>
      <c r="E407" s="363">
        <f t="shared" si="162"/>
        <v>7.2099327455318011E-14</v>
      </c>
      <c r="F407" s="543">
        <f t="shared" si="163"/>
        <v>2.367261251449608E-13</v>
      </c>
      <c r="G407" s="548">
        <f t="shared" si="164"/>
        <v>39.25</v>
      </c>
      <c r="H407" s="363">
        <f t="shared" si="165"/>
        <v>1.1906130168791525E-9</v>
      </c>
      <c r="I407" s="363">
        <f t="shared" si="166"/>
        <v>3.1154373941671162E-9</v>
      </c>
      <c r="J407" s="364">
        <f t="shared" si="167"/>
        <v>1.1906851162066077E-9</v>
      </c>
      <c r="K407" s="194">
        <f t="shared" si="168"/>
        <v>1.1906130168791524E-7</v>
      </c>
      <c r="L407" s="646">
        <f t="shared" si="169"/>
        <v>7.2099327455318015E-12</v>
      </c>
      <c r="M407" s="365">
        <f t="shared" si="170"/>
        <v>1.1906851162066078E-7</v>
      </c>
      <c r="N407" s="194">
        <f t="shared" si="171"/>
        <v>3.1154373941671163E-7</v>
      </c>
      <c r="O407" s="422">
        <f t="shared" si="172"/>
        <v>2.3672612514496082E-11</v>
      </c>
      <c r="P407" s="365">
        <f t="shared" si="173"/>
        <v>3.1156741202922614E-7</v>
      </c>
      <c r="S407" s="193"/>
      <c r="T407" s="193"/>
      <c r="U407" s="193"/>
      <c r="V407" s="193"/>
      <c r="W407" s="193"/>
      <c r="X407" s="193"/>
      <c r="Y407" s="503"/>
      <c r="Z407" s="193"/>
      <c r="AA407" s="520">
        <f t="shared" si="174"/>
        <v>-2.6044319491311688E-7</v>
      </c>
      <c r="AB407" s="496"/>
      <c r="AC407" s="521">
        <f t="shared" si="175"/>
        <v>-2.5107840781879379E-11</v>
      </c>
      <c r="AD407" s="496"/>
      <c r="AE407" s="522">
        <f t="shared" si="176"/>
        <v>-2.6046830275389875E-7</v>
      </c>
      <c r="AG407" s="531">
        <f t="shared" si="177"/>
        <v>8.5742615609256584E-10</v>
      </c>
      <c r="AH407" s="221" t="str">
        <f t="shared" si="178"/>
        <v>NO</v>
      </c>
      <c r="AI407" s="532">
        <f t="shared" si="179"/>
        <v>8.2659558129644041E-14</v>
      </c>
      <c r="AJ407" s="221" t="str">
        <f t="shared" si="158"/>
        <v>NO</v>
      </c>
      <c r="AK407" s="533">
        <f>IF('IN-OUT'!$F$35=0,AG407,IF('IN-OUT'!$F$26=0,'transversal subsidence profile'!AI407,'transversal subsidence profile'!AG407+'transversal subsidence profile'!AI407))</f>
        <v>8.5750881565069549E-10</v>
      </c>
      <c r="AL407" s="513">
        <f t="shared" si="159"/>
        <v>1000</v>
      </c>
    </row>
    <row r="408" spans="1:38">
      <c r="A408" s="542">
        <f t="shared" si="180"/>
        <v>49.5</v>
      </c>
      <c r="B408" s="363">
        <f t="shared" si="160"/>
        <v>5.4988586696494813E-14</v>
      </c>
      <c r="C408" s="543">
        <f t="shared" si="161"/>
        <v>1.8146233609843288E-13</v>
      </c>
      <c r="D408" s="542">
        <f t="shared" si="181"/>
        <v>49.5</v>
      </c>
      <c r="E408" s="363">
        <f t="shared" si="162"/>
        <v>5.4988586696494813E-14</v>
      </c>
      <c r="F408" s="543">
        <f t="shared" si="163"/>
        <v>1.8146233609843288E-13</v>
      </c>
      <c r="G408" s="548">
        <f t="shared" si="164"/>
        <v>39.5</v>
      </c>
      <c r="H408" s="363">
        <f t="shared" si="165"/>
        <v>9.5927156596457984E-10</v>
      </c>
      <c r="I408" s="363">
        <f t="shared" si="166"/>
        <v>2.526081790373393E-9</v>
      </c>
      <c r="J408" s="364">
        <f t="shared" si="167"/>
        <v>9.5932655455127633E-10</v>
      </c>
      <c r="K408" s="194">
        <f t="shared" si="168"/>
        <v>9.5927156596457989E-8</v>
      </c>
      <c r="L408" s="646">
        <f t="shared" si="169"/>
        <v>5.4988586696494815E-12</v>
      </c>
      <c r="M408" s="365">
        <f t="shared" si="170"/>
        <v>9.5932655455127633E-8</v>
      </c>
      <c r="N408" s="194">
        <f t="shared" si="171"/>
        <v>2.5260817903733927E-7</v>
      </c>
      <c r="O408" s="422">
        <f t="shared" si="172"/>
        <v>1.8146233609843288E-11</v>
      </c>
      <c r="P408" s="365">
        <f t="shared" si="173"/>
        <v>2.5262632527094913E-7</v>
      </c>
      <c r="S408" s="193"/>
      <c r="T408" s="193"/>
      <c r="U408" s="193"/>
      <c r="V408" s="193"/>
      <c r="W408" s="193"/>
      <c r="X408" s="193"/>
      <c r="Y408" s="503"/>
      <c r="Z408" s="193"/>
      <c r="AA408" s="520">
        <f t="shared" si="174"/>
        <v>-2.1260124738135883E-7</v>
      </c>
      <c r="AB408" s="496"/>
      <c r="AC408" s="521">
        <f t="shared" si="175"/>
        <v>-1.9347836059877806E-11</v>
      </c>
      <c r="AD408" s="496"/>
      <c r="AE408" s="522">
        <f t="shared" si="176"/>
        <v>-2.1262059521741871E-7</v>
      </c>
      <c r="AG408" s="531">
        <f t="shared" si="177"/>
        <v>6.9992180207854756E-10</v>
      </c>
      <c r="AH408" s="221" t="str">
        <f t="shared" si="178"/>
        <v>NO</v>
      </c>
      <c r="AI408" s="532">
        <f t="shared" si="179"/>
        <v>6.3696579620996883E-14</v>
      </c>
      <c r="AJ408" s="221" t="str">
        <f t="shared" si="158"/>
        <v>NO</v>
      </c>
      <c r="AK408" s="533">
        <f>IF('IN-OUT'!$F$35=0,AG408,IF('IN-OUT'!$F$26=0,'transversal subsidence profile'!AI408,'transversal subsidence profile'!AG408+'transversal subsidence profile'!AI408))</f>
        <v>6.9998549865816859E-10</v>
      </c>
      <c r="AL408" s="513">
        <f t="shared" si="159"/>
        <v>1000</v>
      </c>
    </row>
    <row r="409" spans="1:38">
      <c r="A409" s="542">
        <f t="shared" si="180"/>
        <v>49.75</v>
      </c>
      <c r="B409" s="363">
        <f t="shared" si="160"/>
        <v>4.1881107898079572E-14</v>
      </c>
      <c r="C409" s="543">
        <f t="shared" si="161"/>
        <v>1.3890567452863058E-13</v>
      </c>
      <c r="D409" s="542">
        <f t="shared" si="181"/>
        <v>49.75</v>
      </c>
      <c r="E409" s="363">
        <f t="shared" si="162"/>
        <v>4.1881107898079572E-14</v>
      </c>
      <c r="F409" s="543">
        <f t="shared" si="163"/>
        <v>1.3890567452863058E-13</v>
      </c>
      <c r="G409" s="548">
        <f t="shared" si="164"/>
        <v>39.75</v>
      </c>
      <c r="H409" s="363">
        <f t="shared" si="165"/>
        <v>7.7182133057216668E-10</v>
      </c>
      <c r="I409" s="363">
        <f t="shared" si="166"/>
        <v>2.0453265260162412E-9</v>
      </c>
      <c r="J409" s="364">
        <f t="shared" si="167"/>
        <v>7.7186321168006471E-10</v>
      </c>
      <c r="K409" s="194">
        <f t="shared" si="168"/>
        <v>7.7182133057216667E-8</v>
      </c>
      <c r="L409" s="646">
        <f t="shared" si="169"/>
        <v>4.1881107898079576E-12</v>
      </c>
      <c r="M409" s="365">
        <f t="shared" si="170"/>
        <v>7.7186321168006471E-8</v>
      </c>
      <c r="N409" s="194">
        <f t="shared" si="171"/>
        <v>2.0453265260162411E-7</v>
      </c>
      <c r="O409" s="422">
        <f t="shared" si="172"/>
        <v>1.3890567452863057E-11</v>
      </c>
      <c r="P409" s="365">
        <f t="shared" si="173"/>
        <v>2.0454654316907698E-7</v>
      </c>
      <c r="S409" s="193"/>
      <c r="T409" s="193"/>
      <c r="U409" s="193"/>
      <c r="V409" s="193"/>
      <c r="W409" s="193"/>
      <c r="X409" s="193"/>
      <c r="Y409" s="503"/>
      <c r="Z409" s="193"/>
      <c r="AA409" s="520">
        <f t="shared" si="174"/>
        <v>-1.7329453413998934E-7</v>
      </c>
      <c r="AB409" s="496"/>
      <c r="AC409" s="521">
        <f t="shared" si="175"/>
        <v>-1.4887996581748047E-11</v>
      </c>
      <c r="AD409" s="496"/>
      <c r="AE409" s="522">
        <f t="shared" si="176"/>
        <v>-1.733094221365711E-7</v>
      </c>
      <c r="AG409" s="531">
        <f t="shared" si="177"/>
        <v>5.7051698482301015E-10</v>
      </c>
      <c r="AH409" s="221" t="str">
        <f t="shared" si="178"/>
        <v>NO</v>
      </c>
      <c r="AI409" s="532">
        <f t="shared" si="179"/>
        <v>4.9013980516042948E-14</v>
      </c>
      <c r="AJ409" s="221" t="str">
        <f t="shared" si="158"/>
        <v>NO</v>
      </c>
      <c r="AK409" s="533">
        <f>IF('IN-OUT'!$F$35=0,AG409,IF('IN-OUT'!$F$26=0,'transversal subsidence profile'!AI409,'transversal subsidence profile'!AG409+'transversal subsidence profile'!AI409))</f>
        <v>5.7056599880352615E-10</v>
      </c>
      <c r="AL409" s="513">
        <f t="shared" si="159"/>
        <v>1000</v>
      </c>
    </row>
    <row r="410" spans="1:38" ht="13.8" thickBot="1">
      <c r="A410" s="545">
        <f t="shared" si="180"/>
        <v>50</v>
      </c>
      <c r="B410" s="546">
        <f t="shared" si="160"/>
        <v>3.1854297055587741E-14</v>
      </c>
      <c r="C410" s="547">
        <f t="shared" si="161"/>
        <v>1.0618099018529245E-13</v>
      </c>
      <c r="D410" s="545">
        <f t="shared" si="181"/>
        <v>50</v>
      </c>
      <c r="E410" s="546">
        <f t="shared" si="162"/>
        <v>3.1854297055587741E-14</v>
      </c>
      <c r="F410" s="547">
        <f t="shared" si="163"/>
        <v>1.0618099018529245E-13</v>
      </c>
      <c r="G410" s="548">
        <f t="shared" si="164"/>
        <v>40</v>
      </c>
      <c r="H410" s="363">
        <f t="shared" si="165"/>
        <v>6.2014927749717002E-10</v>
      </c>
      <c r="I410" s="363">
        <f t="shared" si="166"/>
        <v>1.65373140665912E-9</v>
      </c>
      <c r="J410" s="364">
        <f t="shared" si="167"/>
        <v>6.2018113179422557E-10</v>
      </c>
      <c r="K410" s="194">
        <f t="shared" si="168"/>
        <v>6.2014927749717004E-8</v>
      </c>
      <c r="L410" s="646">
        <f t="shared" si="169"/>
        <v>3.185429705558774E-12</v>
      </c>
      <c r="M410" s="365">
        <f t="shared" si="170"/>
        <v>6.2018113179422562E-8</v>
      </c>
      <c r="N410" s="194">
        <f t="shared" si="171"/>
        <v>1.6537314066591201E-7</v>
      </c>
      <c r="O410" s="422">
        <f t="shared" si="172"/>
        <v>1.0618099018529246E-11</v>
      </c>
      <c r="P410" s="365">
        <f t="shared" si="173"/>
        <v>1.6538375876493054E-7</v>
      </c>
      <c r="S410" s="193"/>
      <c r="T410" s="193"/>
      <c r="U410" s="193"/>
      <c r="V410" s="193"/>
      <c r="W410" s="193"/>
      <c r="X410" s="193"/>
      <c r="Y410" s="503"/>
      <c r="Z410" s="193"/>
      <c r="AA410" s="523">
        <f t="shared" si="174"/>
        <v>-1.4104922433134079E-7</v>
      </c>
      <c r="AB410" s="499"/>
      <c r="AC410" s="524">
        <f t="shared" si="175"/>
        <v>-1.143987288221295E-11</v>
      </c>
      <c r="AD410" s="499"/>
      <c r="AE410" s="525">
        <f t="shared" si="176"/>
        <v>-1.41060664204223E-7</v>
      </c>
      <c r="AG410" s="534">
        <f t="shared" si="177"/>
        <v>4.6435958627601905E-10</v>
      </c>
      <c r="AH410" s="535" t="str">
        <f t="shared" si="178"/>
        <v>NO</v>
      </c>
      <c r="AI410" s="536">
        <f t="shared" si="179"/>
        <v>3.7662132945557038E-14</v>
      </c>
      <c r="AJ410" s="535" t="str">
        <f t="shared" si="158"/>
        <v>NO</v>
      </c>
      <c r="AK410" s="537">
        <f>IF('IN-OUT'!$F$35=0,AG410,IF('IN-OUT'!$F$26=0,'transversal subsidence profile'!AI410,'transversal subsidence profile'!AG410+'transversal subsidence profile'!AI410))</f>
        <v>4.6439724840896459E-10</v>
      </c>
      <c r="AL410" s="538">
        <f t="shared" si="159"/>
        <v>1000</v>
      </c>
    </row>
    <row r="411" spans="1:38">
      <c r="A411" s="362"/>
      <c r="B411" s="340"/>
      <c r="C411" s="340"/>
      <c r="D411" s="340"/>
      <c r="E411" s="340"/>
      <c r="F411" s="340"/>
      <c r="G411" s="340"/>
      <c r="H411" s="340"/>
      <c r="I411" s="194"/>
      <c r="J411" s="194"/>
      <c r="K411" s="194"/>
      <c r="L411" s="648"/>
      <c r="M411" s="194"/>
      <c r="N411" s="194"/>
      <c r="O411" s="423"/>
      <c r="P411" s="194"/>
      <c r="S411" s="193"/>
      <c r="T411" s="193"/>
      <c r="U411" s="193"/>
      <c r="V411" s="193"/>
      <c r="W411" s="193"/>
      <c r="X411" s="193"/>
      <c r="Y411" s="503"/>
      <c r="Z411" s="193"/>
    </row>
    <row r="412" spans="1:38">
      <c r="A412" s="362"/>
      <c r="B412" s="340"/>
      <c r="C412" s="340"/>
      <c r="D412" s="340"/>
      <c r="E412" s="340"/>
      <c r="F412" s="340"/>
      <c r="G412" s="340"/>
      <c r="H412" s="340"/>
      <c r="I412" s="194"/>
      <c r="J412" s="194"/>
      <c r="K412" s="194"/>
      <c r="L412" s="648"/>
      <c r="M412" s="194"/>
      <c r="N412" s="194"/>
      <c r="O412" s="423"/>
      <c r="P412" s="194"/>
      <c r="S412" s="193"/>
      <c r="T412" s="193"/>
      <c r="U412" s="193"/>
      <c r="V412" s="193"/>
      <c r="W412" s="193"/>
      <c r="X412" s="193"/>
      <c r="Y412" s="503"/>
      <c r="Z412" s="193"/>
    </row>
    <row r="413" spans="1:38">
      <c r="A413" s="362"/>
      <c r="B413" s="340"/>
      <c r="C413" s="340"/>
      <c r="D413" s="340"/>
      <c r="E413" s="340"/>
      <c r="F413" s="340"/>
      <c r="G413" s="340"/>
      <c r="H413" s="340"/>
      <c r="I413" s="194"/>
      <c r="J413" s="194"/>
      <c r="K413" s="194"/>
      <c r="L413" s="648"/>
      <c r="M413" s="194"/>
      <c r="N413" s="194"/>
      <c r="O413" s="423"/>
      <c r="P413" s="194"/>
      <c r="S413" s="193"/>
      <c r="T413" s="193"/>
      <c r="U413" s="193"/>
      <c r="V413" s="193"/>
      <c r="W413" s="193"/>
      <c r="X413" s="193"/>
      <c r="Y413" s="503"/>
      <c r="Z413" s="193"/>
    </row>
    <row r="414" spans="1:38">
      <c r="A414" s="362"/>
      <c r="B414" s="340"/>
      <c r="C414" s="340"/>
      <c r="D414" s="340"/>
      <c r="E414" s="340"/>
      <c r="F414" s="340"/>
      <c r="G414" s="340"/>
      <c r="H414" s="340"/>
      <c r="I414" s="194"/>
      <c r="J414" s="194"/>
      <c r="K414" s="194"/>
      <c r="L414" s="648"/>
      <c r="M414" s="194"/>
      <c r="N414" s="194"/>
      <c r="O414" s="423"/>
      <c r="P414" s="194"/>
      <c r="S414" s="193"/>
      <c r="T414" s="193"/>
      <c r="U414" s="193"/>
      <c r="V414" s="193"/>
      <c r="W414" s="193"/>
      <c r="X414" s="193"/>
      <c r="Y414" s="503"/>
      <c r="Z414" s="193"/>
    </row>
    <row r="415" spans="1:38">
      <c r="A415" s="362"/>
      <c r="B415" s="340"/>
      <c r="C415" s="340"/>
      <c r="D415" s="340"/>
      <c r="E415" s="340"/>
      <c r="F415" s="340"/>
      <c r="G415" s="340"/>
      <c r="H415" s="340"/>
      <c r="I415" s="194"/>
      <c r="J415" s="194"/>
      <c r="K415" s="194"/>
      <c r="L415" s="648"/>
      <c r="M415" s="194"/>
      <c r="N415" s="194"/>
      <c r="O415" s="423"/>
      <c r="P415" s="194"/>
      <c r="S415" s="193"/>
      <c r="T415" s="193"/>
      <c r="U415" s="193"/>
      <c r="V415" s="193"/>
      <c r="W415" s="193"/>
      <c r="X415" s="193"/>
      <c r="Y415" s="503"/>
      <c r="Z415" s="193"/>
    </row>
    <row r="416" spans="1:38">
      <c r="A416" s="362"/>
      <c r="B416" s="340"/>
      <c r="C416" s="340"/>
      <c r="D416" s="340"/>
      <c r="E416" s="340"/>
      <c r="F416" s="340"/>
      <c r="G416" s="340"/>
      <c r="H416" s="340"/>
      <c r="I416" s="194"/>
      <c r="J416" s="194"/>
      <c r="K416" s="194"/>
      <c r="L416" s="648"/>
      <c r="M416" s="194"/>
      <c r="N416" s="194"/>
      <c r="O416" s="423"/>
      <c r="P416" s="194"/>
      <c r="S416" s="193"/>
      <c r="T416" s="193"/>
      <c r="U416" s="193"/>
      <c r="V416" s="193"/>
      <c r="W416" s="193"/>
      <c r="X416" s="193"/>
      <c r="Y416" s="503"/>
      <c r="Z416" s="193"/>
    </row>
    <row r="417" spans="1:26">
      <c r="A417" s="362"/>
      <c r="B417" s="340"/>
      <c r="C417" s="340"/>
      <c r="D417" s="340"/>
      <c r="E417" s="340"/>
      <c r="F417" s="340"/>
      <c r="G417" s="340"/>
      <c r="H417" s="340"/>
      <c r="I417" s="194"/>
      <c r="J417" s="194"/>
      <c r="K417" s="194"/>
      <c r="L417" s="648"/>
      <c r="M417" s="194"/>
      <c r="N417" s="194"/>
      <c r="O417" s="423"/>
      <c r="P417" s="194"/>
      <c r="S417" s="193"/>
      <c r="T417" s="193"/>
      <c r="U417" s="193"/>
      <c r="V417" s="193"/>
      <c r="W417" s="193"/>
      <c r="X417" s="193"/>
      <c r="Y417" s="503"/>
      <c r="Z417" s="193"/>
    </row>
    <row r="418" spans="1:26">
      <c r="A418" s="362"/>
      <c r="B418" s="340"/>
      <c r="C418" s="340"/>
      <c r="D418" s="340"/>
      <c r="E418" s="340"/>
      <c r="F418" s="340"/>
      <c r="G418" s="340"/>
      <c r="H418" s="340"/>
      <c r="I418" s="194"/>
      <c r="J418" s="194"/>
      <c r="K418" s="194"/>
      <c r="L418" s="648"/>
      <c r="M418" s="194"/>
      <c r="N418" s="194"/>
      <c r="O418" s="423"/>
      <c r="P418" s="194"/>
      <c r="S418" s="193"/>
      <c r="T418" s="193"/>
      <c r="U418" s="193"/>
      <c r="V418" s="193"/>
      <c r="W418" s="193"/>
      <c r="X418" s="193"/>
      <c r="Y418" s="503"/>
      <c r="Z418" s="193"/>
    </row>
    <row r="419" spans="1:26">
      <c r="A419" s="362"/>
      <c r="B419" s="340"/>
      <c r="C419" s="340"/>
      <c r="D419" s="340"/>
      <c r="E419" s="340"/>
      <c r="F419" s="340"/>
      <c r="G419" s="340"/>
      <c r="H419" s="340"/>
      <c r="I419" s="194"/>
      <c r="J419" s="194"/>
      <c r="K419" s="194"/>
      <c r="L419" s="648"/>
      <c r="M419" s="194"/>
      <c r="N419" s="194"/>
      <c r="O419" s="423"/>
      <c r="P419" s="194"/>
      <c r="S419" s="193"/>
      <c r="T419" s="193"/>
      <c r="U419" s="193"/>
      <c r="V419" s="193"/>
      <c r="W419" s="193"/>
      <c r="X419" s="193"/>
      <c r="Y419" s="503"/>
      <c r="Z419" s="193"/>
    </row>
    <row r="420" spans="1:26">
      <c r="A420" s="362"/>
      <c r="B420" s="340"/>
      <c r="C420" s="340"/>
      <c r="D420" s="340"/>
      <c r="E420" s="340"/>
      <c r="F420" s="340"/>
      <c r="G420" s="340"/>
      <c r="H420" s="340"/>
      <c r="I420" s="194"/>
      <c r="J420" s="194"/>
      <c r="K420" s="194"/>
      <c r="L420" s="648"/>
      <c r="M420" s="194"/>
      <c r="N420" s="194"/>
      <c r="O420" s="423"/>
      <c r="P420" s="194"/>
      <c r="S420" s="193"/>
      <c r="T420" s="193"/>
      <c r="U420" s="193"/>
      <c r="V420" s="193"/>
      <c r="W420" s="193"/>
      <c r="X420" s="193"/>
      <c r="Y420" s="503"/>
      <c r="Z420" s="193"/>
    </row>
    <row r="421" spans="1:26">
      <c r="A421" s="362"/>
      <c r="B421" s="340"/>
      <c r="C421" s="340"/>
      <c r="D421" s="340"/>
      <c r="E421" s="340"/>
      <c r="F421" s="340"/>
      <c r="G421" s="340"/>
      <c r="H421" s="340"/>
      <c r="I421" s="194"/>
      <c r="J421" s="194"/>
      <c r="K421" s="194"/>
      <c r="L421" s="648"/>
      <c r="M421" s="194"/>
      <c r="N421" s="194"/>
      <c r="O421" s="423"/>
      <c r="P421" s="194"/>
      <c r="S421" s="193"/>
      <c r="T421" s="193"/>
      <c r="U421" s="193"/>
      <c r="V421" s="193"/>
      <c r="W421" s="193"/>
      <c r="X421" s="193"/>
      <c r="Y421" s="503"/>
      <c r="Z421" s="193"/>
    </row>
    <row r="422" spans="1:26">
      <c r="A422" s="362"/>
      <c r="B422" s="340"/>
      <c r="C422" s="340"/>
      <c r="D422" s="340"/>
      <c r="E422" s="340"/>
      <c r="F422" s="340"/>
      <c r="G422" s="340"/>
      <c r="H422" s="340"/>
      <c r="I422" s="194"/>
      <c r="J422" s="194"/>
      <c r="K422" s="194"/>
      <c r="L422" s="648"/>
      <c r="M422" s="194"/>
      <c r="N422" s="194"/>
      <c r="O422" s="423"/>
      <c r="P422" s="194"/>
      <c r="S422" s="193"/>
      <c r="T422" s="193"/>
      <c r="U422" s="193"/>
      <c r="V422" s="193"/>
      <c r="W422" s="193"/>
      <c r="X422" s="193"/>
      <c r="Y422" s="503"/>
      <c r="Z422" s="193"/>
    </row>
    <row r="423" spans="1:26">
      <c r="A423" s="362"/>
      <c r="B423" s="340"/>
      <c r="C423" s="340"/>
      <c r="D423" s="340"/>
      <c r="E423" s="340"/>
      <c r="F423" s="340"/>
      <c r="G423" s="340"/>
      <c r="H423" s="340"/>
      <c r="I423" s="194"/>
      <c r="J423" s="194"/>
      <c r="K423" s="194"/>
      <c r="L423" s="648"/>
      <c r="M423" s="194"/>
      <c r="N423" s="194"/>
      <c r="O423" s="423"/>
      <c r="P423" s="194"/>
      <c r="S423" s="193"/>
      <c r="T423" s="193"/>
      <c r="U423" s="193"/>
      <c r="V423" s="193"/>
      <c r="W423" s="193"/>
      <c r="X423" s="193"/>
      <c r="Y423" s="503"/>
      <c r="Z423" s="193"/>
    </row>
    <row r="424" spans="1:26">
      <c r="A424" s="362"/>
      <c r="B424" s="340"/>
      <c r="C424" s="340"/>
      <c r="D424" s="340"/>
      <c r="E424" s="340"/>
      <c r="F424" s="340"/>
      <c r="G424" s="340"/>
      <c r="H424" s="340"/>
      <c r="I424" s="194"/>
      <c r="J424" s="194"/>
      <c r="K424" s="194"/>
      <c r="L424" s="648"/>
      <c r="M424" s="194"/>
      <c r="N424" s="194"/>
      <c r="O424" s="423"/>
      <c r="P424" s="194"/>
      <c r="S424" s="193"/>
      <c r="T424" s="193"/>
      <c r="U424" s="193"/>
      <c r="V424" s="193"/>
      <c r="W424" s="193"/>
      <c r="X424" s="193"/>
      <c r="Y424" s="503"/>
      <c r="Z424" s="193"/>
    </row>
    <row r="425" spans="1:26">
      <c r="A425" s="362"/>
      <c r="B425" s="340"/>
      <c r="C425" s="340"/>
      <c r="D425" s="340"/>
      <c r="E425" s="340"/>
      <c r="F425" s="340"/>
      <c r="G425" s="340"/>
      <c r="H425" s="340"/>
      <c r="I425" s="194"/>
      <c r="J425" s="194"/>
      <c r="K425" s="194"/>
      <c r="L425" s="648"/>
      <c r="M425" s="194"/>
      <c r="N425" s="194"/>
      <c r="O425" s="423"/>
      <c r="P425" s="194"/>
      <c r="S425" s="193"/>
      <c r="T425" s="193"/>
      <c r="U425" s="193"/>
      <c r="V425" s="193"/>
      <c r="W425" s="193"/>
      <c r="X425" s="193"/>
      <c r="Y425" s="503"/>
      <c r="Z425" s="193"/>
    </row>
    <row r="426" spans="1:26">
      <c r="A426" s="362"/>
      <c r="B426" s="340"/>
      <c r="C426" s="340"/>
      <c r="D426" s="340"/>
      <c r="E426" s="340"/>
      <c r="F426" s="340"/>
      <c r="G426" s="340"/>
      <c r="H426" s="340"/>
      <c r="I426" s="194"/>
      <c r="J426" s="194"/>
      <c r="K426" s="194"/>
      <c r="L426" s="648"/>
      <c r="M426" s="194"/>
      <c r="N426" s="194"/>
      <c r="O426" s="423"/>
      <c r="P426" s="194"/>
      <c r="S426" s="193"/>
      <c r="T426" s="193"/>
      <c r="U426" s="193"/>
      <c r="V426" s="193"/>
      <c r="W426" s="193"/>
      <c r="X426" s="193"/>
      <c r="Y426" s="503"/>
      <c r="Z426" s="193"/>
    </row>
    <row r="427" spans="1:26">
      <c r="A427" s="362"/>
      <c r="B427" s="340"/>
      <c r="C427" s="340"/>
      <c r="D427" s="340"/>
      <c r="E427" s="340"/>
      <c r="F427" s="340"/>
      <c r="G427" s="340"/>
      <c r="H427" s="340"/>
      <c r="I427" s="194"/>
      <c r="J427" s="194"/>
      <c r="K427" s="194"/>
      <c r="L427" s="648"/>
      <c r="M427" s="194"/>
      <c r="N427" s="194"/>
      <c r="O427" s="423"/>
      <c r="P427" s="194"/>
      <c r="S427" s="193"/>
      <c r="T427" s="193"/>
      <c r="U427" s="193"/>
      <c r="V427" s="193"/>
      <c r="W427" s="193"/>
      <c r="X427" s="193"/>
      <c r="Y427" s="503"/>
      <c r="Z427" s="193"/>
    </row>
    <row r="428" spans="1:26">
      <c r="A428" s="362"/>
      <c r="B428" s="340"/>
      <c r="C428" s="340"/>
      <c r="D428" s="340"/>
      <c r="E428" s="340"/>
      <c r="F428" s="340"/>
      <c r="G428" s="340"/>
      <c r="H428" s="340"/>
      <c r="I428" s="194"/>
      <c r="J428" s="194"/>
      <c r="K428" s="194"/>
      <c r="L428" s="648"/>
      <c r="M428" s="194"/>
      <c r="N428" s="194"/>
      <c r="O428" s="423"/>
      <c r="P428" s="194"/>
      <c r="S428" s="193"/>
      <c r="T428" s="193"/>
      <c r="U428" s="193"/>
      <c r="V428" s="193"/>
      <c r="W428" s="193"/>
      <c r="X428" s="193"/>
      <c r="Y428" s="503"/>
      <c r="Z428" s="193"/>
    </row>
    <row r="429" spans="1:26">
      <c r="A429" s="362"/>
      <c r="B429" s="340"/>
      <c r="C429" s="340"/>
      <c r="D429" s="340"/>
      <c r="E429" s="340"/>
      <c r="F429" s="340"/>
      <c r="G429" s="340"/>
      <c r="H429" s="340"/>
      <c r="I429" s="194"/>
      <c r="J429" s="194"/>
      <c r="K429" s="194"/>
      <c r="L429" s="648"/>
      <c r="M429" s="194"/>
      <c r="N429" s="194"/>
      <c r="O429" s="423"/>
      <c r="P429" s="194"/>
      <c r="S429" s="193"/>
      <c r="T429" s="193"/>
      <c r="U429" s="193"/>
      <c r="V429" s="193"/>
      <c r="W429" s="193"/>
      <c r="X429" s="193"/>
      <c r="Y429" s="503"/>
      <c r="Z429" s="193"/>
    </row>
    <row r="430" spans="1:26">
      <c r="A430" s="362"/>
      <c r="B430" s="340"/>
      <c r="C430" s="340"/>
      <c r="D430" s="340"/>
      <c r="E430" s="340"/>
      <c r="F430" s="340"/>
      <c r="G430" s="340"/>
      <c r="H430" s="340"/>
      <c r="I430" s="194"/>
      <c r="J430" s="194"/>
      <c r="K430" s="194"/>
      <c r="L430" s="648"/>
      <c r="M430" s="194"/>
      <c r="N430" s="194"/>
      <c r="O430" s="423"/>
      <c r="P430" s="194"/>
      <c r="S430" s="193"/>
      <c r="T430" s="193"/>
      <c r="U430" s="193"/>
      <c r="V430" s="193"/>
      <c r="W430" s="193"/>
      <c r="X430" s="193"/>
      <c r="Y430" s="503"/>
      <c r="Z430" s="193"/>
    </row>
    <row r="431" spans="1:26">
      <c r="A431" s="362"/>
      <c r="B431" s="340"/>
      <c r="C431" s="340"/>
      <c r="D431" s="340"/>
      <c r="E431" s="340"/>
      <c r="F431" s="340"/>
      <c r="G431" s="340"/>
      <c r="H431" s="340"/>
      <c r="I431" s="194"/>
      <c r="J431" s="194"/>
      <c r="K431" s="194"/>
      <c r="L431" s="648"/>
      <c r="M431" s="194"/>
      <c r="N431" s="194"/>
      <c r="O431" s="423"/>
      <c r="P431" s="194"/>
      <c r="S431" s="193"/>
      <c r="T431" s="193"/>
      <c r="U431" s="193"/>
      <c r="V431" s="193"/>
      <c r="W431" s="193"/>
      <c r="X431" s="193"/>
      <c r="Y431" s="503"/>
      <c r="Z431" s="193"/>
    </row>
    <row r="432" spans="1:26">
      <c r="A432" s="362"/>
      <c r="B432" s="340"/>
      <c r="C432" s="340"/>
      <c r="D432" s="340"/>
      <c r="E432" s="340"/>
      <c r="F432" s="340"/>
      <c r="G432" s="340"/>
      <c r="H432" s="340"/>
      <c r="I432" s="194"/>
      <c r="J432" s="194"/>
      <c r="K432" s="194"/>
      <c r="L432" s="648"/>
      <c r="M432" s="194"/>
      <c r="N432" s="194"/>
      <c r="O432" s="423"/>
      <c r="P432" s="194"/>
      <c r="S432" s="193"/>
      <c r="T432" s="193"/>
      <c r="U432" s="193"/>
      <c r="V432" s="193"/>
      <c r="W432" s="193"/>
      <c r="X432" s="193"/>
      <c r="Y432" s="503"/>
      <c r="Z432" s="193"/>
    </row>
    <row r="433" spans="1:26">
      <c r="A433" s="362"/>
      <c r="B433" s="340"/>
      <c r="C433" s="340"/>
      <c r="D433" s="340"/>
      <c r="E433" s="340"/>
      <c r="F433" s="340"/>
      <c r="G433" s="340"/>
      <c r="H433" s="340"/>
      <c r="I433" s="194"/>
      <c r="J433" s="194"/>
      <c r="K433" s="194"/>
      <c r="L433" s="648"/>
      <c r="M433" s="194"/>
      <c r="N433" s="194"/>
      <c r="O433" s="423"/>
      <c r="P433" s="194"/>
      <c r="S433" s="193"/>
      <c r="T433" s="193"/>
      <c r="U433" s="193"/>
      <c r="V433" s="193"/>
      <c r="W433" s="193"/>
      <c r="X433" s="193"/>
      <c r="Y433" s="503"/>
      <c r="Z433" s="193"/>
    </row>
    <row r="434" spans="1:26">
      <c r="A434" s="362"/>
      <c r="B434" s="340"/>
      <c r="C434" s="340"/>
      <c r="D434" s="340"/>
      <c r="E434" s="340"/>
      <c r="F434" s="340"/>
      <c r="G434" s="340"/>
      <c r="H434" s="340"/>
      <c r="I434" s="194"/>
      <c r="J434" s="194"/>
      <c r="K434" s="194"/>
      <c r="L434" s="648"/>
      <c r="M434" s="194"/>
      <c r="N434" s="194"/>
      <c r="O434" s="423"/>
      <c r="P434" s="194"/>
      <c r="S434" s="193"/>
      <c r="T434" s="193"/>
      <c r="U434" s="193"/>
      <c r="V434" s="193"/>
      <c r="W434" s="193"/>
      <c r="X434" s="193"/>
      <c r="Y434" s="503"/>
      <c r="Z434" s="193"/>
    </row>
    <row r="435" spans="1:26">
      <c r="A435" s="362"/>
      <c r="B435" s="340"/>
      <c r="C435" s="340"/>
      <c r="D435" s="340"/>
      <c r="E435" s="340"/>
      <c r="F435" s="340"/>
      <c r="G435" s="340"/>
      <c r="H435" s="340"/>
      <c r="I435" s="194"/>
      <c r="J435" s="194"/>
      <c r="K435" s="194"/>
      <c r="L435" s="648"/>
      <c r="M435" s="194"/>
      <c r="N435" s="194"/>
      <c r="O435" s="423"/>
      <c r="P435" s="194"/>
      <c r="S435" s="193"/>
      <c r="T435" s="193"/>
      <c r="U435" s="193"/>
      <c r="V435" s="193"/>
      <c r="W435" s="193"/>
      <c r="X435" s="193"/>
      <c r="Y435" s="503"/>
      <c r="Z435" s="193"/>
    </row>
    <row r="436" spans="1:26">
      <c r="A436" s="362"/>
      <c r="B436" s="340"/>
      <c r="C436" s="340"/>
      <c r="D436" s="340"/>
      <c r="E436" s="340"/>
      <c r="F436" s="340"/>
      <c r="G436" s="340"/>
      <c r="H436" s="340"/>
      <c r="I436" s="194"/>
      <c r="J436" s="194"/>
      <c r="K436" s="194"/>
      <c r="L436" s="648"/>
      <c r="M436" s="194"/>
      <c r="N436" s="194"/>
      <c r="O436" s="423"/>
      <c r="P436" s="194"/>
      <c r="S436" s="193"/>
      <c r="T436" s="193"/>
      <c r="U436" s="193"/>
      <c r="V436" s="193"/>
      <c r="W436" s="193"/>
      <c r="X436" s="193"/>
      <c r="Y436" s="503"/>
      <c r="Z436" s="193"/>
    </row>
    <row r="437" spans="1:26">
      <c r="A437" s="362"/>
      <c r="B437" s="340"/>
      <c r="C437" s="340"/>
      <c r="D437" s="340"/>
      <c r="E437" s="340"/>
      <c r="F437" s="340"/>
      <c r="G437" s="340"/>
      <c r="H437" s="340"/>
      <c r="I437" s="194"/>
      <c r="J437" s="194"/>
      <c r="K437" s="194"/>
      <c r="L437" s="648"/>
      <c r="M437" s="194"/>
      <c r="N437" s="194"/>
      <c r="O437" s="423"/>
      <c r="P437" s="194"/>
      <c r="S437" s="193"/>
      <c r="T437" s="193"/>
      <c r="U437" s="193"/>
      <c r="V437" s="193"/>
      <c r="W437" s="193"/>
      <c r="X437" s="193"/>
      <c r="Y437" s="503"/>
      <c r="Z437" s="193"/>
    </row>
    <row r="438" spans="1:26">
      <c r="A438" s="362"/>
      <c r="B438" s="340"/>
      <c r="C438" s="340"/>
      <c r="D438" s="340"/>
      <c r="E438" s="340"/>
      <c r="F438" s="340"/>
      <c r="G438" s="340"/>
      <c r="H438" s="340"/>
      <c r="I438" s="194"/>
      <c r="J438" s="194"/>
      <c r="K438" s="194"/>
      <c r="L438" s="648"/>
      <c r="M438" s="194"/>
      <c r="N438" s="194"/>
      <c r="O438" s="423"/>
      <c r="P438" s="194"/>
      <c r="S438" s="193"/>
      <c r="T438" s="193"/>
      <c r="U438" s="193"/>
      <c r="V438" s="193"/>
      <c r="W438" s="193"/>
      <c r="X438" s="193"/>
      <c r="Y438" s="503"/>
      <c r="Z438" s="193"/>
    </row>
    <row r="439" spans="1:26">
      <c r="A439" s="362"/>
      <c r="B439" s="340"/>
      <c r="C439" s="340"/>
      <c r="D439" s="340"/>
      <c r="E439" s="340"/>
      <c r="F439" s="340"/>
      <c r="G439" s="340"/>
      <c r="H439" s="340"/>
      <c r="I439" s="194"/>
      <c r="J439" s="194"/>
      <c r="K439" s="194"/>
      <c r="L439" s="648"/>
      <c r="M439" s="194"/>
      <c r="N439" s="194"/>
      <c r="O439" s="423"/>
      <c r="P439" s="194"/>
      <c r="S439" s="193"/>
      <c r="T439" s="193"/>
      <c r="U439" s="193"/>
      <c r="V439" s="193"/>
      <c r="W439" s="193"/>
      <c r="X439" s="193"/>
      <c r="Y439" s="503"/>
      <c r="Z439" s="193"/>
    </row>
    <row r="440" spans="1:26">
      <c r="A440" s="362"/>
      <c r="B440" s="340"/>
      <c r="C440" s="340"/>
      <c r="D440" s="340"/>
      <c r="E440" s="340"/>
      <c r="F440" s="340"/>
      <c r="G440" s="340"/>
      <c r="H440" s="340"/>
      <c r="I440" s="194"/>
      <c r="J440" s="194"/>
      <c r="K440" s="194"/>
      <c r="L440" s="648"/>
      <c r="M440" s="194"/>
      <c r="N440" s="194"/>
      <c r="O440" s="423"/>
      <c r="P440" s="194"/>
      <c r="S440" s="193"/>
      <c r="T440" s="193"/>
      <c r="U440" s="193"/>
      <c r="V440" s="193"/>
      <c r="W440" s="193"/>
      <c r="X440" s="193"/>
      <c r="Y440" s="503"/>
      <c r="Z440" s="193"/>
    </row>
    <row r="441" spans="1:26">
      <c r="A441" s="362"/>
      <c r="B441" s="340"/>
      <c r="C441" s="340"/>
      <c r="D441" s="340"/>
      <c r="E441" s="340"/>
      <c r="F441" s="340"/>
      <c r="G441" s="340"/>
      <c r="H441" s="340"/>
      <c r="I441" s="194"/>
      <c r="J441" s="194"/>
      <c r="K441" s="194"/>
      <c r="L441" s="648"/>
      <c r="M441" s="194"/>
      <c r="N441" s="194"/>
      <c r="O441" s="423"/>
      <c r="P441" s="194"/>
      <c r="S441" s="193"/>
      <c r="T441" s="193"/>
      <c r="U441" s="193"/>
      <c r="V441" s="193"/>
      <c r="W441" s="193"/>
      <c r="X441" s="193"/>
      <c r="Y441" s="503"/>
      <c r="Z441" s="193"/>
    </row>
    <row r="442" spans="1:26">
      <c r="A442" s="362"/>
      <c r="B442" s="340"/>
      <c r="C442" s="340"/>
      <c r="D442" s="340"/>
      <c r="E442" s="340"/>
      <c r="F442" s="340"/>
      <c r="G442" s="340"/>
      <c r="H442" s="340"/>
      <c r="I442" s="194"/>
      <c r="J442" s="194"/>
      <c r="K442" s="194"/>
      <c r="L442" s="648"/>
      <c r="M442" s="194"/>
      <c r="N442" s="194"/>
      <c r="O442" s="423"/>
      <c r="P442" s="194"/>
      <c r="S442" s="193"/>
      <c r="T442" s="193"/>
      <c r="U442" s="193"/>
      <c r="V442" s="193"/>
      <c r="W442" s="193"/>
      <c r="X442" s="193"/>
      <c r="Y442" s="503"/>
      <c r="Z442" s="193"/>
    </row>
    <row r="443" spans="1:26">
      <c r="A443" s="362"/>
      <c r="B443" s="340"/>
      <c r="C443" s="340"/>
      <c r="D443" s="340"/>
      <c r="E443" s="340"/>
      <c r="F443" s="340"/>
      <c r="G443" s="340"/>
      <c r="H443" s="340"/>
      <c r="I443" s="194"/>
      <c r="J443" s="194"/>
      <c r="K443" s="194"/>
      <c r="L443" s="648"/>
      <c r="M443" s="194"/>
      <c r="N443" s="194"/>
      <c r="O443" s="423"/>
      <c r="P443" s="194"/>
      <c r="S443" s="193"/>
      <c r="T443" s="193"/>
      <c r="U443" s="193"/>
      <c r="V443" s="193"/>
      <c r="W443" s="193"/>
      <c r="X443" s="193"/>
      <c r="Y443" s="503"/>
      <c r="Z443" s="193"/>
    </row>
    <row r="444" spans="1:26">
      <c r="A444" s="362"/>
      <c r="B444" s="340"/>
      <c r="C444" s="340"/>
      <c r="D444" s="340"/>
      <c r="E444" s="340"/>
      <c r="F444" s="340"/>
      <c r="G444" s="340"/>
      <c r="H444" s="340"/>
      <c r="I444" s="194"/>
      <c r="J444" s="194"/>
      <c r="K444" s="194"/>
      <c r="L444" s="648"/>
      <c r="M444" s="194"/>
      <c r="N444" s="194"/>
      <c r="O444" s="423"/>
      <c r="P444" s="194"/>
      <c r="S444" s="193"/>
      <c r="T444" s="193"/>
      <c r="U444" s="193"/>
      <c r="V444" s="193"/>
      <c r="W444" s="193"/>
      <c r="X444" s="193"/>
      <c r="Y444" s="503"/>
      <c r="Z444" s="193"/>
    </row>
    <row r="445" spans="1:26">
      <c r="A445" s="362"/>
      <c r="B445" s="340"/>
      <c r="C445" s="340"/>
      <c r="D445" s="340"/>
      <c r="E445" s="340"/>
      <c r="F445" s="340"/>
      <c r="G445" s="340"/>
      <c r="H445" s="340"/>
      <c r="I445" s="194"/>
      <c r="J445" s="194"/>
      <c r="K445" s="194"/>
      <c r="L445" s="648"/>
      <c r="M445" s="194"/>
      <c r="N445" s="194"/>
      <c r="O445" s="423"/>
      <c r="P445" s="194"/>
      <c r="S445" s="193"/>
      <c r="T445" s="193"/>
      <c r="U445" s="193"/>
      <c r="V445" s="193"/>
      <c r="W445" s="193"/>
      <c r="X445" s="193"/>
      <c r="Y445" s="503"/>
      <c r="Z445" s="193"/>
    </row>
    <row r="446" spans="1:26">
      <c r="A446" s="362"/>
      <c r="B446" s="340"/>
      <c r="C446" s="340"/>
      <c r="D446" s="340"/>
      <c r="E446" s="340"/>
      <c r="F446" s="340"/>
      <c r="G446" s="340"/>
      <c r="H446" s="340"/>
      <c r="I446" s="194"/>
      <c r="J446" s="194"/>
      <c r="K446" s="194"/>
      <c r="L446" s="648"/>
      <c r="M446" s="194"/>
      <c r="N446" s="194"/>
      <c r="O446" s="423"/>
      <c r="P446" s="194"/>
      <c r="S446" s="193"/>
      <c r="T446" s="193"/>
      <c r="U446" s="193"/>
      <c r="V446" s="193"/>
      <c r="W446" s="193"/>
      <c r="X446" s="193"/>
      <c r="Y446" s="503"/>
      <c r="Z446" s="193"/>
    </row>
    <row r="447" spans="1:26">
      <c r="A447" s="362"/>
      <c r="B447" s="340"/>
      <c r="C447" s="340"/>
      <c r="D447" s="340"/>
      <c r="E447" s="340"/>
      <c r="F447" s="340"/>
      <c r="G447" s="340"/>
      <c r="H447" s="340"/>
      <c r="I447" s="194"/>
      <c r="J447" s="194"/>
      <c r="K447" s="194"/>
      <c r="L447" s="648"/>
      <c r="M447" s="194"/>
      <c r="N447" s="194"/>
      <c r="O447" s="423"/>
      <c r="P447" s="194"/>
      <c r="S447" s="193"/>
      <c r="T447" s="193"/>
      <c r="U447" s="193"/>
      <c r="V447" s="193"/>
      <c r="W447" s="193"/>
      <c r="X447" s="193"/>
      <c r="Y447" s="503"/>
      <c r="Z447" s="193"/>
    </row>
    <row r="448" spans="1:26">
      <c r="A448" s="362"/>
      <c r="B448" s="340"/>
      <c r="C448" s="340"/>
      <c r="D448" s="340"/>
      <c r="E448" s="340"/>
      <c r="F448" s="340"/>
      <c r="G448" s="340"/>
      <c r="H448" s="340"/>
      <c r="I448" s="194"/>
      <c r="J448" s="194"/>
      <c r="K448" s="194"/>
      <c r="L448" s="648"/>
      <c r="M448" s="194"/>
      <c r="N448" s="194"/>
      <c r="O448" s="423"/>
      <c r="P448" s="194"/>
      <c r="S448" s="193"/>
      <c r="T448" s="193"/>
      <c r="U448" s="193"/>
      <c r="V448" s="193"/>
      <c r="W448" s="193"/>
      <c r="X448" s="193"/>
      <c r="Y448" s="503"/>
      <c r="Z448" s="193"/>
    </row>
    <row r="449" spans="1:26">
      <c r="A449" s="362"/>
      <c r="B449" s="340"/>
      <c r="C449" s="340"/>
      <c r="D449" s="340"/>
      <c r="E449" s="340"/>
      <c r="F449" s="340"/>
      <c r="G449" s="340"/>
      <c r="H449" s="340"/>
      <c r="I449" s="194"/>
      <c r="J449" s="194"/>
      <c r="K449" s="194"/>
      <c r="L449" s="648"/>
      <c r="M449" s="194"/>
      <c r="N449" s="194"/>
      <c r="O449" s="423"/>
      <c r="P449" s="194"/>
      <c r="S449" s="193"/>
      <c r="T449" s="193"/>
      <c r="U449" s="193"/>
      <c r="V449" s="193"/>
      <c r="W449" s="193"/>
      <c r="X449" s="193"/>
      <c r="Y449" s="503"/>
      <c r="Z449" s="193"/>
    </row>
    <row r="450" spans="1:26">
      <c r="A450" s="362"/>
      <c r="B450" s="340"/>
      <c r="C450" s="340"/>
      <c r="D450" s="340"/>
      <c r="E450" s="340"/>
      <c r="F450" s="340"/>
      <c r="G450" s="340"/>
      <c r="H450" s="340"/>
      <c r="I450" s="194"/>
      <c r="J450" s="194"/>
      <c r="K450" s="194"/>
      <c r="L450" s="648"/>
      <c r="M450" s="194"/>
      <c r="N450" s="194"/>
      <c r="O450" s="423"/>
      <c r="P450" s="194"/>
      <c r="S450" s="193"/>
      <c r="T450" s="193"/>
      <c r="U450" s="193"/>
      <c r="V450" s="193"/>
      <c r="W450" s="193"/>
      <c r="X450" s="193"/>
      <c r="Y450" s="503"/>
      <c r="Z450" s="193"/>
    </row>
    <row r="451" spans="1:26">
      <c r="A451" s="362"/>
      <c r="B451" s="340"/>
      <c r="C451" s="340"/>
      <c r="D451" s="340"/>
      <c r="E451" s="340"/>
      <c r="F451" s="340"/>
      <c r="G451" s="340"/>
      <c r="H451" s="340"/>
      <c r="I451" s="194"/>
      <c r="J451" s="194"/>
      <c r="K451" s="194"/>
      <c r="L451" s="648"/>
      <c r="M451" s="194"/>
      <c r="N451" s="194"/>
      <c r="O451" s="423"/>
      <c r="P451" s="194"/>
      <c r="S451" s="193"/>
      <c r="T451" s="193"/>
      <c r="U451" s="193"/>
      <c r="V451" s="193"/>
      <c r="W451" s="193"/>
      <c r="X451" s="193"/>
      <c r="Y451" s="503"/>
      <c r="Z451" s="193"/>
    </row>
    <row r="452" spans="1:26">
      <c r="A452" s="362"/>
      <c r="B452" s="340"/>
      <c r="C452" s="340"/>
      <c r="D452" s="340"/>
      <c r="E452" s="340"/>
      <c r="F452" s="340"/>
      <c r="G452" s="340"/>
      <c r="H452" s="340"/>
      <c r="I452" s="194"/>
      <c r="J452" s="194"/>
      <c r="K452" s="194"/>
      <c r="L452" s="648"/>
      <c r="M452" s="194"/>
      <c r="N452" s="194"/>
      <c r="O452" s="423"/>
      <c r="P452" s="194"/>
      <c r="S452" s="193"/>
      <c r="T452" s="193"/>
      <c r="U452" s="193"/>
      <c r="V452" s="193"/>
      <c r="W452" s="193"/>
      <c r="X452" s="193"/>
      <c r="Y452" s="503"/>
      <c r="Z452" s="193"/>
    </row>
    <row r="453" spans="1:26">
      <c r="A453" s="362"/>
      <c r="B453" s="340"/>
      <c r="C453" s="340"/>
      <c r="D453" s="340"/>
      <c r="E453" s="340"/>
      <c r="F453" s="340"/>
      <c r="G453" s="340"/>
      <c r="H453" s="340"/>
      <c r="I453" s="194"/>
      <c r="J453" s="194"/>
      <c r="K453" s="194"/>
      <c r="L453" s="648"/>
      <c r="M453" s="194"/>
      <c r="N453" s="194"/>
      <c r="O453" s="423"/>
      <c r="P453" s="194"/>
      <c r="S453" s="193"/>
      <c r="T453" s="193"/>
      <c r="U453" s="193"/>
      <c r="V453" s="193"/>
      <c r="W453" s="193"/>
      <c r="X453" s="193"/>
      <c r="Y453" s="503"/>
      <c r="Z453" s="193"/>
    </row>
    <row r="454" spans="1:26">
      <c r="A454" s="362"/>
      <c r="B454" s="340"/>
      <c r="C454" s="340"/>
      <c r="D454" s="340"/>
      <c r="E454" s="340"/>
      <c r="F454" s="340"/>
      <c r="G454" s="340"/>
      <c r="H454" s="340"/>
      <c r="I454" s="194"/>
      <c r="J454" s="194"/>
      <c r="K454" s="194"/>
      <c r="L454" s="648"/>
      <c r="M454" s="194"/>
      <c r="N454" s="194"/>
      <c r="O454" s="423"/>
      <c r="P454" s="194"/>
      <c r="S454" s="193"/>
      <c r="T454" s="193"/>
      <c r="U454" s="193"/>
      <c r="V454" s="193"/>
      <c r="W454" s="193"/>
      <c r="X454" s="193"/>
      <c r="Y454" s="503"/>
      <c r="Z454" s="193"/>
    </row>
    <row r="455" spans="1:26">
      <c r="A455" s="362"/>
      <c r="B455" s="340"/>
      <c r="C455" s="340"/>
      <c r="D455" s="340"/>
      <c r="E455" s="340"/>
      <c r="F455" s="340"/>
      <c r="G455" s="340"/>
      <c r="H455" s="340"/>
      <c r="I455" s="194"/>
      <c r="J455" s="194"/>
      <c r="K455" s="194"/>
      <c r="L455" s="648"/>
      <c r="M455" s="194"/>
      <c r="N455" s="194"/>
      <c r="O455" s="423"/>
      <c r="P455" s="194"/>
      <c r="S455" s="193"/>
      <c r="T455" s="193"/>
      <c r="U455" s="193"/>
      <c r="V455" s="193"/>
      <c r="W455" s="193"/>
      <c r="X455" s="193"/>
      <c r="Y455" s="503"/>
      <c r="Z455" s="193"/>
    </row>
    <row r="456" spans="1:26">
      <c r="A456" s="362"/>
      <c r="B456" s="340"/>
      <c r="C456" s="340"/>
      <c r="D456" s="340"/>
      <c r="E456" s="340"/>
      <c r="F456" s="340"/>
      <c r="G456" s="340"/>
      <c r="H456" s="340"/>
      <c r="I456" s="194"/>
      <c r="J456" s="194"/>
      <c r="K456" s="194"/>
      <c r="L456" s="648"/>
      <c r="M456" s="194"/>
      <c r="N456" s="194"/>
      <c r="O456" s="423"/>
      <c r="P456" s="194"/>
      <c r="S456" s="193"/>
      <c r="T456" s="193"/>
      <c r="U456" s="193"/>
      <c r="V456" s="193"/>
      <c r="W456" s="193"/>
      <c r="X456" s="193"/>
      <c r="Y456" s="503"/>
      <c r="Z456" s="193"/>
    </row>
    <row r="457" spans="1:26">
      <c r="A457" s="362"/>
      <c r="B457" s="340"/>
      <c r="C457" s="340"/>
      <c r="D457" s="340"/>
      <c r="E457" s="340"/>
      <c r="F457" s="340"/>
      <c r="G457" s="340"/>
      <c r="H457" s="340"/>
      <c r="I457" s="194"/>
      <c r="J457" s="194"/>
      <c r="K457" s="194"/>
      <c r="L457" s="648"/>
      <c r="M457" s="194"/>
      <c r="N457" s="194"/>
      <c r="O457" s="423"/>
      <c r="P457" s="194"/>
      <c r="S457" s="193"/>
      <c r="T457" s="193"/>
      <c r="U457" s="193"/>
      <c r="V457" s="193"/>
      <c r="W457" s="193"/>
      <c r="X457" s="193"/>
      <c r="Y457" s="503"/>
      <c r="Z457" s="193"/>
    </row>
    <row r="458" spans="1:26">
      <c r="A458" s="362"/>
      <c r="B458" s="340"/>
      <c r="C458" s="340"/>
      <c r="D458" s="340"/>
      <c r="E458" s="340"/>
      <c r="F458" s="340"/>
      <c r="G458" s="340"/>
      <c r="H458" s="340"/>
      <c r="I458" s="194"/>
      <c r="J458" s="194"/>
      <c r="K458" s="194"/>
      <c r="L458" s="648"/>
      <c r="M458" s="194"/>
      <c r="N458" s="194"/>
      <c r="O458" s="423"/>
      <c r="P458" s="194"/>
      <c r="S458" s="193"/>
      <c r="T458" s="193"/>
      <c r="U458" s="193"/>
      <c r="V458" s="193"/>
      <c r="W458" s="193"/>
      <c r="X458" s="193"/>
      <c r="Y458" s="503"/>
      <c r="Z458" s="193"/>
    </row>
    <row r="459" spans="1:26">
      <c r="A459" s="362"/>
      <c r="B459" s="340"/>
      <c r="C459" s="340"/>
      <c r="D459" s="340"/>
      <c r="E459" s="340"/>
      <c r="F459" s="340"/>
      <c r="G459" s="340"/>
      <c r="H459" s="340"/>
      <c r="I459" s="194"/>
      <c r="J459" s="194"/>
      <c r="K459" s="194"/>
      <c r="L459" s="648"/>
      <c r="M459" s="194"/>
      <c r="N459" s="194"/>
      <c r="O459" s="423"/>
      <c r="P459" s="194"/>
      <c r="S459" s="193"/>
      <c r="T459" s="193"/>
      <c r="U459" s="193"/>
      <c r="V459" s="193"/>
      <c r="W459" s="193"/>
      <c r="X459" s="193"/>
      <c r="Y459" s="503"/>
      <c r="Z459" s="193"/>
    </row>
    <row r="460" spans="1:26">
      <c r="A460" s="362"/>
      <c r="B460" s="340"/>
      <c r="C460" s="340"/>
      <c r="D460" s="340"/>
      <c r="E460" s="340"/>
      <c r="F460" s="340"/>
      <c r="G460" s="340"/>
      <c r="H460" s="340"/>
      <c r="I460" s="194"/>
      <c r="J460" s="194"/>
      <c r="K460" s="194"/>
      <c r="L460" s="648"/>
      <c r="M460" s="194"/>
      <c r="N460" s="194"/>
      <c r="O460" s="423"/>
      <c r="P460" s="194"/>
      <c r="S460" s="193"/>
      <c r="T460" s="193"/>
      <c r="U460" s="193"/>
      <c r="V460" s="193"/>
      <c r="W460" s="193"/>
      <c r="X460" s="193"/>
      <c r="Y460" s="503"/>
      <c r="Z460" s="193"/>
    </row>
    <row r="461" spans="1:26">
      <c r="A461" s="362"/>
      <c r="B461" s="340"/>
      <c r="C461" s="340"/>
      <c r="D461" s="340"/>
      <c r="E461" s="340"/>
      <c r="F461" s="340"/>
      <c r="G461" s="340"/>
      <c r="H461" s="340"/>
      <c r="I461" s="194"/>
      <c r="J461" s="194"/>
      <c r="K461" s="194"/>
      <c r="L461" s="648"/>
      <c r="M461" s="194"/>
      <c r="N461" s="194"/>
      <c r="O461" s="423"/>
      <c r="P461" s="194"/>
      <c r="S461" s="193"/>
      <c r="T461" s="193"/>
      <c r="U461" s="193"/>
      <c r="V461" s="193"/>
      <c r="W461" s="193"/>
      <c r="X461" s="193"/>
      <c r="Y461" s="503"/>
      <c r="Z461" s="193"/>
    </row>
    <row r="462" spans="1:26">
      <c r="A462" s="362"/>
      <c r="B462" s="340"/>
      <c r="C462" s="340"/>
      <c r="D462" s="340"/>
      <c r="E462" s="340"/>
      <c r="F462" s="340"/>
      <c r="G462" s="340"/>
      <c r="H462" s="340"/>
      <c r="I462" s="194"/>
      <c r="J462" s="194"/>
      <c r="K462" s="194"/>
      <c r="L462" s="648"/>
      <c r="M462" s="194"/>
      <c r="N462" s="194"/>
      <c r="O462" s="423"/>
      <c r="P462" s="194"/>
      <c r="S462" s="193"/>
      <c r="T462" s="193"/>
      <c r="U462" s="193"/>
      <c r="V462" s="193"/>
      <c r="W462" s="193"/>
      <c r="X462" s="193"/>
      <c r="Y462" s="503"/>
      <c r="Z462" s="193"/>
    </row>
    <row r="463" spans="1:26">
      <c r="A463" s="362"/>
      <c r="B463" s="340"/>
      <c r="C463" s="340"/>
      <c r="D463" s="340"/>
      <c r="E463" s="340"/>
      <c r="F463" s="340"/>
      <c r="G463" s="340"/>
      <c r="H463" s="340"/>
      <c r="I463" s="194"/>
      <c r="J463" s="194"/>
      <c r="K463" s="194"/>
      <c r="L463" s="648"/>
      <c r="M463" s="194"/>
      <c r="N463" s="194"/>
      <c r="O463" s="423"/>
      <c r="P463" s="194"/>
      <c r="S463" s="193"/>
      <c r="T463" s="193"/>
      <c r="U463" s="193"/>
      <c r="V463" s="193"/>
      <c r="W463" s="193"/>
      <c r="X463" s="193"/>
      <c r="Y463" s="503"/>
      <c r="Z463" s="193"/>
    </row>
    <row r="464" spans="1:26">
      <c r="A464" s="362"/>
      <c r="B464" s="340"/>
      <c r="C464" s="340"/>
      <c r="D464" s="340"/>
      <c r="E464" s="340"/>
      <c r="F464" s="340"/>
      <c r="G464" s="340"/>
      <c r="H464" s="340"/>
      <c r="I464" s="194"/>
      <c r="J464" s="194"/>
      <c r="K464" s="194"/>
      <c r="L464" s="648"/>
      <c r="M464" s="194"/>
      <c r="N464" s="194"/>
      <c r="O464" s="423"/>
      <c r="P464" s="194"/>
      <c r="S464" s="193"/>
      <c r="T464" s="193"/>
      <c r="U464" s="193"/>
      <c r="V464" s="193"/>
      <c r="W464" s="193"/>
      <c r="X464" s="193"/>
      <c r="Y464" s="503"/>
      <c r="Z464" s="193"/>
    </row>
    <row r="465" spans="1:26">
      <c r="A465" s="362"/>
      <c r="B465" s="340"/>
      <c r="C465" s="340"/>
      <c r="D465" s="340"/>
      <c r="E465" s="340"/>
      <c r="F465" s="340"/>
      <c r="G465" s="340"/>
      <c r="H465" s="340"/>
      <c r="I465" s="194"/>
      <c r="J465" s="194"/>
      <c r="K465" s="194"/>
      <c r="L465" s="648"/>
      <c r="M465" s="194"/>
      <c r="N465" s="194"/>
      <c r="O465" s="423"/>
      <c r="P465" s="194"/>
      <c r="S465" s="193"/>
      <c r="T465" s="193"/>
      <c r="U465" s="193"/>
      <c r="V465" s="193"/>
      <c r="W465" s="193"/>
      <c r="X465" s="193"/>
      <c r="Y465" s="503"/>
      <c r="Z465" s="193"/>
    </row>
    <row r="466" spans="1:26">
      <c r="A466" s="362"/>
      <c r="B466" s="340"/>
      <c r="C466" s="340"/>
      <c r="D466" s="340"/>
      <c r="E466" s="340"/>
      <c r="F466" s="340"/>
      <c r="G466" s="340"/>
      <c r="H466" s="340"/>
      <c r="I466" s="194"/>
      <c r="J466" s="194"/>
      <c r="K466" s="194"/>
      <c r="L466" s="648"/>
      <c r="M466" s="194"/>
      <c r="N466" s="194"/>
      <c r="O466" s="423"/>
      <c r="P466" s="194"/>
      <c r="S466" s="193"/>
      <c r="T466" s="193"/>
      <c r="U466" s="193"/>
      <c r="V466" s="193"/>
      <c r="W466" s="193"/>
      <c r="X466" s="193"/>
      <c r="Y466" s="503"/>
      <c r="Z466" s="193"/>
    </row>
    <row r="467" spans="1:26">
      <c r="A467" s="362"/>
      <c r="B467" s="340"/>
      <c r="C467" s="340"/>
      <c r="D467" s="340"/>
      <c r="E467" s="340"/>
      <c r="F467" s="340"/>
      <c r="G467" s="340"/>
      <c r="H467" s="340"/>
      <c r="I467" s="194"/>
      <c r="J467" s="194"/>
      <c r="K467" s="194"/>
      <c r="L467" s="648"/>
      <c r="M467" s="194"/>
      <c r="N467" s="194"/>
      <c r="O467" s="423"/>
      <c r="P467" s="194"/>
      <c r="S467" s="193"/>
      <c r="T467" s="193"/>
      <c r="U467" s="193"/>
      <c r="V467" s="193"/>
      <c r="W467" s="193"/>
      <c r="X467" s="193"/>
      <c r="Y467" s="503"/>
      <c r="Z467" s="193"/>
    </row>
    <row r="468" spans="1:26">
      <c r="A468" s="362"/>
      <c r="B468" s="340"/>
      <c r="C468" s="340"/>
      <c r="D468" s="340"/>
      <c r="E468" s="340"/>
      <c r="F468" s="340"/>
      <c r="G468" s="340"/>
      <c r="H468" s="340"/>
      <c r="I468" s="194"/>
      <c r="J468" s="194"/>
      <c r="K468" s="194"/>
      <c r="L468" s="648"/>
      <c r="M468" s="194"/>
      <c r="N468" s="194"/>
      <c r="O468" s="423"/>
      <c r="P468" s="194"/>
      <c r="S468" s="193"/>
      <c r="T468" s="193"/>
      <c r="U468" s="193"/>
      <c r="V468" s="193"/>
      <c r="W468" s="193"/>
      <c r="X468" s="193"/>
      <c r="Y468" s="503"/>
      <c r="Z468" s="193"/>
    </row>
    <row r="469" spans="1:26">
      <c r="A469" s="362"/>
      <c r="B469" s="340"/>
      <c r="C469" s="340"/>
      <c r="D469" s="340"/>
      <c r="E469" s="340"/>
      <c r="F469" s="340"/>
      <c r="G469" s="340"/>
      <c r="H469" s="340"/>
      <c r="I469" s="194"/>
      <c r="J469" s="194"/>
      <c r="K469" s="194"/>
      <c r="L469" s="648"/>
      <c r="M469" s="194"/>
      <c r="N469" s="194"/>
      <c r="O469" s="423"/>
      <c r="P469" s="194"/>
      <c r="S469" s="193"/>
      <c r="T469" s="193"/>
      <c r="U469" s="193"/>
      <c r="V469" s="193"/>
      <c r="W469" s="193"/>
      <c r="X469" s="193"/>
      <c r="Y469" s="503"/>
      <c r="Z469" s="193"/>
    </row>
    <row r="470" spans="1:26">
      <c r="A470" s="362"/>
      <c r="B470" s="340"/>
      <c r="C470" s="340"/>
      <c r="D470" s="340"/>
      <c r="E470" s="340"/>
      <c r="F470" s="340"/>
      <c r="G470" s="340"/>
      <c r="H470" s="340"/>
      <c r="I470" s="194"/>
      <c r="J470" s="194"/>
      <c r="K470" s="194"/>
      <c r="L470" s="648"/>
      <c r="M470" s="194"/>
      <c r="N470" s="194"/>
      <c r="O470" s="423"/>
      <c r="P470" s="194"/>
      <c r="S470" s="193"/>
      <c r="T470" s="193"/>
      <c r="U470" s="193"/>
      <c r="V470" s="193"/>
      <c r="W470" s="193"/>
      <c r="X470" s="193"/>
      <c r="Y470" s="503"/>
      <c r="Z470" s="193"/>
    </row>
    <row r="471" spans="1:26">
      <c r="A471" s="362"/>
      <c r="B471" s="340"/>
      <c r="C471" s="340"/>
      <c r="D471" s="340"/>
      <c r="E471" s="340"/>
      <c r="F471" s="340"/>
      <c r="G471" s="340"/>
      <c r="H471" s="340"/>
      <c r="I471" s="194"/>
      <c r="J471" s="194"/>
      <c r="K471" s="194"/>
      <c r="L471" s="648"/>
      <c r="M471" s="194"/>
      <c r="N471" s="194"/>
      <c r="O471" s="423"/>
      <c r="P471" s="194"/>
      <c r="S471" s="193"/>
      <c r="T471" s="193"/>
      <c r="U471" s="193"/>
      <c r="V471" s="193"/>
      <c r="W471" s="193"/>
      <c r="X471" s="193"/>
      <c r="Y471" s="503"/>
      <c r="Z471" s="193"/>
    </row>
    <row r="472" spans="1:26">
      <c r="A472" s="362"/>
      <c r="B472" s="340"/>
      <c r="C472" s="340"/>
      <c r="D472" s="340"/>
      <c r="E472" s="340"/>
      <c r="F472" s="340"/>
      <c r="G472" s="340"/>
      <c r="H472" s="340"/>
      <c r="I472" s="194"/>
      <c r="J472" s="194"/>
      <c r="K472" s="194"/>
      <c r="L472" s="648"/>
      <c r="M472" s="194"/>
      <c r="N472" s="194"/>
      <c r="O472" s="423"/>
      <c r="P472" s="194"/>
      <c r="S472" s="193"/>
      <c r="T472" s="193"/>
      <c r="U472" s="193"/>
      <c r="V472" s="193"/>
      <c r="W472" s="193"/>
      <c r="X472" s="193"/>
      <c r="Y472" s="503"/>
      <c r="Z472" s="193"/>
    </row>
    <row r="473" spans="1:26">
      <c r="A473" s="362"/>
      <c r="B473" s="340"/>
      <c r="C473" s="340"/>
      <c r="D473" s="340"/>
      <c r="E473" s="340"/>
      <c r="F473" s="340"/>
      <c r="G473" s="340"/>
      <c r="H473" s="340"/>
      <c r="I473" s="194"/>
      <c r="J473" s="194"/>
      <c r="K473" s="194"/>
      <c r="L473" s="648"/>
      <c r="M473" s="194"/>
      <c r="N473" s="194"/>
      <c r="O473" s="423"/>
      <c r="P473" s="194"/>
      <c r="S473" s="193"/>
      <c r="T473" s="193"/>
      <c r="U473" s="193"/>
      <c r="V473" s="193"/>
      <c r="W473" s="193"/>
      <c r="X473" s="193"/>
      <c r="Y473" s="503"/>
      <c r="Z473" s="193"/>
    </row>
    <row r="474" spans="1:26">
      <c r="A474" s="362"/>
      <c r="B474" s="340"/>
      <c r="C474" s="340"/>
      <c r="D474" s="340"/>
      <c r="E474" s="340"/>
      <c r="F474" s="340"/>
      <c r="G474" s="340"/>
      <c r="H474" s="340"/>
      <c r="I474" s="194"/>
      <c r="J474" s="194"/>
      <c r="K474" s="194"/>
      <c r="L474" s="648"/>
      <c r="M474" s="194"/>
      <c r="N474" s="194"/>
      <c r="O474" s="423"/>
      <c r="P474" s="194"/>
      <c r="S474" s="193"/>
      <c r="T474" s="193"/>
      <c r="U474" s="193"/>
      <c r="V474" s="193"/>
      <c r="W474" s="193"/>
      <c r="X474" s="193"/>
      <c r="Y474" s="503"/>
      <c r="Z474" s="193"/>
    </row>
    <row r="475" spans="1:26">
      <c r="A475" s="362"/>
      <c r="B475" s="340"/>
      <c r="C475" s="340"/>
      <c r="D475" s="340"/>
      <c r="E475" s="340"/>
      <c r="F475" s="340"/>
      <c r="G475" s="340"/>
      <c r="H475" s="340"/>
      <c r="I475" s="194"/>
      <c r="J475" s="194"/>
      <c r="K475" s="194"/>
      <c r="L475" s="648"/>
      <c r="M475" s="194"/>
      <c r="N475" s="194"/>
      <c r="O475" s="423"/>
      <c r="P475" s="194"/>
      <c r="S475" s="193"/>
      <c r="T475" s="193"/>
      <c r="U475" s="193"/>
      <c r="V475" s="193"/>
      <c r="W475" s="193"/>
      <c r="X475" s="193"/>
      <c r="Y475" s="503"/>
      <c r="Z475" s="193"/>
    </row>
    <row r="476" spans="1:26">
      <c r="A476" s="362"/>
      <c r="B476" s="340"/>
      <c r="C476" s="340"/>
      <c r="D476" s="340"/>
      <c r="E476" s="340"/>
      <c r="F476" s="340"/>
      <c r="G476" s="340"/>
      <c r="H476" s="340"/>
      <c r="I476" s="194"/>
      <c r="J476" s="194"/>
      <c r="K476" s="194"/>
      <c r="L476" s="648"/>
      <c r="M476" s="194"/>
      <c r="N476" s="194"/>
      <c r="O476" s="423"/>
      <c r="P476" s="194"/>
      <c r="S476" s="193"/>
      <c r="T476" s="193"/>
      <c r="U476" s="193"/>
      <c r="V476" s="193"/>
      <c r="W476" s="193"/>
      <c r="X476" s="193"/>
      <c r="Y476" s="503"/>
      <c r="Z476" s="193"/>
    </row>
    <row r="477" spans="1:26">
      <c r="A477" s="362"/>
      <c r="B477" s="340"/>
      <c r="C477" s="340"/>
      <c r="D477" s="340"/>
      <c r="E477" s="340"/>
      <c r="F477" s="340"/>
      <c r="G477" s="340"/>
      <c r="H477" s="340"/>
      <c r="I477" s="194"/>
      <c r="J477" s="194"/>
      <c r="K477" s="194"/>
      <c r="L477" s="648"/>
      <c r="M477" s="194"/>
      <c r="N477" s="194"/>
      <c r="O477" s="423"/>
      <c r="P477" s="194"/>
      <c r="S477" s="193"/>
      <c r="T477" s="193"/>
      <c r="U477" s="193"/>
      <c r="V477" s="193"/>
      <c r="W477" s="193"/>
      <c r="X477" s="193"/>
      <c r="Y477" s="503"/>
      <c r="Z477" s="193"/>
    </row>
    <row r="478" spans="1:26">
      <c r="A478" s="362"/>
      <c r="B478" s="340"/>
      <c r="C478" s="340"/>
      <c r="D478" s="340"/>
      <c r="E478" s="340"/>
      <c r="F478" s="340"/>
      <c r="G478" s="340"/>
      <c r="H478" s="340"/>
      <c r="I478" s="194"/>
      <c r="J478" s="194"/>
      <c r="K478" s="194"/>
      <c r="L478" s="648"/>
      <c r="M478" s="194"/>
      <c r="N478" s="194"/>
      <c r="O478" s="423"/>
      <c r="P478" s="194"/>
      <c r="S478" s="193"/>
      <c r="T478" s="193"/>
      <c r="U478" s="193"/>
      <c r="V478" s="193"/>
      <c r="W478" s="193"/>
      <c r="X478" s="193"/>
      <c r="Y478" s="503"/>
      <c r="Z478" s="193"/>
    </row>
    <row r="479" spans="1:26">
      <c r="A479" s="362"/>
      <c r="B479" s="340"/>
      <c r="C479" s="340"/>
      <c r="D479" s="340"/>
      <c r="E479" s="340"/>
      <c r="F479" s="340"/>
      <c r="G479" s="340"/>
      <c r="H479" s="340"/>
      <c r="I479" s="194"/>
      <c r="J479" s="194"/>
      <c r="K479" s="194"/>
      <c r="L479" s="648"/>
      <c r="M479" s="194"/>
      <c r="N479" s="194"/>
      <c r="O479" s="423"/>
      <c r="P479" s="194"/>
      <c r="S479" s="193"/>
      <c r="T479" s="193"/>
      <c r="U479" s="193"/>
      <c r="V479" s="193"/>
      <c r="W479" s="193"/>
      <c r="X479" s="193"/>
      <c r="Y479" s="503"/>
      <c r="Z479" s="193"/>
    </row>
    <row r="480" spans="1:26">
      <c r="A480" s="362"/>
      <c r="B480" s="340"/>
      <c r="C480" s="340"/>
      <c r="D480" s="340"/>
      <c r="E480" s="340"/>
      <c r="F480" s="340"/>
      <c r="G480" s="340"/>
      <c r="H480" s="340"/>
      <c r="I480" s="194"/>
      <c r="J480" s="194"/>
      <c r="K480" s="194"/>
      <c r="L480" s="648"/>
      <c r="M480" s="194"/>
      <c r="N480" s="194"/>
      <c r="O480" s="423"/>
      <c r="P480" s="194"/>
      <c r="S480" s="193"/>
      <c r="T480" s="193"/>
      <c r="U480" s="193"/>
      <c r="V480" s="193"/>
      <c r="W480" s="193"/>
      <c r="X480" s="193"/>
      <c r="Y480" s="503"/>
      <c r="Z480" s="193"/>
    </row>
    <row r="481" spans="1:26">
      <c r="A481" s="362"/>
      <c r="B481" s="340"/>
      <c r="C481" s="340"/>
      <c r="D481" s="340"/>
      <c r="E481" s="340"/>
      <c r="F481" s="340"/>
      <c r="G481" s="340"/>
      <c r="H481" s="340"/>
      <c r="I481" s="194"/>
      <c r="J481" s="194"/>
      <c r="K481" s="194"/>
      <c r="L481" s="648"/>
      <c r="M481" s="194"/>
      <c r="N481" s="194"/>
      <c r="O481" s="423"/>
      <c r="P481" s="194"/>
      <c r="S481" s="193"/>
      <c r="T481" s="193"/>
      <c r="U481" s="193"/>
      <c r="V481" s="193"/>
      <c r="W481" s="193"/>
      <c r="X481" s="193"/>
      <c r="Y481" s="503"/>
      <c r="Z481" s="193"/>
    </row>
    <row r="482" spans="1:26">
      <c r="A482" s="362"/>
      <c r="B482" s="340"/>
      <c r="C482" s="340"/>
      <c r="D482" s="340"/>
      <c r="E482" s="340"/>
      <c r="F482" s="340"/>
      <c r="G482" s="340"/>
      <c r="H482" s="340"/>
      <c r="I482" s="194"/>
      <c r="J482" s="194"/>
      <c r="K482" s="194"/>
      <c r="L482" s="648"/>
      <c r="M482" s="194"/>
      <c r="N482" s="194"/>
      <c r="O482" s="423"/>
      <c r="P482" s="194"/>
      <c r="S482" s="193"/>
      <c r="T482" s="193"/>
      <c r="U482" s="193"/>
      <c r="V482" s="193"/>
      <c r="W482" s="193"/>
      <c r="X482" s="193"/>
      <c r="Y482" s="503"/>
      <c r="Z482" s="193"/>
    </row>
    <row r="483" spans="1:26">
      <c r="A483" s="362"/>
      <c r="B483" s="340"/>
      <c r="C483" s="340"/>
      <c r="D483" s="340"/>
      <c r="E483" s="340"/>
      <c r="F483" s="340"/>
      <c r="G483" s="340"/>
      <c r="H483" s="340"/>
      <c r="I483" s="194"/>
      <c r="J483" s="194"/>
      <c r="K483" s="194"/>
      <c r="L483" s="648"/>
      <c r="M483" s="194"/>
      <c r="N483" s="194"/>
      <c r="O483" s="423"/>
      <c r="P483" s="194"/>
      <c r="S483" s="193"/>
      <c r="T483" s="193"/>
      <c r="U483" s="193"/>
      <c r="V483" s="193"/>
      <c r="W483" s="193"/>
      <c r="X483" s="193"/>
      <c r="Y483" s="503"/>
      <c r="Z483" s="193"/>
    </row>
    <row r="484" spans="1:26">
      <c r="A484" s="362"/>
      <c r="B484" s="340"/>
      <c r="C484" s="340"/>
      <c r="D484" s="340"/>
      <c r="E484" s="340"/>
      <c r="F484" s="340"/>
      <c r="G484" s="340"/>
      <c r="H484" s="340"/>
      <c r="I484" s="194"/>
      <c r="J484" s="194"/>
      <c r="K484" s="194"/>
      <c r="L484" s="648"/>
      <c r="M484" s="194"/>
      <c r="N484" s="194"/>
      <c r="O484" s="423"/>
      <c r="P484" s="194"/>
      <c r="S484" s="193"/>
      <c r="T484" s="193"/>
      <c r="U484" s="193"/>
      <c r="V484" s="193"/>
      <c r="W484" s="193"/>
      <c r="X484" s="193"/>
      <c r="Y484" s="503"/>
      <c r="Z484" s="193"/>
    </row>
    <row r="485" spans="1:26">
      <c r="A485" s="362"/>
      <c r="B485" s="340"/>
      <c r="C485" s="340"/>
      <c r="D485" s="340"/>
      <c r="E485" s="340"/>
      <c r="F485" s="340"/>
      <c r="G485" s="340"/>
      <c r="H485" s="340"/>
      <c r="I485" s="194"/>
      <c r="J485" s="194"/>
      <c r="K485" s="194"/>
      <c r="L485" s="648"/>
      <c r="M485" s="194"/>
      <c r="N485" s="194"/>
      <c r="O485" s="423"/>
      <c r="P485" s="194"/>
      <c r="S485" s="193"/>
      <c r="T485" s="193"/>
      <c r="U485" s="193"/>
      <c r="V485" s="193"/>
      <c r="W485" s="193"/>
      <c r="X485" s="193"/>
      <c r="Y485" s="503"/>
      <c r="Z485" s="193"/>
    </row>
    <row r="486" spans="1:26">
      <c r="A486" s="362"/>
      <c r="B486" s="340"/>
      <c r="C486" s="340"/>
      <c r="D486" s="340"/>
      <c r="E486" s="340"/>
      <c r="F486" s="340"/>
      <c r="G486" s="340"/>
      <c r="H486" s="340"/>
      <c r="I486" s="194"/>
      <c r="J486" s="194"/>
      <c r="K486" s="194"/>
      <c r="L486" s="648"/>
      <c r="M486" s="194"/>
      <c r="N486" s="194"/>
      <c r="O486" s="423"/>
      <c r="P486" s="194"/>
      <c r="S486" s="193"/>
      <c r="T486" s="193"/>
      <c r="U486" s="193"/>
      <c r="V486" s="193"/>
      <c r="W486" s="193"/>
      <c r="X486" s="193"/>
      <c r="Y486" s="503"/>
      <c r="Z486" s="193"/>
    </row>
    <row r="487" spans="1:26">
      <c r="A487" s="362"/>
      <c r="B487" s="340"/>
      <c r="C487" s="340"/>
      <c r="D487" s="340"/>
      <c r="E487" s="340"/>
      <c r="F487" s="340"/>
      <c r="G487" s="340"/>
      <c r="H487" s="340"/>
      <c r="I487" s="194"/>
      <c r="J487" s="194"/>
      <c r="K487" s="194"/>
      <c r="L487" s="648"/>
      <c r="M487" s="194"/>
      <c r="N487" s="194"/>
      <c r="O487" s="423"/>
      <c r="P487" s="194"/>
      <c r="S487" s="193"/>
      <c r="T487" s="193"/>
      <c r="U487" s="193"/>
      <c r="V487" s="193"/>
      <c r="W487" s="193"/>
      <c r="X487" s="193"/>
      <c r="Y487" s="503"/>
      <c r="Z487" s="193"/>
    </row>
    <row r="488" spans="1:26">
      <c r="A488" s="362"/>
      <c r="B488" s="340"/>
      <c r="C488" s="340"/>
      <c r="D488" s="340"/>
      <c r="E488" s="340"/>
      <c r="F488" s="340"/>
      <c r="G488" s="340"/>
      <c r="H488" s="340"/>
      <c r="I488" s="194"/>
      <c r="J488" s="194"/>
      <c r="K488" s="194"/>
      <c r="L488" s="648"/>
      <c r="M488" s="194"/>
      <c r="N488" s="194"/>
      <c r="O488" s="423"/>
      <c r="P488" s="194"/>
      <c r="S488" s="193"/>
      <c r="T488" s="193"/>
      <c r="U488" s="193"/>
      <c r="V488" s="193"/>
      <c r="W488" s="193"/>
      <c r="X488" s="193"/>
      <c r="Y488" s="503"/>
      <c r="Z488" s="193"/>
    </row>
    <row r="489" spans="1:26">
      <c r="A489" s="362"/>
      <c r="B489" s="340"/>
      <c r="C489" s="340"/>
      <c r="D489" s="340"/>
      <c r="E489" s="340"/>
      <c r="F489" s="340"/>
      <c r="G489" s="340"/>
      <c r="H489" s="340"/>
      <c r="I489" s="194"/>
      <c r="J489" s="194"/>
      <c r="K489" s="194"/>
      <c r="L489" s="648"/>
      <c r="M489" s="194"/>
      <c r="N489" s="194"/>
      <c r="O489" s="423"/>
      <c r="P489" s="194"/>
      <c r="S489" s="193"/>
      <c r="T489" s="193"/>
      <c r="U489" s="193"/>
      <c r="V489" s="193"/>
      <c r="W489" s="193"/>
      <c r="X489" s="193"/>
      <c r="Y489" s="503"/>
      <c r="Z489" s="193"/>
    </row>
    <row r="490" spans="1:26">
      <c r="A490" s="362"/>
      <c r="B490" s="340"/>
      <c r="C490" s="340"/>
      <c r="D490" s="340"/>
      <c r="E490" s="340"/>
      <c r="F490" s="340"/>
      <c r="G490" s="340"/>
      <c r="H490" s="340"/>
      <c r="I490" s="194"/>
      <c r="J490" s="194"/>
      <c r="K490" s="194"/>
      <c r="L490" s="648"/>
      <c r="M490" s="194"/>
      <c r="N490" s="194"/>
      <c r="O490" s="423"/>
      <c r="P490" s="194"/>
      <c r="S490" s="193"/>
      <c r="T490" s="193"/>
      <c r="U490" s="193"/>
      <c r="V490" s="193"/>
      <c r="W490" s="193"/>
      <c r="X490" s="193"/>
      <c r="Y490" s="503"/>
      <c r="Z490" s="193"/>
    </row>
    <row r="491" spans="1:26">
      <c r="A491" s="362"/>
      <c r="B491" s="340"/>
      <c r="C491" s="340"/>
      <c r="D491" s="340"/>
      <c r="E491" s="340"/>
      <c r="F491" s="340"/>
      <c r="G491" s="340"/>
      <c r="H491" s="340"/>
      <c r="I491" s="194"/>
      <c r="J491" s="194"/>
      <c r="K491" s="194"/>
      <c r="L491" s="648"/>
      <c r="M491" s="194"/>
      <c r="N491" s="194"/>
      <c r="O491" s="423"/>
      <c r="P491" s="194"/>
      <c r="S491" s="193"/>
      <c r="T491" s="193"/>
      <c r="U491" s="193"/>
      <c r="V491" s="193"/>
      <c r="W491" s="193"/>
      <c r="X491" s="193"/>
      <c r="Y491" s="503"/>
      <c r="Z491" s="193"/>
    </row>
    <row r="492" spans="1:26">
      <c r="A492" s="362"/>
      <c r="B492" s="340"/>
      <c r="C492" s="340"/>
      <c r="D492" s="340"/>
      <c r="E492" s="340"/>
      <c r="F492" s="340"/>
      <c r="G492" s="340"/>
      <c r="H492" s="340"/>
      <c r="I492" s="194"/>
      <c r="J492" s="194"/>
      <c r="K492" s="194"/>
      <c r="L492" s="648"/>
      <c r="M492" s="194"/>
      <c r="N492" s="194"/>
      <c r="O492" s="423"/>
      <c r="P492" s="194"/>
      <c r="S492" s="193"/>
      <c r="T492" s="193"/>
      <c r="U492" s="193"/>
      <c r="V492" s="193"/>
      <c r="W492" s="193"/>
      <c r="X492" s="193"/>
      <c r="Y492" s="503"/>
      <c r="Z492" s="193"/>
    </row>
    <row r="493" spans="1:26">
      <c r="A493" s="362"/>
      <c r="B493" s="340"/>
      <c r="C493" s="340"/>
      <c r="D493" s="340"/>
      <c r="E493" s="340"/>
      <c r="F493" s="340"/>
      <c r="G493" s="340"/>
      <c r="H493" s="340"/>
      <c r="I493" s="194"/>
      <c r="J493" s="194"/>
      <c r="K493" s="194"/>
      <c r="L493" s="648"/>
      <c r="M493" s="194"/>
      <c r="N493" s="194"/>
      <c r="O493" s="423"/>
      <c r="P493" s="194"/>
      <c r="S493" s="193"/>
      <c r="T493" s="193"/>
      <c r="U493" s="193"/>
      <c r="V493" s="193"/>
      <c r="W493" s="193"/>
      <c r="X493" s="193"/>
      <c r="Y493" s="503"/>
      <c r="Z493" s="193"/>
    </row>
    <row r="494" spans="1:26">
      <c r="A494" s="362"/>
      <c r="B494" s="340"/>
      <c r="C494" s="340"/>
      <c r="D494" s="340"/>
      <c r="E494" s="340"/>
      <c r="F494" s="340"/>
      <c r="G494" s="340"/>
      <c r="H494" s="340"/>
      <c r="I494" s="194"/>
      <c r="J494" s="194"/>
      <c r="K494" s="194"/>
      <c r="L494" s="648"/>
      <c r="M494" s="194"/>
      <c r="N494" s="194"/>
      <c r="O494" s="423"/>
      <c r="P494" s="194"/>
      <c r="S494" s="193"/>
      <c r="T494" s="193"/>
      <c r="U494" s="193"/>
      <c r="V494" s="193"/>
      <c r="W494" s="193"/>
      <c r="X494" s="193"/>
      <c r="Y494" s="503"/>
      <c r="Z494" s="193"/>
    </row>
    <row r="495" spans="1:26">
      <c r="A495" s="362"/>
      <c r="B495" s="340"/>
      <c r="C495" s="340"/>
      <c r="D495" s="340"/>
      <c r="E495" s="340"/>
      <c r="F495" s="340"/>
      <c r="G495" s="340"/>
      <c r="H495" s="340"/>
      <c r="I495" s="194"/>
      <c r="J495" s="194"/>
      <c r="K495" s="194"/>
      <c r="L495" s="648"/>
      <c r="M495" s="194"/>
      <c r="N495" s="194"/>
      <c r="O495" s="423"/>
      <c r="P495" s="194"/>
      <c r="S495" s="193"/>
      <c r="T495" s="193"/>
      <c r="U495" s="193"/>
      <c r="V495" s="193"/>
      <c r="W495" s="193"/>
      <c r="X495" s="193"/>
      <c r="Y495" s="503"/>
      <c r="Z495" s="193"/>
    </row>
    <row r="496" spans="1:26">
      <c r="A496" s="362"/>
      <c r="B496" s="340"/>
      <c r="C496" s="340"/>
      <c r="D496" s="340"/>
      <c r="E496" s="340"/>
      <c r="F496" s="340"/>
      <c r="G496" s="340"/>
      <c r="H496" s="340"/>
      <c r="I496" s="194"/>
      <c r="J496" s="194"/>
      <c r="K496" s="194"/>
      <c r="L496" s="648"/>
      <c r="M496" s="194"/>
      <c r="N496" s="194"/>
      <c r="O496" s="423"/>
      <c r="P496" s="194"/>
      <c r="S496" s="193"/>
      <c r="T496" s="193"/>
      <c r="U496" s="193"/>
      <c r="V496" s="193"/>
      <c r="W496" s="193"/>
      <c r="X496" s="193"/>
      <c r="Y496" s="503"/>
      <c r="Z496" s="193"/>
    </row>
    <row r="497" spans="1:26">
      <c r="A497" s="362"/>
      <c r="B497" s="340"/>
      <c r="C497" s="340"/>
      <c r="D497" s="340"/>
      <c r="E497" s="340"/>
      <c r="F497" s="340"/>
      <c r="G497" s="340"/>
      <c r="H497" s="340"/>
      <c r="I497" s="194"/>
      <c r="J497" s="194"/>
      <c r="K497" s="194"/>
      <c r="L497" s="648"/>
      <c r="M497" s="194"/>
      <c r="N497" s="194"/>
      <c r="O497" s="423"/>
      <c r="P497" s="194"/>
      <c r="S497" s="193"/>
      <c r="T497" s="193"/>
      <c r="U497" s="193"/>
      <c r="V497" s="193"/>
      <c r="W497" s="193"/>
      <c r="X497" s="193"/>
      <c r="Y497" s="503"/>
      <c r="Z497" s="193"/>
    </row>
    <row r="498" spans="1:26">
      <c r="A498" s="362"/>
      <c r="B498" s="340"/>
      <c r="C498" s="340"/>
      <c r="D498" s="340"/>
      <c r="E498" s="340"/>
      <c r="F498" s="340"/>
      <c r="G498" s="340"/>
      <c r="H498" s="340"/>
      <c r="I498" s="194"/>
      <c r="J498" s="194"/>
      <c r="K498" s="194"/>
      <c r="L498" s="648"/>
      <c r="M498" s="194"/>
      <c r="N498" s="194"/>
      <c r="O498" s="423"/>
      <c r="P498" s="194"/>
      <c r="S498" s="193"/>
      <c r="T498" s="193"/>
      <c r="U498" s="193"/>
      <c r="V498" s="193"/>
      <c r="W498" s="193"/>
      <c r="X498" s="193"/>
      <c r="Y498" s="503"/>
      <c r="Z498" s="193"/>
    </row>
    <row r="499" spans="1:26">
      <c r="A499" s="362"/>
      <c r="B499" s="340"/>
      <c r="C499" s="340"/>
      <c r="D499" s="340"/>
      <c r="E499" s="340"/>
      <c r="F499" s="340"/>
      <c r="G499" s="340"/>
      <c r="H499" s="340"/>
      <c r="I499" s="194"/>
      <c r="J499" s="194"/>
      <c r="K499" s="194"/>
      <c r="L499" s="648"/>
      <c r="M499" s="194"/>
      <c r="N499" s="194"/>
      <c r="O499" s="423"/>
      <c r="P499" s="194"/>
      <c r="S499" s="193"/>
      <c r="T499" s="193"/>
      <c r="U499" s="193"/>
      <c r="V499" s="193"/>
      <c r="W499" s="193"/>
      <c r="X499" s="193"/>
      <c r="Y499" s="503"/>
      <c r="Z499" s="193"/>
    </row>
    <row r="500" spans="1:26">
      <c r="A500" s="362"/>
      <c r="B500" s="340"/>
      <c r="C500" s="340"/>
      <c r="D500" s="340"/>
      <c r="E500" s="340"/>
      <c r="F500" s="340"/>
      <c r="G500" s="340"/>
      <c r="H500" s="340"/>
      <c r="I500" s="194"/>
      <c r="J500" s="194"/>
      <c r="K500" s="194"/>
      <c r="L500" s="648"/>
      <c r="M500" s="194"/>
      <c r="N500" s="194"/>
      <c r="O500" s="423"/>
      <c r="P500" s="194"/>
      <c r="S500" s="193"/>
      <c r="T500" s="193"/>
      <c r="U500" s="193"/>
      <c r="V500" s="193"/>
      <c r="W500" s="193"/>
      <c r="X500" s="193"/>
      <c r="Y500" s="503"/>
      <c r="Z500" s="193"/>
    </row>
    <row r="501" spans="1:26">
      <c r="A501" s="362"/>
      <c r="B501" s="340"/>
      <c r="C501" s="340"/>
      <c r="D501" s="340"/>
      <c r="E501" s="340"/>
      <c r="F501" s="340"/>
      <c r="G501" s="340"/>
      <c r="H501" s="340"/>
      <c r="I501" s="194"/>
      <c r="J501" s="194"/>
      <c r="K501" s="194"/>
      <c r="L501" s="648"/>
      <c r="M501" s="194"/>
      <c r="N501" s="194"/>
      <c r="O501" s="423"/>
      <c r="P501" s="194"/>
      <c r="S501" s="193"/>
      <c r="T501" s="193"/>
      <c r="U501" s="193"/>
      <c r="V501" s="193"/>
      <c r="W501" s="193"/>
      <c r="X501" s="193"/>
      <c r="Y501" s="503"/>
      <c r="Z501" s="193"/>
    </row>
    <row r="502" spans="1:26">
      <c r="A502" s="362"/>
      <c r="B502" s="340"/>
      <c r="C502" s="340"/>
      <c r="D502" s="340"/>
      <c r="E502" s="340"/>
      <c r="F502" s="340"/>
      <c r="G502" s="340"/>
      <c r="H502" s="340"/>
      <c r="I502" s="194"/>
      <c r="J502" s="194"/>
      <c r="K502" s="194"/>
      <c r="L502" s="648"/>
      <c r="M502" s="194"/>
      <c r="N502" s="194"/>
      <c r="O502" s="423"/>
      <c r="P502" s="194"/>
      <c r="S502" s="193"/>
      <c r="T502" s="193"/>
      <c r="U502" s="193"/>
      <c r="V502" s="193"/>
      <c r="W502" s="193"/>
      <c r="X502" s="193"/>
      <c r="Y502" s="503"/>
      <c r="Z502" s="193"/>
    </row>
    <row r="503" spans="1:26">
      <c r="A503" s="362"/>
      <c r="B503" s="340"/>
      <c r="C503" s="340"/>
      <c r="D503" s="340"/>
      <c r="E503" s="340"/>
      <c r="F503" s="340"/>
      <c r="G503" s="340"/>
      <c r="H503" s="340"/>
      <c r="I503" s="194"/>
      <c r="J503" s="194"/>
      <c r="K503" s="194"/>
      <c r="L503" s="648"/>
      <c r="M503" s="194"/>
      <c r="N503" s="194"/>
      <c r="O503" s="423"/>
      <c r="P503" s="194"/>
      <c r="S503" s="193"/>
      <c r="T503" s="193"/>
      <c r="U503" s="193"/>
      <c r="V503" s="193"/>
      <c r="W503" s="193"/>
      <c r="X503" s="193"/>
      <c r="Y503" s="503"/>
      <c r="Z503" s="193"/>
    </row>
    <row r="504" spans="1:26">
      <c r="A504" s="362"/>
      <c r="B504" s="340"/>
      <c r="C504" s="340"/>
      <c r="D504" s="340"/>
      <c r="E504" s="340"/>
      <c r="F504" s="340"/>
      <c r="G504" s="340"/>
      <c r="H504" s="340"/>
      <c r="I504" s="194"/>
      <c r="J504" s="194"/>
      <c r="K504" s="194"/>
      <c r="L504" s="648"/>
      <c r="M504" s="194"/>
      <c r="N504" s="194"/>
      <c r="O504" s="423"/>
      <c r="P504" s="194"/>
      <c r="S504" s="193"/>
      <c r="T504" s="193"/>
      <c r="U504" s="193"/>
      <c r="V504" s="193"/>
      <c r="W504" s="193"/>
      <c r="X504" s="193"/>
      <c r="Y504" s="503"/>
      <c r="Z504" s="193"/>
    </row>
    <row r="505" spans="1:26">
      <c r="A505" s="362"/>
      <c r="B505" s="340"/>
      <c r="C505" s="340"/>
      <c r="D505" s="340"/>
      <c r="E505" s="340"/>
      <c r="F505" s="340"/>
      <c r="G505" s="340"/>
      <c r="H505" s="340"/>
      <c r="I505" s="194"/>
      <c r="J505" s="194"/>
      <c r="K505" s="194"/>
      <c r="L505" s="648"/>
      <c r="M505" s="194"/>
      <c r="N505" s="194"/>
      <c r="O505" s="423"/>
      <c r="P505" s="194"/>
      <c r="S505" s="193"/>
      <c r="T505" s="193"/>
      <c r="U505" s="193"/>
      <c r="V505" s="193"/>
      <c r="W505" s="193"/>
      <c r="X505" s="193"/>
      <c r="Y505" s="503"/>
      <c r="Z505" s="193"/>
    </row>
    <row r="506" spans="1:26">
      <c r="A506" s="362"/>
      <c r="B506" s="340"/>
      <c r="C506" s="340"/>
      <c r="D506" s="340"/>
      <c r="E506" s="340"/>
      <c r="F506" s="340"/>
      <c r="G506" s="340"/>
      <c r="H506" s="340"/>
      <c r="I506" s="194"/>
      <c r="J506" s="194"/>
      <c r="K506" s="194"/>
      <c r="L506" s="648"/>
      <c r="M506" s="194"/>
      <c r="N506" s="194"/>
      <c r="O506" s="423"/>
      <c r="P506" s="194"/>
      <c r="S506" s="193"/>
      <c r="T506" s="193"/>
      <c r="U506" s="193"/>
      <c r="V506" s="193"/>
      <c r="W506" s="193"/>
      <c r="X506" s="193"/>
      <c r="Y506" s="503"/>
      <c r="Z506" s="193"/>
    </row>
    <row r="507" spans="1:26">
      <c r="A507" s="362"/>
      <c r="B507" s="340"/>
      <c r="C507" s="340"/>
      <c r="D507" s="340"/>
      <c r="E507" s="340"/>
      <c r="F507" s="340"/>
      <c r="G507" s="340"/>
      <c r="H507" s="340"/>
      <c r="I507" s="194"/>
      <c r="J507" s="194"/>
      <c r="K507" s="194"/>
      <c r="L507" s="648"/>
      <c r="M507" s="194"/>
      <c r="N507" s="194"/>
      <c r="O507" s="423"/>
      <c r="P507" s="194"/>
      <c r="S507" s="193"/>
      <c r="T507" s="193"/>
      <c r="U507" s="193"/>
      <c r="V507" s="193"/>
      <c r="W507" s="193"/>
      <c r="X507" s="193"/>
      <c r="Y507" s="503"/>
      <c r="Z507" s="193"/>
    </row>
    <row r="508" spans="1:26">
      <c r="A508" s="362"/>
      <c r="B508" s="340"/>
      <c r="C508" s="340"/>
      <c r="D508" s="340"/>
      <c r="E508" s="340"/>
      <c r="F508" s="340"/>
      <c r="G508" s="340"/>
      <c r="H508" s="340"/>
      <c r="I508" s="194"/>
      <c r="J508" s="194"/>
      <c r="K508" s="194"/>
      <c r="L508" s="648"/>
      <c r="M508" s="194"/>
      <c r="N508" s="194"/>
      <c r="O508" s="423"/>
      <c r="P508" s="194"/>
      <c r="S508" s="193"/>
      <c r="T508" s="193"/>
      <c r="U508" s="193"/>
      <c r="V508" s="193"/>
      <c r="W508" s="193"/>
      <c r="X508" s="193"/>
      <c r="Y508" s="503"/>
      <c r="Z508" s="193"/>
    </row>
    <row r="509" spans="1:26">
      <c r="A509" s="362"/>
      <c r="B509" s="340"/>
      <c r="C509" s="340"/>
      <c r="D509" s="340"/>
      <c r="E509" s="340"/>
      <c r="F509" s="340"/>
      <c r="G509" s="340"/>
      <c r="H509" s="340"/>
      <c r="I509" s="194"/>
      <c r="J509" s="194"/>
      <c r="K509" s="194"/>
      <c r="L509" s="648"/>
      <c r="M509" s="194"/>
      <c r="N509" s="194"/>
      <c r="O509" s="423"/>
      <c r="P509" s="194"/>
      <c r="S509" s="193"/>
      <c r="T509" s="193"/>
      <c r="U509" s="193"/>
      <c r="V509" s="193"/>
      <c r="W509" s="193"/>
      <c r="X509" s="193"/>
      <c r="Y509" s="503"/>
      <c r="Z509" s="193"/>
    </row>
    <row r="510" spans="1:26">
      <c r="A510" s="362"/>
      <c r="B510" s="340"/>
      <c r="C510" s="340"/>
      <c r="D510" s="340"/>
      <c r="E510" s="340"/>
      <c r="F510" s="340"/>
      <c r="G510" s="340"/>
      <c r="H510" s="340"/>
      <c r="I510" s="194"/>
      <c r="J510" s="194"/>
      <c r="K510" s="194"/>
      <c r="L510" s="648"/>
      <c r="M510" s="194"/>
      <c r="N510" s="194"/>
      <c r="O510" s="423"/>
      <c r="P510" s="194"/>
      <c r="S510" s="193"/>
      <c r="T510" s="193"/>
      <c r="U510" s="193"/>
      <c r="V510" s="193"/>
      <c r="W510" s="193"/>
      <c r="X510" s="193"/>
      <c r="Y510" s="503"/>
      <c r="Z510" s="193"/>
    </row>
    <row r="511" spans="1:26">
      <c r="A511" s="362"/>
      <c r="B511" s="340"/>
      <c r="C511" s="340"/>
      <c r="D511" s="340"/>
      <c r="E511" s="340"/>
      <c r="F511" s="340"/>
      <c r="G511" s="340"/>
      <c r="H511" s="340"/>
      <c r="I511" s="194"/>
      <c r="J511" s="194"/>
      <c r="K511" s="194"/>
      <c r="L511" s="648"/>
      <c r="M511" s="194"/>
      <c r="N511" s="194"/>
      <c r="O511" s="423"/>
      <c r="P511" s="194"/>
      <c r="S511" s="193"/>
      <c r="T511" s="193"/>
      <c r="U511" s="193"/>
      <c r="V511" s="193"/>
      <c r="W511" s="193"/>
      <c r="X511" s="193"/>
      <c r="Y511" s="503"/>
      <c r="Z511" s="193"/>
    </row>
    <row r="512" spans="1:26">
      <c r="A512" s="362"/>
      <c r="B512" s="340"/>
      <c r="C512" s="340"/>
      <c r="D512" s="340"/>
      <c r="E512" s="340"/>
      <c r="F512" s="340"/>
      <c r="G512" s="340"/>
      <c r="H512" s="340"/>
      <c r="I512" s="194"/>
      <c r="J512" s="194"/>
      <c r="K512" s="194"/>
      <c r="L512" s="648"/>
      <c r="M512" s="194"/>
      <c r="N512" s="194"/>
      <c r="O512" s="423"/>
      <c r="P512" s="194"/>
      <c r="S512" s="193"/>
      <c r="T512" s="193"/>
      <c r="U512" s="193"/>
      <c r="V512" s="193"/>
      <c r="W512" s="193"/>
      <c r="X512" s="193"/>
      <c r="Y512" s="503"/>
      <c r="Z512" s="193"/>
    </row>
    <row r="513" spans="1:26">
      <c r="A513" s="362"/>
      <c r="B513" s="340"/>
      <c r="C513" s="340"/>
      <c r="D513" s="340"/>
      <c r="E513" s="340"/>
      <c r="F513" s="340"/>
      <c r="G513" s="340"/>
      <c r="H513" s="340"/>
      <c r="I513" s="194"/>
      <c r="J513" s="194"/>
      <c r="K513" s="194"/>
      <c r="L513" s="648"/>
      <c r="M513" s="194"/>
      <c r="N513" s="194"/>
      <c r="O513" s="423"/>
      <c r="P513" s="194"/>
      <c r="S513" s="193"/>
      <c r="T513" s="193"/>
      <c r="U513" s="193"/>
      <c r="V513" s="193"/>
      <c r="W513" s="193"/>
      <c r="X513" s="193"/>
      <c r="Y513" s="503"/>
      <c r="Z513" s="193"/>
    </row>
    <row r="514" spans="1:26">
      <c r="A514" s="362"/>
      <c r="B514" s="340"/>
      <c r="C514" s="340"/>
      <c r="D514" s="340"/>
      <c r="E514" s="340"/>
      <c r="F514" s="340"/>
      <c r="G514" s="340"/>
      <c r="H514" s="340"/>
      <c r="I514" s="194"/>
      <c r="J514" s="194"/>
      <c r="K514" s="194"/>
      <c r="L514" s="648"/>
      <c r="M514" s="194"/>
      <c r="N514" s="194"/>
      <c r="O514" s="423"/>
      <c r="P514" s="194"/>
      <c r="S514" s="193"/>
      <c r="T514" s="193"/>
      <c r="U514" s="193"/>
      <c r="V514" s="193"/>
      <c r="W514" s="193"/>
      <c r="X514" s="193"/>
      <c r="Y514" s="503"/>
      <c r="Z514" s="193"/>
    </row>
    <row r="515" spans="1:26">
      <c r="A515" s="362"/>
      <c r="B515" s="340"/>
      <c r="C515" s="340"/>
      <c r="D515" s="340"/>
      <c r="E515" s="340"/>
      <c r="F515" s="340"/>
      <c r="G515" s="340"/>
      <c r="H515" s="340"/>
      <c r="I515" s="194"/>
      <c r="J515" s="194"/>
      <c r="K515" s="194"/>
      <c r="L515" s="648"/>
      <c r="M515" s="194"/>
      <c r="N515" s="194"/>
      <c r="O515" s="423"/>
      <c r="P515" s="194"/>
      <c r="S515" s="193"/>
      <c r="T515" s="193"/>
      <c r="U515" s="193"/>
      <c r="V515" s="193"/>
      <c r="W515" s="193"/>
      <c r="X515" s="193"/>
      <c r="Y515" s="503"/>
      <c r="Z515" s="193"/>
    </row>
    <row r="516" spans="1:26">
      <c r="A516" s="362"/>
      <c r="B516" s="340"/>
      <c r="C516" s="340"/>
      <c r="D516" s="340"/>
      <c r="E516" s="340"/>
      <c r="F516" s="340"/>
      <c r="G516" s="340"/>
      <c r="H516" s="340"/>
      <c r="I516" s="194"/>
      <c r="J516" s="194"/>
      <c r="K516" s="194"/>
      <c r="L516" s="648"/>
      <c r="M516" s="194"/>
      <c r="N516" s="194"/>
      <c r="O516" s="423"/>
      <c r="P516" s="194"/>
      <c r="S516" s="193"/>
      <c r="T516" s="193"/>
      <c r="U516" s="193"/>
      <c r="V516" s="193"/>
      <c r="W516" s="193"/>
      <c r="X516" s="193"/>
      <c r="Y516" s="503"/>
      <c r="Z516" s="193"/>
    </row>
    <row r="517" spans="1:26">
      <c r="A517" s="362"/>
      <c r="B517" s="340"/>
      <c r="C517" s="340"/>
      <c r="D517" s="340"/>
      <c r="E517" s="340"/>
      <c r="F517" s="340"/>
      <c r="G517" s="340"/>
      <c r="H517" s="340"/>
      <c r="I517" s="194"/>
      <c r="J517" s="194"/>
      <c r="K517" s="194"/>
      <c r="L517" s="648"/>
      <c r="M517" s="194"/>
      <c r="N517" s="194"/>
      <c r="O517" s="423"/>
      <c r="P517" s="194"/>
      <c r="S517" s="193"/>
      <c r="T517" s="193"/>
      <c r="U517" s="193"/>
      <c r="V517" s="193"/>
      <c r="W517" s="193"/>
      <c r="X517" s="193"/>
      <c r="Y517" s="503"/>
      <c r="Z517" s="193"/>
    </row>
    <row r="518" spans="1:26">
      <c r="A518" s="362"/>
      <c r="B518" s="340"/>
      <c r="C518" s="340"/>
      <c r="D518" s="340"/>
      <c r="E518" s="340"/>
      <c r="F518" s="340"/>
      <c r="G518" s="340"/>
      <c r="H518" s="340"/>
      <c r="I518" s="194"/>
      <c r="J518" s="194"/>
      <c r="K518" s="194"/>
      <c r="L518" s="648"/>
      <c r="M518" s="194"/>
      <c r="N518" s="194"/>
      <c r="O518" s="423"/>
      <c r="P518" s="194"/>
      <c r="S518" s="193"/>
      <c r="T518" s="193"/>
      <c r="U518" s="193"/>
      <c r="V518" s="193"/>
      <c r="W518" s="193"/>
      <c r="X518" s="193"/>
      <c r="Y518" s="503"/>
      <c r="Z518" s="193"/>
    </row>
    <row r="519" spans="1:26">
      <c r="A519" s="362"/>
      <c r="B519" s="340"/>
      <c r="C519" s="340"/>
      <c r="D519" s="340"/>
      <c r="E519" s="340"/>
      <c r="F519" s="340"/>
      <c r="G519" s="340"/>
      <c r="H519" s="340"/>
      <c r="I519" s="194"/>
      <c r="J519" s="194"/>
      <c r="K519" s="194"/>
      <c r="L519" s="648"/>
      <c r="M519" s="194"/>
      <c r="N519" s="194"/>
      <c r="O519" s="423"/>
      <c r="P519" s="194"/>
      <c r="S519" s="193"/>
      <c r="T519" s="193"/>
      <c r="U519" s="193"/>
      <c r="V519" s="193"/>
      <c r="W519" s="193"/>
      <c r="X519" s="193"/>
      <c r="Y519" s="503"/>
      <c r="Z519" s="193"/>
    </row>
    <row r="520" spans="1:26">
      <c r="A520" s="362"/>
      <c r="B520" s="340"/>
      <c r="C520" s="340"/>
      <c r="D520" s="340"/>
      <c r="E520" s="340"/>
      <c r="F520" s="340"/>
      <c r="G520" s="340"/>
      <c r="H520" s="340"/>
      <c r="I520" s="194"/>
      <c r="J520" s="194"/>
      <c r="K520" s="194"/>
      <c r="L520" s="648"/>
      <c r="M520" s="194"/>
      <c r="N520" s="194"/>
      <c r="O520" s="423"/>
      <c r="P520" s="194"/>
      <c r="S520" s="193"/>
      <c r="T520" s="193"/>
      <c r="U520" s="193"/>
      <c r="V520" s="193"/>
      <c r="W520" s="193"/>
      <c r="X520" s="193"/>
      <c r="Y520" s="503"/>
      <c r="Z520" s="193"/>
    </row>
    <row r="521" spans="1:26">
      <c r="A521" s="362"/>
      <c r="B521" s="340"/>
      <c r="C521" s="340"/>
      <c r="D521" s="340"/>
      <c r="E521" s="340"/>
      <c r="F521" s="340"/>
      <c r="G521" s="340"/>
      <c r="H521" s="340"/>
      <c r="I521" s="194"/>
      <c r="J521" s="194"/>
      <c r="K521" s="194"/>
      <c r="L521" s="648"/>
      <c r="M521" s="194"/>
      <c r="N521" s="194"/>
      <c r="O521" s="423"/>
      <c r="P521" s="194"/>
      <c r="S521" s="193"/>
      <c r="T521" s="193"/>
      <c r="U521" s="193"/>
      <c r="V521" s="193"/>
      <c r="W521" s="193"/>
      <c r="X521" s="193"/>
      <c r="Y521" s="503"/>
      <c r="Z521" s="193"/>
    </row>
    <row r="522" spans="1:26">
      <c r="A522" s="362"/>
      <c r="B522" s="340"/>
      <c r="C522" s="340"/>
      <c r="D522" s="340"/>
      <c r="E522" s="340"/>
      <c r="F522" s="340"/>
      <c r="G522" s="340"/>
      <c r="H522" s="340"/>
      <c r="I522" s="194"/>
      <c r="J522" s="194"/>
      <c r="K522" s="194"/>
      <c r="L522" s="648"/>
      <c r="M522" s="194"/>
      <c r="N522" s="194"/>
      <c r="O522" s="423"/>
      <c r="P522" s="194"/>
      <c r="S522" s="193"/>
      <c r="T522" s="193"/>
      <c r="U522" s="193"/>
      <c r="V522" s="193"/>
      <c r="W522" s="193"/>
      <c r="X522" s="193"/>
      <c r="Y522" s="503"/>
      <c r="Z522" s="193"/>
    </row>
    <row r="523" spans="1:26">
      <c r="A523" s="362"/>
      <c r="B523" s="340"/>
      <c r="C523" s="340"/>
      <c r="D523" s="340"/>
      <c r="E523" s="340"/>
      <c r="F523" s="340"/>
      <c r="G523" s="340"/>
      <c r="H523" s="340"/>
      <c r="I523" s="194"/>
      <c r="J523" s="194"/>
      <c r="K523" s="194"/>
      <c r="L523" s="648"/>
      <c r="M523" s="194"/>
      <c r="N523" s="194"/>
      <c r="O523" s="423"/>
      <c r="P523" s="194"/>
      <c r="S523" s="193"/>
      <c r="T523" s="193"/>
      <c r="U523" s="193"/>
      <c r="V523" s="193"/>
      <c r="W523" s="193"/>
      <c r="X523" s="193"/>
      <c r="Y523" s="503"/>
      <c r="Z523" s="193"/>
    </row>
    <row r="524" spans="1:26">
      <c r="A524" s="362"/>
      <c r="B524" s="340"/>
      <c r="C524" s="340"/>
      <c r="D524" s="340"/>
      <c r="E524" s="340"/>
      <c r="F524" s="340"/>
      <c r="G524" s="340"/>
      <c r="H524" s="340"/>
      <c r="I524" s="194"/>
      <c r="J524" s="194"/>
      <c r="K524" s="194"/>
      <c r="L524" s="648"/>
      <c r="M524" s="194"/>
      <c r="N524" s="194"/>
      <c r="O524" s="423"/>
      <c r="P524" s="194"/>
      <c r="S524" s="193"/>
      <c r="T524" s="193"/>
      <c r="U524" s="193"/>
      <c r="V524" s="193"/>
      <c r="W524" s="193"/>
      <c r="X524" s="193"/>
      <c r="Y524" s="503"/>
      <c r="Z524" s="193"/>
    </row>
    <row r="525" spans="1:26">
      <c r="A525" s="362"/>
      <c r="B525" s="340"/>
      <c r="C525" s="340"/>
      <c r="D525" s="340"/>
      <c r="E525" s="340"/>
      <c r="F525" s="340"/>
      <c r="G525" s="340"/>
      <c r="H525" s="340"/>
      <c r="I525" s="194"/>
      <c r="J525" s="194"/>
      <c r="K525" s="194"/>
      <c r="L525" s="648"/>
      <c r="M525" s="194"/>
      <c r="N525" s="194"/>
      <c r="O525" s="423"/>
      <c r="P525" s="194"/>
      <c r="S525" s="193"/>
      <c r="T525" s="193"/>
      <c r="U525" s="193"/>
      <c r="V525" s="193"/>
      <c r="W525" s="193"/>
      <c r="X525" s="193"/>
      <c r="Y525" s="503"/>
      <c r="Z525" s="193"/>
    </row>
    <row r="526" spans="1:26">
      <c r="A526" s="362"/>
      <c r="B526" s="340"/>
      <c r="C526" s="340"/>
      <c r="D526" s="340"/>
      <c r="E526" s="340"/>
      <c r="F526" s="340"/>
      <c r="G526" s="340"/>
      <c r="H526" s="340"/>
      <c r="I526" s="194"/>
      <c r="J526" s="194"/>
      <c r="K526" s="194"/>
      <c r="L526" s="648"/>
      <c r="M526" s="194"/>
      <c r="N526" s="194"/>
      <c r="O526" s="423"/>
      <c r="P526" s="194"/>
      <c r="S526" s="193"/>
      <c r="T526" s="193"/>
      <c r="U526" s="193"/>
      <c r="V526" s="193"/>
      <c r="W526" s="193"/>
      <c r="X526" s="193"/>
      <c r="Y526" s="503"/>
      <c r="Z526" s="193"/>
    </row>
    <row r="527" spans="1:26">
      <c r="A527" s="362"/>
      <c r="B527" s="340"/>
      <c r="C527" s="340"/>
      <c r="D527" s="340"/>
      <c r="E527" s="340"/>
      <c r="F527" s="340"/>
      <c r="G527" s="340"/>
      <c r="H527" s="340"/>
      <c r="I527" s="194"/>
      <c r="J527" s="194"/>
      <c r="K527" s="194"/>
      <c r="L527" s="648"/>
      <c r="M527" s="194"/>
      <c r="N527" s="194"/>
      <c r="O527" s="423"/>
      <c r="P527" s="194"/>
      <c r="S527" s="193"/>
      <c r="T527" s="193"/>
      <c r="U527" s="193"/>
      <c r="V527" s="193"/>
      <c r="W527" s="193"/>
      <c r="X527" s="193"/>
      <c r="Y527" s="503"/>
      <c r="Z527" s="193"/>
    </row>
    <row r="528" spans="1:26">
      <c r="A528" s="362"/>
      <c r="B528" s="340"/>
      <c r="C528" s="340"/>
      <c r="D528" s="340"/>
      <c r="E528" s="340"/>
      <c r="F528" s="340"/>
      <c r="G528" s="340"/>
      <c r="H528" s="340"/>
      <c r="I528" s="194"/>
      <c r="J528" s="194"/>
      <c r="K528" s="194"/>
      <c r="L528" s="648"/>
      <c r="M528" s="194"/>
      <c r="N528" s="194"/>
      <c r="O528" s="423"/>
      <c r="P528" s="194"/>
      <c r="S528" s="193"/>
      <c r="T528" s="193"/>
      <c r="U528" s="193"/>
      <c r="V528" s="193"/>
      <c r="W528" s="193"/>
      <c r="X528" s="193"/>
      <c r="Y528" s="503"/>
      <c r="Z528" s="193"/>
    </row>
    <row r="529" spans="1:26">
      <c r="A529" s="362"/>
      <c r="B529" s="340"/>
      <c r="C529" s="340"/>
      <c r="D529" s="340"/>
      <c r="E529" s="340"/>
      <c r="F529" s="340"/>
      <c r="G529" s="340"/>
      <c r="H529" s="340"/>
      <c r="I529" s="194"/>
      <c r="J529" s="194"/>
      <c r="K529" s="194"/>
      <c r="L529" s="648"/>
      <c r="M529" s="194"/>
      <c r="N529" s="194"/>
      <c r="O529" s="423"/>
      <c r="P529" s="194"/>
      <c r="S529" s="193"/>
      <c r="T529" s="193"/>
      <c r="U529" s="193"/>
      <c r="V529" s="193"/>
      <c r="W529" s="193"/>
      <c r="X529" s="193"/>
      <c r="Y529" s="503"/>
      <c r="Z529" s="193"/>
    </row>
    <row r="530" spans="1:26">
      <c r="A530" s="362"/>
      <c r="B530" s="340"/>
      <c r="C530" s="340"/>
      <c r="D530" s="340"/>
      <c r="E530" s="340"/>
      <c r="F530" s="340"/>
      <c r="G530" s="340"/>
      <c r="H530" s="340"/>
      <c r="I530" s="194"/>
      <c r="J530" s="194"/>
      <c r="K530" s="194"/>
      <c r="L530" s="648"/>
      <c r="M530" s="194"/>
      <c r="N530" s="194"/>
      <c r="O530" s="423"/>
      <c r="P530" s="194"/>
      <c r="S530" s="193"/>
      <c r="T530" s="193"/>
      <c r="U530" s="193"/>
      <c r="V530" s="193"/>
      <c r="W530" s="193"/>
      <c r="X530" s="193"/>
      <c r="Y530" s="503"/>
      <c r="Z530" s="193"/>
    </row>
    <row r="531" spans="1:26">
      <c r="A531" s="362"/>
      <c r="B531" s="340"/>
      <c r="C531" s="340"/>
      <c r="D531" s="340"/>
      <c r="E531" s="340"/>
      <c r="F531" s="340"/>
      <c r="G531" s="340"/>
      <c r="H531" s="340"/>
      <c r="I531" s="194"/>
      <c r="J531" s="194"/>
      <c r="K531" s="194"/>
      <c r="L531" s="648"/>
      <c r="M531" s="194"/>
      <c r="N531" s="194"/>
      <c r="O531" s="423"/>
      <c r="P531" s="194"/>
      <c r="S531" s="193"/>
      <c r="T531" s="193"/>
      <c r="U531" s="193"/>
      <c r="V531" s="193"/>
      <c r="W531" s="193"/>
      <c r="X531" s="193"/>
      <c r="Y531" s="503"/>
      <c r="Z531" s="193"/>
    </row>
    <row r="532" spans="1:26">
      <c r="A532" s="362"/>
      <c r="B532" s="340"/>
      <c r="C532" s="340"/>
      <c r="D532" s="340"/>
      <c r="E532" s="340"/>
      <c r="F532" s="340"/>
      <c r="G532" s="340"/>
      <c r="H532" s="340"/>
      <c r="I532" s="194"/>
      <c r="J532" s="194"/>
      <c r="K532" s="194"/>
      <c r="L532" s="648"/>
      <c r="M532" s="194"/>
      <c r="N532" s="194"/>
      <c r="O532" s="423"/>
      <c r="P532" s="194"/>
      <c r="S532" s="193"/>
      <c r="T532" s="193"/>
      <c r="U532" s="193"/>
      <c r="V532" s="193"/>
      <c r="W532" s="193"/>
      <c r="X532" s="193"/>
      <c r="Y532" s="503"/>
      <c r="Z532" s="193"/>
    </row>
    <row r="533" spans="1:26">
      <c r="A533" s="362"/>
      <c r="B533" s="340"/>
      <c r="C533" s="340"/>
      <c r="D533" s="340"/>
      <c r="E533" s="340"/>
      <c r="F533" s="340"/>
      <c r="G533" s="340"/>
      <c r="H533" s="340"/>
      <c r="I533" s="194"/>
      <c r="J533" s="194"/>
      <c r="K533" s="194"/>
      <c r="L533" s="648"/>
      <c r="M533" s="194"/>
      <c r="N533" s="194"/>
      <c r="O533" s="423"/>
      <c r="P533" s="194"/>
      <c r="S533" s="193"/>
      <c r="T533" s="193"/>
      <c r="U533" s="193"/>
      <c r="V533" s="193"/>
      <c r="W533" s="193"/>
      <c r="X533" s="193"/>
      <c r="Y533" s="503"/>
      <c r="Z533" s="193"/>
    </row>
    <row r="534" spans="1:26">
      <c r="A534" s="362"/>
      <c r="B534" s="340"/>
      <c r="C534" s="340"/>
      <c r="D534" s="340"/>
      <c r="E534" s="340"/>
      <c r="F534" s="340"/>
      <c r="G534" s="340"/>
      <c r="H534" s="340"/>
      <c r="I534" s="194"/>
      <c r="J534" s="194"/>
      <c r="K534" s="194"/>
      <c r="L534" s="648"/>
      <c r="M534" s="194"/>
      <c r="N534" s="194"/>
      <c r="O534" s="423"/>
      <c r="P534" s="194"/>
      <c r="S534" s="193"/>
      <c r="T534" s="193"/>
      <c r="U534" s="193"/>
      <c r="V534" s="193"/>
      <c r="W534" s="193"/>
      <c r="X534" s="193"/>
      <c r="Y534" s="503"/>
      <c r="Z534" s="193"/>
    </row>
    <row r="535" spans="1:26">
      <c r="A535" s="362"/>
      <c r="B535" s="340"/>
      <c r="C535" s="340"/>
      <c r="D535" s="340"/>
      <c r="E535" s="340"/>
      <c r="F535" s="340"/>
      <c r="G535" s="340"/>
      <c r="H535" s="340"/>
      <c r="I535" s="194"/>
      <c r="J535" s="194"/>
      <c r="K535" s="194"/>
      <c r="L535" s="648"/>
      <c r="M535" s="194"/>
      <c r="N535" s="194"/>
      <c r="O535" s="423"/>
      <c r="P535" s="194"/>
      <c r="S535" s="193"/>
      <c r="T535" s="193"/>
      <c r="U535" s="193"/>
      <c r="V535" s="193"/>
      <c r="W535" s="193"/>
      <c r="X535" s="193"/>
      <c r="Y535" s="503"/>
      <c r="Z535" s="193"/>
    </row>
    <row r="536" spans="1:26">
      <c r="A536" s="362"/>
      <c r="B536" s="340"/>
      <c r="C536" s="340"/>
      <c r="D536" s="340"/>
      <c r="E536" s="340"/>
      <c r="F536" s="340"/>
      <c r="G536" s="340"/>
      <c r="H536" s="340"/>
      <c r="I536" s="194"/>
      <c r="J536" s="194"/>
      <c r="K536" s="194"/>
      <c r="L536" s="648"/>
      <c r="M536" s="194"/>
      <c r="N536" s="194"/>
      <c r="O536" s="423"/>
      <c r="P536" s="194"/>
      <c r="S536" s="193"/>
      <c r="T536" s="193"/>
      <c r="U536" s="193"/>
      <c r="V536" s="193"/>
      <c r="W536" s="193"/>
      <c r="X536" s="193"/>
      <c r="Y536" s="503"/>
      <c r="Z536" s="193"/>
    </row>
    <row r="537" spans="1:26">
      <c r="A537" s="362"/>
      <c r="B537" s="340"/>
      <c r="C537" s="340"/>
      <c r="D537" s="340"/>
      <c r="E537" s="340"/>
      <c r="F537" s="340"/>
      <c r="G537" s="340"/>
      <c r="H537" s="340"/>
      <c r="I537" s="194"/>
      <c r="J537" s="194"/>
      <c r="K537" s="194"/>
      <c r="L537" s="648"/>
      <c r="M537" s="194"/>
      <c r="N537" s="194"/>
      <c r="O537" s="423"/>
      <c r="P537" s="194"/>
      <c r="S537" s="193"/>
      <c r="T537" s="193"/>
      <c r="U537" s="193"/>
      <c r="V537" s="193"/>
      <c r="W537" s="193"/>
      <c r="X537" s="193"/>
      <c r="Y537" s="503"/>
      <c r="Z537" s="193"/>
    </row>
    <row r="538" spans="1:26">
      <c r="A538" s="362"/>
      <c r="B538" s="340"/>
      <c r="C538" s="340"/>
      <c r="D538" s="340"/>
      <c r="E538" s="340"/>
      <c r="F538" s="340"/>
      <c r="G538" s="340"/>
      <c r="H538" s="340"/>
      <c r="I538" s="194"/>
      <c r="J538" s="194"/>
      <c r="K538" s="194"/>
      <c r="L538" s="648"/>
      <c r="M538" s="194"/>
      <c r="N538" s="194"/>
      <c r="O538" s="423"/>
      <c r="P538" s="194"/>
      <c r="S538" s="193"/>
      <c r="T538" s="193"/>
      <c r="U538" s="193"/>
      <c r="V538" s="193"/>
      <c r="W538" s="193"/>
      <c r="X538" s="193"/>
      <c r="Y538" s="503"/>
      <c r="Z538" s="193"/>
    </row>
    <row r="539" spans="1:26">
      <c r="A539" s="362"/>
      <c r="B539" s="340"/>
      <c r="C539" s="340"/>
      <c r="D539" s="340"/>
      <c r="E539" s="340"/>
      <c r="F539" s="340"/>
      <c r="G539" s="340"/>
      <c r="H539" s="340"/>
      <c r="I539" s="194"/>
      <c r="J539" s="194"/>
      <c r="K539" s="194"/>
      <c r="L539" s="648"/>
      <c r="M539" s="194"/>
      <c r="N539" s="194"/>
      <c r="O539" s="423"/>
      <c r="P539" s="194"/>
      <c r="S539" s="193"/>
      <c r="T539" s="193"/>
      <c r="U539" s="193"/>
      <c r="V539" s="193"/>
      <c r="W539" s="193"/>
      <c r="X539" s="193"/>
      <c r="Y539" s="503"/>
      <c r="Z539" s="193"/>
    </row>
    <row r="540" spans="1:26">
      <c r="A540" s="362"/>
      <c r="B540" s="340"/>
      <c r="C540" s="340"/>
      <c r="D540" s="340"/>
      <c r="E540" s="340"/>
      <c r="F540" s="340"/>
      <c r="G540" s="340"/>
      <c r="H540" s="340"/>
      <c r="I540" s="194"/>
      <c r="J540" s="194"/>
      <c r="K540" s="194"/>
      <c r="L540" s="648"/>
      <c r="M540" s="194"/>
      <c r="N540" s="194"/>
      <c r="O540" s="423"/>
      <c r="P540" s="194"/>
      <c r="S540" s="193"/>
      <c r="T540" s="193"/>
      <c r="U540" s="193"/>
      <c r="V540" s="193"/>
      <c r="W540" s="193"/>
      <c r="X540" s="193"/>
      <c r="Y540" s="503"/>
      <c r="Z540" s="193"/>
    </row>
    <row r="541" spans="1:26">
      <c r="A541" s="362"/>
      <c r="B541" s="340"/>
      <c r="C541" s="340"/>
      <c r="D541" s="340"/>
      <c r="E541" s="340"/>
      <c r="F541" s="340"/>
      <c r="G541" s="340"/>
      <c r="H541" s="340"/>
      <c r="I541" s="194"/>
      <c r="J541" s="194"/>
      <c r="K541" s="194"/>
      <c r="L541" s="648"/>
      <c r="M541" s="194"/>
      <c r="N541" s="194"/>
      <c r="O541" s="423"/>
      <c r="P541" s="194"/>
      <c r="S541" s="193"/>
      <c r="T541" s="193"/>
      <c r="U541" s="193"/>
      <c r="V541" s="193"/>
      <c r="W541" s="193"/>
      <c r="X541" s="193"/>
      <c r="Y541" s="503"/>
      <c r="Z541" s="193"/>
    </row>
    <row r="542" spans="1:26">
      <c r="A542" s="362"/>
      <c r="B542" s="340"/>
      <c r="C542" s="340"/>
      <c r="D542" s="340"/>
      <c r="E542" s="340"/>
      <c r="F542" s="340"/>
      <c r="G542" s="340"/>
      <c r="H542" s="340"/>
      <c r="I542" s="194"/>
      <c r="J542" s="194"/>
      <c r="K542" s="194"/>
      <c r="L542" s="648"/>
      <c r="M542" s="194"/>
      <c r="N542" s="194"/>
      <c r="O542" s="423"/>
      <c r="P542" s="194"/>
      <c r="S542" s="193"/>
      <c r="T542" s="193"/>
      <c r="U542" s="193"/>
      <c r="V542" s="193"/>
      <c r="W542" s="193"/>
      <c r="X542" s="193"/>
      <c r="Y542" s="503"/>
      <c r="Z542" s="193"/>
    </row>
    <row r="543" spans="1:26">
      <c r="A543" s="362"/>
      <c r="B543" s="340"/>
      <c r="C543" s="340"/>
      <c r="D543" s="340"/>
      <c r="E543" s="340"/>
      <c r="F543" s="340"/>
      <c r="G543" s="340"/>
      <c r="H543" s="340"/>
      <c r="I543" s="194"/>
      <c r="J543" s="194"/>
      <c r="K543" s="194"/>
      <c r="L543" s="648"/>
      <c r="M543" s="194"/>
      <c r="N543" s="194"/>
      <c r="O543" s="423"/>
      <c r="P543" s="194"/>
      <c r="S543" s="193"/>
      <c r="T543" s="193"/>
      <c r="U543" s="193"/>
      <c r="V543" s="193"/>
      <c r="W543" s="193"/>
      <c r="X543" s="193"/>
      <c r="Y543" s="503"/>
      <c r="Z543" s="193"/>
    </row>
    <row r="544" spans="1:26">
      <c r="A544" s="362"/>
      <c r="B544" s="340"/>
      <c r="C544" s="340"/>
      <c r="D544" s="340"/>
      <c r="E544" s="340"/>
      <c r="F544" s="340"/>
      <c r="G544" s="340"/>
      <c r="H544" s="340"/>
      <c r="I544" s="194"/>
      <c r="J544" s="194"/>
      <c r="K544" s="194"/>
      <c r="L544" s="648"/>
      <c r="M544" s="194"/>
      <c r="N544" s="194"/>
      <c r="O544" s="423"/>
      <c r="P544" s="194"/>
      <c r="S544" s="193"/>
      <c r="T544" s="193"/>
      <c r="U544" s="193"/>
      <c r="V544" s="193"/>
      <c r="W544" s="193"/>
      <c r="X544" s="193"/>
      <c r="Y544" s="503"/>
      <c r="Z544" s="193"/>
    </row>
    <row r="545" spans="1:26">
      <c r="A545" s="362"/>
      <c r="B545" s="340"/>
      <c r="C545" s="340"/>
      <c r="D545" s="340"/>
      <c r="E545" s="340"/>
      <c r="F545" s="340"/>
      <c r="G545" s="340"/>
      <c r="H545" s="340"/>
      <c r="I545" s="194"/>
      <c r="J545" s="194"/>
      <c r="K545" s="194"/>
      <c r="L545" s="648"/>
      <c r="M545" s="194"/>
      <c r="N545" s="194"/>
      <c r="O545" s="423"/>
      <c r="P545" s="194"/>
      <c r="S545" s="193"/>
      <c r="T545" s="193"/>
      <c r="U545" s="193"/>
      <c r="V545" s="193"/>
      <c r="W545" s="193"/>
      <c r="X545" s="193"/>
      <c r="Y545" s="503"/>
      <c r="Z545" s="193"/>
    </row>
    <row r="546" spans="1:26">
      <c r="A546" s="362"/>
      <c r="B546" s="340"/>
      <c r="C546" s="340"/>
      <c r="D546" s="340"/>
      <c r="E546" s="340"/>
      <c r="F546" s="340"/>
      <c r="G546" s="340"/>
      <c r="H546" s="340"/>
      <c r="I546" s="194"/>
      <c r="J546" s="194"/>
      <c r="K546" s="194"/>
      <c r="L546" s="648"/>
      <c r="M546" s="194"/>
      <c r="N546" s="194"/>
      <c r="O546" s="423"/>
      <c r="P546" s="194"/>
      <c r="S546" s="193"/>
      <c r="T546" s="193"/>
      <c r="U546" s="193"/>
      <c r="V546" s="193"/>
      <c r="W546" s="193"/>
      <c r="X546" s="193"/>
      <c r="Y546" s="503"/>
      <c r="Z546" s="193"/>
    </row>
    <row r="547" spans="1:26">
      <c r="A547" s="362"/>
      <c r="B547" s="340"/>
      <c r="C547" s="340"/>
      <c r="D547" s="340"/>
      <c r="E547" s="340"/>
      <c r="F547" s="340"/>
      <c r="G547" s="340"/>
      <c r="H547" s="340"/>
      <c r="I547" s="194"/>
      <c r="J547" s="194"/>
      <c r="K547" s="194"/>
      <c r="L547" s="648"/>
      <c r="M547" s="194"/>
      <c r="N547" s="194"/>
      <c r="O547" s="423"/>
      <c r="P547" s="194"/>
      <c r="S547" s="193"/>
      <c r="T547" s="193"/>
      <c r="U547" s="193"/>
      <c r="V547" s="193"/>
      <c r="W547" s="193"/>
      <c r="X547" s="193"/>
      <c r="Y547" s="503"/>
      <c r="Z547" s="193"/>
    </row>
    <row r="548" spans="1:26">
      <c r="A548" s="362"/>
      <c r="B548" s="340"/>
      <c r="C548" s="340"/>
      <c r="D548" s="340"/>
      <c r="E548" s="340"/>
      <c r="F548" s="340"/>
      <c r="G548" s="340"/>
      <c r="H548" s="340"/>
      <c r="I548" s="194"/>
      <c r="J548" s="194"/>
      <c r="K548" s="194"/>
      <c r="L548" s="648"/>
      <c r="M548" s="194"/>
      <c r="N548" s="194"/>
      <c r="O548" s="423"/>
      <c r="P548" s="194"/>
      <c r="S548" s="193"/>
      <c r="T548" s="193"/>
      <c r="U548" s="193"/>
      <c r="V548" s="193"/>
      <c r="W548" s="193"/>
      <c r="X548" s="193"/>
      <c r="Y548" s="503"/>
      <c r="Z548" s="193"/>
    </row>
    <row r="549" spans="1:26">
      <c r="A549" s="362"/>
      <c r="B549" s="340"/>
      <c r="C549" s="340"/>
      <c r="D549" s="340"/>
      <c r="E549" s="340"/>
      <c r="F549" s="340"/>
      <c r="G549" s="340"/>
      <c r="H549" s="340"/>
      <c r="I549" s="194"/>
      <c r="J549" s="194"/>
      <c r="K549" s="194"/>
      <c r="L549" s="648"/>
      <c r="M549" s="194"/>
      <c r="N549" s="194"/>
      <c r="O549" s="423"/>
      <c r="P549" s="194"/>
      <c r="S549" s="193"/>
      <c r="T549" s="193"/>
      <c r="U549" s="193"/>
      <c r="V549" s="193"/>
      <c r="W549" s="193"/>
      <c r="X549" s="193"/>
      <c r="Y549" s="503"/>
      <c r="Z549" s="193"/>
    </row>
    <row r="550" spans="1:26">
      <c r="A550" s="362"/>
      <c r="B550" s="340"/>
      <c r="C550" s="340"/>
      <c r="D550" s="340"/>
      <c r="E550" s="340"/>
      <c r="F550" s="340"/>
      <c r="G550" s="340"/>
      <c r="H550" s="340"/>
      <c r="I550" s="194"/>
      <c r="J550" s="194"/>
      <c r="K550" s="194"/>
      <c r="L550" s="648"/>
      <c r="M550" s="194"/>
      <c r="N550" s="194"/>
      <c r="O550" s="423"/>
      <c r="P550" s="194"/>
      <c r="S550" s="193"/>
      <c r="T550" s="193"/>
      <c r="U550" s="193"/>
      <c r="V550" s="193"/>
      <c r="W550" s="193"/>
      <c r="X550" s="193"/>
      <c r="Y550" s="503"/>
      <c r="Z550" s="193"/>
    </row>
    <row r="551" spans="1:26">
      <c r="A551" s="362"/>
      <c r="B551" s="340"/>
      <c r="C551" s="340"/>
      <c r="D551" s="340"/>
      <c r="E551" s="340"/>
      <c r="F551" s="340"/>
      <c r="G551" s="340"/>
      <c r="H551" s="340"/>
      <c r="I551" s="194"/>
      <c r="J551" s="194"/>
      <c r="K551" s="194"/>
      <c r="L551" s="648"/>
      <c r="M551" s="194"/>
      <c r="N551" s="194"/>
      <c r="O551" s="423"/>
      <c r="P551" s="194"/>
      <c r="S551" s="193"/>
      <c r="T551" s="193"/>
      <c r="U551" s="193"/>
      <c r="V551" s="193"/>
      <c r="W551" s="193"/>
      <c r="X551" s="193"/>
      <c r="Y551" s="503"/>
      <c r="Z551" s="193"/>
    </row>
    <row r="552" spans="1:26">
      <c r="A552" s="362"/>
      <c r="B552" s="340"/>
      <c r="C552" s="340"/>
      <c r="D552" s="340"/>
      <c r="E552" s="340"/>
      <c r="F552" s="340"/>
      <c r="G552" s="340"/>
      <c r="H552" s="340"/>
      <c r="I552" s="194"/>
      <c r="J552" s="194"/>
      <c r="K552" s="194"/>
      <c r="L552" s="648"/>
      <c r="M552" s="194"/>
      <c r="N552" s="194"/>
      <c r="O552" s="423"/>
      <c r="P552" s="194"/>
      <c r="S552" s="193"/>
      <c r="T552" s="193"/>
      <c r="U552" s="193"/>
      <c r="V552" s="193"/>
      <c r="W552" s="193"/>
      <c r="X552" s="193"/>
      <c r="Y552" s="503"/>
      <c r="Z552" s="193"/>
    </row>
    <row r="553" spans="1:26">
      <c r="A553" s="362"/>
      <c r="B553" s="340"/>
      <c r="C553" s="340"/>
      <c r="D553" s="340"/>
      <c r="E553" s="340"/>
      <c r="F553" s="340"/>
      <c r="G553" s="340"/>
      <c r="H553" s="340"/>
      <c r="I553" s="194"/>
      <c r="J553" s="194"/>
      <c r="K553" s="194"/>
      <c r="L553" s="648"/>
      <c r="M553" s="194"/>
      <c r="N553" s="194"/>
      <c r="O553" s="423"/>
      <c r="P553" s="194"/>
      <c r="S553" s="193"/>
      <c r="T553" s="193"/>
      <c r="U553" s="193"/>
      <c r="V553" s="193"/>
      <c r="W553" s="193"/>
      <c r="X553" s="193"/>
      <c r="Y553" s="503"/>
      <c r="Z553" s="193"/>
    </row>
    <row r="554" spans="1:26">
      <c r="A554" s="362"/>
      <c r="B554" s="340"/>
      <c r="C554" s="340"/>
      <c r="D554" s="340"/>
      <c r="E554" s="340"/>
      <c r="F554" s="340"/>
      <c r="G554" s="340"/>
      <c r="H554" s="340"/>
      <c r="I554" s="194"/>
      <c r="J554" s="194"/>
      <c r="K554" s="194"/>
      <c r="L554" s="648"/>
      <c r="M554" s="194"/>
      <c r="N554" s="194"/>
      <c r="O554" s="423"/>
      <c r="P554" s="194"/>
      <c r="S554" s="193"/>
      <c r="T554" s="193"/>
      <c r="U554" s="193"/>
      <c r="V554" s="193"/>
      <c r="W554" s="193"/>
      <c r="X554" s="193"/>
      <c r="Y554" s="503"/>
      <c r="Z554" s="193"/>
    </row>
    <row r="555" spans="1:26">
      <c r="A555" s="362"/>
      <c r="B555" s="340"/>
      <c r="C555" s="340"/>
      <c r="D555" s="340"/>
      <c r="E555" s="340"/>
      <c r="F555" s="340"/>
      <c r="G555" s="340"/>
      <c r="H555" s="340"/>
      <c r="I555" s="194"/>
      <c r="J555" s="194"/>
      <c r="K555" s="194"/>
      <c r="L555" s="648"/>
      <c r="M555" s="194"/>
      <c r="N555" s="194"/>
      <c r="O555" s="423"/>
      <c r="P555" s="194"/>
      <c r="S555" s="193"/>
      <c r="T555" s="193"/>
      <c r="U555" s="193"/>
      <c r="V555" s="193"/>
      <c r="W555" s="193"/>
      <c r="X555" s="193"/>
      <c r="Y555" s="503"/>
      <c r="Z555" s="193"/>
    </row>
    <row r="556" spans="1:26">
      <c r="A556" s="362"/>
      <c r="B556" s="340"/>
      <c r="C556" s="340"/>
      <c r="D556" s="340"/>
      <c r="E556" s="340"/>
      <c r="F556" s="340"/>
      <c r="G556" s="340"/>
      <c r="H556" s="340"/>
      <c r="I556" s="194"/>
      <c r="J556" s="194"/>
      <c r="K556" s="194"/>
      <c r="L556" s="648"/>
      <c r="M556" s="194"/>
      <c r="N556" s="194"/>
      <c r="O556" s="423"/>
      <c r="P556" s="194"/>
      <c r="S556" s="193"/>
      <c r="T556" s="193"/>
      <c r="U556" s="193"/>
      <c r="V556" s="193"/>
      <c r="W556" s="193"/>
      <c r="X556" s="193"/>
      <c r="Y556" s="503"/>
      <c r="Z556" s="193"/>
    </row>
    <row r="557" spans="1:26">
      <c r="A557" s="362"/>
      <c r="B557" s="340"/>
      <c r="C557" s="340"/>
      <c r="D557" s="340"/>
      <c r="E557" s="340"/>
      <c r="F557" s="340"/>
      <c r="G557" s="340"/>
      <c r="H557" s="340"/>
      <c r="I557" s="194"/>
      <c r="J557" s="194"/>
      <c r="K557" s="194"/>
      <c r="L557" s="648"/>
      <c r="M557" s="194"/>
      <c r="N557" s="194"/>
      <c r="O557" s="423"/>
      <c r="P557" s="194"/>
      <c r="S557" s="193"/>
      <c r="T557" s="193"/>
      <c r="U557" s="193"/>
      <c r="V557" s="193"/>
      <c r="W557" s="193"/>
      <c r="X557" s="193"/>
      <c r="Y557" s="503"/>
      <c r="Z557" s="193"/>
    </row>
    <row r="558" spans="1:26">
      <c r="A558" s="362"/>
      <c r="B558" s="340"/>
      <c r="C558" s="340"/>
      <c r="D558" s="340"/>
      <c r="E558" s="340"/>
      <c r="F558" s="340"/>
      <c r="G558" s="340"/>
      <c r="H558" s="340"/>
      <c r="I558" s="194"/>
      <c r="J558" s="194"/>
      <c r="K558" s="194"/>
      <c r="L558" s="648"/>
      <c r="M558" s="194"/>
      <c r="N558" s="194"/>
      <c r="O558" s="423"/>
      <c r="P558" s="194"/>
      <c r="S558" s="193"/>
      <c r="T558" s="193"/>
      <c r="U558" s="193"/>
      <c r="V558" s="193"/>
      <c r="W558" s="193"/>
      <c r="X558" s="193"/>
      <c r="Y558" s="503"/>
      <c r="Z558" s="193"/>
    </row>
    <row r="559" spans="1:26">
      <c r="A559" s="362"/>
      <c r="B559" s="340"/>
      <c r="C559" s="340"/>
      <c r="D559" s="340"/>
      <c r="E559" s="340"/>
      <c r="F559" s="340"/>
      <c r="G559" s="340"/>
      <c r="H559" s="340"/>
      <c r="I559" s="194"/>
      <c r="J559" s="194"/>
      <c r="K559" s="194"/>
      <c r="L559" s="648"/>
      <c r="M559" s="194"/>
      <c r="N559" s="194"/>
      <c r="O559" s="423"/>
      <c r="P559" s="194"/>
      <c r="S559" s="193"/>
      <c r="T559" s="193"/>
      <c r="U559" s="193"/>
      <c r="V559" s="193"/>
      <c r="W559" s="193"/>
      <c r="X559" s="193"/>
      <c r="Y559" s="503"/>
      <c r="Z559" s="193"/>
    </row>
    <row r="560" spans="1:26">
      <c r="A560" s="362"/>
      <c r="B560" s="340"/>
      <c r="C560" s="340"/>
      <c r="D560" s="340"/>
      <c r="E560" s="340"/>
      <c r="F560" s="340"/>
      <c r="G560" s="340"/>
      <c r="H560" s="340"/>
      <c r="I560" s="194"/>
      <c r="J560" s="194"/>
      <c r="K560" s="194"/>
      <c r="L560" s="648"/>
      <c r="M560" s="194"/>
      <c r="N560" s="194"/>
      <c r="O560" s="423"/>
      <c r="P560" s="194"/>
      <c r="S560" s="193"/>
      <c r="T560" s="193"/>
      <c r="U560" s="193"/>
      <c r="V560" s="193"/>
      <c r="W560" s="193"/>
      <c r="X560" s="193"/>
      <c r="Y560" s="503"/>
      <c r="Z560" s="193"/>
    </row>
    <row r="561" spans="1:26">
      <c r="A561" s="362"/>
      <c r="B561" s="340"/>
      <c r="C561" s="340"/>
      <c r="D561" s="340"/>
      <c r="E561" s="340"/>
      <c r="F561" s="340"/>
      <c r="G561" s="340"/>
      <c r="H561" s="340"/>
      <c r="I561" s="194"/>
      <c r="J561" s="194"/>
      <c r="K561" s="194"/>
      <c r="L561" s="648"/>
      <c r="M561" s="194"/>
      <c r="N561" s="194"/>
      <c r="O561" s="423"/>
      <c r="P561" s="194"/>
      <c r="S561" s="193"/>
      <c r="T561" s="193"/>
      <c r="U561" s="193"/>
      <c r="V561" s="193"/>
      <c r="W561" s="193"/>
      <c r="X561" s="193"/>
      <c r="Y561" s="503"/>
      <c r="Z561" s="193"/>
    </row>
    <row r="562" spans="1:26">
      <c r="A562" s="362"/>
      <c r="B562" s="340"/>
      <c r="C562" s="340"/>
      <c r="D562" s="340"/>
      <c r="E562" s="340"/>
      <c r="F562" s="340"/>
      <c r="G562" s="340"/>
      <c r="H562" s="340"/>
      <c r="I562" s="194"/>
      <c r="J562" s="194"/>
      <c r="K562" s="194"/>
      <c r="L562" s="648"/>
      <c r="M562" s="194"/>
      <c r="N562" s="194"/>
      <c r="O562" s="423"/>
      <c r="P562" s="194"/>
      <c r="S562" s="193"/>
      <c r="T562" s="193"/>
      <c r="U562" s="193"/>
      <c r="V562" s="193"/>
      <c r="W562" s="193"/>
      <c r="X562" s="193"/>
      <c r="Y562" s="503"/>
      <c r="Z562" s="193"/>
    </row>
    <row r="563" spans="1:26">
      <c r="A563" s="362"/>
      <c r="B563" s="340"/>
      <c r="C563" s="340"/>
      <c r="D563" s="340"/>
      <c r="E563" s="340"/>
      <c r="F563" s="340"/>
      <c r="G563" s="340"/>
      <c r="H563" s="340"/>
      <c r="I563" s="194"/>
      <c r="J563" s="194"/>
      <c r="K563" s="194"/>
      <c r="L563" s="648"/>
      <c r="M563" s="194"/>
      <c r="N563" s="194"/>
      <c r="O563" s="423"/>
      <c r="P563" s="194"/>
      <c r="S563" s="193"/>
      <c r="T563" s="193"/>
      <c r="U563" s="193"/>
      <c r="V563" s="193"/>
      <c r="W563" s="193"/>
      <c r="X563" s="193"/>
      <c r="Y563" s="503"/>
      <c r="Z563" s="193"/>
    </row>
    <row r="564" spans="1:26">
      <c r="A564" s="362"/>
      <c r="B564" s="340"/>
      <c r="C564" s="340"/>
      <c r="D564" s="340"/>
      <c r="E564" s="340"/>
      <c r="F564" s="340"/>
      <c r="G564" s="340"/>
      <c r="H564" s="340"/>
      <c r="I564" s="194"/>
      <c r="J564" s="194"/>
      <c r="K564" s="194"/>
      <c r="L564" s="648"/>
      <c r="M564" s="194"/>
      <c r="N564" s="194"/>
      <c r="O564" s="423"/>
      <c r="P564" s="194"/>
      <c r="S564" s="193"/>
      <c r="T564" s="193"/>
      <c r="U564" s="193"/>
      <c r="V564" s="193"/>
      <c r="W564" s="193"/>
      <c r="X564" s="193"/>
      <c r="Y564" s="503"/>
      <c r="Z564" s="193"/>
    </row>
    <row r="565" spans="1:26">
      <c r="A565" s="362"/>
      <c r="B565" s="340"/>
      <c r="C565" s="340"/>
      <c r="D565" s="340"/>
      <c r="E565" s="340"/>
      <c r="F565" s="340"/>
      <c r="G565" s="340"/>
      <c r="H565" s="340"/>
      <c r="I565" s="194"/>
      <c r="J565" s="194"/>
      <c r="K565" s="194"/>
      <c r="L565" s="648"/>
      <c r="M565" s="194"/>
      <c r="N565" s="194"/>
      <c r="O565" s="423"/>
      <c r="P565" s="194"/>
      <c r="S565" s="193"/>
      <c r="T565" s="193"/>
      <c r="U565" s="193"/>
      <c r="V565" s="193"/>
      <c r="W565" s="193"/>
      <c r="X565" s="193"/>
      <c r="Y565" s="503"/>
      <c r="Z565" s="193"/>
    </row>
    <row r="566" spans="1:26">
      <c r="A566" s="362"/>
      <c r="B566" s="340"/>
      <c r="C566" s="340"/>
      <c r="D566" s="340"/>
      <c r="E566" s="340"/>
      <c r="F566" s="340"/>
      <c r="G566" s="340"/>
      <c r="H566" s="340"/>
      <c r="I566" s="194"/>
      <c r="J566" s="194"/>
      <c r="K566" s="194"/>
      <c r="L566" s="648"/>
      <c r="M566" s="194"/>
      <c r="N566" s="194"/>
      <c r="O566" s="423"/>
      <c r="P566" s="194"/>
      <c r="S566" s="193"/>
      <c r="T566" s="193"/>
      <c r="U566" s="193"/>
      <c r="V566" s="193"/>
      <c r="W566" s="193"/>
      <c r="X566" s="193"/>
      <c r="Y566" s="503"/>
      <c r="Z566" s="193"/>
    </row>
    <row r="567" spans="1:26">
      <c r="A567" s="362"/>
      <c r="B567" s="340"/>
      <c r="C567" s="340"/>
      <c r="D567" s="340"/>
      <c r="E567" s="340"/>
      <c r="F567" s="340"/>
      <c r="G567" s="340"/>
      <c r="H567" s="340"/>
      <c r="I567" s="194"/>
      <c r="J567" s="194"/>
      <c r="K567" s="194"/>
      <c r="L567" s="648"/>
      <c r="M567" s="194"/>
      <c r="N567" s="194"/>
      <c r="O567" s="423"/>
      <c r="P567" s="194"/>
      <c r="S567" s="193"/>
      <c r="T567" s="193"/>
      <c r="U567" s="193"/>
      <c r="V567" s="193"/>
      <c r="W567" s="193"/>
      <c r="X567" s="193"/>
      <c r="Y567" s="503"/>
      <c r="Z567" s="193"/>
    </row>
    <row r="568" spans="1:26">
      <c r="A568" s="362"/>
      <c r="B568" s="340"/>
      <c r="C568" s="340"/>
      <c r="D568" s="340"/>
      <c r="E568" s="340"/>
      <c r="F568" s="340"/>
      <c r="G568" s="340"/>
      <c r="H568" s="340"/>
      <c r="I568" s="194"/>
      <c r="J568" s="194"/>
      <c r="K568" s="194"/>
      <c r="L568" s="648"/>
      <c r="M568" s="194"/>
      <c r="N568" s="194"/>
      <c r="O568" s="423"/>
      <c r="P568" s="194"/>
      <c r="S568" s="193"/>
      <c r="T568" s="193"/>
      <c r="U568" s="193"/>
      <c r="V568" s="193"/>
      <c r="W568" s="193"/>
      <c r="X568" s="193"/>
      <c r="Y568" s="503"/>
      <c r="Z568" s="193"/>
    </row>
    <row r="569" spans="1:26">
      <c r="A569" s="362"/>
      <c r="B569" s="340"/>
      <c r="C569" s="340"/>
      <c r="D569" s="340"/>
      <c r="E569" s="340"/>
      <c r="F569" s="340"/>
      <c r="G569" s="340"/>
      <c r="H569" s="340"/>
      <c r="I569" s="194"/>
      <c r="J569" s="194"/>
      <c r="K569" s="194"/>
      <c r="L569" s="648"/>
      <c r="M569" s="194"/>
      <c r="N569" s="194"/>
      <c r="O569" s="423"/>
      <c r="P569" s="194"/>
      <c r="S569" s="193"/>
      <c r="T569" s="193"/>
      <c r="U569" s="193"/>
      <c r="V569" s="193"/>
      <c r="W569" s="193"/>
      <c r="X569" s="193"/>
      <c r="Y569" s="503"/>
      <c r="Z569" s="193"/>
    </row>
    <row r="570" spans="1:26">
      <c r="A570" s="362"/>
      <c r="B570" s="340"/>
      <c r="C570" s="340"/>
      <c r="D570" s="340"/>
      <c r="E570" s="340"/>
      <c r="F570" s="340"/>
      <c r="G570" s="340"/>
      <c r="H570" s="340"/>
      <c r="I570" s="194"/>
      <c r="J570" s="194"/>
      <c r="K570" s="194"/>
      <c r="L570" s="648"/>
      <c r="M570" s="194"/>
      <c r="N570" s="194"/>
      <c r="O570" s="423"/>
      <c r="P570" s="194"/>
      <c r="S570" s="193"/>
      <c r="T570" s="193"/>
      <c r="U570" s="193"/>
      <c r="V570" s="193"/>
      <c r="W570" s="193"/>
      <c r="X570" s="193"/>
      <c r="Y570" s="503"/>
      <c r="Z570" s="193"/>
    </row>
    <row r="571" spans="1:26">
      <c r="A571" s="362"/>
      <c r="B571" s="340"/>
      <c r="C571" s="340"/>
      <c r="D571" s="340"/>
      <c r="E571" s="340"/>
      <c r="F571" s="340"/>
      <c r="G571" s="340"/>
      <c r="H571" s="340"/>
      <c r="I571" s="194"/>
      <c r="J571" s="194"/>
      <c r="K571" s="194"/>
      <c r="L571" s="648"/>
      <c r="M571" s="194"/>
      <c r="N571" s="194"/>
      <c r="O571" s="423"/>
      <c r="P571" s="194"/>
      <c r="S571" s="193"/>
      <c r="T571" s="193"/>
      <c r="U571" s="193"/>
      <c r="V571" s="193"/>
      <c r="W571" s="193"/>
      <c r="X571" s="193"/>
      <c r="Y571" s="503"/>
      <c r="Z571" s="193"/>
    </row>
    <row r="572" spans="1:26">
      <c r="A572" s="362"/>
      <c r="B572" s="340"/>
      <c r="C572" s="340"/>
      <c r="D572" s="340"/>
      <c r="E572" s="340"/>
      <c r="F572" s="340"/>
      <c r="G572" s="340"/>
      <c r="H572" s="340"/>
      <c r="I572" s="194"/>
      <c r="J572" s="194"/>
      <c r="K572" s="194"/>
      <c r="L572" s="648"/>
      <c r="M572" s="194"/>
      <c r="N572" s="194"/>
      <c r="O572" s="423"/>
      <c r="P572" s="194"/>
      <c r="S572" s="193"/>
      <c r="T572" s="193"/>
      <c r="U572" s="193"/>
      <c r="V572" s="193"/>
      <c r="W572" s="193"/>
      <c r="X572" s="193"/>
      <c r="Y572" s="503"/>
      <c r="Z572" s="193"/>
    </row>
    <row r="573" spans="1:26">
      <c r="A573" s="362"/>
      <c r="B573" s="340"/>
      <c r="C573" s="340"/>
      <c r="D573" s="340"/>
      <c r="E573" s="340"/>
      <c r="F573" s="340"/>
      <c r="G573" s="340"/>
      <c r="H573" s="340"/>
      <c r="I573" s="194"/>
      <c r="J573" s="194"/>
      <c r="K573" s="194"/>
      <c r="L573" s="648"/>
      <c r="M573" s="194"/>
      <c r="N573" s="194"/>
      <c r="O573" s="423"/>
      <c r="P573" s="194"/>
      <c r="S573" s="193"/>
      <c r="T573" s="193"/>
      <c r="U573" s="193"/>
      <c r="V573" s="193"/>
      <c r="W573" s="193"/>
      <c r="X573" s="193"/>
      <c r="Y573" s="503"/>
      <c r="Z573" s="193"/>
    </row>
    <row r="574" spans="1:26">
      <c r="A574" s="362"/>
      <c r="B574" s="340"/>
      <c r="C574" s="340"/>
      <c r="D574" s="340"/>
      <c r="E574" s="340"/>
      <c r="F574" s="340"/>
      <c r="G574" s="340"/>
      <c r="H574" s="340"/>
      <c r="I574" s="194"/>
      <c r="J574" s="194"/>
      <c r="K574" s="194"/>
      <c r="L574" s="648"/>
      <c r="M574" s="194"/>
      <c r="N574" s="194"/>
      <c r="O574" s="423"/>
      <c r="P574" s="194"/>
      <c r="S574" s="193"/>
      <c r="T574" s="193"/>
      <c r="U574" s="193"/>
      <c r="V574" s="193"/>
      <c r="W574" s="193"/>
      <c r="X574" s="193"/>
      <c r="Y574" s="503"/>
      <c r="Z574" s="193"/>
    </row>
    <row r="575" spans="1:26">
      <c r="A575" s="362"/>
      <c r="B575" s="340"/>
      <c r="C575" s="340"/>
      <c r="D575" s="340"/>
      <c r="E575" s="340"/>
      <c r="F575" s="340"/>
      <c r="G575" s="340"/>
      <c r="H575" s="340"/>
      <c r="I575" s="194"/>
      <c r="J575" s="194"/>
      <c r="K575" s="194"/>
      <c r="L575" s="648"/>
      <c r="M575" s="194"/>
      <c r="N575" s="194"/>
      <c r="O575" s="423"/>
      <c r="P575" s="194"/>
      <c r="S575" s="193"/>
      <c r="T575" s="193"/>
      <c r="U575" s="193"/>
      <c r="V575" s="193"/>
      <c r="W575" s="193"/>
      <c r="X575" s="193"/>
      <c r="Y575" s="503"/>
      <c r="Z575" s="193"/>
    </row>
    <row r="576" spans="1:26">
      <c r="A576" s="362"/>
      <c r="B576" s="340"/>
      <c r="C576" s="340"/>
      <c r="D576" s="340"/>
      <c r="E576" s="340"/>
      <c r="F576" s="340"/>
      <c r="G576" s="340"/>
      <c r="H576" s="340"/>
      <c r="I576" s="194"/>
      <c r="J576" s="194"/>
      <c r="K576" s="194"/>
      <c r="L576" s="648"/>
      <c r="M576" s="194"/>
      <c r="N576" s="194"/>
      <c r="O576" s="423"/>
      <c r="P576" s="194"/>
      <c r="S576" s="193"/>
      <c r="T576" s="193"/>
      <c r="U576" s="193"/>
      <c r="V576" s="193"/>
      <c r="W576" s="193"/>
      <c r="X576" s="193"/>
      <c r="Y576" s="503"/>
      <c r="Z576" s="193"/>
    </row>
    <row r="577" spans="1:26">
      <c r="A577" s="362"/>
      <c r="B577" s="340"/>
      <c r="C577" s="340"/>
      <c r="D577" s="340"/>
      <c r="E577" s="340"/>
      <c r="F577" s="340"/>
      <c r="G577" s="340"/>
      <c r="H577" s="340"/>
      <c r="I577" s="194"/>
      <c r="J577" s="194"/>
      <c r="K577" s="194"/>
      <c r="L577" s="648"/>
      <c r="M577" s="194"/>
      <c r="N577" s="194"/>
      <c r="O577" s="423"/>
      <c r="P577" s="194"/>
      <c r="S577" s="193"/>
      <c r="T577" s="193"/>
      <c r="U577" s="193"/>
      <c r="V577" s="193"/>
      <c r="W577" s="193"/>
      <c r="X577" s="193"/>
      <c r="Y577" s="503"/>
      <c r="Z577" s="193"/>
    </row>
    <row r="578" spans="1:26">
      <c r="A578" s="362"/>
      <c r="B578" s="340"/>
      <c r="C578" s="340"/>
      <c r="D578" s="340"/>
      <c r="E578" s="340"/>
      <c r="F578" s="340"/>
      <c r="G578" s="340"/>
      <c r="H578" s="340"/>
      <c r="I578" s="194"/>
      <c r="J578" s="194"/>
      <c r="K578" s="194"/>
      <c r="L578" s="648"/>
      <c r="M578" s="194"/>
      <c r="N578" s="194"/>
      <c r="O578" s="423"/>
      <c r="P578" s="194"/>
      <c r="S578" s="193"/>
      <c r="T578" s="193"/>
      <c r="U578" s="193"/>
      <c r="V578" s="193"/>
      <c r="W578" s="193"/>
      <c r="X578" s="193"/>
      <c r="Y578" s="503"/>
      <c r="Z578" s="193"/>
    </row>
    <row r="579" spans="1:26">
      <c r="A579" s="362"/>
      <c r="B579" s="340"/>
      <c r="C579" s="340"/>
      <c r="D579" s="340"/>
      <c r="E579" s="340"/>
      <c r="F579" s="340"/>
      <c r="G579" s="340"/>
      <c r="H579" s="340"/>
      <c r="I579" s="194"/>
      <c r="J579" s="194"/>
      <c r="K579" s="194"/>
      <c r="L579" s="648"/>
      <c r="M579" s="194"/>
      <c r="N579" s="194"/>
      <c r="O579" s="423"/>
      <c r="P579" s="194"/>
      <c r="S579" s="193"/>
      <c r="T579" s="193"/>
      <c r="U579" s="193"/>
      <c r="V579" s="193"/>
      <c r="W579" s="193"/>
      <c r="X579" s="193"/>
      <c r="Y579" s="503"/>
      <c r="Z579" s="193"/>
    </row>
    <row r="580" spans="1:26">
      <c r="A580" s="362"/>
      <c r="B580" s="340"/>
      <c r="C580" s="340"/>
      <c r="D580" s="340"/>
      <c r="E580" s="340"/>
      <c r="F580" s="340"/>
      <c r="G580" s="340"/>
      <c r="H580" s="340"/>
      <c r="I580" s="194"/>
      <c r="J580" s="194"/>
      <c r="K580" s="194"/>
      <c r="L580" s="648"/>
      <c r="M580" s="194"/>
      <c r="N580" s="194"/>
      <c r="O580" s="423"/>
      <c r="P580" s="194"/>
      <c r="S580" s="193"/>
      <c r="T580" s="193"/>
      <c r="U580" s="193"/>
      <c r="V580" s="193"/>
      <c r="W580" s="193"/>
      <c r="X580" s="193"/>
      <c r="Y580" s="503"/>
      <c r="Z580" s="193"/>
    </row>
    <row r="581" spans="1:26">
      <c r="A581" s="362"/>
      <c r="B581" s="340"/>
      <c r="C581" s="340"/>
      <c r="D581" s="340"/>
      <c r="E581" s="340"/>
      <c r="F581" s="340"/>
      <c r="G581" s="340"/>
      <c r="H581" s="340"/>
      <c r="I581" s="194"/>
      <c r="J581" s="194"/>
      <c r="K581" s="194"/>
      <c r="L581" s="648"/>
      <c r="M581" s="194"/>
      <c r="N581" s="194"/>
      <c r="O581" s="423"/>
      <c r="P581" s="194"/>
      <c r="S581" s="193"/>
      <c r="T581" s="193"/>
      <c r="U581" s="193"/>
      <c r="V581" s="193"/>
      <c r="W581" s="193"/>
      <c r="X581" s="193"/>
      <c r="Y581" s="503"/>
      <c r="Z581" s="193"/>
    </row>
    <row r="582" spans="1:26">
      <c r="A582" s="362"/>
      <c r="B582" s="340"/>
      <c r="C582" s="340"/>
      <c r="D582" s="340"/>
      <c r="E582" s="340"/>
      <c r="F582" s="340"/>
      <c r="G582" s="340"/>
      <c r="H582" s="340"/>
      <c r="I582" s="194"/>
      <c r="J582" s="194"/>
      <c r="K582" s="194"/>
      <c r="L582" s="648"/>
      <c r="M582" s="194"/>
      <c r="N582" s="194"/>
      <c r="O582" s="423"/>
      <c r="P582" s="194"/>
      <c r="S582" s="193"/>
      <c r="T582" s="193"/>
      <c r="U582" s="193"/>
      <c r="V582" s="193"/>
      <c r="W582" s="193"/>
      <c r="X582" s="193"/>
      <c r="Y582" s="503"/>
      <c r="Z582" s="193"/>
    </row>
    <row r="583" spans="1:26">
      <c r="A583" s="362"/>
      <c r="B583" s="340"/>
      <c r="C583" s="340"/>
      <c r="D583" s="340"/>
      <c r="E583" s="340"/>
      <c r="F583" s="340"/>
      <c r="G583" s="340"/>
      <c r="H583" s="340"/>
      <c r="I583" s="194"/>
      <c r="J583" s="194"/>
      <c r="K583" s="194"/>
      <c r="L583" s="648"/>
      <c r="M583" s="194"/>
      <c r="N583" s="194"/>
      <c r="O583" s="423"/>
      <c r="P583" s="194"/>
      <c r="S583" s="193"/>
      <c r="T583" s="193"/>
      <c r="U583" s="193"/>
      <c r="V583" s="193"/>
      <c r="W583" s="193"/>
      <c r="X583" s="193"/>
      <c r="Y583" s="503"/>
      <c r="Z583" s="193"/>
    </row>
    <row r="584" spans="1:26">
      <c r="A584" s="362"/>
      <c r="B584" s="340"/>
      <c r="C584" s="340"/>
      <c r="D584" s="340"/>
      <c r="E584" s="340"/>
      <c r="F584" s="340"/>
      <c r="G584" s="340"/>
      <c r="H584" s="340"/>
      <c r="I584" s="194"/>
      <c r="J584" s="194"/>
      <c r="K584" s="194"/>
      <c r="L584" s="648"/>
      <c r="M584" s="194"/>
      <c r="N584" s="194"/>
      <c r="O584" s="423"/>
      <c r="P584" s="194"/>
      <c r="S584" s="193"/>
      <c r="T584" s="193"/>
      <c r="U584" s="193"/>
      <c r="V584" s="193"/>
      <c r="W584" s="193"/>
      <c r="X584" s="193"/>
      <c r="Y584" s="503"/>
      <c r="Z584" s="193"/>
    </row>
    <row r="585" spans="1:26">
      <c r="A585" s="362"/>
      <c r="B585" s="340"/>
      <c r="C585" s="340"/>
      <c r="D585" s="340"/>
      <c r="E585" s="340"/>
      <c r="F585" s="340"/>
      <c r="G585" s="340"/>
      <c r="H585" s="340"/>
      <c r="I585" s="194"/>
      <c r="J585" s="194"/>
      <c r="K585" s="194"/>
      <c r="L585" s="648"/>
      <c r="M585" s="194"/>
      <c r="N585" s="194"/>
      <c r="O585" s="423"/>
      <c r="P585" s="194"/>
      <c r="S585" s="193"/>
      <c r="T585" s="193"/>
      <c r="U585" s="193"/>
      <c r="V585" s="193"/>
      <c r="W585" s="193"/>
      <c r="X585" s="193"/>
      <c r="Y585" s="503"/>
      <c r="Z585" s="193"/>
    </row>
    <row r="586" spans="1:26">
      <c r="A586" s="362"/>
      <c r="B586" s="340"/>
      <c r="C586" s="340"/>
      <c r="D586" s="340"/>
      <c r="E586" s="340"/>
      <c r="F586" s="340"/>
      <c r="G586" s="340"/>
      <c r="H586" s="340"/>
      <c r="I586" s="194"/>
      <c r="J586" s="194"/>
      <c r="K586" s="194"/>
      <c r="L586" s="648"/>
      <c r="M586" s="194"/>
      <c r="N586" s="194"/>
      <c r="O586" s="423"/>
      <c r="P586" s="194"/>
      <c r="S586" s="193"/>
      <c r="T586" s="193"/>
      <c r="U586" s="193"/>
      <c r="V586" s="193"/>
      <c r="W586" s="193"/>
      <c r="X586" s="193"/>
      <c r="Y586" s="503"/>
      <c r="Z586" s="193"/>
    </row>
    <row r="587" spans="1:26">
      <c r="A587" s="362"/>
      <c r="B587" s="340"/>
      <c r="C587" s="340"/>
      <c r="D587" s="340"/>
      <c r="E587" s="340"/>
      <c r="F587" s="340"/>
      <c r="G587" s="340"/>
      <c r="H587" s="340"/>
      <c r="I587" s="194"/>
      <c r="J587" s="194"/>
      <c r="K587" s="194"/>
      <c r="L587" s="648"/>
      <c r="M587" s="194"/>
      <c r="N587" s="194"/>
      <c r="O587" s="423"/>
      <c r="P587" s="194"/>
      <c r="S587" s="193"/>
      <c r="T587" s="193"/>
      <c r="U587" s="193"/>
      <c r="V587" s="193"/>
      <c r="W587" s="193"/>
      <c r="X587" s="193"/>
      <c r="Y587" s="503"/>
      <c r="Z587" s="193"/>
    </row>
    <row r="588" spans="1:26">
      <c r="A588" s="362"/>
      <c r="B588" s="340"/>
      <c r="C588" s="340"/>
      <c r="D588" s="340"/>
      <c r="E588" s="340"/>
      <c r="F588" s="340"/>
      <c r="G588" s="340"/>
      <c r="H588" s="340"/>
      <c r="I588" s="194"/>
      <c r="J588" s="194"/>
      <c r="K588" s="194"/>
      <c r="L588" s="648"/>
      <c r="M588" s="194"/>
      <c r="N588" s="194"/>
      <c r="O588" s="423"/>
      <c r="P588" s="194"/>
      <c r="S588" s="193"/>
      <c r="T588" s="193"/>
      <c r="U588" s="193"/>
      <c r="V588" s="193"/>
      <c r="W588" s="193"/>
      <c r="X588" s="193"/>
      <c r="Y588" s="503"/>
      <c r="Z588" s="193"/>
    </row>
    <row r="589" spans="1:26">
      <c r="A589" s="362"/>
      <c r="B589" s="340"/>
      <c r="C589" s="340"/>
      <c r="D589" s="340"/>
      <c r="E589" s="340"/>
      <c r="F589" s="340"/>
      <c r="G589" s="340"/>
      <c r="H589" s="340"/>
      <c r="I589" s="194"/>
      <c r="J589" s="194"/>
      <c r="K589" s="194"/>
      <c r="L589" s="648"/>
      <c r="M589" s="194"/>
      <c r="N589" s="194"/>
      <c r="O589" s="423"/>
      <c r="P589" s="194"/>
      <c r="S589" s="193"/>
      <c r="T589" s="193"/>
      <c r="U589" s="193"/>
      <c r="V589" s="193"/>
      <c r="W589" s="193"/>
      <c r="X589" s="193"/>
      <c r="Y589" s="503"/>
      <c r="Z589" s="193"/>
    </row>
    <row r="590" spans="1:26">
      <c r="A590" s="362"/>
      <c r="B590" s="340"/>
      <c r="C590" s="340"/>
      <c r="D590" s="340"/>
      <c r="E590" s="340"/>
      <c r="F590" s="340"/>
      <c r="G590" s="340"/>
      <c r="H590" s="340"/>
      <c r="I590" s="194"/>
      <c r="J590" s="194"/>
      <c r="K590" s="194"/>
      <c r="L590" s="648"/>
      <c r="M590" s="194"/>
      <c r="N590" s="194"/>
      <c r="O590" s="423"/>
      <c r="P590" s="194"/>
      <c r="S590" s="193"/>
      <c r="T590" s="193"/>
      <c r="U590" s="193"/>
      <c r="V590" s="193"/>
      <c r="W590" s="193"/>
      <c r="X590" s="193"/>
      <c r="Y590" s="503"/>
      <c r="Z590" s="193"/>
    </row>
    <row r="591" spans="1:26">
      <c r="A591" s="362"/>
      <c r="B591" s="340"/>
      <c r="C591" s="340"/>
      <c r="D591" s="340"/>
      <c r="E591" s="340"/>
      <c r="F591" s="340"/>
      <c r="G591" s="340"/>
      <c r="H591" s="340"/>
      <c r="I591" s="194"/>
      <c r="J591" s="194"/>
      <c r="K591" s="194"/>
      <c r="L591" s="648"/>
      <c r="M591" s="194"/>
      <c r="N591" s="194"/>
      <c r="O591" s="423"/>
      <c r="P591" s="194"/>
      <c r="S591" s="193"/>
      <c r="T591" s="193"/>
      <c r="U591" s="193"/>
      <c r="V591" s="193"/>
      <c r="W591" s="193"/>
      <c r="X591" s="193"/>
      <c r="Y591" s="503"/>
      <c r="Z591" s="193"/>
    </row>
    <row r="592" spans="1:26">
      <c r="A592" s="362"/>
      <c r="B592" s="340"/>
      <c r="C592" s="340"/>
      <c r="D592" s="340"/>
      <c r="E592" s="340"/>
      <c r="F592" s="340"/>
      <c r="G592" s="340"/>
      <c r="H592" s="340"/>
      <c r="I592" s="194"/>
      <c r="J592" s="194"/>
      <c r="K592" s="194"/>
      <c r="L592" s="648"/>
      <c r="M592" s="194"/>
      <c r="N592" s="194"/>
      <c r="O592" s="423"/>
      <c r="P592" s="194"/>
      <c r="S592" s="193"/>
      <c r="T592" s="193"/>
      <c r="U592" s="193"/>
      <c r="V592" s="193"/>
      <c r="W592" s="193"/>
      <c r="X592" s="193"/>
      <c r="Y592" s="503"/>
      <c r="Z592" s="193"/>
    </row>
    <row r="593" spans="1:26">
      <c r="A593" s="362"/>
      <c r="B593" s="340"/>
      <c r="C593" s="340"/>
      <c r="D593" s="340"/>
      <c r="E593" s="340"/>
      <c r="F593" s="340"/>
      <c r="G593" s="340"/>
      <c r="H593" s="340"/>
      <c r="I593" s="194"/>
      <c r="J593" s="194"/>
      <c r="K593" s="194"/>
      <c r="L593" s="648"/>
      <c r="M593" s="194"/>
      <c r="N593" s="194"/>
      <c r="O593" s="423"/>
      <c r="P593" s="194"/>
      <c r="S593" s="193"/>
      <c r="T593" s="193"/>
      <c r="U593" s="193"/>
      <c r="V593" s="193"/>
      <c r="W593" s="193"/>
      <c r="X593" s="193"/>
      <c r="Y593" s="503"/>
      <c r="Z593" s="193"/>
    </row>
    <row r="594" spans="1:26">
      <c r="A594" s="362"/>
      <c r="B594" s="340"/>
      <c r="C594" s="340"/>
      <c r="D594" s="340"/>
      <c r="E594" s="340"/>
      <c r="F594" s="340"/>
      <c r="G594" s="340"/>
      <c r="H594" s="340"/>
      <c r="I594" s="194"/>
      <c r="J594" s="194"/>
      <c r="K594" s="194"/>
      <c r="L594" s="648"/>
      <c r="M594" s="194"/>
      <c r="N594" s="194"/>
      <c r="O594" s="423"/>
      <c r="P594" s="194"/>
      <c r="S594" s="193"/>
      <c r="T594" s="193"/>
      <c r="U594" s="193"/>
      <c r="V594" s="193"/>
      <c r="W594" s="193"/>
      <c r="X594" s="193"/>
      <c r="Y594" s="503"/>
      <c r="Z594" s="193"/>
    </row>
    <row r="595" spans="1:26">
      <c r="A595" s="362"/>
      <c r="B595" s="340"/>
      <c r="C595" s="340"/>
      <c r="D595" s="340"/>
      <c r="E595" s="340"/>
      <c r="F595" s="340"/>
      <c r="G595" s="340"/>
      <c r="H595" s="340"/>
      <c r="I595" s="194"/>
      <c r="J595" s="194"/>
      <c r="K595" s="194"/>
      <c r="L595" s="648"/>
      <c r="M595" s="194"/>
      <c r="N595" s="194"/>
      <c r="O595" s="423"/>
      <c r="P595" s="194"/>
      <c r="S595" s="193"/>
      <c r="T595" s="193"/>
      <c r="U595" s="193"/>
      <c r="V595" s="193"/>
      <c r="W595" s="193"/>
      <c r="X595" s="193"/>
      <c r="Y595" s="503"/>
      <c r="Z595" s="193"/>
    </row>
    <row r="596" spans="1:26">
      <c r="A596" s="362"/>
      <c r="B596" s="340"/>
      <c r="C596" s="340"/>
      <c r="D596" s="340"/>
      <c r="E596" s="340"/>
      <c r="F596" s="340"/>
      <c r="G596" s="340"/>
      <c r="H596" s="340"/>
      <c r="I596" s="194"/>
      <c r="J596" s="194"/>
      <c r="K596" s="194"/>
      <c r="L596" s="648"/>
      <c r="M596" s="194"/>
      <c r="N596" s="194"/>
      <c r="O596" s="423"/>
      <c r="P596" s="194"/>
      <c r="S596" s="193"/>
      <c r="T596" s="193"/>
      <c r="U596" s="193"/>
      <c r="V596" s="193"/>
      <c r="W596" s="193"/>
      <c r="X596" s="193"/>
      <c r="Y596" s="503"/>
      <c r="Z596" s="193"/>
    </row>
    <row r="597" spans="1:26">
      <c r="A597" s="362"/>
      <c r="B597" s="340"/>
      <c r="C597" s="340"/>
      <c r="D597" s="340"/>
      <c r="E597" s="340"/>
      <c r="F597" s="340"/>
      <c r="G597" s="340"/>
      <c r="H597" s="340"/>
      <c r="I597" s="194"/>
      <c r="J597" s="194"/>
      <c r="K597" s="194"/>
      <c r="L597" s="648"/>
      <c r="M597" s="194"/>
      <c r="N597" s="194"/>
      <c r="O597" s="423"/>
      <c r="P597" s="194"/>
      <c r="S597" s="193"/>
      <c r="T597" s="193"/>
      <c r="U597" s="193"/>
      <c r="V597" s="193"/>
      <c r="W597" s="193"/>
      <c r="X597" s="193"/>
      <c r="Y597" s="503"/>
      <c r="Z597" s="193"/>
    </row>
    <row r="598" spans="1:26">
      <c r="A598" s="362"/>
      <c r="B598" s="340"/>
      <c r="C598" s="340"/>
      <c r="D598" s="340"/>
      <c r="E598" s="340"/>
      <c r="F598" s="340"/>
      <c r="G598" s="340"/>
      <c r="H598" s="340"/>
      <c r="I598" s="194"/>
      <c r="J598" s="194"/>
      <c r="K598" s="194"/>
      <c r="L598" s="648"/>
      <c r="M598" s="194"/>
      <c r="N598" s="194"/>
      <c r="O598" s="423"/>
      <c r="P598" s="194"/>
      <c r="S598" s="193"/>
      <c r="T598" s="193"/>
      <c r="U598" s="193"/>
      <c r="V598" s="193"/>
      <c r="W598" s="193"/>
      <c r="X598" s="193"/>
      <c r="Y598" s="503"/>
      <c r="Z598" s="193"/>
    </row>
    <row r="599" spans="1:26">
      <c r="A599" s="362"/>
      <c r="B599" s="340"/>
      <c r="C599" s="340"/>
      <c r="D599" s="340"/>
      <c r="E599" s="340"/>
      <c r="F599" s="340"/>
      <c r="G599" s="340"/>
      <c r="H599" s="340"/>
      <c r="I599" s="194"/>
      <c r="J599" s="194"/>
      <c r="K599" s="194"/>
      <c r="L599" s="648"/>
      <c r="M599" s="194"/>
      <c r="N599" s="194"/>
      <c r="O599" s="423"/>
      <c r="P599" s="194"/>
      <c r="S599" s="193"/>
      <c r="T599" s="193"/>
      <c r="U599" s="193"/>
      <c r="V599" s="193"/>
      <c r="W599" s="193"/>
      <c r="X599" s="193"/>
      <c r="Y599" s="503"/>
      <c r="Z599" s="193"/>
    </row>
    <row r="600" spans="1:26">
      <c r="A600" s="362"/>
      <c r="B600" s="340"/>
      <c r="C600" s="340"/>
      <c r="D600" s="340"/>
      <c r="E600" s="340"/>
      <c r="F600" s="340"/>
      <c r="G600" s="340"/>
      <c r="H600" s="340"/>
      <c r="I600" s="194"/>
      <c r="J600" s="194"/>
      <c r="K600" s="194"/>
      <c r="L600" s="648"/>
      <c r="M600" s="194"/>
      <c r="N600" s="194"/>
      <c r="O600" s="423"/>
      <c r="P600" s="194"/>
      <c r="S600" s="193"/>
      <c r="T600" s="193"/>
      <c r="U600" s="193"/>
      <c r="V600" s="193"/>
      <c r="W600" s="193"/>
      <c r="X600" s="193"/>
      <c r="Y600" s="503"/>
      <c r="Z600" s="193"/>
    </row>
    <row r="601" spans="1:26">
      <c r="A601" s="362"/>
      <c r="B601" s="340"/>
      <c r="C601" s="340"/>
      <c r="D601" s="340"/>
      <c r="E601" s="340"/>
      <c r="F601" s="340"/>
      <c r="G601" s="340"/>
      <c r="H601" s="340"/>
      <c r="I601" s="194"/>
      <c r="J601" s="194"/>
      <c r="K601" s="194"/>
      <c r="L601" s="648"/>
      <c r="M601" s="194"/>
      <c r="N601" s="194"/>
      <c r="O601" s="423"/>
      <c r="P601" s="194"/>
      <c r="S601" s="193"/>
      <c r="T601" s="193"/>
      <c r="U601" s="193"/>
      <c r="V601" s="193"/>
      <c r="W601" s="193"/>
      <c r="X601" s="193"/>
      <c r="Y601" s="503"/>
      <c r="Z601" s="193"/>
    </row>
    <row r="602" spans="1:26">
      <c r="A602" s="362"/>
      <c r="B602" s="340"/>
      <c r="C602" s="340"/>
      <c r="D602" s="340"/>
      <c r="E602" s="340"/>
      <c r="F602" s="340"/>
      <c r="G602" s="340"/>
      <c r="H602" s="340"/>
      <c r="I602" s="194"/>
      <c r="J602" s="194"/>
      <c r="K602" s="194"/>
      <c r="L602" s="648"/>
      <c r="M602" s="194"/>
      <c r="N602" s="194"/>
      <c r="O602" s="423"/>
      <c r="P602" s="194"/>
      <c r="S602" s="193"/>
      <c r="T602" s="193"/>
      <c r="U602" s="193"/>
      <c r="V602" s="193"/>
      <c r="W602" s="193"/>
      <c r="X602" s="193"/>
      <c r="Y602" s="503"/>
      <c r="Z602" s="193"/>
    </row>
    <row r="603" spans="1:26">
      <c r="A603" s="362"/>
      <c r="B603" s="340"/>
      <c r="C603" s="340"/>
      <c r="D603" s="340"/>
      <c r="E603" s="340"/>
      <c r="F603" s="340"/>
      <c r="G603" s="340"/>
      <c r="H603" s="340"/>
      <c r="I603" s="194"/>
      <c r="J603" s="194"/>
      <c r="K603" s="194"/>
      <c r="L603" s="648"/>
      <c r="M603" s="194"/>
      <c r="N603" s="194"/>
      <c r="O603" s="423"/>
      <c r="P603" s="194"/>
      <c r="S603" s="193"/>
      <c r="T603" s="193"/>
      <c r="U603" s="193"/>
      <c r="V603" s="193"/>
      <c r="W603" s="193"/>
      <c r="X603" s="193"/>
      <c r="Y603" s="503"/>
      <c r="Z603" s="193"/>
    </row>
    <row r="604" spans="1:26">
      <c r="A604" s="362"/>
      <c r="B604" s="340"/>
      <c r="C604" s="340"/>
      <c r="D604" s="340"/>
      <c r="E604" s="340"/>
      <c r="F604" s="340"/>
      <c r="G604" s="340"/>
      <c r="H604" s="340"/>
      <c r="I604" s="194"/>
      <c r="J604" s="194"/>
      <c r="K604" s="194"/>
      <c r="L604" s="648"/>
      <c r="M604" s="194"/>
      <c r="N604" s="194"/>
      <c r="O604" s="423"/>
      <c r="P604" s="194"/>
      <c r="S604" s="193"/>
      <c r="T604" s="193"/>
      <c r="U604" s="193"/>
      <c r="V604" s="193"/>
      <c r="W604" s="193"/>
      <c r="X604" s="193"/>
      <c r="Y604" s="503"/>
      <c r="Z604" s="193"/>
    </row>
    <row r="605" spans="1:26">
      <c r="A605" s="362"/>
      <c r="B605" s="340"/>
      <c r="C605" s="340"/>
      <c r="D605" s="340"/>
      <c r="E605" s="340"/>
      <c r="F605" s="340"/>
      <c r="G605" s="340"/>
      <c r="H605" s="340"/>
      <c r="I605" s="194"/>
      <c r="J605" s="194"/>
      <c r="K605" s="194"/>
      <c r="L605" s="648"/>
      <c r="M605" s="194"/>
      <c r="N605" s="194"/>
      <c r="O605" s="423"/>
      <c r="P605" s="194"/>
      <c r="S605" s="193"/>
      <c r="T605" s="193"/>
      <c r="U605" s="193"/>
      <c r="V605" s="193"/>
      <c r="W605" s="193"/>
      <c r="X605" s="193"/>
      <c r="Y605" s="503"/>
      <c r="Z605" s="193"/>
    </row>
    <row r="606" spans="1:26">
      <c r="A606" s="362"/>
      <c r="B606" s="340"/>
      <c r="C606" s="340"/>
      <c r="D606" s="340"/>
      <c r="E606" s="340"/>
      <c r="F606" s="340"/>
      <c r="G606" s="340"/>
      <c r="H606" s="340"/>
      <c r="I606" s="194"/>
      <c r="J606" s="194"/>
      <c r="K606" s="194"/>
      <c r="L606" s="648"/>
      <c r="M606" s="194"/>
      <c r="N606" s="194"/>
      <c r="O606" s="423"/>
      <c r="P606" s="194"/>
      <c r="S606" s="193"/>
      <c r="T606" s="193"/>
      <c r="U606" s="193"/>
      <c r="V606" s="193"/>
      <c r="W606" s="193"/>
      <c r="X606" s="193"/>
      <c r="Y606" s="503"/>
      <c r="Z606" s="193"/>
    </row>
    <row r="607" spans="1:26">
      <c r="A607" s="362"/>
      <c r="B607" s="340"/>
      <c r="C607" s="340"/>
      <c r="D607" s="340"/>
      <c r="E607" s="340"/>
      <c r="F607" s="340"/>
      <c r="G607" s="340"/>
      <c r="H607" s="340"/>
      <c r="I607" s="194"/>
      <c r="J607" s="194"/>
      <c r="K607" s="194"/>
      <c r="L607" s="648"/>
      <c r="M607" s="194"/>
      <c r="N607" s="194"/>
      <c r="O607" s="423"/>
      <c r="P607" s="194"/>
      <c r="S607" s="193"/>
      <c r="T607" s="193"/>
      <c r="U607" s="193"/>
      <c r="V607" s="193"/>
      <c r="W607" s="193"/>
      <c r="X607" s="193"/>
      <c r="Y607" s="503"/>
      <c r="Z607" s="193"/>
    </row>
    <row r="608" spans="1:26">
      <c r="A608" s="362"/>
      <c r="B608" s="340"/>
      <c r="C608" s="340"/>
      <c r="D608" s="340"/>
      <c r="E608" s="340"/>
      <c r="F608" s="340"/>
      <c r="G608" s="340"/>
      <c r="H608" s="340"/>
      <c r="I608" s="194"/>
      <c r="J608" s="194"/>
      <c r="K608" s="194"/>
      <c r="L608" s="648"/>
      <c r="M608" s="194"/>
      <c r="N608" s="194"/>
      <c r="O608" s="423"/>
      <c r="P608" s="194"/>
      <c r="S608" s="193"/>
      <c r="T608" s="193"/>
      <c r="U608" s="193"/>
      <c r="V608" s="193"/>
      <c r="W608" s="193"/>
      <c r="X608" s="193"/>
      <c r="Y608" s="503"/>
      <c r="Z608" s="193"/>
    </row>
    <row r="609" spans="1:26">
      <c r="A609" s="362"/>
      <c r="B609" s="340"/>
      <c r="C609" s="340"/>
      <c r="D609" s="340"/>
      <c r="E609" s="340"/>
      <c r="F609" s="340"/>
      <c r="G609" s="340"/>
      <c r="H609" s="340"/>
      <c r="I609" s="194"/>
      <c r="J609" s="194"/>
      <c r="K609" s="194"/>
      <c r="L609" s="648"/>
      <c r="M609" s="194"/>
      <c r="N609" s="194"/>
      <c r="O609" s="423"/>
      <c r="P609" s="194"/>
      <c r="S609" s="193"/>
      <c r="T609" s="193"/>
      <c r="U609" s="193"/>
      <c r="V609" s="193"/>
      <c r="W609" s="193"/>
      <c r="X609" s="193"/>
      <c r="Y609" s="503"/>
      <c r="Z609" s="193"/>
    </row>
    <row r="610" spans="1:26">
      <c r="A610" s="362"/>
      <c r="B610" s="340"/>
      <c r="C610" s="340"/>
      <c r="D610" s="340"/>
      <c r="E610" s="340"/>
      <c r="F610" s="340"/>
      <c r="G610" s="340"/>
      <c r="H610" s="340"/>
      <c r="I610" s="194"/>
      <c r="J610" s="194"/>
      <c r="K610" s="194"/>
      <c r="L610" s="648"/>
      <c r="M610" s="194"/>
      <c r="N610" s="194"/>
      <c r="O610" s="423"/>
      <c r="P610" s="194"/>
      <c r="S610" s="193"/>
      <c r="T610" s="193"/>
      <c r="U610" s="193"/>
      <c r="V610" s="193"/>
      <c r="W610" s="193"/>
      <c r="X610" s="193"/>
      <c r="Y610" s="503"/>
      <c r="Z610" s="193"/>
    </row>
    <row r="611" spans="1:26">
      <c r="A611" s="362"/>
      <c r="B611" s="340"/>
      <c r="C611" s="340"/>
      <c r="D611" s="340"/>
      <c r="E611" s="340"/>
      <c r="F611" s="340"/>
      <c r="G611" s="340"/>
      <c r="H611" s="340"/>
      <c r="I611" s="194"/>
      <c r="J611" s="194"/>
      <c r="K611" s="194"/>
      <c r="L611" s="648"/>
      <c r="M611" s="194"/>
      <c r="N611" s="194"/>
      <c r="O611" s="423"/>
      <c r="P611" s="194"/>
      <c r="S611" s="193"/>
      <c r="T611" s="193"/>
      <c r="U611" s="193"/>
      <c r="V611" s="193"/>
      <c r="W611" s="193"/>
      <c r="X611" s="193"/>
      <c r="Y611" s="503"/>
      <c r="Z611" s="193"/>
    </row>
    <row r="612" spans="1:26">
      <c r="A612" s="362"/>
      <c r="B612" s="340"/>
      <c r="C612" s="340"/>
      <c r="D612" s="340"/>
      <c r="E612" s="340"/>
      <c r="F612" s="340"/>
      <c r="G612" s="340"/>
      <c r="H612" s="340"/>
      <c r="I612" s="194"/>
      <c r="J612" s="194"/>
      <c r="K612" s="194"/>
      <c r="L612" s="648"/>
      <c r="M612" s="194"/>
      <c r="N612" s="194"/>
      <c r="O612" s="423"/>
      <c r="P612" s="194"/>
      <c r="S612" s="193"/>
      <c r="T612" s="193"/>
      <c r="U612" s="193"/>
      <c r="V612" s="193"/>
      <c r="W612" s="193"/>
      <c r="X612" s="193"/>
      <c r="Y612" s="503"/>
      <c r="Z612" s="193"/>
    </row>
    <row r="613" spans="1:26">
      <c r="A613" s="362"/>
      <c r="B613" s="340"/>
      <c r="C613" s="340"/>
      <c r="D613" s="340"/>
      <c r="E613" s="340"/>
      <c r="F613" s="340"/>
      <c r="G613" s="340"/>
      <c r="H613" s="340"/>
      <c r="I613" s="194"/>
      <c r="J613" s="194"/>
      <c r="K613" s="194"/>
      <c r="L613" s="648"/>
      <c r="M613" s="194"/>
      <c r="N613" s="194"/>
      <c r="O613" s="423"/>
      <c r="P613" s="194"/>
      <c r="S613" s="193"/>
      <c r="T613" s="193"/>
      <c r="U613" s="193"/>
      <c r="V613" s="193"/>
      <c r="W613" s="193"/>
      <c r="X613" s="193"/>
      <c r="Y613" s="503"/>
      <c r="Z613" s="193"/>
    </row>
    <row r="614" spans="1:26">
      <c r="A614" s="362"/>
      <c r="B614" s="340"/>
      <c r="C614" s="340"/>
      <c r="D614" s="340"/>
      <c r="E614" s="340"/>
      <c r="F614" s="340"/>
      <c r="G614" s="340"/>
      <c r="H614" s="340"/>
      <c r="I614" s="194"/>
      <c r="J614" s="194"/>
      <c r="K614" s="194"/>
      <c r="L614" s="648"/>
      <c r="M614" s="194"/>
      <c r="N614" s="194"/>
      <c r="O614" s="423"/>
      <c r="P614" s="194"/>
      <c r="S614" s="193"/>
      <c r="T614" s="193"/>
      <c r="U614" s="193"/>
      <c r="V614" s="193"/>
      <c r="W614" s="193"/>
      <c r="X614" s="193"/>
      <c r="Y614" s="503"/>
      <c r="Z614" s="193"/>
    </row>
    <row r="615" spans="1:26">
      <c r="A615" s="362"/>
      <c r="B615" s="340"/>
      <c r="C615" s="340"/>
      <c r="D615" s="340"/>
      <c r="E615" s="340"/>
      <c r="F615" s="340"/>
      <c r="G615" s="340"/>
      <c r="H615" s="340"/>
      <c r="I615" s="194"/>
      <c r="J615" s="194"/>
      <c r="K615" s="194"/>
      <c r="L615" s="648"/>
      <c r="M615" s="194"/>
      <c r="N615" s="194"/>
      <c r="O615" s="423"/>
      <c r="P615" s="194"/>
      <c r="S615" s="193"/>
      <c r="T615" s="193"/>
      <c r="U615" s="193"/>
      <c r="V615" s="193"/>
      <c r="W615" s="193"/>
      <c r="X615" s="193"/>
      <c r="Y615" s="503"/>
      <c r="Z615" s="193"/>
    </row>
    <row r="616" spans="1:26">
      <c r="A616" s="362"/>
      <c r="B616" s="340"/>
      <c r="C616" s="340"/>
      <c r="D616" s="340"/>
      <c r="E616" s="340"/>
      <c r="F616" s="340"/>
      <c r="G616" s="340"/>
      <c r="H616" s="340"/>
      <c r="I616" s="194"/>
      <c r="J616" s="194"/>
      <c r="K616" s="194"/>
      <c r="L616" s="648"/>
      <c r="M616" s="194"/>
      <c r="N616" s="194"/>
      <c r="O616" s="423"/>
      <c r="P616" s="194"/>
      <c r="S616" s="193"/>
      <c r="T616" s="193"/>
      <c r="U616" s="193"/>
      <c r="V616" s="193"/>
      <c r="W616" s="193"/>
      <c r="X616" s="193"/>
      <c r="Y616" s="503"/>
      <c r="Z616" s="193"/>
    </row>
    <row r="617" spans="1:26">
      <c r="A617" s="362"/>
      <c r="B617" s="340"/>
      <c r="C617" s="340"/>
      <c r="D617" s="340"/>
      <c r="E617" s="340"/>
      <c r="F617" s="340"/>
      <c r="G617" s="340"/>
      <c r="H617" s="340"/>
      <c r="I617" s="194"/>
      <c r="J617" s="194"/>
      <c r="K617" s="194"/>
      <c r="L617" s="648"/>
      <c r="M617" s="194"/>
      <c r="N617" s="194"/>
      <c r="O617" s="423"/>
      <c r="P617" s="194"/>
      <c r="S617" s="193"/>
      <c r="T617" s="193"/>
      <c r="U617" s="193"/>
      <c r="V617" s="193"/>
      <c r="W617" s="193"/>
      <c r="X617" s="193"/>
      <c r="Y617" s="503"/>
      <c r="Z617" s="193"/>
    </row>
    <row r="618" spans="1:26">
      <c r="A618" s="362"/>
      <c r="B618" s="340"/>
      <c r="C618" s="340"/>
      <c r="D618" s="340"/>
      <c r="E618" s="340"/>
      <c r="F618" s="340"/>
      <c r="G618" s="340"/>
      <c r="H618" s="340"/>
      <c r="I618" s="194"/>
      <c r="J618" s="194"/>
      <c r="K618" s="194"/>
      <c r="L618" s="648"/>
      <c r="M618" s="194"/>
      <c r="N618" s="194"/>
      <c r="O618" s="423"/>
      <c r="P618" s="194"/>
      <c r="S618" s="193"/>
      <c r="T618" s="193"/>
      <c r="U618" s="193"/>
      <c r="V618" s="193"/>
      <c r="W618" s="193"/>
      <c r="X618" s="193"/>
      <c r="Y618" s="503"/>
      <c r="Z618" s="193"/>
    </row>
    <row r="619" spans="1:26">
      <c r="A619" s="362"/>
      <c r="B619" s="340"/>
      <c r="C619" s="340"/>
      <c r="D619" s="340"/>
      <c r="E619" s="340"/>
      <c r="F619" s="340"/>
      <c r="G619" s="340"/>
      <c r="H619" s="340"/>
      <c r="I619" s="194"/>
      <c r="J619" s="194"/>
      <c r="K619" s="194"/>
      <c r="L619" s="648"/>
      <c r="M619" s="194"/>
      <c r="N619" s="194"/>
      <c r="O619" s="423"/>
      <c r="P619" s="194"/>
      <c r="S619" s="193"/>
      <c r="T619" s="193"/>
      <c r="U619" s="193"/>
      <c r="V619" s="193"/>
      <c r="W619" s="193"/>
      <c r="X619" s="193"/>
      <c r="Y619" s="503"/>
      <c r="Z619" s="193"/>
    </row>
    <row r="620" spans="1:26">
      <c r="A620" s="362"/>
      <c r="B620" s="340"/>
      <c r="C620" s="340"/>
      <c r="D620" s="340"/>
      <c r="E620" s="340"/>
      <c r="F620" s="340"/>
      <c r="G620" s="340"/>
      <c r="H620" s="340"/>
      <c r="I620" s="194"/>
      <c r="J620" s="194"/>
      <c r="K620" s="194"/>
      <c r="L620" s="648"/>
      <c r="M620" s="194"/>
      <c r="N620" s="194"/>
      <c r="O620" s="423"/>
      <c r="P620" s="194"/>
      <c r="S620" s="193"/>
      <c r="T620" s="193"/>
      <c r="U620" s="193"/>
      <c r="V620" s="193"/>
      <c r="W620" s="193"/>
      <c r="X620" s="193"/>
      <c r="Y620" s="503"/>
      <c r="Z620" s="193"/>
    </row>
    <row r="621" spans="1:26">
      <c r="A621" s="362"/>
      <c r="B621" s="340"/>
      <c r="C621" s="340"/>
      <c r="D621" s="340"/>
      <c r="E621" s="340"/>
      <c r="F621" s="340"/>
      <c r="G621" s="340"/>
      <c r="H621" s="340"/>
      <c r="I621" s="194"/>
      <c r="J621" s="194"/>
      <c r="K621" s="194"/>
      <c r="L621" s="648"/>
      <c r="M621" s="194"/>
      <c r="N621" s="194"/>
      <c r="O621" s="423"/>
      <c r="P621" s="194"/>
      <c r="S621" s="193"/>
      <c r="T621" s="193"/>
      <c r="U621" s="193"/>
      <c r="V621" s="193"/>
      <c r="W621" s="193"/>
      <c r="X621" s="193"/>
      <c r="Y621" s="503"/>
      <c r="Z621" s="193"/>
    </row>
    <row r="622" spans="1:26">
      <c r="A622" s="362"/>
      <c r="B622" s="340"/>
      <c r="C622" s="340"/>
      <c r="D622" s="340"/>
      <c r="E622" s="340"/>
      <c r="F622" s="340"/>
      <c r="G622" s="340"/>
      <c r="H622" s="340"/>
      <c r="I622" s="194"/>
      <c r="J622" s="194"/>
      <c r="K622" s="194"/>
      <c r="L622" s="648"/>
      <c r="M622" s="194"/>
      <c r="N622" s="194"/>
      <c r="O622" s="423"/>
      <c r="P622" s="194"/>
      <c r="S622" s="193"/>
      <c r="T622" s="193"/>
      <c r="U622" s="193"/>
      <c r="V622" s="193"/>
      <c r="W622" s="193"/>
      <c r="X622" s="193"/>
      <c r="Y622" s="503"/>
      <c r="Z622" s="193"/>
    </row>
    <row r="623" spans="1:26">
      <c r="A623" s="362"/>
      <c r="B623" s="340"/>
      <c r="C623" s="340"/>
      <c r="D623" s="340"/>
      <c r="E623" s="340"/>
      <c r="F623" s="340"/>
      <c r="G623" s="340"/>
      <c r="H623" s="340"/>
      <c r="I623" s="194"/>
      <c r="J623" s="194"/>
      <c r="K623" s="194"/>
      <c r="L623" s="648"/>
      <c r="M623" s="194"/>
      <c r="N623" s="194"/>
      <c r="O623" s="423"/>
      <c r="P623" s="194"/>
      <c r="S623" s="193"/>
      <c r="T623" s="193"/>
      <c r="U623" s="193"/>
      <c r="V623" s="193"/>
      <c r="W623" s="193"/>
      <c r="X623" s="193"/>
      <c r="Y623" s="503"/>
      <c r="Z623" s="193"/>
    </row>
    <row r="624" spans="1:26">
      <c r="A624" s="362"/>
      <c r="B624" s="340"/>
      <c r="C624" s="340"/>
      <c r="D624" s="340"/>
      <c r="E624" s="340"/>
      <c r="F624" s="340"/>
      <c r="G624" s="340"/>
      <c r="H624" s="340"/>
      <c r="I624" s="194"/>
      <c r="J624" s="194"/>
      <c r="K624" s="194"/>
      <c r="L624" s="648"/>
      <c r="M624" s="194"/>
      <c r="N624" s="194"/>
      <c r="O624" s="423"/>
      <c r="P624" s="194"/>
      <c r="S624" s="193"/>
      <c r="T624" s="193"/>
      <c r="U624" s="193"/>
      <c r="V624" s="193"/>
      <c r="W624" s="193"/>
      <c r="X624" s="193"/>
      <c r="Y624" s="503"/>
      <c r="Z624" s="193"/>
    </row>
    <row r="625" spans="1:26">
      <c r="A625" s="362"/>
      <c r="B625" s="340"/>
      <c r="C625" s="340"/>
      <c r="D625" s="340"/>
      <c r="E625" s="340"/>
      <c r="F625" s="340"/>
      <c r="G625" s="340"/>
      <c r="H625" s="340"/>
      <c r="I625" s="194"/>
      <c r="J625" s="194"/>
      <c r="K625" s="194"/>
      <c r="L625" s="648"/>
      <c r="M625" s="194"/>
      <c r="N625" s="194"/>
      <c r="O625" s="423"/>
      <c r="P625" s="194"/>
      <c r="S625" s="193"/>
      <c r="T625" s="193"/>
      <c r="U625" s="193"/>
      <c r="V625" s="193"/>
      <c r="W625" s="193"/>
      <c r="X625" s="193"/>
      <c r="Y625" s="503"/>
      <c r="Z625" s="193"/>
    </row>
    <row r="626" spans="1:26">
      <c r="A626" s="362"/>
      <c r="B626" s="340"/>
      <c r="C626" s="340"/>
      <c r="D626" s="340"/>
      <c r="E626" s="340"/>
      <c r="F626" s="340"/>
      <c r="G626" s="340"/>
      <c r="H626" s="340"/>
      <c r="I626" s="194"/>
      <c r="J626" s="194"/>
      <c r="K626" s="194"/>
      <c r="L626" s="648"/>
      <c r="M626" s="194"/>
      <c r="N626" s="194"/>
      <c r="O626" s="423"/>
      <c r="P626" s="194"/>
      <c r="S626" s="193"/>
      <c r="T626" s="193"/>
      <c r="U626" s="193"/>
      <c r="V626" s="193"/>
      <c r="W626" s="193"/>
      <c r="X626" s="193"/>
      <c r="Y626" s="503"/>
      <c r="Z626" s="193"/>
    </row>
    <row r="627" spans="1:26">
      <c r="A627" s="362"/>
      <c r="B627" s="340"/>
      <c r="C627" s="340"/>
      <c r="D627" s="340"/>
      <c r="E627" s="340"/>
      <c r="F627" s="340"/>
      <c r="G627" s="340"/>
      <c r="H627" s="340"/>
      <c r="I627" s="194"/>
      <c r="J627" s="194"/>
      <c r="K627" s="194"/>
      <c r="L627" s="648"/>
      <c r="M627" s="194"/>
      <c r="N627" s="194"/>
      <c r="O627" s="423"/>
      <c r="P627" s="194"/>
      <c r="S627" s="193"/>
      <c r="T627" s="193"/>
      <c r="U627" s="193"/>
      <c r="V627" s="193"/>
      <c r="W627" s="193"/>
      <c r="X627" s="193"/>
      <c r="Y627" s="503"/>
      <c r="Z627" s="193"/>
    </row>
    <row r="628" spans="1:26">
      <c r="A628" s="362"/>
      <c r="B628" s="340"/>
      <c r="C628" s="340"/>
      <c r="D628" s="340"/>
      <c r="E628" s="340"/>
      <c r="F628" s="340"/>
      <c r="G628" s="340"/>
      <c r="H628" s="340"/>
      <c r="I628" s="194"/>
      <c r="J628" s="194"/>
      <c r="K628" s="194"/>
      <c r="L628" s="648"/>
      <c r="M628" s="194"/>
      <c r="N628" s="194"/>
      <c r="O628" s="423"/>
      <c r="P628" s="194"/>
      <c r="S628" s="193"/>
      <c r="T628" s="193"/>
      <c r="U628" s="193"/>
      <c r="V628" s="193"/>
      <c r="W628" s="193"/>
      <c r="X628" s="193"/>
      <c r="Y628" s="503"/>
      <c r="Z628" s="193"/>
    </row>
    <row r="629" spans="1:26">
      <c r="A629" s="362"/>
      <c r="B629" s="340"/>
      <c r="C629" s="340"/>
      <c r="D629" s="340"/>
      <c r="E629" s="340"/>
      <c r="F629" s="340"/>
      <c r="G629" s="340"/>
      <c r="H629" s="340"/>
      <c r="I629" s="194"/>
      <c r="J629" s="194"/>
      <c r="K629" s="194"/>
      <c r="L629" s="648"/>
      <c r="M629" s="194"/>
      <c r="N629" s="194"/>
      <c r="O629" s="423"/>
      <c r="P629" s="194"/>
      <c r="S629" s="193"/>
      <c r="T629" s="193"/>
      <c r="U629" s="193"/>
      <c r="V629" s="193"/>
      <c r="W629" s="193"/>
      <c r="X629" s="193"/>
      <c r="Y629" s="503"/>
      <c r="Z629" s="193"/>
    </row>
    <row r="630" spans="1:26">
      <c r="A630" s="362"/>
      <c r="B630" s="340"/>
      <c r="C630" s="340"/>
      <c r="D630" s="340"/>
      <c r="E630" s="340"/>
      <c r="F630" s="340"/>
      <c r="G630" s="340"/>
      <c r="H630" s="340"/>
      <c r="I630" s="194"/>
      <c r="J630" s="194"/>
      <c r="K630" s="194"/>
      <c r="L630" s="648"/>
      <c r="M630" s="194"/>
      <c r="N630" s="194"/>
      <c r="O630" s="423"/>
      <c r="P630" s="194"/>
      <c r="S630" s="193"/>
      <c r="T630" s="193"/>
      <c r="U630" s="193"/>
      <c r="V630" s="193"/>
      <c r="W630" s="193"/>
      <c r="X630" s="193"/>
      <c r="Y630" s="503"/>
      <c r="Z630" s="193"/>
    </row>
    <row r="631" spans="1:26">
      <c r="A631" s="362"/>
      <c r="B631" s="340"/>
      <c r="C631" s="340"/>
      <c r="D631" s="340"/>
      <c r="E631" s="340"/>
      <c r="F631" s="340"/>
      <c r="G631" s="340"/>
      <c r="H631" s="340"/>
      <c r="I631" s="194"/>
      <c r="J631" s="194"/>
      <c r="K631" s="194"/>
      <c r="L631" s="648"/>
      <c r="M631" s="194"/>
      <c r="N631" s="194"/>
      <c r="O631" s="423"/>
      <c r="P631" s="194"/>
      <c r="S631" s="193"/>
      <c r="T631" s="193"/>
      <c r="U631" s="193"/>
      <c r="V631" s="193"/>
      <c r="W631" s="193"/>
      <c r="X631" s="193"/>
      <c r="Y631" s="503"/>
      <c r="Z631" s="193"/>
    </row>
    <row r="632" spans="1:26">
      <c r="A632" s="362"/>
      <c r="B632" s="340"/>
      <c r="C632" s="340"/>
      <c r="D632" s="340"/>
      <c r="E632" s="340"/>
      <c r="F632" s="340"/>
      <c r="G632" s="340"/>
      <c r="H632" s="340"/>
      <c r="I632" s="194"/>
      <c r="J632" s="194"/>
      <c r="K632" s="194"/>
      <c r="L632" s="648"/>
      <c r="M632" s="194"/>
      <c r="N632" s="194"/>
      <c r="O632" s="423"/>
      <c r="P632" s="194"/>
      <c r="S632" s="193"/>
      <c r="T632" s="193"/>
      <c r="U632" s="193"/>
      <c r="V632" s="193"/>
      <c r="W632" s="193"/>
      <c r="X632" s="193"/>
      <c r="Y632" s="503"/>
      <c r="Z632" s="193"/>
    </row>
    <row r="633" spans="1:26">
      <c r="A633" s="30"/>
    </row>
    <row r="634" spans="1:26">
      <c r="A634" s="30"/>
    </row>
    <row r="635" spans="1:26">
      <c r="A635" s="30"/>
    </row>
    <row r="636" spans="1:26">
      <c r="A636" s="30"/>
    </row>
    <row r="637" spans="1:26">
      <c r="A637" s="30"/>
    </row>
    <row r="638" spans="1:26">
      <c r="A638" s="30"/>
    </row>
    <row r="639" spans="1:26">
      <c r="A639" s="30"/>
    </row>
    <row r="640" spans="1:26">
      <c r="A640" s="30"/>
    </row>
    <row r="641" spans="1:1">
      <c r="A641" s="30"/>
    </row>
    <row r="642" spans="1:1">
      <c r="A642" s="30"/>
    </row>
    <row r="643" spans="1:1">
      <c r="A643" s="30"/>
    </row>
    <row r="644" spans="1:1">
      <c r="A644" s="30"/>
    </row>
    <row r="645" spans="1:1">
      <c r="A645" s="30"/>
    </row>
    <row r="646" spans="1:1">
      <c r="A646" s="30"/>
    </row>
    <row r="647" spans="1:1">
      <c r="A647" s="30"/>
    </row>
    <row r="648" spans="1:1">
      <c r="A648" s="30"/>
    </row>
    <row r="649" spans="1:1">
      <c r="A649" s="30"/>
    </row>
    <row r="650" spans="1:1">
      <c r="A650" s="30"/>
    </row>
    <row r="651" spans="1:1">
      <c r="A651" s="30"/>
    </row>
    <row r="652" spans="1:1">
      <c r="A652" s="30"/>
    </row>
    <row r="653" spans="1:1">
      <c r="A653" s="30"/>
    </row>
    <row r="654" spans="1:1">
      <c r="A654" s="30"/>
    </row>
    <row r="655" spans="1:1">
      <c r="A655" s="30"/>
    </row>
    <row r="656" spans="1:1">
      <c r="A656" s="30"/>
    </row>
    <row r="657" spans="1:1">
      <c r="A657" s="30"/>
    </row>
    <row r="658" spans="1:1">
      <c r="A658" s="30"/>
    </row>
    <row r="659" spans="1:1">
      <c r="A659" s="30"/>
    </row>
    <row r="660" spans="1:1">
      <c r="A660" s="30"/>
    </row>
    <row r="661" spans="1:1">
      <c r="A661" s="30"/>
    </row>
    <row r="662" spans="1:1">
      <c r="A662" s="30"/>
    </row>
    <row r="663" spans="1:1">
      <c r="A663" s="30"/>
    </row>
    <row r="664" spans="1:1">
      <c r="A664" s="30"/>
    </row>
    <row r="665" spans="1:1">
      <c r="A665" s="30"/>
    </row>
    <row r="666" spans="1:1">
      <c r="A666" s="30"/>
    </row>
    <row r="667" spans="1:1">
      <c r="A667" s="30"/>
    </row>
    <row r="668" spans="1:1">
      <c r="A668" s="30"/>
    </row>
    <row r="669" spans="1:1">
      <c r="A669" s="30"/>
    </row>
    <row r="670" spans="1:1">
      <c r="A670" s="30"/>
    </row>
    <row r="671" spans="1:1">
      <c r="A671" s="30"/>
    </row>
    <row r="672" spans="1:1">
      <c r="A672" s="30"/>
    </row>
    <row r="673" spans="1:1">
      <c r="A673" s="30"/>
    </row>
    <row r="674" spans="1:1">
      <c r="A674" s="30"/>
    </row>
    <row r="675" spans="1:1">
      <c r="A675" s="30"/>
    </row>
    <row r="676" spans="1:1">
      <c r="A676" s="30"/>
    </row>
    <row r="677" spans="1:1">
      <c r="A677" s="30"/>
    </row>
    <row r="678" spans="1:1">
      <c r="A678" s="30"/>
    </row>
    <row r="679" spans="1:1">
      <c r="A679" s="30"/>
    </row>
    <row r="680" spans="1:1">
      <c r="A680" s="30"/>
    </row>
    <row r="681" spans="1:1">
      <c r="A681" s="30"/>
    </row>
    <row r="682" spans="1:1">
      <c r="A682" s="30"/>
    </row>
    <row r="683" spans="1:1">
      <c r="A683" s="30"/>
    </row>
    <row r="684" spans="1:1">
      <c r="A684" s="30"/>
    </row>
    <row r="685" spans="1:1">
      <c r="A685" s="30"/>
    </row>
    <row r="686" spans="1:1">
      <c r="A686" s="30"/>
    </row>
    <row r="687" spans="1:1">
      <c r="A687" s="30"/>
    </row>
    <row r="688" spans="1:1">
      <c r="A688" s="30"/>
    </row>
    <row r="689" spans="1:1">
      <c r="A689" s="30"/>
    </row>
    <row r="690" spans="1:1">
      <c r="A690" s="30"/>
    </row>
    <row r="691" spans="1:1">
      <c r="A691" s="30"/>
    </row>
    <row r="692" spans="1:1">
      <c r="A692" s="30"/>
    </row>
    <row r="693" spans="1:1">
      <c r="A693" s="30"/>
    </row>
    <row r="694" spans="1:1">
      <c r="A694" s="30"/>
    </row>
    <row r="695" spans="1:1">
      <c r="A695" s="30"/>
    </row>
    <row r="696" spans="1:1">
      <c r="A696" s="30"/>
    </row>
    <row r="697" spans="1:1">
      <c r="A697" s="30"/>
    </row>
    <row r="698" spans="1:1">
      <c r="A698" s="30"/>
    </row>
    <row r="699" spans="1:1">
      <c r="A699" s="30"/>
    </row>
    <row r="700" spans="1:1">
      <c r="A700" s="30"/>
    </row>
    <row r="701" spans="1:1">
      <c r="A701" s="30"/>
    </row>
    <row r="702" spans="1:1">
      <c r="A702" s="30"/>
    </row>
    <row r="703" spans="1:1">
      <c r="A703" s="30"/>
    </row>
    <row r="704" spans="1:1">
      <c r="A704" s="30"/>
    </row>
    <row r="705" spans="1:1">
      <c r="A705" s="30"/>
    </row>
    <row r="706" spans="1:1">
      <c r="A706" s="30"/>
    </row>
    <row r="707" spans="1:1">
      <c r="A707" s="30"/>
    </row>
    <row r="708" spans="1:1">
      <c r="A708" s="30"/>
    </row>
    <row r="709" spans="1:1">
      <c r="A709" s="30"/>
    </row>
    <row r="710" spans="1:1">
      <c r="A710" s="30"/>
    </row>
    <row r="711" spans="1:1">
      <c r="A711" s="30"/>
    </row>
    <row r="712" spans="1:1">
      <c r="A712" s="30"/>
    </row>
    <row r="713" spans="1:1">
      <c r="A713" s="30"/>
    </row>
    <row r="714" spans="1:1">
      <c r="A714" s="30"/>
    </row>
    <row r="715" spans="1:1">
      <c r="A715" s="30"/>
    </row>
    <row r="716" spans="1:1">
      <c r="A716" s="30"/>
    </row>
    <row r="717" spans="1:1">
      <c r="A717" s="30"/>
    </row>
    <row r="718" spans="1:1">
      <c r="A718" s="30"/>
    </row>
    <row r="719" spans="1:1">
      <c r="A719" s="30"/>
    </row>
    <row r="720" spans="1:1">
      <c r="A720" s="30"/>
    </row>
    <row r="721" spans="1:1">
      <c r="A721" s="30"/>
    </row>
    <row r="722" spans="1:1">
      <c r="A722" s="30"/>
    </row>
    <row r="723" spans="1:1">
      <c r="A723" s="30"/>
    </row>
    <row r="724" spans="1:1">
      <c r="A724" s="30"/>
    </row>
    <row r="725" spans="1:1">
      <c r="A725" s="30"/>
    </row>
    <row r="726" spans="1:1">
      <c r="A726" s="30"/>
    </row>
    <row r="727" spans="1:1">
      <c r="A727" s="30"/>
    </row>
    <row r="728" spans="1:1">
      <c r="A728" s="30"/>
    </row>
    <row r="729" spans="1:1">
      <c r="A729" s="30"/>
    </row>
    <row r="730" spans="1:1">
      <c r="A730" s="30"/>
    </row>
    <row r="731" spans="1:1">
      <c r="A731" s="30"/>
    </row>
    <row r="732" spans="1:1">
      <c r="A732" s="30"/>
    </row>
    <row r="733" spans="1:1">
      <c r="A733" s="30"/>
    </row>
    <row r="734" spans="1:1">
      <c r="A734" s="30"/>
    </row>
    <row r="735" spans="1:1">
      <c r="A735" s="30"/>
    </row>
    <row r="736" spans="1:1">
      <c r="A736" s="30"/>
    </row>
    <row r="737" spans="1:1">
      <c r="A737" s="30"/>
    </row>
    <row r="738" spans="1:1">
      <c r="A738" s="30"/>
    </row>
    <row r="739" spans="1:1">
      <c r="A739" s="30"/>
    </row>
    <row r="740" spans="1:1">
      <c r="A740" s="30"/>
    </row>
    <row r="741" spans="1:1">
      <c r="A741" s="30"/>
    </row>
    <row r="742" spans="1:1">
      <c r="A742" s="30"/>
    </row>
    <row r="743" spans="1:1">
      <c r="A743" s="30"/>
    </row>
    <row r="744" spans="1:1">
      <c r="A744" s="30"/>
    </row>
    <row r="745" spans="1:1">
      <c r="A745" s="30"/>
    </row>
    <row r="746" spans="1:1">
      <c r="A746" s="30"/>
    </row>
    <row r="747" spans="1:1">
      <c r="A747" s="30"/>
    </row>
    <row r="748" spans="1:1">
      <c r="A748" s="30"/>
    </row>
    <row r="749" spans="1:1">
      <c r="A749" s="30"/>
    </row>
    <row r="750" spans="1:1">
      <c r="A750" s="30"/>
    </row>
    <row r="751" spans="1:1">
      <c r="A751" s="30"/>
    </row>
    <row r="752" spans="1:1">
      <c r="A752" s="30"/>
    </row>
    <row r="753" spans="1:1">
      <c r="A753" s="30"/>
    </row>
    <row r="754" spans="1:1">
      <c r="A754" s="30"/>
    </row>
    <row r="755" spans="1:1">
      <c r="A755" s="30"/>
    </row>
    <row r="756" spans="1:1">
      <c r="A756" s="30"/>
    </row>
    <row r="757" spans="1:1">
      <c r="A757" s="30"/>
    </row>
    <row r="758" spans="1:1">
      <c r="A758" s="30"/>
    </row>
    <row r="759" spans="1:1">
      <c r="A759" s="30"/>
    </row>
    <row r="760" spans="1:1">
      <c r="A760" s="30"/>
    </row>
    <row r="761" spans="1:1">
      <c r="A761" s="30"/>
    </row>
    <row r="762" spans="1:1">
      <c r="A762" s="30"/>
    </row>
    <row r="763" spans="1:1">
      <c r="A763" s="30"/>
    </row>
    <row r="764" spans="1:1">
      <c r="A764" s="30"/>
    </row>
    <row r="765" spans="1:1">
      <c r="A765" s="30"/>
    </row>
    <row r="766" spans="1:1">
      <c r="A766" s="30"/>
    </row>
    <row r="767" spans="1:1">
      <c r="A767" s="30"/>
    </row>
    <row r="768" spans="1:1">
      <c r="A768" s="30"/>
    </row>
    <row r="769" spans="1:1">
      <c r="A769" s="30"/>
    </row>
    <row r="770" spans="1:1">
      <c r="A770" s="30"/>
    </row>
    <row r="771" spans="1:1">
      <c r="A771" s="30"/>
    </row>
    <row r="772" spans="1:1">
      <c r="A772" s="30"/>
    </row>
    <row r="773" spans="1:1">
      <c r="A773" s="30"/>
    </row>
    <row r="774" spans="1:1">
      <c r="A774" s="30"/>
    </row>
    <row r="775" spans="1:1">
      <c r="A775" s="30"/>
    </row>
    <row r="776" spans="1:1">
      <c r="A776" s="30"/>
    </row>
    <row r="777" spans="1:1">
      <c r="A777" s="30"/>
    </row>
    <row r="778" spans="1:1">
      <c r="A778" s="30"/>
    </row>
    <row r="779" spans="1:1">
      <c r="A779" s="30"/>
    </row>
    <row r="780" spans="1:1">
      <c r="A780" s="30"/>
    </row>
    <row r="781" spans="1:1">
      <c r="A781" s="30"/>
    </row>
    <row r="782" spans="1:1">
      <c r="A782" s="30"/>
    </row>
    <row r="783" spans="1:1">
      <c r="A783" s="30"/>
    </row>
    <row r="784" spans="1:1">
      <c r="A784" s="30"/>
    </row>
    <row r="785" spans="1:1">
      <c r="A785" s="30"/>
    </row>
    <row r="786" spans="1:1">
      <c r="A786" s="30"/>
    </row>
    <row r="787" spans="1:1">
      <c r="A787" s="30"/>
    </row>
    <row r="788" spans="1:1">
      <c r="A788" s="30"/>
    </row>
    <row r="789" spans="1:1">
      <c r="A789" s="30"/>
    </row>
    <row r="790" spans="1:1">
      <c r="A790" s="30"/>
    </row>
    <row r="791" spans="1:1">
      <c r="A791" s="30"/>
    </row>
    <row r="792" spans="1:1">
      <c r="A792" s="30"/>
    </row>
    <row r="793" spans="1:1">
      <c r="A793" s="30"/>
    </row>
    <row r="794" spans="1:1">
      <c r="A794" s="30"/>
    </row>
    <row r="795" spans="1:1">
      <c r="A795" s="30"/>
    </row>
    <row r="796" spans="1:1">
      <c r="A796" s="30"/>
    </row>
    <row r="797" spans="1:1">
      <c r="A797" s="30"/>
    </row>
    <row r="798" spans="1:1">
      <c r="A798" s="30"/>
    </row>
    <row r="799" spans="1:1">
      <c r="A799" s="30"/>
    </row>
    <row r="800" spans="1:1">
      <c r="A800" s="30"/>
    </row>
    <row r="801" spans="1:1">
      <c r="A801" s="30"/>
    </row>
    <row r="802" spans="1:1">
      <c r="A802" s="30"/>
    </row>
    <row r="803" spans="1:1">
      <c r="A803" s="30"/>
    </row>
    <row r="804" spans="1:1">
      <c r="A804" s="30"/>
    </row>
    <row r="805" spans="1:1">
      <c r="A805" s="30"/>
    </row>
    <row r="806" spans="1:1">
      <c r="A806" s="30"/>
    </row>
    <row r="807" spans="1:1">
      <c r="A807" s="30"/>
    </row>
    <row r="808" spans="1:1">
      <c r="A808" s="30"/>
    </row>
    <row r="809" spans="1:1">
      <c r="A809" s="30"/>
    </row>
    <row r="810" spans="1:1">
      <c r="A810" s="30"/>
    </row>
    <row r="811" spans="1:1">
      <c r="A811" s="30"/>
    </row>
    <row r="812" spans="1:1">
      <c r="A812" s="30"/>
    </row>
    <row r="813" spans="1:1">
      <c r="A813" s="30"/>
    </row>
    <row r="814" spans="1:1">
      <c r="A814" s="30"/>
    </row>
    <row r="815" spans="1:1">
      <c r="A815" s="30"/>
    </row>
    <row r="816" spans="1:1">
      <c r="A816" s="30"/>
    </row>
    <row r="817" spans="1:1">
      <c r="A817" s="30"/>
    </row>
    <row r="818" spans="1:1">
      <c r="A818" s="30"/>
    </row>
    <row r="819" spans="1:1">
      <c r="A819" s="30"/>
    </row>
    <row r="820" spans="1:1">
      <c r="A820" s="30"/>
    </row>
    <row r="821" spans="1:1">
      <c r="A821" s="30"/>
    </row>
    <row r="822" spans="1:1">
      <c r="A822" s="30"/>
    </row>
    <row r="823" spans="1:1">
      <c r="A823" s="30"/>
    </row>
    <row r="824" spans="1:1">
      <c r="A824" s="30"/>
    </row>
    <row r="825" spans="1:1">
      <c r="A825" s="30"/>
    </row>
    <row r="826" spans="1:1">
      <c r="A826" s="30"/>
    </row>
    <row r="827" spans="1:1">
      <c r="A827" s="30"/>
    </row>
    <row r="828" spans="1:1">
      <c r="A828" s="30"/>
    </row>
    <row r="829" spans="1:1">
      <c r="A829" s="30"/>
    </row>
    <row r="830" spans="1:1">
      <c r="A830" s="30"/>
    </row>
    <row r="831" spans="1:1">
      <c r="A831" s="30"/>
    </row>
    <row r="832" spans="1:1">
      <c r="A832" s="30"/>
    </row>
    <row r="833" spans="1:1">
      <c r="A833" s="30"/>
    </row>
    <row r="834" spans="1:1">
      <c r="A834" s="30"/>
    </row>
    <row r="835" spans="1:1">
      <c r="A835" s="30"/>
    </row>
    <row r="836" spans="1:1">
      <c r="A836" s="30"/>
    </row>
    <row r="837" spans="1:1">
      <c r="A837" s="30"/>
    </row>
    <row r="838" spans="1:1">
      <c r="A838" s="30"/>
    </row>
    <row r="839" spans="1:1">
      <c r="A839" s="30"/>
    </row>
    <row r="840" spans="1:1">
      <c r="A840" s="30"/>
    </row>
    <row r="841" spans="1:1">
      <c r="A841" s="30"/>
    </row>
    <row r="842" spans="1:1">
      <c r="A842" s="30"/>
    </row>
    <row r="843" spans="1:1">
      <c r="A843" s="30"/>
    </row>
    <row r="844" spans="1:1">
      <c r="A844" s="30"/>
    </row>
    <row r="845" spans="1:1">
      <c r="A845" s="30"/>
    </row>
    <row r="846" spans="1:1">
      <c r="A846" s="30"/>
    </row>
    <row r="847" spans="1:1">
      <c r="A847" s="30"/>
    </row>
    <row r="848" spans="1:1">
      <c r="A848" s="30"/>
    </row>
    <row r="849" spans="1:1">
      <c r="A849" s="30"/>
    </row>
    <row r="850" spans="1:1">
      <c r="A850" s="30"/>
    </row>
    <row r="851" spans="1:1">
      <c r="A851" s="30"/>
    </row>
    <row r="852" spans="1:1">
      <c r="A852" s="30"/>
    </row>
    <row r="853" spans="1:1">
      <c r="A853" s="30"/>
    </row>
    <row r="854" spans="1:1">
      <c r="A854" s="30"/>
    </row>
    <row r="855" spans="1:1">
      <c r="A855" s="30"/>
    </row>
    <row r="856" spans="1:1">
      <c r="A856" s="30"/>
    </row>
    <row r="857" spans="1:1">
      <c r="A857" s="30"/>
    </row>
    <row r="858" spans="1:1">
      <c r="A858" s="30"/>
    </row>
    <row r="859" spans="1:1">
      <c r="A859" s="30"/>
    </row>
    <row r="860" spans="1:1">
      <c r="A860" s="30"/>
    </row>
    <row r="861" spans="1:1">
      <c r="A861" s="30"/>
    </row>
    <row r="862" spans="1:1">
      <c r="A862" s="30"/>
    </row>
    <row r="863" spans="1:1">
      <c r="A863" s="30"/>
    </row>
    <row r="864" spans="1:1">
      <c r="A864" s="30"/>
    </row>
    <row r="865" spans="1:1">
      <c r="A865" s="30"/>
    </row>
    <row r="866" spans="1:1">
      <c r="A866" s="30"/>
    </row>
    <row r="867" spans="1:1">
      <c r="A867" s="30"/>
    </row>
    <row r="868" spans="1:1">
      <c r="A868" s="30"/>
    </row>
    <row r="869" spans="1:1">
      <c r="A869" s="30"/>
    </row>
    <row r="870" spans="1:1">
      <c r="A870" s="30"/>
    </row>
    <row r="871" spans="1:1">
      <c r="A871" s="30"/>
    </row>
    <row r="872" spans="1:1">
      <c r="A872" s="30"/>
    </row>
    <row r="873" spans="1:1">
      <c r="A873" s="30"/>
    </row>
    <row r="874" spans="1:1">
      <c r="A874" s="30"/>
    </row>
    <row r="875" spans="1:1">
      <c r="A875" s="30"/>
    </row>
    <row r="876" spans="1:1">
      <c r="A876" s="30"/>
    </row>
    <row r="877" spans="1:1">
      <c r="A877" s="30"/>
    </row>
    <row r="878" spans="1:1">
      <c r="A878" s="30"/>
    </row>
    <row r="879" spans="1:1">
      <c r="A879" s="30"/>
    </row>
    <row r="880" spans="1:1">
      <c r="A880" s="30"/>
    </row>
    <row r="881" spans="1:1">
      <c r="A881" s="30"/>
    </row>
    <row r="882" spans="1:1">
      <c r="A882" s="30"/>
    </row>
    <row r="883" spans="1:1">
      <c r="A883" s="30"/>
    </row>
    <row r="884" spans="1:1">
      <c r="A884" s="30"/>
    </row>
    <row r="885" spans="1:1">
      <c r="A885" s="30"/>
    </row>
    <row r="886" spans="1:1">
      <c r="A886" s="30"/>
    </row>
    <row r="887" spans="1:1">
      <c r="A887" s="30"/>
    </row>
    <row r="888" spans="1:1">
      <c r="A888" s="30"/>
    </row>
    <row r="889" spans="1:1">
      <c r="A889" s="30"/>
    </row>
    <row r="890" spans="1:1">
      <c r="A890" s="30"/>
    </row>
    <row r="891" spans="1:1">
      <c r="A891" s="30"/>
    </row>
    <row r="892" spans="1:1">
      <c r="A892" s="30"/>
    </row>
    <row r="893" spans="1:1">
      <c r="A893" s="30"/>
    </row>
    <row r="894" spans="1:1">
      <c r="A894" s="30"/>
    </row>
    <row r="895" spans="1:1">
      <c r="A895" s="30"/>
    </row>
    <row r="896" spans="1:1">
      <c r="A896" s="30"/>
    </row>
    <row r="897" spans="1:1">
      <c r="A897" s="30"/>
    </row>
    <row r="898" spans="1:1">
      <c r="A898" s="30"/>
    </row>
    <row r="899" spans="1:1">
      <c r="A899" s="30"/>
    </row>
    <row r="900" spans="1:1">
      <c r="A900" s="30"/>
    </row>
    <row r="901" spans="1:1">
      <c r="A901" s="30"/>
    </row>
    <row r="902" spans="1:1">
      <c r="A902" s="30"/>
    </row>
    <row r="903" spans="1:1">
      <c r="A903" s="30"/>
    </row>
    <row r="904" spans="1:1">
      <c r="A904" s="30"/>
    </row>
    <row r="905" spans="1:1">
      <c r="A905" s="30"/>
    </row>
    <row r="906" spans="1:1">
      <c r="A906" s="30"/>
    </row>
    <row r="907" spans="1:1">
      <c r="A907" s="30"/>
    </row>
    <row r="908" spans="1:1">
      <c r="A908" s="30"/>
    </row>
    <row r="909" spans="1:1">
      <c r="A909" s="30"/>
    </row>
    <row r="910" spans="1:1">
      <c r="A910" s="30"/>
    </row>
    <row r="911" spans="1:1">
      <c r="A911" s="30"/>
    </row>
    <row r="912" spans="1:1">
      <c r="A912" s="30"/>
    </row>
    <row r="913" spans="1:1">
      <c r="A913" s="30"/>
    </row>
    <row r="914" spans="1:1">
      <c r="A914" s="30"/>
    </row>
    <row r="915" spans="1:1">
      <c r="A915" s="30"/>
    </row>
    <row r="916" spans="1:1">
      <c r="A916" s="30"/>
    </row>
    <row r="917" spans="1:1">
      <c r="A917" s="30"/>
    </row>
    <row r="918" spans="1:1">
      <c r="A918" s="30"/>
    </row>
    <row r="919" spans="1:1">
      <c r="A919" s="30"/>
    </row>
    <row r="920" spans="1:1">
      <c r="A920" s="30"/>
    </row>
    <row r="921" spans="1:1">
      <c r="A921" s="30"/>
    </row>
    <row r="922" spans="1:1">
      <c r="A922" s="30"/>
    </row>
    <row r="923" spans="1:1">
      <c r="A923" s="30"/>
    </row>
    <row r="924" spans="1:1">
      <c r="A924" s="30"/>
    </row>
    <row r="925" spans="1:1">
      <c r="A925" s="30"/>
    </row>
    <row r="926" spans="1:1">
      <c r="A926" s="30"/>
    </row>
    <row r="927" spans="1:1">
      <c r="A927" s="30"/>
    </row>
    <row r="928" spans="1:1">
      <c r="A928" s="30"/>
    </row>
    <row r="929" spans="1:1">
      <c r="A929" s="30"/>
    </row>
    <row r="930" spans="1:1">
      <c r="A930" s="30"/>
    </row>
    <row r="931" spans="1:1">
      <c r="A931" s="30"/>
    </row>
    <row r="932" spans="1:1">
      <c r="A932" s="30"/>
    </row>
    <row r="933" spans="1:1">
      <c r="A933" s="30"/>
    </row>
    <row r="934" spans="1:1">
      <c r="A934" s="30"/>
    </row>
    <row r="935" spans="1:1">
      <c r="A935" s="30"/>
    </row>
    <row r="936" spans="1:1">
      <c r="A936" s="30"/>
    </row>
    <row r="937" spans="1:1">
      <c r="A937" s="30"/>
    </row>
    <row r="938" spans="1:1">
      <c r="A938" s="30"/>
    </row>
    <row r="939" spans="1:1">
      <c r="A939" s="30"/>
    </row>
    <row r="940" spans="1:1">
      <c r="A940" s="30"/>
    </row>
    <row r="941" spans="1:1">
      <c r="A941" s="30"/>
    </row>
    <row r="942" spans="1:1">
      <c r="A942" s="30"/>
    </row>
    <row r="943" spans="1:1">
      <c r="A943" s="30"/>
    </row>
    <row r="944" spans="1:1">
      <c r="A944" s="30"/>
    </row>
    <row r="945" spans="1:1">
      <c r="A945" s="30"/>
    </row>
    <row r="946" spans="1:1">
      <c r="A946" s="30"/>
    </row>
    <row r="947" spans="1:1">
      <c r="A947" s="30"/>
    </row>
    <row r="948" spans="1:1">
      <c r="A948" s="30"/>
    </row>
    <row r="949" spans="1:1">
      <c r="A949" s="30"/>
    </row>
    <row r="950" spans="1:1">
      <c r="A950" s="30"/>
    </row>
    <row r="951" spans="1:1">
      <c r="A951" s="30"/>
    </row>
    <row r="952" spans="1:1">
      <c r="A952" s="30"/>
    </row>
    <row r="953" spans="1:1">
      <c r="A953" s="30"/>
    </row>
    <row r="954" spans="1:1">
      <c r="A954" s="30"/>
    </row>
    <row r="955" spans="1:1">
      <c r="A955" s="30"/>
    </row>
    <row r="956" spans="1:1">
      <c r="A956" s="30"/>
    </row>
    <row r="957" spans="1:1">
      <c r="A957" s="30"/>
    </row>
    <row r="958" spans="1:1">
      <c r="A958" s="30"/>
    </row>
    <row r="959" spans="1:1">
      <c r="A959" s="30"/>
    </row>
    <row r="960" spans="1:1">
      <c r="A960" s="30"/>
    </row>
    <row r="961" spans="1:1">
      <c r="A961" s="30"/>
    </row>
    <row r="962" spans="1:1">
      <c r="A962" s="30"/>
    </row>
    <row r="963" spans="1:1">
      <c r="A963" s="30"/>
    </row>
    <row r="964" spans="1:1">
      <c r="A964" s="30"/>
    </row>
    <row r="965" spans="1:1">
      <c r="A965" s="30"/>
    </row>
    <row r="966" spans="1:1">
      <c r="A966" s="30"/>
    </row>
    <row r="967" spans="1:1">
      <c r="A967" s="30"/>
    </row>
    <row r="968" spans="1:1">
      <c r="A968" s="30"/>
    </row>
    <row r="969" spans="1:1">
      <c r="A969" s="30"/>
    </row>
    <row r="970" spans="1:1">
      <c r="A970" s="30"/>
    </row>
    <row r="971" spans="1:1">
      <c r="A971" s="30"/>
    </row>
    <row r="972" spans="1:1">
      <c r="A972" s="30"/>
    </row>
    <row r="973" spans="1:1">
      <c r="A973" s="30"/>
    </row>
    <row r="974" spans="1:1">
      <c r="A974" s="30"/>
    </row>
    <row r="975" spans="1:1">
      <c r="A975" s="30"/>
    </row>
    <row r="976" spans="1:1">
      <c r="A976" s="30"/>
    </row>
    <row r="977" spans="1:1">
      <c r="A977" s="30"/>
    </row>
    <row r="978" spans="1:1">
      <c r="A978" s="30"/>
    </row>
    <row r="979" spans="1:1">
      <c r="A979" s="30"/>
    </row>
    <row r="980" spans="1:1">
      <c r="A980" s="30"/>
    </row>
    <row r="981" spans="1:1">
      <c r="A981" s="30"/>
    </row>
    <row r="982" spans="1:1">
      <c r="A982" s="30"/>
    </row>
    <row r="983" spans="1:1">
      <c r="A983" s="30"/>
    </row>
    <row r="984" spans="1:1">
      <c r="A984" s="30"/>
    </row>
    <row r="985" spans="1:1">
      <c r="A985" s="30"/>
    </row>
    <row r="986" spans="1:1">
      <c r="A986" s="30"/>
    </row>
    <row r="987" spans="1:1">
      <c r="A987" s="30"/>
    </row>
    <row r="988" spans="1:1">
      <c r="A988" s="30"/>
    </row>
    <row r="989" spans="1:1">
      <c r="A989" s="30"/>
    </row>
    <row r="990" spans="1:1">
      <c r="A990" s="30"/>
    </row>
    <row r="991" spans="1:1">
      <c r="A991" s="30"/>
    </row>
    <row r="992" spans="1:1">
      <c r="A992" s="30"/>
    </row>
    <row r="993" spans="1:1">
      <c r="A993" s="30"/>
    </row>
    <row r="994" spans="1:1">
      <c r="A994" s="30"/>
    </row>
    <row r="995" spans="1:1">
      <c r="A995" s="30"/>
    </row>
    <row r="996" spans="1:1">
      <c r="A996" s="30"/>
    </row>
    <row r="997" spans="1:1">
      <c r="A997" s="30"/>
    </row>
    <row r="998" spans="1:1">
      <c r="A998" s="30"/>
    </row>
    <row r="999" spans="1:1">
      <c r="A999" s="30"/>
    </row>
    <row r="1000" spans="1:1">
      <c r="A1000" s="30"/>
    </row>
    <row r="1001" spans="1:1">
      <c r="A1001" s="30"/>
    </row>
    <row r="1002" spans="1:1">
      <c r="A1002" s="30"/>
    </row>
    <row r="1003" spans="1:1">
      <c r="A1003" s="30"/>
    </row>
    <row r="1004" spans="1:1">
      <c r="A1004" s="30"/>
    </row>
    <row r="1005" spans="1:1">
      <c r="A1005" s="30"/>
    </row>
    <row r="1006" spans="1:1">
      <c r="A1006" s="30"/>
    </row>
    <row r="1007" spans="1:1">
      <c r="A1007" s="30"/>
    </row>
    <row r="1008" spans="1:1">
      <c r="A1008" s="30"/>
    </row>
    <row r="1009" spans="1:1">
      <c r="A1009" s="30"/>
    </row>
    <row r="1010" spans="1:1">
      <c r="A1010" s="30"/>
    </row>
    <row r="1011" spans="1:1">
      <c r="A1011" s="30"/>
    </row>
    <row r="1012" spans="1:1">
      <c r="A1012" s="30"/>
    </row>
    <row r="1013" spans="1:1">
      <c r="A1013" s="30"/>
    </row>
    <row r="1014" spans="1:1">
      <c r="A1014" s="30"/>
    </row>
    <row r="1015" spans="1:1">
      <c r="A1015" s="30"/>
    </row>
    <row r="1016" spans="1:1">
      <c r="A1016" s="30"/>
    </row>
    <row r="1017" spans="1:1">
      <c r="A1017" s="30"/>
    </row>
    <row r="1018" spans="1:1">
      <c r="A1018" s="30"/>
    </row>
    <row r="1019" spans="1:1">
      <c r="A1019" s="30"/>
    </row>
    <row r="1020" spans="1:1">
      <c r="A1020" s="30"/>
    </row>
    <row r="1021" spans="1:1">
      <c r="A1021" s="30"/>
    </row>
    <row r="1022" spans="1:1">
      <c r="A1022" s="30"/>
    </row>
    <row r="1023" spans="1:1">
      <c r="A1023" s="30"/>
    </row>
    <row r="1024" spans="1:1">
      <c r="A1024" s="30"/>
    </row>
    <row r="1025" spans="1:1">
      <c r="A1025" s="30"/>
    </row>
    <row r="1026" spans="1:1">
      <c r="A1026" s="30"/>
    </row>
    <row r="1027" spans="1:1">
      <c r="A1027" s="30"/>
    </row>
    <row r="1028" spans="1:1">
      <c r="A1028" s="30"/>
    </row>
    <row r="1029" spans="1:1">
      <c r="A1029" s="30"/>
    </row>
    <row r="1030" spans="1:1">
      <c r="A1030" s="30"/>
    </row>
    <row r="1031" spans="1:1">
      <c r="A1031" s="30"/>
    </row>
    <row r="1032" spans="1:1">
      <c r="A1032" s="30"/>
    </row>
    <row r="1033" spans="1:1">
      <c r="A1033" s="30"/>
    </row>
    <row r="1034" spans="1:1">
      <c r="A1034" s="30"/>
    </row>
    <row r="1035" spans="1:1">
      <c r="A1035" s="30"/>
    </row>
    <row r="1036" spans="1:1">
      <c r="A1036" s="30"/>
    </row>
    <row r="1037" spans="1:1">
      <c r="A1037" s="30"/>
    </row>
    <row r="1038" spans="1:1">
      <c r="A1038" s="30"/>
    </row>
    <row r="1039" spans="1:1">
      <c r="A1039" s="30"/>
    </row>
    <row r="1040" spans="1:1">
      <c r="A1040" s="30"/>
    </row>
    <row r="1041" spans="1:1">
      <c r="A1041" s="30"/>
    </row>
    <row r="1042" spans="1:1">
      <c r="A1042" s="30"/>
    </row>
    <row r="1043" spans="1:1">
      <c r="A1043" s="30"/>
    </row>
    <row r="1044" spans="1:1">
      <c r="A1044" s="30"/>
    </row>
    <row r="1045" spans="1:1">
      <c r="A1045" s="30"/>
    </row>
    <row r="1046" spans="1:1">
      <c r="A1046" s="30"/>
    </row>
    <row r="1047" spans="1:1">
      <c r="A1047" s="30"/>
    </row>
    <row r="1048" spans="1:1">
      <c r="A1048" s="30"/>
    </row>
    <row r="1049" spans="1:1">
      <c r="A1049" s="30"/>
    </row>
    <row r="1050" spans="1:1">
      <c r="A1050" s="30"/>
    </row>
    <row r="1051" spans="1:1">
      <c r="A1051" s="30"/>
    </row>
    <row r="1052" spans="1:1">
      <c r="A1052" s="30"/>
    </row>
    <row r="1053" spans="1:1">
      <c r="A1053" s="30"/>
    </row>
    <row r="1054" spans="1:1">
      <c r="A1054" s="30"/>
    </row>
    <row r="1055" spans="1:1">
      <c r="A1055" s="30"/>
    </row>
    <row r="1056" spans="1:1">
      <c r="A1056" s="30"/>
    </row>
    <row r="1057" spans="1:1">
      <c r="A1057" s="30"/>
    </row>
    <row r="1058" spans="1:1">
      <c r="A1058" s="30"/>
    </row>
    <row r="1059" spans="1:1">
      <c r="A1059" s="30"/>
    </row>
    <row r="1060" spans="1:1">
      <c r="A1060" s="30"/>
    </row>
    <row r="1061" spans="1:1">
      <c r="A1061" s="30"/>
    </row>
    <row r="1062" spans="1:1">
      <c r="A1062" s="30"/>
    </row>
    <row r="1063" spans="1:1">
      <c r="A1063" s="30"/>
    </row>
    <row r="1064" spans="1:1">
      <c r="A1064" s="30"/>
    </row>
    <row r="1065" spans="1:1">
      <c r="A1065" s="30"/>
    </row>
    <row r="1066" spans="1:1">
      <c r="A1066" s="30"/>
    </row>
    <row r="1067" spans="1:1">
      <c r="A1067" s="30"/>
    </row>
    <row r="1068" spans="1:1">
      <c r="A1068" s="30"/>
    </row>
    <row r="1069" spans="1:1">
      <c r="A1069" s="30"/>
    </row>
    <row r="1070" spans="1:1">
      <c r="A1070" s="30"/>
    </row>
    <row r="1071" spans="1:1">
      <c r="A1071" s="30"/>
    </row>
    <row r="1072" spans="1:1">
      <c r="A1072" s="30"/>
    </row>
    <row r="1073" spans="1:1">
      <c r="A1073" s="30"/>
    </row>
    <row r="1074" spans="1:1">
      <c r="A1074" s="30"/>
    </row>
    <row r="1075" spans="1:1">
      <c r="A1075" s="30"/>
    </row>
    <row r="1076" spans="1:1">
      <c r="A1076" s="30"/>
    </row>
    <row r="1077" spans="1:1">
      <c r="A1077" s="30"/>
    </row>
    <row r="1078" spans="1:1">
      <c r="A1078" s="30"/>
    </row>
    <row r="1079" spans="1:1">
      <c r="A1079" s="30"/>
    </row>
    <row r="1080" spans="1:1">
      <c r="A1080" s="30"/>
    </row>
    <row r="1081" spans="1:1">
      <c r="A1081" s="30"/>
    </row>
    <row r="1082" spans="1:1">
      <c r="A1082" s="30"/>
    </row>
    <row r="1083" spans="1:1">
      <c r="A1083" s="30"/>
    </row>
    <row r="1084" spans="1:1">
      <c r="A1084" s="30"/>
    </row>
    <row r="1085" spans="1:1">
      <c r="A1085" s="30"/>
    </row>
    <row r="1086" spans="1:1">
      <c r="A1086" s="30"/>
    </row>
    <row r="1087" spans="1:1">
      <c r="A1087" s="30"/>
    </row>
    <row r="1088" spans="1:1">
      <c r="A1088" s="30"/>
    </row>
    <row r="1089" spans="1:1">
      <c r="A1089" s="30"/>
    </row>
    <row r="1090" spans="1:1">
      <c r="A1090" s="30"/>
    </row>
    <row r="1091" spans="1:1">
      <c r="A1091" s="30"/>
    </row>
    <row r="1092" spans="1:1">
      <c r="A1092" s="30"/>
    </row>
    <row r="1093" spans="1:1">
      <c r="A1093" s="30"/>
    </row>
    <row r="1094" spans="1:1">
      <c r="A1094" s="30"/>
    </row>
    <row r="1095" spans="1:1">
      <c r="A1095" s="30"/>
    </row>
    <row r="1096" spans="1:1">
      <c r="A1096" s="30"/>
    </row>
    <row r="1097" spans="1:1">
      <c r="A1097" s="30"/>
    </row>
    <row r="1098" spans="1:1">
      <c r="A1098" s="30"/>
    </row>
    <row r="1099" spans="1:1">
      <c r="A1099" s="30"/>
    </row>
    <row r="1100" spans="1:1">
      <c r="A1100" s="30"/>
    </row>
    <row r="1101" spans="1:1">
      <c r="A1101" s="30"/>
    </row>
    <row r="1102" spans="1:1">
      <c r="A1102" s="30"/>
    </row>
    <row r="1103" spans="1:1">
      <c r="A1103" s="30"/>
    </row>
    <row r="1104" spans="1:1">
      <c r="A1104" s="30"/>
    </row>
    <row r="1105" spans="1:1">
      <c r="A1105" s="30"/>
    </row>
    <row r="1106" spans="1:1">
      <c r="A1106" s="30"/>
    </row>
    <row r="1107" spans="1:1">
      <c r="A1107" s="30"/>
    </row>
    <row r="1108" spans="1:1">
      <c r="A1108" s="30"/>
    </row>
    <row r="1109" spans="1:1">
      <c r="A1109" s="30"/>
    </row>
    <row r="1110" spans="1:1">
      <c r="A1110" s="30"/>
    </row>
    <row r="1111" spans="1:1">
      <c r="A1111" s="30"/>
    </row>
    <row r="1112" spans="1:1">
      <c r="A1112" s="30"/>
    </row>
    <row r="1113" spans="1:1">
      <c r="A1113" s="30"/>
    </row>
    <row r="1114" spans="1:1">
      <c r="A1114" s="30"/>
    </row>
    <row r="1115" spans="1:1">
      <c r="A1115" s="30"/>
    </row>
    <row r="1116" spans="1:1">
      <c r="A1116" s="30"/>
    </row>
    <row r="1117" spans="1:1">
      <c r="A1117" s="30"/>
    </row>
    <row r="1118" spans="1:1">
      <c r="A1118" s="30"/>
    </row>
    <row r="1119" spans="1:1">
      <c r="A1119" s="30"/>
    </row>
    <row r="1120" spans="1:1">
      <c r="A1120" s="30"/>
    </row>
    <row r="1121" spans="1:1">
      <c r="A1121" s="30"/>
    </row>
    <row r="1122" spans="1:1">
      <c r="A1122" s="30"/>
    </row>
    <row r="1123" spans="1:1">
      <c r="A1123" s="30"/>
    </row>
    <row r="1124" spans="1:1">
      <c r="A1124" s="30"/>
    </row>
    <row r="1125" spans="1:1">
      <c r="A1125" s="30"/>
    </row>
    <row r="1126" spans="1:1">
      <c r="A1126" s="30"/>
    </row>
    <row r="1127" spans="1:1">
      <c r="A1127" s="30"/>
    </row>
    <row r="1128" spans="1:1">
      <c r="A1128" s="30"/>
    </row>
    <row r="1129" spans="1:1">
      <c r="A1129" s="30"/>
    </row>
    <row r="1130" spans="1:1">
      <c r="A1130" s="30"/>
    </row>
    <row r="1131" spans="1:1">
      <c r="A1131" s="30"/>
    </row>
    <row r="1132" spans="1:1">
      <c r="A1132" s="30"/>
    </row>
    <row r="1133" spans="1:1">
      <c r="A1133" s="30"/>
    </row>
    <row r="1134" spans="1:1">
      <c r="A1134" s="30"/>
    </row>
    <row r="1135" spans="1:1">
      <c r="A1135" s="30"/>
    </row>
    <row r="1136" spans="1:1">
      <c r="A1136" s="30"/>
    </row>
    <row r="1137" spans="1:1">
      <c r="A1137" s="30"/>
    </row>
    <row r="1138" spans="1:1">
      <c r="A1138" s="30"/>
    </row>
    <row r="1139" spans="1:1">
      <c r="A1139" s="30"/>
    </row>
    <row r="1140" spans="1:1">
      <c r="A1140" s="30"/>
    </row>
    <row r="1141" spans="1:1">
      <c r="A1141" s="30"/>
    </row>
    <row r="1142" spans="1:1">
      <c r="A1142" s="30"/>
    </row>
    <row r="1143" spans="1:1">
      <c r="A1143" s="30"/>
    </row>
    <row r="1144" spans="1:1">
      <c r="A1144" s="30"/>
    </row>
    <row r="1145" spans="1:1">
      <c r="A1145" s="30"/>
    </row>
    <row r="1146" spans="1:1">
      <c r="A1146" s="30"/>
    </row>
    <row r="1147" spans="1:1">
      <c r="A1147" s="30"/>
    </row>
    <row r="1148" spans="1:1">
      <c r="A1148" s="30"/>
    </row>
    <row r="1149" spans="1:1">
      <c r="A1149" s="30"/>
    </row>
    <row r="1150" spans="1:1">
      <c r="A1150" s="30"/>
    </row>
    <row r="1151" spans="1:1">
      <c r="A1151" s="30"/>
    </row>
    <row r="1152" spans="1:1">
      <c r="A1152" s="30"/>
    </row>
    <row r="1153" spans="1:1">
      <c r="A1153" s="30"/>
    </row>
    <row r="1154" spans="1:1">
      <c r="A1154" s="30"/>
    </row>
    <row r="1155" spans="1:1">
      <c r="A1155" s="30"/>
    </row>
    <row r="1156" spans="1:1">
      <c r="A1156" s="30"/>
    </row>
    <row r="1157" spans="1:1">
      <c r="A1157" s="30"/>
    </row>
    <row r="1158" spans="1:1">
      <c r="A1158" s="30"/>
    </row>
    <row r="1159" spans="1:1">
      <c r="A1159" s="30"/>
    </row>
    <row r="1160" spans="1:1">
      <c r="A1160" s="30"/>
    </row>
    <row r="1161" spans="1:1">
      <c r="A1161" s="30"/>
    </row>
    <row r="1162" spans="1:1">
      <c r="A1162" s="30"/>
    </row>
    <row r="1163" spans="1:1">
      <c r="A1163" s="30"/>
    </row>
    <row r="1164" spans="1:1">
      <c r="A1164" s="30"/>
    </row>
    <row r="1165" spans="1:1">
      <c r="A1165" s="30"/>
    </row>
    <row r="1166" spans="1:1">
      <c r="A1166" s="30"/>
    </row>
    <row r="1167" spans="1:1">
      <c r="A1167" s="30"/>
    </row>
    <row r="1168" spans="1:1">
      <c r="A1168" s="30"/>
    </row>
    <row r="1169" spans="1:1">
      <c r="A1169" s="30"/>
    </row>
    <row r="1170" spans="1:1">
      <c r="A1170" s="30"/>
    </row>
    <row r="1171" spans="1:1">
      <c r="A1171" s="30"/>
    </row>
    <row r="1172" spans="1:1">
      <c r="A1172" s="30"/>
    </row>
    <row r="1173" spans="1:1">
      <c r="A1173" s="30"/>
    </row>
    <row r="1174" spans="1:1">
      <c r="A1174" s="30"/>
    </row>
    <row r="1175" spans="1:1">
      <c r="A1175" s="30"/>
    </row>
    <row r="1176" spans="1:1">
      <c r="A1176" s="30"/>
    </row>
    <row r="1177" spans="1:1">
      <c r="A1177" s="30"/>
    </row>
    <row r="1178" spans="1:1">
      <c r="A1178" s="30"/>
    </row>
    <row r="1179" spans="1:1">
      <c r="A1179" s="30"/>
    </row>
    <row r="1180" spans="1:1">
      <c r="A1180" s="30"/>
    </row>
    <row r="1181" spans="1:1">
      <c r="A1181" s="30"/>
    </row>
    <row r="1182" spans="1:1">
      <c r="A1182" s="30"/>
    </row>
    <row r="1183" spans="1:1">
      <c r="A1183" s="30"/>
    </row>
    <row r="1184" spans="1:1">
      <c r="A1184" s="30"/>
    </row>
    <row r="1185" spans="1:1">
      <c r="A1185" s="30"/>
    </row>
    <row r="1186" spans="1:1">
      <c r="A1186" s="30"/>
    </row>
    <row r="1187" spans="1:1">
      <c r="A1187" s="30"/>
    </row>
    <row r="1188" spans="1:1">
      <c r="A1188" s="30"/>
    </row>
    <row r="1189" spans="1:1">
      <c r="A1189" s="30"/>
    </row>
    <row r="1190" spans="1:1">
      <c r="A1190" s="30"/>
    </row>
    <row r="1191" spans="1:1">
      <c r="A1191" s="30"/>
    </row>
    <row r="1192" spans="1:1">
      <c r="A1192" s="30"/>
    </row>
    <row r="1193" spans="1:1">
      <c r="A1193" s="30"/>
    </row>
    <row r="1194" spans="1:1">
      <c r="A1194" s="30"/>
    </row>
    <row r="1195" spans="1:1">
      <c r="A1195" s="30"/>
    </row>
    <row r="1196" spans="1:1">
      <c r="A1196" s="30"/>
    </row>
    <row r="1197" spans="1:1">
      <c r="A1197" s="30"/>
    </row>
    <row r="1198" spans="1:1">
      <c r="A1198" s="30"/>
    </row>
    <row r="1199" spans="1:1">
      <c r="A1199" s="30"/>
    </row>
    <row r="1200" spans="1:1">
      <c r="A1200" s="30"/>
    </row>
    <row r="1201" spans="1:1">
      <c r="A1201" s="30"/>
    </row>
    <row r="1202" spans="1:1">
      <c r="A1202" s="30"/>
    </row>
    <row r="1203" spans="1:1">
      <c r="A1203" s="30"/>
    </row>
    <row r="1204" spans="1:1">
      <c r="A1204" s="30"/>
    </row>
    <row r="1205" spans="1:1">
      <c r="A1205" s="30"/>
    </row>
    <row r="1206" spans="1:1">
      <c r="A1206" s="30"/>
    </row>
    <row r="1207" spans="1:1">
      <c r="A1207" s="30"/>
    </row>
    <row r="1208" spans="1:1">
      <c r="A1208" s="30"/>
    </row>
    <row r="1209" spans="1:1">
      <c r="A1209" s="30"/>
    </row>
    <row r="1210" spans="1:1">
      <c r="A1210" s="30"/>
    </row>
    <row r="1211" spans="1:1">
      <c r="A1211" s="30"/>
    </row>
    <row r="1212" spans="1:1">
      <c r="A1212" s="30"/>
    </row>
    <row r="1213" spans="1:1">
      <c r="A1213" s="30"/>
    </row>
    <row r="1214" spans="1:1">
      <c r="A1214" s="30"/>
    </row>
    <row r="1215" spans="1:1">
      <c r="A1215" s="30"/>
    </row>
    <row r="1216" spans="1:1">
      <c r="A1216" s="30"/>
    </row>
    <row r="1217" spans="1:1">
      <c r="A1217" s="30"/>
    </row>
    <row r="1218" spans="1:1">
      <c r="A1218" s="30"/>
    </row>
    <row r="1219" spans="1:1">
      <c r="A1219" s="30"/>
    </row>
    <row r="1220" spans="1:1">
      <c r="A1220" s="30"/>
    </row>
    <row r="1221" spans="1:1">
      <c r="A1221" s="30"/>
    </row>
    <row r="1222" spans="1:1">
      <c r="A1222" s="30"/>
    </row>
    <row r="1223" spans="1:1">
      <c r="A1223" s="30"/>
    </row>
    <row r="1224" spans="1:1">
      <c r="A1224" s="30"/>
    </row>
    <row r="1225" spans="1:1">
      <c r="A1225" s="30"/>
    </row>
    <row r="1226" spans="1:1">
      <c r="A1226" s="30"/>
    </row>
    <row r="1227" spans="1:1">
      <c r="A1227" s="30"/>
    </row>
    <row r="1228" spans="1:1">
      <c r="A1228" s="30"/>
    </row>
    <row r="1229" spans="1:1">
      <c r="A1229" s="30"/>
    </row>
    <row r="1230" spans="1:1">
      <c r="A1230" s="30"/>
    </row>
    <row r="1231" spans="1:1">
      <c r="A1231" s="30"/>
    </row>
    <row r="1232" spans="1:1">
      <c r="A1232" s="30"/>
    </row>
    <row r="1233" spans="1:1">
      <c r="A1233" s="30"/>
    </row>
    <row r="1234" spans="1:1">
      <c r="A1234" s="30"/>
    </row>
    <row r="1235" spans="1:1">
      <c r="A1235" s="30"/>
    </row>
    <row r="1236" spans="1:1">
      <c r="A1236" s="30"/>
    </row>
    <row r="1237" spans="1:1">
      <c r="A1237" s="30"/>
    </row>
    <row r="1238" spans="1:1">
      <c r="A1238" s="30"/>
    </row>
    <row r="1239" spans="1:1">
      <c r="A1239" s="30"/>
    </row>
    <row r="1240" spans="1:1">
      <c r="A1240" s="30"/>
    </row>
    <row r="1241" spans="1:1">
      <c r="A1241" s="30"/>
    </row>
    <row r="1242" spans="1:1">
      <c r="A1242" s="30"/>
    </row>
    <row r="1243" spans="1:1">
      <c r="A1243" s="30"/>
    </row>
    <row r="1244" spans="1:1">
      <c r="A1244" s="30"/>
    </row>
    <row r="1245" spans="1:1">
      <c r="A1245" s="30"/>
    </row>
    <row r="1246" spans="1:1">
      <c r="A1246" s="30"/>
    </row>
    <row r="1247" spans="1:1">
      <c r="A1247" s="30"/>
    </row>
    <row r="1248" spans="1:1">
      <c r="A1248" s="30"/>
    </row>
    <row r="1249" spans="1:1">
      <c r="A1249" s="30"/>
    </row>
    <row r="1250" spans="1:1">
      <c r="A1250" s="30"/>
    </row>
    <row r="1251" spans="1:1">
      <c r="A1251" s="30"/>
    </row>
    <row r="1252" spans="1:1">
      <c r="A1252" s="30"/>
    </row>
    <row r="1253" spans="1:1">
      <c r="A1253" s="30"/>
    </row>
    <row r="1254" spans="1:1">
      <c r="A1254" s="30"/>
    </row>
    <row r="1255" spans="1:1">
      <c r="A1255" s="30"/>
    </row>
    <row r="1256" spans="1:1">
      <c r="A1256" s="30"/>
    </row>
    <row r="1257" spans="1:1">
      <c r="A1257" s="30"/>
    </row>
    <row r="1258" spans="1:1">
      <c r="A1258" s="30"/>
    </row>
    <row r="1259" spans="1:1">
      <c r="A1259" s="30"/>
    </row>
    <row r="1260" spans="1:1">
      <c r="A1260" s="30"/>
    </row>
    <row r="1261" spans="1:1">
      <c r="A1261" s="30"/>
    </row>
    <row r="1262" spans="1:1">
      <c r="A1262" s="30"/>
    </row>
    <row r="1263" spans="1:1">
      <c r="A1263" s="30"/>
    </row>
    <row r="1264" spans="1:1">
      <c r="A1264" s="30"/>
    </row>
    <row r="1265" spans="1:1">
      <c r="A1265" s="30"/>
    </row>
    <row r="1266" spans="1:1">
      <c r="A1266" s="30"/>
    </row>
    <row r="1267" spans="1:1">
      <c r="A1267" s="30"/>
    </row>
    <row r="1268" spans="1:1">
      <c r="A1268" s="30"/>
    </row>
    <row r="1269" spans="1:1">
      <c r="A1269" s="30"/>
    </row>
    <row r="1270" spans="1:1">
      <c r="A1270" s="30"/>
    </row>
    <row r="1271" spans="1:1">
      <c r="A1271" s="30"/>
    </row>
    <row r="1272" spans="1:1">
      <c r="A1272" s="30"/>
    </row>
    <row r="1273" spans="1:1">
      <c r="A1273" s="30"/>
    </row>
    <row r="1274" spans="1:1">
      <c r="A1274" s="30"/>
    </row>
    <row r="1275" spans="1:1">
      <c r="A1275" s="30"/>
    </row>
    <row r="1276" spans="1:1">
      <c r="A1276" s="30"/>
    </row>
    <row r="1277" spans="1:1">
      <c r="A1277" s="30"/>
    </row>
    <row r="1278" spans="1:1">
      <c r="A1278" s="30"/>
    </row>
    <row r="1279" spans="1:1">
      <c r="A1279" s="30"/>
    </row>
    <row r="1280" spans="1:1">
      <c r="A1280" s="30"/>
    </row>
    <row r="1281" spans="1:1">
      <c r="A1281" s="30"/>
    </row>
    <row r="1282" spans="1:1">
      <c r="A1282" s="30"/>
    </row>
    <row r="1283" spans="1:1">
      <c r="A1283" s="30"/>
    </row>
    <row r="1284" spans="1:1">
      <c r="A1284" s="30"/>
    </row>
    <row r="1285" spans="1:1">
      <c r="A1285" s="30"/>
    </row>
    <row r="1286" spans="1:1">
      <c r="A1286" s="30"/>
    </row>
    <row r="1287" spans="1:1">
      <c r="A1287" s="30"/>
    </row>
    <row r="1288" spans="1:1">
      <c r="A1288" s="30"/>
    </row>
    <row r="1289" spans="1:1">
      <c r="A1289" s="30"/>
    </row>
    <row r="1290" spans="1:1">
      <c r="A1290" s="30"/>
    </row>
    <row r="1291" spans="1:1">
      <c r="A1291" s="30"/>
    </row>
    <row r="1292" spans="1:1">
      <c r="A1292" s="30"/>
    </row>
    <row r="1293" spans="1:1">
      <c r="A1293" s="30"/>
    </row>
    <row r="1294" spans="1:1">
      <c r="A1294" s="30"/>
    </row>
    <row r="1295" spans="1:1">
      <c r="A1295" s="30"/>
    </row>
    <row r="1296" spans="1:1">
      <c r="A1296" s="30"/>
    </row>
    <row r="1297" spans="1:1">
      <c r="A1297" s="30"/>
    </row>
    <row r="1298" spans="1:1">
      <c r="A1298" s="30"/>
    </row>
    <row r="1299" spans="1:1">
      <c r="A1299" s="30"/>
    </row>
    <row r="1300" spans="1:1">
      <c r="A1300" s="30"/>
    </row>
    <row r="1301" spans="1:1">
      <c r="A1301" s="30"/>
    </row>
    <row r="1302" spans="1:1">
      <c r="A1302" s="30"/>
    </row>
    <row r="1303" spans="1:1">
      <c r="A1303" s="30"/>
    </row>
    <row r="1304" spans="1:1">
      <c r="A1304" s="30"/>
    </row>
    <row r="1305" spans="1:1">
      <c r="A1305" s="30"/>
    </row>
    <row r="1306" spans="1:1">
      <c r="A1306" s="30"/>
    </row>
    <row r="1307" spans="1:1">
      <c r="A1307" s="30"/>
    </row>
    <row r="1308" spans="1:1">
      <c r="A1308" s="30"/>
    </row>
    <row r="1309" spans="1:1">
      <c r="A1309" s="30"/>
    </row>
    <row r="1310" spans="1:1">
      <c r="A1310" s="30"/>
    </row>
    <row r="1311" spans="1:1">
      <c r="A1311" s="30"/>
    </row>
    <row r="1312" spans="1:1">
      <c r="A1312" s="30"/>
    </row>
    <row r="1313" spans="1:1">
      <c r="A1313" s="30"/>
    </row>
    <row r="1314" spans="1:1">
      <c r="A1314" s="30"/>
    </row>
    <row r="1315" spans="1:1">
      <c r="A1315" s="30"/>
    </row>
    <row r="1316" spans="1:1">
      <c r="A1316" s="30"/>
    </row>
    <row r="1317" spans="1:1">
      <c r="A1317" s="30"/>
    </row>
    <row r="1318" spans="1:1">
      <c r="A1318" s="30"/>
    </row>
    <row r="1319" spans="1:1">
      <c r="A1319" s="30"/>
    </row>
    <row r="1320" spans="1:1">
      <c r="A1320" s="30"/>
    </row>
    <row r="1321" spans="1:1">
      <c r="A1321" s="30"/>
    </row>
    <row r="1322" spans="1:1">
      <c r="A1322" s="30"/>
    </row>
    <row r="1323" spans="1:1">
      <c r="A1323" s="30"/>
    </row>
    <row r="1324" spans="1:1">
      <c r="A1324" s="30"/>
    </row>
    <row r="1325" spans="1:1">
      <c r="A1325" s="30"/>
    </row>
    <row r="1326" spans="1:1">
      <c r="A1326" s="30"/>
    </row>
    <row r="1327" spans="1:1">
      <c r="A1327" s="30"/>
    </row>
    <row r="1328" spans="1:1">
      <c r="A1328" s="30"/>
    </row>
    <row r="1329" spans="1:1">
      <c r="A1329" s="30"/>
    </row>
    <row r="1330" spans="1:1">
      <c r="A1330" s="30"/>
    </row>
    <row r="1331" spans="1:1">
      <c r="A1331" s="30"/>
    </row>
    <row r="1332" spans="1:1">
      <c r="A1332" s="30"/>
    </row>
    <row r="1333" spans="1:1">
      <c r="A1333" s="30"/>
    </row>
    <row r="1334" spans="1:1">
      <c r="A1334" s="30"/>
    </row>
    <row r="1335" spans="1:1">
      <c r="A1335" s="30"/>
    </row>
    <row r="1336" spans="1:1">
      <c r="A1336" s="30"/>
    </row>
    <row r="1337" spans="1:1">
      <c r="A1337" s="30"/>
    </row>
    <row r="1338" spans="1:1">
      <c r="A1338" s="30"/>
    </row>
    <row r="1339" spans="1:1">
      <c r="A1339" s="30"/>
    </row>
    <row r="1340" spans="1:1">
      <c r="A1340" s="30"/>
    </row>
    <row r="1341" spans="1:1">
      <c r="A1341" s="30"/>
    </row>
    <row r="1342" spans="1:1">
      <c r="A1342" s="30"/>
    </row>
    <row r="1343" spans="1:1">
      <c r="A1343" s="30"/>
    </row>
    <row r="1344" spans="1:1">
      <c r="A1344" s="30"/>
    </row>
    <row r="1345" spans="1:1">
      <c r="A1345" s="30"/>
    </row>
    <row r="1346" spans="1:1">
      <c r="A1346" s="30"/>
    </row>
    <row r="1347" spans="1:1">
      <c r="A1347" s="30"/>
    </row>
    <row r="1348" spans="1:1">
      <c r="A1348" s="30"/>
    </row>
    <row r="1349" spans="1:1">
      <c r="A1349" s="30"/>
    </row>
    <row r="1350" spans="1:1">
      <c r="A1350" s="30"/>
    </row>
    <row r="1351" spans="1:1">
      <c r="A1351" s="30"/>
    </row>
    <row r="1352" spans="1:1">
      <c r="A1352" s="30"/>
    </row>
    <row r="1353" spans="1:1">
      <c r="A1353" s="30"/>
    </row>
    <row r="1354" spans="1:1">
      <c r="A1354" s="30"/>
    </row>
    <row r="1355" spans="1:1">
      <c r="A1355" s="30"/>
    </row>
    <row r="1356" spans="1:1">
      <c r="A1356" s="30"/>
    </row>
    <row r="1357" spans="1:1">
      <c r="A1357" s="30"/>
    </row>
    <row r="1358" spans="1:1">
      <c r="A1358" s="30"/>
    </row>
    <row r="1359" spans="1:1">
      <c r="A1359" s="30"/>
    </row>
    <row r="1360" spans="1:1">
      <c r="A1360" s="30"/>
    </row>
    <row r="1361" spans="1:1">
      <c r="A1361" s="30"/>
    </row>
    <row r="1362" spans="1:1">
      <c r="A1362" s="30"/>
    </row>
    <row r="1363" spans="1:1">
      <c r="A1363" s="30"/>
    </row>
    <row r="1364" spans="1:1">
      <c r="A1364" s="30"/>
    </row>
    <row r="1365" spans="1:1">
      <c r="A1365" s="30"/>
    </row>
    <row r="1366" spans="1:1">
      <c r="A1366" s="30"/>
    </row>
    <row r="1367" spans="1:1">
      <c r="A1367" s="30"/>
    </row>
    <row r="1368" spans="1:1">
      <c r="A1368" s="30"/>
    </row>
    <row r="1369" spans="1:1">
      <c r="A1369" s="30"/>
    </row>
    <row r="1370" spans="1:1">
      <c r="A1370" s="30"/>
    </row>
    <row r="1371" spans="1:1">
      <c r="A1371" s="30"/>
    </row>
    <row r="1372" spans="1:1">
      <c r="A1372" s="30"/>
    </row>
    <row r="1373" spans="1:1">
      <c r="A1373" s="30"/>
    </row>
    <row r="1374" spans="1:1">
      <c r="A1374" s="30"/>
    </row>
    <row r="1375" spans="1:1">
      <c r="A1375" s="30"/>
    </row>
    <row r="1376" spans="1:1">
      <c r="A1376" s="30"/>
    </row>
    <row r="1377" spans="1:1">
      <c r="A1377" s="30"/>
    </row>
    <row r="1378" spans="1:1">
      <c r="A1378" s="30"/>
    </row>
    <row r="1379" spans="1:1">
      <c r="A1379" s="30"/>
    </row>
    <row r="1380" spans="1:1">
      <c r="A1380" s="30"/>
    </row>
    <row r="1381" spans="1:1">
      <c r="A1381" s="30"/>
    </row>
    <row r="1382" spans="1:1">
      <c r="A1382" s="30"/>
    </row>
    <row r="1383" spans="1:1">
      <c r="A1383" s="30"/>
    </row>
    <row r="1384" spans="1:1">
      <c r="A1384" s="30"/>
    </row>
    <row r="1385" spans="1:1">
      <c r="A1385" s="30"/>
    </row>
    <row r="1386" spans="1:1">
      <c r="A1386" s="30"/>
    </row>
    <row r="1387" spans="1:1">
      <c r="A1387" s="30"/>
    </row>
    <row r="1388" spans="1:1">
      <c r="A1388" s="30"/>
    </row>
    <row r="1389" spans="1:1">
      <c r="A1389" s="30"/>
    </row>
    <row r="1390" spans="1:1">
      <c r="A1390" s="30"/>
    </row>
    <row r="1391" spans="1:1">
      <c r="A1391" s="30"/>
    </row>
    <row r="1392" spans="1:1">
      <c r="A1392" s="30"/>
    </row>
    <row r="1393" spans="1:1">
      <c r="A1393" s="30"/>
    </row>
    <row r="1394" spans="1:1">
      <c r="A1394" s="30"/>
    </row>
    <row r="1395" spans="1:1">
      <c r="A1395" s="30"/>
    </row>
    <row r="1396" spans="1:1">
      <c r="A1396" s="30"/>
    </row>
    <row r="1397" spans="1:1">
      <c r="A1397" s="30"/>
    </row>
    <row r="1398" spans="1:1">
      <c r="A1398" s="30"/>
    </row>
    <row r="1399" spans="1:1">
      <c r="A1399" s="30"/>
    </row>
    <row r="1400" spans="1:1">
      <c r="A1400" s="30"/>
    </row>
    <row r="1401" spans="1:1">
      <c r="A1401" s="30"/>
    </row>
    <row r="1402" spans="1:1">
      <c r="A1402" s="30"/>
    </row>
    <row r="1403" spans="1:1">
      <c r="A1403" s="30"/>
    </row>
    <row r="1404" spans="1:1">
      <c r="A1404" s="30"/>
    </row>
    <row r="1405" spans="1:1">
      <c r="A1405" s="30"/>
    </row>
    <row r="1406" spans="1:1">
      <c r="A1406" s="30"/>
    </row>
    <row r="1407" spans="1:1">
      <c r="A1407" s="30"/>
    </row>
    <row r="1408" spans="1:1">
      <c r="A1408" s="30"/>
    </row>
    <row r="1409" spans="1:1">
      <c r="A1409" s="30"/>
    </row>
    <row r="1410" spans="1:1">
      <c r="A1410" s="30"/>
    </row>
    <row r="1411" spans="1:1">
      <c r="A1411" s="30"/>
    </row>
    <row r="1412" spans="1:1">
      <c r="A1412" s="30"/>
    </row>
  </sheetData>
  <mergeCells count="11">
    <mergeCell ref="A1:D1"/>
    <mergeCell ref="E1:H1"/>
    <mergeCell ref="K1:L2"/>
    <mergeCell ref="I1:J1"/>
    <mergeCell ref="AK8:AL8"/>
    <mergeCell ref="AA6:AE6"/>
    <mergeCell ref="M1:N1"/>
    <mergeCell ref="AG6:AL6"/>
    <mergeCell ref="AA1:AC2"/>
    <mergeCell ref="AG8:AH8"/>
    <mergeCell ref="AI8:AJ8"/>
  </mergeCells>
  <phoneticPr fontId="5" type="noConversion"/>
  <pageMargins left="0.75" right="0.75" top="1" bottom="1" header="0.5" footer="0.5"/>
  <pageSetup paperSize="9" scale="70" orientation="landscape" r:id="rId1"/>
  <headerFooter alignWithMargins="0">
    <oddHeader>&amp;A</oddHeader>
  </headerFooter>
  <drawing r:id="rId2"/>
  <legacyDrawing r:id="rId3"/>
  <controls>
    <mc:AlternateContent xmlns:mc="http://schemas.openxmlformats.org/markup-compatibility/2006">
      <mc:Choice Requires="x14">
        <control shapeId="7827" r:id="rId4" name="CommandButton1">
          <controlPr defaultSize="0" autoLine="0" r:id="rId5">
            <anchor moveWithCells="1">
              <from>
                <xdr:col>39</xdr:col>
                <xdr:colOff>38100</xdr:colOff>
                <xdr:row>18</xdr:row>
                <xdr:rowOff>30480</xdr:rowOff>
              </from>
              <to>
                <xdr:col>39</xdr:col>
                <xdr:colOff>594360</xdr:colOff>
                <xdr:row>18</xdr:row>
                <xdr:rowOff>160020</xdr:rowOff>
              </to>
            </anchor>
          </controlPr>
        </control>
      </mc:Choice>
      <mc:Fallback>
        <control shapeId="7827" r:id="rId4" name="CommandButton1"/>
      </mc:Fallback>
    </mc:AlternateContent>
    <mc:AlternateContent xmlns:mc="http://schemas.openxmlformats.org/markup-compatibility/2006">
      <mc:Choice Requires="x14">
        <control shapeId="7181" r:id="rId6" name="Button 13">
          <controlPr defaultSize="0" print="0" autoFill="0" autoPict="0" macro="[0]!Test1">
            <anchor moveWithCells="1">
              <from>
                <xdr:col>16</xdr:col>
                <xdr:colOff>403860</xdr:colOff>
                <xdr:row>8</xdr:row>
                <xdr:rowOff>38100</xdr:rowOff>
              </from>
              <to>
                <xdr:col>17</xdr:col>
                <xdr:colOff>373380</xdr:colOff>
                <xdr:row>9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2" r:id="rId7" name="Button 14">
          <controlPr defaultSize="0" print="0" autoFill="0" autoPict="0" macro="[0]!Test2">
            <anchor moveWithCells="1">
              <from>
                <xdr:col>16</xdr:col>
                <xdr:colOff>403860</xdr:colOff>
                <xdr:row>10</xdr:row>
                <xdr:rowOff>7620</xdr:rowOff>
              </from>
              <to>
                <xdr:col>17</xdr:col>
                <xdr:colOff>365760</xdr:colOff>
                <xdr:row>11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3" r:id="rId8" name="Button 15">
          <controlPr defaultSize="0" print="0" autoFill="0" autoPict="0" macro="[0]!Test3">
            <anchor moveWithCells="1">
              <from>
                <xdr:col>16</xdr:col>
                <xdr:colOff>403860</xdr:colOff>
                <xdr:row>12</xdr:row>
                <xdr:rowOff>0</xdr:rowOff>
              </from>
              <to>
                <xdr:col>17</xdr:col>
                <xdr:colOff>365760</xdr:colOff>
                <xdr:row>13</xdr:row>
                <xdr:rowOff>45720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pageSetUpPr fitToPage="1"/>
  </sheetPr>
  <dimension ref="A1:AA194"/>
  <sheetViews>
    <sheetView showGridLines="0" zoomScale="70" zoomScaleNormal="70" workbookViewId="0">
      <selection activeCell="I18" sqref="I18"/>
    </sheetView>
  </sheetViews>
  <sheetFormatPr defaultRowHeight="13.2"/>
  <cols>
    <col min="1" max="1" width="9.44140625" bestFit="1" customWidth="1"/>
    <col min="2" max="2" width="7.5546875" bestFit="1" customWidth="1"/>
    <col min="3" max="3" width="16.88671875" customWidth="1"/>
    <col min="4" max="4" width="7.5546875" bestFit="1" customWidth="1"/>
    <col min="5" max="5" width="10.6640625" customWidth="1"/>
    <col min="6" max="6" width="9.6640625" customWidth="1"/>
    <col min="7" max="7" width="15.44140625" bestFit="1" customWidth="1"/>
    <col min="8" max="8" width="8" customWidth="1"/>
    <col min="9" max="9" width="18.33203125" style="9" customWidth="1"/>
    <col min="10" max="10" width="21.33203125" style="9" customWidth="1"/>
    <col min="11" max="11" width="10.44140625" style="9" customWidth="1"/>
    <col min="12" max="12" width="9.5546875" style="9" customWidth="1"/>
    <col min="13" max="13" width="12" style="9" customWidth="1"/>
    <col min="14" max="14" width="13.109375" style="198" bestFit="1" customWidth="1"/>
    <col min="15" max="15" width="12.33203125" style="198" customWidth="1"/>
    <col min="16" max="16" width="11.6640625" style="215" customWidth="1"/>
    <col min="17" max="17" width="9.109375" style="9"/>
    <col min="18" max="26" width="9.109375" style="10"/>
  </cols>
  <sheetData>
    <row r="1" spans="1:27" ht="17.399999999999999" customHeight="1">
      <c r="A1" s="1115" t="s">
        <v>47</v>
      </c>
      <c r="B1" s="1116"/>
      <c r="C1" s="1116"/>
      <c r="D1" s="1117"/>
      <c r="E1" s="1146" t="s">
        <v>48</v>
      </c>
      <c r="F1" s="1147"/>
      <c r="G1" s="1147"/>
      <c r="H1" s="1148"/>
      <c r="I1" s="1151" t="s">
        <v>149</v>
      </c>
      <c r="J1" s="1154" t="s">
        <v>152</v>
      </c>
      <c r="K1" s="1149" t="s">
        <v>140</v>
      </c>
      <c r="L1" s="1150"/>
      <c r="M1" s="37" t="s">
        <v>14</v>
      </c>
      <c r="N1" s="204"/>
      <c r="Q1" s="50"/>
      <c r="R1" s="50" t="s">
        <v>7</v>
      </c>
      <c r="S1" s="10" t="s">
        <v>8</v>
      </c>
      <c r="T1" s="10" t="s">
        <v>7</v>
      </c>
      <c r="U1" s="10" t="s">
        <v>8</v>
      </c>
      <c r="V1" s="10" t="s">
        <v>7</v>
      </c>
      <c r="W1" s="10" t="s">
        <v>8</v>
      </c>
      <c r="AA1" s="10"/>
    </row>
    <row r="2" spans="1:27">
      <c r="A2" s="11" t="s">
        <v>4</v>
      </c>
      <c r="B2" s="12">
        <f>+'transversal subsidence profile'!B2</f>
        <v>0.45</v>
      </c>
      <c r="C2" s="13" t="s">
        <v>49</v>
      </c>
      <c r="D2" s="14">
        <f>+'transversal subsidence profile'!D2</f>
        <v>10</v>
      </c>
      <c r="E2" s="11" t="s">
        <v>4</v>
      </c>
      <c r="F2" s="12">
        <f>+'transversal subsidence profile'!F2</f>
        <v>0.45</v>
      </c>
      <c r="G2" s="15"/>
      <c r="H2" s="16"/>
      <c r="I2" s="1152"/>
      <c r="J2" s="1154"/>
      <c r="K2" s="1149"/>
      <c r="L2" s="1150"/>
      <c r="M2" s="38" t="s">
        <v>15</v>
      </c>
      <c r="N2" s="205" t="s">
        <v>139</v>
      </c>
      <c r="Q2" s="50"/>
      <c r="R2" s="50" t="s">
        <v>50</v>
      </c>
      <c r="S2" s="10" t="s">
        <v>17</v>
      </c>
      <c r="T2" s="10" t="s">
        <v>16</v>
      </c>
      <c r="U2" s="10" t="s">
        <v>17</v>
      </c>
      <c r="V2" s="10" t="s">
        <v>16</v>
      </c>
      <c r="W2" s="10" t="s">
        <v>17</v>
      </c>
      <c r="AA2" s="10"/>
    </row>
    <row r="3" spans="1:27" ht="13.8" thickBot="1">
      <c r="A3" s="11" t="s">
        <v>18</v>
      </c>
      <c r="B3" s="17">
        <f>+'transversal subsidence profile'!B3</f>
        <v>0.01</v>
      </c>
      <c r="C3" s="64" t="s">
        <v>51</v>
      </c>
      <c r="D3" s="16">
        <f>+'transversal subsidence profile'!D3</f>
        <v>-22.198671000000001</v>
      </c>
      <c r="E3" s="11" t="s">
        <v>18</v>
      </c>
      <c r="F3" s="17">
        <f>+'transversal subsidence profile'!F3</f>
        <v>0.01</v>
      </c>
      <c r="G3" s="15"/>
      <c r="H3" s="16"/>
      <c r="I3" s="1152"/>
      <c r="J3" s="1154"/>
      <c r="K3" s="132" t="s">
        <v>19</v>
      </c>
      <c r="L3" s="51">
        <f>+'IN-OUT'!F28</f>
        <v>15</v>
      </c>
      <c r="M3" s="38">
        <f>+D3</f>
        <v>-22.198671000000001</v>
      </c>
      <c r="N3" s="205">
        <v>0</v>
      </c>
      <c r="R3" s="9">
        <f>+A20</f>
        <v>-40</v>
      </c>
      <c r="S3" s="18">
        <f>-B20*1000</f>
        <v>-6.2014927749717004E-7</v>
      </c>
      <c r="T3" s="10">
        <v>-40</v>
      </c>
      <c r="U3" s="18">
        <f>-H20*1000</f>
        <v>-3.1854297055587743E-11</v>
      </c>
      <c r="V3" s="10">
        <f>+A20</f>
        <v>-40</v>
      </c>
      <c r="W3" s="18">
        <f>-J20*1000</f>
        <v>-6.2018113179422559E-7</v>
      </c>
      <c r="AA3" s="10"/>
    </row>
    <row r="4" spans="1:27" ht="13.8" thickBot="1">
      <c r="A4" s="58" t="s">
        <v>6</v>
      </c>
      <c r="B4" s="42">
        <f>+B2*B5</f>
        <v>6.75</v>
      </c>
      <c r="C4" s="64" t="s">
        <v>52</v>
      </c>
      <c r="D4" s="16">
        <f>+'transversal subsidence profile'!D4</f>
        <v>-12.488417999999999</v>
      </c>
      <c r="E4" s="58" t="s">
        <v>6</v>
      </c>
      <c r="F4" s="42">
        <f>+F2*F5</f>
        <v>6.75</v>
      </c>
      <c r="G4" s="15"/>
      <c r="H4" s="16"/>
      <c r="I4" s="1152"/>
      <c r="J4" s="1154"/>
      <c r="K4" s="51" t="s">
        <v>20</v>
      </c>
      <c r="L4" s="132">
        <f>+'IN-OUT'!F37</f>
        <v>15</v>
      </c>
      <c r="M4" s="39">
        <f>+D4</f>
        <v>-12.488417999999999</v>
      </c>
      <c r="N4" s="206">
        <v>0</v>
      </c>
      <c r="O4" s="1144" t="s">
        <v>31</v>
      </c>
      <c r="P4" s="1145"/>
      <c r="R4" s="9">
        <f>+A21</f>
        <v>-39</v>
      </c>
      <c r="S4" s="18">
        <f>-B21*1000</f>
        <v>-1.4757199247926278E-6</v>
      </c>
      <c r="T4" s="10">
        <v>-39</v>
      </c>
      <c r="U4" s="18">
        <f>-H21*1000</f>
        <v>-9.4404811525977149E-11</v>
      </c>
      <c r="V4" s="10">
        <f>+A21</f>
        <v>-39</v>
      </c>
      <c r="W4" s="18">
        <f>-J21*1000</f>
        <v>-1.4758143296041538E-6</v>
      </c>
      <c r="AA4" s="10"/>
    </row>
    <row r="5" spans="1:27" ht="12.75" customHeight="1">
      <c r="A5" s="11" t="s">
        <v>19</v>
      </c>
      <c r="B5" s="12">
        <f>+L3-'transversal subsidence profile'!J4</f>
        <v>15</v>
      </c>
      <c r="C5" s="15" t="s">
        <v>131</v>
      </c>
      <c r="D5" s="59">
        <f>+'transversal subsidence profile'!D5</f>
        <v>2.6179938779914941E-2</v>
      </c>
      <c r="E5" s="11" t="s">
        <v>20</v>
      </c>
      <c r="F5" s="12">
        <f>+L4-'transversal subsidence profile'!J4</f>
        <v>15</v>
      </c>
      <c r="G5" s="15" t="s">
        <v>131</v>
      </c>
      <c r="H5" s="59">
        <f>+'transversal subsidence profile'!H5</f>
        <v>2.6179938779914941E-2</v>
      </c>
      <c r="I5" s="1152"/>
      <c r="J5" s="1154"/>
      <c r="K5" s="175"/>
      <c r="N5" s="207" t="s">
        <v>32</v>
      </c>
      <c r="O5" s="211" t="s">
        <v>32</v>
      </c>
      <c r="P5" s="216" t="s">
        <v>32</v>
      </c>
      <c r="R5" s="9">
        <f>+A22</f>
        <v>-38</v>
      </c>
      <c r="S5" s="18">
        <f>-B22*1000</f>
        <v>-3.4354196828064234E-6</v>
      </c>
      <c r="T5" s="10">
        <v>-38</v>
      </c>
      <c r="U5" s="18">
        <f>-H22*1000</f>
        <v>-2.7370856821612071E-10</v>
      </c>
      <c r="V5" s="10">
        <f>+A22</f>
        <v>-38</v>
      </c>
      <c r="W5" s="18">
        <f>-J22*1000</f>
        <v>-3.4356933913746395E-6</v>
      </c>
      <c r="AA5" s="10"/>
    </row>
    <row r="6" spans="1:27" ht="13.8" thickBot="1">
      <c r="A6" s="19" t="s">
        <v>26</v>
      </c>
      <c r="B6" s="20">
        <f>+'transversal subsidence profile'!B6</f>
        <v>7.5</v>
      </c>
      <c r="C6" s="60" t="s">
        <v>21</v>
      </c>
      <c r="D6" s="61">
        <f>+'transversal subsidence profile'!D6</f>
        <v>44.178646691106465</v>
      </c>
      <c r="E6" s="19" t="s">
        <v>26</v>
      </c>
      <c r="F6" s="20">
        <f>+'transversal subsidence profile'!F6</f>
        <v>7.5</v>
      </c>
      <c r="G6" s="60" t="s">
        <v>21</v>
      </c>
      <c r="H6" s="61">
        <f>+'transversal subsidence profile'!H6</f>
        <v>44.178646691106465</v>
      </c>
      <c r="I6" s="1153"/>
      <c r="J6" s="1154"/>
      <c r="K6" s="175"/>
      <c r="N6" s="208">
        <f>+MIN(N10:N166)</f>
        <v>-7.7649360400477527E-2</v>
      </c>
      <c r="O6" s="212">
        <f>+MIN(O10:O166)</f>
        <v>-7.7649360400477527E-2</v>
      </c>
      <c r="P6" s="217">
        <f>+MIN(P10:P166)</f>
        <v>-8.8574844147204124E-2</v>
      </c>
      <c r="R6" s="9">
        <f>+A23</f>
        <v>-37</v>
      </c>
      <c r="S6" s="18">
        <f>-B23*1000</f>
        <v>-7.8239094875549217E-6</v>
      </c>
      <c r="T6" s="10">
        <v>-37</v>
      </c>
      <c r="U6" s="18">
        <f>-H23*1000</f>
        <v>-7.7633794862141241E-10</v>
      </c>
      <c r="V6" s="10">
        <f>+A23</f>
        <v>-37</v>
      </c>
      <c r="W6" s="18">
        <f>-J23*1000</f>
        <v>-7.8246858255035454E-6</v>
      </c>
      <c r="AA6" s="10"/>
    </row>
    <row r="7" spans="1:27">
      <c r="A7" s="30"/>
      <c r="B7" s="30"/>
      <c r="C7" s="30"/>
      <c r="D7" s="30"/>
      <c r="E7" s="30"/>
      <c r="F7" s="30"/>
      <c r="G7" s="30"/>
      <c r="H7" s="30"/>
      <c r="I7" s="177" t="s">
        <v>138</v>
      </c>
      <c r="J7" s="176">
        <f>+MAX(J10:J166)</f>
        <v>3.9797025770471166E-2</v>
      </c>
      <c r="K7" s="22"/>
      <c r="L7" s="21"/>
      <c r="M7" s="62" t="s">
        <v>135</v>
      </c>
      <c r="N7" s="209" t="s">
        <v>33</v>
      </c>
      <c r="O7" s="213" t="s">
        <v>33</v>
      </c>
      <c r="P7" s="218" t="s">
        <v>33</v>
      </c>
      <c r="R7" s="9">
        <f t="shared" ref="R7:R38" si="0">+A24</f>
        <v>-36</v>
      </c>
      <c r="S7" s="18">
        <f t="shared" ref="S7:S38" si="1">-B24*1000</f>
        <v>-1.7431549565540898E-5</v>
      </c>
      <c r="T7" s="10">
        <v>-36</v>
      </c>
      <c r="U7" s="18">
        <f t="shared" ref="U7:U38" si="2">-H24*1000</f>
        <v>-2.154177066404679E-9</v>
      </c>
      <c r="V7" s="10">
        <f t="shared" ref="V7:V38" si="3">+A24</f>
        <v>-36</v>
      </c>
      <c r="W7" s="18">
        <f t="shared" ref="W7:W38" si="4">-J24*1000</f>
        <v>-1.7433703742607304E-5</v>
      </c>
      <c r="AA7" s="10"/>
    </row>
    <row r="8" spans="1:27" ht="13.8" thickBot="1">
      <c r="A8" s="30" t="s">
        <v>22</v>
      </c>
      <c r="B8" s="30"/>
      <c r="C8" s="30"/>
      <c r="D8" s="30" t="s">
        <v>23</v>
      </c>
      <c r="E8" s="30"/>
      <c r="F8" s="30"/>
      <c r="G8" s="31" t="s">
        <v>22</v>
      </c>
      <c r="H8" s="32" t="s">
        <v>176</v>
      </c>
      <c r="I8" s="32"/>
      <c r="J8" s="23" t="s">
        <v>153</v>
      </c>
      <c r="K8" s="24"/>
      <c r="L8" s="24"/>
      <c r="M8" s="63">
        <f>+MAX(M10:M166)</f>
        <v>3.9797025770471164</v>
      </c>
      <c r="N8" s="210">
        <f>+MAX(N10:N166)</f>
        <v>0.17453292519943295</v>
      </c>
      <c r="O8" s="214">
        <f>+MAX(O10:O166)</f>
        <v>0.17453292519943295</v>
      </c>
      <c r="P8" s="219">
        <f>+MAX(P10:P166)</f>
        <v>0.11973682193401933</v>
      </c>
      <c r="R8" s="9">
        <f t="shared" si="0"/>
        <v>-35</v>
      </c>
      <c r="S8" s="18">
        <f t="shared" si="1"/>
        <v>-3.7994114938062827E-5</v>
      </c>
      <c r="T8" s="10">
        <v>-35</v>
      </c>
      <c r="U8" s="18">
        <f t="shared" si="2"/>
        <v>-5.8476334256692369E-9</v>
      </c>
      <c r="V8" s="10">
        <f t="shared" si="3"/>
        <v>-35</v>
      </c>
      <c r="W8" s="18">
        <f t="shared" si="4"/>
        <v>-3.7999962571488499E-5</v>
      </c>
      <c r="AA8" s="10"/>
    </row>
    <row r="9" spans="1:27">
      <c r="A9" s="30" t="s">
        <v>136</v>
      </c>
      <c r="B9" s="30" t="s">
        <v>129</v>
      </c>
      <c r="C9" s="40" t="s">
        <v>148</v>
      </c>
      <c r="D9" s="30" t="s">
        <v>136</v>
      </c>
      <c r="E9" s="30" t="s">
        <v>129</v>
      </c>
      <c r="F9" s="40" t="s">
        <v>148</v>
      </c>
      <c r="G9" s="33" t="s">
        <v>137</v>
      </c>
      <c r="H9" s="30" t="s">
        <v>129</v>
      </c>
      <c r="I9" s="40" t="s">
        <v>148</v>
      </c>
      <c r="J9" s="26" t="s">
        <v>132</v>
      </c>
      <c r="K9" s="27" t="s">
        <v>177</v>
      </c>
      <c r="L9" s="27" t="s">
        <v>178</v>
      </c>
      <c r="M9" s="24" t="s">
        <v>179</v>
      </c>
      <c r="N9" s="206" t="s">
        <v>21</v>
      </c>
      <c r="O9" s="206" t="s">
        <v>25</v>
      </c>
      <c r="P9" s="220" t="s">
        <v>27</v>
      </c>
      <c r="R9" s="9">
        <f t="shared" si="0"/>
        <v>-34</v>
      </c>
      <c r="S9" s="18">
        <f t="shared" si="1"/>
        <v>-8.101488666490451E-5</v>
      </c>
      <c r="T9" s="10">
        <v>-34</v>
      </c>
      <c r="U9" s="18">
        <f t="shared" si="2"/>
        <v>-1.5529126985413633E-8</v>
      </c>
      <c r="V9" s="10">
        <f t="shared" si="3"/>
        <v>-34</v>
      </c>
      <c r="W9" s="18">
        <f t="shared" si="4"/>
        <v>-8.103041579188992E-5</v>
      </c>
      <c r="AA9" s="10"/>
    </row>
    <row r="10" spans="1:27">
      <c r="A10" s="30">
        <v>-50</v>
      </c>
      <c r="B10" s="34">
        <f t="shared" ref="B10:B41" si="5">+$D$5*EXP(-(A10^2)/(2*$B$4^2))</f>
        <v>3.1854297055587741E-14</v>
      </c>
      <c r="C10" s="34">
        <f>+$D$5/$B$5*(1-((A10^2)/($B$4^2)))*EXP(-(A10^2)/(2*$B$4^2))</f>
        <v>-1.143987288221295E-13</v>
      </c>
      <c r="D10" s="30">
        <v>-50</v>
      </c>
      <c r="E10" s="34">
        <f>+$H$5*EXP(-(D10^2)/(2*$F$4^2))</f>
        <v>3.1854297055587741E-14</v>
      </c>
      <c r="F10" s="34">
        <f>+$H$5/$F$5*(1-((D10^2)/($F$4^2)))*EXP(-(D10^2)/(2*$F$4^2))</f>
        <v>-1.143987288221295E-13</v>
      </c>
      <c r="G10" s="35">
        <f>IF(OR($F$5=0,$F$6=0),A10,A10-$D$2)</f>
        <v>-60</v>
      </c>
      <c r="H10" s="36">
        <f>+$D$5*EXP(-(G10^2)/(2*$B$4^2))</f>
        <v>1.8224505845800305E-19</v>
      </c>
      <c r="I10" s="34">
        <f>+$D$5/$B$5*(1-G10^2/($B$2^2*$B$5^2))*EXP(-(G10^2)/(2*$B$4^2))</f>
        <v>-9.4782429991450296E-19</v>
      </c>
      <c r="J10" s="28">
        <f>+H10+B10</f>
        <v>3.18544793006462E-14</v>
      </c>
      <c r="K10" s="9">
        <f>+H10*100</f>
        <v>1.8224505845800306E-17</v>
      </c>
      <c r="L10" s="25">
        <f>+E10*100</f>
        <v>3.185429705558774E-12</v>
      </c>
      <c r="M10" s="25">
        <f>+IF(OR($B$5=0,$B$6=0),L10,IF(OR($F$5=0,$F$6=0),K10,K10+L10))</f>
        <v>3.1854479300646196E-12</v>
      </c>
      <c r="N10" s="198">
        <f>+I10*100</f>
        <v>-9.4782429991450291E-17</v>
      </c>
      <c r="O10" s="203">
        <f>+F10*100</f>
        <v>-1.143987288221295E-11</v>
      </c>
      <c r="P10" s="25">
        <f>+IF(OR($B$5=0,$B$6=0),O10,IF(OR($F$5=0,$F$6=0),N10,N10+O10))</f>
        <v>-1.1439967664642942E-11</v>
      </c>
      <c r="R10" s="9">
        <f t="shared" si="0"/>
        <v>-33</v>
      </c>
      <c r="S10" s="18">
        <f t="shared" si="1"/>
        <v>-1.6899796882487885E-4</v>
      </c>
      <c r="T10" s="10">
        <v>-33</v>
      </c>
      <c r="U10" s="18">
        <f t="shared" si="2"/>
        <v>-4.0344292348816811E-8</v>
      </c>
      <c r="V10" s="10">
        <f t="shared" si="3"/>
        <v>-33</v>
      </c>
      <c r="W10" s="18">
        <f t="shared" si="4"/>
        <v>-1.6903831311722767E-4</v>
      </c>
      <c r="AA10" s="10"/>
    </row>
    <row r="11" spans="1:27">
      <c r="A11" s="30">
        <v>-49</v>
      </c>
      <c r="B11" s="34">
        <f t="shared" si="5"/>
        <v>9.4404811525977154E-14</v>
      </c>
      <c r="C11" s="34">
        <f t="shared" ref="C11:C74" si="6">+$D$5/$B$5*(1-((A11^2)/($B$4^2)))*EXP(-(A11^2)/(2*$B$4^2))</f>
        <v>-3.2536206053767729E-13</v>
      </c>
      <c r="D11" s="30">
        <v>-49</v>
      </c>
      <c r="E11" s="34">
        <f t="shared" ref="E11:E41" si="7">+$H$5*EXP(-(D11^2)/(2*$F$4^2))</f>
        <v>9.4404811525977154E-14</v>
      </c>
      <c r="F11" s="34">
        <f t="shared" ref="F11:F74" si="8">+$H$5/$F$5*(1-((D11^2)/($F$4^2)))*EXP(-(D11^2)/(2*$F$4^2))</f>
        <v>-3.2536206053767729E-13</v>
      </c>
      <c r="G11" s="35">
        <f t="shared" ref="G11:G74" si="9">IF(OR($F$5=0,$F$6=0),A11,A11-$D$2)</f>
        <v>-59</v>
      </c>
      <c r="H11" s="36">
        <f t="shared" ref="H11:H74" si="10">+$D$5*EXP(-(G11^2)/(2*$B$4^2))</f>
        <v>6.7266722852812916E-19</v>
      </c>
      <c r="I11" s="34">
        <f t="shared" ref="I11:I74" si="11">+$D$5/$B$5*(1-G11^2/($B$2^2*$B$5^2))*EXP(-(G11^2)/(2*$B$4^2))</f>
        <v>-3.3812985414271308E-18</v>
      </c>
      <c r="J11" s="28">
        <f t="shared" ref="J11:J74" si="12">+H11+B11</f>
        <v>9.4405484193205684E-14</v>
      </c>
      <c r="K11" s="9">
        <f t="shared" ref="K11:K74" si="13">+H11*100</f>
        <v>6.7266722852812917E-17</v>
      </c>
      <c r="L11" s="25">
        <f t="shared" ref="L11:L74" si="14">+E11*100</f>
        <v>9.4404811525977155E-12</v>
      </c>
      <c r="M11" s="25">
        <f t="shared" ref="M11:M74" si="15">+IF(OR($B$5=0,$B$6=0),L11,IF(OR($F$5=0,$F$6=0),K11,K11+L11))</f>
        <v>9.4405484193205691E-12</v>
      </c>
      <c r="N11" s="198">
        <f t="shared" ref="N11:N74" si="16">+I11*100</f>
        <v>-3.3812985414271306E-16</v>
      </c>
      <c r="O11" s="203">
        <f t="shared" ref="O11:O74" si="17">+F11*100</f>
        <v>-3.2536206053767727E-11</v>
      </c>
      <c r="P11" s="25">
        <f t="shared" ref="P11:P74" si="18">+IF(OR($B$5=0,$B$6=0),O11,IF(OR($F$5=0,$F$6=0),N11,N11+O11))</f>
        <v>-3.2536544183621869E-11</v>
      </c>
      <c r="Q11" s="9" t="s">
        <v>17</v>
      </c>
      <c r="R11" s="9">
        <f t="shared" si="0"/>
        <v>-32</v>
      </c>
      <c r="S11" s="18">
        <f t="shared" si="1"/>
        <v>-3.4487864259477433E-4</v>
      </c>
      <c r="T11" s="10">
        <v>-32</v>
      </c>
      <c r="U11" s="18">
        <f t="shared" si="2"/>
        <v>-1.0253811341284479E-7</v>
      </c>
      <c r="V11" s="10">
        <f t="shared" si="3"/>
        <v>-32</v>
      </c>
      <c r="W11" s="18">
        <f t="shared" si="4"/>
        <v>-3.4498118070818719E-4</v>
      </c>
      <c r="AA11" s="10"/>
    </row>
    <row r="12" spans="1:27">
      <c r="A12" s="30">
        <v>-48</v>
      </c>
      <c r="B12" s="34">
        <f t="shared" si="5"/>
        <v>2.7370856821612073E-13</v>
      </c>
      <c r="C12" s="34">
        <f t="shared" si="6"/>
        <v>-9.0447728509277744E-13</v>
      </c>
      <c r="D12" s="30">
        <v>-48</v>
      </c>
      <c r="E12" s="34">
        <f t="shared" si="7"/>
        <v>2.7370856821612073E-13</v>
      </c>
      <c r="F12" s="34">
        <f t="shared" si="8"/>
        <v>-9.0447728509277744E-13</v>
      </c>
      <c r="G12" s="35">
        <f t="shared" si="9"/>
        <v>-58</v>
      </c>
      <c r="H12" s="36">
        <f t="shared" si="10"/>
        <v>2.4289184739302576E-18</v>
      </c>
      <c r="I12" s="34">
        <f t="shared" si="11"/>
        <v>-1.1793637528424968E-17</v>
      </c>
      <c r="J12" s="28">
        <f t="shared" si="12"/>
        <v>2.7371099713459468E-13</v>
      </c>
      <c r="K12" s="9">
        <f t="shared" si="13"/>
        <v>2.4289184739302578E-16</v>
      </c>
      <c r="L12" s="25">
        <f t="shared" si="14"/>
        <v>2.7370856821612073E-11</v>
      </c>
      <c r="M12" s="25">
        <f t="shared" si="15"/>
        <v>2.7371099713459466E-11</v>
      </c>
      <c r="N12" s="198">
        <f t="shared" si="16"/>
        <v>-1.1793637528424968E-15</v>
      </c>
      <c r="O12" s="203">
        <f t="shared" si="17"/>
        <v>-9.0447728509277747E-11</v>
      </c>
      <c r="P12" s="25">
        <f t="shared" si="18"/>
        <v>-9.0448907873030592E-11</v>
      </c>
      <c r="R12" s="9">
        <f t="shared" si="0"/>
        <v>-31</v>
      </c>
      <c r="S12" s="18">
        <f t="shared" si="1"/>
        <v>-6.8852430522043002E-4</v>
      </c>
      <c r="T12" s="10">
        <v>-31</v>
      </c>
      <c r="U12" s="18">
        <f t="shared" si="2"/>
        <v>-2.5495098992823882E-7</v>
      </c>
      <c r="V12" s="10">
        <f t="shared" si="3"/>
        <v>-31</v>
      </c>
      <c r="W12" s="18">
        <f t="shared" si="4"/>
        <v>-6.887792562103582E-4</v>
      </c>
      <c r="AA12" s="10"/>
    </row>
    <row r="13" spans="1:27">
      <c r="A13" s="30">
        <v>-47</v>
      </c>
      <c r="B13" s="34">
        <f t="shared" si="5"/>
        <v>7.7633794862141246E-13</v>
      </c>
      <c r="C13" s="34">
        <f t="shared" si="6"/>
        <v>-2.4575160577531037E-12</v>
      </c>
      <c r="D13" s="30">
        <v>-47</v>
      </c>
      <c r="E13" s="34">
        <f t="shared" si="7"/>
        <v>7.7633794862141246E-13</v>
      </c>
      <c r="F13" s="34">
        <f t="shared" si="8"/>
        <v>-2.4575160577531037E-12</v>
      </c>
      <c r="G13" s="35">
        <f t="shared" si="9"/>
        <v>-57</v>
      </c>
      <c r="H13" s="36">
        <f t="shared" si="10"/>
        <v>8.5801279785697797E-18</v>
      </c>
      <c r="I13" s="34">
        <f t="shared" si="11"/>
        <v>-4.0217143076506082E-17</v>
      </c>
      <c r="J13" s="28">
        <f t="shared" si="12"/>
        <v>7.7634652874939104E-13</v>
      </c>
      <c r="K13" s="9">
        <f t="shared" si="13"/>
        <v>8.58012797856978E-16</v>
      </c>
      <c r="L13" s="25">
        <f t="shared" si="14"/>
        <v>7.7633794862141246E-11</v>
      </c>
      <c r="M13" s="25">
        <f t="shared" si="15"/>
        <v>7.7634652874939105E-11</v>
      </c>
      <c r="N13" s="198">
        <f t="shared" si="16"/>
        <v>-4.0217143076506086E-15</v>
      </c>
      <c r="O13" s="203">
        <f t="shared" si="17"/>
        <v>-2.4575160577531036E-10</v>
      </c>
      <c r="P13" s="25">
        <f t="shared" si="18"/>
        <v>-2.45755627489618E-10</v>
      </c>
      <c r="R13" s="9">
        <f t="shared" si="0"/>
        <v>-30</v>
      </c>
      <c r="S13" s="18">
        <f t="shared" si="1"/>
        <v>-1.3447464619457143E-3</v>
      </c>
      <c r="T13" s="10">
        <v>-30</v>
      </c>
      <c r="U13" s="18">
        <f t="shared" si="2"/>
        <v>-6.2014927749717004E-7</v>
      </c>
      <c r="V13" s="10">
        <f t="shared" si="3"/>
        <v>-30</v>
      </c>
      <c r="W13" s="18">
        <f t="shared" si="4"/>
        <v>-1.3453666112232113E-3</v>
      </c>
      <c r="AA13" s="10"/>
    </row>
    <row r="14" spans="1:27">
      <c r="A14" s="30">
        <v>-46</v>
      </c>
      <c r="B14" s="34">
        <f t="shared" si="5"/>
        <v>2.154177066404679E-12</v>
      </c>
      <c r="C14" s="34">
        <f t="shared" si="6"/>
        <v>-6.5259646711282851E-12</v>
      </c>
      <c r="D14" s="30">
        <v>-46</v>
      </c>
      <c r="E14" s="34">
        <f t="shared" si="7"/>
        <v>2.154177066404679E-12</v>
      </c>
      <c r="F14" s="34">
        <f t="shared" si="8"/>
        <v>-6.5259646711282851E-12</v>
      </c>
      <c r="G14" s="35">
        <f t="shared" si="9"/>
        <v>-56</v>
      </c>
      <c r="H14" s="36">
        <f t="shared" si="10"/>
        <v>2.9651232681280518E-17</v>
      </c>
      <c r="I14" s="34">
        <f t="shared" si="11"/>
        <v>-1.3407997278383884E-16</v>
      </c>
      <c r="J14" s="28">
        <f t="shared" si="12"/>
        <v>2.1542067176373604E-12</v>
      </c>
      <c r="K14" s="9">
        <f t="shared" si="13"/>
        <v>2.9651232681280518E-15</v>
      </c>
      <c r="L14" s="25">
        <f t="shared" si="14"/>
        <v>2.154177066404679E-10</v>
      </c>
      <c r="M14" s="25">
        <f t="shared" si="15"/>
        <v>2.1542067176373604E-10</v>
      </c>
      <c r="N14" s="198">
        <f t="shared" si="16"/>
        <v>-1.3407997278383883E-14</v>
      </c>
      <c r="O14" s="203">
        <f t="shared" si="17"/>
        <v>-6.5259646711282853E-10</v>
      </c>
      <c r="P14" s="25">
        <f t="shared" si="18"/>
        <v>-6.5260987511010688E-10</v>
      </c>
      <c r="Q14" s="29"/>
      <c r="R14" s="9">
        <f t="shared" si="0"/>
        <v>-29</v>
      </c>
      <c r="S14" s="18">
        <f t="shared" si="1"/>
        <v>-2.5693880770651461E-3</v>
      </c>
      <c r="T14" s="10">
        <v>-29</v>
      </c>
      <c r="U14" s="18">
        <f t="shared" si="2"/>
        <v>-1.4757199247926278E-6</v>
      </c>
      <c r="V14" s="10">
        <f t="shared" si="3"/>
        <v>-29</v>
      </c>
      <c r="W14" s="18">
        <f t="shared" si="4"/>
        <v>-2.5708637969899385E-3</v>
      </c>
      <c r="AA14" s="10"/>
    </row>
    <row r="15" spans="1:27">
      <c r="A15" s="30">
        <v>-45</v>
      </c>
      <c r="B15" s="34">
        <f t="shared" si="5"/>
        <v>5.8476334256692369E-12</v>
      </c>
      <c r="C15" s="34">
        <f t="shared" si="6"/>
        <v>-1.6936479032864236E-11</v>
      </c>
      <c r="D15" s="30">
        <v>-45</v>
      </c>
      <c r="E15" s="34">
        <f t="shared" si="7"/>
        <v>5.8476334256692369E-12</v>
      </c>
      <c r="F15" s="34">
        <f t="shared" si="8"/>
        <v>-1.6936479032864236E-11</v>
      </c>
      <c r="G15" s="35">
        <f t="shared" si="9"/>
        <v>-55</v>
      </c>
      <c r="H15" s="36">
        <f t="shared" si="10"/>
        <v>1.0024434893529742E-16</v>
      </c>
      <c r="I15" s="34">
        <f t="shared" si="11"/>
        <v>-4.3701402451710682E-16</v>
      </c>
      <c r="J15" s="28">
        <f t="shared" si="12"/>
        <v>5.8477336700181721E-12</v>
      </c>
      <c r="K15" s="9">
        <f t="shared" si="13"/>
        <v>1.0024434893529742E-14</v>
      </c>
      <c r="L15" s="25">
        <f t="shared" si="14"/>
        <v>5.8476334256692367E-10</v>
      </c>
      <c r="M15" s="25">
        <f t="shared" si="15"/>
        <v>5.8477336700181724E-10</v>
      </c>
      <c r="N15" s="198">
        <f t="shared" si="16"/>
        <v>-4.3701402451710684E-14</v>
      </c>
      <c r="O15" s="203">
        <f t="shared" si="17"/>
        <v>-1.6936479032864237E-9</v>
      </c>
      <c r="P15" s="25">
        <f t="shared" si="18"/>
        <v>-1.6936916046888754E-9</v>
      </c>
      <c r="R15" s="9">
        <f t="shared" si="0"/>
        <v>-28</v>
      </c>
      <c r="S15" s="18">
        <f t="shared" si="1"/>
        <v>-4.8027187870904467E-3</v>
      </c>
      <c r="T15" s="10">
        <v>-28</v>
      </c>
      <c r="U15" s="18">
        <f t="shared" si="2"/>
        <v>-3.4354196828064234E-6</v>
      </c>
      <c r="V15" s="10">
        <f t="shared" si="3"/>
        <v>-28</v>
      </c>
      <c r="W15" s="18">
        <f t="shared" si="4"/>
        <v>-4.806154206773253E-3</v>
      </c>
      <c r="AA15" s="10"/>
    </row>
    <row r="16" spans="1:27">
      <c r="A16" s="30">
        <v>-44</v>
      </c>
      <c r="B16" s="34">
        <f t="shared" si="5"/>
        <v>1.5529126985413633E-11</v>
      </c>
      <c r="C16" s="34">
        <f t="shared" si="6"/>
        <v>-4.2954687144746793E-11</v>
      </c>
      <c r="D16" s="30">
        <v>-44</v>
      </c>
      <c r="E16" s="34">
        <f t="shared" si="7"/>
        <v>1.5529126985413633E-11</v>
      </c>
      <c r="F16" s="34">
        <f t="shared" si="8"/>
        <v>-4.2954687144746793E-11</v>
      </c>
      <c r="G16" s="35">
        <f t="shared" si="9"/>
        <v>-54</v>
      </c>
      <c r="H16" s="36">
        <f t="shared" si="10"/>
        <v>3.3154707877399342E-16</v>
      </c>
      <c r="I16" s="34">
        <f t="shared" si="11"/>
        <v>-1.3924977308507721E-15</v>
      </c>
      <c r="J16" s="28">
        <f t="shared" si="12"/>
        <v>1.5529458532492408E-11</v>
      </c>
      <c r="K16" s="9">
        <f t="shared" si="13"/>
        <v>3.3154707877399341E-14</v>
      </c>
      <c r="L16" s="25">
        <f t="shared" si="14"/>
        <v>1.5529126985413634E-9</v>
      </c>
      <c r="M16" s="25">
        <f t="shared" si="15"/>
        <v>1.5529458532492407E-9</v>
      </c>
      <c r="N16" s="198">
        <f t="shared" si="16"/>
        <v>-1.3924977308507722E-13</v>
      </c>
      <c r="O16" s="203">
        <f t="shared" si="17"/>
        <v>-4.2954687144746791E-9</v>
      </c>
      <c r="P16" s="25">
        <f t="shared" si="18"/>
        <v>-4.2956079642477642E-9</v>
      </c>
      <c r="R16" s="9">
        <f t="shared" si="0"/>
        <v>-27</v>
      </c>
      <c r="S16" s="18">
        <f t="shared" si="1"/>
        <v>-8.7823910614371458E-3</v>
      </c>
      <c r="T16" s="10">
        <v>-27</v>
      </c>
      <c r="U16" s="18">
        <f t="shared" si="2"/>
        <v>-7.8239094875549217E-6</v>
      </c>
      <c r="V16" s="10">
        <f t="shared" si="3"/>
        <v>-27</v>
      </c>
      <c r="W16" s="18">
        <f t="shared" si="4"/>
        <v>-8.7902149709246993E-3</v>
      </c>
      <c r="AA16" s="10"/>
    </row>
    <row r="17" spans="1:27">
      <c r="A17" s="30">
        <v>-43</v>
      </c>
      <c r="B17" s="34">
        <f t="shared" si="5"/>
        <v>4.0344292348816813E-11</v>
      </c>
      <c r="C17" s="34">
        <f t="shared" si="6"/>
        <v>-1.064594929789766E-10</v>
      </c>
      <c r="D17" s="30">
        <v>-43</v>
      </c>
      <c r="E17" s="34">
        <f t="shared" si="7"/>
        <v>4.0344292348816813E-11</v>
      </c>
      <c r="F17" s="34">
        <f t="shared" si="8"/>
        <v>-1.064594929789766E-10</v>
      </c>
      <c r="G17" s="35">
        <f t="shared" si="9"/>
        <v>-53</v>
      </c>
      <c r="H17" s="36">
        <f t="shared" si="10"/>
        <v>1.0727503662088742E-15</v>
      </c>
      <c r="I17" s="34">
        <f t="shared" si="11"/>
        <v>-4.3376001318633172E-15</v>
      </c>
      <c r="J17" s="28">
        <f t="shared" si="12"/>
        <v>4.0345365099183022E-11</v>
      </c>
      <c r="K17" s="9">
        <f t="shared" si="13"/>
        <v>1.0727503662088742E-13</v>
      </c>
      <c r="L17" s="25">
        <f t="shared" si="14"/>
        <v>4.0344292348816814E-9</v>
      </c>
      <c r="M17" s="25">
        <f t="shared" si="15"/>
        <v>4.0345365099183022E-9</v>
      </c>
      <c r="N17" s="198">
        <f t="shared" si="16"/>
        <v>-4.3376001318633173E-13</v>
      </c>
      <c r="O17" s="203">
        <f t="shared" si="17"/>
        <v>-1.0645949297897659E-8</v>
      </c>
      <c r="P17" s="25">
        <f t="shared" si="18"/>
        <v>-1.0646383057910846E-8</v>
      </c>
      <c r="R17" s="9">
        <f t="shared" si="0"/>
        <v>-26</v>
      </c>
      <c r="S17" s="18">
        <f t="shared" si="1"/>
        <v>-1.5711098237402174E-2</v>
      </c>
      <c r="T17" s="10">
        <v>-26</v>
      </c>
      <c r="U17" s="18">
        <f t="shared" si="2"/>
        <v>-1.7431549565540898E-5</v>
      </c>
      <c r="V17" s="10">
        <f t="shared" si="3"/>
        <v>-26</v>
      </c>
      <c r="W17" s="18">
        <f t="shared" si="4"/>
        <v>-1.5728529786967711E-2</v>
      </c>
      <c r="AA17" s="10"/>
    </row>
    <row r="18" spans="1:27">
      <c r="A18" s="30">
        <v>-42</v>
      </c>
      <c r="B18" s="34">
        <f t="shared" si="5"/>
        <v>1.0253811341284479E-10</v>
      </c>
      <c r="C18" s="34">
        <f t="shared" si="6"/>
        <v>-2.5782216993929285E-10</v>
      </c>
      <c r="D18" s="30">
        <v>-42</v>
      </c>
      <c r="E18" s="34">
        <f t="shared" si="7"/>
        <v>1.0253811341284479E-10</v>
      </c>
      <c r="F18" s="34">
        <f t="shared" si="8"/>
        <v>-2.5782216993929285E-10</v>
      </c>
      <c r="G18" s="35">
        <f t="shared" si="9"/>
        <v>-52</v>
      </c>
      <c r="H18" s="36">
        <f t="shared" si="10"/>
        <v>3.3956294904634096E-15</v>
      </c>
      <c r="I18" s="34">
        <f t="shared" si="11"/>
        <v>-1.320833108156023E-14</v>
      </c>
      <c r="J18" s="28">
        <f t="shared" si="12"/>
        <v>1.0254150904233525E-10</v>
      </c>
      <c r="K18" s="9">
        <f t="shared" si="13"/>
        <v>3.3956294904634098E-13</v>
      </c>
      <c r="L18" s="25">
        <f t="shared" si="14"/>
        <v>1.0253811341284478E-8</v>
      </c>
      <c r="M18" s="25">
        <f t="shared" si="15"/>
        <v>1.0254150904233524E-8</v>
      </c>
      <c r="N18" s="198">
        <f t="shared" si="16"/>
        <v>-1.320833108156023E-12</v>
      </c>
      <c r="O18" s="203">
        <f t="shared" si="17"/>
        <v>-2.5782216993929284E-8</v>
      </c>
      <c r="P18" s="25">
        <f t="shared" si="18"/>
        <v>-2.578353782703744E-8</v>
      </c>
      <c r="R18" s="9">
        <f t="shared" si="0"/>
        <v>-25</v>
      </c>
      <c r="S18" s="18">
        <f t="shared" si="1"/>
        <v>-2.7495933984103292E-2</v>
      </c>
      <c r="T18" s="10">
        <v>-25</v>
      </c>
      <c r="U18" s="18">
        <f t="shared" si="2"/>
        <v>-3.7994114938062827E-5</v>
      </c>
      <c r="V18" s="10">
        <f t="shared" si="3"/>
        <v>-25</v>
      </c>
      <c r="W18" s="18">
        <f t="shared" si="4"/>
        <v>-2.7533928099041354E-2</v>
      </c>
      <c r="AA18" s="10"/>
    </row>
    <row r="19" spans="1:27">
      <c r="A19" s="30">
        <v>-41</v>
      </c>
      <c r="B19" s="34">
        <f t="shared" si="5"/>
        <v>2.5495098992823882E-10</v>
      </c>
      <c r="C19" s="34">
        <f t="shared" si="6"/>
        <v>-6.1008711051232058E-10</v>
      </c>
      <c r="D19" s="30">
        <v>-41</v>
      </c>
      <c r="E19" s="34">
        <f t="shared" si="7"/>
        <v>2.5495098992823882E-10</v>
      </c>
      <c r="F19" s="34">
        <f t="shared" si="8"/>
        <v>-6.1008711051232058E-10</v>
      </c>
      <c r="G19" s="35">
        <f t="shared" si="9"/>
        <v>-51</v>
      </c>
      <c r="H19" s="36">
        <f t="shared" si="10"/>
        <v>1.0515019476744E-14</v>
      </c>
      <c r="I19" s="34">
        <f t="shared" si="11"/>
        <v>-3.9316653072302869E-14</v>
      </c>
      <c r="J19" s="28">
        <f t="shared" si="12"/>
        <v>2.5496150494771557E-10</v>
      </c>
      <c r="K19" s="9">
        <f t="shared" si="13"/>
        <v>1.0515019476743999E-12</v>
      </c>
      <c r="L19" s="25">
        <f t="shared" si="14"/>
        <v>2.5495098992823883E-8</v>
      </c>
      <c r="M19" s="25">
        <f t="shared" si="15"/>
        <v>2.5496150494771559E-8</v>
      </c>
      <c r="N19" s="198">
        <f t="shared" si="16"/>
        <v>-3.9316653072302868E-12</v>
      </c>
      <c r="O19" s="203">
        <f t="shared" si="17"/>
        <v>-6.1008711051232058E-8</v>
      </c>
      <c r="P19" s="25">
        <f t="shared" si="18"/>
        <v>-6.1012642716539293E-8</v>
      </c>
      <c r="R19" s="9">
        <f t="shared" si="0"/>
        <v>-24</v>
      </c>
      <c r="S19" s="18">
        <f t="shared" si="1"/>
        <v>-4.7075893123253741E-2</v>
      </c>
      <c r="T19" s="10">
        <v>-24</v>
      </c>
      <c r="U19" s="18">
        <f t="shared" si="2"/>
        <v>-8.101488666490451E-5</v>
      </c>
      <c r="V19" s="10">
        <f t="shared" si="3"/>
        <v>-24</v>
      </c>
      <c r="W19" s="18">
        <f t="shared" si="4"/>
        <v>-4.7156908009918647E-2</v>
      </c>
      <c r="AA19" s="10"/>
    </row>
    <row r="20" spans="1:27">
      <c r="A20" s="30">
        <v>-40</v>
      </c>
      <c r="B20" s="34">
        <f t="shared" si="5"/>
        <v>6.2014927749717002E-10</v>
      </c>
      <c r="C20" s="34">
        <f t="shared" si="6"/>
        <v>-1.4104922433134078E-9</v>
      </c>
      <c r="D20" s="30">
        <v>-40</v>
      </c>
      <c r="E20" s="34">
        <f t="shared" si="7"/>
        <v>6.2014927749717002E-10</v>
      </c>
      <c r="F20" s="34">
        <f t="shared" si="8"/>
        <v>-1.4104922433134078E-9</v>
      </c>
      <c r="G20" s="35">
        <f t="shared" si="9"/>
        <v>-50</v>
      </c>
      <c r="H20" s="36">
        <f t="shared" si="10"/>
        <v>3.1854297055587741E-14</v>
      </c>
      <c r="I20" s="34">
        <f t="shared" si="11"/>
        <v>-1.143987288221295E-13</v>
      </c>
      <c r="J20" s="28">
        <f t="shared" si="12"/>
        <v>6.2018113179422557E-10</v>
      </c>
      <c r="K20" s="9">
        <f t="shared" si="13"/>
        <v>3.185429705558774E-12</v>
      </c>
      <c r="L20" s="25">
        <f t="shared" si="14"/>
        <v>6.2014927749717004E-8</v>
      </c>
      <c r="M20" s="25">
        <f t="shared" si="15"/>
        <v>6.2018113179422562E-8</v>
      </c>
      <c r="N20" s="198">
        <f t="shared" si="16"/>
        <v>-1.143987288221295E-11</v>
      </c>
      <c r="O20" s="203">
        <f t="shared" si="17"/>
        <v>-1.4104922433134079E-7</v>
      </c>
      <c r="P20" s="25">
        <f t="shared" si="18"/>
        <v>-1.41060664204223E-7</v>
      </c>
      <c r="R20" s="9">
        <f t="shared" si="0"/>
        <v>-23</v>
      </c>
      <c r="S20" s="18">
        <f t="shared" si="1"/>
        <v>-7.884911432985138E-2</v>
      </c>
      <c r="T20" s="10">
        <v>-23</v>
      </c>
      <c r="U20" s="18">
        <f t="shared" si="2"/>
        <v>-1.6899796882487885E-4</v>
      </c>
      <c r="V20" s="10">
        <f t="shared" si="3"/>
        <v>-23</v>
      </c>
      <c r="W20" s="18">
        <f t="shared" si="4"/>
        <v>-7.9018112298676252E-2</v>
      </c>
      <c r="AA20" s="10"/>
    </row>
    <row r="21" spans="1:27">
      <c r="A21" s="30">
        <v>-39</v>
      </c>
      <c r="B21" s="34">
        <f t="shared" si="5"/>
        <v>1.4757199247926278E-9</v>
      </c>
      <c r="C21" s="34">
        <f t="shared" si="6"/>
        <v>-3.1858546195317385E-9</v>
      </c>
      <c r="D21" s="30">
        <v>-39</v>
      </c>
      <c r="E21" s="34">
        <f t="shared" si="7"/>
        <v>1.4757199247926278E-9</v>
      </c>
      <c r="F21" s="34">
        <f t="shared" si="8"/>
        <v>-3.1858546195317385E-9</v>
      </c>
      <c r="G21" s="35">
        <f t="shared" si="9"/>
        <v>-49</v>
      </c>
      <c r="H21" s="36">
        <f t="shared" si="10"/>
        <v>9.4404811525977154E-14</v>
      </c>
      <c r="I21" s="34">
        <f t="shared" si="11"/>
        <v>-3.2536206053767729E-13</v>
      </c>
      <c r="J21" s="28">
        <f t="shared" si="12"/>
        <v>1.4758143296041537E-9</v>
      </c>
      <c r="K21" s="9">
        <f t="shared" si="13"/>
        <v>9.4404811525977155E-12</v>
      </c>
      <c r="L21" s="25">
        <f t="shared" si="14"/>
        <v>1.4757199247926277E-7</v>
      </c>
      <c r="M21" s="25">
        <f t="shared" si="15"/>
        <v>1.4758143296041538E-7</v>
      </c>
      <c r="N21" s="198">
        <f t="shared" si="16"/>
        <v>-3.2536206053767727E-11</v>
      </c>
      <c r="O21" s="203">
        <f t="shared" si="17"/>
        <v>-3.1858546195317385E-7</v>
      </c>
      <c r="P21" s="25">
        <f t="shared" si="18"/>
        <v>-3.186179981592276E-7</v>
      </c>
      <c r="R21" s="9">
        <f t="shared" si="0"/>
        <v>-22</v>
      </c>
      <c r="S21" s="18">
        <f t="shared" si="1"/>
        <v>-0.12920021319949371</v>
      </c>
      <c r="T21" s="10">
        <v>-22</v>
      </c>
      <c r="U21" s="18">
        <f t="shared" si="2"/>
        <v>-3.4487864259477433E-4</v>
      </c>
      <c r="V21" s="10">
        <f t="shared" si="3"/>
        <v>-22</v>
      </c>
      <c r="W21" s="18">
        <f t="shared" si="4"/>
        <v>-0.12954509184208846</v>
      </c>
      <c r="AA21" s="10"/>
    </row>
    <row r="22" spans="1:27">
      <c r="A22" s="30">
        <v>-38</v>
      </c>
      <c r="B22" s="34">
        <f t="shared" si="5"/>
        <v>3.4354196828064236E-9</v>
      </c>
      <c r="C22" s="34">
        <f t="shared" si="6"/>
        <v>-7.0294938639957685E-9</v>
      </c>
      <c r="D22" s="30">
        <v>-38</v>
      </c>
      <c r="E22" s="34">
        <f t="shared" si="7"/>
        <v>3.4354196828064236E-9</v>
      </c>
      <c r="F22" s="34">
        <f t="shared" si="8"/>
        <v>-7.0294938639957685E-9</v>
      </c>
      <c r="G22" s="35">
        <f t="shared" si="9"/>
        <v>-48</v>
      </c>
      <c r="H22" s="36">
        <f t="shared" si="10"/>
        <v>2.7370856821612073E-13</v>
      </c>
      <c r="I22" s="34">
        <f t="shared" si="11"/>
        <v>-9.0447728509277744E-13</v>
      </c>
      <c r="J22" s="28">
        <f t="shared" si="12"/>
        <v>3.4356933913746395E-9</v>
      </c>
      <c r="K22" s="9">
        <f t="shared" si="13"/>
        <v>2.7370856821612073E-11</v>
      </c>
      <c r="L22" s="25">
        <f t="shared" si="14"/>
        <v>3.4354196828064235E-7</v>
      </c>
      <c r="M22" s="25">
        <f t="shared" si="15"/>
        <v>3.4356933913746395E-7</v>
      </c>
      <c r="N22" s="198">
        <f t="shared" si="16"/>
        <v>-9.0447728509277747E-11</v>
      </c>
      <c r="O22" s="203">
        <f t="shared" si="17"/>
        <v>-7.0294938639957686E-7</v>
      </c>
      <c r="P22" s="25">
        <f t="shared" si="18"/>
        <v>-7.0303983412808616E-7</v>
      </c>
      <c r="R22" s="9">
        <f t="shared" si="0"/>
        <v>-21</v>
      </c>
      <c r="S22" s="18">
        <f t="shared" si="1"/>
        <v>-0.20710844152466606</v>
      </c>
      <c r="T22" s="10">
        <v>-21</v>
      </c>
      <c r="U22" s="18">
        <f t="shared" si="2"/>
        <v>-6.8852430522043002E-4</v>
      </c>
      <c r="V22" s="10">
        <f t="shared" si="3"/>
        <v>-21</v>
      </c>
      <c r="W22" s="18">
        <f t="shared" si="4"/>
        <v>-0.20779696582988649</v>
      </c>
      <c r="AA22" s="10"/>
    </row>
    <row r="23" spans="1:27">
      <c r="A23" s="30">
        <v>-37</v>
      </c>
      <c r="B23" s="34">
        <f t="shared" si="5"/>
        <v>7.8239094875549225E-9</v>
      </c>
      <c r="C23" s="34">
        <f t="shared" si="6"/>
        <v>-1.515055175116374E-8</v>
      </c>
      <c r="D23" s="30">
        <v>-37</v>
      </c>
      <c r="E23" s="34">
        <f t="shared" si="7"/>
        <v>7.8239094875549225E-9</v>
      </c>
      <c r="F23" s="34">
        <f t="shared" si="8"/>
        <v>-1.515055175116374E-8</v>
      </c>
      <c r="G23" s="35">
        <f t="shared" si="9"/>
        <v>-47</v>
      </c>
      <c r="H23" s="36">
        <f t="shared" si="10"/>
        <v>7.7633794862141246E-13</v>
      </c>
      <c r="I23" s="34">
        <f t="shared" si="11"/>
        <v>-2.4575160577531037E-12</v>
      </c>
      <c r="J23" s="28">
        <f t="shared" si="12"/>
        <v>7.8246858255035447E-9</v>
      </c>
      <c r="K23" s="9">
        <f t="shared" si="13"/>
        <v>7.7633794862141246E-11</v>
      </c>
      <c r="L23" s="25">
        <f t="shared" si="14"/>
        <v>7.823909487554923E-7</v>
      </c>
      <c r="M23" s="25">
        <f t="shared" si="15"/>
        <v>7.8246858255035445E-7</v>
      </c>
      <c r="N23" s="198">
        <f t="shared" si="16"/>
        <v>-2.4575160577531036E-10</v>
      </c>
      <c r="O23" s="203">
        <f t="shared" si="17"/>
        <v>-1.5150551751163741E-6</v>
      </c>
      <c r="P23" s="25">
        <f t="shared" si="18"/>
        <v>-1.5153009267221495E-6</v>
      </c>
      <c r="R23" s="9">
        <f t="shared" si="0"/>
        <v>-20</v>
      </c>
      <c r="S23" s="18">
        <f t="shared" si="1"/>
        <v>-0.32478841549970161</v>
      </c>
      <c r="T23" s="10">
        <v>-20</v>
      </c>
      <c r="U23" s="18">
        <f t="shared" si="2"/>
        <v>-1.3447464619457143E-3</v>
      </c>
      <c r="V23" s="10">
        <f t="shared" si="3"/>
        <v>-20</v>
      </c>
      <c r="W23" s="18">
        <f t="shared" si="4"/>
        <v>-0.32613316196164732</v>
      </c>
      <c r="AA23" s="10"/>
    </row>
    <row r="24" spans="1:27">
      <c r="A24" s="30">
        <v>-36</v>
      </c>
      <c r="B24" s="34">
        <f t="shared" si="5"/>
        <v>1.7431549565540899E-8</v>
      </c>
      <c r="C24" s="34">
        <f t="shared" si="6"/>
        <v>-3.189327957547112E-8</v>
      </c>
      <c r="D24" s="30">
        <v>-36</v>
      </c>
      <c r="E24" s="34">
        <f t="shared" si="7"/>
        <v>1.7431549565540899E-8</v>
      </c>
      <c r="F24" s="34">
        <f t="shared" si="8"/>
        <v>-3.189327957547112E-8</v>
      </c>
      <c r="G24" s="35">
        <f t="shared" si="9"/>
        <v>-46</v>
      </c>
      <c r="H24" s="36">
        <f t="shared" si="10"/>
        <v>2.154177066404679E-12</v>
      </c>
      <c r="I24" s="34">
        <f t="shared" si="11"/>
        <v>-6.5259646711282851E-12</v>
      </c>
      <c r="J24" s="28">
        <f t="shared" si="12"/>
        <v>1.7433703742607305E-8</v>
      </c>
      <c r="K24" s="9">
        <f t="shared" si="13"/>
        <v>2.154177066404679E-10</v>
      </c>
      <c r="L24" s="25">
        <f t="shared" si="14"/>
        <v>1.74315495655409E-6</v>
      </c>
      <c r="M24" s="25">
        <f t="shared" si="15"/>
        <v>1.7433703742607305E-6</v>
      </c>
      <c r="N24" s="198">
        <f t="shared" si="16"/>
        <v>-6.5259646711282853E-10</v>
      </c>
      <c r="O24" s="203">
        <f t="shared" si="17"/>
        <v>-3.1893279575471119E-6</v>
      </c>
      <c r="P24" s="25">
        <f t="shared" si="18"/>
        <v>-3.1899805540142246E-6</v>
      </c>
      <c r="R24" s="9">
        <f t="shared" si="0"/>
        <v>-19</v>
      </c>
      <c r="S24" s="18">
        <f t="shared" si="1"/>
        <v>-0.49827766415018232</v>
      </c>
      <c r="T24" s="10">
        <v>-19</v>
      </c>
      <c r="U24" s="18">
        <f t="shared" si="2"/>
        <v>-2.5693880770651461E-3</v>
      </c>
      <c r="V24" s="10">
        <f t="shared" si="3"/>
        <v>-19</v>
      </c>
      <c r="W24" s="18">
        <f t="shared" si="4"/>
        <v>-0.50084705222724746</v>
      </c>
      <c r="AA24" s="10"/>
    </row>
    <row r="25" spans="1:27">
      <c r="A25" s="30">
        <v>-35</v>
      </c>
      <c r="B25" s="34">
        <f t="shared" si="5"/>
        <v>3.799411493806283E-8</v>
      </c>
      <c r="C25" s="34">
        <f t="shared" si="6"/>
        <v>-6.5568078920547202E-8</v>
      </c>
      <c r="D25" s="30">
        <v>-35</v>
      </c>
      <c r="E25" s="34">
        <f t="shared" si="7"/>
        <v>3.799411493806283E-8</v>
      </c>
      <c r="F25" s="34">
        <f t="shared" si="8"/>
        <v>-6.5568078920547202E-8</v>
      </c>
      <c r="G25" s="35">
        <f t="shared" si="9"/>
        <v>-45</v>
      </c>
      <c r="H25" s="36">
        <f t="shared" si="10"/>
        <v>5.8476334256692369E-12</v>
      </c>
      <c r="I25" s="34">
        <f t="shared" si="11"/>
        <v>-1.6936479032864236E-11</v>
      </c>
      <c r="J25" s="28">
        <f t="shared" si="12"/>
        <v>3.7999962571488501E-8</v>
      </c>
      <c r="K25" s="9">
        <f t="shared" si="13"/>
        <v>5.8476334256692367E-10</v>
      </c>
      <c r="L25" s="25">
        <f t="shared" si="14"/>
        <v>3.7994114938062831E-6</v>
      </c>
      <c r="M25" s="25">
        <f t="shared" si="15"/>
        <v>3.7999962571488499E-6</v>
      </c>
      <c r="N25" s="198">
        <f t="shared" si="16"/>
        <v>-1.6936479032864237E-9</v>
      </c>
      <c r="O25" s="203">
        <f t="shared" si="17"/>
        <v>-6.5568078920547199E-6</v>
      </c>
      <c r="P25" s="25">
        <f t="shared" si="18"/>
        <v>-6.5585015399580067E-6</v>
      </c>
      <c r="R25" s="9">
        <f t="shared" si="0"/>
        <v>-18</v>
      </c>
      <c r="S25" s="18">
        <f t="shared" si="1"/>
        <v>-0.7478430617571411</v>
      </c>
      <c r="T25" s="10">
        <v>-18</v>
      </c>
      <c r="U25" s="18">
        <f t="shared" si="2"/>
        <v>-4.8027187870904467E-3</v>
      </c>
      <c r="V25" s="10">
        <f t="shared" si="3"/>
        <v>-18</v>
      </c>
      <c r="W25" s="18">
        <f t="shared" si="4"/>
        <v>-0.75264578054423148</v>
      </c>
      <c r="AA25" s="10"/>
    </row>
    <row r="26" spans="1:27">
      <c r="A26" s="30">
        <v>-34</v>
      </c>
      <c r="B26" s="34">
        <f t="shared" si="5"/>
        <v>8.1014886664904516E-8</v>
      </c>
      <c r="C26" s="34">
        <f t="shared" si="6"/>
        <v>-1.3163159500460528E-7</v>
      </c>
      <c r="D26" s="30">
        <v>-34</v>
      </c>
      <c r="E26" s="34">
        <f t="shared" si="7"/>
        <v>8.1014886664904516E-8</v>
      </c>
      <c r="F26" s="34">
        <f t="shared" si="8"/>
        <v>-1.3163159500460528E-7</v>
      </c>
      <c r="G26" s="35">
        <f t="shared" si="9"/>
        <v>-44</v>
      </c>
      <c r="H26" s="36">
        <f t="shared" si="10"/>
        <v>1.5529126985413633E-11</v>
      </c>
      <c r="I26" s="34">
        <f t="shared" si="11"/>
        <v>-4.2954687144746793E-11</v>
      </c>
      <c r="J26" s="28">
        <f t="shared" si="12"/>
        <v>8.1030415791889926E-8</v>
      </c>
      <c r="K26" s="9">
        <f t="shared" si="13"/>
        <v>1.5529126985413634E-9</v>
      </c>
      <c r="L26" s="25">
        <f t="shared" si="14"/>
        <v>8.101488666490452E-6</v>
      </c>
      <c r="M26" s="25">
        <f t="shared" si="15"/>
        <v>8.1030415791889937E-6</v>
      </c>
      <c r="N26" s="198">
        <f t="shared" si="16"/>
        <v>-4.2954687144746791E-9</v>
      </c>
      <c r="O26" s="203">
        <f t="shared" si="17"/>
        <v>-1.3163159500460527E-5</v>
      </c>
      <c r="P26" s="25">
        <f t="shared" si="18"/>
        <v>-1.3167454969175001E-5</v>
      </c>
      <c r="R26" s="9">
        <f t="shared" si="0"/>
        <v>-17</v>
      </c>
      <c r="S26" s="18">
        <f t="shared" si="1"/>
        <v>-1.0980387764468609</v>
      </c>
      <c r="T26" s="10">
        <v>-17</v>
      </c>
      <c r="U26" s="18">
        <f t="shared" si="2"/>
        <v>-8.7823910614371458E-3</v>
      </c>
      <c r="V26" s="10">
        <f t="shared" si="3"/>
        <v>-17</v>
      </c>
      <c r="W26" s="18">
        <f t="shared" si="4"/>
        <v>-1.1068211675082977</v>
      </c>
      <c r="AA26" s="10"/>
    </row>
    <row r="27" spans="1:27">
      <c r="A27" s="30">
        <v>-33</v>
      </c>
      <c r="B27" s="34">
        <f t="shared" si="5"/>
        <v>1.6899796882487886E-7</v>
      </c>
      <c r="C27" s="34">
        <f t="shared" si="6"/>
        <v>-2.5801747503716069E-7</v>
      </c>
      <c r="D27" s="30">
        <v>-33</v>
      </c>
      <c r="E27" s="34">
        <f t="shared" si="7"/>
        <v>1.6899796882487886E-7</v>
      </c>
      <c r="F27" s="34">
        <f t="shared" si="8"/>
        <v>-2.5801747503716069E-7</v>
      </c>
      <c r="G27" s="35">
        <f t="shared" si="9"/>
        <v>-43</v>
      </c>
      <c r="H27" s="36">
        <f t="shared" si="10"/>
        <v>4.0344292348816813E-11</v>
      </c>
      <c r="I27" s="34">
        <f t="shared" si="11"/>
        <v>-1.064594929789766E-10</v>
      </c>
      <c r="J27" s="28">
        <f t="shared" si="12"/>
        <v>1.6903831311722767E-7</v>
      </c>
      <c r="K27" s="9">
        <f t="shared" si="13"/>
        <v>4.0344292348816814E-9</v>
      </c>
      <c r="L27" s="25">
        <f t="shared" si="14"/>
        <v>1.6899796882487886E-5</v>
      </c>
      <c r="M27" s="25">
        <f t="shared" si="15"/>
        <v>1.6903831311722769E-5</v>
      </c>
      <c r="N27" s="198">
        <f t="shared" si="16"/>
        <v>-1.0645949297897659E-8</v>
      </c>
      <c r="O27" s="203">
        <f t="shared" si="17"/>
        <v>-2.580174750371607E-5</v>
      </c>
      <c r="P27" s="25">
        <f t="shared" si="18"/>
        <v>-2.5812393453013967E-5</v>
      </c>
      <c r="R27" s="9">
        <f t="shared" si="0"/>
        <v>-16</v>
      </c>
      <c r="S27" s="18">
        <f t="shared" si="1"/>
        <v>-1.5772227949052373</v>
      </c>
      <c r="T27" s="10">
        <v>-16</v>
      </c>
      <c r="U27" s="18">
        <f t="shared" si="2"/>
        <v>-1.5711098237402174E-2</v>
      </c>
      <c r="V27" s="10">
        <f t="shared" si="3"/>
        <v>-16</v>
      </c>
      <c r="W27" s="18">
        <f t="shared" si="4"/>
        <v>-1.5929338931426393</v>
      </c>
      <c r="AA27" s="10"/>
    </row>
    <row r="28" spans="1:27">
      <c r="A28" s="30">
        <v>-32</v>
      </c>
      <c r="B28" s="34">
        <f t="shared" si="5"/>
        <v>3.4487864259477436E-7</v>
      </c>
      <c r="C28" s="34">
        <f t="shared" si="6"/>
        <v>-4.9374258343129332E-7</v>
      </c>
      <c r="D28" s="30">
        <v>-32</v>
      </c>
      <c r="E28" s="34">
        <f t="shared" si="7"/>
        <v>3.4487864259477436E-7</v>
      </c>
      <c r="F28" s="34">
        <f t="shared" si="8"/>
        <v>-4.9374258343129332E-7</v>
      </c>
      <c r="G28" s="35">
        <f t="shared" si="9"/>
        <v>-42</v>
      </c>
      <c r="H28" s="36">
        <f t="shared" si="10"/>
        <v>1.0253811341284479E-10</v>
      </c>
      <c r="I28" s="34">
        <f t="shared" si="11"/>
        <v>-2.5782216993929285E-10</v>
      </c>
      <c r="J28" s="28">
        <f t="shared" si="12"/>
        <v>3.449811807081872E-7</v>
      </c>
      <c r="K28" s="9">
        <f t="shared" si="13"/>
        <v>1.0253811341284478E-8</v>
      </c>
      <c r="L28" s="25">
        <f t="shared" si="14"/>
        <v>3.4487864259477438E-5</v>
      </c>
      <c r="M28" s="25">
        <f t="shared" si="15"/>
        <v>3.4498118070818721E-5</v>
      </c>
      <c r="N28" s="198">
        <f t="shared" si="16"/>
        <v>-2.5782216993929284E-8</v>
      </c>
      <c r="O28" s="203">
        <f t="shared" si="17"/>
        <v>-4.9374258343129331E-5</v>
      </c>
      <c r="P28" s="25">
        <f t="shared" si="18"/>
        <v>-4.9400040560123261E-5</v>
      </c>
      <c r="R28" s="9">
        <f t="shared" si="0"/>
        <v>-15</v>
      </c>
      <c r="S28" s="18">
        <f t="shared" si="1"/>
        <v>-2.2163409593685706</v>
      </c>
      <c r="T28" s="10">
        <v>-15</v>
      </c>
      <c r="U28" s="18">
        <f t="shared" si="2"/>
        <v>-2.7495933984103292E-2</v>
      </c>
      <c r="V28" s="10">
        <f t="shared" si="3"/>
        <v>-15</v>
      </c>
      <c r="W28" s="18">
        <f t="shared" si="4"/>
        <v>-2.243836893352674</v>
      </c>
      <c r="AA28" s="10"/>
    </row>
    <row r="29" spans="1:27">
      <c r="A29" s="30">
        <v>-31</v>
      </c>
      <c r="B29" s="34">
        <f t="shared" si="5"/>
        <v>6.8852430522042997E-7</v>
      </c>
      <c r="C29" s="34">
        <f t="shared" si="6"/>
        <v>-9.2225107439996686E-7</v>
      </c>
      <c r="D29" s="30">
        <v>-31</v>
      </c>
      <c r="E29" s="36">
        <f t="shared" si="7"/>
        <v>6.8852430522042997E-7</v>
      </c>
      <c r="F29" s="34">
        <f t="shared" si="8"/>
        <v>-9.2225107439996686E-7</v>
      </c>
      <c r="G29" s="35">
        <f t="shared" si="9"/>
        <v>-41</v>
      </c>
      <c r="H29" s="36">
        <f t="shared" si="10"/>
        <v>2.5495098992823882E-10</v>
      </c>
      <c r="I29" s="34">
        <f t="shared" si="11"/>
        <v>-6.1008711051232058E-10</v>
      </c>
      <c r="J29" s="28">
        <f t="shared" si="12"/>
        <v>6.887792562103582E-7</v>
      </c>
      <c r="K29" s="9">
        <f t="shared" si="13"/>
        <v>2.5495098992823883E-8</v>
      </c>
      <c r="L29" s="25">
        <f t="shared" si="14"/>
        <v>6.8852430522042994E-5</v>
      </c>
      <c r="M29" s="25">
        <f t="shared" si="15"/>
        <v>6.8877925621035817E-5</v>
      </c>
      <c r="N29" s="198">
        <f t="shared" si="16"/>
        <v>-6.1008711051232058E-8</v>
      </c>
      <c r="O29" s="203">
        <f t="shared" si="17"/>
        <v>-9.2225107439996684E-5</v>
      </c>
      <c r="P29" s="25">
        <f t="shared" si="18"/>
        <v>-9.2286116151047917E-5</v>
      </c>
      <c r="R29" s="9">
        <f t="shared" si="0"/>
        <v>-14</v>
      </c>
      <c r="S29" s="18">
        <f t="shared" si="1"/>
        <v>-3.0468302553613462</v>
      </c>
      <c r="T29" s="10">
        <v>-14</v>
      </c>
      <c r="U29" s="18">
        <f t="shared" si="2"/>
        <v>-4.7075893123253741E-2</v>
      </c>
      <c r="V29" s="10">
        <f t="shared" si="3"/>
        <v>-14</v>
      </c>
      <c r="W29" s="18">
        <f t="shared" si="4"/>
        <v>-3.0939061484846002</v>
      </c>
      <c r="AA29" s="10"/>
    </row>
    <row r="30" spans="1:27">
      <c r="A30" s="30">
        <v>-30</v>
      </c>
      <c r="B30" s="34">
        <f t="shared" si="5"/>
        <v>1.3447464619457143E-6</v>
      </c>
      <c r="C30" s="34">
        <f t="shared" si="6"/>
        <v>-1.6812097742350124E-6</v>
      </c>
      <c r="D30" s="30">
        <v>-30</v>
      </c>
      <c r="E30" s="36">
        <f t="shared" si="7"/>
        <v>1.3447464619457143E-6</v>
      </c>
      <c r="F30" s="34">
        <f t="shared" si="8"/>
        <v>-1.6812097742350124E-6</v>
      </c>
      <c r="G30" s="35">
        <f t="shared" si="9"/>
        <v>-40</v>
      </c>
      <c r="H30" s="36">
        <f t="shared" si="10"/>
        <v>6.2014927749717002E-10</v>
      </c>
      <c r="I30" s="34">
        <f t="shared" si="11"/>
        <v>-1.4104922433134078E-9</v>
      </c>
      <c r="J30" s="28">
        <f t="shared" si="12"/>
        <v>1.3453666112232114E-6</v>
      </c>
      <c r="K30" s="9">
        <f t="shared" si="13"/>
        <v>6.2014927749717004E-8</v>
      </c>
      <c r="L30" s="25">
        <f t="shared" si="14"/>
        <v>1.3447464619457142E-4</v>
      </c>
      <c r="M30" s="25">
        <f t="shared" si="15"/>
        <v>1.3453666112232113E-4</v>
      </c>
      <c r="N30" s="198">
        <f t="shared" si="16"/>
        <v>-1.4104922433134079E-7</v>
      </c>
      <c r="O30" s="203">
        <f t="shared" si="17"/>
        <v>-1.6812097742350125E-4</v>
      </c>
      <c r="P30" s="25">
        <f t="shared" si="18"/>
        <v>-1.6826202664783259E-4</v>
      </c>
      <c r="R30" s="9">
        <f t="shared" si="0"/>
        <v>-13</v>
      </c>
      <c r="S30" s="18">
        <f t="shared" si="1"/>
        <v>-4.0975862710533315</v>
      </c>
      <c r="T30" s="10">
        <v>-13</v>
      </c>
      <c r="U30" s="18">
        <f t="shared" si="2"/>
        <v>-7.884911432985138E-2</v>
      </c>
      <c r="V30" s="10">
        <f t="shared" si="3"/>
        <v>-13</v>
      </c>
      <c r="W30" s="18">
        <f t="shared" si="4"/>
        <v>-4.1764353853831828</v>
      </c>
      <c r="AA30" s="10"/>
    </row>
    <row r="31" spans="1:27">
      <c r="A31" s="30">
        <v>-29</v>
      </c>
      <c r="B31" s="34">
        <f t="shared" si="5"/>
        <v>2.5693880770651459E-6</v>
      </c>
      <c r="C31" s="34">
        <f t="shared" si="6"/>
        <v>-2.9904528629911394E-6</v>
      </c>
      <c r="D31" s="30">
        <v>-29</v>
      </c>
      <c r="E31" s="34">
        <f t="shared" si="7"/>
        <v>2.5693880770651459E-6</v>
      </c>
      <c r="F31" s="34">
        <f t="shared" si="8"/>
        <v>-2.9904528629911394E-6</v>
      </c>
      <c r="G31" s="35">
        <f t="shared" si="9"/>
        <v>-39</v>
      </c>
      <c r="H31" s="36">
        <f t="shared" si="10"/>
        <v>1.4757199247926278E-9</v>
      </c>
      <c r="I31" s="34">
        <f t="shared" si="11"/>
        <v>-3.1858546195317385E-9</v>
      </c>
      <c r="J31" s="28">
        <f t="shared" si="12"/>
        <v>2.5708637969899386E-6</v>
      </c>
      <c r="K31" s="9">
        <f t="shared" si="13"/>
        <v>1.4757199247926277E-7</v>
      </c>
      <c r="L31" s="25">
        <f t="shared" si="14"/>
        <v>2.5693880770651459E-4</v>
      </c>
      <c r="M31" s="25">
        <f t="shared" si="15"/>
        <v>2.5708637969899383E-4</v>
      </c>
      <c r="N31" s="198">
        <f t="shared" si="16"/>
        <v>-3.1858546195317385E-7</v>
      </c>
      <c r="O31" s="203">
        <f t="shared" si="17"/>
        <v>-2.9904528629911393E-4</v>
      </c>
      <c r="P31" s="25">
        <f t="shared" si="18"/>
        <v>-2.9936387176106712E-4</v>
      </c>
      <c r="R31" s="9">
        <f t="shared" si="0"/>
        <v>-12</v>
      </c>
      <c r="S31" s="18">
        <f t="shared" si="1"/>
        <v>-5.3910841649474399</v>
      </c>
      <c r="T31" s="10">
        <v>-12</v>
      </c>
      <c r="U31" s="18">
        <f t="shared" si="2"/>
        <v>-0.12920021319949371</v>
      </c>
      <c r="V31" s="10">
        <f t="shared" si="3"/>
        <v>-12</v>
      </c>
      <c r="W31" s="18">
        <f t="shared" si="4"/>
        <v>-5.5202843781469344</v>
      </c>
      <c r="AA31" s="10"/>
    </row>
    <row r="32" spans="1:27">
      <c r="A32" s="30">
        <v>-28</v>
      </c>
      <c r="B32" s="34">
        <f t="shared" si="5"/>
        <v>4.8027187870904464E-6</v>
      </c>
      <c r="C32" s="34">
        <f t="shared" si="6"/>
        <v>-5.1892201618174325E-6</v>
      </c>
      <c r="D32" s="30">
        <v>-28</v>
      </c>
      <c r="E32" s="34">
        <f t="shared" si="7"/>
        <v>4.8027187870904464E-6</v>
      </c>
      <c r="F32" s="34">
        <f t="shared" si="8"/>
        <v>-5.1892201618174325E-6</v>
      </c>
      <c r="G32" s="35">
        <f t="shared" si="9"/>
        <v>-38</v>
      </c>
      <c r="H32" s="36">
        <f t="shared" si="10"/>
        <v>3.4354196828064236E-9</v>
      </c>
      <c r="I32" s="34">
        <f t="shared" si="11"/>
        <v>-7.0294938639957685E-9</v>
      </c>
      <c r="J32" s="28">
        <f t="shared" si="12"/>
        <v>4.8061542067732529E-6</v>
      </c>
      <c r="K32" s="9">
        <f t="shared" si="13"/>
        <v>3.4354196828064235E-7</v>
      </c>
      <c r="L32" s="25">
        <f t="shared" si="14"/>
        <v>4.8027187870904465E-4</v>
      </c>
      <c r="M32" s="25">
        <f t="shared" si="15"/>
        <v>4.8061542067732527E-4</v>
      </c>
      <c r="N32" s="198">
        <f t="shared" si="16"/>
        <v>-7.0294938639957686E-7</v>
      </c>
      <c r="O32" s="203">
        <f t="shared" si="17"/>
        <v>-5.1892201618174323E-4</v>
      </c>
      <c r="P32" s="25">
        <f t="shared" si="18"/>
        <v>-5.196249655681428E-4</v>
      </c>
      <c r="R32" s="9">
        <f t="shared" si="0"/>
        <v>-11</v>
      </c>
      <c r="S32" s="18">
        <f t="shared" si="1"/>
        <v>-6.9389263446314899</v>
      </c>
      <c r="T32" s="10">
        <v>-11</v>
      </c>
      <c r="U32" s="18">
        <f t="shared" si="2"/>
        <v>-0.20710844152466606</v>
      </c>
      <c r="V32" s="10">
        <f t="shared" si="3"/>
        <v>-11</v>
      </c>
      <c r="W32" s="18">
        <f t="shared" si="4"/>
        <v>-7.1460347861561555</v>
      </c>
      <c r="AA32" s="10"/>
    </row>
    <row r="33" spans="1:27">
      <c r="A33" s="30">
        <v>-27</v>
      </c>
      <c r="B33" s="34">
        <f t="shared" si="5"/>
        <v>8.7823910614371457E-6</v>
      </c>
      <c r="C33" s="34">
        <f t="shared" si="6"/>
        <v>-8.7823910614371457E-6</v>
      </c>
      <c r="D33" s="30">
        <v>-27</v>
      </c>
      <c r="E33" s="34">
        <f t="shared" si="7"/>
        <v>8.7823910614371457E-6</v>
      </c>
      <c r="F33" s="34">
        <f t="shared" si="8"/>
        <v>-8.7823910614371457E-6</v>
      </c>
      <c r="G33" s="35">
        <f t="shared" si="9"/>
        <v>-37</v>
      </c>
      <c r="H33" s="36">
        <f t="shared" si="10"/>
        <v>7.8239094875549225E-9</v>
      </c>
      <c r="I33" s="34">
        <f t="shared" si="11"/>
        <v>-1.515055175116374E-8</v>
      </c>
      <c r="J33" s="28">
        <f t="shared" si="12"/>
        <v>8.7902149709247E-6</v>
      </c>
      <c r="K33" s="9">
        <f t="shared" si="13"/>
        <v>7.823909487554923E-7</v>
      </c>
      <c r="L33" s="25">
        <f t="shared" si="14"/>
        <v>8.7823910614371454E-4</v>
      </c>
      <c r="M33" s="25">
        <f t="shared" si="15"/>
        <v>8.7902149709247006E-4</v>
      </c>
      <c r="N33" s="198">
        <f t="shared" si="16"/>
        <v>-1.5150551751163741E-6</v>
      </c>
      <c r="O33" s="203">
        <f t="shared" si="17"/>
        <v>-8.7823910614371454E-4</v>
      </c>
      <c r="P33" s="25">
        <f t="shared" si="18"/>
        <v>-8.7975416131883086E-4</v>
      </c>
      <c r="R33" s="9">
        <f t="shared" si="0"/>
        <v>-10</v>
      </c>
      <c r="S33" s="18">
        <f t="shared" si="1"/>
        <v>-8.7372870216931453</v>
      </c>
      <c r="T33" s="10">
        <v>-10</v>
      </c>
      <c r="U33" s="18">
        <f t="shared" si="2"/>
        <v>-0.32478841549970161</v>
      </c>
      <c r="V33" s="10">
        <f t="shared" si="3"/>
        <v>-10</v>
      </c>
      <c r="W33" s="18">
        <f t="shared" si="4"/>
        <v>-9.0620754371928474</v>
      </c>
      <c r="AA33" s="10"/>
    </row>
    <row r="34" spans="1:27">
      <c r="A34" s="30">
        <v>-26</v>
      </c>
      <c r="B34" s="34">
        <f t="shared" si="5"/>
        <v>1.5711098237402173E-5</v>
      </c>
      <c r="C34" s="34">
        <f t="shared" si="6"/>
        <v>-1.4492715859229602E-5</v>
      </c>
      <c r="D34" s="30">
        <v>-26</v>
      </c>
      <c r="E34" s="34">
        <f t="shared" si="7"/>
        <v>1.5711098237402173E-5</v>
      </c>
      <c r="F34" s="34">
        <f t="shared" si="8"/>
        <v>-1.4492715859229602E-5</v>
      </c>
      <c r="G34" s="35">
        <f t="shared" si="9"/>
        <v>-36</v>
      </c>
      <c r="H34" s="36">
        <f t="shared" si="10"/>
        <v>1.7431549565540899E-8</v>
      </c>
      <c r="I34" s="34">
        <f t="shared" si="11"/>
        <v>-3.189327957547112E-8</v>
      </c>
      <c r="J34" s="28">
        <f t="shared" si="12"/>
        <v>1.5728529786967713E-5</v>
      </c>
      <c r="K34" s="9">
        <f t="shared" si="13"/>
        <v>1.74315495655409E-6</v>
      </c>
      <c r="L34" s="25">
        <f t="shared" si="14"/>
        <v>1.5711098237402173E-3</v>
      </c>
      <c r="M34" s="25">
        <f t="shared" si="15"/>
        <v>1.5728529786967714E-3</v>
      </c>
      <c r="N34" s="198">
        <f t="shared" si="16"/>
        <v>-3.1893279575471119E-6</v>
      </c>
      <c r="O34" s="203">
        <f t="shared" si="17"/>
        <v>-1.4492715859229601E-3</v>
      </c>
      <c r="P34" s="25">
        <f t="shared" si="18"/>
        <v>-1.4524609138805073E-3</v>
      </c>
      <c r="R34" s="9">
        <f t="shared" si="0"/>
        <v>-9</v>
      </c>
      <c r="S34" s="18">
        <f t="shared" si="1"/>
        <v>-10.762894597148774</v>
      </c>
      <c r="T34" s="10">
        <v>-9</v>
      </c>
      <c r="U34" s="18">
        <f t="shared" si="2"/>
        <v>-0.49827766415018232</v>
      </c>
      <c r="V34" s="10">
        <f t="shared" si="3"/>
        <v>-9</v>
      </c>
      <c r="W34" s="18">
        <f t="shared" si="4"/>
        <v>-11.261172261298956</v>
      </c>
      <c r="AA34" s="10"/>
    </row>
    <row r="35" spans="1:27">
      <c r="A35" s="30">
        <v>-25</v>
      </c>
      <c r="B35" s="34">
        <f t="shared" si="5"/>
        <v>2.7495933984103291E-5</v>
      </c>
      <c r="C35" s="34">
        <f t="shared" si="6"/>
        <v>-2.3311824779755063E-5</v>
      </c>
      <c r="D35" s="30">
        <v>-25</v>
      </c>
      <c r="E35" s="34">
        <f t="shared" si="7"/>
        <v>2.7495933984103291E-5</v>
      </c>
      <c r="F35" s="34">
        <f t="shared" si="8"/>
        <v>-2.3311824779755063E-5</v>
      </c>
      <c r="G35" s="35">
        <f t="shared" si="9"/>
        <v>-35</v>
      </c>
      <c r="H35" s="36">
        <f t="shared" si="10"/>
        <v>3.799411493806283E-8</v>
      </c>
      <c r="I35" s="34">
        <f t="shared" si="11"/>
        <v>-6.5568078920547202E-8</v>
      </c>
      <c r="J35" s="28">
        <f t="shared" si="12"/>
        <v>2.7533928099041354E-5</v>
      </c>
      <c r="K35" s="9">
        <f t="shared" si="13"/>
        <v>3.7994114938062831E-6</v>
      </c>
      <c r="L35" s="25">
        <f t="shared" si="14"/>
        <v>2.7495933984103289E-3</v>
      </c>
      <c r="M35" s="25">
        <f t="shared" si="15"/>
        <v>2.753392809904135E-3</v>
      </c>
      <c r="N35" s="198">
        <f t="shared" si="16"/>
        <v>-6.5568078920547199E-6</v>
      </c>
      <c r="O35" s="203">
        <f t="shared" si="17"/>
        <v>-2.3311824779755062E-3</v>
      </c>
      <c r="P35" s="25">
        <f t="shared" si="18"/>
        <v>-2.3377392858675611E-3</v>
      </c>
      <c r="R35" s="9">
        <f t="shared" si="0"/>
        <v>-8</v>
      </c>
      <c r="S35" s="18">
        <f t="shared" si="1"/>
        <v>-12.970291337097047</v>
      </c>
      <c r="T35" s="10">
        <v>-8</v>
      </c>
      <c r="U35" s="18">
        <f t="shared" si="2"/>
        <v>-0.7478430617571411</v>
      </c>
      <c r="V35" s="10">
        <f t="shared" si="3"/>
        <v>-8</v>
      </c>
      <c r="W35" s="18">
        <f t="shared" si="4"/>
        <v>-13.718134398854188</v>
      </c>
      <c r="AA35" s="10"/>
    </row>
    <row r="36" spans="1:27">
      <c r="A36" s="30">
        <v>-24</v>
      </c>
      <c r="B36" s="34">
        <f t="shared" si="5"/>
        <v>4.7075893123253738E-5</v>
      </c>
      <c r="C36" s="34">
        <f t="shared" si="6"/>
        <v>-3.6537092358212576E-5</v>
      </c>
      <c r="D36" s="30">
        <v>-24</v>
      </c>
      <c r="E36" s="34">
        <f t="shared" si="7"/>
        <v>4.7075893123253738E-5</v>
      </c>
      <c r="F36" s="34">
        <f t="shared" si="8"/>
        <v>-3.6537092358212576E-5</v>
      </c>
      <c r="G36" s="35">
        <f t="shared" si="9"/>
        <v>-34</v>
      </c>
      <c r="H36" s="36">
        <f t="shared" si="10"/>
        <v>8.1014886664904516E-8</v>
      </c>
      <c r="I36" s="34">
        <f t="shared" si="11"/>
        <v>-1.3163159500460528E-7</v>
      </c>
      <c r="J36" s="28">
        <f t="shared" si="12"/>
        <v>4.7156908009918645E-5</v>
      </c>
      <c r="K36" s="9">
        <f t="shared" si="13"/>
        <v>8.101488666490452E-6</v>
      </c>
      <c r="L36" s="25">
        <f t="shared" si="14"/>
        <v>4.7075893123253738E-3</v>
      </c>
      <c r="M36" s="25">
        <f t="shared" si="15"/>
        <v>4.7156908009918638E-3</v>
      </c>
      <c r="N36" s="198">
        <f t="shared" si="16"/>
        <v>-1.3163159500460527E-5</v>
      </c>
      <c r="O36" s="203">
        <f t="shared" si="17"/>
        <v>-3.6537092358212577E-3</v>
      </c>
      <c r="P36" s="25">
        <f t="shared" si="18"/>
        <v>-3.6668723953217183E-3</v>
      </c>
      <c r="R36" s="9">
        <f t="shared" si="0"/>
        <v>-7</v>
      </c>
      <c r="S36" s="18">
        <f t="shared" si="1"/>
        <v>-15.291093182570586</v>
      </c>
      <c r="T36" s="10">
        <v>-7</v>
      </c>
      <c r="U36" s="18">
        <f t="shared" si="2"/>
        <v>-1.0980387764468609</v>
      </c>
      <c r="V36" s="10">
        <f t="shared" si="3"/>
        <v>-7</v>
      </c>
      <c r="W36" s="18">
        <f t="shared" si="4"/>
        <v>-16.389131959017448</v>
      </c>
      <c r="AA36" s="10"/>
    </row>
    <row r="37" spans="1:27">
      <c r="A37" s="30">
        <v>-23</v>
      </c>
      <c r="B37" s="34">
        <f t="shared" si="5"/>
        <v>7.8849114329851376E-5</v>
      </c>
      <c r="C37" s="34">
        <f t="shared" si="6"/>
        <v>-5.5774842189428471E-5</v>
      </c>
      <c r="D37" s="30">
        <v>-23</v>
      </c>
      <c r="E37" s="34">
        <f t="shared" si="7"/>
        <v>7.8849114329851376E-5</v>
      </c>
      <c r="F37" s="34">
        <f t="shared" si="8"/>
        <v>-5.5774842189428471E-5</v>
      </c>
      <c r="G37" s="35">
        <f t="shared" si="9"/>
        <v>-33</v>
      </c>
      <c r="H37" s="36">
        <f t="shared" si="10"/>
        <v>1.6899796882487886E-7</v>
      </c>
      <c r="I37" s="34">
        <f t="shared" si="11"/>
        <v>-2.5801747503716069E-7</v>
      </c>
      <c r="J37" s="28">
        <f t="shared" si="12"/>
        <v>7.9018112298676253E-5</v>
      </c>
      <c r="K37" s="9">
        <f t="shared" si="13"/>
        <v>1.6899796882487886E-5</v>
      </c>
      <c r="L37" s="25">
        <f t="shared" si="14"/>
        <v>7.884911432985137E-3</v>
      </c>
      <c r="M37" s="25">
        <f t="shared" si="15"/>
        <v>7.9018112298676248E-3</v>
      </c>
      <c r="N37" s="198">
        <f t="shared" si="16"/>
        <v>-2.580174750371607E-5</v>
      </c>
      <c r="O37" s="203">
        <f t="shared" si="17"/>
        <v>-5.5774842189428471E-3</v>
      </c>
      <c r="P37" s="25">
        <f t="shared" si="18"/>
        <v>-5.6032859664465629E-3</v>
      </c>
      <c r="R37" s="9">
        <f t="shared" si="0"/>
        <v>-6</v>
      </c>
      <c r="S37" s="18">
        <f t="shared" si="1"/>
        <v>-17.63581352072141</v>
      </c>
      <c r="T37" s="10">
        <v>-6</v>
      </c>
      <c r="U37" s="18">
        <f t="shared" si="2"/>
        <v>-1.5772227949052373</v>
      </c>
      <c r="V37" s="10">
        <f t="shared" si="3"/>
        <v>-6</v>
      </c>
      <c r="W37" s="18">
        <f t="shared" si="4"/>
        <v>-19.213036315626649</v>
      </c>
      <c r="AA37" s="10"/>
    </row>
    <row r="38" spans="1:27">
      <c r="A38" s="30">
        <v>-22</v>
      </c>
      <c r="B38" s="34">
        <f t="shared" si="5"/>
        <v>1.292002131994937E-4</v>
      </c>
      <c r="C38" s="34">
        <f t="shared" si="6"/>
        <v>-8.2884270287558151E-5</v>
      </c>
      <c r="D38" s="30">
        <v>-22</v>
      </c>
      <c r="E38" s="34">
        <f t="shared" si="7"/>
        <v>1.292002131994937E-4</v>
      </c>
      <c r="F38" s="34">
        <f t="shared" si="8"/>
        <v>-8.2884270287558151E-5</v>
      </c>
      <c r="G38" s="35">
        <f t="shared" si="9"/>
        <v>-32</v>
      </c>
      <c r="H38" s="36">
        <f t="shared" si="10"/>
        <v>3.4487864259477436E-7</v>
      </c>
      <c r="I38" s="34">
        <f t="shared" si="11"/>
        <v>-4.9374258343129332E-7</v>
      </c>
      <c r="J38" s="28">
        <f t="shared" si="12"/>
        <v>1.2954509184208847E-4</v>
      </c>
      <c r="K38" s="9">
        <f t="shared" si="13"/>
        <v>3.4487864259477438E-5</v>
      </c>
      <c r="L38" s="25">
        <f t="shared" si="14"/>
        <v>1.2920021319949369E-2</v>
      </c>
      <c r="M38" s="25">
        <f t="shared" si="15"/>
        <v>1.2954509184208847E-2</v>
      </c>
      <c r="N38" s="198">
        <f t="shared" si="16"/>
        <v>-4.9374258343129331E-5</v>
      </c>
      <c r="O38" s="203">
        <f t="shared" si="17"/>
        <v>-8.2884270287558147E-3</v>
      </c>
      <c r="P38" s="25">
        <f t="shared" si="18"/>
        <v>-8.3378012870989442E-3</v>
      </c>
      <c r="R38" s="9">
        <f t="shared" si="0"/>
        <v>-5</v>
      </c>
      <c r="S38" s="18">
        <f t="shared" si="1"/>
        <v>-19.898512885235583</v>
      </c>
      <c r="T38" s="10">
        <v>-5</v>
      </c>
      <c r="U38" s="18">
        <f t="shared" si="2"/>
        <v>-2.2163409593685706</v>
      </c>
      <c r="V38" s="10">
        <f t="shared" si="3"/>
        <v>-5</v>
      </c>
      <c r="W38" s="18">
        <f t="shared" si="4"/>
        <v>-22.114853844604156</v>
      </c>
      <c r="AA38" s="10"/>
    </row>
    <row r="39" spans="1:27">
      <c r="A39" s="30">
        <v>-21</v>
      </c>
      <c r="B39" s="34">
        <f t="shared" si="5"/>
        <v>2.0710844152466607E-4</v>
      </c>
      <c r="C39" s="34">
        <f t="shared" si="6"/>
        <v>-1.1983311472579443E-4</v>
      </c>
      <c r="D39" s="30">
        <v>-21</v>
      </c>
      <c r="E39" s="34">
        <f t="shared" si="7"/>
        <v>2.0710844152466607E-4</v>
      </c>
      <c r="F39" s="34">
        <f t="shared" si="8"/>
        <v>-1.1983311472579443E-4</v>
      </c>
      <c r="G39" s="35">
        <f t="shared" si="9"/>
        <v>-31</v>
      </c>
      <c r="H39" s="36">
        <f t="shared" si="10"/>
        <v>6.8852430522042997E-7</v>
      </c>
      <c r="I39" s="34">
        <f t="shared" si="11"/>
        <v>-9.2225107439996686E-7</v>
      </c>
      <c r="J39" s="28">
        <f t="shared" si="12"/>
        <v>2.077969658298865E-4</v>
      </c>
      <c r="K39" s="9">
        <f t="shared" si="13"/>
        <v>6.8852430522042994E-5</v>
      </c>
      <c r="L39" s="25">
        <f t="shared" si="14"/>
        <v>2.0710844152466608E-2</v>
      </c>
      <c r="M39" s="25">
        <f t="shared" si="15"/>
        <v>2.0779696582988651E-2</v>
      </c>
      <c r="N39" s="198">
        <f t="shared" si="16"/>
        <v>-9.2225107439996684E-5</v>
      </c>
      <c r="O39" s="203">
        <f t="shared" si="17"/>
        <v>-1.1983311472579443E-2</v>
      </c>
      <c r="P39" s="25">
        <f t="shared" si="18"/>
        <v>-1.207553658001944E-2</v>
      </c>
      <c r="R39" s="9">
        <f t="shared" ref="R39:R70" si="19">+A56</f>
        <v>-4</v>
      </c>
      <c r="S39" s="18">
        <f t="shared" ref="S39:S70" si="20">-B56*1000</f>
        <v>-21.96412480496544</v>
      </c>
      <c r="T39" s="10">
        <v>-4</v>
      </c>
      <c r="U39" s="18">
        <f t="shared" ref="U39:U70" si="21">-H56*1000</f>
        <v>-3.0468302553613462</v>
      </c>
      <c r="V39" s="10">
        <f t="shared" ref="V39:V70" si="22">+A56</f>
        <v>-4</v>
      </c>
      <c r="W39" s="18">
        <f t="shared" ref="W39:W70" si="23">-J56*1000</f>
        <v>-25.010955060326786</v>
      </c>
      <c r="AA39" s="10"/>
    </row>
    <row r="40" spans="1:27">
      <c r="A40" s="30">
        <v>-20</v>
      </c>
      <c r="B40" s="34">
        <f t="shared" si="5"/>
        <v>3.247884154997016E-4</v>
      </c>
      <c r="C40" s="34">
        <f t="shared" si="6"/>
        <v>-1.6843850976669481E-4</v>
      </c>
      <c r="D40" s="30">
        <v>-20</v>
      </c>
      <c r="E40" s="34">
        <f t="shared" si="7"/>
        <v>3.247884154997016E-4</v>
      </c>
      <c r="F40" s="34">
        <f t="shared" si="8"/>
        <v>-1.6843850976669481E-4</v>
      </c>
      <c r="G40" s="35">
        <f t="shared" si="9"/>
        <v>-30</v>
      </c>
      <c r="H40" s="36">
        <f t="shared" si="10"/>
        <v>1.3447464619457143E-6</v>
      </c>
      <c r="I40" s="34">
        <f t="shared" si="11"/>
        <v>-1.6812097742350124E-6</v>
      </c>
      <c r="J40" s="28">
        <f t="shared" si="12"/>
        <v>3.2613316196164732E-4</v>
      </c>
      <c r="K40" s="9">
        <f t="shared" si="13"/>
        <v>1.3447464619457142E-4</v>
      </c>
      <c r="L40" s="25">
        <f t="shared" si="14"/>
        <v>3.2478841549970161E-2</v>
      </c>
      <c r="M40" s="25">
        <f t="shared" si="15"/>
        <v>3.2613316196164734E-2</v>
      </c>
      <c r="N40" s="198">
        <f t="shared" si="16"/>
        <v>-1.6812097742350125E-4</v>
      </c>
      <c r="O40" s="203">
        <f t="shared" si="17"/>
        <v>-1.6843850976669482E-2</v>
      </c>
      <c r="P40" s="25">
        <f t="shared" si="18"/>
        <v>-1.7011971954092982E-2</v>
      </c>
      <c r="R40" s="9">
        <f t="shared" si="19"/>
        <v>-3</v>
      </c>
      <c r="S40" s="18">
        <f t="shared" si="20"/>
        <v>-23.717851440593101</v>
      </c>
      <c r="T40" s="10">
        <v>-3</v>
      </c>
      <c r="U40" s="18">
        <f t="shared" si="21"/>
        <v>-4.0975862710533315</v>
      </c>
      <c r="V40" s="10">
        <f t="shared" si="22"/>
        <v>-3</v>
      </c>
      <c r="W40" s="18">
        <f t="shared" si="23"/>
        <v>-27.815437711646435</v>
      </c>
      <c r="AA40" s="10"/>
    </row>
    <row r="41" spans="1:27">
      <c r="A41" s="30">
        <v>-19</v>
      </c>
      <c r="B41" s="34">
        <f t="shared" si="5"/>
        <v>4.9827766415018232E-4</v>
      </c>
      <c r="C41" s="34">
        <f t="shared" si="6"/>
        <v>-2.2997781170242069E-4</v>
      </c>
      <c r="D41" s="30">
        <v>-19</v>
      </c>
      <c r="E41" s="34">
        <f t="shared" si="7"/>
        <v>4.9827766415018232E-4</v>
      </c>
      <c r="F41" s="34">
        <f t="shared" si="8"/>
        <v>-2.2997781170242069E-4</v>
      </c>
      <c r="G41" s="35">
        <f t="shared" si="9"/>
        <v>-29</v>
      </c>
      <c r="H41" s="36">
        <f t="shared" si="10"/>
        <v>2.5693880770651459E-6</v>
      </c>
      <c r="I41" s="34">
        <f t="shared" si="11"/>
        <v>-2.9904528629911394E-6</v>
      </c>
      <c r="J41" s="28">
        <f t="shared" si="12"/>
        <v>5.0084705222724749E-4</v>
      </c>
      <c r="K41" s="9">
        <f t="shared" si="13"/>
        <v>2.5693880770651459E-4</v>
      </c>
      <c r="L41" s="25">
        <f t="shared" si="14"/>
        <v>4.9827766415018231E-2</v>
      </c>
      <c r="M41" s="25">
        <f t="shared" si="15"/>
        <v>5.0084705222724749E-2</v>
      </c>
      <c r="N41" s="198">
        <f t="shared" si="16"/>
        <v>-2.9904528629911393E-4</v>
      </c>
      <c r="O41" s="203">
        <f t="shared" si="17"/>
        <v>-2.2997781170242069E-2</v>
      </c>
      <c r="P41" s="25">
        <f t="shared" si="18"/>
        <v>-2.3296826456541183E-2</v>
      </c>
      <c r="R41" s="9">
        <f t="shared" si="19"/>
        <v>-2</v>
      </c>
      <c r="S41" s="18">
        <f t="shared" si="20"/>
        <v>-25.055607992967666</v>
      </c>
      <c r="T41" s="10">
        <v>-2</v>
      </c>
      <c r="U41" s="18">
        <f t="shared" si="21"/>
        <v>-5.3910841649474399</v>
      </c>
      <c r="V41" s="10">
        <f t="shared" si="22"/>
        <v>-2</v>
      </c>
      <c r="W41" s="18">
        <f t="shared" si="23"/>
        <v>-30.446692157915109</v>
      </c>
      <c r="AA41" s="10"/>
    </row>
    <row r="42" spans="1:27">
      <c r="A42" s="30">
        <v>-18</v>
      </c>
      <c r="B42" s="34">
        <f t="shared" ref="B42:B73" si="24">+$D$5*EXP(-(A42^2)/(2*$B$4^2))</f>
        <v>7.4784306175714106E-4</v>
      </c>
      <c r="C42" s="34">
        <f t="shared" si="6"/>
        <v>-3.0467680293809452E-4</v>
      </c>
      <c r="D42" s="30">
        <v>-18</v>
      </c>
      <c r="E42" s="34">
        <f t="shared" ref="E42:E73" si="25">+$H$5*EXP(-(D42^2)/(2*$F$4^2))</f>
        <v>7.4784306175714106E-4</v>
      </c>
      <c r="F42" s="34">
        <f t="shared" si="8"/>
        <v>-3.0467680293809452E-4</v>
      </c>
      <c r="G42" s="35">
        <f t="shared" si="9"/>
        <v>-28</v>
      </c>
      <c r="H42" s="36">
        <f t="shared" si="10"/>
        <v>4.8027187870904464E-6</v>
      </c>
      <c r="I42" s="34">
        <f t="shared" si="11"/>
        <v>-5.1892201618174325E-6</v>
      </c>
      <c r="J42" s="28">
        <f t="shared" si="12"/>
        <v>7.5264578054423149E-4</v>
      </c>
      <c r="K42" s="9">
        <f t="shared" si="13"/>
        <v>4.8027187870904465E-4</v>
      </c>
      <c r="L42" s="25">
        <f t="shared" si="14"/>
        <v>7.4784306175714105E-2</v>
      </c>
      <c r="M42" s="25">
        <f t="shared" si="15"/>
        <v>7.5264578054423145E-2</v>
      </c>
      <c r="N42" s="198">
        <f t="shared" si="16"/>
        <v>-5.1892201618174323E-4</v>
      </c>
      <c r="O42" s="203">
        <f t="shared" si="17"/>
        <v>-3.0467680293809453E-2</v>
      </c>
      <c r="P42" s="25">
        <f t="shared" si="18"/>
        <v>-3.0986602309991194E-2</v>
      </c>
      <c r="R42" s="9">
        <f t="shared" si="19"/>
        <v>-1</v>
      </c>
      <c r="S42" s="18">
        <f t="shared" si="20"/>
        <v>-25.894212422641402</v>
      </c>
      <c r="T42" s="10">
        <v>-1</v>
      </c>
      <c r="U42" s="18">
        <f t="shared" si="21"/>
        <v>-6.9389263446314899</v>
      </c>
      <c r="V42" s="10">
        <f t="shared" si="22"/>
        <v>-1</v>
      </c>
      <c r="W42" s="18">
        <f t="shared" si="23"/>
        <v>-32.833138767272892</v>
      </c>
      <c r="AA42" s="10"/>
    </row>
    <row r="43" spans="1:27">
      <c r="A43" s="30">
        <v>-17</v>
      </c>
      <c r="B43" s="34">
        <f t="shared" si="24"/>
        <v>1.0980387764468608E-3</v>
      </c>
      <c r="C43" s="34">
        <f t="shared" si="6"/>
        <v>-3.91116692662142E-4</v>
      </c>
      <c r="D43" s="30">
        <v>-17</v>
      </c>
      <c r="E43" s="34">
        <f t="shared" si="25"/>
        <v>1.0980387764468608E-3</v>
      </c>
      <c r="F43" s="34">
        <f t="shared" si="8"/>
        <v>-3.91116692662142E-4</v>
      </c>
      <c r="G43" s="35">
        <f t="shared" si="9"/>
        <v>-27</v>
      </c>
      <c r="H43" s="36">
        <f t="shared" si="10"/>
        <v>8.7823910614371457E-6</v>
      </c>
      <c r="I43" s="34">
        <f t="shared" si="11"/>
        <v>-8.7823910614371457E-6</v>
      </c>
      <c r="J43" s="28">
        <f t="shared" si="12"/>
        <v>1.1068211675082978E-3</v>
      </c>
      <c r="K43" s="9">
        <f t="shared" si="13"/>
        <v>8.7823910614371454E-4</v>
      </c>
      <c r="L43" s="25">
        <f t="shared" si="14"/>
        <v>0.10980387764468608</v>
      </c>
      <c r="M43" s="25">
        <f t="shared" si="15"/>
        <v>0.11068211675082978</v>
      </c>
      <c r="N43" s="198">
        <f t="shared" si="16"/>
        <v>-8.7823910614371454E-4</v>
      </c>
      <c r="O43" s="203">
        <f t="shared" si="17"/>
        <v>-3.9111669266214198E-2</v>
      </c>
      <c r="P43" s="25">
        <f t="shared" si="18"/>
        <v>-3.9989908372357913E-2</v>
      </c>
      <c r="R43" s="9">
        <f t="shared" si="19"/>
        <v>0</v>
      </c>
      <c r="S43" s="18">
        <f t="shared" si="20"/>
        <v>-26.179938779914941</v>
      </c>
      <c r="T43" s="10">
        <v>0</v>
      </c>
      <c r="U43" s="18">
        <f t="shared" si="21"/>
        <v>-8.7372870216931453</v>
      </c>
      <c r="V43" s="10">
        <f t="shared" si="22"/>
        <v>0</v>
      </c>
      <c r="W43" s="18">
        <f t="shared" si="23"/>
        <v>-34.91722580160809</v>
      </c>
      <c r="AA43" s="10"/>
    </row>
    <row r="44" spans="1:27">
      <c r="A44" s="30">
        <v>-16</v>
      </c>
      <c r="B44" s="34">
        <f t="shared" si="24"/>
        <v>1.5772227949052372E-3</v>
      </c>
      <c r="C44" s="34">
        <f t="shared" si="6"/>
        <v>-4.8564326935948178E-4</v>
      </c>
      <c r="D44" s="30">
        <v>-16</v>
      </c>
      <c r="E44" s="34">
        <f t="shared" si="25"/>
        <v>1.5772227949052372E-3</v>
      </c>
      <c r="F44" s="34">
        <f t="shared" si="8"/>
        <v>-4.8564326935948178E-4</v>
      </c>
      <c r="G44" s="35">
        <f t="shared" si="9"/>
        <v>-26</v>
      </c>
      <c r="H44" s="36">
        <f t="shared" si="10"/>
        <v>1.5711098237402173E-5</v>
      </c>
      <c r="I44" s="34">
        <f t="shared" si="11"/>
        <v>-1.4492715859229602E-5</v>
      </c>
      <c r="J44" s="28">
        <f t="shared" si="12"/>
        <v>1.5929338931426394E-3</v>
      </c>
      <c r="K44" s="9">
        <f t="shared" si="13"/>
        <v>1.5711098237402173E-3</v>
      </c>
      <c r="L44" s="25">
        <f t="shared" si="14"/>
        <v>0.15772227949052373</v>
      </c>
      <c r="M44" s="25">
        <f t="shared" si="15"/>
        <v>0.15929338931426396</v>
      </c>
      <c r="N44" s="198">
        <f t="shared" si="16"/>
        <v>-1.4492715859229601E-3</v>
      </c>
      <c r="O44" s="203">
        <f t="shared" si="17"/>
        <v>-4.8564326935948178E-2</v>
      </c>
      <c r="P44" s="25">
        <f t="shared" si="18"/>
        <v>-5.0013598521871136E-2</v>
      </c>
      <c r="R44" s="9">
        <f t="shared" si="19"/>
        <v>1</v>
      </c>
      <c r="S44" s="18">
        <f t="shared" si="20"/>
        <v>-25.894212422641402</v>
      </c>
      <c r="T44" s="10">
        <v>1</v>
      </c>
      <c r="U44" s="18">
        <f t="shared" si="21"/>
        <v>-10.762894597148774</v>
      </c>
      <c r="V44" s="10">
        <f t="shared" si="22"/>
        <v>1</v>
      </c>
      <c r="W44" s="18">
        <f t="shared" si="23"/>
        <v>-36.657107019790175</v>
      </c>
      <c r="AA44" s="10"/>
    </row>
    <row r="45" spans="1:27">
      <c r="A45" s="30">
        <v>-15</v>
      </c>
      <c r="B45" s="34">
        <f t="shared" si="24"/>
        <v>2.2163409593685705E-3</v>
      </c>
      <c r="C45" s="34">
        <f t="shared" si="6"/>
        <v>-5.8190351114285909E-4</v>
      </c>
      <c r="D45" s="30">
        <v>-15</v>
      </c>
      <c r="E45" s="34">
        <f t="shared" si="25"/>
        <v>2.2163409593685705E-3</v>
      </c>
      <c r="F45" s="34">
        <f t="shared" si="8"/>
        <v>-5.8190351114285909E-4</v>
      </c>
      <c r="G45" s="35">
        <f t="shared" si="9"/>
        <v>-25</v>
      </c>
      <c r="H45" s="36">
        <f t="shared" si="10"/>
        <v>2.7495933984103291E-5</v>
      </c>
      <c r="I45" s="34">
        <f t="shared" si="11"/>
        <v>-2.3311824779755063E-5</v>
      </c>
      <c r="J45" s="28">
        <f t="shared" si="12"/>
        <v>2.2438368933526739E-3</v>
      </c>
      <c r="K45" s="9">
        <f t="shared" si="13"/>
        <v>2.7495933984103289E-3</v>
      </c>
      <c r="L45" s="25">
        <f t="shared" si="14"/>
        <v>0.22163409593685704</v>
      </c>
      <c r="M45" s="25">
        <f t="shared" si="15"/>
        <v>0.22438368933526737</v>
      </c>
      <c r="N45" s="198">
        <f t="shared" si="16"/>
        <v>-2.3311824779755062E-3</v>
      </c>
      <c r="O45" s="203">
        <f t="shared" si="17"/>
        <v>-5.8190351114285908E-2</v>
      </c>
      <c r="P45" s="25">
        <f t="shared" si="18"/>
        <v>-6.0521533592261416E-2</v>
      </c>
      <c r="R45" s="9">
        <f t="shared" si="19"/>
        <v>2</v>
      </c>
      <c r="S45" s="18">
        <f t="shared" si="20"/>
        <v>-25.055607992967666</v>
      </c>
      <c r="T45" s="10">
        <v>2</v>
      </c>
      <c r="U45" s="18">
        <f t="shared" si="21"/>
        <v>-12.970291337097047</v>
      </c>
      <c r="V45" s="10">
        <f t="shared" si="22"/>
        <v>2</v>
      </c>
      <c r="W45" s="18">
        <f t="shared" si="23"/>
        <v>-38.025899330064711</v>
      </c>
      <c r="AA45" s="10"/>
    </row>
    <row r="46" spans="1:27">
      <c r="A46" s="30">
        <v>-14</v>
      </c>
      <c r="B46" s="34">
        <f t="shared" si="24"/>
        <v>3.0468302553613462E-3</v>
      </c>
      <c r="C46" s="34">
        <f t="shared" si="6"/>
        <v>-6.7066487651163786E-4</v>
      </c>
      <c r="D46" s="30">
        <v>-14</v>
      </c>
      <c r="E46" s="34">
        <f t="shared" si="25"/>
        <v>3.0468302553613462E-3</v>
      </c>
      <c r="F46" s="34">
        <f t="shared" si="8"/>
        <v>-6.7066487651163786E-4</v>
      </c>
      <c r="G46" s="35">
        <f t="shared" si="9"/>
        <v>-24</v>
      </c>
      <c r="H46" s="36">
        <f t="shared" si="10"/>
        <v>4.7075893123253738E-5</v>
      </c>
      <c r="I46" s="34">
        <f t="shared" si="11"/>
        <v>-3.6537092358212576E-5</v>
      </c>
      <c r="J46" s="28">
        <f t="shared" si="12"/>
        <v>3.0939061484846E-3</v>
      </c>
      <c r="K46" s="9">
        <f t="shared" si="13"/>
        <v>4.7075893123253738E-3</v>
      </c>
      <c r="L46" s="25">
        <f t="shared" si="14"/>
        <v>0.30468302553613463</v>
      </c>
      <c r="M46" s="25">
        <f t="shared" si="15"/>
        <v>0.30939061484846003</v>
      </c>
      <c r="N46" s="198">
        <f t="shared" si="16"/>
        <v>-3.6537092358212577E-3</v>
      </c>
      <c r="O46" s="203">
        <f t="shared" si="17"/>
        <v>-6.7066487651163784E-2</v>
      </c>
      <c r="P46" s="25">
        <f t="shared" si="18"/>
        <v>-7.072019688698504E-2</v>
      </c>
      <c r="R46" s="9">
        <f t="shared" si="19"/>
        <v>3</v>
      </c>
      <c r="S46" s="18">
        <f t="shared" si="20"/>
        <v>-23.717851440593101</v>
      </c>
      <c r="T46" s="10">
        <v>3</v>
      </c>
      <c r="U46" s="18">
        <f t="shared" si="21"/>
        <v>-15.291093182570586</v>
      </c>
      <c r="V46" s="10">
        <f t="shared" si="22"/>
        <v>3</v>
      </c>
      <c r="W46" s="18">
        <f t="shared" si="23"/>
        <v>-39.008944623163693</v>
      </c>
      <c r="AA46" s="10"/>
    </row>
    <row r="47" spans="1:27">
      <c r="A47" s="30">
        <v>-13</v>
      </c>
      <c r="B47" s="34">
        <f t="shared" si="24"/>
        <v>4.0975862710533311E-3</v>
      </c>
      <c r="C47" s="34">
        <f t="shared" si="6"/>
        <v>-7.400761669254987E-4</v>
      </c>
      <c r="D47" s="30">
        <v>-13</v>
      </c>
      <c r="E47" s="34">
        <f t="shared" si="25"/>
        <v>4.0975862710533311E-3</v>
      </c>
      <c r="F47" s="34">
        <f t="shared" si="8"/>
        <v>-7.400761669254987E-4</v>
      </c>
      <c r="G47" s="35">
        <f t="shared" si="9"/>
        <v>-23</v>
      </c>
      <c r="H47" s="36">
        <f t="shared" si="10"/>
        <v>7.8849114329851376E-5</v>
      </c>
      <c r="I47" s="34">
        <f t="shared" si="11"/>
        <v>-5.5774842189428471E-5</v>
      </c>
      <c r="J47" s="28">
        <f t="shared" si="12"/>
        <v>4.1764353853831829E-3</v>
      </c>
      <c r="K47" s="9">
        <f t="shared" si="13"/>
        <v>7.884911432985137E-3</v>
      </c>
      <c r="L47" s="25">
        <f t="shared" si="14"/>
        <v>0.40975862710533312</v>
      </c>
      <c r="M47" s="25">
        <f t="shared" si="15"/>
        <v>0.41764353853831826</v>
      </c>
      <c r="N47" s="198">
        <f t="shared" si="16"/>
        <v>-5.5774842189428471E-3</v>
      </c>
      <c r="O47" s="203">
        <f t="shared" si="17"/>
        <v>-7.4007616692549877E-2</v>
      </c>
      <c r="P47" s="25">
        <f t="shared" si="18"/>
        <v>-7.958510091149272E-2</v>
      </c>
      <c r="R47" s="9">
        <f t="shared" si="19"/>
        <v>4</v>
      </c>
      <c r="S47" s="18">
        <f t="shared" si="20"/>
        <v>-21.96412480496544</v>
      </c>
      <c r="T47" s="10">
        <v>4</v>
      </c>
      <c r="U47" s="18">
        <f t="shared" si="21"/>
        <v>-17.63581352072141</v>
      </c>
      <c r="V47" s="10">
        <f t="shared" si="22"/>
        <v>4</v>
      </c>
      <c r="W47" s="18">
        <f t="shared" si="23"/>
        <v>-39.599938325686857</v>
      </c>
      <c r="AA47" s="10"/>
    </row>
    <row r="48" spans="1:27">
      <c r="A48" s="30">
        <v>-12</v>
      </c>
      <c r="B48" s="34">
        <f t="shared" si="24"/>
        <v>5.3910841649474402E-3</v>
      </c>
      <c r="C48" s="34">
        <f t="shared" si="6"/>
        <v>-7.7649360400477529E-4</v>
      </c>
      <c r="D48" s="30">
        <v>-12</v>
      </c>
      <c r="E48" s="34">
        <f t="shared" si="25"/>
        <v>5.3910841649474402E-3</v>
      </c>
      <c r="F48" s="34">
        <f t="shared" si="8"/>
        <v>-7.7649360400477529E-4</v>
      </c>
      <c r="G48" s="35">
        <f t="shared" si="9"/>
        <v>-22</v>
      </c>
      <c r="H48" s="36">
        <f t="shared" si="10"/>
        <v>1.292002131994937E-4</v>
      </c>
      <c r="I48" s="34">
        <f t="shared" si="11"/>
        <v>-8.2884270287558151E-5</v>
      </c>
      <c r="J48" s="28">
        <f t="shared" si="12"/>
        <v>5.5202843781469342E-3</v>
      </c>
      <c r="K48" s="9">
        <f t="shared" si="13"/>
        <v>1.2920021319949369E-2</v>
      </c>
      <c r="L48" s="25">
        <f t="shared" si="14"/>
        <v>0.53910841649474406</v>
      </c>
      <c r="M48" s="25">
        <f t="shared" si="15"/>
        <v>0.55202843781469346</v>
      </c>
      <c r="N48" s="198">
        <f t="shared" si="16"/>
        <v>-8.2884270287558147E-3</v>
      </c>
      <c r="O48" s="203">
        <f t="shared" si="17"/>
        <v>-7.7649360400477527E-2</v>
      </c>
      <c r="P48" s="25">
        <f t="shared" si="18"/>
        <v>-8.5937787429233345E-2</v>
      </c>
      <c r="R48" s="9">
        <f t="shared" si="19"/>
        <v>5</v>
      </c>
      <c r="S48" s="18">
        <f t="shared" si="20"/>
        <v>-19.898512885235583</v>
      </c>
      <c r="T48" s="10">
        <v>5</v>
      </c>
      <c r="U48" s="18">
        <f t="shared" si="21"/>
        <v>-19.898512885235583</v>
      </c>
      <c r="V48" s="10">
        <f t="shared" si="22"/>
        <v>5</v>
      </c>
      <c r="W48" s="18">
        <f t="shared" si="23"/>
        <v>-39.797025770471166</v>
      </c>
      <c r="AA48" s="10"/>
    </row>
    <row r="49" spans="1:27">
      <c r="A49" s="30">
        <v>-11</v>
      </c>
      <c r="B49" s="34">
        <f t="shared" si="24"/>
        <v>6.9389263446314898E-3</v>
      </c>
      <c r="C49" s="34">
        <f t="shared" si="6"/>
        <v>-7.6591532674624675E-4</v>
      </c>
      <c r="D49" s="30">
        <v>-11</v>
      </c>
      <c r="E49" s="34">
        <f t="shared" si="25"/>
        <v>6.9389263446314898E-3</v>
      </c>
      <c r="F49" s="34">
        <f t="shared" si="8"/>
        <v>-7.6591532674624675E-4</v>
      </c>
      <c r="G49" s="35">
        <f t="shared" si="9"/>
        <v>-21</v>
      </c>
      <c r="H49" s="36">
        <f t="shared" si="10"/>
        <v>2.0710844152466607E-4</v>
      </c>
      <c r="I49" s="34">
        <f t="shared" si="11"/>
        <v>-1.1983311472579443E-4</v>
      </c>
      <c r="J49" s="28">
        <f t="shared" si="12"/>
        <v>7.1460347861561557E-3</v>
      </c>
      <c r="K49" s="9">
        <f t="shared" si="13"/>
        <v>2.0710844152466608E-2</v>
      </c>
      <c r="L49" s="25">
        <f t="shared" si="14"/>
        <v>0.69389263446314897</v>
      </c>
      <c r="M49" s="25">
        <f t="shared" si="15"/>
        <v>0.71460347861561557</v>
      </c>
      <c r="N49" s="198">
        <f t="shared" si="16"/>
        <v>-1.1983311472579443E-2</v>
      </c>
      <c r="O49" s="203">
        <f t="shared" si="17"/>
        <v>-7.6591532674624679E-2</v>
      </c>
      <c r="P49" s="25">
        <f t="shared" si="18"/>
        <v>-8.8574844147204124E-2</v>
      </c>
      <c r="R49" s="9">
        <f t="shared" si="19"/>
        <v>6</v>
      </c>
      <c r="S49" s="18">
        <f t="shared" si="20"/>
        <v>-17.63581352072141</v>
      </c>
      <c r="T49" s="10">
        <v>6</v>
      </c>
      <c r="U49" s="18">
        <f t="shared" si="21"/>
        <v>-21.96412480496544</v>
      </c>
      <c r="V49" s="10">
        <f t="shared" si="22"/>
        <v>6</v>
      </c>
      <c r="W49" s="18">
        <f t="shared" si="23"/>
        <v>-39.599938325686857</v>
      </c>
      <c r="AA49" s="10"/>
    </row>
    <row r="50" spans="1:27">
      <c r="A50" s="30">
        <v>-10</v>
      </c>
      <c r="B50" s="34">
        <f t="shared" si="24"/>
        <v>8.7372870216931454E-3</v>
      </c>
      <c r="C50" s="34">
        <f t="shared" si="6"/>
        <v>-6.9594668458113659E-4</v>
      </c>
      <c r="D50" s="30">
        <v>-10</v>
      </c>
      <c r="E50" s="34">
        <f t="shared" si="25"/>
        <v>8.7372870216931454E-3</v>
      </c>
      <c r="F50" s="34">
        <f t="shared" si="8"/>
        <v>-6.9594668458113659E-4</v>
      </c>
      <c r="G50" s="35">
        <f t="shared" si="9"/>
        <v>-20</v>
      </c>
      <c r="H50" s="36">
        <f t="shared" si="10"/>
        <v>3.247884154997016E-4</v>
      </c>
      <c r="I50" s="34">
        <f t="shared" si="11"/>
        <v>-1.6843850976669481E-4</v>
      </c>
      <c r="J50" s="28">
        <f t="shared" si="12"/>
        <v>9.0620754371928472E-3</v>
      </c>
      <c r="K50" s="9">
        <f t="shared" si="13"/>
        <v>3.2478841549970161E-2</v>
      </c>
      <c r="L50" s="25">
        <f t="shared" si="14"/>
        <v>0.87372870216931453</v>
      </c>
      <c r="M50" s="25">
        <f t="shared" si="15"/>
        <v>0.90620754371928469</v>
      </c>
      <c r="N50" s="198">
        <f t="shared" si="16"/>
        <v>-1.6843850976669482E-2</v>
      </c>
      <c r="O50" s="203">
        <f t="shared" si="17"/>
        <v>-6.9594668458113657E-2</v>
      </c>
      <c r="P50" s="25">
        <f t="shared" si="18"/>
        <v>-8.6438519434783145E-2</v>
      </c>
      <c r="R50" s="9">
        <f t="shared" si="19"/>
        <v>7</v>
      </c>
      <c r="S50" s="18">
        <f t="shared" si="20"/>
        <v>-15.291093182570586</v>
      </c>
      <c r="T50" s="10">
        <v>7</v>
      </c>
      <c r="U50" s="18">
        <f t="shared" si="21"/>
        <v>-23.717851440593101</v>
      </c>
      <c r="V50" s="10">
        <f t="shared" si="22"/>
        <v>7</v>
      </c>
      <c r="W50" s="18">
        <f t="shared" si="23"/>
        <v>-39.008944623163693</v>
      </c>
      <c r="AA50" s="10"/>
    </row>
    <row r="51" spans="1:27">
      <c r="A51" s="30">
        <v>-9</v>
      </c>
      <c r="B51" s="34">
        <f t="shared" si="24"/>
        <v>1.0762894597148773E-2</v>
      </c>
      <c r="C51" s="34">
        <f t="shared" si="6"/>
        <v>-5.5807601614845488E-4</v>
      </c>
      <c r="D51" s="30">
        <v>-9</v>
      </c>
      <c r="E51" s="34">
        <f t="shared" si="25"/>
        <v>1.0762894597148773E-2</v>
      </c>
      <c r="F51" s="34">
        <f t="shared" si="8"/>
        <v>-5.5807601614845488E-4</v>
      </c>
      <c r="G51" s="35">
        <f t="shared" si="9"/>
        <v>-19</v>
      </c>
      <c r="H51" s="36">
        <f t="shared" si="10"/>
        <v>4.9827766415018232E-4</v>
      </c>
      <c r="I51" s="34">
        <f t="shared" si="11"/>
        <v>-2.2997781170242069E-4</v>
      </c>
      <c r="J51" s="28">
        <f t="shared" si="12"/>
        <v>1.1261172261298956E-2</v>
      </c>
      <c r="K51" s="9">
        <f t="shared" si="13"/>
        <v>4.9827766415018231E-2</v>
      </c>
      <c r="L51" s="25">
        <f t="shared" si="14"/>
        <v>1.0762894597148773</v>
      </c>
      <c r="M51" s="25">
        <f t="shared" si="15"/>
        <v>1.1261172261298955</v>
      </c>
      <c r="N51" s="198">
        <f t="shared" si="16"/>
        <v>-2.2997781170242069E-2</v>
      </c>
      <c r="O51" s="203">
        <f t="shared" si="17"/>
        <v>-5.5807601614845485E-2</v>
      </c>
      <c r="P51" s="25">
        <f t="shared" si="18"/>
        <v>-7.8805382785087558E-2</v>
      </c>
      <c r="R51" s="9">
        <f t="shared" si="19"/>
        <v>8</v>
      </c>
      <c r="S51" s="18">
        <f t="shared" si="20"/>
        <v>-12.970291337097047</v>
      </c>
      <c r="T51" s="10">
        <v>8</v>
      </c>
      <c r="U51" s="18">
        <f t="shared" si="21"/>
        <v>-25.055607992967666</v>
      </c>
      <c r="V51" s="10">
        <f t="shared" si="22"/>
        <v>8</v>
      </c>
      <c r="W51" s="18">
        <f t="shared" si="23"/>
        <v>-38.025899330064711</v>
      </c>
      <c r="AA51" s="10"/>
    </row>
    <row r="52" spans="1:27">
      <c r="A52" s="30">
        <v>-8</v>
      </c>
      <c r="B52" s="34">
        <f t="shared" si="24"/>
        <v>1.2970291337097047E-2</v>
      </c>
      <c r="C52" s="34">
        <f t="shared" si="6"/>
        <v>-3.4990726515259513E-4</v>
      </c>
      <c r="D52" s="30">
        <v>-8</v>
      </c>
      <c r="E52" s="34">
        <f t="shared" si="25"/>
        <v>1.2970291337097047E-2</v>
      </c>
      <c r="F52" s="34">
        <f t="shared" si="8"/>
        <v>-3.4990726515259513E-4</v>
      </c>
      <c r="G52" s="35">
        <f t="shared" si="9"/>
        <v>-18</v>
      </c>
      <c r="H52" s="36">
        <f t="shared" si="10"/>
        <v>7.4784306175714106E-4</v>
      </c>
      <c r="I52" s="34">
        <f t="shared" si="11"/>
        <v>-3.0467680293809452E-4</v>
      </c>
      <c r="J52" s="28">
        <f t="shared" si="12"/>
        <v>1.3718134398854187E-2</v>
      </c>
      <c r="K52" s="9">
        <f t="shared" si="13"/>
        <v>7.4784306175714105E-2</v>
      </c>
      <c r="L52" s="25">
        <f t="shared" si="14"/>
        <v>1.2970291337097046</v>
      </c>
      <c r="M52" s="25">
        <f t="shared" si="15"/>
        <v>1.3718134398854187</v>
      </c>
      <c r="N52" s="198">
        <f t="shared" si="16"/>
        <v>-3.0467680293809453E-2</v>
      </c>
      <c r="O52" s="203">
        <f t="shared" si="17"/>
        <v>-3.4990726515259515E-2</v>
      </c>
      <c r="P52" s="25">
        <f t="shared" si="18"/>
        <v>-6.5458406809068975E-2</v>
      </c>
      <c r="R52" s="9">
        <f t="shared" si="19"/>
        <v>9</v>
      </c>
      <c r="S52" s="18">
        <f t="shared" si="20"/>
        <v>-10.762894597148774</v>
      </c>
      <c r="T52" s="10">
        <v>9</v>
      </c>
      <c r="U52" s="18">
        <f t="shared" si="21"/>
        <v>-25.894212422641402</v>
      </c>
      <c r="V52" s="10">
        <f t="shared" si="22"/>
        <v>9</v>
      </c>
      <c r="W52" s="18">
        <f t="shared" si="23"/>
        <v>-36.657107019790175</v>
      </c>
      <c r="AA52" s="10"/>
    </row>
    <row r="53" spans="1:27">
      <c r="A53" s="30">
        <v>-7</v>
      </c>
      <c r="B53" s="34">
        <f t="shared" si="24"/>
        <v>1.5291093182570586E-2</v>
      </c>
      <c r="C53" s="34">
        <f t="shared" si="6"/>
        <v>-7.6909933702915662E-5</v>
      </c>
      <c r="D53" s="30">
        <v>-7</v>
      </c>
      <c r="E53" s="34">
        <f t="shared" si="25"/>
        <v>1.5291093182570586E-2</v>
      </c>
      <c r="F53" s="34">
        <f t="shared" si="8"/>
        <v>-7.6909933702915662E-5</v>
      </c>
      <c r="G53" s="35">
        <f t="shared" si="9"/>
        <v>-17</v>
      </c>
      <c r="H53" s="36">
        <f t="shared" si="10"/>
        <v>1.0980387764468608E-3</v>
      </c>
      <c r="I53" s="34">
        <f t="shared" si="11"/>
        <v>-3.91116692662142E-4</v>
      </c>
      <c r="J53" s="28">
        <f t="shared" si="12"/>
        <v>1.6389131959017447E-2</v>
      </c>
      <c r="K53" s="9">
        <f t="shared" si="13"/>
        <v>0.10980387764468608</v>
      </c>
      <c r="L53" s="25">
        <f t="shared" si="14"/>
        <v>1.5291093182570585</v>
      </c>
      <c r="M53" s="25">
        <f t="shared" si="15"/>
        <v>1.6389131959017447</v>
      </c>
      <c r="N53" s="198">
        <f t="shared" si="16"/>
        <v>-3.9111669266214198E-2</v>
      </c>
      <c r="O53" s="203">
        <f t="shared" si="17"/>
        <v>-7.6909933702915666E-3</v>
      </c>
      <c r="P53" s="25">
        <f t="shared" si="18"/>
        <v>-4.6802662636505767E-2</v>
      </c>
      <c r="R53" s="9">
        <f t="shared" si="19"/>
        <v>10</v>
      </c>
      <c r="S53" s="18">
        <f t="shared" si="20"/>
        <v>-8.7372870216931453</v>
      </c>
      <c r="T53" s="10">
        <v>10</v>
      </c>
      <c r="U53" s="18">
        <f t="shared" si="21"/>
        <v>-26.179938779914941</v>
      </c>
      <c r="V53" s="10">
        <f t="shared" si="22"/>
        <v>10</v>
      </c>
      <c r="W53" s="18">
        <f t="shared" si="23"/>
        <v>-34.91722580160809</v>
      </c>
      <c r="AA53" s="10"/>
    </row>
    <row r="54" spans="1:27">
      <c r="A54" s="30">
        <v>-6</v>
      </c>
      <c r="B54" s="34">
        <f t="shared" si="24"/>
        <v>1.7635813520721411E-2</v>
      </c>
      <c r="C54" s="34">
        <f t="shared" si="6"/>
        <v>2.4675623856153424E-4</v>
      </c>
      <c r="D54" s="30">
        <v>-6</v>
      </c>
      <c r="E54" s="34">
        <f t="shared" si="25"/>
        <v>1.7635813520721411E-2</v>
      </c>
      <c r="F54" s="34">
        <f t="shared" si="8"/>
        <v>2.4675623856153424E-4</v>
      </c>
      <c r="G54" s="35">
        <f t="shared" si="9"/>
        <v>-16</v>
      </c>
      <c r="H54" s="36">
        <f t="shared" si="10"/>
        <v>1.5772227949052372E-3</v>
      </c>
      <c r="I54" s="34">
        <f t="shared" si="11"/>
        <v>-4.8564326935948178E-4</v>
      </c>
      <c r="J54" s="28">
        <f t="shared" si="12"/>
        <v>1.9213036315626649E-2</v>
      </c>
      <c r="K54" s="9">
        <f t="shared" si="13"/>
        <v>0.15772227949052373</v>
      </c>
      <c r="L54" s="25">
        <f t="shared" si="14"/>
        <v>1.7635813520721411</v>
      </c>
      <c r="M54" s="25">
        <f t="shared" si="15"/>
        <v>1.9213036315626648</v>
      </c>
      <c r="N54" s="198">
        <f t="shared" si="16"/>
        <v>-4.8564326935948178E-2</v>
      </c>
      <c r="O54" s="203">
        <f t="shared" si="17"/>
        <v>2.4675623856153423E-2</v>
      </c>
      <c r="P54" s="25">
        <f t="shared" si="18"/>
        <v>-2.3888703079794755E-2</v>
      </c>
      <c r="R54" s="9">
        <f t="shared" si="19"/>
        <v>11</v>
      </c>
      <c r="S54" s="18">
        <f t="shared" si="20"/>
        <v>-6.9389263446314899</v>
      </c>
      <c r="T54" s="10">
        <v>11</v>
      </c>
      <c r="U54" s="18">
        <f t="shared" si="21"/>
        <v>-25.894212422641402</v>
      </c>
      <c r="V54" s="10">
        <f t="shared" si="22"/>
        <v>11</v>
      </c>
      <c r="W54" s="18">
        <f t="shared" si="23"/>
        <v>-32.833138767272892</v>
      </c>
      <c r="AA54" s="10"/>
    </row>
    <row r="55" spans="1:27" s="215" customFormat="1">
      <c r="A55" s="215">
        <v>-5</v>
      </c>
      <c r="B55" s="228">
        <f t="shared" si="24"/>
        <v>1.9898512885235583E-2</v>
      </c>
      <c r="C55" s="228">
        <f t="shared" si="6"/>
        <v>5.9868410967009662E-4</v>
      </c>
      <c r="D55" s="215">
        <v>-5</v>
      </c>
      <c r="E55" s="228">
        <f t="shared" si="25"/>
        <v>1.9898512885235583E-2</v>
      </c>
      <c r="F55" s="228">
        <f t="shared" si="8"/>
        <v>5.9868410967009662E-4</v>
      </c>
      <c r="G55" s="229">
        <f t="shared" si="9"/>
        <v>-15</v>
      </c>
      <c r="H55" s="230">
        <f t="shared" si="10"/>
        <v>2.2163409593685705E-3</v>
      </c>
      <c r="I55" s="228">
        <f t="shared" si="11"/>
        <v>-5.8190351114285909E-4</v>
      </c>
      <c r="J55" s="231">
        <f t="shared" si="12"/>
        <v>2.2114853844604154E-2</v>
      </c>
      <c r="K55" s="215">
        <f t="shared" si="13"/>
        <v>0.22163409593685704</v>
      </c>
      <c r="L55" s="230">
        <f t="shared" si="14"/>
        <v>1.9898512885235582</v>
      </c>
      <c r="M55" s="230">
        <f t="shared" si="15"/>
        <v>2.2114853844604152</v>
      </c>
      <c r="N55" s="215">
        <f t="shared" si="16"/>
        <v>-5.8190351114285908E-2</v>
      </c>
      <c r="O55" s="230">
        <f t="shared" si="17"/>
        <v>5.9868410967009664E-2</v>
      </c>
      <c r="P55" s="230">
        <f t="shared" si="18"/>
        <v>1.6780598527237553E-3</v>
      </c>
      <c r="R55" s="215">
        <f t="shared" si="19"/>
        <v>12</v>
      </c>
      <c r="S55" s="228">
        <f t="shared" si="20"/>
        <v>-5.3910841649474399</v>
      </c>
      <c r="T55" s="215">
        <v>12</v>
      </c>
      <c r="U55" s="228">
        <f t="shared" si="21"/>
        <v>-25.055607992967666</v>
      </c>
      <c r="V55" s="215">
        <f t="shared" si="22"/>
        <v>12</v>
      </c>
      <c r="W55" s="228">
        <f t="shared" si="23"/>
        <v>-30.446692157915109</v>
      </c>
    </row>
    <row r="56" spans="1:27">
      <c r="A56" s="30">
        <v>-4</v>
      </c>
      <c r="B56" s="34">
        <f t="shared" si="24"/>
        <v>2.196412480496544E-2</v>
      </c>
      <c r="C56" s="34">
        <f t="shared" si="6"/>
        <v>9.5007142503417011E-4</v>
      </c>
      <c r="D56" s="30">
        <v>-4</v>
      </c>
      <c r="E56" s="34">
        <f t="shared" si="25"/>
        <v>2.196412480496544E-2</v>
      </c>
      <c r="F56" s="34">
        <f t="shared" si="8"/>
        <v>9.5007142503417011E-4</v>
      </c>
      <c r="G56" s="35">
        <f t="shared" si="9"/>
        <v>-14</v>
      </c>
      <c r="H56" s="36">
        <f t="shared" si="10"/>
        <v>3.0468302553613462E-3</v>
      </c>
      <c r="I56" s="34">
        <f t="shared" si="11"/>
        <v>-6.7066487651163786E-4</v>
      </c>
      <c r="J56" s="28">
        <f t="shared" si="12"/>
        <v>2.5010955060326787E-2</v>
      </c>
      <c r="K56" s="9">
        <f t="shared" si="13"/>
        <v>0.30468302553613463</v>
      </c>
      <c r="L56" s="25">
        <f t="shared" si="14"/>
        <v>2.1964124804965439</v>
      </c>
      <c r="M56" s="25">
        <f t="shared" si="15"/>
        <v>2.5010955060326787</v>
      </c>
      <c r="N56" s="198">
        <f t="shared" si="16"/>
        <v>-6.7066487651163784E-2</v>
      </c>
      <c r="O56" s="203">
        <f t="shared" si="17"/>
        <v>9.5007142503417005E-2</v>
      </c>
      <c r="P56" s="25">
        <f t="shared" si="18"/>
        <v>2.7940654852253222E-2</v>
      </c>
      <c r="R56" s="9">
        <f t="shared" si="19"/>
        <v>13</v>
      </c>
      <c r="S56" s="18">
        <f t="shared" si="20"/>
        <v>-4.0975862710533315</v>
      </c>
      <c r="T56" s="10">
        <v>13</v>
      </c>
      <c r="U56" s="18">
        <f t="shared" si="21"/>
        <v>-23.717851440593101</v>
      </c>
      <c r="V56" s="10">
        <f t="shared" si="22"/>
        <v>13</v>
      </c>
      <c r="W56" s="18">
        <f t="shared" si="23"/>
        <v>-27.815437711646435</v>
      </c>
      <c r="AA56" s="10"/>
    </row>
    <row r="57" spans="1:27">
      <c r="A57" s="30">
        <v>-3</v>
      </c>
      <c r="B57" s="34">
        <f t="shared" si="24"/>
        <v>2.3717851440593102E-2</v>
      </c>
      <c r="C57" s="34">
        <f t="shared" si="6"/>
        <v>1.268856249908273E-3</v>
      </c>
      <c r="D57" s="30">
        <v>-3</v>
      </c>
      <c r="E57" s="34">
        <f t="shared" si="25"/>
        <v>2.3717851440593102E-2</v>
      </c>
      <c r="F57" s="34">
        <f t="shared" si="8"/>
        <v>1.268856249908273E-3</v>
      </c>
      <c r="G57" s="35">
        <f t="shared" si="9"/>
        <v>-13</v>
      </c>
      <c r="H57" s="36">
        <f t="shared" si="10"/>
        <v>4.0975862710533311E-3</v>
      </c>
      <c r="I57" s="34">
        <f t="shared" si="11"/>
        <v>-7.400761669254987E-4</v>
      </c>
      <c r="J57" s="28">
        <f t="shared" si="12"/>
        <v>2.7815437711646435E-2</v>
      </c>
      <c r="K57" s="9">
        <f t="shared" si="13"/>
        <v>0.40975862710533312</v>
      </c>
      <c r="L57" s="25">
        <f t="shared" si="14"/>
        <v>2.3717851440593103</v>
      </c>
      <c r="M57" s="25">
        <f t="shared" si="15"/>
        <v>2.7815437711646434</v>
      </c>
      <c r="N57" s="198">
        <f t="shared" si="16"/>
        <v>-7.4007616692549877E-2</v>
      </c>
      <c r="O57" s="203">
        <f t="shared" si="17"/>
        <v>0.12688562499082728</v>
      </c>
      <c r="P57" s="25">
        <f t="shared" si="18"/>
        <v>5.2878008298277407E-2</v>
      </c>
      <c r="R57" s="9">
        <f t="shared" si="19"/>
        <v>14</v>
      </c>
      <c r="S57" s="18">
        <f t="shared" si="20"/>
        <v>-3.0468302553613462</v>
      </c>
      <c r="T57" s="10">
        <v>14</v>
      </c>
      <c r="U57" s="18">
        <f t="shared" si="21"/>
        <v>-21.96412480496544</v>
      </c>
      <c r="V57" s="10">
        <f t="shared" si="22"/>
        <v>14</v>
      </c>
      <c r="W57" s="18">
        <f t="shared" si="23"/>
        <v>-25.010955060326786</v>
      </c>
      <c r="AA57" s="10"/>
    </row>
    <row r="58" spans="1:27">
      <c r="A58" s="30">
        <v>-2</v>
      </c>
      <c r="B58" s="34">
        <f t="shared" si="24"/>
        <v>2.5055607992967667E-2</v>
      </c>
      <c r="C58" s="34">
        <f t="shared" si="6"/>
        <v>1.5237292469431638E-3</v>
      </c>
      <c r="D58" s="30">
        <v>-2</v>
      </c>
      <c r="E58" s="34">
        <f t="shared" si="25"/>
        <v>2.5055607992967667E-2</v>
      </c>
      <c r="F58" s="34">
        <f t="shared" si="8"/>
        <v>1.5237292469431638E-3</v>
      </c>
      <c r="G58" s="35">
        <f t="shared" si="9"/>
        <v>-12</v>
      </c>
      <c r="H58" s="36">
        <f t="shared" si="10"/>
        <v>5.3910841649474402E-3</v>
      </c>
      <c r="I58" s="34">
        <f t="shared" si="11"/>
        <v>-7.7649360400477529E-4</v>
      </c>
      <c r="J58" s="28">
        <f t="shared" si="12"/>
        <v>3.0446692157915109E-2</v>
      </c>
      <c r="K58" s="9">
        <f t="shared" si="13"/>
        <v>0.53910841649474406</v>
      </c>
      <c r="L58" s="25">
        <f t="shared" si="14"/>
        <v>2.5055607992967666</v>
      </c>
      <c r="M58" s="25">
        <f t="shared" si="15"/>
        <v>3.0446692157915107</v>
      </c>
      <c r="N58" s="198">
        <f t="shared" si="16"/>
        <v>-7.7649360400477527E-2</v>
      </c>
      <c r="O58" s="203">
        <f t="shared" si="17"/>
        <v>0.15237292469431638</v>
      </c>
      <c r="P58" s="25">
        <f t="shared" si="18"/>
        <v>7.4723564293838848E-2</v>
      </c>
      <c r="R58" s="9">
        <f t="shared" si="19"/>
        <v>15</v>
      </c>
      <c r="S58" s="18">
        <f t="shared" si="20"/>
        <v>-2.2163409593685706</v>
      </c>
      <c r="T58" s="10">
        <v>15</v>
      </c>
      <c r="U58" s="18">
        <f t="shared" si="21"/>
        <v>-19.898512885235583</v>
      </c>
      <c r="V58" s="10">
        <f t="shared" si="22"/>
        <v>15</v>
      </c>
      <c r="W58" s="18">
        <f t="shared" si="23"/>
        <v>-22.114853844604156</v>
      </c>
      <c r="AA58" s="10"/>
    </row>
    <row r="59" spans="1:27">
      <c r="A59" s="30">
        <v>-1</v>
      </c>
      <c r="B59" s="34">
        <f t="shared" si="24"/>
        <v>2.5894212422641401E-2</v>
      </c>
      <c r="C59" s="34">
        <f t="shared" si="6"/>
        <v>1.6883926344163987E-3</v>
      </c>
      <c r="D59" s="30">
        <v>-1</v>
      </c>
      <c r="E59" s="34">
        <f t="shared" si="25"/>
        <v>2.5894212422641401E-2</v>
      </c>
      <c r="F59" s="34">
        <f t="shared" si="8"/>
        <v>1.6883926344163987E-3</v>
      </c>
      <c r="G59" s="35">
        <f t="shared" si="9"/>
        <v>-11</v>
      </c>
      <c r="H59" s="36">
        <f t="shared" si="10"/>
        <v>6.9389263446314898E-3</v>
      </c>
      <c r="I59" s="34">
        <f t="shared" si="11"/>
        <v>-7.6591532674624675E-4</v>
      </c>
      <c r="J59" s="28">
        <f t="shared" si="12"/>
        <v>3.2833138767272889E-2</v>
      </c>
      <c r="K59" s="9">
        <f t="shared" si="13"/>
        <v>0.69389263446314897</v>
      </c>
      <c r="L59" s="25">
        <f t="shared" si="14"/>
        <v>2.5894212422641401</v>
      </c>
      <c r="M59" s="25">
        <f t="shared" si="15"/>
        <v>3.2833138767272891</v>
      </c>
      <c r="N59" s="198">
        <f t="shared" si="16"/>
        <v>-7.6591532674624679E-2</v>
      </c>
      <c r="O59" s="203">
        <f t="shared" si="17"/>
        <v>0.16883926344163988</v>
      </c>
      <c r="P59" s="25">
        <f t="shared" si="18"/>
        <v>9.2247730767015201E-2</v>
      </c>
      <c r="R59" s="9">
        <f t="shared" si="19"/>
        <v>16</v>
      </c>
      <c r="S59" s="18">
        <f t="shared" si="20"/>
        <v>-1.5772227949052373</v>
      </c>
      <c r="T59" s="10">
        <v>16</v>
      </c>
      <c r="U59" s="18">
        <f t="shared" si="21"/>
        <v>-17.63581352072141</v>
      </c>
      <c r="V59" s="10">
        <f t="shared" si="22"/>
        <v>16</v>
      </c>
      <c r="W59" s="18">
        <f t="shared" si="23"/>
        <v>-19.213036315626649</v>
      </c>
      <c r="AA59" s="10"/>
    </row>
    <row r="60" spans="1:27" s="201" customFormat="1">
      <c r="A60" s="195">
        <v>0</v>
      </c>
      <c r="B60" s="196">
        <f t="shared" si="24"/>
        <v>2.6179938779914941E-2</v>
      </c>
      <c r="C60" s="196">
        <f t="shared" si="6"/>
        <v>1.7453292519943294E-3</v>
      </c>
      <c r="D60" s="195">
        <v>0</v>
      </c>
      <c r="E60" s="196">
        <f t="shared" si="25"/>
        <v>2.6179938779914941E-2</v>
      </c>
      <c r="F60" s="196">
        <f t="shared" si="8"/>
        <v>1.7453292519943294E-3</v>
      </c>
      <c r="G60" s="197">
        <f t="shared" si="9"/>
        <v>-10</v>
      </c>
      <c r="H60" s="36">
        <f t="shared" si="10"/>
        <v>8.7372870216931454E-3</v>
      </c>
      <c r="I60" s="34">
        <f t="shared" si="11"/>
        <v>-6.9594668458113659E-4</v>
      </c>
      <c r="J60" s="202">
        <f t="shared" si="12"/>
        <v>3.4917225801608089E-2</v>
      </c>
      <c r="K60" s="9">
        <f t="shared" si="13"/>
        <v>0.87372870216931453</v>
      </c>
      <c r="L60" s="203">
        <f t="shared" si="14"/>
        <v>2.617993877991494</v>
      </c>
      <c r="M60" s="25">
        <f t="shared" si="15"/>
        <v>3.4917225801608085</v>
      </c>
      <c r="N60" s="198">
        <f t="shared" si="16"/>
        <v>-6.9594668458113657E-2</v>
      </c>
      <c r="O60" s="203">
        <f t="shared" si="17"/>
        <v>0.17453292519943295</v>
      </c>
      <c r="P60" s="25">
        <f t="shared" si="18"/>
        <v>0.10493825674131929</v>
      </c>
      <c r="Q60" s="198"/>
      <c r="R60" s="198">
        <f t="shared" si="19"/>
        <v>17</v>
      </c>
      <c r="S60" s="199">
        <f t="shared" si="20"/>
        <v>-1.0980387764468609</v>
      </c>
      <c r="T60" s="200">
        <v>17</v>
      </c>
      <c r="U60" s="199">
        <f t="shared" si="21"/>
        <v>-15.291093182570586</v>
      </c>
      <c r="V60" s="200">
        <f t="shared" si="22"/>
        <v>17</v>
      </c>
      <c r="W60" s="199">
        <f t="shared" si="23"/>
        <v>-16.389131959017448</v>
      </c>
      <c r="X60" s="200"/>
      <c r="Y60" s="200"/>
      <c r="Z60" s="200"/>
      <c r="AA60" s="200"/>
    </row>
    <row r="61" spans="1:27">
      <c r="A61" s="30">
        <v>1</v>
      </c>
      <c r="B61" s="34">
        <f t="shared" si="24"/>
        <v>2.5894212422641401E-2</v>
      </c>
      <c r="C61" s="34">
        <f t="shared" si="6"/>
        <v>1.6883926344163987E-3</v>
      </c>
      <c r="D61" s="30">
        <v>1</v>
      </c>
      <c r="E61" s="34">
        <f t="shared" si="25"/>
        <v>2.5894212422641401E-2</v>
      </c>
      <c r="F61" s="34">
        <f t="shared" si="8"/>
        <v>1.6883926344163987E-3</v>
      </c>
      <c r="G61" s="35">
        <f t="shared" si="9"/>
        <v>-9</v>
      </c>
      <c r="H61" s="36">
        <f t="shared" si="10"/>
        <v>1.0762894597148773E-2</v>
      </c>
      <c r="I61" s="34">
        <f t="shared" si="11"/>
        <v>-5.5807601614845488E-4</v>
      </c>
      <c r="J61" s="28">
        <f t="shared" si="12"/>
        <v>3.6657107019790178E-2</v>
      </c>
      <c r="K61" s="9">
        <f t="shared" si="13"/>
        <v>1.0762894597148773</v>
      </c>
      <c r="L61" s="25">
        <f t="shared" si="14"/>
        <v>2.5894212422641401</v>
      </c>
      <c r="M61" s="25">
        <f t="shared" si="15"/>
        <v>3.6657107019790174</v>
      </c>
      <c r="N61" s="198">
        <f t="shared" si="16"/>
        <v>-5.5807601614845485E-2</v>
      </c>
      <c r="O61" s="203">
        <f t="shared" si="17"/>
        <v>0.16883926344163988</v>
      </c>
      <c r="P61" s="25">
        <f t="shared" si="18"/>
        <v>0.11303166182679439</v>
      </c>
      <c r="R61" s="9">
        <f t="shared" si="19"/>
        <v>18</v>
      </c>
      <c r="S61" s="18">
        <f t="shared" si="20"/>
        <v>-0.7478430617571411</v>
      </c>
      <c r="T61" s="10">
        <v>18</v>
      </c>
      <c r="U61" s="18">
        <f t="shared" si="21"/>
        <v>-12.970291337097047</v>
      </c>
      <c r="V61" s="10">
        <f t="shared" si="22"/>
        <v>18</v>
      </c>
      <c r="W61" s="18">
        <f t="shared" si="23"/>
        <v>-13.718134398854188</v>
      </c>
      <c r="AA61" s="10"/>
    </row>
    <row r="62" spans="1:27">
      <c r="A62" s="30">
        <v>2</v>
      </c>
      <c r="B62" s="34">
        <f t="shared" si="24"/>
        <v>2.5055607992967667E-2</v>
      </c>
      <c r="C62" s="34">
        <f t="shared" si="6"/>
        <v>1.5237292469431638E-3</v>
      </c>
      <c r="D62" s="30">
        <v>2</v>
      </c>
      <c r="E62" s="34">
        <f t="shared" si="25"/>
        <v>2.5055607992967667E-2</v>
      </c>
      <c r="F62" s="34">
        <f t="shared" si="8"/>
        <v>1.5237292469431638E-3</v>
      </c>
      <c r="G62" s="35">
        <f t="shared" si="9"/>
        <v>-8</v>
      </c>
      <c r="H62" s="36">
        <f t="shared" si="10"/>
        <v>1.2970291337097047E-2</v>
      </c>
      <c r="I62" s="34">
        <f t="shared" si="11"/>
        <v>-3.4990726515259513E-4</v>
      </c>
      <c r="J62" s="28">
        <f t="shared" si="12"/>
        <v>3.8025899330064714E-2</v>
      </c>
      <c r="K62" s="9">
        <f t="shared" si="13"/>
        <v>1.2970291337097046</v>
      </c>
      <c r="L62" s="25">
        <f t="shared" si="14"/>
        <v>2.5055607992967666</v>
      </c>
      <c r="M62" s="25">
        <f t="shared" si="15"/>
        <v>3.8025899330064714</v>
      </c>
      <c r="N62" s="198">
        <f t="shared" si="16"/>
        <v>-3.4990726515259515E-2</v>
      </c>
      <c r="O62" s="203">
        <f t="shared" si="17"/>
        <v>0.15237292469431638</v>
      </c>
      <c r="P62" s="25">
        <f t="shared" si="18"/>
        <v>0.11738219817905686</v>
      </c>
      <c r="R62" s="9">
        <f t="shared" si="19"/>
        <v>19</v>
      </c>
      <c r="S62" s="18">
        <f t="shared" si="20"/>
        <v>-0.49827766415018232</v>
      </c>
      <c r="T62" s="10">
        <v>19</v>
      </c>
      <c r="U62" s="18">
        <f t="shared" si="21"/>
        <v>-10.762894597148774</v>
      </c>
      <c r="V62" s="10">
        <f t="shared" si="22"/>
        <v>19</v>
      </c>
      <c r="W62" s="18">
        <f t="shared" si="23"/>
        <v>-11.261172261298956</v>
      </c>
      <c r="AA62" s="10"/>
    </row>
    <row r="63" spans="1:27">
      <c r="A63" s="30">
        <v>3</v>
      </c>
      <c r="B63" s="34">
        <f t="shared" si="24"/>
        <v>2.3717851440593102E-2</v>
      </c>
      <c r="C63" s="34">
        <f t="shared" si="6"/>
        <v>1.268856249908273E-3</v>
      </c>
      <c r="D63" s="30">
        <v>3</v>
      </c>
      <c r="E63" s="34">
        <f t="shared" si="25"/>
        <v>2.3717851440593102E-2</v>
      </c>
      <c r="F63" s="34">
        <f t="shared" si="8"/>
        <v>1.268856249908273E-3</v>
      </c>
      <c r="G63" s="35">
        <f t="shared" si="9"/>
        <v>-7</v>
      </c>
      <c r="H63" s="36">
        <f t="shared" si="10"/>
        <v>1.5291093182570586E-2</v>
      </c>
      <c r="I63" s="34">
        <f t="shared" si="11"/>
        <v>-7.6909933702915662E-5</v>
      </c>
      <c r="J63" s="28">
        <f t="shared" si="12"/>
        <v>3.9008944623163691E-2</v>
      </c>
      <c r="K63" s="9">
        <f t="shared" si="13"/>
        <v>1.5291093182570585</v>
      </c>
      <c r="L63" s="25">
        <f t="shared" si="14"/>
        <v>2.3717851440593103</v>
      </c>
      <c r="M63" s="25">
        <f t="shared" si="15"/>
        <v>3.9008944623163688</v>
      </c>
      <c r="N63" s="198">
        <f t="shared" si="16"/>
        <v>-7.6909933702915666E-3</v>
      </c>
      <c r="O63" s="203">
        <f t="shared" si="17"/>
        <v>0.12688562499082728</v>
      </c>
      <c r="P63" s="25">
        <f t="shared" si="18"/>
        <v>0.11919463162053572</v>
      </c>
      <c r="R63" s="9">
        <f t="shared" si="19"/>
        <v>20</v>
      </c>
      <c r="S63" s="18">
        <f t="shared" si="20"/>
        <v>-0.32478841549970161</v>
      </c>
      <c r="T63" s="10">
        <v>20</v>
      </c>
      <c r="U63" s="18">
        <f t="shared" si="21"/>
        <v>-8.7372870216931453</v>
      </c>
      <c r="V63" s="10">
        <f t="shared" si="22"/>
        <v>20</v>
      </c>
      <c r="W63" s="18">
        <f t="shared" si="23"/>
        <v>-9.0620754371928474</v>
      </c>
      <c r="AA63" s="10"/>
    </row>
    <row r="64" spans="1:27" s="238" customFormat="1">
      <c r="A64" s="232">
        <v>4</v>
      </c>
      <c r="B64" s="233">
        <f t="shared" si="24"/>
        <v>2.196412480496544E-2</v>
      </c>
      <c r="C64" s="233">
        <f t="shared" si="6"/>
        <v>9.5007142503417011E-4</v>
      </c>
      <c r="D64" s="232">
        <v>4</v>
      </c>
      <c r="E64" s="233">
        <f t="shared" si="25"/>
        <v>2.196412480496544E-2</v>
      </c>
      <c r="F64" s="233">
        <f t="shared" si="8"/>
        <v>9.5007142503417011E-4</v>
      </c>
      <c r="G64" s="234">
        <f t="shared" si="9"/>
        <v>-6</v>
      </c>
      <c r="H64" s="235">
        <f t="shared" si="10"/>
        <v>1.7635813520721411E-2</v>
      </c>
      <c r="I64" s="233">
        <f t="shared" si="11"/>
        <v>2.4675623856153424E-4</v>
      </c>
      <c r="J64" s="231">
        <f t="shared" si="12"/>
        <v>3.9599938325686854E-2</v>
      </c>
      <c r="K64" s="215">
        <f t="shared" si="13"/>
        <v>1.7635813520721411</v>
      </c>
      <c r="L64" s="230">
        <f t="shared" si="14"/>
        <v>2.1964124804965439</v>
      </c>
      <c r="M64" s="230">
        <f t="shared" si="15"/>
        <v>3.959993832568685</v>
      </c>
      <c r="N64" s="215">
        <f t="shared" si="16"/>
        <v>2.4675623856153423E-2</v>
      </c>
      <c r="O64" s="230">
        <f t="shared" si="17"/>
        <v>9.5007142503417005E-2</v>
      </c>
      <c r="P64" s="230">
        <f t="shared" si="18"/>
        <v>0.11968276635957042</v>
      </c>
      <c r="Q64" s="215"/>
      <c r="R64" s="215">
        <f t="shared" si="19"/>
        <v>21</v>
      </c>
      <c r="S64" s="236">
        <f t="shared" si="20"/>
        <v>-0.20710844152466606</v>
      </c>
      <c r="T64" s="237">
        <v>21</v>
      </c>
      <c r="U64" s="236">
        <f t="shared" si="21"/>
        <v>-6.9389263446314899</v>
      </c>
      <c r="V64" s="237">
        <f t="shared" si="22"/>
        <v>21</v>
      </c>
      <c r="W64" s="236">
        <f t="shared" si="23"/>
        <v>-7.1460347861561555</v>
      </c>
      <c r="X64" s="237"/>
      <c r="Y64" s="237"/>
      <c r="Z64" s="237"/>
      <c r="AA64" s="237"/>
    </row>
    <row r="65" spans="1:27">
      <c r="A65" s="30">
        <v>5</v>
      </c>
      <c r="B65" s="34">
        <f t="shared" si="24"/>
        <v>1.9898512885235583E-2</v>
      </c>
      <c r="C65" s="34">
        <f t="shared" si="6"/>
        <v>5.9868410967009662E-4</v>
      </c>
      <c r="D65" s="30">
        <v>5</v>
      </c>
      <c r="E65" s="34">
        <f t="shared" si="25"/>
        <v>1.9898512885235583E-2</v>
      </c>
      <c r="F65" s="34">
        <f t="shared" si="8"/>
        <v>5.9868410967009662E-4</v>
      </c>
      <c r="G65" s="35">
        <f t="shared" si="9"/>
        <v>-5</v>
      </c>
      <c r="H65" s="36">
        <f t="shared" si="10"/>
        <v>1.9898512885235583E-2</v>
      </c>
      <c r="I65" s="34">
        <f t="shared" si="11"/>
        <v>5.9868410967009662E-4</v>
      </c>
      <c r="J65" s="28">
        <f t="shared" si="12"/>
        <v>3.9797025770471166E-2</v>
      </c>
      <c r="K65" s="9">
        <f t="shared" si="13"/>
        <v>1.9898512885235582</v>
      </c>
      <c r="L65" s="25">
        <f t="shared" si="14"/>
        <v>1.9898512885235582</v>
      </c>
      <c r="M65" s="25">
        <f t="shared" si="15"/>
        <v>3.9797025770471164</v>
      </c>
      <c r="N65" s="198">
        <f t="shared" si="16"/>
        <v>5.9868410967009664E-2</v>
      </c>
      <c r="O65" s="203">
        <f t="shared" si="17"/>
        <v>5.9868410967009664E-2</v>
      </c>
      <c r="P65" s="25">
        <f t="shared" si="18"/>
        <v>0.11973682193401933</v>
      </c>
      <c r="R65" s="9">
        <f t="shared" si="19"/>
        <v>22</v>
      </c>
      <c r="S65" s="18">
        <f t="shared" si="20"/>
        <v>-0.12920021319949371</v>
      </c>
      <c r="T65" s="10">
        <v>22</v>
      </c>
      <c r="U65" s="18">
        <f t="shared" si="21"/>
        <v>-5.3910841649474399</v>
      </c>
      <c r="V65" s="10">
        <f t="shared" si="22"/>
        <v>22</v>
      </c>
      <c r="W65" s="18">
        <f t="shared" si="23"/>
        <v>-5.5202843781469344</v>
      </c>
      <c r="AA65" s="10"/>
    </row>
    <row r="66" spans="1:27">
      <c r="A66" s="30">
        <v>6</v>
      </c>
      <c r="B66" s="34">
        <f t="shared" si="24"/>
        <v>1.7635813520721411E-2</v>
      </c>
      <c r="C66" s="34">
        <f t="shared" si="6"/>
        <v>2.4675623856153424E-4</v>
      </c>
      <c r="D66" s="30">
        <v>6</v>
      </c>
      <c r="E66" s="34">
        <f t="shared" si="25"/>
        <v>1.7635813520721411E-2</v>
      </c>
      <c r="F66" s="34">
        <f t="shared" si="8"/>
        <v>2.4675623856153424E-4</v>
      </c>
      <c r="G66" s="35">
        <f t="shared" si="9"/>
        <v>-4</v>
      </c>
      <c r="H66" s="36">
        <f t="shared" si="10"/>
        <v>2.196412480496544E-2</v>
      </c>
      <c r="I66" s="34">
        <f t="shared" si="11"/>
        <v>9.5007142503417011E-4</v>
      </c>
      <c r="J66" s="28">
        <f t="shared" si="12"/>
        <v>3.9599938325686854E-2</v>
      </c>
      <c r="K66" s="9">
        <f t="shared" si="13"/>
        <v>2.1964124804965439</v>
      </c>
      <c r="L66" s="25">
        <f t="shared" si="14"/>
        <v>1.7635813520721411</v>
      </c>
      <c r="M66" s="25">
        <f t="shared" si="15"/>
        <v>3.959993832568685</v>
      </c>
      <c r="N66" s="198">
        <f t="shared" si="16"/>
        <v>9.5007142503417005E-2</v>
      </c>
      <c r="O66" s="203">
        <f t="shared" si="17"/>
        <v>2.4675623856153423E-2</v>
      </c>
      <c r="P66" s="25">
        <f t="shared" si="18"/>
        <v>0.11968276635957042</v>
      </c>
      <c r="R66" s="9">
        <f t="shared" si="19"/>
        <v>23</v>
      </c>
      <c r="S66" s="18">
        <f t="shared" si="20"/>
        <v>-7.884911432985138E-2</v>
      </c>
      <c r="T66" s="10">
        <v>23</v>
      </c>
      <c r="U66" s="18">
        <f t="shared" si="21"/>
        <v>-4.0975862710533315</v>
      </c>
      <c r="V66" s="10">
        <f t="shared" si="22"/>
        <v>23</v>
      </c>
      <c r="W66" s="18">
        <f t="shared" si="23"/>
        <v>-4.1764353853831828</v>
      </c>
      <c r="AA66" s="10"/>
    </row>
    <row r="67" spans="1:27" s="201" customFormat="1">
      <c r="A67" s="195">
        <v>7</v>
      </c>
      <c r="B67" s="196">
        <f t="shared" si="24"/>
        <v>1.5291093182570586E-2</v>
      </c>
      <c r="C67" s="196">
        <f t="shared" si="6"/>
        <v>-7.6909933702915662E-5</v>
      </c>
      <c r="D67" s="195">
        <v>7</v>
      </c>
      <c r="E67" s="196">
        <f t="shared" si="25"/>
        <v>1.5291093182570586E-2</v>
      </c>
      <c r="F67" s="196">
        <f t="shared" si="8"/>
        <v>-7.6909933702915662E-5</v>
      </c>
      <c r="G67" s="197">
        <f t="shared" si="9"/>
        <v>-3</v>
      </c>
      <c r="H67" s="36">
        <f t="shared" si="10"/>
        <v>2.3717851440593102E-2</v>
      </c>
      <c r="I67" s="34">
        <f t="shared" si="11"/>
        <v>1.268856249908273E-3</v>
      </c>
      <c r="J67" s="202">
        <f t="shared" si="12"/>
        <v>3.9008944623163691E-2</v>
      </c>
      <c r="K67" s="9">
        <f t="shared" si="13"/>
        <v>2.3717851440593103</v>
      </c>
      <c r="L67" s="203">
        <f t="shared" si="14"/>
        <v>1.5291093182570585</v>
      </c>
      <c r="M67" s="25">
        <f t="shared" si="15"/>
        <v>3.9008944623163688</v>
      </c>
      <c r="N67" s="198">
        <f t="shared" si="16"/>
        <v>0.12688562499082728</v>
      </c>
      <c r="O67" s="203">
        <f t="shared" si="17"/>
        <v>-7.6909933702915666E-3</v>
      </c>
      <c r="P67" s="25">
        <f t="shared" si="18"/>
        <v>0.11919463162053572</v>
      </c>
      <c r="Q67" s="198"/>
      <c r="R67" s="198">
        <f t="shared" si="19"/>
        <v>24</v>
      </c>
      <c r="S67" s="199">
        <f t="shared" si="20"/>
        <v>-4.7075893123253741E-2</v>
      </c>
      <c r="T67" s="200">
        <v>24</v>
      </c>
      <c r="U67" s="199">
        <f t="shared" si="21"/>
        <v>-3.0468302553613462</v>
      </c>
      <c r="V67" s="200">
        <f t="shared" si="22"/>
        <v>24</v>
      </c>
      <c r="W67" s="199">
        <f t="shared" si="23"/>
        <v>-3.0939061484846002</v>
      </c>
      <c r="X67" s="200"/>
      <c r="Y67" s="200"/>
      <c r="Z67" s="200"/>
      <c r="AA67" s="200"/>
    </row>
    <row r="68" spans="1:27">
      <c r="A68" s="30">
        <v>8</v>
      </c>
      <c r="B68" s="34">
        <f t="shared" si="24"/>
        <v>1.2970291337097047E-2</v>
      </c>
      <c r="C68" s="34">
        <f t="shared" si="6"/>
        <v>-3.4990726515259513E-4</v>
      </c>
      <c r="D68" s="30">
        <v>8</v>
      </c>
      <c r="E68" s="34">
        <f t="shared" si="25"/>
        <v>1.2970291337097047E-2</v>
      </c>
      <c r="F68" s="34">
        <f t="shared" si="8"/>
        <v>-3.4990726515259513E-4</v>
      </c>
      <c r="G68" s="35">
        <f t="shared" si="9"/>
        <v>-2</v>
      </c>
      <c r="H68" s="36">
        <f t="shared" si="10"/>
        <v>2.5055607992967667E-2</v>
      </c>
      <c r="I68" s="34">
        <f t="shared" si="11"/>
        <v>1.5237292469431638E-3</v>
      </c>
      <c r="J68" s="28">
        <f t="shared" si="12"/>
        <v>3.8025899330064714E-2</v>
      </c>
      <c r="K68" s="9">
        <f t="shared" si="13"/>
        <v>2.5055607992967666</v>
      </c>
      <c r="L68" s="25">
        <f t="shared" si="14"/>
        <v>1.2970291337097046</v>
      </c>
      <c r="M68" s="25">
        <f t="shared" si="15"/>
        <v>3.8025899330064714</v>
      </c>
      <c r="N68" s="198">
        <f t="shared" si="16"/>
        <v>0.15237292469431638</v>
      </c>
      <c r="O68" s="203">
        <f t="shared" si="17"/>
        <v>-3.4990726515259515E-2</v>
      </c>
      <c r="P68" s="25">
        <f t="shared" si="18"/>
        <v>0.11738219817905686</v>
      </c>
      <c r="R68" s="9">
        <f t="shared" si="19"/>
        <v>25</v>
      </c>
      <c r="S68" s="18">
        <f t="shared" si="20"/>
        <v>-2.7495933984103292E-2</v>
      </c>
      <c r="T68" s="10">
        <v>25</v>
      </c>
      <c r="U68" s="18">
        <f t="shared" si="21"/>
        <v>-2.2163409593685706</v>
      </c>
      <c r="V68" s="10">
        <f t="shared" si="22"/>
        <v>25</v>
      </c>
      <c r="W68" s="18">
        <f t="shared" si="23"/>
        <v>-2.243836893352674</v>
      </c>
      <c r="AA68" s="10"/>
    </row>
    <row r="69" spans="1:27">
      <c r="A69" s="30">
        <v>9</v>
      </c>
      <c r="B69" s="34">
        <f t="shared" si="24"/>
        <v>1.0762894597148773E-2</v>
      </c>
      <c r="C69" s="34">
        <f t="shared" si="6"/>
        <v>-5.5807601614845488E-4</v>
      </c>
      <c r="D69" s="30">
        <v>9</v>
      </c>
      <c r="E69" s="34">
        <f t="shared" si="25"/>
        <v>1.0762894597148773E-2</v>
      </c>
      <c r="F69" s="34">
        <f t="shared" si="8"/>
        <v>-5.5807601614845488E-4</v>
      </c>
      <c r="G69" s="35">
        <f t="shared" si="9"/>
        <v>-1</v>
      </c>
      <c r="H69" s="36">
        <f t="shared" si="10"/>
        <v>2.5894212422641401E-2</v>
      </c>
      <c r="I69" s="34">
        <f t="shared" si="11"/>
        <v>1.6883926344163987E-3</v>
      </c>
      <c r="J69" s="28">
        <f t="shared" si="12"/>
        <v>3.6657107019790178E-2</v>
      </c>
      <c r="K69" s="9">
        <f t="shared" si="13"/>
        <v>2.5894212422641401</v>
      </c>
      <c r="L69" s="25">
        <f t="shared" si="14"/>
        <v>1.0762894597148773</v>
      </c>
      <c r="M69" s="25">
        <f t="shared" si="15"/>
        <v>3.6657107019790174</v>
      </c>
      <c r="N69" s="198">
        <f t="shared" si="16"/>
        <v>0.16883926344163988</v>
      </c>
      <c r="O69" s="203">
        <f t="shared" si="17"/>
        <v>-5.5807601614845485E-2</v>
      </c>
      <c r="P69" s="25">
        <f t="shared" si="18"/>
        <v>0.11303166182679439</v>
      </c>
      <c r="R69" s="9">
        <f t="shared" si="19"/>
        <v>26</v>
      </c>
      <c r="S69" s="18">
        <f t="shared" si="20"/>
        <v>-1.5711098237402174E-2</v>
      </c>
      <c r="T69" s="10">
        <v>26</v>
      </c>
      <c r="U69" s="18">
        <f t="shared" si="21"/>
        <v>-1.5772227949052373</v>
      </c>
      <c r="V69" s="10">
        <f t="shared" si="22"/>
        <v>26</v>
      </c>
      <c r="W69" s="18">
        <f t="shared" si="23"/>
        <v>-1.5929338931426393</v>
      </c>
      <c r="AA69" s="10"/>
    </row>
    <row r="70" spans="1:27">
      <c r="A70" s="30">
        <v>10</v>
      </c>
      <c r="B70" s="34">
        <f t="shared" si="24"/>
        <v>8.7372870216931454E-3</v>
      </c>
      <c r="C70" s="34">
        <f t="shared" si="6"/>
        <v>-6.9594668458113659E-4</v>
      </c>
      <c r="D70" s="30">
        <v>10</v>
      </c>
      <c r="E70" s="34">
        <f t="shared" si="25"/>
        <v>8.7372870216931454E-3</v>
      </c>
      <c r="F70" s="34">
        <f t="shared" si="8"/>
        <v>-6.9594668458113659E-4</v>
      </c>
      <c r="G70" s="35">
        <f t="shared" si="9"/>
        <v>0</v>
      </c>
      <c r="H70" s="36">
        <f t="shared" si="10"/>
        <v>2.6179938779914941E-2</v>
      </c>
      <c r="I70" s="34">
        <f t="shared" si="11"/>
        <v>1.7453292519943294E-3</v>
      </c>
      <c r="J70" s="28">
        <f t="shared" si="12"/>
        <v>3.4917225801608089E-2</v>
      </c>
      <c r="K70" s="9">
        <f t="shared" si="13"/>
        <v>2.617993877991494</v>
      </c>
      <c r="L70" s="25">
        <f t="shared" si="14"/>
        <v>0.87372870216931453</v>
      </c>
      <c r="M70" s="25">
        <f t="shared" si="15"/>
        <v>3.4917225801608085</v>
      </c>
      <c r="N70" s="198">
        <f t="shared" si="16"/>
        <v>0.17453292519943295</v>
      </c>
      <c r="O70" s="203">
        <f t="shared" si="17"/>
        <v>-6.9594668458113657E-2</v>
      </c>
      <c r="P70" s="25">
        <f t="shared" si="18"/>
        <v>0.10493825674131929</v>
      </c>
      <c r="R70" s="9">
        <f t="shared" si="19"/>
        <v>27</v>
      </c>
      <c r="S70" s="18">
        <f t="shared" si="20"/>
        <v>-8.7823910614371458E-3</v>
      </c>
      <c r="T70" s="10">
        <v>27</v>
      </c>
      <c r="U70" s="18">
        <f t="shared" si="21"/>
        <v>-1.0980387764468609</v>
      </c>
      <c r="V70" s="10">
        <f t="shared" si="22"/>
        <v>27</v>
      </c>
      <c r="W70" s="18">
        <f t="shared" si="23"/>
        <v>-1.1068211675082977</v>
      </c>
      <c r="AA70" s="10"/>
    </row>
    <row r="71" spans="1:27">
      <c r="A71" s="30">
        <v>11</v>
      </c>
      <c r="B71" s="34">
        <f t="shared" si="24"/>
        <v>6.9389263446314898E-3</v>
      </c>
      <c r="C71" s="34">
        <f t="shared" si="6"/>
        <v>-7.6591532674624675E-4</v>
      </c>
      <c r="D71" s="30">
        <v>11</v>
      </c>
      <c r="E71" s="34">
        <f t="shared" si="25"/>
        <v>6.9389263446314898E-3</v>
      </c>
      <c r="F71" s="34">
        <f t="shared" si="8"/>
        <v>-7.6591532674624675E-4</v>
      </c>
      <c r="G71" s="35">
        <f t="shared" si="9"/>
        <v>1</v>
      </c>
      <c r="H71" s="36">
        <f t="shared" si="10"/>
        <v>2.5894212422641401E-2</v>
      </c>
      <c r="I71" s="34">
        <f t="shared" si="11"/>
        <v>1.6883926344163987E-3</v>
      </c>
      <c r="J71" s="28">
        <f t="shared" si="12"/>
        <v>3.2833138767272889E-2</v>
      </c>
      <c r="K71" s="9">
        <f t="shared" si="13"/>
        <v>2.5894212422641401</v>
      </c>
      <c r="L71" s="25">
        <f t="shared" si="14"/>
        <v>0.69389263446314897</v>
      </c>
      <c r="M71" s="25">
        <f t="shared" si="15"/>
        <v>3.2833138767272891</v>
      </c>
      <c r="N71" s="198">
        <f t="shared" si="16"/>
        <v>0.16883926344163988</v>
      </c>
      <c r="O71" s="203">
        <f t="shared" si="17"/>
        <v>-7.6591532674624679E-2</v>
      </c>
      <c r="P71" s="25">
        <f t="shared" si="18"/>
        <v>9.2247730767015201E-2</v>
      </c>
      <c r="R71" s="9">
        <f t="shared" ref="R71:R102" si="26">+A88</f>
        <v>28</v>
      </c>
      <c r="S71" s="18">
        <f t="shared" ref="S71:S102" si="27">-B88*1000</f>
        <v>-4.8027187870904467E-3</v>
      </c>
      <c r="T71" s="10">
        <v>28</v>
      </c>
      <c r="U71" s="18">
        <f t="shared" ref="U71:U102" si="28">-H88*1000</f>
        <v>-0.7478430617571411</v>
      </c>
      <c r="V71" s="10">
        <f t="shared" ref="V71:V102" si="29">+A88</f>
        <v>28</v>
      </c>
      <c r="W71" s="18">
        <f t="shared" ref="W71:W102" si="30">-J88*1000</f>
        <v>-0.75264578054423148</v>
      </c>
      <c r="AA71" s="10"/>
    </row>
    <row r="72" spans="1:27">
      <c r="A72" s="30">
        <v>12</v>
      </c>
      <c r="B72" s="34">
        <f t="shared" si="24"/>
        <v>5.3910841649474402E-3</v>
      </c>
      <c r="C72" s="34">
        <f t="shared" si="6"/>
        <v>-7.7649360400477529E-4</v>
      </c>
      <c r="D72" s="30">
        <v>12</v>
      </c>
      <c r="E72" s="34">
        <f t="shared" si="25"/>
        <v>5.3910841649474402E-3</v>
      </c>
      <c r="F72" s="34">
        <f t="shared" si="8"/>
        <v>-7.7649360400477529E-4</v>
      </c>
      <c r="G72" s="35">
        <f t="shared" si="9"/>
        <v>2</v>
      </c>
      <c r="H72" s="36">
        <f t="shared" si="10"/>
        <v>2.5055607992967667E-2</v>
      </c>
      <c r="I72" s="34">
        <f t="shared" si="11"/>
        <v>1.5237292469431638E-3</v>
      </c>
      <c r="J72" s="28">
        <f t="shared" si="12"/>
        <v>3.0446692157915109E-2</v>
      </c>
      <c r="K72" s="9">
        <f t="shared" si="13"/>
        <v>2.5055607992967666</v>
      </c>
      <c r="L72" s="25">
        <f t="shared" si="14"/>
        <v>0.53910841649474406</v>
      </c>
      <c r="M72" s="25">
        <f t="shared" si="15"/>
        <v>3.0446692157915107</v>
      </c>
      <c r="N72" s="198">
        <f t="shared" si="16"/>
        <v>0.15237292469431638</v>
      </c>
      <c r="O72" s="203">
        <f t="shared" si="17"/>
        <v>-7.7649360400477527E-2</v>
      </c>
      <c r="P72" s="25">
        <f t="shared" si="18"/>
        <v>7.4723564293838848E-2</v>
      </c>
      <c r="R72" s="9">
        <f t="shared" si="26"/>
        <v>29</v>
      </c>
      <c r="S72" s="18">
        <f t="shared" si="27"/>
        <v>-2.5693880770651461E-3</v>
      </c>
      <c r="T72" s="10">
        <v>29</v>
      </c>
      <c r="U72" s="18">
        <f t="shared" si="28"/>
        <v>-0.49827766415018232</v>
      </c>
      <c r="V72" s="10">
        <f t="shared" si="29"/>
        <v>29</v>
      </c>
      <c r="W72" s="18">
        <f t="shared" si="30"/>
        <v>-0.50084705222724746</v>
      </c>
      <c r="AA72" s="10"/>
    </row>
    <row r="73" spans="1:27" s="238" customFormat="1">
      <c r="A73" s="232">
        <v>13</v>
      </c>
      <c r="B73" s="233">
        <f t="shared" si="24"/>
        <v>4.0975862710533311E-3</v>
      </c>
      <c r="C73" s="233">
        <f t="shared" si="6"/>
        <v>-7.400761669254987E-4</v>
      </c>
      <c r="D73" s="232">
        <v>13</v>
      </c>
      <c r="E73" s="233">
        <f t="shared" si="25"/>
        <v>4.0975862710533311E-3</v>
      </c>
      <c r="F73" s="233">
        <f t="shared" si="8"/>
        <v>-7.400761669254987E-4</v>
      </c>
      <c r="G73" s="234">
        <f t="shared" si="9"/>
        <v>3</v>
      </c>
      <c r="H73" s="235">
        <f t="shared" si="10"/>
        <v>2.3717851440593102E-2</v>
      </c>
      <c r="I73" s="233">
        <f t="shared" si="11"/>
        <v>1.268856249908273E-3</v>
      </c>
      <c r="J73" s="231">
        <f t="shared" si="12"/>
        <v>2.7815437711646435E-2</v>
      </c>
      <c r="K73" s="215">
        <f t="shared" si="13"/>
        <v>2.3717851440593103</v>
      </c>
      <c r="L73" s="230">
        <f t="shared" si="14"/>
        <v>0.40975862710533312</v>
      </c>
      <c r="M73" s="230">
        <f t="shared" si="15"/>
        <v>2.7815437711646434</v>
      </c>
      <c r="N73" s="215">
        <f t="shared" si="16"/>
        <v>0.12688562499082728</v>
      </c>
      <c r="O73" s="230">
        <f t="shared" si="17"/>
        <v>-7.4007616692549877E-2</v>
      </c>
      <c r="P73" s="230">
        <f t="shared" si="18"/>
        <v>5.2878008298277407E-2</v>
      </c>
      <c r="Q73" s="215"/>
      <c r="R73" s="215">
        <f t="shared" si="26"/>
        <v>30</v>
      </c>
      <c r="S73" s="236">
        <f t="shared" si="27"/>
        <v>-1.3447464619457143E-3</v>
      </c>
      <c r="T73" s="237">
        <v>30</v>
      </c>
      <c r="U73" s="236">
        <f t="shared" si="28"/>
        <v>-0.32478841549970161</v>
      </c>
      <c r="V73" s="237">
        <f t="shared" si="29"/>
        <v>30</v>
      </c>
      <c r="W73" s="236">
        <f t="shared" si="30"/>
        <v>-0.32613316196164732</v>
      </c>
      <c r="X73" s="237"/>
      <c r="Y73" s="237"/>
      <c r="Z73" s="237"/>
      <c r="AA73" s="237"/>
    </row>
    <row r="74" spans="1:27">
      <c r="A74" s="30">
        <v>14</v>
      </c>
      <c r="B74" s="34">
        <f t="shared" ref="B74:B105" si="31">+$D$5*EXP(-(A74^2)/(2*$B$4^2))</f>
        <v>3.0468302553613462E-3</v>
      </c>
      <c r="C74" s="34">
        <f t="shared" si="6"/>
        <v>-6.7066487651163786E-4</v>
      </c>
      <c r="D74" s="30">
        <v>14</v>
      </c>
      <c r="E74" s="34">
        <f t="shared" ref="E74:E105" si="32">+$H$5*EXP(-(D74^2)/(2*$F$4^2))</f>
        <v>3.0468302553613462E-3</v>
      </c>
      <c r="F74" s="34">
        <f t="shared" si="8"/>
        <v>-6.7066487651163786E-4</v>
      </c>
      <c r="G74" s="35">
        <f t="shared" si="9"/>
        <v>4</v>
      </c>
      <c r="H74" s="36">
        <f t="shared" si="10"/>
        <v>2.196412480496544E-2</v>
      </c>
      <c r="I74" s="34">
        <f t="shared" si="11"/>
        <v>9.5007142503417011E-4</v>
      </c>
      <c r="J74" s="28">
        <f t="shared" si="12"/>
        <v>2.5010955060326787E-2</v>
      </c>
      <c r="K74" s="9">
        <f t="shared" si="13"/>
        <v>2.1964124804965439</v>
      </c>
      <c r="L74" s="25">
        <f t="shared" si="14"/>
        <v>0.30468302553613463</v>
      </c>
      <c r="M74" s="25">
        <f t="shared" si="15"/>
        <v>2.5010955060326787</v>
      </c>
      <c r="N74" s="198">
        <f t="shared" si="16"/>
        <v>9.5007142503417005E-2</v>
      </c>
      <c r="O74" s="203">
        <f t="shared" si="17"/>
        <v>-6.7066487651163784E-2</v>
      </c>
      <c r="P74" s="25">
        <f t="shared" si="18"/>
        <v>2.7940654852253222E-2</v>
      </c>
      <c r="R74" s="9">
        <f t="shared" si="26"/>
        <v>31</v>
      </c>
      <c r="S74" s="18">
        <f t="shared" si="27"/>
        <v>-6.8852430522043002E-4</v>
      </c>
      <c r="T74" s="10">
        <v>31</v>
      </c>
      <c r="U74" s="18">
        <f t="shared" si="28"/>
        <v>-0.20710844152466606</v>
      </c>
      <c r="V74" s="10">
        <f t="shared" si="29"/>
        <v>31</v>
      </c>
      <c r="W74" s="18">
        <f t="shared" si="30"/>
        <v>-0.20779696582988649</v>
      </c>
      <c r="AA74" s="10"/>
    </row>
    <row r="75" spans="1:27">
      <c r="A75" s="30">
        <v>15</v>
      </c>
      <c r="B75" s="34">
        <f t="shared" si="31"/>
        <v>2.2163409593685705E-3</v>
      </c>
      <c r="C75" s="34">
        <f t="shared" ref="C75:C138" si="33">+$D$5/$B$5*(1-((A75^2)/($B$4^2)))*EXP(-(A75^2)/(2*$B$4^2))</f>
        <v>-5.8190351114285909E-4</v>
      </c>
      <c r="D75" s="30">
        <v>15</v>
      </c>
      <c r="E75" s="34">
        <f t="shared" si="32"/>
        <v>2.2163409593685705E-3</v>
      </c>
      <c r="F75" s="34">
        <f t="shared" ref="F75:F138" si="34">+$H$5/$F$5*(1-((D75^2)/($F$4^2)))*EXP(-(D75^2)/(2*$F$4^2))</f>
        <v>-5.8190351114285909E-4</v>
      </c>
      <c r="G75" s="35">
        <f t="shared" ref="G75:G138" si="35">IF(OR($F$5=0,$F$6=0),A75,A75-$D$2)</f>
        <v>5</v>
      </c>
      <c r="H75" s="36">
        <f t="shared" ref="H75:H138" si="36">+$D$5*EXP(-(G75^2)/(2*$B$4^2))</f>
        <v>1.9898512885235583E-2</v>
      </c>
      <c r="I75" s="34">
        <f t="shared" ref="I75:I138" si="37">+$D$5/$B$5*(1-G75^2/($B$2^2*$B$5^2))*EXP(-(G75^2)/(2*$B$4^2))</f>
        <v>5.9868410967009662E-4</v>
      </c>
      <c r="J75" s="28">
        <f t="shared" ref="J75:J138" si="38">+H75+B75</f>
        <v>2.2114853844604154E-2</v>
      </c>
      <c r="K75" s="9">
        <f t="shared" ref="K75:K138" si="39">+H75*100</f>
        <v>1.9898512885235582</v>
      </c>
      <c r="L75" s="25">
        <f t="shared" ref="L75:L138" si="40">+E75*100</f>
        <v>0.22163409593685704</v>
      </c>
      <c r="M75" s="25">
        <f t="shared" ref="M75:M138" si="41">+IF(OR($B$5=0,$B$6=0),L75,IF(OR($F$5=0,$F$6=0),K75,K75+L75))</f>
        <v>2.2114853844604152</v>
      </c>
      <c r="N75" s="198">
        <f t="shared" ref="N75:N138" si="42">+I75*100</f>
        <v>5.9868410967009664E-2</v>
      </c>
      <c r="O75" s="203">
        <f t="shared" ref="O75:O138" si="43">+F75*100</f>
        <v>-5.8190351114285908E-2</v>
      </c>
      <c r="P75" s="25">
        <f t="shared" ref="P75:P138" si="44">+IF(OR($B$5=0,$B$6=0),O75,IF(OR($F$5=0,$F$6=0),N75,N75+O75))</f>
        <v>1.6780598527237553E-3</v>
      </c>
      <c r="R75" s="9">
        <f t="shared" si="26"/>
        <v>32</v>
      </c>
      <c r="S75" s="18">
        <f t="shared" si="27"/>
        <v>-3.4487864259477433E-4</v>
      </c>
      <c r="T75" s="10">
        <v>32</v>
      </c>
      <c r="U75" s="18">
        <f t="shared" si="28"/>
        <v>-0.12920021319949371</v>
      </c>
      <c r="V75" s="10">
        <f t="shared" si="29"/>
        <v>32</v>
      </c>
      <c r="W75" s="18">
        <f t="shared" si="30"/>
        <v>-0.12954509184208846</v>
      </c>
      <c r="AA75" s="10"/>
    </row>
    <row r="76" spans="1:27">
      <c r="A76" s="30">
        <v>16</v>
      </c>
      <c r="B76" s="34">
        <f t="shared" si="31"/>
        <v>1.5772227949052372E-3</v>
      </c>
      <c r="C76" s="34">
        <f t="shared" si="33"/>
        <v>-4.8564326935948178E-4</v>
      </c>
      <c r="D76" s="30">
        <v>16</v>
      </c>
      <c r="E76" s="34">
        <f t="shared" si="32"/>
        <v>1.5772227949052372E-3</v>
      </c>
      <c r="F76" s="34">
        <f t="shared" si="34"/>
        <v>-4.8564326935948178E-4</v>
      </c>
      <c r="G76" s="35">
        <f t="shared" si="35"/>
        <v>6</v>
      </c>
      <c r="H76" s="36">
        <f t="shared" si="36"/>
        <v>1.7635813520721411E-2</v>
      </c>
      <c r="I76" s="34">
        <f t="shared" si="37"/>
        <v>2.4675623856153424E-4</v>
      </c>
      <c r="J76" s="28">
        <f t="shared" si="38"/>
        <v>1.9213036315626649E-2</v>
      </c>
      <c r="K76" s="9">
        <f t="shared" si="39"/>
        <v>1.7635813520721411</v>
      </c>
      <c r="L76" s="25">
        <f t="shared" si="40"/>
        <v>0.15772227949052373</v>
      </c>
      <c r="M76" s="25">
        <f t="shared" si="41"/>
        <v>1.9213036315626648</v>
      </c>
      <c r="N76" s="198">
        <f t="shared" si="42"/>
        <v>2.4675623856153423E-2</v>
      </c>
      <c r="O76" s="203">
        <f t="shared" si="43"/>
        <v>-4.8564326935948178E-2</v>
      </c>
      <c r="P76" s="25">
        <f t="shared" si="44"/>
        <v>-2.3888703079794755E-2</v>
      </c>
      <c r="R76" s="9">
        <f t="shared" si="26"/>
        <v>33</v>
      </c>
      <c r="S76" s="18">
        <f t="shared" si="27"/>
        <v>-1.6899796882487885E-4</v>
      </c>
      <c r="T76" s="10">
        <v>33</v>
      </c>
      <c r="U76" s="18">
        <f t="shared" si="28"/>
        <v>-7.884911432985138E-2</v>
      </c>
      <c r="V76" s="10">
        <f t="shared" si="29"/>
        <v>33</v>
      </c>
      <c r="W76" s="18">
        <f t="shared" si="30"/>
        <v>-7.9018112298676252E-2</v>
      </c>
      <c r="AA76" s="10"/>
    </row>
    <row r="77" spans="1:27">
      <c r="A77" s="30">
        <v>17</v>
      </c>
      <c r="B77" s="34">
        <f t="shared" si="31"/>
        <v>1.0980387764468608E-3</v>
      </c>
      <c r="C77" s="34">
        <f t="shared" si="33"/>
        <v>-3.91116692662142E-4</v>
      </c>
      <c r="D77" s="30">
        <v>17</v>
      </c>
      <c r="E77" s="34">
        <f t="shared" si="32"/>
        <v>1.0980387764468608E-3</v>
      </c>
      <c r="F77" s="34">
        <f t="shared" si="34"/>
        <v>-3.91116692662142E-4</v>
      </c>
      <c r="G77" s="35">
        <f t="shared" si="35"/>
        <v>7</v>
      </c>
      <c r="H77" s="36">
        <f t="shared" si="36"/>
        <v>1.5291093182570586E-2</v>
      </c>
      <c r="I77" s="34">
        <f t="shared" si="37"/>
        <v>-7.6909933702915662E-5</v>
      </c>
      <c r="J77" s="28">
        <f t="shared" si="38"/>
        <v>1.6389131959017447E-2</v>
      </c>
      <c r="K77" s="9">
        <f t="shared" si="39"/>
        <v>1.5291093182570585</v>
      </c>
      <c r="L77" s="25">
        <f t="shared" si="40"/>
        <v>0.10980387764468608</v>
      </c>
      <c r="M77" s="25">
        <f t="shared" si="41"/>
        <v>1.6389131959017447</v>
      </c>
      <c r="N77" s="198">
        <f t="shared" si="42"/>
        <v>-7.6909933702915666E-3</v>
      </c>
      <c r="O77" s="203">
        <f t="shared" si="43"/>
        <v>-3.9111669266214198E-2</v>
      </c>
      <c r="P77" s="25">
        <f t="shared" si="44"/>
        <v>-4.6802662636505767E-2</v>
      </c>
      <c r="R77" s="9">
        <f t="shared" si="26"/>
        <v>34</v>
      </c>
      <c r="S77" s="18">
        <f t="shared" si="27"/>
        <v>-8.101488666490451E-5</v>
      </c>
      <c r="T77" s="10">
        <v>34</v>
      </c>
      <c r="U77" s="18">
        <f t="shared" si="28"/>
        <v>-4.7075893123253741E-2</v>
      </c>
      <c r="V77" s="10">
        <f t="shared" si="29"/>
        <v>34</v>
      </c>
      <c r="W77" s="18">
        <f t="shared" si="30"/>
        <v>-4.7156908009918647E-2</v>
      </c>
      <c r="AA77" s="10"/>
    </row>
    <row r="78" spans="1:27">
      <c r="A78" s="30">
        <v>18</v>
      </c>
      <c r="B78" s="34">
        <f t="shared" si="31"/>
        <v>7.4784306175714106E-4</v>
      </c>
      <c r="C78" s="34">
        <f t="shared" si="33"/>
        <v>-3.0467680293809452E-4</v>
      </c>
      <c r="D78" s="30">
        <v>18</v>
      </c>
      <c r="E78" s="34">
        <f t="shared" si="32"/>
        <v>7.4784306175714106E-4</v>
      </c>
      <c r="F78" s="34">
        <f t="shared" si="34"/>
        <v>-3.0467680293809452E-4</v>
      </c>
      <c r="G78" s="35">
        <f t="shared" si="35"/>
        <v>8</v>
      </c>
      <c r="H78" s="36">
        <f t="shared" si="36"/>
        <v>1.2970291337097047E-2</v>
      </c>
      <c r="I78" s="34">
        <f t="shared" si="37"/>
        <v>-3.4990726515259513E-4</v>
      </c>
      <c r="J78" s="28">
        <f t="shared" si="38"/>
        <v>1.3718134398854187E-2</v>
      </c>
      <c r="K78" s="9">
        <f t="shared" si="39"/>
        <v>1.2970291337097046</v>
      </c>
      <c r="L78" s="25">
        <f t="shared" si="40"/>
        <v>7.4784306175714105E-2</v>
      </c>
      <c r="M78" s="25">
        <f t="shared" si="41"/>
        <v>1.3718134398854187</v>
      </c>
      <c r="N78" s="198">
        <f t="shared" si="42"/>
        <v>-3.4990726515259515E-2</v>
      </c>
      <c r="O78" s="203">
        <f t="shared" si="43"/>
        <v>-3.0467680293809453E-2</v>
      </c>
      <c r="P78" s="25">
        <f t="shared" si="44"/>
        <v>-6.5458406809068975E-2</v>
      </c>
      <c r="R78" s="9">
        <f t="shared" si="26"/>
        <v>35</v>
      </c>
      <c r="S78" s="18">
        <f t="shared" si="27"/>
        <v>-3.7994114938062827E-5</v>
      </c>
      <c r="T78" s="10">
        <v>35</v>
      </c>
      <c r="U78" s="18">
        <f t="shared" si="28"/>
        <v>-2.7495933984103292E-2</v>
      </c>
      <c r="V78" s="10">
        <f t="shared" si="29"/>
        <v>35</v>
      </c>
      <c r="W78" s="18">
        <f t="shared" si="30"/>
        <v>-2.7533928099041354E-2</v>
      </c>
      <c r="AA78" s="10"/>
    </row>
    <row r="79" spans="1:27">
      <c r="A79" s="30">
        <v>19</v>
      </c>
      <c r="B79" s="34">
        <f t="shared" si="31"/>
        <v>4.9827766415018232E-4</v>
      </c>
      <c r="C79" s="34">
        <f t="shared" si="33"/>
        <v>-2.2997781170242069E-4</v>
      </c>
      <c r="D79" s="30">
        <v>19</v>
      </c>
      <c r="E79" s="34">
        <f t="shared" si="32"/>
        <v>4.9827766415018232E-4</v>
      </c>
      <c r="F79" s="34">
        <f t="shared" si="34"/>
        <v>-2.2997781170242069E-4</v>
      </c>
      <c r="G79" s="35">
        <f t="shared" si="35"/>
        <v>9</v>
      </c>
      <c r="H79" s="36">
        <f t="shared" si="36"/>
        <v>1.0762894597148773E-2</v>
      </c>
      <c r="I79" s="34">
        <f t="shared" si="37"/>
        <v>-5.5807601614845488E-4</v>
      </c>
      <c r="J79" s="28">
        <f t="shared" si="38"/>
        <v>1.1261172261298956E-2</v>
      </c>
      <c r="K79" s="9">
        <f t="shared" si="39"/>
        <v>1.0762894597148773</v>
      </c>
      <c r="L79" s="25">
        <f t="shared" si="40"/>
        <v>4.9827766415018231E-2</v>
      </c>
      <c r="M79" s="25">
        <f t="shared" si="41"/>
        <v>1.1261172261298955</v>
      </c>
      <c r="N79" s="198">
        <f t="shared" si="42"/>
        <v>-5.5807601614845485E-2</v>
      </c>
      <c r="O79" s="203">
        <f t="shared" si="43"/>
        <v>-2.2997781170242069E-2</v>
      </c>
      <c r="P79" s="25">
        <f t="shared" si="44"/>
        <v>-7.8805382785087558E-2</v>
      </c>
      <c r="R79" s="9">
        <f t="shared" si="26"/>
        <v>36</v>
      </c>
      <c r="S79" s="18">
        <f t="shared" si="27"/>
        <v>-1.7431549565540898E-5</v>
      </c>
      <c r="T79" s="10">
        <v>36</v>
      </c>
      <c r="U79" s="18">
        <f t="shared" si="28"/>
        <v>-1.5711098237402174E-2</v>
      </c>
      <c r="V79" s="10">
        <f t="shared" si="29"/>
        <v>36</v>
      </c>
      <c r="W79" s="18">
        <f t="shared" si="30"/>
        <v>-1.5728529786967711E-2</v>
      </c>
      <c r="AA79" s="10"/>
    </row>
    <row r="80" spans="1:27">
      <c r="A80" s="30">
        <v>20</v>
      </c>
      <c r="B80" s="34">
        <f t="shared" si="31"/>
        <v>3.247884154997016E-4</v>
      </c>
      <c r="C80" s="34">
        <f t="shared" si="33"/>
        <v>-1.6843850976669481E-4</v>
      </c>
      <c r="D80" s="30">
        <v>20</v>
      </c>
      <c r="E80" s="34">
        <f t="shared" si="32"/>
        <v>3.247884154997016E-4</v>
      </c>
      <c r="F80" s="34">
        <f t="shared" si="34"/>
        <v>-1.6843850976669481E-4</v>
      </c>
      <c r="G80" s="35">
        <f t="shared" si="35"/>
        <v>10</v>
      </c>
      <c r="H80" s="36">
        <f t="shared" si="36"/>
        <v>8.7372870216931454E-3</v>
      </c>
      <c r="I80" s="34">
        <f t="shared" si="37"/>
        <v>-6.9594668458113659E-4</v>
      </c>
      <c r="J80" s="28">
        <f t="shared" si="38"/>
        <v>9.0620754371928472E-3</v>
      </c>
      <c r="K80" s="9">
        <f t="shared" si="39"/>
        <v>0.87372870216931453</v>
      </c>
      <c r="L80" s="25">
        <f t="shared" si="40"/>
        <v>3.2478841549970161E-2</v>
      </c>
      <c r="M80" s="25">
        <f t="shared" si="41"/>
        <v>0.90620754371928469</v>
      </c>
      <c r="N80" s="198">
        <f t="shared" si="42"/>
        <v>-6.9594668458113657E-2</v>
      </c>
      <c r="O80" s="203">
        <f t="shared" si="43"/>
        <v>-1.6843850976669482E-2</v>
      </c>
      <c r="P80" s="25">
        <f t="shared" si="44"/>
        <v>-8.6438519434783145E-2</v>
      </c>
      <c r="R80" s="9">
        <f t="shared" si="26"/>
        <v>37</v>
      </c>
      <c r="S80" s="18">
        <f t="shared" si="27"/>
        <v>-7.8239094875549217E-6</v>
      </c>
      <c r="T80" s="10">
        <v>37</v>
      </c>
      <c r="U80" s="18">
        <f t="shared" si="28"/>
        <v>-8.7823910614371458E-3</v>
      </c>
      <c r="V80" s="10">
        <f t="shared" si="29"/>
        <v>37</v>
      </c>
      <c r="W80" s="18">
        <f t="shared" si="30"/>
        <v>-8.7902149709246993E-3</v>
      </c>
      <c r="AA80" s="10"/>
    </row>
    <row r="81" spans="1:27">
      <c r="A81" s="30">
        <v>21</v>
      </c>
      <c r="B81" s="34">
        <f t="shared" si="31"/>
        <v>2.0710844152466607E-4</v>
      </c>
      <c r="C81" s="34">
        <f t="shared" si="33"/>
        <v>-1.1983311472579443E-4</v>
      </c>
      <c r="D81" s="30">
        <v>21</v>
      </c>
      <c r="E81" s="34">
        <f t="shared" si="32"/>
        <v>2.0710844152466607E-4</v>
      </c>
      <c r="F81" s="34">
        <f t="shared" si="34"/>
        <v>-1.1983311472579443E-4</v>
      </c>
      <c r="G81" s="35">
        <f t="shared" si="35"/>
        <v>11</v>
      </c>
      <c r="H81" s="36">
        <f t="shared" si="36"/>
        <v>6.9389263446314898E-3</v>
      </c>
      <c r="I81" s="34">
        <f t="shared" si="37"/>
        <v>-7.6591532674624675E-4</v>
      </c>
      <c r="J81" s="28">
        <f t="shared" si="38"/>
        <v>7.1460347861561557E-3</v>
      </c>
      <c r="K81" s="9">
        <f t="shared" si="39"/>
        <v>0.69389263446314897</v>
      </c>
      <c r="L81" s="25">
        <f t="shared" si="40"/>
        <v>2.0710844152466608E-2</v>
      </c>
      <c r="M81" s="25">
        <f t="shared" si="41"/>
        <v>0.71460347861561557</v>
      </c>
      <c r="N81" s="198">
        <f t="shared" si="42"/>
        <v>-7.6591532674624679E-2</v>
      </c>
      <c r="O81" s="203">
        <f t="shared" si="43"/>
        <v>-1.1983311472579443E-2</v>
      </c>
      <c r="P81" s="25">
        <f t="shared" si="44"/>
        <v>-8.8574844147204124E-2</v>
      </c>
      <c r="R81" s="9">
        <f t="shared" si="26"/>
        <v>38</v>
      </c>
      <c r="S81" s="18">
        <f t="shared" si="27"/>
        <v>-3.4354196828064234E-6</v>
      </c>
      <c r="T81" s="10">
        <v>38</v>
      </c>
      <c r="U81" s="18">
        <f t="shared" si="28"/>
        <v>-4.8027187870904467E-3</v>
      </c>
      <c r="V81" s="10">
        <f t="shared" si="29"/>
        <v>38</v>
      </c>
      <c r="W81" s="18">
        <f t="shared" si="30"/>
        <v>-4.806154206773253E-3</v>
      </c>
      <c r="AA81" s="10"/>
    </row>
    <row r="82" spans="1:27">
      <c r="A82" s="30">
        <v>22</v>
      </c>
      <c r="B82" s="34">
        <f t="shared" si="31"/>
        <v>1.292002131994937E-4</v>
      </c>
      <c r="C82" s="34">
        <f t="shared" si="33"/>
        <v>-8.2884270287558151E-5</v>
      </c>
      <c r="D82" s="30">
        <v>22</v>
      </c>
      <c r="E82" s="34">
        <f t="shared" si="32"/>
        <v>1.292002131994937E-4</v>
      </c>
      <c r="F82" s="34">
        <f t="shared" si="34"/>
        <v>-8.2884270287558151E-5</v>
      </c>
      <c r="G82" s="35">
        <f t="shared" si="35"/>
        <v>12</v>
      </c>
      <c r="H82" s="36">
        <f t="shared" si="36"/>
        <v>5.3910841649474402E-3</v>
      </c>
      <c r="I82" s="34">
        <f t="shared" si="37"/>
        <v>-7.7649360400477529E-4</v>
      </c>
      <c r="J82" s="28">
        <f t="shared" si="38"/>
        <v>5.5202843781469342E-3</v>
      </c>
      <c r="K82" s="9">
        <f t="shared" si="39"/>
        <v>0.53910841649474406</v>
      </c>
      <c r="L82" s="25">
        <f t="shared" si="40"/>
        <v>1.2920021319949369E-2</v>
      </c>
      <c r="M82" s="25">
        <f t="shared" si="41"/>
        <v>0.55202843781469346</v>
      </c>
      <c r="N82" s="198">
        <f t="shared" si="42"/>
        <v>-7.7649360400477527E-2</v>
      </c>
      <c r="O82" s="203">
        <f t="shared" si="43"/>
        <v>-8.2884270287558147E-3</v>
      </c>
      <c r="P82" s="25">
        <f t="shared" si="44"/>
        <v>-8.5937787429233345E-2</v>
      </c>
      <c r="R82" s="9">
        <f t="shared" si="26"/>
        <v>39</v>
      </c>
      <c r="S82" s="18">
        <f t="shared" si="27"/>
        <v>-1.4757199247926278E-6</v>
      </c>
      <c r="T82" s="10">
        <v>39</v>
      </c>
      <c r="U82" s="18">
        <f t="shared" si="28"/>
        <v>-2.5693880770651461E-3</v>
      </c>
      <c r="V82" s="10">
        <f t="shared" si="29"/>
        <v>39</v>
      </c>
      <c r="W82" s="18">
        <f t="shared" si="30"/>
        <v>-2.5708637969899385E-3</v>
      </c>
      <c r="AA82" s="10"/>
    </row>
    <row r="83" spans="1:27">
      <c r="A83" s="30">
        <v>23</v>
      </c>
      <c r="B83" s="34">
        <f t="shared" si="31"/>
        <v>7.8849114329851376E-5</v>
      </c>
      <c r="C83" s="34">
        <f t="shared" si="33"/>
        <v>-5.5774842189428471E-5</v>
      </c>
      <c r="D83" s="30">
        <v>23</v>
      </c>
      <c r="E83" s="34">
        <f t="shared" si="32"/>
        <v>7.8849114329851376E-5</v>
      </c>
      <c r="F83" s="34">
        <f t="shared" si="34"/>
        <v>-5.5774842189428471E-5</v>
      </c>
      <c r="G83" s="35">
        <f t="shared" si="35"/>
        <v>13</v>
      </c>
      <c r="H83" s="36">
        <f t="shared" si="36"/>
        <v>4.0975862710533311E-3</v>
      </c>
      <c r="I83" s="34">
        <f t="shared" si="37"/>
        <v>-7.400761669254987E-4</v>
      </c>
      <c r="J83" s="28">
        <f t="shared" si="38"/>
        <v>4.1764353853831829E-3</v>
      </c>
      <c r="K83" s="9">
        <f t="shared" si="39"/>
        <v>0.40975862710533312</v>
      </c>
      <c r="L83" s="25">
        <f t="shared" si="40"/>
        <v>7.884911432985137E-3</v>
      </c>
      <c r="M83" s="25">
        <f t="shared" si="41"/>
        <v>0.41764353853831826</v>
      </c>
      <c r="N83" s="198">
        <f t="shared" si="42"/>
        <v>-7.4007616692549877E-2</v>
      </c>
      <c r="O83" s="203">
        <f t="shared" si="43"/>
        <v>-5.5774842189428471E-3</v>
      </c>
      <c r="P83" s="25">
        <f t="shared" si="44"/>
        <v>-7.958510091149272E-2</v>
      </c>
      <c r="R83" s="9">
        <f t="shared" si="26"/>
        <v>40</v>
      </c>
      <c r="S83" s="18">
        <f t="shared" si="27"/>
        <v>-6.2014927749717004E-7</v>
      </c>
      <c r="T83" s="10">
        <v>40</v>
      </c>
      <c r="U83" s="18">
        <f t="shared" si="28"/>
        <v>-1.3447464619457143E-3</v>
      </c>
      <c r="V83" s="10">
        <f t="shared" si="29"/>
        <v>40</v>
      </c>
      <c r="W83" s="18">
        <f t="shared" si="30"/>
        <v>-1.3453666112232113E-3</v>
      </c>
      <c r="AA83" s="10"/>
    </row>
    <row r="84" spans="1:27">
      <c r="A84" s="30">
        <v>24</v>
      </c>
      <c r="B84" s="34">
        <f t="shared" si="31"/>
        <v>4.7075893123253738E-5</v>
      </c>
      <c r="C84" s="34">
        <f t="shared" si="33"/>
        <v>-3.6537092358212576E-5</v>
      </c>
      <c r="D84" s="30">
        <v>24</v>
      </c>
      <c r="E84" s="34">
        <f t="shared" si="32"/>
        <v>4.7075893123253738E-5</v>
      </c>
      <c r="F84" s="34">
        <f t="shared" si="34"/>
        <v>-3.6537092358212576E-5</v>
      </c>
      <c r="G84" s="35">
        <f t="shared" si="35"/>
        <v>14</v>
      </c>
      <c r="H84" s="36">
        <f t="shared" si="36"/>
        <v>3.0468302553613462E-3</v>
      </c>
      <c r="I84" s="34">
        <f t="shared" si="37"/>
        <v>-6.7066487651163786E-4</v>
      </c>
      <c r="J84" s="28">
        <f t="shared" si="38"/>
        <v>3.0939061484846E-3</v>
      </c>
      <c r="K84" s="9">
        <f t="shared" si="39"/>
        <v>0.30468302553613463</v>
      </c>
      <c r="L84" s="25">
        <f t="shared" si="40"/>
        <v>4.7075893123253738E-3</v>
      </c>
      <c r="M84" s="25">
        <f t="shared" si="41"/>
        <v>0.30939061484846003</v>
      </c>
      <c r="N84" s="198">
        <f t="shared" si="42"/>
        <v>-6.7066487651163784E-2</v>
      </c>
      <c r="O84" s="203">
        <f t="shared" si="43"/>
        <v>-3.6537092358212577E-3</v>
      </c>
      <c r="P84" s="25">
        <f t="shared" si="44"/>
        <v>-7.072019688698504E-2</v>
      </c>
      <c r="R84" s="9">
        <f t="shared" si="26"/>
        <v>41</v>
      </c>
      <c r="S84" s="18">
        <f t="shared" si="27"/>
        <v>-2.5495098992823882E-7</v>
      </c>
      <c r="T84" s="10">
        <v>41</v>
      </c>
      <c r="U84" s="18">
        <f t="shared" si="28"/>
        <v>-6.8852430522043002E-4</v>
      </c>
      <c r="V84" s="10">
        <f t="shared" si="29"/>
        <v>41</v>
      </c>
      <c r="W84" s="18">
        <f t="shared" si="30"/>
        <v>-6.887792562103582E-4</v>
      </c>
      <c r="AA84" s="10"/>
    </row>
    <row r="85" spans="1:27">
      <c r="A85" s="30">
        <v>25</v>
      </c>
      <c r="B85" s="34">
        <f t="shared" si="31"/>
        <v>2.7495933984103291E-5</v>
      </c>
      <c r="C85" s="34">
        <f t="shared" si="33"/>
        <v>-2.3311824779755063E-5</v>
      </c>
      <c r="D85" s="30">
        <v>25</v>
      </c>
      <c r="E85" s="34">
        <f t="shared" si="32"/>
        <v>2.7495933984103291E-5</v>
      </c>
      <c r="F85" s="34">
        <f t="shared" si="34"/>
        <v>-2.3311824779755063E-5</v>
      </c>
      <c r="G85" s="35">
        <f t="shared" si="35"/>
        <v>15</v>
      </c>
      <c r="H85" s="36">
        <f t="shared" si="36"/>
        <v>2.2163409593685705E-3</v>
      </c>
      <c r="I85" s="34">
        <f t="shared" si="37"/>
        <v>-5.8190351114285909E-4</v>
      </c>
      <c r="J85" s="28">
        <f t="shared" si="38"/>
        <v>2.2438368933526739E-3</v>
      </c>
      <c r="K85" s="9">
        <f t="shared" si="39"/>
        <v>0.22163409593685704</v>
      </c>
      <c r="L85" s="25">
        <f t="shared" si="40"/>
        <v>2.7495933984103289E-3</v>
      </c>
      <c r="M85" s="25">
        <f t="shared" si="41"/>
        <v>0.22438368933526737</v>
      </c>
      <c r="N85" s="198">
        <f t="shared" si="42"/>
        <v>-5.8190351114285908E-2</v>
      </c>
      <c r="O85" s="203">
        <f t="shared" si="43"/>
        <v>-2.3311824779755062E-3</v>
      </c>
      <c r="P85" s="25">
        <f t="shared" si="44"/>
        <v>-6.0521533592261416E-2</v>
      </c>
      <c r="R85" s="9">
        <f t="shared" si="26"/>
        <v>42</v>
      </c>
      <c r="S85" s="18">
        <f t="shared" si="27"/>
        <v>-1.0253811341284479E-7</v>
      </c>
      <c r="T85" s="10">
        <v>42</v>
      </c>
      <c r="U85" s="18">
        <f t="shared" si="28"/>
        <v>-3.4487864259477433E-4</v>
      </c>
      <c r="V85" s="10">
        <f t="shared" si="29"/>
        <v>42</v>
      </c>
      <c r="W85" s="18">
        <f t="shared" si="30"/>
        <v>-3.4498118070818719E-4</v>
      </c>
      <c r="AA85" s="10"/>
    </row>
    <row r="86" spans="1:27">
      <c r="A86" s="30">
        <v>26</v>
      </c>
      <c r="B86" s="34">
        <f t="shared" si="31"/>
        <v>1.5711098237402173E-5</v>
      </c>
      <c r="C86" s="34">
        <f t="shared" si="33"/>
        <v>-1.4492715859229602E-5</v>
      </c>
      <c r="D86" s="30">
        <v>26</v>
      </c>
      <c r="E86" s="34">
        <f t="shared" si="32"/>
        <v>1.5711098237402173E-5</v>
      </c>
      <c r="F86" s="34">
        <f t="shared" si="34"/>
        <v>-1.4492715859229602E-5</v>
      </c>
      <c r="G86" s="35">
        <f t="shared" si="35"/>
        <v>16</v>
      </c>
      <c r="H86" s="36">
        <f t="shared" si="36"/>
        <v>1.5772227949052372E-3</v>
      </c>
      <c r="I86" s="34">
        <f t="shared" si="37"/>
        <v>-4.8564326935948178E-4</v>
      </c>
      <c r="J86" s="28">
        <f t="shared" si="38"/>
        <v>1.5929338931426394E-3</v>
      </c>
      <c r="K86" s="9">
        <f t="shared" si="39"/>
        <v>0.15772227949052373</v>
      </c>
      <c r="L86" s="25">
        <f t="shared" si="40"/>
        <v>1.5711098237402173E-3</v>
      </c>
      <c r="M86" s="25">
        <f t="shared" si="41"/>
        <v>0.15929338931426396</v>
      </c>
      <c r="N86" s="198">
        <f t="shared" si="42"/>
        <v>-4.8564326935948178E-2</v>
      </c>
      <c r="O86" s="203">
        <f t="shared" si="43"/>
        <v>-1.4492715859229601E-3</v>
      </c>
      <c r="P86" s="25">
        <f t="shared" si="44"/>
        <v>-5.0013598521871136E-2</v>
      </c>
      <c r="R86" s="9">
        <f t="shared" si="26"/>
        <v>43</v>
      </c>
      <c r="S86" s="18">
        <f t="shared" si="27"/>
        <v>-4.0344292348816811E-8</v>
      </c>
      <c r="T86" s="10">
        <v>43</v>
      </c>
      <c r="U86" s="18">
        <f t="shared" si="28"/>
        <v>-1.6899796882487885E-4</v>
      </c>
      <c r="V86" s="10">
        <f t="shared" si="29"/>
        <v>43</v>
      </c>
      <c r="W86" s="18">
        <f t="shared" si="30"/>
        <v>-1.6903831311722767E-4</v>
      </c>
      <c r="AA86" s="10"/>
    </row>
    <row r="87" spans="1:27">
      <c r="A87" s="30">
        <v>27</v>
      </c>
      <c r="B87" s="34">
        <f t="shared" si="31"/>
        <v>8.7823910614371457E-6</v>
      </c>
      <c r="C87" s="34">
        <f t="shared" si="33"/>
        <v>-8.7823910614371457E-6</v>
      </c>
      <c r="D87" s="30">
        <v>27</v>
      </c>
      <c r="E87" s="34">
        <f t="shared" si="32"/>
        <v>8.7823910614371457E-6</v>
      </c>
      <c r="F87" s="34">
        <f t="shared" si="34"/>
        <v>-8.7823910614371457E-6</v>
      </c>
      <c r="G87" s="35">
        <f t="shared" si="35"/>
        <v>17</v>
      </c>
      <c r="H87" s="36">
        <f t="shared" si="36"/>
        <v>1.0980387764468608E-3</v>
      </c>
      <c r="I87" s="34">
        <f t="shared" si="37"/>
        <v>-3.91116692662142E-4</v>
      </c>
      <c r="J87" s="28">
        <f t="shared" si="38"/>
        <v>1.1068211675082978E-3</v>
      </c>
      <c r="K87" s="9">
        <f t="shared" si="39"/>
        <v>0.10980387764468608</v>
      </c>
      <c r="L87" s="25">
        <f t="shared" si="40"/>
        <v>8.7823910614371454E-4</v>
      </c>
      <c r="M87" s="25">
        <f t="shared" si="41"/>
        <v>0.11068211675082978</v>
      </c>
      <c r="N87" s="198">
        <f t="shared" si="42"/>
        <v>-3.9111669266214198E-2</v>
      </c>
      <c r="O87" s="203">
        <f t="shared" si="43"/>
        <v>-8.7823910614371454E-4</v>
      </c>
      <c r="P87" s="25">
        <f t="shared" si="44"/>
        <v>-3.9989908372357913E-2</v>
      </c>
      <c r="R87" s="9">
        <f t="shared" si="26"/>
        <v>44</v>
      </c>
      <c r="S87" s="18">
        <f t="shared" si="27"/>
        <v>-1.5529126985413633E-8</v>
      </c>
      <c r="T87" s="10">
        <v>44</v>
      </c>
      <c r="U87" s="18">
        <f t="shared" si="28"/>
        <v>-8.101488666490451E-5</v>
      </c>
      <c r="V87" s="10">
        <f t="shared" si="29"/>
        <v>44</v>
      </c>
      <c r="W87" s="18">
        <f t="shared" si="30"/>
        <v>-8.103041579188992E-5</v>
      </c>
      <c r="AA87" s="10"/>
    </row>
    <row r="88" spans="1:27">
      <c r="A88" s="30">
        <v>28</v>
      </c>
      <c r="B88" s="34">
        <f t="shared" si="31"/>
        <v>4.8027187870904464E-6</v>
      </c>
      <c r="C88" s="34">
        <f t="shared" si="33"/>
        <v>-5.1892201618174325E-6</v>
      </c>
      <c r="D88" s="30">
        <v>28</v>
      </c>
      <c r="E88" s="34">
        <f t="shared" si="32"/>
        <v>4.8027187870904464E-6</v>
      </c>
      <c r="F88" s="34">
        <f t="shared" si="34"/>
        <v>-5.1892201618174325E-6</v>
      </c>
      <c r="G88" s="35">
        <f t="shared" si="35"/>
        <v>18</v>
      </c>
      <c r="H88" s="36">
        <f t="shared" si="36"/>
        <v>7.4784306175714106E-4</v>
      </c>
      <c r="I88" s="34">
        <f t="shared" si="37"/>
        <v>-3.0467680293809452E-4</v>
      </c>
      <c r="J88" s="28">
        <f t="shared" si="38"/>
        <v>7.5264578054423149E-4</v>
      </c>
      <c r="K88" s="9">
        <f t="shared" si="39"/>
        <v>7.4784306175714105E-2</v>
      </c>
      <c r="L88" s="25">
        <f t="shared" si="40"/>
        <v>4.8027187870904465E-4</v>
      </c>
      <c r="M88" s="25">
        <f t="shared" si="41"/>
        <v>7.5264578054423145E-2</v>
      </c>
      <c r="N88" s="198">
        <f t="shared" si="42"/>
        <v>-3.0467680293809453E-2</v>
      </c>
      <c r="O88" s="203">
        <f t="shared" si="43"/>
        <v>-5.1892201618174323E-4</v>
      </c>
      <c r="P88" s="25">
        <f t="shared" si="44"/>
        <v>-3.0986602309991194E-2</v>
      </c>
      <c r="R88" s="9">
        <f t="shared" si="26"/>
        <v>45</v>
      </c>
      <c r="S88" s="18">
        <f t="shared" si="27"/>
        <v>-5.8476334256692369E-9</v>
      </c>
      <c r="T88" s="10">
        <v>45</v>
      </c>
      <c r="U88" s="18">
        <f t="shared" si="28"/>
        <v>-3.7994114938062827E-5</v>
      </c>
      <c r="V88" s="10">
        <f t="shared" si="29"/>
        <v>45</v>
      </c>
      <c r="W88" s="18">
        <f t="shared" si="30"/>
        <v>-3.7999962571488499E-5</v>
      </c>
      <c r="AA88" s="10"/>
    </row>
    <row r="89" spans="1:27">
      <c r="A89" s="30">
        <v>29</v>
      </c>
      <c r="B89" s="34">
        <f t="shared" si="31"/>
        <v>2.5693880770651459E-6</v>
      </c>
      <c r="C89" s="34">
        <f t="shared" si="33"/>
        <v>-2.9904528629911394E-6</v>
      </c>
      <c r="D89" s="30">
        <v>29</v>
      </c>
      <c r="E89" s="34">
        <f t="shared" si="32"/>
        <v>2.5693880770651459E-6</v>
      </c>
      <c r="F89" s="34">
        <f t="shared" si="34"/>
        <v>-2.9904528629911394E-6</v>
      </c>
      <c r="G89" s="35">
        <f t="shared" si="35"/>
        <v>19</v>
      </c>
      <c r="H89" s="36">
        <f t="shared" si="36"/>
        <v>4.9827766415018232E-4</v>
      </c>
      <c r="I89" s="34">
        <f t="shared" si="37"/>
        <v>-2.2997781170242069E-4</v>
      </c>
      <c r="J89" s="28">
        <f t="shared" si="38"/>
        <v>5.0084705222724749E-4</v>
      </c>
      <c r="K89" s="9">
        <f t="shared" si="39"/>
        <v>4.9827766415018231E-2</v>
      </c>
      <c r="L89" s="25">
        <f t="shared" si="40"/>
        <v>2.5693880770651459E-4</v>
      </c>
      <c r="M89" s="25">
        <f t="shared" si="41"/>
        <v>5.0084705222724749E-2</v>
      </c>
      <c r="N89" s="198">
        <f t="shared" si="42"/>
        <v>-2.2997781170242069E-2</v>
      </c>
      <c r="O89" s="203">
        <f t="shared" si="43"/>
        <v>-2.9904528629911393E-4</v>
      </c>
      <c r="P89" s="25">
        <f t="shared" si="44"/>
        <v>-2.3296826456541183E-2</v>
      </c>
      <c r="R89" s="9">
        <f t="shared" si="26"/>
        <v>46</v>
      </c>
      <c r="S89" s="18">
        <f t="shared" si="27"/>
        <v>-2.154177066404679E-9</v>
      </c>
      <c r="T89" s="10">
        <v>46</v>
      </c>
      <c r="U89" s="18">
        <f t="shared" si="28"/>
        <v>-1.7431549565540898E-5</v>
      </c>
      <c r="V89" s="10">
        <f t="shared" si="29"/>
        <v>46</v>
      </c>
      <c r="W89" s="18">
        <f t="shared" si="30"/>
        <v>-1.7433703742607304E-5</v>
      </c>
      <c r="AA89" s="10"/>
    </row>
    <row r="90" spans="1:27">
      <c r="A90" s="30">
        <v>30</v>
      </c>
      <c r="B90" s="34">
        <f t="shared" si="31"/>
        <v>1.3447464619457143E-6</v>
      </c>
      <c r="C90" s="34">
        <f t="shared" si="33"/>
        <v>-1.6812097742350124E-6</v>
      </c>
      <c r="D90" s="30">
        <v>30</v>
      </c>
      <c r="E90" s="34">
        <f t="shared" si="32"/>
        <v>1.3447464619457143E-6</v>
      </c>
      <c r="F90" s="34">
        <f t="shared" si="34"/>
        <v>-1.6812097742350124E-6</v>
      </c>
      <c r="G90" s="35">
        <f t="shared" si="35"/>
        <v>20</v>
      </c>
      <c r="H90" s="36">
        <f t="shared" si="36"/>
        <v>3.247884154997016E-4</v>
      </c>
      <c r="I90" s="34">
        <f t="shared" si="37"/>
        <v>-1.6843850976669481E-4</v>
      </c>
      <c r="J90" s="28">
        <f t="shared" si="38"/>
        <v>3.2613316196164732E-4</v>
      </c>
      <c r="K90" s="9">
        <f t="shared" si="39"/>
        <v>3.2478841549970161E-2</v>
      </c>
      <c r="L90" s="25">
        <f t="shared" si="40"/>
        <v>1.3447464619457142E-4</v>
      </c>
      <c r="M90" s="25">
        <f t="shared" si="41"/>
        <v>3.2613316196164734E-2</v>
      </c>
      <c r="N90" s="198">
        <f t="shared" si="42"/>
        <v>-1.6843850976669482E-2</v>
      </c>
      <c r="O90" s="203">
        <f t="shared" si="43"/>
        <v>-1.6812097742350125E-4</v>
      </c>
      <c r="P90" s="25">
        <f t="shared" si="44"/>
        <v>-1.7011971954092982E-2</v>
      </c>
      <c r="R90" s="9">
        <f t="shared" si="26"/>
        <v>47</v>
      </c>
      <c r="S90" s="18">
        <f t="shared" si="27"/>
        <v>-7.7633794862141241E-10</v>
      </c>
      <c r="T90" s="10">
        <v>47</v>
      </c>
      <c r="U90" s="18">
        <f t="shared" si="28"/>
        <v>-7.8239094875549217E-6</v>
      </c>
      <c r="V90" s="10">
        <f t="shared" si="29"/>
        <v>47</v>
      </c>
      <c r="W90" s="18">
        <f t="shared" si="30"/>
        <v>-7.8246858255035454E-6</v>
      </c>
      <c r="AA90" s="10"/>
    </row>
    <row r="91" spans="1:27">
      <c r="A91" s="30">
        <v>31</v>
      </c>
      <c r="B91" s="34">
        <f t="shared" si="31"/>
        <v>6.8852430522042997E-7</v>
      </c>
      <c r="C91" s="34">
        <f t="shared" si="33"/>
        <v>-9.2225107439996686E-7</v>
      </c>
      <c r="D91" s="30">
        <v>31</v>
      </c>
      <c r="E91" s="34">
        <f t="shared" si="32"/>
        <v>6.8852430522042997E-7</v>
      </c>
      <c r="F91" s="34">
        <f t="shared" si="34"/>
        <v>-9.2225107439996686E-7</v>
      </c>
      <c r="G91" s="35">
        <f t="shared" si="35"/>
        <v>21</v>
      </c>
      <c r="H91" s="36">
        <f t="shared" si="36"/>
        <v>2.0710844152466607E-4</v>
      </c>
      <c r="I91" s="34">
        <f t="shared" si="37"/>
        <v>-1.1983311472579443E-4</v>
      </c>
      <c r="J91" s="28">
        <f t="shared" si="38"/>
        <v>2.077969658298865E-4</v>
      </c>
      <c r="K91" s="9">
        <f t="shared" si="39"/>
        <v>2.0710844152466608E-2</v>
      </c>
      <c r="L91" s="25">
        <f t="shared" si="40"/>
        <v>6.8852430522042994E-5</v>
      </c>
      <c r="M91" s="25">
        <f t="shared" si="41"/>
        <v>2.0779696582988651E-2</v>
      </c>
      <c r="N91" s="198">
        <f t="shared" si="42"/>
        <v>-1.1983311472579443E-2</v>
      </c>
      <c r="O91" s="203">
        <f t="shared" si="43"/>
        <v>-9.2225107439996684E-5</v>
      </c>
      <c r="P91" s="25">
        <f t="shared" si="44"/>
        <v>-1.207553658001944E-2</v>
      </c>
      <c r="R91" s="9">
        <f t="shared" si="26"/>
        <v>48</v>
      </c>
      <c r="S91" s="18">
        <f t="shared" si="27"/>
        <v>-2.7370856821612071E-10</v>
      </c>
      <c r="T91" s="10">
        <v>48</v>
      </c>
      <c r="U91" s="18">
        <f t="shared" si="28"/>
        <v>-3.4354196828064234E-6</v>
      </c>
      <c r="V91" s="10">
        <f t="shared" si="29"/>
        <v>48</v>
      </c>
      <c r="W91" s="18">
        <f t="shared" si="30"/>
        <v>-3.4356933913746395E-6</v>
      </c>
      <c r="AA91" s="10"/>
    </row>
    <row r="92" spans="1:27">
      <c r="A92" s="30">
        <v>32</v>
      </c>
      <c r="B92" s="34">
        <f t="shared" si="31"/>
        <v>3.4487864259477436E-7</v>
      </c>
      <c r="C92" s="34">
        <f t="shared" si="33"/>
        <v>-4.9374258343129332E-7</v>
      </c>
      <c r="D92" s="30">
        <v>32</v>
      </c>
      <c r="E92" s="34">
        <f t="shared" si="32"/>
        <v>3.4487864259477436E-7</v>
      </c>
      <c r="F92" s="34">
        <f t="shared" si="34"/>
        <v>-4.9374258343129332E-7</v>
      </c>
      <c r="G92" s="35">
        <f t="shared" si="35"/>
        <v>22</v>
      </c>
      <c r="H92" s="36">
        <f t="shared" si="36"/>
        <v>1.292002131994937E-4</v>
      </c>
      <c r="I92" s="34">
        <f t="shared" si="37"/>
        <v>-8.2884270287558151E-5</v>
      </c>
      <c r="J92" s="28">
        <f t="shared" si="38"/>
        <v>1.2954509184208847E-4</v>
      </c>
      <c r="K92" s="9">
        <f t="shared" si="39"/>
        <v>1.2920021319949369E-2</v>
      </c>
      <c r="L92" s="25">
        <f t="shared" si="40"/>
        <v>3.4487864259477438E-5</v>
      </c>
      <c r="M92" s="25">
        <f t="shared" si="41"/>
        <v>1.2954509184208847E-2</v>
      </c>
      <c r="N92" s="198">
        <f t="shared" si="42"/>
        <v>-8.2884270287558147E-3</v>
      </c>
      <c r="O92" s="203">
        <f t="shared" si="43"/>
        <v>-4.9374258343129331E-5</v>
      </c>
      <c r="P92" s="25">
        <f t="shared" si="44"/>
        <v>-8.3378012870989442E-3</v>
      </c>
      <c r="R92" s="9">
        <f t="shared" si="26"/>
        <v>49</v>
      </c>
      <c r="S92" s="18">
        <f t="shared" si="27"/>
        <v>-9.4404811525977149E-11</v>
      </c>
      <c r="T92" s="10">
        <v>49</v>
      </c>
      <c r="U92" s="18">
        <f t="shared" si="28"/>
        <v>-1.4757199247926278E-6</v>
      </c>
      <c r="V92" s="10">
        <f t="shared" si="29"/>
        <v>49</v>
      </c>
      <c r="W92" s="18">
        <f t="shared" si="30"/>
        <v>-1.4758143296041538E-6</v>
      </c>
      <c r="AA92" s="10"/>
    </row>
    <row r="93" spans="1:27">
      <c r="A93" s="30">
        <v>33</v>
      </c>
      <c r="B93" s="34">
        <f t="shared" si="31"/>
        <v>1.6899796882487886E-7</v>
      </c>
      <c r="C93" s="34">
        <f t="shared" si="33"/>
        <v>-2.5801747503716069E-7</v>
      </c>
      <c r="D93" s="30">
        <v>33</v>
      </c>
      <c r="E93" s="34">
        <f t="shared" si="32"/>
        <v>1.6899796882487886E-7</v>
      </c>
      <c r="F93" s="34">
        <f t="shared" si="34"/>
        <v>-2.5801747503716069E-7</v>
      </c>
      <c r="G93" s="35">
        <f t="shared" si="35"/>
        <v>23</v>
      </c>
      <c r="H93" s="36">
        <f t="shared" si="36"/>
        <v>7.8849114329851376E-5</v>
      </c>
      <c r="I93" s="34">
        <f t="shared" si="37"/>
        <v>-5.5774842189428471E-5</v>
      </c>
      <c r="J93" s="28">
        <f t="shared" si="38"/>
        <v>7.9018112298676253E-5</v>
      </c>
      <c r="K93" s="9">
        <f t="shared" si="39"/>
        <v>7.884911432985137E-3</v>
      </c>
      <c r="L93" s="25">
        <f t="shared" si="40"/>
        <v>1.6899796882487886E-5</v>
      </c>
      <c r="M93" s="25">
        <f t="shared" si="41"/>
        <v>7.9018112298676248E-3</v>
      </c>
      <c r="N93" s="198">
        <f t="shared" si="42"/>
        <v>-5.5774842189428471E-3</v>
      </c>
      <c r="O93" s="203">
        <f t="shared" si="43"/>
        <v>-2.580174750371607E-5</v>
      </c>
      <c r="P93" s="25">
        <f t="shared" si="44"/>
        <v>-5.6032859664465629E-3</v>
      </c>
      <c r="R93" s="9">
        <f t="shared" si="26"/>
        <v>50</v>
      </c>
      <c r="S93" s="18">
        <f t="shared" si="27"/>
        <v>-3.1854297055587743E-11</v>
      </c>
      <c r="T93" s="10">
        <v>50</v>
      </c>
      <c r="U93" s="18">
        <f t="shared" si="28"/>
        <v>-6.2014927749717004E-7</v>
      </c>
      <c r="V93" s="10">
        <f t="shared" si="29"/>
        <v>50</v>
      </c>
      <c r="W93" s="18">
        <f t="shared" si="30"/>
        <v>-6.2018113179422559E-7</v>
      </c>
      <c r="AA93" s="10"/>
    </row>
    <row r="94" spans="1:27">
      <c r="A94" s="30">
        <v>34</v>
      </c>
      <c r="B94" s="34">
        <f t="shared" si="31"/>
        <v>8.1014886664904516E-8</v>
      </c>
      <c r="C94" s="34">
        <f t="shared" si="33"/>
        <v>-1.3163159500460528E-7</v>
      </c>
      <c r="D94" s="30">
        <v>34</v>
      </c>
      <c r="E94" s="34">
        <f t="shared" si="32"/>
        <v>8.1014886664904516E-8</v>
      </c>
      <c r="F94" s="34">
        <f t="shared" si="34"/>
        <v>-1.3163159500460528E-7</v>
      </c>
      <c r="G94" s="35">
        <f t="shared" si="35"/>
        <v>24</v>
      </c>
      <c r="H94" s="36">
        <f t="shared" si="36"/>
        <v>4.7075893123253738E-5</v>
      </c>
      <c r="I94" s="34">
        <f t="shared" si="37"/>
        <v>-3.6537092358212576E-5</v>
      </c>
      <c r="J94" s="28">
        <f t="shared" si="38"/>
        <v>4.7156908009918645E-5</v>
      </c>
      <c r="K94" s="9">
        <f t="shared" si="39"/>
        <v>4.7075893123253738E-3</v>
      </c>
      <c r="L94" s="25">
        <f t="shared" si="40"/>
        <v>8.101488666490452E-6</v>
      </c>
      <c r="M94" s="25">
        <f t="shared" si="41"/>
        <v>4.7156908009918638E-3</v>
      </c>
      <c r="N94" s="198">
        <f t="shared" si="42"/>
        <v>-3.6537092358212577E-3</v>
      </c>
      <c r="O94" s="203">
        <f t="shared" si="43"/>
        <v>-1.3163159500460527E-5</v>
      </c>
      <c r="P94" s="25">
        <f t="shared" si="44"/>
        <v>-3.6668723953217183E-3</v>
      </c>
      <c r="R94" s="9">
        <f t="shared" si="26"/>
        <v>51</v>
      </c>
      <c r="S94" s="18">
        <f t="shared" si="27"/>
        <v>-1.0515019476744E-11</v>
      </c>
      <c r="T94" s="10">
        <v>51</v>
      </c>
      <c r="U94" s="18">
        <f t="shared" si="28"/>
        <v>-2.5495098992823882E-7</v>
      </c>
      <c r="V94" s="10">
        <f t="shared" si="29"/>
        <v>51</v>
      </c>
      <c r="W94" s="18">
        <f t="shared" si="30"/>
        <v>-2.5496150494771558E-7</v>
      </c>
      <c r="AA94" s="10"/>
    </row>
    <row r="95" spans="1:27">
      <c r="A95" s="30">
        <v>35</v>
      </c>
      <c r="B95" s="34">
        <f t="shared" si="31"/>
        <v>3.799411493806283E-8</v>
      </c>
      <c r="C95" s="34">
        <f t="shared" si="33"/>
        <v>-6.5568078920547202E-8</v>
      </c>
      <c r="D95" s="30">
        <v>35</v>
      </c>
      <c r="E95" s="34">
        <f t="shared" si="32"/>
        <v>3.799411493806283E-8</v>
      </c>
      <c r="F95" s="34">
        <f t="shared" si="34"/>
        <v>-6.5568078920547202E-8</v>
      </c>
      <c r="G95" s="35">
        <f t="shared" si="35"/>
        <v>25</v>
      </c>
      <c r="H95" s="36">
        <f t="shared" si="36"/>
        <v>2.7495933984103291E-5</v>
      </c>
      <c r="I95" s="34">
        <f t="shared" si="37"/>
        <v>-2.3311824779755063E-5</v>
      </c>
      <c r="J95" s="28">
        <f t="shared" si="38"/>
        <v>2.7533928099041354E-5</v>
      </c>
      <c r="K95" s="9">
        <f t="shared" si="39"/>
        <v>2.7495933984103289E-3</v>
      </c>
      <c r="L95" s="25">
        <f t="shared" si="40"/>
        <v>3.7994114938062831E-6</v>
      </c>
      <c r="M95" s="25">
        <f t="shared" si="41"/>
        <v>2.753392809904135E-3</v>
      </c>
      <c r="N95" s="198">
        <f t="shared" si="42"/>
        <v>-2.3311824779755062E-3</v>
      </c>
      <c r="O95" s="203">
        <f t="shared" si="43"/>
        <v>-6.5568078920547199E-6</v>
      </c>
      <c r="P95" s="25">
        <f t="shared" si="44"/>
        <v>-2.3377392858675611E-3</v>
      </c>
      <c r="R95" s="9">
        <f t="shared" si="26"/>
        <v>52</v>
      </c>
      <c r="S95" s="18">
        <f t="shared" si="27"/>
        <v>-3.3956294904634095E-12</v>
      </c>
      <c r="T95" s="10">
        <v>52</v>
      </c>
      <c r="U95" s="18">
        <f t="shared" si="28"/>
        <v>-1.0253811341284479E-7</v>
      </c>
      <c r="V95" s="10">
        <f t="shared" si="29"/>
        <v>52</v>
      </c>
      <c r="W95" s="18">
        <f t="shared" si="30"/>
        <v>-1.0254150904233525E-7</v>
      </c>
      <c r="AA95" s="10"/>
    </row>
    <row r="96" spans="1:27">
      <c r="A96" s="30">
        <v>36</v>
      </c>
      <c r="B96" s="34">
        <f t="shared" si="31"/>
        <v>1.7431549565540899E-8</v>
      </c>
      <c r="C96" s="34">
        <f t="shared" si="33"/>
        <v>-3.189327957547112E-8</v>
      </c>
      <c r="D96" s="30">
        <v>36</v>
      </c>
      <c r="E96" s="34">
        <f t="shared" si="32"/>
        <v>1.7431549565540899E-8</v>
      </c>
      <c r="F96" s="34">
        <f t="shared" si="34"/>
        <v>-3.189327957547112E-8</v>
      </c>
      <c r="G96" s="35">
        <f t="shared" si="35"/>
        <v>26</v>
      </c>
      <c r="H96" s="36">
        <f t="shared" si="36"/>
        <v>1.5711098237402173E-5</v>
      </c>
      <c r="I96" s="34">
        <f t="shared" si="37"/>
        <v>-1.4492715859229602E-5</v>
      </c>
      <c r="J96" s="28">
        <f t="shared" si="38"/>
        <v>1.5728529786967713E-5</v>
      </c>
      <c r="K96" s="9">
        <f t="shared" si="39"/>
        <v>1.5711098237402173E-3</v>
      </c>
      <c r="L96" s="25">
        <f t="shared" si="40"/>
        <v>1.74315495655409E-6</v>
      </c>
      <c r="M96" s="25">
        <f t="shared" si="41"/>
        <v>1.5728529786967714E-3</v>
      </c>
      <c r="N96" s="198">
        <f t="shared" si="42"/>
        <v>-1.4492715859229601E-3</v>
      </c>
      <c r="O96" s="203">
        <f t="shared" si="43"/>
        <v>-3.1893279575471119E-6</v>
      </c>
      <c r="P96" s="25">
        <f t="shared" si="44"/>
        <v>-1.4524609138805073E-3</v>
      </c>
      <c r="R96" s="9">
        <f t="shared" si="26"/>
        <v>53</v>
      </c>
      <c r="S96" s="18">
        <f t="shared" si="27"/>
        <v>-1.0727503662088742E-12</v>
      </c>
      <c r="T96" s="10">
        <v>53</v>
      </c>
      <c r="U96" s="18">
        <f t="shared" si="28"/>
        <v>-4.0344292348816811E-8</v>
      </c>
      <c r="V96" s="10">
        <f t="shared" si="29"/>
        <v>53</v>
      </c>
      <c r="W96" s="18">
        <f t="shared" si="30"/>
        <v>-4.0345365099183021E-8</v>
      </c>
      <c r="AA96" s="10"/>
    </row>
    <row r="97" spans="1:27">
      <c r="A97" s="30">
        <v>37</v>
      </c>
      <c r="B97" s="34">
        <f t="shared" si="31"/>
        <v>7.8239094875549225E-9</v>
      </c>
      <c r="C97" s="34">
        <f t="shared" si="33"/>
        <v>-1.515055175116374E-8</v>
      </c>
      <c r="D97" s="30">
        <v>37</v>
      </c>
      <c r="E97" s="34">
        <f t="shared" si="32"/>
        <v>7.8239094875549225E-9</v>
      </c>
      <c r="F97" s="34">
        <f t="shared" si="34"/>
        <v>-1.515055175116374E-8</v>
      </c>
      <c r="G97" s="35">
        <f t="shared" si="35"/>
        <v>27</v>
      </c>
      <c r="H97" s="36">
        <f t="shared" si="36"/>
        <v>8.7823910614371457E-6</v>
      </c>
      <c r="I97" s="34">
        <f t="shared" si="37"/>
        <v>-8.7823910614371457E-6</v>
      </c>
      <c r="J97" s="28">
        <f t="shared" si="38"/>
        <v>8.7902149709247E-6</v>
      </c>
      <c r="K97" s="9">
        <f t="shared" si="39"/>
        <v>8.7823910614371454E-4</v>
      </c>
      <c r="L97" s="25">
        <f t="shared" si="40"/>
        <v>7.823909487554923E-7</v>
      </c>
      <c r="M97" s="25">
        <f t="shared" si="41"/>
        <v>8.7902149709247006E-4</v>
      </c>
      <c r="N97" s="198">
        <f t="shared" si="42"/>
        <v>-8.7823910614371454E-4</v>
      </c>
      <c r="O97" s="203">
        <f t="shared" si="43"/>
        <v>-1.5150551751163741E-6</v>
      </c>
      <c r="P97" s="25">
        <f t="shared" si="44"/>
        <v>-8.7975416131883086E-4</v>
      </c>
      <c r="R97" s="9">
        <f t="shared" si="26"/>
        <v>54</v>
      </c>
      <c r="S97" s="18">
        <f t="shared" si="27"/>
        <v>-3.3154707877399343E-13</v>
      </c>
      <c r="T97" s="10">
        <v>54</v>
      </c>
      <c r="U97" s="18">
        <f t="shared" si="28"/>
        <v>-1.5529126985413633E-8</v>
      </c>
      <c r="V97" s="10">
        <f t="shared" si="29"/>
        <v>54</v>
      </c>
      <c r="W97" s="18">
        <f t="shared" si="30"/>
        <v>-1.5529458532492407E-8</v>
      </c>
      <c r="AA97" s="10"/>
    </row>
    <row r="98" spans="1:27">
      <c r="A98" s="30">
        <v>38</v>
      </c>
      <c r="B98" s="34">
        <f t="shared" si="31"/>
        <v>3.4354196828064236E-9</v>
      </c>
      <c r="C98" s="34">
        <f t="shared" si="33"/>
        <v>-7.0294938639957685E-9</v>
      </c>
      <c r="D98" s="30">
        <v>38</v>
      </c>
      <c r="E98" s="34">
        <f t="shared" si="32"/>
        <v>3.4354196828064236E-9</v>
      </c>
      <c r="F98" s="34">
        <f t="shared" si="34"/>
        <v>-7.0294938639957685E-9</v>
      </c>
      <c r="G98" s="35">
        <f t="shared" si="35"/>
        <v>28</v>
      </c>
      <c r="H98" s="36">
        <f t="shared" si="36"/>
        <v>4.8027187870904464E-6</v>
      </c>
      <c r="I98" s="34">
        <f t="shared" si="37"/>
        <v>-5.1892201618174325E-6</v>
      </c>
      <c r="J98" s="28">
        <f t="shared" si="38"/>
        <v>4.8061542067732529E-6</v>
      </c>
      <c r="K98" s="9">
        <f t="shared" si="39"/>
        <v>4.8027187870904465E-4</v>
      </c>
      <c r="L98" s="25">
        <f t="shared" si="40"/>
        <v>3.4354196828064235E-7</v>
      </c>
      <c r="M98" s="25">
        <f t="shared" si="41"/>
        <v>4.8061542067732527E-4</v>
      </c>
      <c r="N98" s="198">
        <f t="shared" si="42"/>
        <v>-5.1892201618174323E-4</v>
      </c>
      <c r="O98" s="203">
        <f t="shared" si="43"/>
        <v>-7.0294938639957686E-7</v>
      </c>
      <c r="P98" s="25">
        <f t="shared" si="44"/>
        <v>-5.196249655681428E-4</v>
      </c>
      <c r="R98" s="9">
        <f t="shared" si="26"/>
        <v>55</v>
      </c>
      <c r="S98" s="18">
        <f t="shared" si="27"/>
        <v>-1.0024434893529742E-13</v>
      </c>
      <c r="T98" s="10">
        <v>55</v>
      </c>
      <c r="U98" s="18">
        <f t="shared" si="28"/>
        <v>-5.8476334256692369E-9</v>
      </c>
      <c r="V98" s="10">
        <f t="shared" si="29"/>
        <v>55</v>
      </c>
      <c r="W98" s="18">
        <f t="shared" si="30"/>
        <v>-5.847733670018172E-9</v>
      </c>
      <c r="AA98" s="10"/>
    </row>
    <row r="99" spans="1:27">
      <c r="A99" s="30">
        <v>39</v>
      </c>
      <c r="B99" s="34">
        <f t="shared" si="31"/>
        <v>1.4757199247926278E-9</v>
      </c>
      <c r="C99" s="34">
        <f t="shared" si="33"/>
        <v>-3.1858546195317385E-9</v>
      </c>
      <c r="D99" s="30">
        <v>39</v>
      </c>
      <c r="E99" s="34">
        <f t="shared" si="32"/>
        <v>1.4757199247926278E-9</v>
      </c>
      <c r="F99" s="34">
        <f t="shared" si="34"/>
        <v>-3.1858546195317385E-9</v>
      </c>
      <c r="G99" s="35">
        <f t="shared" si="35"/>
        <v>29</v>
      </c>
      <c r="H99" s="36">
        <f t="shared" si="36"/>
        <v>2.5693880770651459E-6</v>
      </c>
      <c r="I99" s="34">
        <f t="shared" si="37"/>
        <v>-2.9904528629911394E-6</v>
      </c>
      <c r="J99" s="28">
        <f t="shared" si="38"/>
        <v>2.5708637969899386E-6</v>
      </c>
      <c r="K99" s="9">
        <f t="shared" si="39"/>
        <v>2.5693880770651459E-4</v>
      </c>
      <c r="L99" s="25">
        <f t="shared" si="40"/>
        <v>1.4757199247926277E-7</v>
      </c>
      <c r="M99" s="25">
        <f t="shared" si="41"/>
        <v>2.5708637969899383E-4</v>
      </c>
      <c r="N99" s="198">
        <f t="shared" si="42"/>
        <v>-2.9904528629911393E-4</v>
      </c>
      <c r="O99" s="203">
        <f t="shared" si="43"/>
        <v>-3.1858546195317385E-7</v>
      </c>
      <c r="P99" s="25">
        <f t="shared" si="44"/>
        <v>-2.9936387176106712E-4</v>
      </c>
      <c r="R99" s="9">
        <f t="shared" si="26"/>
        <v>56</v>
      </c>
      <c r="S99" s="18">
        <f t="shared" si="27"/>
        <v>-2.9651232681280521E-14</v>
      </c>
      <c r="T99" s="10">
        <v>56</v>
      </c>
      <c r="U99" s="18">
        <f t="shared" si="28"/>
        <v>-2.154177066404679E-9</v>
      </c>
      <c r="V99" s="10">
        <f t="shared" si="29"/>
        <v>56</v>
      </c>
      <c r="W99" s="18">
        <f t="shared" si="30"/>
        <v>-2.1542067176373604E-9</v>
      </c>
      <c r="AA99" s="10"/>
    </row>
    <row r="100" spans="1:27">
      <c r="A100" s="30">
        <v>40</v>
      </c>
      <c r="B100" s="34">
        <f t="shared" si="31"/>
        <v>6.2014927749717002E-10</v>
      </c>
      <c r="C100" s="34">
        <f t="shared" si="33"/>
        <v>-1.4104922433134078E-9</v>
      </c>
      <c r="D100" s="30">
        <v>40</v>
      </c>
      <c r="E100" s="34">
        <f t="shared" si="32"/>
        <v>6.2014927749717002E-10</v>
      </c>
      <c r="F100" s="34">
        <f t="shared" si="34"/>
        <v>-1.4104922433134078E-9</v>
      </c>
      <c r="G100" s="35">
        <f t="shared" si="35"/>
        <v>30</v>
      </c>
      <c r="H100" s="36">
        <f t="shared" si="36"/>
        <v>1.3447464619457143E-6</v>
      </c>
      <c r="I100" s="34">
        <f t="shared" si="37"/>
        <v>-1.6812097742350124E-6</v>
      </c>
      <c r="J100" s="28">
        <f t="shared" si="38"/>
        <v>1.3453666112232114E-6</v>
      </c>
      <c r="K100" s="9">
        <f t="shared" si="39"/>
        <v>1.3447464619457142E-4</v>
      </c>
      <c r="L100" s="25">
        <f t="shared" si="40"/>
        <v>6.2014927749717004E-8</v>
      </c>
      <c r="M100" s="25">
        <f t="shared" si="41"/>
        <v>1.3453666112232113E-4</v>
      </c>
      <c r="N100" s="198">
        <f t="shared" si="42"/>
        <v>-1.6812097742350125E-4</v>
      </c>
      <c r="O100" s="203">
        <f t="shared" si="43"/>
        <v>-1.4104922433134079E-7</v>
      </c>
      <c r="P100" s="25">
        <f t="shared" si="44"/>
        <v>-1.6826202664783259E-4</v>
      </c>
      <c r="R100" s="9">
        <f t="shared" si="26"/>
        <v>57</v>
      </c>
      <c r="S100" s="18">
        <f t="shared" si="27"/>
        <v>-8.5801279785697798E-15</v>
      </c>
      <c r="T100" s="10">
        <v>57</v>
      </c>
      <c r="U100" s="18">
        <f t="shared" si="28"/>
        <v>-7.7633794862141241E-10</v>
      </c>
      <c r="V100" s="10">
        <f t="shared" si="29"/>
        <v>57</v>
      </c>
      <c r="W100" s="18">
        <f t="shared" si="30"/>
        <v>-7.7634652874939107E-10</v>
      </c>
      <c r="AA100" s="10"/>
    </row>
    <row r="101" spans="1:27">
      <c r="A101" s="30">
        <v>41</v>
      </c>
      <c r="B101" s="34">
        <f t="shared" si="31"/>
        <v>2.5495098992823882E-10</v>
      </c>
      <c r="C101" s="34">
        <f t="shared" si="33"/>
        <v>-6.1008711051232058E-10</v>
      </c>
      <c r="D101" s="30">
        <v>41</v>
      </c>
      <c r="E101" s="34">
        <f t="shared" si="32"/>
        <v>2.5495098992823882E-10</v>
      </c>
      <c r="F101" s="34">
        <f t="shared" si="34"/>
        <v>-6.1008711051232058E-10</v>
      </c>
      <c r="G101" s="35">
        <f t="shared" si="35"/>
        <v>31</v>
      </c>
      <c r="H101" s="36">
        <f t="shared" si="36"/>
        <v>6.8852430522042997E-7</v>
      </c>
      <c r="I101" s="34">
        <f t="shared" si="37"/>
        <v>-9.2225107439996686E-7</v>
      </c>
      <c r="J101" s="28">
        <f t="shared" si="38"/>
        <v>6.887792562103582E-7</v>
      </c>
      <c r="K101" s="9">
        <f t="shared" si="39"/>
        <v>6.8852430522042994E-5</v>
      </c>
      <c r="L101" s="25">
        <f t="shared" si="40"/>
        <v>2.5495098992823883E-8</v>
      </c>
      <c r="M101" s="25">
        <f t="shared" si="41"/>
        <v>6.8877925621035817E-5</v>
      </c>
      <c r="N101" s="198">
        <f t="shared" si="42"/>
        <v>-9.2225107439996684E-5</v>
      </c>
      <c r="O101" s="203">
        <f t="shared" si="43"/>
        <v>-6.1008711051232058E-8</v>
      </c>
      <c r="P101" s="25">
        <f t="shared" si="44"/>
        <v>-9.2286116151047917E-5</v>
      </c>
      <c r="R101" s="9">
        <f t="shared" si="26"/>
        <v>58</v>
      </c>
      <c r="S101" s="18">
        <f t="shared" si="27"/>
        <v>-2.4289184739302576E-15</v>
      </c>
      <c r="T101" s="10">
        <v>58</v>
      </c>
      <c r="U101" s="18">
        <f t="shared" si="28"/>
        <v>-2.7370856821612071E-10</v>
      </c>
      <c r="V101" s="10">
        <f t="shared" si="29"/>
        <v>58</v>
      </c>
      <c r="W101" s="18">
        <f t="shared" si="30"/>
        <v>-2.737109971345947E-10</v>
      </c>
      <c r="AA101" s="10"/>
    </row>
    <row r="102" spans="1:27">
      <c r="A102" s="30">
        <v>42</v>
      </c>
      <c r="B102" s="34">
        <f t="shared" si="31"/>
        <v>1.0253811341284479E-10</v>
      </c>
      <c r="C102" s="34">
        <f t="shared" si="33"/>
        <v>-2.5782216993929285E-10</v>
      </c>
      <c r="D102" s="30">
        <v>42</v>
      </c>
      <c r="E102" s="34">
        <f t="shared" si="32"/>
        <v>1.0253811341284479E-10</v>
      </c>
      <c r="F102" s="34">
        <f t="shared" si="34"/>
        <v>-2.5782216993929285E-10</v>
      </c>
      <c r="G102" s="35">
        <f t="shared" si="35"/>
        <v>32</v>
      </c>
      <c r="H102" s="36">
        <f t="shared" si="36"/>
        <v>3.4487864259477436E-7</v>
      </c>
      <c r="I102" s="34">
        <f t="shared" si="37"/>
        <v>-4.9374258343129332E-7</v>
      </c>
      <c r="J102" s="28">
        <f t="shared" si="38"/>
        <v>3.449811807081872E-7</v>
      </c>
      <c r="K102" s="9">
        <f t="shared" si="39"/>
        <v>3.4487864259477438E-5</v>
      </c>
      <c r="L102" s="25">
        <f t="shared" si="40"/>
        <v>1.0253811341284478E-8</v>
      </c>
      <c r="M102" s="25">
        <f t="shared" si="41"/>
        <v>3.4498118070818721E-5</v>
      </c>
      <c r="N102" s="198">
        <f t="shared" si="42"/>
        <v>-4.9374258343129331E-5</v>
      </c>
      <c r="O102" s="203">
        <f t="shared" si="43"/>
        <v>-2.5782216993929284E-8</v>
      </c>
      <c r="P102" s="25">
        <f t="shared" si="44"/>
        <v>-4.9400040560123261E-5</v>
      </c>
      <c r="R102" s="9">
        <f t="shared" si="26"/>
        <v>59</v>
      </c>
      <c r="S102" s="18">
        <f t="shared" si="27"/>
        <v>-6.7266722852812917E-16</v>
      </c>
      <c r="T102" s="10">
        <v>59</v>
      </c>
      <c r="U102" s="18">
        <f t="shared" si="28"/>
        <v>-9.4404811525977149E-11</v>
      </c>
      <c r="V102" s="10">
        <f t="shared" si="29"/>
        <v>59</v>
      </c>
      <c r="W102" s="18">
        <f t="shared" si="30"/>
        <v>-9.4405484193205678E-11</v>
      </c>
      <c r="AA102" s="10"/>
    </row>
    <row r="103" spans="1:27">
      <c r="A103" s="30">
        <v>43</v>
      </c>
      <c r="B103" s="34">
        <f t="shared" si="31"/>
        <v>4.0344292348816813E-11</v>
      </c>
      <c r="C103" s="34">
        <f t="shared" si="33"/>
        <v>-1.064594929789766E-10</v>
      </c>
      <c r="D103" s="30">
        <v>43</v>
      </c>
      <c r="E103" s="34">
        <f t="shared" si="32"/>
        <v>4.0344292348816813E-11</v>
      </c>
      <c r="F103" s="34">
        <f t="shared" si="34"/>
        <v>-1.064594929789766E-10</v>
      </c>
      <c r="G103" s="35">
        <f t="shared" si="35"/>
        <v>33</v>
      </c>
      <c r="H103" s="36">
        <f t="shared" si="36"/>
        <v>1.6899796882487886E-7</v>
      </c>
      <c r="I103" s="34">
        <f t="shared" si="37"/>
        <v>-2.5801747503716069E-7</v>
      </c>
      <c r="J103" s="28">
        <f t="shared" si="38"/>
        <v>1.6903831311722767E-7</v>
      </c>
      <c r="K103" s="9">
        <f t="shared" si="39"/>
        <v>1.6899796882487886E-5</v>
      </c>
      <c r="L103" s="25">
        <f t="shared" si="40"/>
        <v>4.0344292348816814E-9</v>
      </c>
      <c r="M103" s="25">
        <f t="shared" si="41"/>
        <v>1.6903831311722769E-5</v>
      </c>
      <c r="N103" s="198">
        <f t="shared" si="42"/>
        <v>-2.580174750371607E-5</v>
      </c>
      <c r="O103" s="203">
        <f t="shared" si="43"/>
        <v>-1.0645949297897659E-8</v>
      </c>
      <c r="P103" s="25">
        <f t="shared" si="44"/>
        <v>-2.5812393453013967E-5</v>
      </c>
      <c r="R103" s="9">
        <f>+A120</f>
        <v>60</v>
      </c>
      <c r="S103" s="18">
        <f>-B120*1000</f>
        <v>-1.8224505845800304E-16</v>
      </c>
      <c r="T103" s="10">
        <v>60</v>
      </c>
      <c r="U103" s="18">
        <f>-H120*1000</f>
        <v>-3.1854297055587743E-11</v>
      </c>
      <c r="V103" s="10">
        <f>+A120</f>
        <v>60</v>
      </c>
      <c r="W103" s="18">
        <f>-J120*1000</f>
        <v>-3.1854479300646199E-11</v>
      </c>
      <c r="AA103" s="10"/>
    </row>
    <row r="104" spans="1:27">
      <c r="A104" s="30">
        <v>44</v>
      </c>
      <c r="B104" s="34">
        <f t="shared" si="31"/>
        <v>1.5529126985413633E-11</v>
      </c>
      <c r="C104" s="34">
        <f t="shared" si="33"/>
        <v>-4.2954687144746793E-11</v>
      </c>
      <c r="D104" s="30">
        <v>44</v>
      </c>
      <c r="E104" s="34">
        <f t="shared" si="32"/>
        <v>1.5529126985413633E-11</v>
      </c>
      <c r="F104" s="34">
        <f t="shared" si="34"/>
        <v>-4.2954687144746793E-11</v>
      </c>
      <c r="G104" s="35">
        <f t="shared" si="35"/>
        <v>34</v>
      </c>
      <c r="H104" s="36">
        <f t="shared" si="36"/>
        <v>8.1014886664904516E-8</v>
      </c>
      <c r="I104" s="34">
        <f t="shared" si="37"/>
        <v>-1.3163159500460528E-7</v>
      </c>
      <c r="J104" s="28">
        <f t="shared" si="38"/>
        <v>8.1030415791889926E-8</v>
      </c>
      <c r="K104" s="9">
        <f t="shared" si="39"/>
        <v>8.101488666490452E-6</v>
      </c>
      <c r="L104" s="25">
        <f t="shared" si="40"/>
        <v>1.5529126985413634E-9</v>
      </c>
      <c r="M104" s="25">
        <f t="shared" si="41"/>
        <v>8.1030415791889937E-6</v>
      </c>
      <c r="N104" s="198">
        <f t="shared" si="42"/>
        <v>-1.3163159500460527E-5</v>
      </c>
      <c r="O104" s="203">
        <f t="shared" si="43"/>
        <v>-4.2954687144746791E-9</v>
      </c>
      <c r="P104" s="25">
        <f t="shared" si="44"/>
        <v>-1.3167454969175001E-5</v>
      </c>
      <c r="R104" s="9"/>
      <c r="AA104" s="10"/>
    </row>
    <row r="105" spans="1:27">
      <c r="A105" s="30">
        <v>45</v>
      </c>
      <c r="B105" s="34">
        <f t="shared" si="31"/>
        <v>5.8476334256692369E-12</v>
      </c>
      <c r="C105" s="34">
        <f t="shared" si="33"/>
        <v>-1.6936479032864236E-11</v>
      </c>
      <c r="D105" s="30">
        <v>45</v>
      </c>
      <c r="E105" s="34">
        <f t="shared" si="32"/>
        <v>5.8476334256692369E-12</v>
      </c>
      <c r="F105" s="34">
        <f t="shared" si="34"/>
        <v>-1.6936479032864236E-11</v>
      </c>
      <c r="G105" s="35">
        <f t="shared" si="35"/>
        <v>35</v>
      </c>
      <c r="H105" s="36">
        <f t="shared" si="36"/>
        <v>3.799411493806283E-8</v>
      </c>
      <c r="I105" s="34">
        <f t="shared" si="37"/>
        <v>-6.5568078920547202E-8</v>
      </c>
      <c r="J105" s="28">
        <f t="shared" si="38"/>
        <v>3.7999962571488501E-8</v>
      </c>
      <c r="K105" s="9">
        <f t="shared" si="39"/>
        <v>3.7994114938062831E-6</v>
      </c>
      <c r="L105" s="25">
        <f t="shared" si="40"/>
        <v>5.8476334256692367E-10</v>
      </c>
      <c r="M105" s="25">
        <f t="shared" si="41"/>
        <v>3.7999962571488499E-6</v>
      </c>
      <c r="N105" s="198">
        <f t="shared" si="42"/>
        <v>-6.5568078920547199E-6</v>
      </c>
      <c r="O105" s="203">
        <f t="shared" si="43"/>
        <v>-1.6936479032864237E-9</v>
      </c>
      <c r="P105" s="25">
        <f t="shared" si="44"/>
        <v>-6.5585015399580067E-6</v>
      </c>
      <c r="R105" s="9"/>
      <c r="AA105" s="10"/>
    </row>
    <row r="106" spans="1:27">
      <c r="A106" s="30">
        <v>46</v>
      </c>
      <c r="B106" s="34">
        <f t="shared" ref="B106:B137" si="45">+$D$5*EXP(-(A106^2)/(2*$B$4^2))</f>
        <v>2.154177066404679E-12</v>
      </c>
      <c r="C106" s="34">
        <f t="shared" si="33"/>
        <v>-6.5259646711282851E-12</v>
      </c>
      <c r="D106" s="30">
        <v>46</v>
      </c>
      <c r="E106" s="34">
        <f t="shared" ref="E106:E137" si="46">+$H$5*EXP(-(D106^2)/(2*$F$4^2))</f>
        <v>2.154177066404679E-12</v>
      </c>
      <c r="F106" s="34">
        <f t="shared" si="34"/>
        <v>-6.5259646711282851E-12</v>
      </c>
      <c r="G106" s="35">
        <f t="shared" si="35"/>
        <v>36</v>
      </c>
      <c r="H106" s="36">
        <f t="shared" si="36"/>
        <v>1.7431549565540899E-8</v>
      </c>
      <c r="I106" s="34">
        <f t="shared" si="37"/>
        <v>-3.189327957547112E-8</v>
      </c>
      <c r="J106" s="28">
        <f t="shared" si="38"/>
        <v>1.7433703742607305E-8</v>
      </c>
      <c r="K106" s="9">
        <f t="shared" si="39"/>
        <v>1.74315495655409E-6</v>
      </c>
      <c r="L106" s="25">
        <f t="shared" si="40"/>
        <v>2.154177066404679E-10</v>
      </c>
      <c r="M106" s="25">
        <f t="shared" si="41"/>
        <v>1.7433703742607305E-6</v>
      </c>
      <c r="N106" s="198">
        <f t="shared" si="42"/>
        <v>-3.1893279575471119E-6</v>
      </c>
      <c r="O106" s="203">
        <f t="shared" si="43"/>
        <v>-6.5259646711282853E-10</v>
      </c>
      <c r="P106" s="25">
        <f t="shared" si="44"/>
        <v>-3.1899805540142246E-6</v>
      </c>
      <c r="R106" s="9"/>
      <c r="AA106" s="10"/>
    </row>
    <row r="107" spans="1:27">
      <c r="A107" s="30">
        <v>47</v>
      </c>
      <c r="B107" s="34">
        <f t="shared" si="45"/>
        <v>7.7633794862141246E-13</v>
      </c>
      <c r="C107" s="34">
        <f t="shared" si="33"/>
        <v>-2.4575160577531037E-12</v>
      </c>
      <c r="D107" s="30">
        <v>47</v>
      </c>
      <c r="E107" s="34">
        <f t="shared" si="46"/>
        <v>7.7633794862141246E-13</v>
      </c>
      <c r="F107" s="34">
        <f t="shared" si="34"/>
        <v>-2.4575160577531037E-12</v>
      </c>
      <c r="G107" s="35">
        <f t="shared" si="35"/>
        <v>37</v>
      </c>
      <c r="H107" s="36">
        <f t="shared" si="36"/>
        <v>7.8239094875549225E-9</v>
      </c>
      <c r="I107" s="34">
        <f t="shared" si="37"/>
        <v>-1.515055175116374E-8</v>
      </c>
      <c r="J107" s="28">
        <f t="shared" si="38"/>
        <v>7.8246858255035447E-9</v>
      </c>
      <c r="K107" s="9">
        <f t="shared" si="39"/>
        <v>7.823909487554923E-7</v>
      </c>
      <c r="L107" s="25">
        <f t="shared" si="40"/>
        <v>7.7633794862141246E-11</v>
      </c>
      <c r="M107" s="25">
        <f t="shared" si="41"/>
        <v>7.8246858255035445E-7</v>
      </c>
      <c r="N107" s="198">
        <f t="shared" si="42"/>
        <v>-1.5150551751163741E-6</v>
      </c>
      <c r="O107" s="203">
        <f t="shared" si="43"/>
        <v>-2.4575160577531036E-10</v>
      </c>
      <c r="P107" s="25">
        <f t="shared" si="44"/>
        <v>-1.5153009267221495E-6</v>
      </c>
      <c r="R107" s="9"/>
      <c r="AA107" s="10"/>
    </row>
    <row r="108" spans="1:27">
      <c r="A108" s="30">
        <v>48</v>
      </c>
      <c r="B108" s="34">
        <f t="shared" si="45"/>
        <v>2.7370856821612073E-13</v>
      </c>
      <c r="C108" s="34">
        <f t="shared" si="33"/>
        <v>-9.0447728509277744E-13</v>
      </c>
      <c r="D108" s="30">
        <v>48</v>
      </c>
      <c r="E108" s="34">
        <f t="shared" si="46"/>
        <v>2.7370856821612073E-13</v>
      </c>
      <c r="F108" s="34">
        <f t="shared" si="34"/>
        <v>-9.0447728509277744E-13</v>
      </c>
      <c r="G108" s="35">
        <f t="shared" si="35"/>
        <v>38</v>
      </c>
      <c r="H108" s="36">
        <f t="shared" si="36"/>
        <v>3.4354196828064236E-9</v>
      </c>
      <c r="I108" s="34">
        <f t="shared" si="37"/>
        <v>-7.0294938639957685E-9</v>
      </c>
      <c r="J108" s="28">
        <f t="shared" si="38"/>
        <v>3.4356933913746395E-9</v>
      </c>
      <c r="K108" s="9">
        <f t="shared" si="39"/>
        <v>3.4354196828064235E-7</v>
      </c>
      <c r="L108" s="25">
        <f t="shared" si="40"/>
        <v>2.7370856821612073E-11</v>
      </c>
      <c r="M108" s="25">
        <f t="shared" si="41"/>
        <v>3.4356933913746395E-7</v>
      </c>
      <c r="N108" s="198">
        <f t="shared" si="42"/>
        <v>-7.0294938639957686E-7</v>
      </c>
      <c r="O108" s="203">
        <f t="shared" si="43"/>
        <v>-9.0447728509277747E-11</v>
      </c>
      <c r="P108" s="25">
        <f t="shared" si="44"/>
        <v>-7.0303983412808616E-7</v>
      </c>
      <c r="R108" s="9"/>
      <c r="AA108" s="10"/>
    </row>
    <row r="109" spans="1:27">
      <c r="A109" s="30">
        <v>49</v>
      </c>
      <c r="B109" s="34">
        <f t="shared" si="45"/>
        <v>9.4404811525977154E-14</v>
      </c>
      <c r="C109" s="34">
        <f t="shared" si="33"/>
        <v>-3.2536206053767729E-13</v>
      </c>
      <c r="D109" s="30">
        <v>49</v>
      </c>
      <c r="E109" s="34">
        <f t="shared" si="46"/>
        <v>9.4404811525977154E-14</v>
      </c>
      <c r="F109" s="34">
        <f t="shared" si="34"/>
        <v>-3.2536206053767729E-13</v>
      </c>
      <c r="G109" s="35">
        <f t="shared" si="35"/>
        <v>39</v>
      </c>
      <c r="H109" s="36">
        <f t="shared" si="36"/>
        <v>1.4757199247926278E-9</v>
      </c>
      <c r="I109" s="34">
        <f t="shared" si="37"/>
        <v>-3.1858546195317385E-9</v>
      </c>
      <c r="J109" s="28">
        <f t="shared" si="38"/>
        <v>1.4758143296041537E-9</v>
      </c>
      <c r="K109" s="9">
        <f t="shared" si="39"/>
        <v>1.4757199247926277E-7</v>
      </c>
      <c r="L109" s="25">
        <f t="shared" si="40"/>
        <v>9.4404811525977155E-12</v>
      </c>
      <c r="M109" s="25">
        <f t="shared" si="41"/>
        <v>1.4758143296041538E-7</v>
      </c>
      <c r="N109" s="198">
        <f t="shared" si="42"/>
        <v>-3.1858546195317385E-7</v>
      </c>
      <c r="O109" s="203">
        <f t="shared" si="43"/>
        <v>-3.2536206053767727E-11</v>
      </c>
      <c r="P109" s="25">
        <f t="shared" si="44"/>
        <v>-3.186179981592276E-7</v>
      </c>
      <c r="R109" s="9"/>
      <c r="AA109" s="10"/>
    </row>
    <row r="110" spans="1:27">
      <c r="A110" s="30">
        <v>50</v>
      </c>
      <c r="B110" s="34">
        <f t="shared" si="45"/>
        <v>3.1854297055587741E-14</v>
      </c>
      <c r="C110" s="34">
        <f t="shared" si="33"/>
        <v>-1.143987288221295E-13</v>
      </c>
      <c r="D110" s="30">
        <v>50</v>
      </c>
      <c r="E110" s="34">
        <f t="shared" si="46"/>
        <v>3.1854297055587741E-14</v>
      </c>
      <c r="F110" s="34">
        <f t="shared" si="34"/>
        <v>-1.143987288221295E-13</v>
      </c>
      <c r="G110" s="35">
        <f t="shared" si="35"/>
        <v>40</v>
      </c>
      <c r="H110" s="36">
        <f t="shared" si="36"/>
        <v>6.2014927749717002E-10</v>
      </c>
      <c r="I110" s="34">
        <f t="shared" si="37"/>
        <v>-1.4104922433134078E-9</v>
      </c>
      <c r="J110" s="28">
        <f t="shared" si="38"/>
        <v>6.2018113179422557E-10</v>
      </c>
      <c r="K110" s="9">
        <f t="shared" si="39"/>
        <v>6.2014927749717004E-8</v>
      </c>
      <c r="L110" s="25">
        <f t="shared" si="40"/>
        <v>3.185429705558774E-12</v>
      </c>
      <c r="M110" s="25">
        <f t="shared" si="41"/>
        <v>6.2018113179422562E-8</v>
      </c>
      <c r="N110" s="198">
        <f t="shared" si="42"/>
        <v>-1.4104922433134079E-7</v>
      </c>
      <c r="O110" s="203">
        <f t="shared" si="43"/>
        <v>-1.143987288221295E-11</v>
      </c>
      <c r="P110" s="25">
        <f t="shared" si="44"/>
        <v>-1.41060664204223E-7</v>
      </c>
      <c r="R110" s="9"/>
      <c r="AA110" s="10"/>
    </row>
    <row r="111" spans="1:27">
      <c r="A111" s="30">
        <v>51</v>
      </c>
      <c r="B111" s="34">
        <f t="shared" si="45"/>
        <v>1.0515019476744E-14</v>
      </c>
      <c r="C111" s="34">
        <f t="shared" si="33"/>
        <v>-3.9316653072302869E-14</v>
      </c>
      <c r="D111" s="30">
        <v>51</v>
      </c>
      <c r="E111" s="34">
        <f t="shared" si="46"/>
        <v>1.0515019476744E-14</v>
      </c>
      <c r="F111" s="34">
        <f t="shared" si="34"/>
        <v>-3.9316653072302869E-14</v>
      </c>
      <c r="G111" s="35">
        <f t="shared" si="35"/>
        <v>41</v>
      </c>
      <c r="H111" s="36">
        <f t="shared" si="36"/>
        <v>2.5495098992823882E-10</v>
      </c>
      <c r="I111" s="34">
        <f t="shared" si="37"/>
        <v>-6.1008711051232058E-10</v>
      </c>
      <c r="J111" s="28">
        <f t="shared" si="38"/>
        <v>2.5496150494771557E-10</v>
      </c>
      <c r="K111" s="9">
        <f t="shared" si="39"/>
        <v>2.5495098992823883E-8</v>
      </c>
      <c r="L111" s="25">
        <f t="shared" si="40"/>
        <v>1.0515019476743999E-12</v>
      </c>
      <c r="M111" s="25">
        <f t="shared" si="41"/>
        <v>2.5496150494771559E-8</v>
      </c>
      <c r="N111" s="198">
        <f t="shared" si="42"/>
        <v>-6.1008711051232058E-8</v>
      </c>
      <c r="O111" s="203">
        <f t="shared" si="43"/>
        <v>-3.9316653072302868E-12</v>
      </c>
      <c r="P111" s="25">
        <f t="shared" si="44"/>
        <v>-6.1012642716539293E-8</v>
      </c>
      <c r="R111" s="9"/>
      <c r="AA111" s="10"/>
    </row>
    <row r="112" spans="1:27">
      <c r="A112" s="30">
        <v>52</v>
      </c>
      <c r="B112" s="34">
        <f t="shared" si="45"/>
        <v>3.3956294904634096E-15</v>
      </c>
      <c r="C112" s="34">
        <f t="shared" si="33"/>
        <v>-1.320833108156023E-14</v>
      </c>
      <c r="D112" s="30">
        <v>52</v>
      </c>
      <c r="E112" s="34">
        <f t="shared" si="46"/>
        <v>3.3956294904634096E-15</v>
      </c>
      <c r="F112" s="34">
        <f t="shared" si="34"/>
        <v>-1.320833108156023E-14</v>
      </c>
      <c r="G112" s="35">
        <f t="shared" si="35"/>
        <v>42</v>
      </c>
      <c r="H112" s="36">
        <f t="shared" si="36"/>
        <v>1.0253811341284479E-10</v>
      </c>
      <c r="I112" s="34">
        <f t="shared" si="37"/>
        <v>-2.5782216993929285E-10</v>
      </c>
      <c r="J112" s="28">
        <f t="shared" si="38"/>
        <v>1.0254150904233525E-10</v>
      </c>
      <c r="K112" s="9">
        <f t="shared" si="39"/>
        <v>1.0253811341284478E-8</v>
      </c>
      <c r="L112" s="25">
        <f t="shared" si="40"/>
        <v>3.3956294904634098E-13</v>
      </c>
      <c r="M112" s="25">
        <f t="shared" si="41"/>
        <v>1.0254150904233524E-8</v>
      </c>
      <c r="N112" s="198">
        <f t="shared" si="42"/>
        <v>-2.5782216993929284E-8</v>
      </c>
      <c r="O112" s="203">
        <f t="shared" si="43"/>
        <v>-1.320833108156023E-12</v>
      </c>
      <c r="P112" s="25">
        <f t="shared" si="44"/>
        <v>-2.578353782703744E-8</v>
      </c>
      <c r="R112" s="9"/>
      <c r="AA112" s="10"/>
    </row>
    <row r="113" spans="1:27">
      <c r="A113" s="30">
        <v>53</v>
      </c>
      <c r="B113" s="34">
        <f t="shared" si="45"/>
        <v>1.0727503662088742E-15</v>
      </c>
      <c r="C113" s="34">
        <f t="shared" si="33"/>
        <v>-4.3376001318633172E-15</v>
      </c>
      <c r="D113" s="30">
        <v>53</v>
      </c>
      <c r="E113" s="34">
        <f t="shared" si="46"/>
        <v>1.0727503662088742E-15</v>
      </c>
      <c r="F113" s="34">
        <f t="shared" si="34"/>
        <v>-4.3376001318633172E-15</v>
      </c>
      <c r="G113" s="35">
        <f t="shared" si="35"/>
        <v>43</v>
      </c>
      <c r="H113" s="36">
        <f t="shared" si="36"/>
        <v>4.0344292348816813E-11</v>
      </c>
      <c r="I113" s="34">
        <f t="shared" si="37"/>
        <v>-1.064594929789766E-10</v>
      </c>
      <c r="J113" s="28">
        <f t="shared" si="38"/>
        <v>4.0345365099183022E-11</v>
      </c>
      <c r="K113" s="9">
        <f t="shared" si="39"/>
        <v>4.0344292348816814E-9</v>
      </c>
      <c r="L113" s="25">
        <f t="shared" si="40"/>
        <v>1.0727503662088742E-13</v>
      </c>
      <c r="M113" s="25">
        <f t="shared" si="41"/>
        <v>4.0345365099183022E-9</v>
      </c>
      <c r="N113" s="198">
        <f t="shared" si="42"/>
        <v>-1.0645949297897659E-8</v>
      </c>
      <c r="O113" s="203">
        <f t="shared" si="43"/>
        <v>-4.3376001318633173E-13</v>
      </c>
      <c r="P113" s="25">
        <f t="shared" si="44"/>
        <v>-1.0646383057910846E-8</v>
      </c>
      <c r="R113" s="9"/>
      <c r="S113" s="18"/>
      <c r="U113" s="18"/>
      <c r="W113" s="18"/>
      <c r="AA113" s="10"/>
    </row>
    <row r="114" spans="1:27">
      <c r="A114" s="30">
        <v>54</v>
      </c>
      <c r="B114" s="34">
        <f t="shared" si="45"/>
        <v>3.3154707877399342E-16</v>
      </c>
      <c r="C114" s="34">
        <f t="shared" si="33"/>
        <v>-1.3924977308507721E-15</v>
      </c>
      <c r="D114" s="30">
        <v>54</v>
      </c>
      <c r="E114" s="34">
        <f t="shared" si="46"/>
        <v>3.3154707877399342E-16</v>
      </c>
      <c r="F114" s="34">
        <f t="shared" si="34"/>
        <v>-1.3924977308507721E-15</v>
      </c>
      <c r="G114" s="35">
        <f t="shared" si="35"/>
        <v>44</v>
      </c>
      <c r="H114" s="36">
        <f t="shared" si="36"/>
        <v>1.5529126985413633E-11</v>
      </c>
      <c r="I114" s="34">
        <f t="shared" si="37"/>
        <v>-4.2954687144746793E-11</v>
      </c>
      <c r="J114" s="28">
        <f t="shared" si="38"/>
        <v>1.5529458532492408E-11</v>
      </c>
      <c r="K114" s="9">
        <f t="shared" si="39"/>
        <v>1.5529126985413634E-9</v>
      </c>
      <c r="L114" s="25">
        <f t="shared" si="40"/>
        <v>3.3154707877399341E-14</v>
      </c>
      <c r="M114" s="25">
        <f t="shared" si="41"/>
        <v>1.5529458532492407E-9</v>
      </c>
      <c r="N114" s="198">
        <f t="shared" si="42"/>
        <v>-4.2954687144746791E-9</v>
      </c>
      <c r="O114" s="203">
        <f t="shared" si="43"/>
        <v>-1.3924977308507722E-13</v>
      </c>
      <c r="P114" s="25">
        <f t="shared" si="44"/>
        <v>-4.2956079642477642E-9</v>
      </c>
      <c r="R114" s="9"/>
      <c r="S114" s="18"/>
      <c r="U114" s="18"/>
      <c r="W114" s="18"/>
      <c r="AA114" s="10"/>
    </row>
    <row r="115" spans="1:27">
      <c r="A115" s="30">
        <v>55</v>
      </c>
      <c r="B115" s="34">
        <f t="shared" si="45"/>
        <v>1.0024434893529742E-16</v>
      </c>
      <c r="C115" s="34">
        <f t="shared" si="33"/>
        <v>-4.3701402451710682E-16</v>
      </c>
      <c r="D115" s="30">
        <v>55</v>
      </c>
      <c r="E115" s="34">
        <f t="shared" si="46"/>
        <v>1.0024434893529742E-16</v>
      </c>
      <c r="F115" s="34">
        <f t="shared" si="34"/>
        <v>-4.3701402451710682E-16</v>
      </c>
      <c r="G115" s="35">
        <f t="shared" si="35"/>
        <v>45</v>
      </c>
      <c r="H115" s="36">
        <f t="shared" si="36"/>
        <v>5.8476334256692369E-12</v>
      </c>
      <c r="I115" s="34">
        <f t="shared" si="37"/>
        <v>-1.6936479032864236E-11</v>
      </c>
      <c r="J115" s="28">
        <f t="shared" si="38"/>
        <v>5.8477336700181721E-12</v>
      </c>
      <c r="K115" s="9">
        <f t="shared" si="39"/>
        <v>5.8476334256692367E-10</v>
      </c>
      <c r="L115" s="25">
        <f t="shared" si="40"/>
        <v>1.0024434893529742E-14</v>
      </c>
      <c r="M115" s="25">
        <f t="shared" si="41"/>
        <v>5.8477336700181724E-10</v>
      </c>
      <c r="N115" s="198">
        <f t="shared" si="42"/>
        <v>-1.6936479032864237E-9</v>
      </c>
      <c r="O115" s="203">
        <f t="shared" si="43"/>
        <v>-4.3701402451710684E-14</v>
      </c>
      <c r="P115" s="25">
        <f t="shared" si="44"/>
        <v>-1.6936916046888754E-9</v>
      </c>
      <c r="R115" s="9"/>
      <c r="S115" s="18"/>
      <c r="U115" s="18"/>
      <c r="W115" s="18"/>
      <c r="AA115" s="10"/>
    </row>
    <row r="116" spans="1:27">
      <c r="A116" s="30">
        <v>56</v>
      </c>
      <c r="B116" s="34">
        <f t="shared" si="45"/>
        <v>2.9651232681280518E-17</v>
      </c>
      <c r="C116" s="34">
        <f t="shared" si="33"/>
        <v>-1.3407997278383884E-16</v>
      </c>
      <c r="D116" s="30">
        <v>56</v>
      </c>
      <c r="E116" s="34">
        <f t="shared" si="46"/>
        <v>2.9651232681280518E-17</v>
      </c>
      <c r="F116" s="34">
        <f t="shared" si="34"/>
        <v>-1.3407997278383884E-16</v>
      </c>
      <c r="G116" s="35">
        <f t="shared" si="35"/>
        <v>46</v>
      </c>
      <c r="H116" s="36">
        <f t="shared" si="36"/>
        <v>2.154177066404679E-12</v>
      </c>
      <c r="I116" s="34">
        <f t="shared" si="37"/>
        <v>-6.5259646711282851E-12</v>
      </c>
      <c r="J116" s="28">
        <f t="shared" si="38"/>
        <v>2.1542067176373604E-12</v>
      </c>
      <c r="K116" s="9">
        <f t="shared" si="39"/>
        <v>2.154177066404679E-10</v>
      </c>
      <c r="L116" s="25">
        <f t="shared" si="40"/>
        <v>2.9651232681280518E-15</v>
      </c>
      <c r="M116" s="25">
        <f t="shared" si="41"/>
        <v>2.1542067176373604E-10</v>
      </c>
      <c r="N116" s="198">
        <f t="shared" si="42"/>
        <v>-6.5259646711282853E-10</v>
      </c>
      <c r="O116" s="203">
        <f t="shared" si="43"/>
        <v>-1.3407997278383883E-14</v>
      </c>
      <c r="P116" s="25">
        <f t="shared" si="44"/>
        <v>-6.5260987511010688E-10</v>
      </c>
      <c r="R116" s="9"/>
      <c r="S116" s="18"/>
      <c r="U116" s="18"/>
      <c r="W116" s="18"/>
      <c r="AA116" s="10"/>
    </row>
    <row r="117" spans="1:27">
      <c r="A117" s="30">
        <v>57</v>
      </c>
      <c r="B117" s="34">
        <f t="shared" si="45"/>
        <v>8.5801279785697797E-18</v>
      </c>
      <c r="C117" s="34">
        <f t="shared" si="33"/>
        <v>-4.0217143076506082E-17</v>
      </c>
      <c r="D117" s="30">
        <v>57</v>
      </c>
      <c r="E117" s="34">
        <f t="shared" si="46"/>
        <v>8.5801279785697797E-18</v>
      </c>
      <c r="F117" s="34">
        <f t="shared" si="34"/>
        <v>-4.0217143076506082E-17</v>
      </c>
      <c r="G117" s="35">
        <f t="shared" si="35"/>
        <v>47</v>
      </c>
      <c r="H117" s="36">
        <f t="shared" si="36"/>
        <v>7.7633794862141246E-13</v>
      </c>
      <c r="I117" s="34">
        <f t="shared" si="37"/>
        <v>-2.4575160577531037E-12</v>
      </c>
      <c r="J117" s="28">
        <f t="shared" si="38"/>
        <v>7.7634652874939104E-13</v>
      </c>
      <c r="K117" s="9">
        <f t="shared" si="39"/>
        <v>7.7633794862141246E-11</v>
      </c>
      <c r="L117" s="25">
        <f t="shared" si="40"/>
        <v>8.58012797856978E-16</v>
      </c>
      <c r="M117" s="25">
        <f t="shared" si="41"/>
        <v>7.7634652874939105E-11</v>
      </c>
      <c r="N117" s="198">
        <f t="shared" si="42"/>
        <v>-2.4575160577531036E-10</v>
      </c>
      <c r="O117" s="203">
        <f t="shared" si="43"/>
        <v>-4.0217143076506086E-15</v>
      </c>
      <c r="P117" s="25">
        <f t="shared" si="44"/>
        <v>-2.45755627489618E-10</v>
      </c>
      <c r="R117" s="9"/>
      <c r="S117" s="18"/>
      <c r="U117" s="18"/>
      <c r="W117" s="18"/>
      <c r="AA117" s="10"/>
    </row>
    <row r="118" spans="1:27">
      <c r="A118" s="30">
        <v>58</v>
      </c>
      <c r="B118" s="34">
        <f t="shared" si="45"/>
        <v>2.4289184739302576E-18</v>
      </c>
      <c r="C118" s="34">
        <f t="shared" si="33"/>
        <v>-1.1793637528424968E-17</v>
      </c>
      <c r="D118" s="30">
        <v>58</v>
      </c>
      <c r="E118" s="34">
        <f t="shared" si="46"/>
        <v>2.4289184739302576E-18</v>
      </c>
      <c r="F118" s="34">
        <f t="shared" si="34"/>
        <v>-1.1793637528424968E-17</v>
      </c>
      <c r="G118" s="35">
        <f t="shared" si="35"/>
        <v>48</v>
      </c>
      <c r="H118" s="36">
        <f t="shared" si="36"/>
        <v>2.7370856821612073E-13</v>
      </c>
      <c r="I118" s="34">
        <f t="shared" si="37"/>
        <v>-9.0447728509277744E-13</v>
      </c>
      <c r="J118" s="28">
        <f t="shared" si="38"/>
        <v>2.7371099713459468E-13</v>
      </c>
      <c r="K118" s="9">
        <f t="shared" si="39"/>
        <v>2.7370856821612073E-11</v>
      </c>
      <c r="L118" s="25">
        <f t="shared" si="40"/>
        <v>2.4289184739302578E-16</v>
      </c>
      <c r="M118" s="25">
        <f t="shared" si="41"/>
        <v>2.7371099713459466E-11</v>
      </c>
      <c r="N118" s="198">
        <f t="shared" si="42"/>
        <v>-9.0447728509277747E-11</v>
      </c>
      <c r="O118" s="203">
        <f t="shared" si="43"/>
        <v>-1.1793637528424968E-15</v>
      </c>
      <c r="P118" s="25">
        <f t="shared" si="44"/>
        <v>-9.0448907873030592E-11</v>
      </c>
      <c r="R118" s="9"/>
      <c r="S118" s="18"/>
      <c r="U118" s="18"/>
      <c r="W118" s="18"/>
      <c r="AA118" s="10"/>
    </row>
    <row r="119" spans="1:27">
      <c r="A119" s="30">
        <v>59</v>
      </c>
      <c r="B119" s="34">
        <f t="shared" si="45"/>
        <v>6.7266722852812916E-19</v>
      </c>
      <c r="C119" s="34">
        <f t="shared" si="33"/>
        <v>-3.3812985414271308E-18</v>
      </c>
      <c r="D119" s="30">
        <v>59</v>
      </c>
      <c r="E119" s="34">
        <f t="shared" si="46"/>
        <v>6.7266722852812916E-19</v>
      </c>
      <c r="F119" s="34">
        <f t="shared" si="34"/>
        <v>-3.3812985414271308E-18</v>
      </c>
      <c r="G119" s="35">
        <f t="shared" si="35"/>
        <v>49</v>
      </c>
      <c r="H119" s="36">
        <f t="shared" si="36"/>
        <v>9.4404811525977154E-14</v>
      </c>
      <c r="I119" s="34">
        <f t="shared" si="37"/>
        <v>-3.2536206053767729E-13</v>
      </c>
      <c r="J119" s="28">
        <f t="shared" si="38"/>
        <v>9.4405484193205684E-14</v>
      </c>
      <c r="K119" s="9">
        <f t="shared" si="39"/>
        <v>9.4404811525977155E-12</v>
      </c>
      <c r="L119" s="25">
        <f t="shared" si="40"/>
        <v>6.7266722852812917E-17</v>
      </c>
      <c r="M119" s="25">
        <f t="shared" si="41"/>
        <v>9.4405484193205691E-12</v>
      </c>
      <c r="N119" s="198">
        <f t="shared" si="42"/>
        <v>-3.2536206053767727E-11</v>
      </c>
      <c r="O119" s="203">
        <f t="shared" si="43"/>
        <v>-3.3812985414271306E-16</v>
      </c>
      <c r="P119" s="25">
        <f t="shared" si="44"/>
        <v>-3.2536544183621869E-11</v>
      </c>
      <c r="R119" s="9"/>
      <c r="S119" s="18"/>
      <c r="U119" s="18"/>
      <c r="W119" s="18"/>
      <c r="AA119" s="10"/>
    </row>
    <row r="120" spans="1:27">
      <c r="A120" s="30">
        <v>60</v>
      </c>
      <c r="B120" s="34">
        <f t="shared" si="45"/>
        <v>1.8224505845800305E-19</v>
      </c>
      <c r="C120" s="34">
        <f t="shared" si="33"/>
        <v>-9.4782429991450296E-19</v>
      </c>
      <c r="D120" s="30">
        <v>60</v>
      </c>
      <c r="E120" s="34">
        <f t="shared" si="46"/>
        <v>1.8224505845800305E-19</v>
      </c>
      <c r="F120" s="34">
        <f t="shared" si="34"/>
        <v>-9.4782429991450296E-19</v>
      </c>
      <c r="G120" s="35">
        <f t="shared" si="35"/>
        <v>50</v>
      </c>
      <c r="H120" s="36">
        <f t="shared" si="36"/>
        <v>3.1854297055587741E-14</v>
      </c>
      <c r="I120" s="34">
        <f t="shared" si="37"/>
        <v>-1.143987288221295E-13</v>
      </c>
      <c r="J120" s="28">
        <f t="shared" si="38"/>
        <v>3.18544793006462E-14</v>
      </c>
      <c r="K120" s="9">
        <f t="shared" si="39"/>
        <v>3.185429705558774E-12</v>
      </c>
      <c r="L120" s="25">
        <f t="shared" si="40"/>
        <v>1.8224505845800306E-17</v>
      </c>
      <c r="M120" s="25">
        <f t="shared" si="41"/>
        <v>3.1854479300646196E-12</v>
      </c>
      <c r="N120" s="198">
        <f t="shared" si="42"/>
        <v>-1.143987288221295E-11</v>
      </c>
      <c r="O120" s="203">
        <f t="shared" si="43"/>
        <v>-9.4782429991450291E-17</v>
      </c>
      <c r="P120" s="25">
        <f t="shared" si="44"/>
        <v>-1.1439967664642942E-11</v>
      </c>
      <c r="R120" s="9"/>
      <c r="S120" s="18"/>
      <c r="U120" s="18"/>
      <c r="W120" s="18"/>
      <c r="AA120" s="10"/>
    </row>
    <row r="121" spans="1:27">
      <c r="A121" s="30">
        <v>61</v>
      </c>
      <c r="B121" s="34">
        <f t="shared" si="45"/>
        <v>4.8303590315624354E-20</v>
      </c>
      <c r="C121" s="34">
        <f t="shared" si="33"/>
        <v>-2.597703919241812E-19</v>
      </c>
      <c r="D121" s="30">
        <v>61</v>
      </c>
      <c r="E121" s="34">
        <f t="shared" si="46"/>
        <v>4.8303590315624354E-20</v>
      </c>
      <c r="F121" s="34">
        <f t="shared" si="34"/>
        <v>-2.597703919241812E-19</v>
      </c>
      <c r="G121" s="35">
        <f t="shared" si="35"/>
        <v>51</v>
      </c>
      <c r="H121" s="36">
        <f t="shared" si="36"/>
        <v>1.0515019476744E-14</v>
      </c>
      <c r="I121" s="34">
        <f t="shared" si="37"/>
        <v>-3.9316653072302869E-14</v>
      </c>
      <c r="J121" s="28">
        <f t="shared" si="38"/>
        <v>1.0515067780334315E-14</v>
      </c>
      <c r="K121" s="9">
        <f t="shared" si="39"/>
        <v>1.0515019476743999E-12</v>
      </c>
      <c r="L121" s="25">
        <f t="shared" si="40"/>
        <v>4.8303590315624351E-18</v>
      </c>
      <c r="M121" s="25">
        <f t="shared" si="41"/>
        <v>1.0515067780334314E-12</v>
      </c>
      <c r="N121" s="198">
        <f t="shared" si="42"/>
        <v>-3.9316653072302868E-12</v>
      </c>
      <c r="O121" s="203">
        <f t="shared" si="43"/>
        <v>-2.5977039192418121E-17</v>
      </c>
      <c r="P121" s="25">
        <f t="shared" si="44"/>
        <v>-3.931691284269479E-12</v>
      </c>
      <c r="R121" s="9"/>
      <c r="S121" s="18"/>
      <c r="U121" s="18"/>
      <c r="W121" s="18"/>
      <c r="AA121" s="10"/>
    </row>
    <row r="122" spans="1:27">
      <c r="A122" s="30">
        <v>62</v>
      </c>
      <c r="B122" s="34">
        <f t="shared" si="45"/>
        <v>1.2524812200288966E-20</v>
      </c>
      <c r="C122" s="34">
        <f t="shared" si="33"/>
        <v>-6.9610924688848817E-20</v>
      </c>
      <c r="D122" s="30">
        <v>62</v>
      </c>
      <c r="E122" s="34">
        <f t="shared" si="46"/>
        <v>1.2524812200288966E-20</v>
      </c>
      <c r="F122" s="34">
        <f t="shared" si="34"/>
        <v>-6.9610924688848817E-20</v>
      </c>
      <c r="G122" s="35">
        <f t="shared" si="35"/>
        <v>52</v>
      </c>
      <c r="H122" s="36">
        <f t="shared" si="36"/>
        <v>3.3956294904634096E-15</v>
      </c>
      <c r="I122" s="34">
        <f t="shared" si="37"/>
        <v>-1.320833108156023E-14</v>
      </c>
      <c r="J122" s="28">
        <f t="shared" si="38"/>
        <v>3.39564201527561E-15</v>
      </c>
      <c r="K122" s="9">
        <f t="shared" si="39"/>
        <v>3.3956294904634098E-13</v>
      </c>
      <c r="L122" s="25">
        <f t="shared" si="40"/>
        <v>1.2524812200288966E-18</v>
      </c>
      <c r="M122" s="25">
        <f t="shared" si="41"/>
        <v>3.3956420152756103E-13</v>
      </c>
      <c r="N122" s="198">
        <f t="shared" si="42"/>
        <v>-1.320833108156023E-12</v>
      </c>
      <c r="O122" s="203">
        <f t="shared" si="43"/>
        <v>-6.9610924688848812E-18</v>
      </c>
      <c r="P122" s="25">
        <f t="shared" si="44"/>
        <v>-1.3208400692484919E-12</v>
      </c>
      <c r="R122" s="9"/>
      <c r="S122" s="18"/>
      <c r="U122" s="18"/>
      <c r="W122" s="18"/>
      <c r="AA122" s="10"/>
    </row>
    <row r="123" spans="1:27">
      <c r="A123" s="30">
        <v>63</v>
      </c>
      <c r="B123" s="34">
        <f t="shared" si="45"/>
        <v>3.1771022537062353E-21</v>
      </c>
      <c r="C123" s="34">
        <f t="shared" si="33"/>
        <v>-1.8238920345350609E-20</v>
      </c>
      <c r="D123" s="30">
        <v>63</v>
      </c>
      <c r="E123" s="34">
        <f t="shared" si="46"/>
        <v>3.1771022537062353E-21</v>
      </c>
      <c r="F123" s="34">
        <f t="shared" si="34"/>
        <v>-1.8238920345350609E-20</v>
      </c>
      <c r="G123" s="35">
        <f t="shared" si="35"/>
        <v>53</v>
      </c>
      <c r="H123" s="36">
        <f t="shared" si="36"/>
        <v>1.0727503662088742E-15</v>
      </c>
      <c r="I123" s="34">
        <f t="shared" si="37"/>
        <v>-4.3376001318633172E-15</v>
      </c>
      <c r="J123" s="28">
        <f t="shared" si="38"/>
        <v>1.072753543311128E-15</v>
      </c>
      <c r="K123" s="9">
        <f t="shared" si="39"/>
        <v>1.0727503662088742E-13</v>
      </c>
      <c r="L123" s="25">
        <f t="shared" si="40"/>
        <v>3.1771022537062355E-19</v>
      </c>
      <c r="M123" s="25">
        <f t="shared" si="41"/>
        <v>1.0727535433111279E-13</v>
      </c>
      <c r="N123" s="198">
        <f t="shared" si="42"/>
        <v>-4.3376001318633173E-13</v>
      </c>
      <c r="O123" s="203">
        <f t="shared" si="43"/>
        <v>-1.8238920345350609E-18</v>
      </c>
      <c r="P123" s="25">
        <f t="shared" si="44"/>
        <v>-4.3376183707836625E-13</v>
      </c>
      <c r="R123" s="9"/>
      <c r="S123" s="18"/>
      <c r="U123" s="18"/>
      <c r="W123" s="18"/>
      <c r="AA123" s="10"/>
    </row>
    <row r="124" spans="1:27">
      <c r="A124" s="30">
        <v>64</v>
      </c>
      <c r="B124" s="34">
        <f t="shared" si="45"/>
        <v>7.884230671930796E-22</v>
      </c>
      <c r="C124" s="34">
        <f t="shared" si="33"/>
        <v>-4.6726414006019115E-21</v>
      </c>
      <c r="D124" s="30">
        <v>64</v>
      </c>
      <c r="E124" s="34">
        <f t="shared" si="46"/>
        <v>7.884230671930796E-22</v>
      </c>
      <c r="F124" s="34">
        <f t="shared" si="34"/>
        <v>-4.6726414006019115E-21</v>
      </c>
      <c r="G124" s="35">
        <f t="shared" si="35"/>
        <v>54</v>
      </c>
      <c r="H124" s="36">
        <f t="shared" si="36"/>
        <v>3.3154707877399342E-16</v>
      </c>
      <c r="I124" s="34">
        <f t="shared" si="37"/>
        <v>-1.3924977308507721E-15</v>
      </c>
      <c r="J124" s="28">
        <f t="shared" si="38"/>
        <v>3.3154786719706062E-16</v>
      </c>
      <c r="K124" s="9">
        <f t="shared" si="39"/>
        <v>3.3154707877399341E-14</v>
      </c>
      <c r="L124" s="25">
        <f t="shared" si="40"/>
        <v>7.8842306719307962E-20</v>
      </c>
      <c r="M124" s="25">
        <f t="shared" si="41"/>
        <v>3.3154786719706063E-14</v>
      </c>
      <c r="N124" s="198">
        <f t="shared" si="42"/>
        <v>-1.3924977308507722E-13</v>
      </c>
      <c r="O124" s="203">
        <f t="shared" si="43"/>
        <v>-4.6726414006019111E-19</v>
      </c>
      <c r="P124" s="25">
        <f t="shared" si="44"/>
        <v>-1.3925024034921728E-13</v>
      </c>
      <c r="R124" s="9"/>
      <c r="S124" s="18"/>
      <c r="U124" s="18"/>
      <c r="W124" s="18"/>
      <c r="AA124" s="10"/>
    </row>
    <row r="125" spans="1:27">
      <c r="A125" s="30">
        <v>65</v>
      </c>
      <c r="B125" s="34">
        <f t="shared" si="45"/>
        <v>1.9140602804368255E-22</v>
      </c>
      <c r="C125" s="34">
        <f t="shared" si="33"/>
        <v>-1.1705086878197618E-21</v>
      </c>
      <c r="D125" s="30">
        <v>65</v>
      </c>
      <c r="E125" s="34">
        <f t="shared" si="46"/>
        <v>1.9140602804368255E-22</v>
      </c>
      <c r="F125" s="34">
        <f t="shared" si="34"/>
        <v>-1.1705086878197618E-21</v>
      </c>
      <c r="G125" s="35">
        <f t="shared" si="35"/>
        <v>55</v>
      </c>
      <c r="H125" s="36">
        <f t="shared" si="36"/>
        <v>1.0024434893529742E-16</v>
      </c>
      <c r="I125" s="34">
        <f t="shared" si="37"/>
        <v>-4.3701402451710682E-16</v>
      </c>
      <c r="J125" s="28">
        <f t="shared" si="38"/>
        <v>1.0024454034132547E-16</v>
      </c>
      <c r="K125" s="9">
        <f t="shared" si="39"/>
        <v>1.0024434893529742E-14</v>
      </c>
      <c r="L125" s="25">
        <f t="shared" si="40"/>
        <v>1.9140602804368255E-20</v>
      </c>
      <c r="M125" s="25">
        <f t="shared" si="41"/>
        <v>1.0024454034132546E-14</v>
      </c>
      <c r="N125" s="198">
        <f t="shared" si="42"/>
        <v>-4.3701402451710684E-14</v>
      </c>
      <c r="O125" s="203">
        <f t="shared" si="43"/>
        <v>-1.1705086878197618E-19</v>
      </c>
      <c r="P125" s="25">
        <f t="shared" si="44"/>
        <v>-4.3701519502579468E-14</v>
      </c>
      <c r="R125" s="9"/>
      <c r="S125" s="18"/>
      <c r="U125" s="18"/>
      <c r="W125" s="18"/>
      <c r="AA125" s="10"/>
    </row>
    <row r="126" spans="1:27">
      <c r="A126" s="30">
        <v>66</v>
      </c>
      <c r="B126" s="34">
        <f t="shared" si="45"/>
        <v>4.5459019015496739E-23</v>
      </c>
      <c r="C126" s="34">
        <f t="shared" si="33"/>
        <v>-2.867098458565856E-22</v>
      </c>
      <c r="D126" s="30">
        <v>66</v>
      </c>
      <c r="E126" s="34">
        <f t="shared" si="46"/>
        <v>4.5459019015496739E-23</v>
      </c>
      <c r="F126" s="34">
        <f t="shared" si="34"/>
        <v>-2.867098458565856E-22</v>
      </c>
      <c r="G126" s="35">
        <f t="shared" si="35"/>
        <v>56</v>
      </c>
      <c r="H126" s="36">
        <f t="shared" si="36"/>
        <v>2.9651232681280518E-17</v>
      </c>
      <c r="I126" s="34">
        <f t="shared" si="37"/>
        <v>-1.3407997278383884E-16</v>
      </c>
      <c r="J126" s="28">
        <f t="shared" si="38"/>
        <v>2.9651278140299535E-17</v>
      </c>
      <c r="K126" s="9">
        <f t="shared" si="39"/>
        <v>2.9651232681280518E-15</v>
      </c>
      <c r="L126" s="25">
        <f t="shared" si="40"/>
        <v>4.5459019015496739E-21</v>
      </c>
      <c r="M126" s="25">
        <f t="shared" si="41"/>
        <v>2.9651278140299532E-15</v>
      </c>
      <c r="N126" s="198">
        <f t="shared" si="42"/>
        <v>-1.3407997278383883E-14</v>
      </c>
      <c r="O126" s="203">
        <f t="shared" si="43"/>
        <v>-2.867098458565856E-20</v>
      </c>
      <c r="P126" s="25">
        <f t="shared" si="44"/>
        <v>-1.340802594936847E-14</v>
      </c>
      <c r="R126" s="9"/>
      <c r="S126" s="18"/>
      <c r="U126" s="18"/>
      <c r="W126" s="18"/>
      <c r="AA126" s="10"/>
    </row>
    <row r="127" spans="1:27">
      <c r="A127" s="30">
        <v>67</v>
      </c>
      <c r="B127" s="34">
        <f t="shared" si="45"/>
        <v>1.0562158189900846E-23</v>
      </c>
      <c r="C127" s="34">
        <f t="shared" si="33"/>
        <v>-6.8670931551074586E-23</v>
      </c>
      <c r="D127" s="30">
        <v>67</v>
      </c>
      <c r="E127" s="34">
        <f t="shared" si="46"/>
        <v>1.0562158189900846E-23</v>
      </c>
      <c r="F127" s="34">
        <f t="shared" si="34"/>
        <v>-6.8670931551074586E-23</v>
      </c>
      <c r="G127" s="35">
        <f t="shared" si="35"/>
        <v>57</v>
      </c>
      <c r="H127" s="36">
        <f t="shared" si="36"/>
        <v>8.5801279785697797E-18</v>
      </c>
      <c r="I127" s="34">
        <f t="shared" si="37"/>
        <v>-4.0217143076506082E-17</v>
      </c>
      <c r="J127" s="28">
        <f t="shared" si="38"/>
        <v>8.5801385407279702E-18</v>
      </c>
      <c r="K127" s="9">
        <f t="shared" si="39"/>
        <v>8.58012797856978E-16</v>
      </c>
      <c r="L127" s="25">
        <f t="shared" si="40"/>
        <v>1.0562158189900847E-21</v>
      </c>
      <c r="M127" s="25">
        <f t="shared" si="41"/>
        <v>8.5801385407279696E-16</v>
      </c>
      <c r="N127" s="198">
        <f t="shared" si="42"/>
        <v>-4.0217143076506086E-15</v>
      </c>
      <c r="O127" s="203">
        <f t="shared" si="43"/>
        <v>-6.8670931551074589E-21</v>
      </c>
      <c r="P127" s="25">
        <f t="shared" si="44"/>
        <v>-4.0217211747437638E-15</v>
      </c>
      <c r="R127" s="9"/>
      <c r="S127" s="18"/>
      <c r="U127" s="18"/>
      <c r="W127" s="18"/>
      <c r="AA127" s="10"/>
    </row>
    <row r="128" spans="1:27">
      <c r="A128" s="30">
        <v>68</v>
      </c>
      <c r="B128" s="34">
        <f t="shared" si="45"/>
        <v>2.4007859189044857E-24</v>
      </c>
      <c r="C128" s="34">
        <f t="shared" si="33"/>
        <v>-1.6083179925866311E-23</v>
      </c>
      <c r="D128" s="30">
        <v>68</v>
      </c>
      <c r="E128" s="34">
        <f t="shared" si="46"/>
        <v>2.4007859189044857E-24</v>
      </c>
      <c r="F128" s="34">
        <f t="shared" si="34"/>
        <v>-1.6083179925866311E-23</v>
      </c>
      <c r="G128" s="35">
        <f t="shared" si="35"/>
        <v>58</v>
      </c>
      <c r="H128" s="36">
        <f t="shared" si="36"/>
        <v>2.4289184739302576E-18</v>
      </c>
      <c r="I128" s="34">
        <f t="shared" si="37"/>
        <v>-1.1793637528424968E-17</v>
      </c>
      <c r="J128" s="28">
        <f t="shared" si="38"/>
        <v>2.4289208747161763E-18</v>
      </c>
      <c r="K128" s="9">
        <f t="shared" si="39"/>
        <v>2.4289184739302578E-16</v>
      </c>
      <c r="L128" s="25">
        <f t="shared" si="40"/>
        <v>2.4007859189044855E-22</v>
      </c>
      <c r="M128" s="25">
        <f t="shared" si="41"/>
        <v>2.4289208747161768E-16</v>
      </c>
      <c r="N128" s="198">
        <f t="shared" si="42"/>
        <v>-1.1793637528424968E-15</v>
      </c>
      <c r="O128" s="203">
        <f t="shared" si="43"/>
        <v>-1.6083179925866312E-21</v>
      </c>
      <c r="P128" s="25">
        <f t="shared" si="44"/>
        <v>-1.1793653611604895E-15</v>
      </c>
      <c r="R128" s="9"/>
      <c r="S128" s="18"/>
      <c r="U128" s="18"/>
      <c r="W128" s="18"/>
      <c r="AA128" s="10"/>
    </row>
    <row r="129" spans="1:27">
      <c r="A129" s="30">
        <v>69</v>
      </c>
      <c r="B129" s="34">
        <f t="shared" si="45"/>
        <v>5.3385382933866359E-25</v>
      </c>
      <c r="C129" s="34">
        <f t="shared" si="33"/>
        <v>-3.6833717295028941E-24</v>
      </c>
      <c r="D129" s="30">
        <v>69</v>
      </c>
      <c r="E129" s="34">
        <f t="shared" si="46"/>
        <v>5.3385382933866359E-25</v>
      </c>
      <c r="F129" s="34">
        <f t="shared" si="34"/>
        <v>-3.6833717295028941E-24</v>
      </c>
      <c r="G129" s="35">
        <f t="shared" si="35"/>
        <v>59</v>
      </c>
      <c r="H129" s="36">
        <f t="shared" si="36"/>
        <v>6.7266722852812916E-19</v>
      </c>
      <c r="I129" s="34">
        <f t="shared" si="37"/>
        <v>-3.3812985414271308E-18</v>
      </c>
      <c r="J129" s="28">
        <f t="shared" si="38"/>
        <v>6.726677623819585E-19</v>
      </c>
      <c r="K129" s="9">
        <f t="shared" si="39"/>
        <v>6.7266722852812917E-17</v>
      </c>
      <c r="L129" s="25">
        <f t="shared" si="40"/>
        <v>5.3385382933866363E-23</v>
      </c>
      <c r="M129" s="25">
        <f t="shared" si="41"/>
        <v>6.726677623819585E-17</v>
      </c>
      <c r="N129" s="198">
        <f t="shared" si="42"/>
        <v>-3.3812985414271306E-16</v>
      </c>
      <c r="O129" s="203">
        <f t="shared" si="43"/>
        <v>-3.6833717295028941E-22</v>
      </c>
      <c r="P129" s="25">
        <f t="shared" si="44"/>
        <v>-3.3813022247988601E-16</v>
      </c>
      <c r="R129" s="9"/>
      <c r="S129" s="18"/>
      <c r="U129" s="18"/>
      <c r="W129" s="18"/>
      <c r="AA129" s="10"/>
    </row>
    <row r="130" spans="1:27">
      <c r="A130" s="30">
        <v>70</v>
      </c>
      <c r="B130" s="34">
        <f t="shared" si="45"/>
        <v>1.1613401715959513E-25</v>
      </c>
      <c r="C130" s="34">
        <f t="shared" si="33"/>
        <v>-8.248966846641896E-25</v>
      </c>
      <c r="D130" s="30">
        <v>70</v>
      </c>
      <c r="E130" s="34">
        <f t="shared" si="46"/>
        <v>1.1613401715959513E-25</v>
      </c>
      <c r="F130" s="34">
        <f t="shared" si="34"/>
        <v>-8.248966846641896E-25</v>
      </c>
      <c r="G130" s="35">
        <f t="shared" si="35"/>
        <v>60</v>
      </c>
      <c r="H130" s="36">
        <f t="shared" si="36"/>
        <v>1.8224505845800305E-19</v>
      </c>
      <c r="I130" s="34">
        <f t="shared" si="37"/>
        <v>-9.4782429991450296E-19</v>
      </c>
      <c r="J130" s="28">
        <f t="shared" si="38"/>
        <v>1.8224517459202022E-19</v>
      </c>
      <c r="K130" s="9">
        <f t="shared" si="39"/>
        <v>1.8224505845800306E-17</v>
      </c>
      <c r="L130" s="25">
        <f t="shared" si="40"/>
        <v>1.1613401715959513E-23</v>
      </c>
      <c r="M130" s="25">
        <f t="shared" si="41"/>
        <v>1.8224517459202022E-17</v>
      </c>
      <c r="N130" s="198">
        <f t="shared" si="42"/>
        <v>-9.4782429991450291E-17</v>
      </c>
      <c r="O130" s="203">
        <f t="shared" si="43"/>
        <v>-8.2489668466418961E-23</v>
      </c>
      <c r="P130" s="25">
        <f t="shared" si="44"/>
        <v>-9.4782512481118762E-17</v>
      </c>
      <c r="R130" s="9"/>
      <c r="S130" s="18"/>
      <c r="U130" s="18"/>
      <c r="W130" s="18"/>
      <c r="AA130" s="10"/>
    </row>
    <row r="131" spans="1:27">
      <c r="A131" s="30">
        <v>71</v>
      </c>
      <c r="B131" s="34">
        <f t="shared" si="45"/>
        <v>2.4715232197012076E-26</v>
      </c>
      <c r="C131" s="34">
        <f t="shared" si="33"/>
        <v>-1.8065060482950015E-25</v>
      </c>
      <c r="D131" s="30">
        <v>71</v>
      </c>
      <c r="E131" s="34">
        <f t="shared" si="46"/>
        <v>2.4715232197012076E-26</v>
      </c>
      <c r="F131" s="34">
        <f t="shared" si="34"/>
        <v>-1.8065060482950015E-25</v>
      </c>
      <c r="G131" s="35">
        <f t="shared" si="35"/>
        <v>61</v>
      </c>
      <c r="H131" s="36">
        <f t="shared" si="36"/>
        <v>4.8303590315624354E-20</v>
      </c>
      <c r="I131" s="34">
        <f t="shared" si="37"/>
        <v>-2.597703919241812E-19</v>
      </c>
      <c r="J131" s="28">
        <f t="shared" si="38"/>
        <v>4.8303615030856552E-20</v>
      </c>
      <c r="K131" s="9">
        <f t="shared" si="39"/>
        <v>4.8303590315624351E-18</v>
      </c>
      <c r="L131" s="25">
        <f t="shared" si="40"/>
        <v>2.4715232197012075E-24</v>
      </c>
      <c r="M131" s="25">
        <f t="shared" si="41"/>
        <v>4.8303615030856545E-18</v>
      </c>
      <c r="N131" s="198">
        <f t="shared" si="42"/>
        <v>-2.5977039192418121E-17</v>
      </c>
      <c r="O131" s="203">
        <f t="shared" si="43"/>
        <v>-1.8065060482950016E-23</v>
      </c>
      <c r="P131" s="25">
        <f t="shared" si="44"/>
        <v>-2.5977057257478605E-17</v>
      </c>
      <c r="R131" s="9"/>
      <c r="S131" s="18"/>
      <c r="U131" s="18"/>
      <c r="W131" s="18"/>
      <c r="AA131" s="10"/>
    </row>
    <row r="132" spans="1:27">
      <c r="A132" s="30">
        <v>72</v>
      </c>
      <c r="B132" s="34">
        <f t="shared" si="45"/>
        <v>5.14562461895181E-27</v>
      </c>
      <c r="C132" s="34">
        <f t="shared" si="33"/>
        <v>-3.8687473986933975E-26</v>
      </c>
      <c r="D132" s="30">
        <v>72</v>
      </c>
      <c r="E132" s="34">
        <f t="shared" si="46"/>
        <v>5.14562461895181E-27</v>
      </c>
      <c r="F132" s="34">
        <f t="shared" si="34"/>
        <v>-3.8687473986933975E-26</v>
      </c>
      <c r="G132" s="35">
        <f t="shared" si="35"/>
        <v>62</v>
      </c>
      <c r="H132" s="36">
        <f t="shared" si="36"/>
        <v>1.2524812200288966E-20</v>
      </c>
      <c r="I132" s="34">
        <f t="shared" si="37"/>
        <v>-6.9610924688848817E-20</v>
      </c>
      <c r="J132" s="28">
        <f t="shared" si="38"/>
        <v>1.2524817345913585E-20</v>
      </c>
      <c r="K132" s="9">
        <f t="shared" si="39"/>
        <v>1.2524812200288966E-18</v>
      </c>
      <c r="L132" s="25">
        <f t="shared" si="40"/>
        <v>5.1456246189518103E-25</v>
      </c>
      <c r="M132" s="25">
        <f t="shared" si="41"/>
        <v>1.2524817345913584E-18</v>
      </c>
      <c r="N132" s="198">
        <f t="shared" si="42"/>
        <v>-6.9610924688848812E-18</v>
      </c>
      <c r="O132" s="203">
        <f t="shared" si="43"/>
        <v>-3.8687473986933978E-24</v>
      </c>
      <c r="P132" s="25">
        <f t="shared" si="44"/>
        <v>-6.9610963376322805E-18</v>
      </c>
      <c r="R132" s="9"/>
      <c r="S132" s="18"/>
      <c r="U132" s="18"/>
      <c r="W132" s="18"/>
      <c r="AA132" s="10"/>
    </row>
    <row r="133" spans="1:27">
      <c r="A133" s="30">
        <v>73</v>
      </c>
      <c r="B133" s="34">
        <f t="shared" si="45"/>
        <v>1.0480443613522691E-27</v>
      </c>
      <c r="C133" s="34">
        <f t="shared" si="33"/>
        <v>-8.1020969443908618E-27</v>
      </c>
      <c r="D133" s="30">
        <v>73</v>
      </c>
      <c r="E133" s="34">
        <f t="shared" si="46"/>
        <v>1.0480443613522691E-27</v>
      </c>
      <c r="F133" s="34">
        <f t="shared" si="34"/>
        <v>-8.1020969443908618E-27</v>
      </c>
      <c r="G133" s="35">
        <f t="shared" si="35"/>
        <v>63</v>
      </c>
      <c r="H133" s="36">
        <f t="shared" si="36"/>
        <v>3.1771022537062353E-21</v>
      </c>
      <c r="I133" s="34">
        <f t="shared" si="37"/>
        <v>-1.8238920345350609E-20</v>
      </c>
      <c r="J133" s="28">
        <f t="shared" si="38"/>
        <v>3.1771033017505967E-21</v>
      </c>
      <c r="K133" s="9">
        <f t="shared" si="39"/>
        <v>3.1771022537062355E-19</v>
      </c>
      <c r="L133" s="25">
        <f t="shared" si="40"/>
        <v>1.0480443613522691E-25</v>
      </c>
      <c r="M133" s="25">
        <f t="shared" si="41"/>
        <v>3.1771033017505968E-19</v>
      </c>
      <c r="N133" s="198">
        <f t="shared" si="42"/>
        <v>-1.8238920345350609E-18</v>
      </c>
      <c r="O133" s="203">
        <f t="shared" si="43"/>
        <v>-8.1020969443908619E-25</v>
      </c>
      <c r="P133" s="25">
        <f t="shared" si="44"/>
        <v>-1.8238928447447555E-18</v>
      </c>
      <c r="R133" s="9"/>
      <c r="S133" s="18"/>
      <c r="U133" s="18"/>
      <c r="W133" s="18"/>
      <c r="AA133" s="10"/>
    </row>
    <row r="134" spans="1:27">
      <c r="A134" s="30">
        <v>74</v>
      </c>
      <c r="B134" s="34">
        <f t="shared" si="45"/>
        <v>2.0882831796281909E-28</v>
      </c>
      <c r="C134" s="34">
        <f t="shared" si="33"/>
        <v>-1.6593018804604906E-27</v>
      </c>
      <c r="D134" s="30">
        <v>74</v>
      </c>
      <c r="E134" s="34">
        <f t="shared" si="46"/>
        <v>2.0882831796281909E-28</v>
      </c>
      <c r="F134" s="34">
        <f t="shared" si="34"/>
        <v>-1.6593018804604906E-27</v>
      </c>
      <c r="G134" s="35">
        <f t="shared" si="35"/>
        <v>64</v>
      </c>
      <c r="H134" s="36">
        <f t="shared" si="36"/>
        <v>7.884230671930796E-22</v>
      </c>
      <c r="I134" s="34">
        <f t="shared" si="37"/>
        <v>-4.6726414006019115E-21</v>
      </c>
      <c r="J134" s="28">
        <f t="shared" si="38"/>
        <v>7.8842327602139752E-22</v>
      </c>
      <c r="K134" s="9">
        <f t="shared" si="39"/>
        <v>7.8842306719307962E-20</v>
      </c>
      <c r="L134" s="25">
        <f t="shared" si="40"/>
        <v>2.0882831796281908E-26</v>
      </c>
      <c r="M134" s="25">
        <f t="shared" si="41"/>
        <v>7.8842327602139759E-20</v>
      </c>
      <c r="N134" s="198">
        <f t="shared" si="42"/>
        <v>-4.6726414006019111E-19</v>
      </c>
      <c r="O134" s="203">
        <f t="shared" si="43"/>
        <v>-1.6593018804604906E-25</v>
      </c>
      <c r="P134" s="25">
        <f t="shared" si="44"/>
        <v>-4.6726430599037913E-19</v>
      </c>
      <c r="R134" s="9"/>
      <c r="S134" s="18"/>
      <c r="U134" s="18"/>
      <c r="W134" s="18"/>
      <c r="AA134" s="10"/>
    </row>
    <row r="135" spans="1:27">
      <c r="A135" s="30">
        <v>75</v>
      </c>
      <c r="B135" s="34">
        <f t="shared" si="45"/>
        <v>4.0706829166447935E-29</v>
      </c>
      <c r="C135" s="34">
        <f t="shared" si="33"/>
        <v>-3.3232184238847494E-28</v>
      </c>
      <c r="D135" s="30">
        <v>75</v>
      </c>
      <c r="E135" s="34">
        <f t="shared" si="46"/>
        <v>4.0706829166447935E-29</v>
      </c>
      <c r="F135" s="34">
        <f t="shared" si="34"/>
        <v>-3.3232184238847494E-28</v>
      </c>
      <c r="G135" s="35">
        <f t="shared" si="35"/>
        <v>65</v>
      </c>
      <c r="H135" s="36">
        <f t="shared" si="36"/>
        <v>1.9140602804368255E-22</v>
      </c>
      <c r="I135" s="34">
        <f t="shared" si="37"/>
        <v>-1.1705086878197618E-21</v>
      </c>
      <c r="J135" s="28">
        <f t="shared" si="38"/>
        <v>1.9140606875051171E-22</v>
      </c>
      <c r="K135" s="9">
        <f t="shared" si="39"/>
        <v>1.9140602804368255E-20</v>
      </c>
      <c r="L135" s="25">
        <f t="shared" si="40"/>
        <v>4.0706829166447933E-27</v>
      </c>
      <c r="M135" s="25">
        <f t="shared" si="41"/>
        <v>1.9140606875051173E-20</v>
      </c>
      <c r="N135" s="198">
        <f t="shared" si="42"/>
        <v>-1.1705086878197618E-19</v>
      </c>
      <c r="O135" s="203">
        <f t="shared" si="43"/>
        <v>-3.3232184238847492E-26</v>
      </c>
      <c r="P135" s="25">
        <f t="shared" si="44"/>
        <v>-1.1705090201416043E-19</v>
      </c>
      <c r="R135" s="9"/>
      <c r="S135" s="18"/>
      <c r="U135" s="18"/>
      <c r="W135" s="18"/>
      <c r="AA135" s="10"/>
    </row>
    <row r="136" spans="1:27">
      <c r="A136" s="30">
        <v>76</v>
      </c>
      <c r="B136" s="34">
        <f t="shared" si="45"/>
        <v>7.7627092178858978E-30</v>
      </c>
      <c r="C136" s="34">
        <f t="shared" si="33"/>
        <v>-6.5088204852336912E-29</v>
      </c>
      <c r="D136" s="30">
        <v>76</v>
      </c>
      <c r="E136" s="34">
        <f t="shared" si="46"/>
        <v>7.7627092178858978E-30</v>
      </c>
      <c r="F136" s="34">
        <f t="shared" si="34"/>
        <v>-6.5088204852336912E-29</v>
      </c>
      <c r="G136" s="35">
        <f t="shared" si="35"/>
        <v>66</v>
      </c>
      <c r="H136" s="36">
        <f t="shared" si="36"/>
        <v>4.5459019015496739E-23</v>
      </c>
      <c r="I136" s="34">
        <f t="shared" si="37"/>
        <v>-2.867098458565856E-22</v>
      </c>
      <c r="J136" s="28">
        <f t="shared" si="38"/>
        <v>4.5459026778205955E-23</v>
      </c>
      <c r="K136" s="9">
        <f t="shared" si="39"/>
        <v>4.5459019015496739E-21</v>
      </c>
      <c r="L136" s="25">
        <f t="shared" si="40"/>
        <v>7.7627092178858976E-28</v>
      </c>
      <c r="M136" s="25">
        <f t="shared" si="41"/>
        <v>4.545902677820596E-21</v>
      </c>
      <c r="N136" s="198">
        <f t="shared" si="42"/>
        <v>-2.867098458565856E-20</v>
      </c>
      <c r="O136" s="203">
        <f t="shared" si="43"/>
        <v>-6.5088204852336909E-27</v>
      </c>
      <c r="P136" s="25">
        <f t="shared" si="44"/>
        <v>-2.8670991094479045E-20</v>
      </c>
      <c r="R136" s="9"/>
      <c r="S136" s="18"/>
      <c r="U136" s="18"/>
      <c r="W136" s="18"/>
      <c r="AA136" s="10"/>
    </row>
    <row r="137" spans="1:27">
      <c r="A137" s="30">
        <v>77</v>
      </c>
      <c r="B137" s="34">
        <f t="shared" si="45"/>
        <v>1.4481965933009644E-30</v>
      </c>
      <c r="C137" s="34">
        <f t="shared" si="33"/>
        <v>-1.2466939763181188E-29</v>
      </c>
      <c r="D137" s="30">
        <v>77</v>
      </c>
      <c r="E137" s="34">
        <f t="shared" si="46"/>
        <v>1.4481965933009644E-30</v>
      </c>
      <c r="F137" s="34">
        <f t="shared" si="34"/>
        <v>-1.2466939763181188E-29</v>
      </c>
      <c r="G137" s="35">
        <f t="shared" si="35"/>
        <v>67</v>
      </c>
      <c r="H137" s="36">
        <f t="shared" si="36"/>
        <v>1.0562158189900846E-23</v>
      </c>
      <c r="I137" s="34">
        <f t="shared" si="37"/>
        <v>-6.8670931551074586E-23</v>
      </c>
      <c r="J137" s="28">
        <f t="shared" si="38"/>
        <v>1.0562159638097439E-23</v>
      </c>
      <c r="K137" s="9">
        <f t="shared" si="39"/>
        <v>1.0562158189900847E-21</v>
      </c>
      <c r="L137" s="25">
        <f t="shared" si="40"/>
        <v>1.4481965933009643E-28</v>
      </c>
      <c r="M137" s="25">
        <f t="shared" si="41"/>
        <v>1.056215963809744E-21</v>
      </c>
      <c r="N137" s="198">
        <f t="shared" si="42"/>
        <v>-6.8670931551074589E-21</v>
      </c>
      <c r="O137" s="203">
        <f t="shared" si="43"/>
        <v>-1.2466939763181187E-27</v>
      </c>
      <c r="P137" s="25">
        <f t="shared" si="44"/>
        <v>-6.8670944018014356E-21</v>
      </c>
      <c r="R137" s="9"/>
      <c r="S137" s="18"/>
      <c r="U137" s="18"/>
      <c r="W137" s="18"/>
      <c r="AA137" s="10"/>
    </row>
    <row r="138" spans="1:27">
      <c r="A138" s="30">
        <v>78</v>
      </c>
      <c r="B138" s="34">
        <f t="shared" ref="B138:B166" si="47">+$D$5*EXP(-(A138^2)/(2*$B$4^2))</f>
        <v>2.6430774185556291E-31</v>
      </c>
      <c r="C138" s="34">
        <f t="shared" si="33"/>
        <v>-2.3352622294810431E-30</v>
      </c>
      <c r="D138" s="30">
        <v>78</v>
      </c>
      <c r="E138" s="34">
        <f t="shared" ref="E138:E166" si="48">+$H$5*EXP(-(D138^2)/(2*$F$4^2))</f>
        <v>2.6430774185556291E-31</v>
      </c>
      <c r="F138" s="34">
        <f t="shared" si="34"/>
        <v>-2.3352622294810431E-30</v>
      </c>
      <c r="G138" s="35">
        <f t="shared" si="35"/>
        <v>68</v>
      </c>
      <c r="H138" s="36">
        <f t="shared" si="36"/>
        <v>2.4007859189044857E-24</v>
      </c>
      <c r="I138" s="34">
        <f t="shared" si="37"/>
        <v>-1.6083179925866311E-23</v>
      </c>
      <c r="J138" s="28">
        <f t="shared" si="38"/>
        <v>2.4007861832122276E-24</v>
      </c>
      <c r="K138" s="9">
        <f t="shared" si="39"/>
        <v>2.4007859189044855E-22</v>
      </c>
      <c r="L138" s="25">
        <f t="shared" si="40"/>
        <v>2.6430774185556292E-29</v>
      </c>
      <c r="M138" s="25">
        <f t="shared" si="41"/>
        <v>2.4007861832122274E-22</v>
      </c>
      <c r="N138" s="198">
        <f t="shared" si="42"/>
        <v>-1.6083179925866312E-21</v>
      </c>
      <c r="O138" s="203">
        <f t="shared" si="43"/>
        <v>-2.3352622294810431E-28</v>
      </c>
      <c r="P138" s="25">
        <f t="shared" si="44"/>
        <v>-1.6083182261128541E-21</v>
      </c>
      <c r="R138" s="9"/>
      <c r="S138" s="18"/>
      <c r="U138" s="18"/>
      <c r="W138" s="18"/>
      <c r="AA138" s="10"/>
    </row>
    <row r="139" spans="1:27">
      <c r="A139" s="30">
        <v>79</v>
      </c>
      <c r="B139" s="34">
        <f t="shared" si="47"/>
        <v>4.719113323845126E-32</v>
      </c>
      <c r="C139" s="34">
        <f t="shared" ref="C139:C166" si="49">+$D$5/$B$5*(1-((A139^2)/($B$4^2)))*EXP(-(A139^2)/(2*$B$4^2))</f>
        <v>-4.2779290942185256E-31</v>
      </c>
      <c r="D139" s="30">
        <v>79</v>
      </c>
      <c r="E139" s="34">
        <f t="shared" si="48"/>
        <v>4.719113323845126E-32</v>
      </c>
      <c r="F139" s="34">
        <f t="shared" ref="F139:F166" si="50">+$H$5/$F$5*(1-((D139^2)/($F$4^2)))*EXP(-(D139^2)/(2*$F$4^2))</f>
        <v>-4.2779290942185256E-31</v>
      </c>
      <c r="G139" s="35">
        <f t="shared" ref="G139:G166" si="51">IF(OR($F$5=0,$F$6=0),A139,A139-$D$2)</f>
        <v>69</v>
      </c>
      <c r="H139" s="36">
        <f t="shared" ref="H139:H166" si="52">+$D$5*EXP(-(G139^2)/(2*$B$4^2))</f>
        <v>5.3385382933866359E-25</v>
      </c>
      <c r="I139" s="34">
        <f t="shared" ref="I139:I166" si="53">+$D$5/$B$5*(1-G139^2/($B$2^2*$B$5^2))*EXP(-(G139^2)/(2*$B$4^2))</f>
        <v>-3.6833717295028941E-24</v>
      </c>
      <c r="J139" s="28">
        <f t="shared" ref="J139:J166" si="54">+H139+B139</f>
        <v>5.3385387652979687E-25</v>
      </c>
      <c r="K139" s="9">
        <f t="shared" ref="K139:K166" si="55">+H139*100</f>
        <v>5.3385382933866363E-23</v>
      </c>
      <c r="L139" s="25">
        <f t="shared" ref="L139:L166" si="56">+E139*100</f>
        <v>4.7191133238451258E-30</v>
      </c>
      <c r="M139" s="25">
        <f t="shared" ref="M139:M166" si="57">+IF(OR($B$5=0,$B$6=0),L139,IF(OR($F$5=0,$F$6=0),K139,K139+L139))</f>
        <v>5.3385387652979688E-23</v>
      </c>
      <c r="N139" s="198">
        <f t="shared" ref="N139:N166" si="58">+I139*100</f>
        <v>-3.6833717295028941E-22</v>
      </c>
      <c r="O139" s="203">
        <f t="shared" ref="O139:O166" si="59">+F139*100</f>
        <v>-4.2779290942185254E-29</v>
      </c>
      <c r="P139" s="25">
        <f t="shared" ref="P139:P166" si="60">+IF(OR($B$5=0,$B$6=0),O139,IF(OR($F$5=0,$F$6=0),N139,N139+O139))</f>
        <v>-3.6833721572958038E-22</v>
      </c>
      <c r="R139" s="9"/>
      <c r="S139" s="18"/>
      <c r="U139" s="18"/>
      <c r="W139" s="18"/>
      <c r="AA139" s="10"/>
    </row>
    <row r="140" spans="1:27">
      <c r="A140" s="30">
        <v>80</v>
      </c>
      <c r="B140" s="34">
        <f t="shared" si="47"/>
        <v>8.2428821046570735E-33</v>
      </c>
      <c r="C140" s="34">
        <f t="shared" si="49"/>
        <v>-7.6640335296075836E-32</v>
      </c>
      <c r="D140" s="30">
        <v>80</v>
      </c>
      <c r="E140" s="34">
        <f t="shared" si="48"/>
        <v>8.2428821046570735E-33</v>
      </c>
      <c r="F140" s="34">
        <f t="shared" si="50"/>
        <v>-7.6640335296075836E-32</v>
      </c>
      <c r="G140" s="35">
        <f t="shared" si="51"/>
        <v>70</v>
      </c>
      <c r="H140" s="36">
        <f t="shared" si="52"/>
        <v>1.1613401715959513E-25</v>
      </c>
      <c r="I140" s="34">
        <f t="shared" si="53"/>
        <v>-8.248966846641896E-25</v>
      </c>
      <c r="J140" s="28">
        <f t="shared" si="54"/>
        <v>1.1613402540247723E-25</v>
      </c>
      <c r="K140" s="9">
        <f t="shared" si="55"/>
        <v>1.1613401715959513E-23</v>
      </c>
      <c r="L140" s="25">
        <f t="shared" si="56"/>
        <v>8.2428821046570737E-31</v>
      </c>
      <c r="M140" s="25">
        <f t="shared" si="57"/>
        <v>1.1613402540247724E-23</v>
      </c>
      <c r="N140" s="198">
        <f t="shared" si="58"/>
        <v>-8.2489668466418961E-23</v>
      </c>
      <c r="O140" s="203">
        <f t="shared" si="59"/>
        <v>-7.6640335296075839E-30</v>
      </c>
      <c r="P140" s="25">
        <f t="shared" si="60"/>
        <v>-8.2489676130452485E-23</v>
      </c>
      <c r="R140" s="9"/>
      <c r="S140" s="18"/>
      <c r="U140" s="18"/>
      <c r="W140" s="18"/>
      <c r="AA140" s="10"/>
    </row>
    <row r="141" spans="1:27">
      <c r="A141" s="30">
        <v>81</v>
      </c>
      <c r="B141" s="34">
        <f t="shared" si="47"/>
        <v>1.4085294429389905E-33</v>
      </c>
      <c r="C141" s="34">
        <f t="shared" si="49"/>
        <v>-1.3427980689351711E-32</v>
      </c>
      <c r="D141" s="30">
        <v>81</v>
      </c>
      <c r="E141" s="34">
        <f t="shared" si="48"/>
        <v>1.4085294429389905E-33</v>
      </c>
      <c r="F141" s="34">
        <f t="shared" si="50"/>
        <v>-1.3427980689351711E-32</v>
      </c>
      <c r="G141" s="35">
        <f t="shared" si="51"/>
        <v>71</v>
      </c>
      <c r="H141" s="36">
        <f t="shared" si="52"/>
        <v>2.4715232197012076E-26</v>
      </c>
      <c r="I141" s="34">
        <f t="shared" si="53"/>
        <v>-1.8065060482950015E-25</v>
      </c>
      <c r="J141" s="28">
        <f t="shared" si="54"/>
        <v>2.4715233605541519E-26</v>
      </c>
      <c r="K141" s="9">
        <f t="shared" si="55"/>
        <v>2.4715232197012075E-24</v>
      </c>
      <c r="L141" s="25">
        <f t="shared" si="56"/>
        <v>1.4085294429389906E-31</v>
      </c>
      <c r="M141" s="25">
        <f t="shared" si="57"/>
        <v>2.4715233605541517E-24</v>
      </c>
      <c r="N141" s="198">
        <f t="shared" si="58"/>
        <v>-1.8065060482950016E-23</v>
      </c>
      <c r="O141" s="203">
        <f t="shared" si="59"/>
        <v>-1.3427980689351712E-30</v>
      </c>
      <c r="P141" s="25">
        <f t="shared" si="60"/>
        <v>-1.8065061825748084E-23</v>
      </c>
      <c r="R141" s="9"/>
      <c r="S141" s="18"/>
      <c r="U141" s="18"/>
      <c r="W141" s="18"/>
      <c r="AA141" s="10"/>
    </row>
    <row r="142" spans="1:27">
      <c r="A142" s="30">
        <v>82</v>
      </c>
      <c r="B142" s="34">
        <f t="shared" si="47"/>
        <v>2.3546205522753747E-34</v>
      </c>
      <c r="C142" s="34">
        <f t="shared" si="49"/>
        <v>-2.3008960138398277E-33</v>
      </c>
      <c r="D142" s="30">
        <v>82</v>
      </c>
      <c r="E142" s="34">
        <f t="shared" si="48"/>
        <v>2.3546205522753747E-34</v>
      </c>
      <c r="F142" s="34">
        <f t="shared" si="50"/>
        <v>-2.3008960138398277E-33</v>
      </c>
      <c r="G142" s="35">
        <f t="shared" si="51"/>
        <v>72</v>
      </c>
      <c r="H142" s="36">
        <f t="shared" si="52"/>
        <v>5.14562461895181E-27</v>
      </c>
      <c r="I142" s="34">
        <f t="shared" si="53"/>
        <v>-3.8687473986933975E-26</v>
      </c>
      <c r="J142" s="28">
        <f t="shared" si="54"/>
        <v>5.1456248544138652E-27</v>
      </c>
      <c r="K142" s="9">
        <f t="shared" si="55"/>
        <v>5.1456246189518103E-25</v>
      </c>
      <c r="L142" s="25">
        <f t="shared" si="56"/>
        <v>2.3546205522753748E-32</v>
      </c>
      <c r="M142" s="25">
        <f t="shared" si="57"/>
        <v>5.1456248544138659E-25</v>
      </c>
      <c r="N142" s="198">
        <f t="shared" si="58"/>
        <v>-3.8687473986933978E-24</v>
      </c>
      <c r="O142" s="203">
        <f t="shared" si="59"/>
        <v>-2.3008960138398277E-31</v>
      </c>
      <c r="P142" s="25">
        <f t="shared" si="60"/>
        <v>-3.8687476287829994E-24</v>
      </c>
      <c r="R142" s="9"/>
      <c r="S142" s="18"/>
      <c r="U142" s="18"/>
      <c r="W142" s="18"/>
      <c r="AA142" s="10"/>
    </row>
    <row r="143" spans="1:27">
      <c r="A143" s="30">
        <v>83</v>
      </c>
      <c r="B143" s="34">
        <f t="shared" si="47"/>
        <v>3.8507390645845001E-35</v>
      </c>
      <c r="C143" s="34">
        <f t="shared" si="49"/>
        <v>-3.8558452114922705E-34</v>
      </c>
      <c r="D143" s="30">
        <v>83</v>
      </c>
      <c r="E143" s="34">
        <f t="shared" si="48"/>
        <v>3.8507390645845001E-35</v>
      </c>
      <c r="F143" s="34">
        <f t="shared" si="50"/>
        <v>-3.8558452114922705E-34</v>
      </c>
      <c r="G143" s="35">
        <f t="shared" si="51"/>
        <v>73</v>
      </c>
      <c r="H143" s="36">
        <f t="shared" si="52"/>
        <v>1.0480443613522691E-27</v>
      </c>
      <c r="I143" s="34">
        <f t="shared" si="53"/>
        <v>-8.1020969443908618E-27</v>
      </c>
      <c r="J143" s="28">
        <f t="shared" si="54"/>
        <v>1.0480443998596598E-27</v>
      </c>
      <c r="K143" s="9">
        <f t="shared" si="55"/>
        <v>1.0480443613522691E-25</v>
      </c>
      <c r="L143" s="25">
        <f t="shared" si="56"/>
        <v>3.8507390645844998E-33</v>
      </c>
      <c r="M143" s="25">
        <f t="shared" si="57"/>
        <v>1.0480443998596597E-25</v>
      </c>
      <c r="N143" s="198">
        <f t="shared" si="58"/>
        <v>-8.1020969443908619E-25</v>
      </c>
      <c r="O143" s="203">
        <f t="shared" si="59"/>
        <v>-3.8558452114922706E-32</v>
      </c>
      <c r="P143" s="25">
        <f t="shared" si="60"/>
        <v>-8.1020973299753828E-25</v>
      </c>
      <c r="R143" s="9"/>
      <c r="S143" s="18"/>
      <c r="U143" s="18"/>
      <c r="W143" s="18"/>
      <c r="AA143" s="10"/>
    </row>
    <row r="144" spans="1:27">
      <c r="A144" s="30">
        <v>84</v>
      </c>
      <c r="B144" s="34">
        <f t="shared" si="47"/>
        <v>6.1607758877725696E-36</v>
      </c>
      <c r="C144" s="34">
        <f t="shared" si="49"/>
        <v>-6.3194855875974934E-35</v>
      </c>
      <c r="D144" s="30">
        <v>84</v>
      </c>
      <c r="E144" s="34">
        <f t="shared" si="48"/>
        <v>6.1607758877725696E-36</v>
      </c>
      <c r="F144" s="34">
        <f t="shared" si="50"/>
        <v>-6.3194855875974934E-35</v>
      </c>
      <c r="G144" s="35">
        <f t="shared" si="51"/>
        <v>74</v>
      </c>
      <c r="H144" s="36">
        <f t="shared" si="52"/>
        <v>2.0882831796281909E-28</v>
      </c>
      <c r="I144" s="34">
        <f t="shared" si="53"/>
        <v>-1.6593018804604906E-27</v>
      </c>
      <c r="J144" s="28">
        <f t="shared" si="54"/>
        <v>2.0882832412359496E-28</v>
      </c>
      <c r="K144" s="9">
        <f t="shared" si="55"/>
        <v>2.0882831796281908E-26</v>
      </c>
      <c r="L144" s="25">
        <f t="shared" si="56"/>
        <v>6.1607758877725696E-34</v>
      </c>
      <c r="M144" s="25">
        <f t="shared" si="57"/>
        <v>2.0882832412359496E-26</v>
      </c>
      <c r="N144" s="198">
        <f t="shared" si="58"/>
        <v>-1.6593018804604906E-25</v>
      </c>
      <c r="O144" s="203">
        <f t="shared" si="59"/>
        <v>-6.3194855875974936E-33</v>
      </c>
      <c r="P144" s="25">
        <f t="shared" si="60"/>
        <v>-1.6593019436553466E-25</v>
      </c>
      <c r="R144" s="9"/>
      <c r="S144" s="18"/>
      <c r="U144" s="18"/>
      <c r="W144" s="18"/>
      <c r="AA144" s="10"/>
    </row>
    <row r="145" spans="1:27">
      <c r="A145" s="30">
        <v>85</v>
      </c>
      <c r="B145" s="34">
        <f t="shared" si="47"/>
        <v>9.6426163976138336E-37</v>
      </c>
      <c r="C145" s="34">
        <f t="shared" si="49"/>
        <v>-1.0129464912759933E-35</v>
      </c>
      <c r="D145" s="30">
        <v>85</v>
      </c>
      <c r="E145" s="34">
        <f t="shared" si="48"/>
        <v>9.6426163976138336E-37</v>
      </c>
      <c r="F145" s="34">
        <f t="shared" si="50"/>
        <v>-1.0129464912759933E-35</v>
      </c>
      <c r="G145" s="35">
        <f t="shared" si="51"/>
        <v>75</v>
      </c>
      <c r="H145" s="36">
        <f t="shared" si="52"/>
        <v>4.0706829166447935E-29</v>
      </c>
      <c r="I145" s="34">
        <f t="shared" si="53"/>
        <v>-3.3232184238847494E-28</v>
      </c>
      <c r="J145" s="28">
        <f t="shared" si="54"/>
        <v>4.0706830130709575E-29</v>
      </c>
      <c r="K145" s="9">
        <f t="shared" si="55"/>
        <v>4.0706829166447933E-27</v>
      </c>
      <c r="L145" s="25">
        <f t="shared" si="56"/>
        <v>9.642616397613834E-35</v>
      </c>
      <c r="M145" s="25">
        <f t="shared" si="57"/>
        <v>4.0706830130709573E-27</v>
      </c>
      <c r="N145" s="198">
        <f t="shared" si="58"/>
        <v>-3.3232184238847492E-26</v>
      </c>
      <c r="O145" s="203">
        <f t="shared" si="59"/>
        <v>-1.0129464912759934E-33</v>
      </c>
      <c r="P145" s="25">
        <f t="shared" si="60"/>
        <v>-3.3232185251793985E-26</v>
      </c>
      <c r="R145" s="9"/>
      <c r="S145" s="18"/>
      <c r="U145" s="18"/>
      <c r="W145" s="18"/>
      <c r="AA145" s="10"/>
    </row>
    <row r="146" spans="1:27">
      <c r="A146" s="30">
        <v>86</v>
      </c>
      <c r="B146" s="34">
        <f t="shared" si="47"/>
        <v>1.4764628668754607E-37</v>
      </c>
      <c r="C146" s="34">
        <f t="shared" si="49"/>
        <v>-1.587950328162984E-36</v>
      </c>
      <c r="D146" s="30">
        <v>86</v>
      </c>
      <c r="E146" s="34">
        <f t="shared" si="48"/>
        <v>1.4764628668754607E-37</v>
      </c>
      <c r="F146" s="34">
        <f t="shared" si="50"/>
        <v>-1.587950328162984E-36</v>
      </c>
      <c r="G146" s="35">
        <f t="shared" si="51"/>
        <v>76</v>
      </c>
      <c r="H146" s="36">
        <f t="shared" si="52"/>
        <v>7.7627092178858978E-30</v>
      </c>
      <c r="I146" s="34">
        <f t="shared" si="53"/>
        <v>-6.5088204852336912E-29</v>
      </c>
      <c r="J146" s="28">
        <f t="shared" si="54"/>
        <v>7.7627093655321845E-30</v>
      </c>
      <c r="K146" s="9">
        <f t="shared" si="55"/>
        <v>7.7627092178858976E-28</v>
      </c>
      <c r="L146" s="25">
        <f t="shared" si="56"/>
        <v>1.4764628668754608E-35</v>
      </c>
      <c r="M146" s="25">
        <f t="shared" si="57"/>
        <v>7.7627093655321843E-28</v>
      </c>
      <c r="N146" s="198">
        <f t="shared" si="58"/>
        <v>-6.5088204852336909E-27</v>
      </c>
      <c r="O146" s="203">
        <f t="shared" si="59"/>
        <v>-1.5879503281629839E-34</v>
      </c>
      <c r="P146" s="25">
        <f t="shared" si="60"/>
        <v>-6.5088206440287231E-27</v>
      </c>
      <c r="R146" s="9"/>
      <c r="S146" s="18"/>
      <c r="U146" s="18"/>
      <c r="W146" s="18"/>
      <c r="AA146" s="10"/>
    </row>
    <row r="147" spans="1:27">
      <c r="A147" s="30">
        <v>87</v>
      </c>
      <c r="B147" s="34">
        <f t="shared" si="47"/>
        <v>2.2116598164009273E-38</v>
      </c>
      <c r="C147" s="34">
        <f t="shared" si="49"/>
        <v>-2.4346460941862062E-37</v>
      </c>
      <c r="D147" s="30">
        <v>87</v>
      </c>
      <c r="E147" s="34">
        <f t="shared" si="48"/>
        <v>2.2116598164009273E-38</v>
      </c>
      <c r="F147" s="34">
        <f t="shared" si="50"/>
        <v>-2.4346460941862062E-37</v>
      </c>
      <c r="G147" s="35">
        <f t="shared" si="51"/>
        <v>77</v>
      </c>
      <c r="H147" s="36">
        <f t="shared" si="52"/>
        <v>1.4481965933009644E-30</v>
      </c>
      <c r="I147" s="34">
        <f t="shared" si="53"/>
        <v>-1.2466939763181188E-29</v>
      </c>
      <c r="J147" s="28">
        <f t="shared" si="54"/>
        <v>1.4481966154175626E-30</v>
      </c>
      <c r="K147" s="9">
        <f t="shared" si="55"/>
        <v>1.4481965933009643E-28</v>
      </c>
      <c r="L147" s="25">
        <f t="shared" si="56"/>
        <v>2.2116598164009273E-36</v>
      </c>
      <c r="M147" s="25">
        <f t="shared" si="57"/>
        <v>1.4481966154175624E-28</v>
      </c>
      <c r="N147" s="198">
        <f t="shared" si="58"/>
        <v>-1.2466939763181187E-27</v>
      </c>
      <c r="O147" s="203">
        <f t="shared" si="59"/>
        <v>-2.4346460941862063E-35</v>
      </c>
      <c r="P147" s="25">
        <f t="shared" si="60"/>
        <v>-1.2466940006645796E-27</v>
      </c>
      <c r="R147" s="9"/>
      <c r="S147" s="18"/>
      <c r="U147" s="18"/>
      <c r="W147" s="18"/>
      <c r="AA147" s="10"/>
    </row>
    <row r="148" spans="1:27">
      <c r="A148" s="30">
        <v>88</v>
      </c>
      <c r="B148" s="34">
        <f t="shared" si="47"/>
        <v>3.2410242853512325E-39</v>
      </c>
      <c r="C148" s="34">
        <f t="shared" si="49"/>
        <v>-3.6507834142490908E-38</v>
      </c>
      <c r="D148" s="30">
        <v>88</v>
      </c>
      <c r="E148" s="34">
        <f t="shared" si="48"/>
        <v>3.2410242853512325E-39</v>
      </c>
      <c r="F148" s="34">
        <f t="shared" si="50"/>
        <v>-3.6507834142490908E-38</v>
      </c>
      <c r="G148" s="35">
        <f t="shared" si="51"/>
        <v>78</v>
      </c>
      <c r="H148" s="36">
        <f t="shared" si="52"/>
        <v>2.6430774185556291E-31</v>
      </c>
      <c r="I148" s="34">
        <f t="shared" si="53"/>
        <v>-2.3352622294810431E-30</v>
      </c>
      <c r="J148" s="28">
        <f t="shared" si="54"/>
        <v>2.643077450965872E-31</v>
      </c>
      <c r="K148" s="9">
        <f t="shared" si="55"/>
        <v>2.6430774185556292E-29</v>
      </c>
      <c r="L148" s="25">
        <f t="shared" si="56"/>
        <v>3.2410242853512325E-37</v>
      </c>
      <c r="M148" s="25">
        <f t="shared" si="57"/>
        <v>2.6430774509658718E-29</v>
      </c>
      <c r="N148" s="198">
        <f t="shared" si="58"/>
        <v>-2.3352622294810431E-28</v>
      </c>
      <c r="O148" s="203">
        <f t="shared" si="59"/>
        <v>-3.6507834142490905E-36</v>
      </c>
      <c r="P148" s="25">
        <f t="shared" si="60"/>
        <v>-2.3352622659888774E-28</v>
      </c>
      <c r="R148" s="9"/>
      <c r="S148" s="18"/>
      <c r="U148" s="18"/>
      <c r="W148" s="18"/>
      <c r="AA148" s="10"/>
    </row>
    <row r="149" spans="1:27">
      <c r="A149" s="30">
        <v>89</v>
      </c>
      <c r="B149" s="34">
        <f t="shared" si="47"/>
        <v>4.6463765487837394E-40</v>
      </c>
      <c r="C149" s="34">
        <f t="shared" si="49"/>
        <v>-5.3541469573168055E-39</v>
      </c>
      <c r="D149" s="30">
        <v>89</v>
      </c>
      <c r="E149" s="34">
        <f t="shared" si="48"/>
        <v>4.6463765487837394E-40</v>
      </c>
      <c r="F149" s="34">
        <f t="shared" si="50"/>
        <v>-5.3541469573168055E-39</v>
      </c>
      <c r="G149" s="35">
        <f t="shared" si="51"/>
        <v>79</v>
      </c>
      <c r="H149" s="36">
        <f t="shared" si="52"/>
        <v>4.719113323845126E-32</v>
      </c>
      <c r="I149" s="34">
        <f t="shared" si="53"/>
        <v>-4.2779290942185256E-31</v>
      </c>
      <c r="J149" s="28">
        <f t="shared" si="54"/>
        <v>4.7191133703088917E-32</v>
      </c>
      <c r="K149" s="9">
        <f t="shared" si="55"/>
        <v>4.7191133238451258E-30</v>
      </c>
      <c r="L149" s="25">
        <f t="shared" si="56"/>
        <v>4.6463765487837392E-38</v>
      </c>
      <c r="M149" s="25">
        <f t="shared" si="57"/>
        <v>4.7191133703088912E-30</v>
      </c>
      <c r="N149" s="198">
        <f t="shared" si="58"/>
        <v>-4.2779290942185254E-29</v>
      </c>
      <c r="O149" s="203">
        <f t="shared" si="59"/>
        <v>-5.3541469573168053E-37</v>
      </c>
      <c r="P149" s="25">
        <f t="shared" si="60"/>
        <v>-4.2779291477599951E-29</v>
      </c>
      <c r="R149" s="9"/>
      <c r="S149" s="18"/>
      <c r="U149" s="18"/>
      <c r="W149" s="18"/>
      <c r="AA149" s="10"/>
    </row>
    <row r="150" spans="1:27">
      <c r="A150" s="30">
        <v>90</v>
      </c>
      <c r="B150" s="34">
        <f t="shared" si="47"/>
        <v>6.5165042027900354E-41</v>
      </c>
      <c r="C150" s="34">
        <f t="shared" si="49"/>
        <v>-7.6798208789918117E-40</v>
      </c>
      <c r="D150" s="30">
        <v>90</v>
      </c>
      <c r="E150" s="34">
        <f t="shared" si="48"/>
        <v>6.5165042027900354E-41</v>
      </c>
      <c r="F150" s="34">
        <f t="shared" si="50"/>
        <v>-7.6798208789918117E-40</v>
      </c>
      <c r="G150" s="35">
        <f t="shared" si="51"/>
        <v>80</v>
      </c>
      <c r="H150" s="36">
        <f t="shared" si="52"/>
        <v>8.2428821046570735E-33</v>
      </c>
      <c r="I150" s="34">
        <f t="shared" si="53"/>
        <v>-7.6640335296075836E-32</v>
      </c>
      <c r="J150" s="28">
        <f t="shared" si="54"/>
        <v>8.2428821698221158E-33</v>
      </c>
      <c r="K150" s="9">
        <f t="shared" si="55"/>
        <v>8.2428821046570737E-31</v>
      </c>
      <c r="L150" s="25">
        <f t="shared" si="56"/>
        <v>6.5165042027900359E-39</v>
      </c>
      <c r="M150" s="25">
        <f t="shared" si="57"/>
        <v>8.2428821698221151E-31</v>
      </c>
      <c r="N150" s="198">
        <f t="shared" si="58"/>
        <v>-7.6640335296075839E-30</v>
      </c>
      <c r="O150" s="203">
        <f t="shared" si="59"/>
        <v>-7.6798208789918117E-38</v>
      </c>
      <c r="P150" s="25">
        <f t="shared" si="60"/>
        <v>-7.6640336064057925E-30</v>
      </c>
      <c r="R150" s="9"/>
      <c r="S150" s="18"/>
      <c r="U150" s="18"/>
      <c r="W150" s="18"/>
      <c r="AA150" s="10"/>
    </row>
    <row r="151" spans="1:27">
      <c r="A151" s="30">
        <v>91</v>
      </c>
      <c r="B151" s="34">
        <f t="shared" si="47"/>
        <v>8.9409386765738655E-42</v>
      </c>
      <c r="C151" s="34">
        <f t="shared" si="49"/>
        <v>-1.0773851546375021E-40</v>
      </c>
      <c r="D151" s="30">
        <v>91</v>
      </c>
      <c r="E151" s="34">
        <f t="shared" si="48"/>
        <v>8.9409386765738655E-42</v>
      </c>
      <c r="F151" s="34">
        <f t="shared" si="50"/>
        <v>-1.0773851546375021E-40</v>
      </c>
      <c r="G151" s="35">
        <f t="shared" si="51"/>
        <v>81</v>
      </c>
      <c r="H151" s="36">
        <f t="shared" si="52"/>
        <v>1.4085294429389905E-33</v>
      </c>
      <c r="I151" s="34">
        <f t="shared" si="53"/>
        <v>-1.3427980689351711E-32</v>
      </c>
      <c r="J151" s="28">
        <f t="shared" si="54"/>
        <v>1.4085294518799292E-33</v>
      </c>
      <c r="K151" s="9">
        <f t="shared" si="55"/>
        <v>1.4085294429389906E-31</v>
      </c>
      <c r="L151" s="25">
        <f t="shared" si="56"/>
        <v>8.9409386765738651E-40</v>
      </c>
      <c r="M151" s="25">
        <f t="shared" si="57"/>
        <v>1.4085294518799293E-31</v>
      </c>
      <c r="N151" s="198">
        <f t="shared" si="58"/>
        <v>-1.3427980689351712E-30</v>
      </c>
      <c r="O151" s="203">
        <f t="shared" si="59"/>
        <v>-1.0773851546375022E-38</v>
      </c>
      <c r="P151" s="25">
        <f t="shared" si="60"/>
        <v>-1.3427980797090227E-30</v>
      </c>
      <c r="R151" s="9"/>
      <c r="S151" s="18"/>
      <c r="U151" s="18"/>
      <c r="W151" s="18"/>
      <c r="AA151" s="10"/>
    </row>
    <row r="152" spans="1:27">
      <c r="A152" s="30">
        <v>92</v>
      </c>
      <c r="B152" s="34">
        <f t="shared" si="47"/>
        <v>1.2001062906083287E-42</v>
      </c>
      <c r="C152" s="34">
        <f t="shared" si="49"/>
        <v>-1.478265357233551E-41</v>
      </c>
      <c r="D152" s="30">
        <v>92</v>
      </c>
      <c r="E152" s="34">
        <f t="shared" si="48"/>
        <v>1.2001062906083287E-42</v>
      </c>
      <c r="F152" s="34">
        <f t="shared" si="50"/>
        <v>-1.478265357233551E-41</v>
      </c>
      <c r="G152" s="35">
        <f t="shared" si="51"/>
        <v>82</v>
      </c>
      <c r="H152" s="36">
        <f t="shared" si="52"/>
        <v>2.3546205522753747E-34</v>
      </c>
      <c r="I152" s="34">
        <f t="shared" si="53"/>
        <v>-2.3008960138398277E-33</v>
      </c>
      <c r="J152" s="28">
        <f t="shared" si="54"/>
        <v>2.3546205642764376E-34</v>
      </c>
      <c r="K152" s="9">
        <f t="shared" si="55"/>
        <v>2.3546205522753748E-32</v>
      </c>
      <c r="L152" s="25">
        <f t="shared" si="56"/>
        <v>1.2001062906083287E-40</v>
      </c>
      <c r="M152" s="25">
        <f t="shared" si="57"/>
        <v>2.3546205642764378E-32</v>
      </c>
      <c r="N152" s="198">
        <f t="shared" si="58"/>
        <v>-2.3008960138398277E-31</v>
      </c>
      <c r="O152" s="203">
        <f t="shared" si="59"/>
        <v>-1.4782653572335509E-39</v>
      </c>
      <c r="P152" s="25">
        <f t="shared" si="60"/>
        <v>-2.3008960286224812E-31</v>
      </c>
      <c r="R152" s="9"/>
      <c r="S152" s="18"/>
      <c r="U152" s="18"/>
      <c r="W152" s="18"/>
      <c r="AA152" s="10"/>
    </row>
    <row r="153" spans="1:27">
      <c r="A153" s="30">
        <v>93</v>
      </c>
      <c r="B153" s="34">
        <f t="shared" si="47"/>
        <v>1.575884804066452E-43</v>
      </c>
      <c r="C153" s="34">
        <f t="shared" si="49"/>
        <v>-1.9837990187815952E-42</v>
      </c>
      <c r="D153" s="30">
        <v>93</v>
      </c>
      <c r="E153" s="34">
        <f t="shared" si="48"/>
        <v>1.575884804066452E-43</v>
      </c>
      <c r="F153" s="34">
        <f t="shared" si="50"/>
        <v>-1.9837990187815952E-42</v>
      </c>
      <c r="G153" s="35">
        <f t="shared" si="51"/>
        <v>83</v>
      </c>
      <c r="H153" s="36">
        <f t="shared" si="52"/>
        <v>3.8507390645845001E-35</v>
      </c>
      <c r="I153" s="34">
        <f t="shared" si="53"/>
        <v>-3.8558452114922705E-34</v>
      </c>
      <c r="J153" s="28">
        <f t="shared" si="54"/>
        <v>3.850739080343348E-35</v>
      </c>
      <c r="K153" s="9">
        <f t="shared" si="55"/>
        <v>3.8507390645844998E-33</v>
      </c>
      <c r="L153" s="25">
        <f t="shared" si="56"/>
        <v>1.5758848040664521E-41</v>
      </c>
      <c r="M153" s="25">
        <f t="shared" si="57"/>
        <v>3.8507390803433477E-33</v>
      </c>
      <c r="N153" s="198">
        <f t="shared" si="58"/>
        <v>-3.8558452114922706E-32</v>
      </c>
      <c r="O153" s="203">
        <f t="shared" si="59"/>
        <v>-1.9837990187815954E-40</v>
      </c>
      <c r="P153" s="25">
        <f t="shared" si="60"/>
        <v>-3.8558452313302609E-32</v>
      </c>
      <c r="R153" s="9"/>
      <c r="S153" s="18"/>
      <c r="U153" s="18"/>
      <c r="W153" s="18"/>
      <c r="AA153" s="10"/>
    </row>
    <row r="154" spans="1:27">
      <c r="A154" s="30">
        <v>94</v>
      </c>
      <c r="B154" s="34">
        <f t="shared" si="47"/>
        <v>2.0244049137504022E-44</v>
      </c>
      <c r="C154" s="34">
        <f t="shared" si="49"/>
        <v>-2.6038086685345478E-43</v>
      </c>
      <c r="D154" s="30">
        <v>94</v>
      </c>
      <c r="E154" s="34">
        <f t="shared" si="48"/>
        <v>2.0244049137504022E-44</v>
      </c>
      <c r="F154" s="34">
        <f t="shared" si="50"/>
        <v>-2.6038086685345478E-43</v>
      </c>
      <c r="G154" s="35">
        <f t="shared" si="51"/>
        <v>84</v>
      </c>
      <c r="H154" s="36">
        <f t="shared" si="52"/>
        <v>6.1607758877725696E-36</v>
      </c>
      <c r="I154" s="34">
        <f t="shared" si="53"/>
        <v>-6.3194855875974934E-35</v>
      </c>
      <c r="J154" s="28">
        <f t="shared" si="54"/>
        <v>6.1607759080166187E-36</v>
      </c>
      <c r="K154" s="9">
        <f t="shared" si="55"/>
        <v>6.1607758877725696E-34</v>
      </c>
      <c r="L154" s="25">
        <f t="shared" si="56"/>
        <v>2.0244049137504023E-42</v>
      </c>
      <c r="M154" s="25">
        <f t="shared" si="57"/>
        <v>6.160775908016619E-34</v>
      </c>
      <c r="N154" s="198">
        <f t="shared" si="58"/>
        <v>-6.3194855875974936E-33</v>
      </c>
      <c r="O154" s="203">
        <f t="shared" si="59"/>
        <v>-2.6038086685345476E-41</v>
      </c>
      <c r="P154" s="25">
        <f t="shared" si="60"/>
        <v>-6.3194856136355801E-33</v>
      </c>
      <c r="R154" s="9"/>
      <c r="S154" s="18"/>
      <c r="U154" s="18"/>
      <c r="W154" s="18"/>
      <c r="AA154" s="10"/>
    </row>
    <row r="155" spans="1:27">
      <c r="A155" s="30">
        <v>95</v>
      </c>
      <c r="B155" s="34">
        <f t="shared" si="47"/>
        <v>2.5441250688096799E-45</v>
      </c>
      <c r="C155" s="34">
        <f t="shared" si="49"/>
        <v>-3.3426336786552858E-44</v>
      </c>
      <c r="D155" s="30">
        <v>95</v>
      </c>
      <c r="E155" s="34">
        <f t="shared" si="48"/>
        <v>2.5441250688096799E-45</v>
      </c>
      <c r="F155" s="34">
        <f t="shared" si="50"/>
        <v>-3.3426336786552858E-44</v>
      </c>
      <c r="G155" s="35">
        <f t="shared" si="51"/>
        <v>85</v>
      </c>
      <c r="H155" s="36">
        <f t="shared" si="52"/>
        <v>9.6426163976138336E-37</v>
      </c>
      <c r="I155" s="34">
        <f t="shared" si="53"/>
        <v>-1.0129464912759933E-35</v>
      </c>
      <c r="J155" s="28">
        <f t="shared" si="54"/>
        <v>9.6426164230550841E-37</v>
      </c>
      <c r="K155" s="9">
        <f t="shared" si="55"/>
        <v>9.642616397613834E-35</v>
      </c>
      <c r="L155" s="25">
        <f t="shared" si="56"/>
        <v>2.5441250688096799E-43</v>
      </c>
      <c r="M155" s="25">
        <f t="shared" si="57"/>
        <v>9.6426164230550838E-35</v>
      </c>
      <c r="N155" s="198">
        <f t="shared" si="58"/>
        <v>-1.0129464912759934E-33</v>
      </c>
      <c r="O155" s="203">
        <f t="shared" si="59"/>
        <v>-3.3426336786552859E-42</v>
      </c>
      <c r="P155" s="25">
        <f t="shared" si="60"/>
        <v>-1.012946494618627E-33</v>
      </c>
      <c r="R155" s="9"/>
      <c r="S155" s="18"/>
      <c r="U155" s="18"/>
      <c r="W155" s="18"/>
      <c r="AA155" s="10"/>
    </row>
    <row r="156" spans="1:27">
      <c r="A156" s="30">
        <v>96</v>
      </c>
      <c r="B156" s="34">
        <f t="shared" si="47"/>
        <v>3.1278627744426648E-46</v>
      </c>
      <c r="C156" s="34">
        <f t="shared" si="49"/>
        <v>-4.1969997375916678E-45</v>
      </c>
      <c r="D156" s="30">
        <v>96</v>
      </c>
      <c r="E156" s="34">
        <f t="shared" si="48"/>
        <v>3.1278627744426648E-46</v>
      </c>
      <c r="F156" s="34">
        <f t="shared" si="50"/>
        <v>-4.1969997375916678E-45</v>
      </c>
      <c r="G156" s="35">
        <f t="shared" si="51"/>
        <v>86</v>
      </c>
      <c r="H156" s="36">
        <f t="shared" si="52"/>
        <v>1.4764628668754607E-37</v>
      </c>
      <c r="I156" s="34">
        <f t="shared" si="53"/>
        <v>-1.587950328162984E-36</v>
      </c>
      <c r="J156" s="28">
        <f t="shared" si="54"/>
        <v>1.4764628700033236E-37</v>
      </c>
      <c r="K156" s="9">
        <f t="shared" si="55"/>
        <v>1.4764628668754608E-35</v>
      </c>
      <c r="L156" s="25">
        <f t="shared" si="56"/>
        <v>3.1278627744426649E-44</v>
      </c>
      <c r="M156" s="25">
        <f t="shared" si="57"/>
        <v>1.4764628700033235E-35</v>
      </c>
      <c r="N156" s="198">
        <f t="shared" si="58"/>
        <v>-1.5879503281629839E-34</v>
      </c>
      <c r="O156" s="203">
        <f t="shared" si="59"/>
        <v>-4.1969997375916675E-43</v>
      </c>
      <c r="P156" s="25">
        <f t="shared" si="60"/>
        <v>-1.5879503323599836E-34</v>
      </c>
      <c r="R156" s="9"/>
      <c r="S156" s="18"/>
      <c r="U156" s="18"/>
      <c r="W156" s="18"/>
      <c r="AA156" s="10"/>
    </row>
    <row r="157" spans="1:27">
      <c r="A157" s="30">
        <v>97</v>
      </c>
      <c r="B157" s="34">
        <f t="shared" si="47"/>
        <v>3.7620545196727672E-47</v>
      </c>
      <c r="C157" s="34">
        <f t="shared" si="49"/>
        <v>-5.1542039128008745E-46</v>
      </c>
      <c r="D157" s="30">
        <v>97</v>
      </c>
      <c r="E157" s="34">
        <f t="shared" si="48"/>
        <v>3.7620545196727672E-47</v>
      </c>
      <c r="F157" s="34">
        <f t="shared" si="50"/>
        <v>-5.1542039128008745E-46</v>
      </c>
      <c r="G157" s="35">
        <f t="shared" si="51"/>
        <v>87</v>
      </c>
      <c r="H157" s="36">
        <f t="shared" si="52"/>
        <v>2.2116598164009273E-38</v>
      </c>
      <c r="I157" s="34">
        <f t="shared" si="53"/>
        <v>-2.4346460941862062E-37</v>
      </c>
      <c r="J157" s="28">
        <f t="shared" si="54"/>
        <v>2.2116598201629817E-38</v>
      </c>
      <c r="K157" s="9">
        <f t="shared" si="55"/>
        <v>2.2116598164009273E-36</v>
      </c>
      <c r="L157" s="25">
        <f t="shared" si="56"/>
        <v>3.7620545196727675E-45</v>
      </c>
      <c r="M157" s="25">
        <f t="shared" si="57"/>
        <v>2.211659820162982E-36</v>
      </c>
      <c r="N157" s="198">
        <f t="shared" si="58"/>
        <v>-2.4346460941862063E-35</v>
      </c>
      <c r="O157" s="203">
        <f t="shared" si="59"/>
        <v>-5.1542039128008742E-44</v>
      </c>
      <c r="P157" s="25">
        <f t="shared" si="60"/>
        <v>-2.4346460993404101E-35</v>
      </c>
      <c r="R157" s="9"/>
      <c r="S157" s="18"/>
      <c r="U157" s="18"/>
      <c r="W157" s="18"/>
      <c r="AA157" s="10"/>
    </row>
    <row r="158" spans="1:27">
      <c r="A158" s="30">
        <v>98</v>
      </c>
      <c r="B158" s="34">
        <f t="shared" si="47"/>
        <v>4.4266036540409898E-48</v>
      </c>
      <c r="C158" s="34">
        <f t="shared" si="49"/>
        <v>-6.1909705517216162E-47</v>
      </c>
      <c r="D158" s="30">
        <v>98</v>
      </c>
      <c r="E158" s="34">
        <f t="shared" si="48"/>
        <v>4.4266036540409898E-48</v>
      </c>
      <c r="F158" s="34">
        <f t="shared" si="50"/>
        <v>-6.1909705517216162E-47</v>
      </c>
      <c r="G158" s="35">
        <f t="shared" si="51"/>
        <v>88</v>
      </c>
      <c r="H158" s="36">
        <f t="shared" si="52"/>
        <v>3.2410242853512325E-39</v>
      </c>
      <c r="I158" s="34">
        <f t="shared" si="53"/>
        <v>-3.6507834142490908E-38</v>
      </c>
      <c r="J158" s="28">
        <f t="shared" si="54"/>
        <v>3.2410242897778359E-39</v>
      </c>
      <c r="K158" s="9">
        <f t="shared" si="55"/>
        <v>3.2410242853512325E-37</v>
      </c>
      <c r="L158" s="25">
        <f t="shared" si="56"/>
        <v>4.4266036540409894E-46</v>
      </c>
      <c r="M158" s="25">
        <f t="shared" si="57"/>
        <v>3.2410242897778362E-37</v>
      </c>
      <c r="N158" s="198">
        <f t="shared" si="58"/>
        <v>-3.6507834142490905E-36</v>
      </c>
      <c r="O158" s="203">
        <f t="shared" si="59"/>
        <v>-6.1909705517216162E-45</v>
      </c>
      <c r="P158" s="25">
        <f t="shared" si="60"/>
        <v>-3.6507834204400609E-36</v>
      </c>
      <c r="R158" s="9"/>
      <c r="S158" s="18"/>
      <c r="U158" s="18"/>
      <c r="W158" s="18"/>
      <c r="AA158" s="10"/>
    </row>
    <row r="159" spans="1:27">
      <c r="A159" s="30">
        <v>99</v>
      </c>
      <c r="B159" s="34">
        <f t="shared" si="47"/>
        <v>5.0954711948806822E-49</v>
      </c>
      <c r="C159" s="34">
        <f t="shared" si="49"/>
        <v>-7.2733133278037587E-48</v>
      </c>
      <c r="D159" s="30">
        <v>99</v>
      </c>
      <c r="E159" s="34">
        <f t="shared" si="48"/>
        <v>5.0954711948806822E-49</v>
      </c>
      <c r="F159" s="34">
        <f t="shared" si="50"/>
        <v>-7.2733133278037587E-48</v>
      </c>
      <c r="G159" s="35">
        <f t="shared" si="51"/>
        <v>89</v>
      </c>
      <c r="H159" s="36">
        <f t="shared" si="52"/>
        <v>4.6463765487837394E-40</v>
      </c>
      <c r="I159" s="34">
        <f t="shared" si="53"/>
        <v>-5.3541469573168055E-39</v>
      </c>
      <c r="J159" s="28">
        <f t="shared" si="54"/>
        <v>4.646376553879211E-40</v>
      </c>
      <c r="K159" s="9">
        <f t="shared" si="55"/>
        <v>4.6463765487837392E-38</v>
      </c>
      <c r="L159" s="25">
        <f t="shared" si="56"/>
        <v>5.0954711948806826E-47</v>
      </c>
      <c r="M159" s="25">
        <f t="shared" si="57"/>
        <v>4.6463765538792106E-38</v>
      </c>
      <c r="N159" s="198">
        <f t="shared" si="58"/>
        <v>-5.3541469573168053E-37</v>
      </c>
      <c r="O159" s="203">
        <f t="shared" si="59"/>
        <v>-7.2733133278037585E-46</v>
      </c>
      <c r="P159" s="25">
        <f t="shared" si="60"/>
        <v>-5.3541469645901189E-37</v>
      </c>
      <c r="R159" s="9"/>
      <c r="AA159" s="10"/>
    </row>
    <row r="160" spans="1:27">
      <c r="A160" s="30">
        <v>100</v>
      </c>
      <c r="B160" s="34">
        <f t="shared" si="47"/>
        <v>5.738075033919338E-50</v>
      </c>
      <c r="C160" s="34">
        <f t="shared" si="49"/>
        <v>-8.357649279628411E-49</v>
      </c>
      <c r="D160" s="30">
        <v>100</v>
      </c>
      <c r="E160" s="34">
        <f t="shared" si="48"/>
        <v>5.738075033919338E-50</v>
      </c>
      <c r="F160" s="34">
        <f t="shared" si="50"/>
        <v>-8.357649279628411E-49</v>
      </c>
      <c r="G160" s="35">
        <f t="shared" si="51"/>
        <v>90</v>
      </c>
      <c r="H160" s="36">
        <f t="shared" si="52"/>
        <v>6.5165042027900354E-41</v>
      </c>
      <c r="I160" s="34">
        <f t="shared" si="53"/>
        <v>-7.6798208789918117E-40</v>
      </c>
      <c r="J160" s="28">
        <f t="shared" si="54"/>
        <v>6.5165042085281108E-41</v>
      </c>
      <c r="K160" s="9">
        <f t="shared" si="55"/>
        <v>6.5165042027900359E-39</v>
      </c>
      <c r="L160" s="25">
        <f t="shared" si="56"/>
        <v>5.7380750339193376E-48</v>
      </c>
      <c r="M160" s="25">
        <f t="shared" si="57"/>
        <v>6.5165042085281107E-39</v>
      </c>
      <c r="N160" s="198">
        <f t="shared" si="58"/>
        <v>-7.6798208789918117E-38</v>
      </c>
      <c r="O160" s="203">
        <f t="shared" si="59"/>
        <v>-8.3576492796284109E-47</v>
      </c>
      <c r="P160" s="25">
        <f t="shared" si="60"/>
        <v>-7.6798208873494613E-38</v>
      </c>
      <c r="R160" s="9"/>
      <c r="AA160" s="10"/>
    </row>
    <row r="161" spans="1:27">
      <c r="A161" s="30">
        <v>101</v>
      </c>
      <c r="B161" s="34">
        <f t="shared" si="47"/>
        <v>6.3214434133028898E-51</v>
      </c>
      <c r="C161" s="34">
        <f t="shared" si="49"/>
        <v>-9.393254466368054E-50</v>
      </c>
      <c r="D161" s="30">
        <v>101</v>
      </c>
      <c r="E161" s="34">
        <f t="shared" si="48"/>
        <v>6.3214434133028898E-51</v>
      </c>
      <c r="F161" s="34">
        <f t="shared" si="50"/>
        <v>-9.393254466368054E-50</v>
      </c>
      <c r="G161" s="35">
        <f t="shared" si="51"/>
        <v>91</v>
      </c>
      <c r="H161" s="36">
        <f t="shared" si="52"/>
        <v>8.9409386765738655E-42</v>
      </c>
      <c r="I161" s="34">
        <f t="shared" si="53"/>
        <v>-1.0773851546375021E-40</v>
      </c>
      <c r="J161" s="28">
        <f t="shared" si="54"/>
        <v>8.940938682895309E-42</v>
      </c>
      <c r="K161" s="9">
        <f t="shared" si="55"/>
        <v>8.9409386765738651E-40</v>
      </c>
      <c r="L161" s="25">
        <f t="shared" si="56"/>
        <v>6.3214434133028896E-49</v>
      </c>
      <c r="M161" s="25">
        <f t="shared" si="57"/>
        <v>8.9409386828953093E-40</v>
      </c>
      <c r="N161" s="198">
        <f t="shared" si="58"/>
        <v>-1.0773851546375022E-38</v>
      </c>
      <c r="O161" s="203">
        <f t="shared" si="59"/>
        <v>-9.3932544663680539E-48</v>
      </c>
      <c r="P161" s="25">
        <f t="shared" si="60"/>
        <v>-1.0773851555768276E-38</v>
      </c>
      <c r="R161" s="9"/>
      <c r="AA161" s="10"/>
    </row>
    <row r="162" spans="1:27">
      <c r="A162" s="30">
        <v>102</v>
      </c>
      <c r="B162" s="34">
        <f t="shared" si="47"/>
        <v>6.8129381436459894E-52</v>
      </c>
      <c r="C162" s="34">
        <f t="shared" si="49"/>
        <v>-1.0325946988908716E-50</v>
      </c>
      <c r="D162" s="30">
        <v>102</v>
      </c>
      <c r="E162" s="34">
        <f t="shared" si="48"/>
        <v>6.8129381436459894E-52</v>
      </c>
      <c r="F162" s="34">
        <f t="shared" si="50"/>
        <v>-1.0325946988908716E-50</v>
      </c>
      <c r="G162" s="35">
        <f t="shared" si="51"/>
        <v>92</v>
      </c>
      <c r="H162" s="36">
        <f t="shared" si="52"/>
        <v>1.2001062906083287E-42</v>
      </c>
      <c r="I162" s="34">
        <f t="shared" si="53"/>
        <v>-1.478265357233551E-41</v>
      </c>
      <c r="J162" s="28">
        <f t="shared" si="54"/>
        <v>1.2001062912896225E-42</v>
      </c>
      <c r="K162" s="9">
        <f t="shared" si="55"/>
        <v>1.2001062906083287E-40</v>
      </c>
      <c r="L162" s="25">
        <f t="shared" si="56"/>
        <v>6.8129381436459894E-50</v>
      </c>
      <c r="M162" s="25">
        <f t="shared" si="57"/>
        <v>1.2001062912896225E-40</v>
      </c>
      <c r="N162" s="198">
        <f t="shared" si="58"/>
        <v>-1.4782653572335509E-39</v>
      </c>
      <c r="O162" s="203">
        <f t="shared" si="59"/>
        <v>-1.0325946988908716E-48</v>
      </c>
      <c r="P162" s="25">
        <f t="shared" si="60"/>
        <v>-1.4782653582661458E-39</v>
      </c>
      <c r="R162" s="9"/>
      <c r="AA162" s="10"/>
    </row>
    <row r="163" spans="1:27">
      <c r="A163" s="30">
        <v>103</v>
      </c>
      <c r="B163" s="34">
        <f t="shared" si="47"/>
        <v>7.183246941521989E-53</v>
      </c>
      <c r="C163" s="34">
        <f t="shared" si="49"/>
        <v>-1.1102665585929025E-51</v>
      </c>
      <c r="D163" s="30">
        <v>103</v>
      </c>
      <c r="E163" s="34">
        <f t="shared" si="48"/>
        <v>7.183246941521989E-53</v>
      </c>
      <c r="F163" s="34">
        <f t="shared" si="50"/>
        <v>-1.1102665585929025E-51</v>
      </c>
      <c r="G163" s="35">
        <f t="shared" si="51"/>
        <v>93</v>
      </c>
      <c r="H163" s="36">
        <f t="shared" si="52"/>
        <v>1.575884804066452E-43</v>
      </c>
      <c r="I163" s="34">
        <f t="shared" si="53"/>
        <v>-1.9837990187815952E-42</v>
      </c>
      <c r="J163" s="28">
        <f t="shared" si="54"/>
        <v>1.5758848047847767E-43</v>
      </c>
      <c r="K163" s="9">
        <f t="shared" si="55"/>
        <v>1.5758848040664521E-41</v>
      </c>
      <c r="L163" s="25">
        <f t="shared" si="56"/>
        <v>7.1832469415219885E-51</v>
      </c>
      <c r="M163" s="25">
        <f t="shared" si="57"/>
        <v>1.5758848047847767E-41</v>
      </c>
      <c r="N163" s="198">
        <f t="shared" si="58"/>
        <v>-1.9837990187815954E-40</v>
      </c>
      <c r="O163" s="203">
        <f t="shared" si="59"/>
        <v>-1.1102665585929024E-49</v>
      </c>
      <c r="P163" s="25">
        <f t="shared" si="60"/>
        <v>-1.9837990198918621E-40</v>
      </c>
      <c r="R163" s="9"/>
      <c r="AA163" s="10"/>
    </row>
    <row r="164" spans="1:27">
      <c r="A164" s="30">
        <v>104</v>
      </c>
      <c r="B164" s="34">
        <f t="shared" si="47"/>
        <v>7.409268050577215E-54</v>
      </c>
      <c r="C164" s="34">
        <f t="shared" si="49"/>
        <v>-1.167642373435592E-52</v>
      </c>
      <c r="D164" s="30">
        <v>104</v>
      </c>
      <c r="E164" s="34">
        <f t="shared" si="48"/>
        <v>7.409268050577215E-54</v>
      </c>
      <c r="F164" s="34">
        <f t="shared" si="50"/>
        <v>-1.167642373435592E-52</v>
      </c>
      <c r="G164" s="35">
        <f t="shared" si="51"/>
        <v>94</v>
      </c>
      <c r="H164" s="36">
        <f t="shared" si="52"/>
        <v>2.0244049137504022E-44</v>
      </c>
      <c r="I164" s="34">
        <f t="shared" si="53"/>
        <v>-2.6038086685345478E-43</v>
      </c>
      <c r="J164" s="28">
        <f t="shared" si="54"/>
        <v>2.0244049144913291E-44</v>
      </c>
      <c r="K164" s="9">
        <f t="shared" si="55"/>
        <v>2.0244049137504023E-42</v>
      </c>
      <c r="L164" s="25">
        <f t="shared" si="56"/>
        <v>7.4092680505772155E-52</v>
      </c>
      <c r="M164" s="25">
        <f t="shared" si="57"/>
        <v>2.0244049144913289E-42</v>
      </c>
      <c r="N164" s="198">
        <f t="shared" si="58"/>
        <v>-2.6038086685345476E-41</v>
      </c>
      <c r="O164" s="203">
        <f t="shared" si="59"/>
        <v>-1.1676423734355919E-50</v>
      </c>
      <c r="P164" s="25">
        <f t="shared" si="60"/>
        <v>-2.6038086697021901E-41</v>
      </c>
      <c r="R164" s="9"/>
      <c r="AA164" s="10"/>
    </row>
    <row r="165" spans="1:27">
      <c r="A165" s="30">
        <v>105</v>
      </c>
      <c r="B165" s="34">
        <f t="shared" si="47"/>
        <v>7.4764937848662375E-55</v>
      </c>
      <c r="C165" s="34">
        <f t="shared" si="49"/>
        <v>-1.2011002649119678E-53</v>
      </c>
      <c r="D165" s="30">
        <v>105</v>
      </c>
      <c r="E165" s="34">
        <f t="shared" si="48"/>
        <v>7.4764937848662375E-55</v>
      </c>
      <c r="F165" s="34">
        <f t="shared" si="50"/>
        <v>-1.2011002649119678E-53</v>
      </c>
      <c r="G165" s="35">
        <f t="shared" si="51"/>
        <v>95</v>
      </c>
      <c r="H165" s="36">
        <f t="shared" si="52"/>
        <v>2.5441250688096799E-45</v>
      </c>
      <c r="I165" s="34">
        <f t="shared" si="53"/>
        <v>-3.3426336786552858E-44</v>
      </c>
      <c r="J165" s="28">
        <f t="shared" si="54"/>
        <v>2.5441250695573291E-45</v>
      </c>
      <c r="K165" s="9">
        <f t="shared" si="55"/>
        <v>2.5441250688096799E-43</v>
      </c>
      <c r="L165" s="25">
        <f t="shared" si="56"/>
        <v>7.4764937848662378E-53</v>
      </c>
      <c r="M165" s="25">
        <f t="shared" si="57"/>
        <v>2.544125069557329E-43</v>
      </c>
      <c r="N165" s="198">
        <f t="shared" si="58"/>
        <v>-3.3426336786552859E-42</v>
      </c>
      <c r="O165" s="203">
        <f t="shared" si="59"/>
        <v>-1.2011002649119678E-51</v>
      </c>
      <c r="P165" s="25">
        <f t="shared" si="60"/>
        <v>-3.3426336798563861E-42</v>
      </c>
      <c r="R165" s="9"/>
      <c r="AA165" s="10"/>
    </row>
    <row r="166" spans="1:27">
      <c r="A166" s="30">
        <v>106</v>
      </c>
      <c r="B166" s="34">
        <f t="shared" si="47"/>
        <v>7.3805513454335197E-56</v>
      </c>
      <c r="C166" s="34">
        <f t="shared" si="49"/>
        <v>-1.2084733212124695E-54</v>
      </c>
      <c r="D166" s="30">
        <v>106</v>
      </c>
      <c r="E166" s="34">
        <f t="shared" si="48"/>
        <v>7.3805513454335197E-56</v>
      </c>
      <c r="F166" s="34">
        <f t="shared" si="50"/>
        <v>-1.2084733212124695E-54</v>
      </c>
      <c r="G166" s="35">
        <f t="shared" si="51"/>
        <v>96</v>
      </c>
      <c r="H166" s="36">
        <f t="shared" si="52"/>
        <v>3.1278627744426648E-46</v>
      </c>
      <c r="I166" s="34">
        <f t="shared" si="53"/>
        <v>-4.1969997375916678E-45</v>
      </c>
      <c r="J166" s="28">
        <f t="shared" si="54"/>
        <v>3.1278627751807199E-46</v>
      </c>
      <c r="K166" s="9">
        <f t="shared" si="55"/>
        <v>3.1278627744426649E-44</v>
      </c>
      <c r="L166" s="25">
        <f t="shared" si="56"/>
        <v>7.3805513454335198E-54</v>
      </c>
      <c r="M166" s="25">
        <f t="shared" si="57"/>
        <v>3.12786277518072E-44</v>
      </c>
      <c r="N166" s="198">
        <f t="shared" si="58"/>
        <v>-4.1969997375916675E-43</v>
      </c>
      <c r="O166" s="203">
        <f t="shared" si="59"/>
        <v>-1.2084733212124694E-52</v>
      </c>
      <c r="P166" s="25">
        <f t="shared" si="60"/>
        <v>-4.1969997388001408E-43</v>
      </c>
      <c r="R166" s="9"/>
      <c r="AA166" s="10"/>
    </row>
    <row r="167" spans="1:27">
      <c r="A167" s="30"/>
      <c r="B167" s="30"/>
      <c r="C167" s="30"/>
      <c r="D167" s="30"/>
      <c r="E167" s="30"/>
      <c r="F167" s="30"/>
      <c r="G167" s="30"/>
      <c r="H167" s="30"/>
      <c r="I167" s="30"/>
      <c r="R167" s="9"/>
      <c r="AA167" s="10"/>
    </row>
    <row r="168" spans="1:27">
      <c r="A168" s="30"/>
      <c r="B168" s="30"/>
      <c r="C168" s="30"/>
      <c r="D168" s="30"/>
      <c r="E168" s="30"/>
      <c r="F168" s="30"/>
      <c r="G168" s="30"/>
      <c r="H168" s="30"/>
      <c r="I168" s="30"/>
      <c r="R168" s="9"/>
      <c r="AA168" s="10"/>
    </row>
    <row r="169" spans="1:27">
      <c r="A169" s="30"/>
      <c r="B169" s="30"/>
      <c r="C169" s="30"/>
      <c r="D169" s="30"/>
      <c r="E169" s="30"/>
      <c r="F169" s="30"/>
      <c r="G169" s="30"/>
      <c r="H169" s="30"/>
      <c r="I169" s="30"/>
      <c r="R169" s="9"/>
      <c r="AA169" s="10"/>
    </row>
    <row r="170" spans="1:27">
      <c r="A170" s="30"/>
      <c r="B170" s="30"/>
      <c r="C170" s="30"/>
      <c r="D170" s="30"/>
      <c r="E170" s="30"/>
      <c r="F170" s="30"/>
      <c r="G170" s="30"/>
      <c r="H170" s="30"/>
      <c r="I170" s="30"/>
      <c r="R170" s="9"/>
      <c r="AA170" s="10"/>
    </row>
    <row r="171" spans="1:27">
      <c r="A171" s="30"/>
      <c r="B171" s="30"/>
      <c r="C171" s="30"/>
      <c r="D171" s="30"/>
      <c r="E171" s="30"/>
      <c r="F171" s="30"/>
      <c r="G171" s="30"/>
      <c r="H171" s="30"/>
      <c r="I171" s="30"/>
      <c r="R171" s="9"/>
      <c r="AA171" s="10"/>
    </row>
    <row r="172" spans="1:27">
      <c r="A172" s="30"/>
      <c r="B172" s="30"/>
      <c r="C172" s="30"/>
      <c r="D172" s="30"/>
      <c r="E172" s="30"/>
      <c r="F172" s="30"/>
      <c r="G172" s="30"/>
      <c r="H172" s="30"/>
      <c r="I172" s="30"/>
      <c r="R172" s="9"/>
      <c r="AA172" s="10"/>
    </row>
    <row r="173" spans="1:27">
      <c r="I173"/>
      <c r="R173" s="9"/>
      <c r="AA173" s="10"/>
    </row>
    <row r="174" spans="1:27">
      <c r="I174"/>
      <c r="R174" s="9"/>
      <c r="AA174" s="10"/>
    </row>
    <row r="175" spans="1:27">
      <c r="I175"/>
      <c r="R175" s="9"/>
      <c r="AA175" s="10"/>
    </row>
    <row r="176" spans="1:27">
      <c r="I176"/>
      <c r="R176" s="9"/>
      <c r="AA176" s="10"/>
    </row>
    <row r="177" spans="9:27">
      <c r="I177"/>
      <c r="R177" s="9"/>
      <c r="AA177" s="10"/>
    </row>
    <row r="178" spans="9:27">
      <c r="I178"/>
      <c r="R178" s="9"/>
      <c r="AA178" s="10"/>
    </row>
    <row r="179" spans="9:27">
      <c r="I179"/>
      <c r="R179" s="9"/>
      <c r="AA179" s="10"/>
    </row>
    <row r="180" spans="9:27">
      <c r="I180"/>
      <c r="R180" s="9"/>
      <c r="AA180" s="10"/>
    </row>
    <row r="181" spans="9:27">
      <c r="I181"/>
      <c r="R181" s="9"/>
      <c r="AA181" s="10"/>
    </row>
    <row r="182" spans="9:27">
      <c r="I182"/>
      <c r="R182" s="9"/>
      <c r="AA182" s="10"/>
    </row>
    <row r="183" spans="9:27">
      <c r="I183"/>
      <c r="R183" s="9"/>
      <c r="AA183" s="10"/>
    </row>
    <row r="184" spans="9:27">
      <c r="I184"/>
      <c r="R184" s="9"/>
      <c r="AA184" s="10"/>
    </row>
    <row r="185" spans="9:27">
      <c r="I185"/>
      <c r="R185" s="9"/>
      <c r="AA185" s="10"/>
    </row>
    <row r="186" spans="9:27">
      <c r="I186"/>
      <c r="R186" s="9"/>
      <c r="AA186" s="10"/>
    </row>
    <row r="187" spans="9:27">
      <c r="I187"/>
      <c r="R187" s="9"/>
      <c r="AA187" s="10"/>
    </row>
    <row r="188" spans="9:27">
      <c r="I188"/>
      <c r="R188" s="9"/>
      <c r="AA188" s="10"/>
    </row>
    <row r="189" spans="9:27">
      <c r="I189"/>
      <c r="R189" s="9"/>
      <c r="AA189" s="10"/>
    </row>
    <row r="190" spans="9:27">
      <c r="I190"/>
      <c r="R190" s="9"/>
      <c r="AA190" s="10"/>
    </row>
    <row r="191" spans="9:27">
      <c r="I191"/>
      <c r="R191" s="9"/>
      <c r="AA191" s="10"/>
    </row>
    <row r="192" spans="9:27">
      <c r="I192"/>
      <c r="R192" s="9"/>
      <c r="AA192" s="10"/>
    </row>
    <row r="193" spans="9:27">
      <c r="I193"/>
      <c r="R193" s="9"/>
      <c r="AA193" s="10"/>
    </row>
    <row r="194" spans="9:27">
      <c r="I194"/>
      <c r="R194" s="9"/>
      <c r="AA194" s="10"/>
    </row>
  </sheetData>
  <mergeCells count="6">
    <mergeCell ref="O4:P4"/>
    <mergeCell ref="A1:D1"/>
    <mergeCell ref="E1:H1"/>
    <mergeCell ref="K1:L2"/>
    <mergeCell ref="I1:I6"/>
    <mergeCell ref="J1:J6"/>
  </mergeCells>
  <phoneticPr fontId="5" type="noConversion"/>
  <pageMargins left="0.75" right="0.75" top="1" bottom="1" header="0.5" footer="0.5"/>
  <pageSetup paperSize="9" scale="67" orientation="landscape" r:id="rId1"/>
  <headerFooter alignWithMargins="0"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5" r:id="rId4" name="Button 13">
              <controlPr defaultSize="0" print="0" autoFill="0" autoPict="0">
                <anchor moveWithCells="1">
                  <from>
                    <xdr:col>16</xdr:col>
                    <xdr:colOff>342900</xdr:colOff>
                    <xdr:row>7</xdr:row>
                    <xdr:rowOff>38100</xdr:rowOff>
                  </from>
                  <to>
                    <xdr:col>17</xdr:col>
                    <xdr:colOff>327660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5" name="Button 14">
              <controlPr defaultSize="0" print="0" autoFill="0" autoPict="0">
                <anchor moveWithCells="1">
                  <from>
                    <xdr:col>16</xdr:col>
                    <xdr:colOff>342900</xdr:colOff>
                    <xdr:row>9</xdr:row>
                    <xdr:rowOff>38100</xdr:rowOff>
                  </from>
                  <to>
                    <xdr:col>17</xdr:col>
                    <xdr:colOff>327660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6" name="Button 15">
              <controlPr defaultSize="0" print="0" autoFill="0" autoPict="0">
                <anchor moveWithCells="1">
                  <from>
                    <xdr:col>16</xdr:col>
                    <xdr:colOff>342900</xdr:colOff>
                    <xdr:row>11</xdr:row>
                    <xdr:rowOff>45720</xdr:rowOff>
                  </from>
                  <to>
                    <xdr:col>17</xdr:col>
                    <xdr:colOff>327660</xdr:colOff>
                    <xdr:row>12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Q3054"/>
  <sheetViews>
    <sheetView zoomScale="55" zoomScaleNormal="55" zoomScaleSheetLayoutView="100" workbookViewId="0">
      <selection activeCell="AA22" sqref="AA22"/>
    </sheetView>
  </sheetViews>
  <sheetFormatPr defaultColWidth="9.6640625" defaultRowHeight="13.2"/>
  <cols>
    <col min="1" max="1" width="9.109375" style="66" customWidth="1"/>
    <col min="2" max="2" width="31.88671875" style="654" customWidth="1"/>
    <col min="3" max="3" width="71.33203125" style="503" bestFit="1" customWidth="1"/>
    <col min="4" max="4" width="32.33203125" style="771" bestFit="1" customWidth="1"/>
    <col min="5" max="5" width="17.5546875" style="771" bestFit="1" customWidth="1"/>
    <col min="6" max="6" width="15.33203125" style="771" customWidth="1"/>
    <col min="7" max="7" width="14" style="771" customWidth="1"/>
    <col min="8" max="8" width="10.33203125" style="66" customWidth="1"/>
    <col min="9" max="9" width="8.88671875" style="66" customWidth="1"/>
    <col min="10" max="10" width="10.6640625" style="66" customWidth="1"/>
    <col min="11" max="11" width="9.6640625" style="66" customWidth="1"/>
    <col min="12" max="12" width="11.6640625" style="66" customWidth="1"/>
    <col min="13" max="16" width="9.6640625" style="66" customWidth="1"/>
    <col min="17" max="17" width="11.33203125" style="66" bestFit="1" customWidth="1"/>
    <col min="18" max="20" width="9.6640625" style="66" customWidth="1"/>
    <col min="21" max="21" width="9.6640625" style="640" customWidth="1"/>
    <col min="22" max="22" width="11.44140625" style="640" customWidth="1"/>
    <col min="23" max="26" width="9.6640625" style="66" customWidth="1"/>
    <col min="27" max="27" width="9.6640625" style="749" customWidth="1"/>
    <col min="28" max="32" width="9.6640625" style="66" customWidth="1"/>
    <col min="33" max="33" width="7.6640625" style="66" customWidth="1"/>
    <col min="34" max="34" width="9.6640625" style="66" customWidth="1"/>
    <col min="35" max="35" width="33" style="66" customWidth="1"/>
    <col min="36" max="41" width="9.6640625" style="66" customWidth="1"/>
    <col min="42" max="42" width="10.6640625" style="66" customWidth="1"/>
    <col min="43" max="43" width="11.33203125" style="66" customWidth="1"/>
    <col min="44" max="44" width="10.6640625" style="66" customWidth="1"/>
    <col min="45" max="45" width="11.5546875" style="66" customWidth="1"/>
    <col min="46" max="46" width="15.44140625" style="66" customWidth="1"/>
    <col min="47" max="47" width="12.44140625" style="66" customWidth="1"/>
    <col min="48" max="62" width="9.6640625" style="66" customWidth="1"/>
    <col min="63" max="63" width="11.6640625" style="66" customWidth="1"/>
    <col min="64" max="64" width="11.44140625" style="66" customWidth="1"/>
    <col min="65" max="65" width="10.5546875" style="66" customWidth="1"/>
    <col min="66" max="16384" width="9.6640625" style="6"/>
  </cols>
  <sheetData>
    <row r="1" spans="1:65" ht="17.399999999999999">
      <c r="C1" s="759" t="s">
        <v>315</v>
      </c>
      <c r="D1" s="770"/>
      <c r="E1" s="770"/>
    </row>
    <row r="3" spans="1:65">
      <c r="A3" s="1157" t="s">
        <v>316</v>
      </c>
      <c r="B3" s="1158"/>
      <c r="C3" s="1158"/>
      <c r="D3" s="1158"/>
      <c r="E3" s="1158"/>
      <c r="F3" s="1158"/>
      <c r="G3" s="1158"/>
      <c r="H3" s="1158"/>
      <c r="I3" s="1158"/>
      <c r="J3" s="1158"/>
    </row>
    <row r="4" spans="1:65">
      <c r="A4" s="1158"/>
      <c r="B4" s="1158"/>
      <c r="C4" s="1158"/>
      <c r="D4" s="1158"/>
      <c r="E4" s="1158"/>
      <c r="F4" s="1158"/>
      <c r="G4" s="1158"/>
      <c r="H4" s="1158"/>
      <c r="I4" s="1158"/>
      <c r="J4" s="1158"/>
    </row>
    <row r="5" spans="1:65">
      <c r="A5" s="1158"/>
      <c r="B5" s="1158"/>
      <c r="C5" s="1158"/>
      <c r="D5" s="1158"/>
      <c r="E5" s="1158"/>
      <c r="F5" s="1158"/>
      <c r="G5" s="1158"/>
      <c r="H5" s="1158"/>
      <c r="I5" s="1158"/>
      <c r="J5" s="1158"/>
    </row>
    <row r="6" spans="1:65" ht="13.8" thickBot="1">
      <c r="Z6" s="67"/>
      <c r="AA6" s="752"/>
      <c r="AB6" s="46"/>
      <c r="AC6" s="46"/>
      <c r="AD6" s="46"/>
      <c r="AE6" s="46"/>
      <c r="AF6" s="46"/>
      <c r="AG6" s="46"/>
      <c r="AH6" s="46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7"/>
      <c r="AT6" s="67"/>
      <c r="AU6" s="67"/>
      <c r="AV6" s="67"/>
      <c r="AW6" s="67"/>
      <c r="AX6" s="67"/>
      <c r="AY6" s="67"/>
      <c r="AZ6" s="67"/>
      <c r="BA6" s="7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</row>
    <row r="7" spans="1:65" ht="13.65" customHeight="1">
      <c r="C7" s="760" t="s">
        <v>273</v>
      </c>
      <c r="D7" s="761">
        <f>'IN-OUT'!B14</f>
        <v>-22.198671000000001</v>
      </c>
      <c r="Z7" s="67"/>
      <c r="AA7" s="753"/>
      <c r="AB7" s="46"/>
      <c r="AC7" s="46"/>
      <c r="AD7" s="46"/>
      <c r="AE7" s="46"/>
      <c r="AF7" s="46"/>
      <c r="AG7" s="46"/>
      <c r="AH7" s="46"/>
      <c r="AI7" s="67"/>
      <c r="AJ7" s="189"/>
      <c r="AK7" s="189"/>
      <c r="AL7" s="67"/>
      <c r="AM7" s="67"/>
      <c r="AN7" s="67"/>
      <c r="AO7" s="67"/>
      <c r="AP7" s="67"/>
      <c r="AQ7" s="67"/>
      <c r="AR7" s="67"/>
      <c r="AS7" s="67"/>
      <c r="AT7" s="67"/>
      <c r="AU7" s="67"/>
      <c r="AV7" s="67"/>
      <c r="AW7" s="67"/>
      <c r="AX7" s="73"/>
      <c r="AY7" s="73"/>
      <c r="AZ7" s="73"/>
      <c r="BA7" s="7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</row>
    <row r="8" spans="1:65" ht="13.8" thickBot="1">
      <c r="C8" s="762" t="s">
        <v>274</v>
      </c>
      <c r="D8" s="763">
        <f>'IN-OUT'!B15</f>
        <v>-12.488417999999999</v>
      </c>
      <c r="Z8" s="67"/>
      <c r="AA8" s="754"/>
      <c r="AB8" s="73"/>
      <c r="AC8" s="73"/>
      <c r="AD8" s="73"/>
      <c r="AE8" s="73"/>
      <c r="AF8" s="73"/>
      <c r="AG8" s="73"/>
      <c r="AH8" s="73"/>
      <c r="AI8" s="67"/>
      <c r="AJ8" s="73"/>
      <c r="AK8" s="73"/>
      <c r="AL8" s="73"/>
      <c r="AM8" s="598"/>
      <c r="AN8" s="598"/>
      <c r="AO8" s="599"/>
      <c r="AP8" s="600"/>
      <c r="AQ8" s="600"/>
      <c r="AR8" s="77"/>
      <c r="AS8" s="77"/>
      <c r="AT8" s="77"/>
      <c r="AU8" s="600"/>
      <c r="AV8" s="601"/>
      <c r="AW8" s="187"/>
      <c r="AX8" s="602"/>
      <c r="AY8" s="602"/>
      <c r="AZ8" s="130"/>
      <c r="BA8" s="7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</row>
    <row r="9" spans="1:65" ht="13.8" thickBot="1">
      <c r="Z9" s="67"/>
      <c r="AA9" s="754"/>
      <c r="AB9" s="73"/>
      <c r="AC9" s="73"/>
      <c r="AD9" s="73"/>
      <c r="AE9" s="73"/>
      <c r="AF9" s="73"/>
      <c r="AG9" s="73"/>
      <c r="AH9" s="73"/>
      <c r="AI9" s="67"/>
      <c r="AJ9" s="73"/>
      <c r="AK9" s="73"/>
      <c r="AL9" s="73"/>
      <c r="AM9" s="598"/>
      <c r="AN9" s="598"/>
      <c r="AO9" s="599"/>
      <c r="AP9" s="598"/>
      <c r="AQ9" s="598"/>
      <c r="AR9" s="67"/>
      <c r="AS9" s="67"/>
      <c r="AT9" s="67"/>
      <c r="AU9" s="598"/>
      <c r="AV9" s="598"/>
      <c r="AW9" s="187"/>
      <c r="AX9" s="73"/>
      <c r="AY9" s="73"/>
      <c r="AZ9" s="73"/>
      <c r="BA9" s="7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</row>
    <row r="10" spans="1:65" ht="13.8" thickBot="1">
      <c r="C10" s="797"/>
      <c r="D10" s="772" t="s">
        <v>270</v>
      </c>
      <c r="E10" s="773"/>
      <c r="F10" s="774"/>
      <c r="G10" s="625">
        <f>'IN-OUT'!F32</f>
        <v>10</v>
      </c>
      <c r="Z10" s="67"/>
      <c r="AA10" s="754"/>
      <c r="AB10" s="73"/>
      <c r="AC10" s="73"/>
      <c r="AD10" s="73"/>
      <c r="AE10" s="73"/>
      <c r="AF10" s="73"/>
      <c r="AG10" s="73"/>
      <c r="AH10" s="73"/>
      <c r="AI10" s="67"/>
      <c r="AJ10" s="46"/>
      <c r="AK10" s="46"/>
      <c r="AL10" s="46"/>
      <c r="AM10" s="601"/>
      <c r="AN10" s="601"/>
      <c r="AO10" s="127"/>
      <c r="AP10" s="601"/>
      <c r="AQ10" s="601"/>
      <c r="AR10" s="73"/>
      <c r="AS10" s="46"/>
      <c r="AT10" s="73"/>
      <c r="AU10" s="601"/>
      <c r="AV10" s="601"/>
      <c r="AW10" s="187"/>
      <c r="AX10" s="603"/>
      <c r="AY10" s="603"/>
      <c r="AZ10" s="604"/>
      <c r="BA10" s="7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</row>
    <row r="11" spans="1:65">
      <c r="Z11" s="67"/>
      <c r="AA11" s="754"/>
      <c r="AB11" s="73"/>
      <c r="AC11" s="73"/>
      <c r="AD11" s="73"/>
      <c r="AE11" s="73"/>
      <c r="AG11" s="122"/>
      <c r="AH11" s="188"/>
      <c r="AI11" s="67"/>
      <c r="AJ11" s="67"/>
      <c r="AK11" s="67"/>
      <c r="AU11" s="601"/>
      <c r="AV11" s="601"/>
      <c r="AW11" s="601"/>
      <c r="AX11" s="606"/>
      <c r="AY11" s="606"/>
      <c r="AZ11" s="606"/>
      <c r="BA11" s="7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</row>
    <row r="12" spans="1:65">
      <c r="Z12" s="67"/>
      <c r="AA12" s="753"/>
      <c r="AB12" s="46"/>
      <c r="AC12" s="46"/>
      <c r="AD12" s="46"/>
      <c r="AE12" s="46"/>
      <c r="AG12" s="122"/>
      <c r="AH12" s="188"/>
      <c r="AI12" s="67"/>
      <c r="AJ12" s="67"/>
      <c r="AK12" s="67"/>
      <c r="AU12" s="601"/>
      <c r="AV12" s="601"/>
      <c r="AW12" s="601"/>
      <c r="AX12" s="606"/>
      <c r="AY12" s="606"/>
      <c r="AZ12" s="606"/>
      <c r="BA12" s="7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</row>
    <row r="13" spans="1:65">
      <c r="Z13" s="67"/>
      <c r="AA13" s="753"/>
      <c r="AB13" s="607"/>
      <c r="AC13" s="607"/>
      <c r="AD13" s="607"/>
      <c r="AE13" s="607"/>
      <c r="AG13" s="122"/>
      <c r="AH13" s="188"/>
      <c r="AI13" s="67"/>
      <c r="AJ13" s="67"/>
      <c r="AK13" s="67"/>
      <c r="AU13" s="601"/>
      <c r="AV13" s="601"/>
      <c r="AW13" s="601"/>
      <c r="AX13" s="606"/>
      <c r="AY13" s="606"/>
      <c r="AZ13" s="606"/>
      <c r="BA13" s="7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</row>
    <row r="14" spans="1:65">
      <c r="AB14" s="607"/>
      <c r="AC14" s="607"/>
      <c r="AD14" s="607"/>
      <c r="AE14" s="607"/>
      <c r="AF14" s="67"/>
      <c r="AG14" s="122"/>
      <c r="AH14" s="188"/>
      <c r="AI14" s="67"/>
      <c r="AJ14" s="67"/>
      <c r="AK14" s="67"/>
      <c r="AU14" s="601"/>
      <c r="AV14" s="601"/>
      <c r="AW14" s="601"/>
      <c r="AX14" s="606"/>
      <c r="AY14" s="606"/>
      <c r="AZ14" s="606"/>
      <c r="BA14" s="7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</row>
    <row r="15" spans="1:65" ht="13.8" thickBot="1">
      <c r="AB15" s="607"/>
      <c r="AC15" s="607"/>
      <c r="AD15" s="607"/>
      <c r="AE15" s="607"/>
      <c r="AF15" s="67"/>
      <c r="AG15" s="122"/>
      <c r="AH15" s="188"/>
      <c r="AI15" s="67"/>
      <c r="AJ15" s="67"/>
      <c r="AK15" s="67"/>
      <c r="AU15" s="601"/>
      <c r="AV15" s="601"/>
      <c r="AW15" s="601"/>
      <c r="AX15" s="606"/>
      <c r="AY15" s="606"/>
      <c r="AZ15" s="606"/>
      <c r="BA15" s="7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</row>
    <row r="16" spans="1:65" ht="13.8" thickBot="1">
      <c r="B16" s="823"/>
      <c r="C16" s="824"/>
      <c r="D16" s="825"/>
      <c r="E16" s="825"/>
      <c r="F16" s="825"/>
      <c r="G16" s="826"/>
      <c r="H16" s="46"/>
      <c r="I16" s="43"/>
      <c r="J16" s="44"/>
      <c r="K16" s="44"/>
      <c r="L16" s="45"/>
      <c r="AB16" s="607"/>
      <c r="AC16" s="607"/>
      <c r="AD16" s="607"/>
      <c r="AE16" s="607"/>
      <c r="AF16" s="67"/>
      <c r="AG16" s="122"/>
      <c r="AH16" s="188"/>
      <c r="AI16" s="67"/>
      <c r="AJ16" s="67"/>
      <c r="AK16" s="67"/>
      <c r="AP16" s="67"/>
      <c r="AQ16" s="67"/>
      <c r="AR16" s="67"/>
      <c r="AU16" s="601"/>
      <c r="AV16" s="601"/>
      <c r="AW16" s="601"/>
      <c r="AX16" s="606"/>
      <c r="AY16" s="606"/>
      <c r="AZ16" s="606"/>
      <c r="BA16" s="7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</row>
    <row r="17" spans="2:65" ht="13.8" thickBot="1">
      <c r="B17" s="766" t="s">
        <v>42</v>
      </c>
      <c r="C17" s="764"/>
      <c r="D17" s="775"/>
      <c r="E17" s="775"/>
      <c r="F17" s="775"/>
      <c r="G17" s="775"/>
      <c r="H17" s="46"/>
      <c r="I17" s="48"/>
      <c r="J17" s="46"/>
      <c r="K17" s="46"/>
      <c r="L17" s="47"/>
      <c r="Z17" s="67"/>
      <c r="AA17" s="753"/>
      <c r="AB17" s="607"/>
      <c r="AC17" s="607"/>
      <c r="AD17" s="607"/>
      <c r="AE17" s="607"/>
      <c r="AG17" s="122"/>
      <c r="AH17" s="1159" t="s">
        <v>126</v>
      </c>
      <c r="AI17" s="1160"/>
      <c r="AJ17" s="1161"/>
      <c r="AK17" s="594"/>
      <c r="AL17" s="1162" t="s">
        <v>127</v>
      </c>
      <c r="AM17" s="1163"/>
      <c r="AN17" s="1162" t="s">
        <v>128</v>
      </c>
      <c r="AO17" s="1163"/>
      <c r="AP17" s="1069"/>
      <c r="AQ17" s="1069"/>
      <c r="AR17" s="67"/>
      <c r="AU17" s="601"/>
      <c r="AV17" s="601"/>
      <c r="AW17" s="601"/>
      <c r="AX17" s="606"/>
      <c r="AY17" s="606"/>
      <c r="AZ17" s="606"/>
      <c r="BA17" s="7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</row>
    <row r="18" spans="2:65">
      <c r="B18" s="658"/>
      <c r="C18" s="765"/>
      <c r="D18" s="776"/>
      <c r="E18" s="777"/>
      <c r="F18" s="777"/>
      <c r="G18" s="778"/>
      <c r="H18" s="46"/>
      <c r="I18" s="48"/>
      <c r="J18" s="46"/>
      <c r="K18" s="46"/>
      <c r="L18" s="47"/>
      <c r="Z18" s="67"/>
      <c r="AA18" s="650"/>
      <c r="AB18" s="607"/>
      <c r="AC18" s="607"/>
      <c r="AD18" s="607"/>
      <c r="AE18" s="607"/>
      <c r="AG18" s="122"/>
      <c r="AH18" s="612"/>
      <c r="AL18" s="595">
        <f>G1028</f>
        <v>3.4458945211264221E-4</v>
      </c>
      <c r="AM18" s="683"/>
      <c r="AN18" s="596"/>
      <c r="AO18" s="682">
        <f>D1028*10</f>
        <v>29.187980224351527</v>
      </c>
      <c r="AP18" s="597"/>
      <c r="AQ18" s="67"/>
      <c r="AR18" s="67"/>
      <c r="AU18" s="601"/>
      <c r="AV18" s="601"/>
      <c r="AW18" s="601"/>
      <c r="AX18" s="606"/>
      <c r="AY18" s="606"/>
      <c r="AZ18" s="606"/>
      <c r="BA18" s="7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</row>
    <row r="19" spans="2:65">
      <c r="B19" s="767" t="s">
        <v>310</v>
      </c>
      <c r="C19" s="799">
        <f>+'IN-OUT'!D12</f>
        <v>5</v>
      </c>
      <c r="D19" s="776"/>
      <c r="E19" s="779"/>
      <c r="F19" s="780"/>
      <c r="G19" s="778"/>
      <c r="H19" s="46"/>
      <c r="I19" s="48"/>
      <c r="J19" s="46"/>
      <c r="K19" s="46"/>
      <c r="L19" s="47"/>
      <c r="Z19" s="67"/>
      <c r="AA19" s="650"/>
      <c r="AB19" s="607"/>
      <c r="AC19" s="607"/>
      <c r="AD19" s="607"/>
      <c r="AE19" s="607"/>
      <c r="AG19" s="590"/>
      <c r="AH19" s="653"/>
      <c r="AL19" s="1164" t="str">
        <f>IF(G1028&lt;AQ54,AH54,IF((G1028&lt;AQ57),AH57,IF((G1028&lt;AQ60),AH60,AH63)))</f>
        <v>Negligible</v>
      </c>
      <c r="AM19" s="1165"/>
      <c r="AN19" s="1155" t="str">
        <f>IF(D1028*10&lt;AQ53,AH54,IF((D1028*10&lt;AQ56),AH57,IF((D1028*10&lt;AQ59),AH60,AH63)))</f>
        <v>Slight</v>
      </c>
      <c r="AO19" s="1156"/>
      <c r="AP19" s="1178"/>
      <c r="AQ19" s="1178"/>
      <c r="AR19" s="67"/>
      <c r="AU19" s="601"/>
      <c r="AV19" s="601"/>
      <c r="AW19" s="601"/>
      <c r="AX19" s="606"/>
      <c r="AY19" s="606"/>
      <c r="AZ19" s="606"/>
      <c r="BA19" s="7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</row>
    <row r="20" spans="2:65" ht="13.8" thickBot="1">
      <c r="B20" s="655" t="s">
        <v>311</v>
      </c>
      <c r="C20" s="798">
        <f>IF(W23&lt;W22,ATAN((W22-W23)/((D8-D7)*100)),-ATAN(((W23-W22)/((D8-D7)*100))))</f>
        <v>-2.4671413329170316E-3</v>
      </c>
      <c r="D20" s="776"/>
      <c r="E20" s="781"/>
      <c r="F20" s="781"/>
      <c r="G20" s="778"/>
      <c r="H20" s="46"/>
      <c r="I20" s="48"/>
      <c r="J20" s="46"/>
      <c r="K20" s="46"/>
      <c r="L20" s="47"/>
      <c r="Z20" s="67"/>
      <c r="AA20" s="650"/>
      <c r="AB20" s="607"/>
      <c r="AC20" s="607"/>
      <c r="AD20" s="607"/>
      <c r="AE20" s="607"/>
      <c r="AG20" s="122"/>
      <c r="AH20" s="615"/>
      <c r="AL20" s="1176">
        <f>IF(G1028&lt;AQ54,AI54,IF((G1028&lt;AQ57),AI57,IF((G1028&lt;AQ60),AI60,AI63)))</f>
        <v>1</v>
      </c>
      <c r="AM20" s="1177"/>
      <c r="AN20" s="1179">
        <f>IF(D1028*10&lt;AQ53,AI54,IF((D1028*10&lt;AQ56),AI57,IF((D1028*10&lt;AQ59),AI60,AI63)))</f>
        <v>2</v>
      </c>
      <c r="AO20" s="1180"/>
      <c r="AP20" s="1178"/>
      <c r="AQ20" s="1178"/>
      <c r="AR20" s="67"/>
      <c r="AU20" s="601"/>
      <c r="AV20" s="601"/>
      <c r="AW20" s="601"/>
      <c r="AX20" s="606"/>
      <c r="AY20" s="606"/>
      <c r="AZ20" s="606"/>
      <c r="BA20" s="7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</row>
    <row r="21" spans="2:65" ht="13.65" customHeight="1" thickBot="1">
      <c r="B21" s="768" t="s">
        <v>160</v>
      </c>
      <c r="C21" s="374" t="s">
        <v>329</v>
      </c>
      <c r="D21" s="782" t="s">
        <v>313</v>
      </c>
      <c r="E21" s="783" t="s">
        <v>312</v>
      </c>
      <c r="F21" s="783" t="s">
        <v>43</v>
      </c>
      <c r="G21" s="783" t="s">
        <v>44</v>
      </c>
      <c r="H21" s="909"/>
      <c r="I21" s="915"/>
      <c r="J21" s="46"/>
      <c r="K21" s="46"/>
      <c r="L21" s="47"/>
      <c r="R21" s="812"/>
      <c r="S21" s="813"/>
      <c r="T21" s="813"/>
      <c r="U21" s="814" t="s">
        <v>22</v>
      </c>
      <c r="V21" s="814" t="s">
        <v>23</v>
      </c>
      <c r="W21" s="815" t="s">
        <v>308</v>
      </c>
      <c r="Y21" s="1159" t="s">
        <v>309</v>
      </c>
      <c r="Z21" s="1160"/>
      <c r="AA21" s="822" t="s">
        <v>308</v>
      </c>
      <c r="AB21" s="607"/>
      <c r="AC21" s="607"/>
      <c r="AD21" s="607"/>
      <c r="AE21" s="607"/>
      <c r="AG21" s="590"/>
      <c r="AH21" s="653"/>
      <c r="AP21" s="67"/>
      <c r="AQ21" s="67"/>
      <c r="AR21" s="67"/>
      <c r="AU21" s="601"/>
      <c r="AV21" s="601"/>
      <c r="AW21" s="601"/>
      <c r="AX21" s="606"/>
      <c r="AY21" s="606"/>
      <c r="AZ21" s="606"/>
      <c r="BA21" s="7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</row>
    <row r="22" spans="2:65" s="654" customFormat="1" ht="13.8" thickBot="1">
      <c r="B22" s="655">
        <v>1</v>
      </c>
      <c r="C22" s="374">
        <f>D7</f>
        <v>-22.198671000000001</v>
      </c>
      <c r="D22" s="784">
        <f t="shared" ref="D22:D53" si="0">AA22</f>
        <v>0.52313650886841412</v>
      </c>
      <c r="E22" s="784">
        <v>0</v>
      </c>
      <c r="F22" s="785">
        <v>0</v>
      </c>
      <c r="G22" s="784">
        <v>0</v>
      </c>
      <c r="H22" s="910"/>
      <c r="I22" s="658"/>
      <c r="J22" s="42"/>
      <c r="K22" s="42"/>
      <c r="L22" s="747"/>
      <c r="N22" s="66"/>
      <c r="O22" s="66"/>
      <c r="P22" s="66"/>
      <c r="R22" s="816" t="s">
        <v>306</v>
      </c>
      <c r="S22" s="810"/>
      <c r="T22" s="810"/>
      <c r="U22" s="811">
        <f>('transversal subsidence profile'!$L$5*EXP(-(D7^2)/(2*'transversal subsidence profile'!$J$5^2)))*100</f>
        <v>1.1733125404899502E-2</v>
      </c>
      <c r="V22" s="811">
        <f>(+'transversal subsidence profile'!$L$6*EXP(-((D7+$G$10)^2)/(2*'transversal subsidence profile'!$J$6^2)))*100</f>
        <v>0.51140338346351466</v>
      </c>
      <c r="W22" s="817">
        <f>IF('IN-OUT'!$F$26=0,'Damage classification-Rankin'!V22,IF('IN-OUT'!$F$35=0,'Damage classification-Rankin'!U22,'Damage classification-Rankin'!U22+'Damage classification-Rankin'!V22))</f>
        <v>0.52313650886841412</v>
      </c>
      <c r="Y22" s="748">
        <f>IF(C22="","",('transversal subsidence profile'!$L$5*EXP(-(C22^2)/(2*'transversal subsidence profile'!$J$5^2)))*100)</f>
        <v>1.1733125404899502E-2</v>
      </c>
      <c r="Z22" s="750">
        <f>IF(C22="","",(+'transversal subsidence profile'!$L$6*EXP(-((C22+$G$10)^2)/(2*'transversal subsidence profile'!$J$6^2)))*100)</f>
        <v>0.51140338346351466</v>
      </c>
      <c r="AA22" s="751">
        <f>IF(C22="","",IF('IN-OUT'!$F$26=0,'Damage classification-Rankin'!Z22,IF('IN-OUT'!$F$35=0,Y22,'Damage classification-Rankin'!Y22+'Damage classification-Rankin'!Z22)))</f>
        <v>0.52313650886841412</v>
      </c>
      <c r="AB22" s="607"/>
      <c r="AC22" s="607"/>
      <c r="AD22" s="607"/>
      <c r="AE22" s="607"/>
      <c r="AF22" s="66"/>
      <c r="AG22" s="122"/>
      <c r="AH22" s="615"/>
      <c r="AI22" s="67"/>
      <c r="AJ22" s="67"/>
      <c r="AK22" s="67"/>
      <c r="AL22" s="66"/>
      <c r="AM22" s="66"/>
      <c r="AN22" s="66"/>
      <c r="AO22" s="66"/>
      <c r="AP22" s="66"/>
      <c r="AQ22" s="66"/>
      <c r="AR22" s="66"/>
      <c r="AS22" s="66"/>
      <c r="AT22" s="66"/>
      <c r="AU22" s="548"/>
      <c r="AV22" s="548"/>
      <c r="AW22" s="548"/>
      <c r="AX22" s="657"/>
      <c r="AY22" s="657"/>
      <c r="AZ22" s="657"/>
      <c r="BA22" s="656"/>
    </row>
    <row r="23" spans="2:65" s="654" customFormat="1" ht="13.8" thickBot="1">
      <c r="B23" s="655">
        <v>2</v>
      </c>
      <c r="C23" s="374">
        <f t="shared" ref="C23:C54" si="1">IF(OR(C22=$D$8,C22=""),"",IF((C22+$C$19)&gt;$D$8,$D$8,C22+$C$19))</f>
        <v>-17.198671000000001</v>
      </c>
      <c r="D23" s="784">
        <f t="shared" si="0"/>
        <v>1.5844140430363063</v>
      </c>
      <c r="E23" s="784">
        <f t="shared" ref="E23:E54" si="2">IF(C23="","",IF(D23&gt;D22,ATAN(((D23-D22))/ABS((C23-C22)*100)),-ATAN(((D22-D23))/ABS((C23-C22)*100))))</f>
        <v>2.1225518808043894E-3</v>
      </c>
      <c r="F23" s="785">
        <f t="shared" ref="F23:F54" si="3">IF(C23&lt;&gt;"",ABS(D22-D23),"")</f>
        <v>1.0612775341678922</v>
      </c>
      <c r="G23" s="784">
        <f>IF(C23="","",IF(ABS(C22-C23)&lt;($C$19-0.0001),"",$C$20+E23))</f>
        <v>-3.4458945211264221E-4</v>
      </c>
      <c r="H23" s="911"/>
      <c r="I23" s="48"/>
      <c r="J23" s="46"/>
      <c r="K23" s="46"/>
      <c r="L23" s="47"/>
      <c r="M23" s="66"/>
      <c r="O23" s="66"/>
      <c r="P23" s="66"/>
      <c r="Q23" s="66"/>
      <c r="R23" s="818" t="s">
        <v>307</v>
      </c>
      <c r="S23" s="819"/>
      <c r="T23" s="819"/>
      <c r="U23" s="820">
        <f>('transversal subsidence profile'!$L$5*EXP(-(D8^2)/(2*'transversal subsidence profile'!$J$5^2)))*100</f>
        <v>0.47279505108537079</v>
      </c>
      <c r="V23" s="820">
        <f>(+'transversal subsidence profile'!$L$6*EXP(-((D8+G10)^2)/(2*'transversal subsidence profile'!$J$6^2)))*100</f>
        <v>2.446002971349782</v>
      </c>
      <c r="W23" s="821">
        <f>IF('IN-OUT'!$F$26=0,'Damage classification-Rankin'!V23,IF('IN-OUT'!$F$35=0,'Damage classification-Rankin'!U23,'Damage classification-Rankin'!U23+'Damage classification-Rankin'!V23))</f>
        <v>2.9187980224351526</v>
      </c>
      <c r="X23" s="66"/>
      <c r="Y23" s="663">
        <f>IF(C23="","",('transversal subsidence profile'!$L$5*EXP(-(C23^2)/(2*'transversal subsidence profile'!$J$5^2)))*100)</f>
        <v>0.10191466018756971</v>
      </c>
      <c r="Z23" s="664">
        <f>IF(C23="","",(+'transversal subsidence profile'!$L$6*EXP(-((C23+$G$10)^2)/(2*'transversal subsidence profile'!$J$6^2)))*100)</f>
        <v>1.4824993828487365</v>
      </c>
      <c r="AA23" s="751">
        <f>IF(C23="","",IF('IN-OUT'!$F$26=0,'Damage classification-Rankin'!Z23,IF('IN-OUT'!$F$35=0,Y23,'Damage classification-Rankin'!Y23+'Damage classification-Rankin'!Z23)))</f>
        <v>1.5844140430363063</v>
      </c>
      <c r="AB23" s="607"/>
      <c r="AC23" s="607"/>
      <c r="AD23" s="607"/>
      <c r="AE23" s="607"/>
      <c r="AF23" s="66"/>
      <c r="AG23" s="66"/>
      <c r="AH23" s="616"/>
      <c r="AI23" s="81"/>
      <c r="AJ23" s="81"/>
      <c r="AK23" s="82" t="s">
        <v>114</v>
      </c>
      <c r="AL23" s="81"/>
      <c r="AM23" s="81"/>
      <c r="AN23" s="81"/>
      <c r="AO23" s="81"/>
      <c r="AP23" s="81"/>
      <c r="AQ23" s="81"/>
      <c r="AR23" s="66"/>
      <c r="AS23" s="66"/>
      <c r="AT23" s="66"/>
      <c r="AU23" s="548"/>
      <c r="AV23" s="548"/>
      <c r="AW23" s="548"/>
      <c r="AX23" s="657"/>
      <c r="AY23" s="657"/>
      <c r="AZ23" s="657"/>
      <c r="BA23" s="656"/>
    </row>
    <row r="24" spans="2:65" s="654" customFormat="1" ht="13.65" customHeight="1" thickBot="1">
      <c r="B24" s="655">
        <v>3</v>
      </c>
      <c r="C24" s="374">
        <f t="shared" si="1"/>
        <v>-12.488417999999999</v>
      </c>
      <c r="D24" s="784">
        <f t="shared" si="0"/>
        <v>2.9187980224351526</v>
      </c>
      <c r="E24" s="784">
        <f t="shared" si="2"/>
        <v>2.8329272540300941E-3</v>
      </c>
      <c r="F24" s="785">
        <f t="shared" si="3"/>
        <v>1.3343839793988463</v>
      </c>
      <c r="G24" s="784" t="str">
        <f t="shared" ref="G24:G87" si="4">IF(C24="","",IF(ABS(C23-C24)&lt;($C$19-0.0001),"",$C$20+E24))</f>
        <v/>
      </c>
      <c r="H24" s="911"/>
      <c r="I24" s="48"/>
      <c r="J24" s="46"/>
      <c r="K24" s="46"/>
      <c r="L24" s="47"/>
      <c r="M24" s="66"/>
      <c r="N24" s="66"/>
      <c r="O24" s="66"/>
      <c r="P24" s="66"/>
      <c r="Q24" s="66"/>
      <c r="R24" s="66"/>
      <c r="S24" s="66"/>
      <c r="T24" s="66"/>
      <c r="U24" s="640"/>
      <c r="V24" s="640"/>
      <c r="W24" s="66"/>
      <c r="X24" s="66"/>
      <c r="Y24" s="663">
        <f>IF(C24="","",('transversal subsidence profile'!$L$5*EXP(-(C24^2)/(2*'transversal subsidence profile'!$J$5^2)))*100)</f>
        <v>0.47279505108537079</v>
      </c>
      <c r="Z24" s="664">
        <f>IF(C24="","",(+'transversal subsidence profile'!$L$6*EXP(-((C24+$G$10)^2)/(2*'transversal subsidence profile'!$J$6^2)))*100)</f>
        <v>2.446002971349782</v>
      </c>
      <c r="AA24" s="751">
        <f>IF(C24="","",IF('IN-OUT'!$F$26=0,'Damage classification-Rankin'!Z24,IF('IN-OUT'!$F$35=0,Y24,'Damage classification-Rankin'!Y24+'Damage classification-Rankin'!Z24)))</f>
        <v>2.9187980224351526</v>
      </c>
      <c r="AB24" s="607"/>
      <c r="AC24" s="607"/>
      <c r="AD24" s="607"/>
      <c r="AE24" s="607"/>
      <c r="AF24" s="66"/>
      <c r="AG24" s="66"/>
      <c r="AH24" s="1170" t="s">
        <v>124</v>
      </c>
      <c r="AI24" s="1171"/>
      <c r="AJ24" s="1172" t="s">
        <v>115</v>
      </c>
      <c r="AK24" s="1173"/>
      <c r="AL24" s="1174" t="s">
        <v>116</v>
      </c>
      <c r="AM24" s="1175"/>
      <c r="AN24" s="1168" t="s">
        <v>117</v>
      </c>
      <c r="AO24" s="1169"/>
      <c r="AP24" s="1166" t="s">
        <v>118</v>
      </c>
      <c r="AQ24" s="1167"/>
      <c r="AR24" s="66"/>
      <c r="AS24" s="66"/>
      <c r="AT24" s="66"/>
      <c r="AU24" s="548"/>
      <c r="AV24" s="548"/>
      <c r="AW24" s="548"/>
      <c r="AX24" s="657"/>
      <c r="AY24" s="657"/>
      <c r="AZ24" s="657"/>
      <c r="BA24" s="656"/>
    </row>
    <row r="25" spans="2:65" s="654" customFormat="1" ht="13.8" thickBot="1">
      <c r="B25" s="655">
        <v>4</v>
      </c>
      <c r="C25" s="374" t="str">
        <f t="shared" si="1"/>
        <v/>
      </c>
      <c r="D25" s="784" t="str">
        <f t="shared" si="0"/>
        <v/>
      </c>
      <c r="E25" s="784" t="str">
        <f t="shared" si="2"/>
        <v/>
      </c>
      <c r="F25" s="785" t="str">
        <f t="shared" si="3"/>
        <v/>
      </c>
      <c r="G25" s="784" t="str">
        <f t="shared" si="4"/>
        <v/>
      </c>
      <c r="H25" s="911"/>
      <c r="I25" s="48"/>
      <c r="J25" s="46"/>
      <c r="K25" s="46"/>
      <c r="L25" s="47"/>
      <c r="M25" s="66"/>
      <c r="N25" s="66"/>
      <c r="O25" s="66"/>
      <c r="P25" s="66"/>
      <c r="Q25" s="66"/>
      <c r="R25" s="66"/>
      <c r="S25" s="66"/>
      <c r="T25" s="66"/>
      <c r="U25" s="640"/>
      <c r="V25" s="640"/>
      <c r="W25" s="66"/>
      <c r="X25" s="66"/>
      <c r="Y25" s="663" t="str">
        <f>IF(C25="","",('transversal subsidence profile'!$L$5*EXP(-(C25^2)/(2*'transversal subsidence profile'!$J$5^2)))*100)</f>
        <v/>
      </c>
      <c r="Z25" s="664" t="str">
        <f>IF(C25="","",(+'transversal subsidence profile'!$L$6*EXP(-((C25+$G$10)^2)/(2*'transversal subsidence profile'!$J$6^2)))*100)</f>
        <v/>
      </c>
      <c r="AA25" s="751" t="str">
        <f>IF(C25="","",IF('IN-OUT'!$F$26=0,'Damage classification-Rankin'!Z25,IF('IN-OUT'!$F$35=0,Y25,'Damage classification-Rankin'!Y25+'Damage classification-Rankin'!Z25)))</f>
        <v/>
      </c>
      <c r="AB25" s="607"/>
      <c r="AC25" s="607"/>
      <c r="AD25" s="607"/>
      <c r="AE25" s="607"/>
      <c r="AF25" s="66"/>
      <c r="AG25" s="66"/>
      <c r="AH25" s="617" t="s">
        <v>55</v>
      </c>
      <c r="AI25" s="83"/>
      <c r="AJ25" s="84" t="s">
        <v>56</v>
      </c>
      <c r="AK25" s="85"/>
      <c r="AL25" s="84" t="s">
        <v>57</v>
      </c>
      <c r="AM25" s="85"/>
      <c r="AN25" s="84" t="s">
        <v>58</v>
      </c>
      <c r="AO25" s="85"/>
      <c r="AP25" s="84" t="s">
        <v>59</v>
      </c>
      <c r="AQ25" s="71"/>
      <c r="AR25" s="66"/>
      <c r="AS25" s="66"/>
      <c r="AT25" s="66"/>
      <c r="AU25" s="548"/>
      <c r="AV25" s="548"/>
      <c r="AW25" s="548"/>
      <c r="AX25" s="657"/>
      <c r="AY25" s="657"/>
      <c r="AZ25" s="657"/>
      <c r="BA25" s="656"/>
    </row>
    <row r="26" spans="2:65" s="654" customFormat="1" ht="13.8" thickBot="1">
      <c r="B26" s="655">
        <v>5</v>
      </c>
      <c r="C26" s="374" t="str">
        <f t="shared" si="1"/>
        <v/>
      </c>
      <c r="D26" s="784" t="str">
        <f t="shared" si="0"/>
        <v/>
      </c>
      <c r="E26" s="784" t="str">
        <f t="shared" si="2"/>
        <v/>
      </c>
      <c r="F26" s="785" t="str">
        <f t="shared" si="3"/>
        <v/>
      </c>
      <c r="G26" s="784" t="str">
        <f t="shared" si="4"/>
        <v/>
      </c>
      <c r="H26" s="911"/>
      <c r="I26" s="48"/>
      <c r="J26" s="46"/>
      <c r="K26" s="46"/>
      <c r="L26" s="47"/>
      <c r="M26" s="66"/>
      <c r="N26" s="66"/>
      <c r="O26" s="66"/>
      <c r="P26" s="66"/>
      <c r="Q26" s="66"/>
      <c r="R26" s="66"/>
      <c r="S26" s="66"/>
      <c r="T26" s="66"/>
      <c r="U26" s="640"/>
      <c r="V26" s="640"/>
      <c r="W26" s="66"/>
      <c r="X26" s="66"/>
      <c r="Y26" s="663" t="str">
        <f>IF(C26="","",('transversal subsidence profile'!$L$5*EXP(-(C26^2)/(2*'transversal subsidence profile'!$J$5^2)))*100)</f>
        <v/>
      </c>
      <c r="Z26" s="664" t="str">
        <f>IF(C26="","",(+'transversal subsidence profile'!$L$6*EXP(-((C26+$G$10)^2)/(2*'transversal subsidence profile'!$J$6^2)))*100)</f>
        <v/>
      </c>
      <c r="AA26" s="751" t="str">
        <f>IF(C26="","",IF('IN-OUT'!$F$26=0,'Damage classification-Rankin'!Z26,IF('IN-OUT'!$F$35=0,Y26,'Damage classification-Rankin'!Y26+'Damage classification-Rankin'!Z26)))</f>
        <v/>
      </c>
      <c r="AB26" s="607"/>
      <c r="AC26" s="607"/>
      <c r="AD26" s="607"/>
      <c r="AE26" s="607"/>
      <c r="AF26" s="66"/>
      <c r="AG26" s="66"/>
      <c r="AH26" s="618" t="s">
        <v>60</v>
      </c>
      <c r="AI26" s="45"/>
      <c r="AJ26" s="43" t="s">
        <v>61</v>
      </c>
      <c r="AK26" s="45"/>
      <c r="AL26" s="44" t="s">
        <v>62</v>
      </c>
      <c r="AM26" s="45"/>
      <c r="AN26" s="43" t="s">
        <v>63</v>
      </c>
      <c r="AO26" s="45"/>
      <c r="AP26" s="43" t="s">
        <v>64</v>
      </c>
      <c r="AQ26" s="45"/>
      <c r="AR26" s="66"/>
      <c r="AS26" s="66"/>
      <c r="AT26" s="66"/>
      <c r="AU26" s="548"/>
      <c r="AV26" s="548"/>
      <c r="AW26" s="548"/>
      <c r="AX26" s="657"/>
      <c r="AY26" s="657"/>
      <c r="AZ26" s="657"/>
      <c r="BA26" s="656"/>
    </row>
    <row r="27" spans="2:65" s="654" customFormat="1" ht="13.8" thickBot="1">
      <c r="B27" s="655">
        <v>6</v>
      </c>
      <c r="C27" s="374" t="str">
        <f t="shared" si="1"/>
        <v/>
      </c>
      <c r="D27" s="784" t="str">
        <f t="shared" si="0"/>
        <v/>
      </c>
      <c r="E27" s="784" t="str">
        <f t="shared" si="2"/>
        <v/>
      </c>
      <c r="F27" s="785" t="str">
        <f t="shared" si="3"/>
        <v/>
      </c>
      <c r="G27" s="784" t="str">
        <f t="shared" si="4"/>
        <v/>
      </c>
      <c r="H27" s="911"/>
      <c r="I27" s="48"/>
      <c r="J27" s="46"/>
      <c r="K27" s="46"/>
      <c r="L27" s="47"/>
      <c r="M27" s="66"/>
      <c r="N27" s="66"/>
      <c r="O27" s="66"/>
      <c r="P27" s="66"/>
      <c r="Q27" s="66"/>
      <c r="R27" s="66"/>
      <c r="S27" s="66"/>
      <c r="T27" s="66"/>
      <c r="U27" s="640"/>
      <c r="V27" s="640"/>
      <c r="W27" s="66"/>
      <c r="X27" s="66"/>
      <c r="Y27" s="663" t="str">
        <f>IF(C27="","",('transversal subsidence profile'!$L$5*EXP(-(C27^2)/(2*'transversal subsidence profile'!$J$5^2)))*100)</f>
        <v/>
      </c>
      <c r="Z27" s="664" t="str">
        <f>IF(C27="","",(+'transversal subsidence profile'!$L$6*EXP(-((C27+$G$10)^2)/(2*'transversal subsidence profile'!$J$6^2)))*100)</f>
        <v/>
      </c>
      <c r="AA27" s="751" t="str">
        <f>IF(C27="","",IF('IN-OUT'!$F$26=0,'Damage classification-Rankin'!Z27,IF('IN-OUT'!$F$35=0,Y27,'Damage classification-Rankin'!Y27+'Damage classification-Rankin'!Z27)))</f>
        <v/>
      </c>
      <c r="AB27" s="607"/>
      <c r="AC27" s="607"/>
      <c r="AD27" s="607"/>
      <c r="AE27" s="607"/>
      <c r="AF27" s="66"/>
      <c r="AG27" s="66"/>
      <c r="AH27" s="619" t="s">
        <v>161</v>
      </c>
      <c r="AI27" s="47"/>
      <c r="AJ27" s="46" t="s">
        <v>161</v>
      </c>
      <c r="AK27" s="47"/>
      <c r="AL27" s="46" t="s">
        <v>161</v>
      </c>
      <c r="AM27" s="47"/>
      <c r="AN27" s="46" t="s">
        <v>161</v>
      </c>
      <c r="AO27" s="47"/>
      <c r="AP27" s="46" t="s">
        <v>161</v>
      </c>
      <c r="AQ27" s="47"/>
      <c r="AR27" s="66"/>
      <c r="AS27" s="66"/>
      <c r="AT27" s="66"/>
      <c r="AU27" s="548"/>
      <c r="AV27" s="548"/>
      <c r="AW27" s="548"/>
      <c r="AX27" s="657"/>
      <c r="AY27" s="657"/>
      <c r="AZ27" s="657"/>
      <c r="BA27" s="656"/>
    </row>
    <row r="28" spans="2:65" s="654" customFormat="1" ht="16.2" thickBot="1">
      <c r="B28" s="655">
        <v>7</v>
      </c>
      <c r="C28" s="374" t="str">
        <f t="shared" si="1"/>
        <v/>
      </c>
      <c r="D28" s="784" t="str">
        <f t="shared" si="0"/>
        <v/>
      </c>
      <c r="E28" s="784" t="str">
        <f t="shared" si="2"/>
        <v/>
      </c>
      <c r="F28" s="785" t="str">
        <f t="shared" si="3"/>
        <v/>
      </c>
      <c r="G28" s="784" t="str">
        <f t="shared" si="4"/>
        <v/>
      </c>
      <c r="H28" s="912"/>
      <c r="I28" s="48"/>
      <c r="J28" s="78"/>
      <c r="K28" s="46"/>
      <c r="L28" s="47"/>
      <c r="M28" s="66"/>
      <c r="N28" s="66"/>
      <c r="O28" s="66"/>
      <c r="P28" s="66"/>
      <c r="Q28" s="66"/>
      <c r="R28" s="66"/>
      <c r="S28" s="66"/>
      <c r="T28" s="66"/>
      <c r="U28" s="640"/>
      <c r="V28" s="640"/>
      <c r="W28" s="66"/>
      <c r="X28" s="66"/>
      <c r="Y28" s="663" t="str">
        <f>IF(C28="","",('transversal subsidence profile'!$L$5*EXP(-(C28^2)/(2*'transversal subsidence profile'!$J$5^2)))*100)</f>
        <v/>
      </c>
      <c r="Z28" s="664" t="str">
        <f>IF(C28="","",(+'transversal subsidence profile'!$L$6*EXP(-((C28+$G$10)^2)/(2*'transversal subsidence profile'!$J$6^2)))*100)</f>
        <v/>
      </c>
      <c r="AA28" s="751" t="str">
        <f>IF(C28="","",IF('IN-OUT'!$F$26=0,'Damage classification-Rankin'!Z28,IF('IN-OUT'!$F$35=0,Y28,'Damage classification-Rankin'!Y28+'Damage classification-Rankin'!Z28)))</f>
        <v/>
      </c>
      <c r="AB28" s="607"/>
      <c r="AC28" s="607"/>
      <c r="AD28" s="607"/>
      <c r="AE28" s="607"/>
      <c r="AF28" s="66"/>
      <c r="AG28" s="66"/>
      <c r="AH28" s="618" t="s">
        <v>65</v>
      </c>
      <c r="AI28" s="87" t="s">
        <v>66</v>
      </c>
      <c r="AJ28" s="43" t="s">
        <v>65</v>
      </c>
      <c r="AK28" s="87" t="s">
        <v>66</v>
      </c>
      <c r="AL28" s="44" t="s">
        <v>65</v>
      </c>
      <c r="AM28" s="87" t="s">
        <v>66</v>
      </c>
      <c r="AN28" s="43" t="s">
        <v>65</v>
      </c>
      <c r="AO28" s="87" t="s">
        <v>66</v>
      </c>
      <c r="AP28" s="43" t="s">
        <v>65</v>
      </c>
      <c r="AQ28" s="87" t="s">
        <v>66</v>
      </c>
      <c r="AR28" s="66"/>
      <c r="AS28" s="66"/>
      <c r="AT28" s="66"/>
      <c r="AU28" s="548"/>
      <c r="AV28" s="548"/>
      <c r="AW28" s="548"/>
      <c r="AX28" s="657"/>
      <c r="AY28" s="657"/>
      <c r="AZ28" s="657"/>
      <c r="BA28" s="656"/>
    </row>
    <row r="29" spans="2:65" s="654" customFormat="1" ht="13.8" thickBot="1">
      <c r="B29" s="655">
        <v>8</v>
      </c>
      <c r="C29" s="374" t="str">
        <f t="shared" si="1"/>
        <v/>
      </c>
      <c r="D29" s="784" t="str">
        <f t="shared" si="0"/>
        <v/>
      </c>
      <c r="E29" s="784" t="str">
        <f t="shared" si="2"/>
        <v/>
      </c>
      <c r="F29" s="785" t="str">
        <f t="shared" si="3"/>
        <v/>
      </c>
      <c r="G29" s="784" t="str">
        <f t="shared" si="4"/>
        <v/>
      </c>
      <c r="H29" s="912"/>
      <c r="I29" s="48"/>
      <c r="J29" s="78"/>
      <c r="K29" s="46"/>
      <c r="L29" s="47"/>
      <c r="M29" s="66"/>
      <c r="N29" s="66"/>
      <c r="O29" s="66"/>
      <c r="P29" s="66"/>
      <c r="Q29" s="66"/>
      <c r="R29" s="66"/>
      <c r="S29" s="66"/>
      <c r="T29" s="66"/>
      <c r="U29" s="640"/>
      <c r="V29" s="640"/>
      <c r="W29" s="66"/>
      <c r="X29" s="66"/>
      <c r="Y29" s="663" t="str">
        <f>IF(C29="","",('transversal subsidence profile'!$L$5*EXP(-(C29^2)/(2*'transversal subsidence profile'!$J$5^2)))*100)</f>
        <v/>
      </c>
      <c r="Z29" s="664" t="str">
        <f>IF(C29="","",(+'transversal subsidence profile'!$L$6*EXP(-((C29+$G$10)^2)/(2*'transversal subsidence profile'!$J$6^2)))*100)</f>
        <v/>
      </c>
      <c r="AA29" s="751" t="str">
        <f>IF(C29="","",IF('IN-OUT'!$F$26=0,'Damage classification-Rankin'!Z29,IF('IN-OUT'!$F$35=0,Y29,'Damage classification-Rankin'!Y29+'Damage classification-Rankin'!Z29)))</f>
        <v/>
      </c>
      <c r="AB29" s="607"/>
      <c r="AC29" s="607"/>
      <c r="AD29" s="607"/>
      <c r="AE29" s="607"/>
      <c r="AF29" s="66"/>
      <c r="AG29" s="66"/>
      <c r="AH29" s="620" t="s">
        <v>67</v>
      </c>
      <c r="AI29" s="89" t="s">
        <v>68</v>
      </c>
      <c r="AJ29" s="88" t="s">
        <v>69</v>
      </c>
      <c r="AK29" s="89" t="s">
        <v>70</v>
      </c>
      <c r="AL29" s="90" t="s">
        <v>71</v>
      </c>
      <c r="AM29" s="89" t="s">
        <v>72</v>
      </c>
      <c r="AN29" s="88" t="s">
        <v>73</v>
      </c>
      <c r="AO29" s="91" t="s">
        <v>74</v>
      </c>
      <c r="AP29" s="88" t="s">
        <v>75</v>
      </c>
      <c r="AQ29" s="89" t="s">
        <v>76</v>
      </c>
      <c r="AR29" s="66"/>
      <c r="AS29" s="66"/>
      <c r="AT29" s="66"/>
      <c r="AU29" s="548"/>
      <c r="AV29" s="548"/>
      <c r="AW29" s="548"/>
      <c r="AX29" s="657"/>
      <c r="AY29" s="657"/>
      <c r="AZ29" s="657"/>
      <c r="BA29" s="656"/>
    </row>
    <row r="30" spans="2:65" s="654" customFormat="1" ht="16.2" thickBot="1">
      <c r="B30" s="655">
        <v>9</v>
      </c>
      <c r="C30" s="374" t="str">
        <f t="shared" si="1"/>
        <v/>
      </c>
      <c r="D30" s="784" t="str">
        <f t="shared" si="0"/>
        <v/>
      </c>
      <c r="E30" s="784" t="str">
        <f t="shared" si="2"/>
        <v/>
      </c>
      <c r="F30" s="785" t="str">
        <f t="shared" si="3"/>
        <v/>
      </c>
      <c r="G30" s="784" t="str">
        <f t="shared" si="4"/>
        <v/>
      </c>
      <c r="H30" s="912"/>
      <c r="I30" s="48"/>
      <c r="J30" s="78"/>
      <c r="K30" s="46"/>
      <c r="L30" s="47"/>
      <c r="M30" s="66"/>
      <c r="N30" s="66"/>
      <c r="O30" s="66"/>
      <c r="P30" s="66"/>
      <c r="Q30" s="66"/>
      <c r="R30" s="66"/>
      <c r="S30" s="66"/>
      <c r="T30" s="66"/>
      <c r="U30" s="640"/>
      <c r="V30" s="640"/>
      <c r="W30" s="66"/>
      <c r="X30" s="66"/>
      <c r="Y30" s="663" t="str">
        <f>IF(C30="","",('transversal subsidence profile'!$L$5*EXP(-(C30^2)/(2*'transversal subsidence profile'!$J$5^2)))*100)</f>
        <v/>
      </c>
      <c r="Z30" s="664" t="str">
        <f>IF(C30="","",(+'transversal subsidence profile'!$L$6*EXP(-((C30+$G$10)^2)/(2*'transversal subsidence profile'!$J$6^2)))*100)</f>
        <v/>
      </c>
      <c r="AA30" s="751" t="str">
        <f>IF(C30="","",IF('IN-OUT'!$F$26=0,'Damage classification-Rankin'!Z30,IF('IN-OUT'!$F$35=0,Y30,'Damage classification-Rankin'!Y30+'Damage classification-Rankin'!Z30)))</f>
        <v/>
      </c>
      <c r="AB30" s="607"/>
      <c r="AC30" s="607"/>
      <c r="AD30" s="607"/>
      <c r="AE30" s="607"/>
      <c r="AF30" s="66"/>
      <c r="AG30" s="66"/>
      <c r="AH30" s="621" t="s">
        <v>77</v>
      </c>
      <c r="AI30" s="47"/>
      <c r="AJ30" s="74" t="s">
        <v>77</v>
      </c>
      <c r="AK30" s="47"/>
      <c r="AL30" s="92" t="s">
        <v>77</v>
      </c>
      <c r="AM30" s="47"/>
      <c r="AN30" s="74" t="s">
        <v>77</v>
      </c>
      <c r="AO30" s="47"/>
      <c r="AP30" s="74" t="s">
        <v>77</v>
      </c>
      <c r="AQ30" s="47"/>
      <c r="AR30" s="66"/>
      <c r="AS30" s="66"/>
      <c r="AT30" s="66"/>
      <c r="AU30" s="548"/>
      <c r="AV30" s="548"/>
      <c r="AW30" s="548"/>
      <c r="AX30" s="657"/>
      <c r="AY30" s="657"/>
      <c r="AZ30" s="657"/>
      <c r="BA30" s="656"/>
    </row>
    <row r="31" spans="2:65" s="654" customFormat="1" ht="13.8" thickBot="1">
      <c r="B31" s="655">
        <v>10</v>
      </c>
      <c r="C31" s="374" t="str">
        <f t="shared" si="1"/>
        <v/>
      </c>
      <c r="D31" s="784" t="str">
        <f t="shared" si="0"/>
        <v/>
      </c>
      <c r="E31" s="784" t="str">
        <f t="shared" si="2"/>
        <v/>
      </c>
      <c r="F31" s="785" t="str">
        <f t="shared" si="3"/>
        <v/>
      </c>
      <c r="G31" s="784" t="str">
        <f t="shared" si="4"/>
        <v/>
      </c>
      <c r="H31" s="912"/>
      <c r="I31" s="48"/>
      <c r="J31" s="78"/>
      <c r="K31" s="46"/>
      <c r="L31" s="47"/>
      <c r="M31" s="66"/>
      <c r="N31" s="66"/>
      <c r="O31" s="66"/>
      <c r="P31" s="66"/>
      <c r="Q31" s="66"/>
      <c r="R31" s="66"/>
      <c r="S31" s="66"/>
      <c r="T31" s="66"/>
      <c r="U31" s="640"/>
      <c r="V31" s="640"/>
      <c r="W31" s="66"/>
      <c r="X31" s="66"/>
      <c r="Y31" s="663" t="str">
        <f>IF(C31="","",('transversal subsidence profile'!$L$5*EXP(-(C31^2)/(2*'transversal subsidence profile'!$J$5^2)))*100)</f>
        <v/>
      </c>
      <c r="Z31" s="664" t="str">
        <f>IF(C31="","",(+'transversal subsidence profile'!$L$6*EXP(-((C31+$G$10)^2)/(2*'transversal subsidence profile'!$J$6^2)))*100)</f>
        <v/>
      </c>
      <c r="AA31" s="751" t="str">
        <f>IF(C31="","",IF('IN-OUT'!$F$26=0,'Damage classification-Rankin'!Z31,IF('IN-OUT'!$F$35=0,Y31,'Damage classification-Rankin'!Y31+'Damage classification-Rankin'!Z31)))</f>
        <v/>
      </c>
      <c r="AB31" s="607"/>
      <c r="AC31" s="607"/>
      <c r="AD31" s="607"/>
      <c r="AE31" s="607"/>
      <c r="AF31" s="66"/>
      <c r="AG31" s="66"/>
      <c r="AH31" s="619" t="s">
        <v>78</v>
      </c>
      <c r="AI31" s="47" t="s">
        <v>79</v>
      </c>
      <c r="AJ31" s="48" t="s">
        <v>78</v>
      </c>
      <c r="AK31" s="47" t="s">
        <v>79</v>
      </c>
      <c r="AL31" s="46" t="s">
        <v>78</v>
      </c>
      <c r="AM31" s="47" t="s">
        <v>79</v>
      </c>
      <c r="AN31" s="48" t="s">
        <v>78</v>
      </c>
      <c r="AO31" s="47" t="s">
        <v>79</v>
      </c>
      <c r="AP31" s="48" t="s">
        <v>78</v>
      </c>
      <c r="AQ31" s="47" t="s">
        <v>79</v>
      </c>
      <c r="AR31" s="66"/>
      <c r="AS31" s="66"/>
      <c r="AT31" s="66"/>
      <c r="AU31" s="548"/>
      <c r="AV31" s="548"/>
      <c r="AW31" s="548"/>
      <c r="AX31" s="657"/>
      <c r="AY31" s="657"/>
      <c r="AZ31" s="657"/>
      <c r="BA31" s="656"/>
    </row>
    <row r="32" spans="2:65" s="654" customFormat="1" ht="13.8" thickBot="1">
      <c r="B32" s="655">
        <v>11</v>
      </c>
      <c r="C32" s="374" t="str">
        <f t="shared" si="1"/>
        <v/>
      </c>
      <c r="D32" s="784" t="str">
        <f t="shared" si="0"/>
        <v/>
      </c>
      <c r="E32" s="784" t="str">
        <f t="shared" si="2"/>
        <v/>
      </c>
      <c r="F32" s="785" t="str">
        <f t="shared" si="3"/>
        <v/>
      </c>
      <c r="G32" s="784" t="str">
        <f t="shared" si="4"/>
        <v/>
      </c>
      <c r="H32" s="913"/>
      <c r="I32" s="48"/>
      <c r="J32" s="46"/>
      <c r="K32" s="46"/>
      <c r="L32" s="47"/>
      <c r="M32" s="66"/>
      <c r="N32" s="66"/>
      <c r="O32" s="66"/>
      <c r="P32" s="66"/>
      <c r="Q32" s="66"/>
      <c r="R32" s="66"/>
      <c r="S32" s="66"/>
      <c r="T32" s="66"/>
      <c r="U32" s="640"/>
      <c r="V32" s="640"/>
      <c r="W32" s="66"/>
      <c r="X32" s="66"/>
      <c r="Y32" s="663" t="str">
        <f>IF(C32="","",('transversal subsidence profile'!$L$5*EXP(-(C32^2)/(2*'transversal subsidence profile'!$J$5^2)))*100)</f>
        <v/>
      </c>
      <c r="Z32" s="664" t="str">
        <f>IF(C32="","",(+'transversal subsidence profile'!$L$6*EXP(-((C32+$G$10)^2)/(2*'transversal subsidence profile'!$J$6^2)))*100)</f>
        <v/>
      </c>
      <c r="AA32" s="751" t="str">
        <f>IF(C32="","",IF('IN-OUT'!$F$26=0,'Damage classification-Rankin'!Z32,IF('IN-OUT'!$F$35=0,Y32,'Damage classification-Rankin'!Y32+'Damage classification-Rankin'!Z32)))</f>
        <v/>
      </c>
      <c r="AB32" s="67"/>
      <c r="AC32" s="67"/>
      <c r="AD32" s="67"/>
      <c r="AE32" s="67"/>
      <c r="AF32" s="66"/>
      <c r="AG32" s="66"/>
      <c r="AH32" s="622">
        <v>0</v>
      </c>
      <c r="AI32" s="94">
        <v>0.05</v>
      </c>
      <c r="AJ32" s="93">
        <v>0</v>
      </c>
      <c r="AK32" s="94">
        <v>0.04</v>
      </c>
      <c r="AL32" s="95">
        <v>0</v>
      </c>
      <c r="AM32" s="94">
        <v>3.3000000000000002E-2</v>
      </c>
      <c r="AN32" s="93">
        <v>0</v>
      </c>
      <c r="AO32" s="94">
        <v>2.9000000000000001E-2</v>
      </c>
      <c r="AP32" s="93">
        <v>0</v>
      </c>
      <c r="AQ32" s="94">
        <v>2.5000000000000001E-2</v>
      </c>
      <c r="AR32" s="66"/>
      <c r="AS32" s="66"/>
      <c r="AT32" s="66"/>
      <c r="AU32" s="548"/>
      <c r="AV32" s="548"/>
      <c r="AW32" s="548"/>
      <c r="AX32" s="657"/>
      <c r="AY32" s="657"/>
      <c r="AZ32" s="657"/>
      <c r="BA32" s="656"/>
    </row>
    <row r="33" spans="1:65" s="654" customFormat="1" ht="12.75" customHeight="1" thickBot="1">
      <c r="B33" s="655">
        <v>12</v>
      </c>
      <c r="C33" s="374" t="str">
        <f t="shared" si="1"/>
        <v/>
      </c>
      <c r="D33" s="784" t="str">
        <f t="shared" si="0"/>
        <v/>
      </c>
      <c r="E33" s="784" t="str">
        <f t="shared" si="2"/>
        <v/>
      </c>
      <c r="F33" s="785" t="str">
        <f t="shared" si="3"/>
        <v/>
      </c>
      <c r="G33" s="784" t="str">
        <f t="shared" si="4"/>
        <v/>
      </c>
      <c r="H33" s="913"/>
      <c r="I33" s="48"/>
      <c r="J33" s="79"/>
      <c r="K33" s="46"/>
      <c r="L33" s="47"/>
      <c r="M33" s="66"/>
      <c r="N33" s="66"/>
      <c r="O33" s="66"/>
      <c r="P33" s="66"/>
      <c r="Q33" s="66"/>
      <c r="R33" s="66"/>
      <c r="S33" s="66"/>
      <c r="T33" s="66"/>
      <c r="U33" s="640"/>
      <c r="V33" s="640"/>
      <c r="W33" s="66"/>
      <c r="X33" s="66"/>
      <c r="Y33" s="663" t="str">
        <f>IF(C33="","",('transversal subsidence profile'!$L$5*EXP(-(C33^2)/(2*'transversal subsidence profile'!$J$5^2)))*100)</f>
        <v/>
      </c>
      <c r="Z33" s="664" t="str">
        <f>IF(C33="","",(+'transversal subsidence profile'!$L$6*EXP(-((C33+$G$10)^2)/(2*'transversal subsidence profile'!$J$6^2)))*100)</f>
        <v/>
      </c>
      <c r="AA33" s="751" t="str">
        <f>IF(C33="","",IF('IN-OUT'!$F$26=0,'Damage classification-Rankin'!Z33,IF('IN-OUT'!$F$35=0,Y33,'Damage classification-Rankin'!Y33+'Damage classification-Rankin'!Z33)))</f>
        <v/>
      </c>
      <c r="AB33" s="67"/>
      <c r="AC33" s="67"/>
      <c r="AD33" s="67"/>
      <c r="AE33" s="67"/>
      <c r="AF33" s="66"/>
      <c r="AG33" s="66"/>
      <c r="AH33" s="622">
        <v>0.05</v>
      </c>
      <c r="AI33" s="94">
        <v>7.4999999999999997E-2</v>
      </c>
      <c r="AJ33" s="93">
        <v>0.04</v>
      </c>
      <c r="AK33" s="94">
        <v>0.06</v>
      </c>
      <c r="AL33" s="95">
        <v>3.3000000000000002E-2</v>
      </c>
      <c r="AM33" s="94">
        <v>0.05</v>
      </c>
      <c r="AN33" s="93">
        <v>2.9000000000000001E-2</v>
      </c>
      <c r="AO33" s="94">
        <v>4.2999999999999997E-2</v>
      </c>
      <c r="AP33" s="93">
        <v>2.5000000000000001E-2</v>
      </c>
      <c r="AQ33" s="94">
        <v>3.7999999999999999E-2</v>
      </c>
      <c r="AR33" s="66"/>
      <c r="AS33" s="66"/>
      <c r="AT33" s="66"/>
      <c r="AU33" s="548"/>
      <c r="AV33" s="548"/>
      <c r="AW33" s="548"/>
      <c r="AX33" s="657"/>
      <c r="AY33" s="657"/>
      <c r="AZ33" s="657"/>
      <c r="BA33" s="656"/>
    </row>
    <row r="34" spans="1:65" s="654" customFormat="1" ht="16.2" thickBot="1">
      <c r="B34" s="655">
        <v>13</v>
      </c>
      <c r="C34" s="374" t="str">
        <f t="shared" si="1"/>
        <v/>
      </c>
      <c r="D34" s="784" t="str">
        <f t="shared" si="0"/>
        <v/>
      </c>
      <c r="E34" s="784" t="str">
        <f t="shared" si="2"/>
        <v/>
      </c>
      <c r="F34" s="785" t="str">
        <f t="shared" si="3"/>
        <v/>
      </c>
      <c r="G34" s="784" t="str">
        <f t="shared" si="4"/>
        <v/>
      </c>
      <c r="H34" s="911"/>
      <c r="I34" s="48"/>
      <c r="J34" s="46"/>
      <c r="K34" s="46"/>
      <c r="L34" s="47"/>
      <c r="M34" s="66"/>
      <c r="N34" s="66"/>
      <c r="O34" s="66"/>
      <c r="P34" s="66"/>
      <c r="Q34" s="66"/>
      <c r="R34" s="66"/>
      <c r="S34" s="66"/>
      <c r="T34" s="66"/>
      <c r="U34" s="640"/>
      <c r="V34" s="640"/>
      <c r="W34" s="66"/>
      <c r="X34" s="66"/>
      <c r="Y34" s="663" t="str">
        <f>IF(C34="","",('transversal subsidence profile'!$L$5*EXP(-(C34^2)/(2*'transversal subsidence profile'!$J$5^2)))*100)</f>
        <v/>
      </c>
      <c r="Z34" s="664" t="str">
        <f>IF(C34="","",(+'transversal subsidence profile'!$L$6*EXP(-((C34+$G$10)^2)/(2*'transversal subsidence profile'!$J$6^2)))*100)</f>
        <v/>
      </c>
      <c r="AA34" s="751" t="str">
        <f>IF(C34="","",IF('IN-OUT'!$F$26=0,'Damage classification-Rankin'!Z34,IF('IN-OUT'!$F$35=0,Y34,'Damage classification-Rankin'!Y34+'Damage classification-Rankin'!Z34)))</f>
        <v/>
      </c>
      <c r="AB34" s="46"/>
      <c r="AC34" s="46"/>
      <c r="AD34" s="46"/>
      <c r="AE34" s="46"/>
      <c r="AF34" s="66"/>
      <c r="AG34" s="66"/>
      <c r="AH34" s="618" t="s">
        <v>65</v>
      </c>
      <c r="AI34" s="87" t="s">
        <v>66</v>
      </c>
      <c r="AJ34" s="43" t="s">
        <v>65</v>
      </c>
      <c r="AK34" s="87" t="s">
        <v>66</v>
      </c>
      <c r="AL34" s="43" t="s">
        <v>65</v>
      </c>
      <c r="AM34" s="87" t="s">
        <v>66</v>
      </c>
      <c r="AN34" s="43" t="s">
        <v>65</v>
      </c>
      <c r="AO34" s="87" t="s">
        <v>66</v>
      </c>
      <c r="AP34" s="43" t="s">
        <v>65</v>
      </c>
      <c r="AQ34" s="87" t="s">
        <v>66</v>
      </c>
      <c r="AR34" s="66"/>
      <c r="AS34" s="66"/>
      <c r="AT34" s="66"/>
      <c r="AU34" s="548"/>
      <c r="AV34" s="548"/>
      <c r="AW34" s="548"/>
      <c r="AX34" s="657"/>
      <c r="AY34" s="657"/>
      <c r="AZ34" s="657"/>
      <c r="BA34" s="656"/>
    </row>
    <row r="35" spans="1:65" s="654" customFormat="1" ht="13.8" thickBot="1">
      <c r="B35" s="655">
        <v>14</v>
      </c>
      <c r="C35" s="374" t="str">
        <f t="shared" si="1"/>
        <v/>
      </c>
      <c r="D35" s="784" t="str">
        <f t="shared" si="0"/>
        <v/>
      </c>
      <c r="E35" s="784" t="str">
        <f t="shared" si="2"/>
        <v/>
      </c>
      <c r="F35" s="785" t="str">
        <f t="shared" si="3"/>
        <v/>
      </c>
      <c r="G35" s="784" t="str">
        <f t="shared" si="4"/>
        <v/>
      </c>
      <c r="H35" s="911"/>
      <c r="I35" s="48"/>
      <c r="J35" s="46"/>
      <c r="K35" s="46"/>
      <c r="L35" s="47"/>
      <c r="M35" s="66"/>
      <c r="N35" s="66"/>
      <c r="O35" s="66"/>
      <c r="P35" s="66"/>
      <c r="Q35" s="66"/>
      <c r="R35" s="66"/>
      <c r="S35" s="66"/>
      <c r="T35" s="66"/>
      <c r="U35" s="640"/>
      <c r="V35" s="640"/>
      <c r="W35" s="66"/>
      <c r="X35" s="66"/>
      <c r="Y35" s="663" t="str">
        <f>IF(C35="","",('transversal subsidence profile'!$L$5*EXP(-(C35^2)/(2*'transversal subsidence profile'!$J$5^2)))*100)</f>
        <v/>
      </c>
      <c r="Z35" s="664" t="str">
        <f>IF(C35="","",(+'transversal subsidence profile'!$L$6*EXP(-((C35+$G$10)^2)/(2*'transversal subsidence profile'!$J$6^2)))*100)</f>
        <v/>
      </c>
      <c r="AA35" s="751" t="str">
        <f>IF(C35="","",IF('IN-OUT'!$F$26=0,'Damage classification-Rankin'!Z35,IF('IN-OUT'!$F$35=0,Y35,'Damage classification-Rankin'!Y35+'Damage classification-Rankin'!Z35)))</f>
        <v/>
      </c>
      <c r="AB35" s="73"/>
      <c r="AC35" s="598"/>
      <c r="AD35" s="598"/>
      <c r="AE35" s="73"/>
      <c r="AF35" s="66"/>
      <c r="AG35" s="66"/>
      <c r="AH35" s="620" t="s">
        <v>80</v>
      </c>
      <c r="AI35" s="89" t="s">
        <v>81</v>
      </c>
      <c r="AJ35" s="96" t="s">
        <v>82</v>
      </c>
      <c r="AK35" s="89" t="s">
        <v>83</v>
      </c>
      <c r="AL35" s="96" t="s">
        <v>84</v>
      </c>
      <c r="AM35" s="89" t="s">
        <v>85</v>
      </c>
      <c r="AN35" s="96" t="s">
        <v>86</v>
      </c>
      <c r="AO35" s="91" t="s">
        <v>87</v>
      </c>
      <c r="AP35" s="96" t="s">
        <v>88</v>
      </c>
      <c r="AQ35" s="89" t="s">
        <v>89</v>
      </c>
      <c r="AR35" s="66"/>
      <c r="AS35" s="66"/>
      <c r="AT35" s="66"/>
      <c r="AU35" s="548"/>
      <c r="AV35" s="548"/>
      <c r="AW35" s="548"/>
      <c r="AX35" s="657"/>
      <c r="AY35" s="657"/>
      <c r="AZ35" s="657"/>
      <c r="BA35" s="656"/>
    </row>
    <row r="36" spans="1:65" s="654" customFormat="1" ht="16.2" thickBot="1">
      <c r="B36" s="655">
        <v>15</v>
      </c>
      <c r="C36" s="374" t="str">
        <f t="shared" si="1"/>
        <v/>
      </c>
      <c r="D36" s="784" t="str">
        <f t="shared" si="0"/>
        <v/>
      </c>
      <c r="E36" s="784" t="str">
        <f t="shared" si="2"/>
        <v/>
      </c>
      <c r="F36" s="785" t="str">
        <f t="shared" si="3"/>
        <v/>
      </c>
      <c r="G36" s="784" t="str">
        <f t="shared" si="4"/>
        <v/>
      </c>
      <c r="H36" s="913"/>
      <c r="I36" s="48"/>
      <c r="J36" s="79"/>
      <c r="K36" s="46"/>
      <c r="L36" s="47"/>
      <c r="M36" s="66"/>
      <c r="N36" s="66"/>
      <c r="O36" s="66"/>
      <c r="P36" s="66"/>
      <c r="Q36" s="66"/>
      <c r="R36" s="66"/>
      <c r="S36" s="66"/>
      <c r="T36" s="66"/>
      <c r="U36" s="640"/>
      <c r="V36" s="640"/>
      <c r="W36" s="66"/>
      <c r="X36" s="66"/>
      <c r="Y36" s="663" t="str">
        <f>IF(C36="","",('transversal subsidence profile'!$L$5*EXP(-(C36^2)/(2*'transversal subsidence profile'!$J$5^2)))*100)</f>
        <v/>
      </c>
      <c r="Z36" s="664" t="str">
        <f>IF(C36="","",(+'transversal subsidence profile'!$L$6*EXP(-((C36+$G$10)^2)/(2*'transversal subsidence profile'!$J$6^2)))*100)</f>
        <v/>
      </c>
      <c r="AA36" s="751" t="str">
        <f>IF(C36="","",IF('IN-OUT'!$F$26=0,'Damage classification-Rankin'!Z36,IF('IN-OUT'!$F$35=0,Y36,'Damage classification-Rankin'!Y36+'Damage classification-Rankin'!Z36)))</f>
        <v/>
      </c>
      <c r="AB36" s="73"/>
      <c r="AC36" s="598"/>
      <c r="AD36" s="598"/>
      <c r="AE36" s="73"/>
      <c r="AF36" s="66"/>
      <c r="AG36" s="66"/>
      <c r="AH36" s="621" t="s">
        <v>77</v>
      </c>
      <c r="AI36" s="47"/>
      <c r="AJ36" s="74" t="s">
        <v>77</v>
      </c>
      <c r="AK36" s="47"/>
      <c r="AL36" s="74" t="s">
        <v>77</v>
      </c>
      <c r="AM36" s="47"/>
      <c r="AN36" s="74" t="s">
        <v>77</v>
      </c>
      <c r="AO36" s="47"/>
      <c r="AP36" s="74" t="s">
        <v>77</v>
      </c>
      <c r="AQ36" s="47"/>
      <c r="AR36" s="66"/>
      <c r="AS36" s="66"/>
      <c r="AT36" s="66"/>
      <c r="AU36" s="548"/>
      <c r="AV36" s="548"/>
      <c r="AW36" s="548"/>
      <c r="AX36" s="657"/>
      <c r="AY36" s="657"/>
      <c r="AZ36" s="657"/>
      <c r="BA36" s="656"/>
    </row>
    <row r="37" spans="1:65" s="654" customFormat="1" ht="13.8" thickBot="1">
      <c r="B37" s="655">
        <f t="shared" ref="B37:B68" si="5">B36+1</f>
        <v>16</v>
      </c>
      <c r="C37" s="374" t="str">
        <f t="shared" si="1"/>
        <v/>
      </c>
      <c r="D37" s="784" t="str">
        <f t="shared" si="0"/>
        <v/>
      </c>
      <c r="E37" s="784" t="str">
        <f t="shared" si="2"/>
        <v/>
      </c>
      <c r="F37" s="785" t="str">
        <f t="shared" si="3"/>
        <v/>
      </c>
      <c r="G37" s="784" t="str">
        <f t="shared" si="4"/>
        <v/>
      </c>
      <c r="H37" s="914"/>
      <c r="I37" s="48"/>
      <c r="J37" s="79"/>
      <c r="K37" s="46"/>
      <c r="L37" s="47"/>
      <c r="M37" s="66"/>
      <c r="N37" s="66"/>
      <c r="O37" s="66"/>
      <c r="P37" s="66"/>
      <c r="Q37" s="66"/>
      <c r="R37" s="66"/>
      <c r="S37" s="66"/>
      <c r="T37" s="66"/>
      <c r="U37" s="640"/>
      <c r="V37" s="640"/>
      <c r="W37" s="66"/>
      <c r="X37" s="66"/>
      <c r="Y37" s="663" t="str">
        <f>IF(C37="","",('transversal subsidence profile'!$L$5*EXP(-(C37^2)/(2*'transversal subsidence profile'!$J$5^2)))*100)</f>
        <v/>
      </c>
      <c r="Z37" s="664" t="str">
        <f>IF(C37="","",(+'transversal subsidence profile'!$L$6*EXP(-((C37+$G$10)^2)/(2*'transversal subsidence profile'!$J$6^2)))*100)</f>
        <v/>
      </c>
      <c r="AA37" s="751" t="str">
        <f>IF(C37="","",IF('IN-OUT'!$F$26=0,'Damage classification-Rankin'!Z37,IF('IN-OUT'!$F$35=0,Y37,'Damage classification-Rankin'!Y37+'Damage classification-Rankin'!Z37)))</f>
        <v/>
      </c>
      <c r="AB37" s="73"/>
      <c r="AC37" s="598"/>
      <c r="AD37" s="598"/>
      <c r="AE37" s="73"/>
      <c r="AF37" s="66"/>
      <c r="AG37" s="66"/>
      <c r="AH37" s="619" t="s">
        <v>78</v>
      </c>
      <c r="AI37" s="47" t="s">
        <v>79</v>
      </c>
      <c r="AJ37" s="48" t="s">
        <v>78</v>
      </c>
      <c r="AK37" s="47" t="s">
        <v>79</v>
      </c>
      <c r="AL37" s="48" t="s">
        <v>78</v>
      </c>
      <c r="AM37" s="47" t="s">
        <v>79</v>
      </c>
      <c r="AN37" s="48" t="s">
        <v>78</v>
      </c>
      <c r="AO37" s="47" t="s">
        <v>79</v>
      </c>
      <c r="AP37" s="48" t="s">
        <v>78</v>
      </c>
      <c r="AQ37" s="47" t="s">
        <v>79</v>
      </c>
      <c r="AR37" s="66"/>
      <c r="AS37" s="66"/>
      <c r="AT37" s="66"/>
      <c r="AU37" s="548"/>
      <c r="AV37" s="548"/>
      <c r="AW37" s="548"/>
      <c r="AX37" s="657"/>
      <c r="AY37" s="657"/>
      <c r="AZ37" s="657"/>
      <c r="BA37" s="656"/>
    </row>
    <row r="38" spans="1:65" s="654" customFormat="1" ht="13.8" thickBot="1">
      <c r="B38" s="655">
        <f t="shared" si="5"/>
        <v>17</v>
      </c>
      <c r="C38" s="374" t="str">
        <f t="shared" si="1"/>
        <v/>
      </c>
      <c r="D38" s="784" t="str">
        <f t="shared" si="0"/>
        <v/>
      </c>
      <c r="E38" s="784" t="str">
        <f t="shared" si="2"/>
        <v/>
      </c>
      <c r="F38" s="785" t="str">
        <f t="shared" si="3"/>
        <v/>
      </c>
      <c r="G38" s="784" t="str">
        <f t="shared" si="4"/>
        <v/>
      </c>
      <c r="H38" s="914"/>
      <c r="I38" s="48"/>
      <c r="J38" s="79"/>
      <c r="K38" s="46"/>
      <c r="L38" s="47"/>
      <c r="M38" s="66"/>
      <c r="N38" s="66"/>
      <c r="O38" s="66"/>
      <c r="P38" s="66"/>
      <c r="Q38" s="66"/>
      <c r="R38" s="66"/>
      <c r="S38" s="66"/>
      <c r="T38" s="66"/>
      <c r="U38" s="640"/>
      <c r="V38" s="640"/>
      <c r="W38" s="66"/>
      <c r="X38" s="66"/>
      <c r="Y38" s="663" t="str">
        <f>IF(C38="","",('transversal subsidence profile'!$L$5*EXP(-(C38^2)/(2*'transversal subsidence profile'!$J$5^2)))*100)</f>
        <v/>
      </c>
      <c r="Z38" s="664" t="str">
        <f>IF(C38="","",(+'transversal subsidence profile'!$L$6*EXP(-((C38+$G$10)^2)/(2*'transversal subsidence profile'!$J$6^2)))*100)</f>
        <v/>
      </c>
      <c r="AA38" s="751" t="str">
        <f>IF(C38="","",IF('IN-OUT'!$F$26=0,'Damage classification-Rankin'!Z38,IF('IN-OUT'!$F$35=0,Y38,'Damage classification-Rankin'!Y38+'Damage classification-Rankin'!Z38)))</f>
        <v/>
      </c>
      <c r="AB38" s="78"/>
      <c r="AC38" s="608"/>
      <c r="AD38" s="608"/>
      <c r="AE38" s="606"/>
      <c r="AF38" s="66"/>
      <c r="AG38" s="66"/>
      <c r="AH38" s="623">
        <v>7.4999999999999997E-2</v>
      </c>
      <c r="AI38" s="98">
        <v>0.15</v>
      </c>
      <c r="AJ38" s="97">
        <v>0.06</v>
      </c>
      <c r="AK38" s="98">
        <v>0.12</v>
      </c>
      <c r="AL38" s="97">
        <v>0.05</v>
      </c>
      <c r="AM38" s="98">
        <v>0.1</v>
      </c>
      <c r="AN38" s="97">
        <v>4.2999999999999997E-2</v>
      </c>
      <c r="AO38" s="98">
        <v>8.5999999999999993E-2</v>
      </c>
      <c r="AP38" s="97">
        <v>3.7999999999999999E-2</v>
      </c>
      <c r="AQ38" s="98">
        <v>7.4999999999999997E-2</v>
      </c>
      <c r="AR38" s="66"/>
      <c r="AS38" s="66"/>
      <c r="AT38" s="66"/>
      <c r="AU38" s="548"/>
      <c r="AV38" s="548"/>
      <c r="AW38" s="548"/>
      <c r="AX38" s="657"/>
      <c r="AY38" s="657"/>
      <c r="AZ38" s="657"/>
      <c r="BA38" s="656"/>
    </row>
    <row r="39" spans="1:65" s="654" customFormat="1" ht="16.2" thickBot="1">
      <c r="B39" s="655">
        <f t="shared" si="5"/>
        <v>18</v>
      </c>
      <c r="C39" s="374" t="str">
        <f t="shared" si="1"/>
        <v/>
      </c>
      <c r="D39" s="784" t="str">
        <f t="shared" si="0"/>
        <v/>
      </c>
      <c r="E39" s="784" t="str">
        <f t="shared" si="2"/>
        <v/>
      </c>
      <c r="F39" s="785" t="str">
        <f t="shared" si="3"/>
        <v/>
      </c>
      <c r="G39" s="784" t="str">
        <f t="shared" si="4"/>
        <v/>
      </c>
      <c r="H39" s="70"/>
      <c r="I39" s="69"/>
      <c r="J39" s="70"/>
      <c r="K39" s="70"/>
      <c r="L39" s="71"/>
      <c r="M39" s="66"/>
      <c r="N39" s="66"/>
      <c r="O39" s="66"/>
      <c r="P39" s="66"/>
      <c r="Q39" s="66"/>
      <c r="R39" s="66"/>
      <c r="S39" s="66"/>
      <c r="T39" s="66"/>
      <c r="U39" s="640"/>
      <c r="V39" s="640"/>
      <c r="W39" s="66"/>
      <c r="X39" s="66"/>
      <c r="Y39" s="663" t="str">
        <f>IF(C39="","",('transversal subsidence profile'!$L$5*EXP(-(C39^2)/(2*'transversal subsidence profile'!$J$5^2)))*100)</f>
        <v/>
      </c>
      <c r="Z39" s="664" t="str">
        <f>IF(C39="","",(+'transversal subsidence profile'!$L$6*EXP(-((C39+$G$10)^2)/(2*'transversal subsidence profile'!$J$6^2)))*100)</f>
        <v/>
      </c>
      <c r="AA39" s="751" t="str">
        <f>IF(C39="","",IF('IN-OUT'!$F$26=0,'Damage classification-Rankin'!Z39,IF('IN-OUT'!$F$35=0,Y39,'Damage classification-Rankin'!Y39+'Damage classification-Rankin'!Z39)))</f>
        <v/>
      </c>
      <c r="AB39" s="78"/>
      <c r="AC39" s="608"/>
      <c r="AD39" s="608"/>
      <c r="AE39" s="606"/>
      <c r="AF39" s="66"/>
      <c r="AG39" s="66"/>
      <c r="AH39" s="619" t="s">
        <v>65</v>
      </c>
      <c r="AI39" s="99" t="s">
        <v>66</v>
      </c>
      <c r="AJ39" s="43" t="s">
        <v>65</v>
      </c>
      <c r="AK39" s="87" t="s">
        <v>66</v>
      </c>
      <c r="AL39" s="44" t="s">
        <v>65</v>
      </c>
      <c r="AM39" s="87" t="s">
        <v>66</v>
      </c>
      <c r="AN39" s="43" t="s">
        <v>65</v>
      </c>
      <c r="AO39" s="87" t="s">
        <v>66</v>
      </c>
      <c r="AP39" s="43" t="s">
        <v>65</v>
      </c>
      <c r="AQ39" s="87" t="s">
        <v>66</v>
      </c>
      <c r="AR39" s="66"/>
      <c r="AS39" s="66"/>
      <c r="AT39" s="66"/>
      <c r="AU39" s="548"/>
      <c r="AV39" s="548"/>
      <c r="AW39" s="548"/>
      <c r="AX39" s="657"/>
      <c r="AY39" s="657"/>
      <c r="AZ39" s="657"/>
      <c r="BA39" s="656"/>
    </row>
    <row r="40" spans="1:65" s="654" customFormat="1" ht="13.8" thickBot="1">
      <c r="B40" s="655">
        <f t="shared" si="5"/>
        <v>19</v>
      </c>
      <c r="C40" s="374" t="str">
        <f t="shared" si="1"/>
        <v/>
      </c>
      <c r="D40" s="784" t="str">
        <f t="shared" si="0"/>
        <v/>
      </c>
      <c r="E40" s="784" t="str">
        <f t="shared" si="2"/>
        <v/>
      </c>
      <c r="F40" s="785" t="str">
        <f t="shared" si="3"/>
        <v/>
      </c>
      <c r="G40" s="784" t="str">
        <f t="shared" si="4"/>
        <v/>
      </c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40"/>
      <c r="V40" s="640"/>
      <c r="W40" s="66"/>
      <c r="X40" s="66"/>
      <c r="Y40" s="663" t="str">
        <f>IF(C40="","",('transversal subsidence profile'!$L$5*EXP(-(C40^2)/(2*'transversal subsidence profile'!$J$5^2)))*100)</f>
        <v/>
      </c>
      <c r="Z40" s="664" t="str">
        <f>IF(C40="","",(+'transversal subsidence profile'!$L$6*EXP(-((C40+$G$10)^2)/(2*'transversal subsidence profile'!$J$6^2)))*100)</f>
        <v/>
      </c>
      <c r="AA40" s="751" t="str">
        <f>IF(C40="","",IF('IN-OUT'!$F$26=0,'Damage classification-Rankin'!Z40,IF('IN-OUT'!$F$35=0,Y40,'Damage classification-Rankin'!Y40+'Damage classification-Rankin'!Z40)))</f>
        <v/>
      </c>
      <c r="AB40" s="78"/>
      <c r="AC40" s="608"/>
      <c r="AD40" s="608"/>
      <c r="AE40" s="606"/>
      <c r="AF40" s="66"/>
      <c r="AG40" s="66"/>
      <c r="AH40" s="620" t="s">
        <v>90</v>
      </c>
      <c r="AI40" s="91" t="s">
        <v>91</v>
      </c>
      <c r="AJ40" s="88" t="s">
        <v>92</v>
      </c>
      <c r="AK40" s="91" t="s">
        <v>93</v>
      </c>
      <c r="AL40" s="90" t="s">
        <v>94</v>
      </c>
      <c r="AM40" s="91" t="s">
        <v>95</v>
      </c>
      <c r="AN40" s="88" t="s">
        <v>96</v>
      </c>
      <c r="AO40" s="91" t="s">
        <v>74</v>
      </c>
      <c r="AP40" s="88" t="s">
        <v>97</v>
      </c>
      <c r="AQ40" s="91" t="s">
        <v>98</v>
      </c>
      <c r="AR40" s="66"/>
      <c r="AS40" s="66"/>
      <c r="AT40" s="66"/>
      <c r="AU40" s="548"/>
      <c r="AV40" s="548"/>
      <c r="AW40" s="548"/>
      <c r="AX40" s="657"/>
      <c r="AY40" s="657"/>
      <c r="AZ40" s="657"/>
      <c r="BA40" s="656"/>
    </row>
    <row r="41" spans="1:65" s="654" customFormat="1" ht="16.2" thickBot="1">
      <c r="A41" s="66"/>
      <c r="B41" s="655">
        <f t="shared" si="5"/>
        <v>20</v>
      </c>
      <c r="C41" s="374" t="str">
        <f t="shared" si="1"/>
        <v/>
      </c>
      <c r="D41" s="784" t="str">
        <f t="shared" si="0"/>
        <v/>
      </c>
      <c r="E41" s="784" t="str">
        <f t="shared" si="2"/>
        <v/>
      </c>
      <c r="F41" s="785" t="str">
        <f t="shared" si="3"/>
        <v/>
      </c>
      <c r="G41" s="784" t="str">
        <f t="shared" si="4"/>
        <v/>
      </c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66"/>
      <c r="U41" s="640"/>
      <c r="V41" s="640"/>
      <c r="W41" s="66"/>
      <c r="X41" s="66"/>
      <c r="Y41" s="663" t="str">
        <f>IF(C41="","",('transversal subsidence profile'!$L$5*EXP(-(C41^2)/(2*'transversal subsidence profile'!$J$5^2)))*100)</f>
        <v/>
      </c>
      <c r="Z41" s="664" t="str">
        <f>IF(C41="","",(+'transversal subsidence profile'!$L$6*EXP(-((C41+$G$10)^2)/(2*'transversal subsidence profile'!$J$6^2)))*100)</f>
        <v/>
      </c>
      <c r="AA41" s="751" t="str">
        <f>IF(C41="","",IF('IN-OUT'!$F$26=0,'Damage classification-Rankin'!Z41,IF('IN-OUT'!$F$35=0,Y41,'Damage classification-Rankin'!Y41+'Damage classification-Rankin'!Z41)))</f>
        <v/>
      </c>
      <c r="AB41" s="78"/>
      <c r="AC41" s="608"/>
      <c r="AD41" s="608"/>
      <c r="AE41" s="606"/>
      <c r="AF41" s="66"/>
      <c r="AG41" s="66"/>
      <c r="AH41" s="621" t="s">
        <v>77</v>
      </c>
      <c r="AI41" s="47"/>
      <c r="AJ41" s="74" t="s">
        <v>77</v>
      </c>
      <c r="AK41" s="47"/>
      <c r="AL41" s="92" t="s">
        <v>77</v>
      </c>
      <c r="AM41" s="47"/>
      <c r="AN41" s="74" t="s">
        <v>77</v>
      </c>
      <c r="AO41" s="47"/>
      <c r="AP41" s="74" t="s">
        <v>77</v>
      </c>
      <c r="AQ41" s="47"/>
      <c r="AR41" s="66"/>
      <c r="AS41" s="66"/>
      <c r="AT41" s="66"/>
      <c r="AU41" s="548"/>
      <c r="AV41" s="548"/>
      <c r="AW41" s="548"/>
      <c r="AX41" s="657"/>
      <c r="AY41" s="657"/>
      <c r="AZ41" s="657"/>
      <c r="BA41" s="656"/>
    </row>
    <row r="42" spans="1:65" ht="13.8" thickBot="1">
      <c r="B42" s="655">
        <f t="shared" si="5"/>
        <v>21</v>
      </c>
      <c r="C42" s="374" t="str">
        <f t="shared" si="1"/>
        <v/>
      </c>
      <c r="D42" s="784" t="str">
        <f t="shared" si="0"/>
        <v/>
      </c>
      <c r="E42" s="784" t="str">
        <f t="shared" si="2"/>
        <v/>
      </c>
      <c r="F42" s="785" t="str">
        <f t="shared" si="3"/>
        <v/>
      </c>
      <c r="G42" s="784" t="str">
        <f t="shared" si="4"/>
        <v/>
      </c>
      <c r="Y42" s="663" t="str">
        <f>IF(C42="","",('transversal subsidence profile'!$L$5*EXP(-(C42^2)/(2*'transversal subsidence profile'!$J$5^2)))*100)</f>
        <v/>
      </c>
      <c r="Z42" s="664" t="str">
        <f>IF(C42="","",(+'transversal subsidence profile'!$L$6*EXP(-((C42+$G$10)^2)/(2*'transversal subsidence profile'!$J$6^2)))*100)</f>
        <v/>
      </c>
      <c r="AA42" s="751" t="str">
        <f>IF(C42="","",IF('IN-OUT'!$F$26=0,'Damage classification-Rankin'!Z42,IF('IN-OUT'!$F$35=0,Y42,'Damage classification-Rankin'!Y42+'Damage classification-Rankin'!Z42)))</f>
        <v/>
      </c>
      <c r="AB42" s="78"/>
      <c r="AC42" s="608"/>
      <c r="AD42" s="608"/>
      <c r="AE42" s="606"/>
      <c r="AH42" s="619" t="s">
        <v>78</v>
      </c>
      <c r="AI42" s="47" t="s">
        <v>79</v>
      </c>
      <c r="AJ42" s="48" t="s">
        <v>78</v>
      </c>
      <c r="AK42" s="47" t="s">
        <v>79</v>
      </c>
      <c r="AL42" s="46" t="s">
        <v>78</v>
      </c>
      <c r="AM42" s="47" t="s">
        <v>79</v>
      </c>
      <c r="AN42" s="48" t="s">
        <v>78</v>
      </c>
      <c r="AO42" s="47" t="s">
        <v>79</v>
      </c>
      <c r="AP42" s="48" t="s">
        <v>78</v>
      </c>
      <c r="AQ42" s="47" t="s">
        <v>79</v>
      </c>
      <c r="AU42" s="601"/>
      <c r="AV42" s="601"/>
      <c r="AW42" s="601"/>
      <c r="AX42" s="606"/>
      <c r="AY42" s="606"/>
      <c r="AZ42" s="606"/>
      <c r="BA42" s="7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</row>
    <row r="43" spans="1:65" ht="13.8" thickBot="1">
      <c r="B43" s="655">
        <f t="shared" si="5"/>
        <v>22</v>
      </c>
      <c r="C43" s="374" t="str">
        <f t="shared" si="1"/>
        <v/>
      </c>
      <c r="D43" s="784" t="str">
        <f t="shared" si="0"/>
        <v/>
      </c>
      <c r="E43" s="784" t="str">
        <f t="shared" si="2"/>
        <v/>
      </c>
      <c r="F43" s="785" t="str">
        <f t="shared" si="3"/>
        <v/>
      </c>
      <c r="G43" s="784" t="str">
        <f t="shared" si="4"/>
        <v/>
      </c>
      <c r="Y43" s="663" t="str">
        <f>IF(C43="","",('transversal subsidence profile'!$L$5*EXP(-(C43^2)/(2*'transversal subsidence profile'!$J$5^2)))*100)</f>
        <v/>
      </c>
      <c r="Z43" s="664" t="str">
        <f>IF(C43="","",(+'transversal subsidence profile'!$L$6*EXP(-((C43+$G$10)^2)/(2*'transversal subsidence profile'!$J$6^2)))*100)</f>
        <v/>
      </c>
      <c r="AA43" s="751" t="str">
        <f>IF(C43="","",IF('IN-OUT'!$F$26=0,'Damage classification-Rankin'!Z43,IF('IN-OUT'!$F$35=0,Y43,'Damage classification-Rankin'!Y43+'Damage classification-Rankin'!Z43)))</f>
        <v/>
      </c>
      <c r="AB43" s="78"/>
      <c r="AC43" s="608"/>
      <c r="AD43" s="608"/>
      <c r="AE43" s="606"/>
      <c r="AH43" s="623">
        <v>0.15</v>
      </c>
      <c r="AI43" s="98">
        <v>0.3</v>
      </c>
      <c r="AJ43" s="97">
        <v>0.12</v>
      </c>
      <c r="AK43" s="98">
        <v>0.24</v>
      </c>
      <c r="AL43" s="101">
        <v>0.1</v>
      </c>
      <c r="AM43" s="98">
        <v>0.2</v>
      </c>
      <c r="AN43" s="97">
        <v>8.5999999999999993E-2</v>
      </c>
      <c r="AO43" s="98">
        <v>0.17100000000000001</v>
      </c>
      <c r="AP43" s="97">
        <v>7.4999999999999997E-2</v>
      </c>
      <c r="AQ43" s="98">
        <v>0.15</v>
      </c>
      <c r="AU43" s="601"/>
      <c r="AV43" s="601"/>
      <c r="AW43" s="601"/>
      <c r="AX43" s="606"/>
      <c r="AY43" s="606"/>
      <c r="AZ43" s="606"/>
      <c r="BA43" s="7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</row>
    <row r="44" spans="1:65" ht="16.2" thickBot="1">
      <c r="B44" s="655">
        <f t="shared" si="5"/>
        <v>23</v>
      </c>
      <c r="C44" s="374" t="str">
        <f t="shared" si="1"/>
        <v/>
      </c>
      <c r="D44" s="784" t="str">
        <f t="shared" si="0"/>
        <v/>
      </c>
      <c r="E44" s="784" t="str">
        <f t="shared" si="2"/>
        <v/>
      </c>
      <c r="F44" s="785" t="str">
        <f t="shared" si="3"/>
        <v/>
      </c>
      <c r="G44" s="784" t="str">
        <f t="shared" si="4"/>
        <v/>
      </c>
      <c r="Y44" s="663" t="str">
        <f>IF(C44="","",('transversal subsidence profile'!$L$5*EXP(-(C44^2)/(2*'transversal subsidence profile'!$J$5^2)))*100)</f>
        <v/>
      </c>
      <c r="Z44" s="664" t="str">
        <f>IF(C44="","",(+'transversal subsidence profile'!$L$6*EXP(-((C44+$G$10)^2)/(2*'transversal subsidence profile'!$J$6^2)))*100)</f>
        <v/>
      </c>
      <c r="AA44" s="751" t="str">
        <f>IF(C44="","",IF('IN-OUT'!$F$26=0,'Damage classification-Rankin'!Z44,IF('IN-OUT'!$F$35=0,Y44,'Damage classification-Rankin'!Y44+'Damage classification-Rankin'!Z44)))</f>
        <v/>
      </c>
      <c r="AB44" s="78"/>
      <c r="AC44" s="608"/>
      <c r="AD44" s="608"/>
      <c r="AE44" s="606"/>
      <c r="AH44" s="618" t="s">
        <v>65</v>
      </c>
      <c r="AI44" s="87" t="s">
        <v>66</v>
      </c>
      <c r="AJ44" s="43" t="s">
        <v>65</v>
      </c>
      <c r="AK44" s="87" t="s">
        <v>66</v>
      </c>
      <c r="AL44" s="44" t="s">
        <v>65</v>
      </c>
      <c r="AM44" s="87" t="s">
        <v>66</v>
      </c>
      <c r="AN44" s="43" t="s">
        <v>65</v>
      </c>
      <c r="AO44" s="87" t="s">
        <v>66</v>
      </c>
      <c r="AP44" s="43" t="s">
        <v>65</v>
      </c>
      <c r="AQ44" s="87" t="s">
        <v>66</v>
      </c>
      <c r="AU44" s="601"/>
      <c r="AV44" s="601"/>
      <c r="AW44" s="601"/>
      <c r="AX44" s="606"/>
      <c r="AY44" s="606"/>
      <c r="AZ44" s="606"/>
      <c r="BA44" s="7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</row>
    <row r="45" spans="1:65" ht="13.8" thickBot="1">
      <c r="B45" s="655">
        <f t="shared" si="5"/>
        <v>24</v>
      </c>
      <c r="C45" s="374" t="str">
        <f t="shared" si="1"/>
        <v/>
      </c>
      <c r="D45" s="784" t="str">
        <f t="shared" si="0"/>
        <v/>
      </c>
      <c r="E45" s="784" t="str">
        <f t="shared" si="2"/>
        <v/>
      </c>
      <c r="F45" s="785" t="str">
        <f t="shared" si="3"/>
        <v/>
      </c>
      <c r="G45" s="784" t="str">
        <f t="shared" si="4"/>
        <v/>
      </c>
      <c r="Y45" s="663" t="str">
        <f>IF(C45="","",('transversal subsidence profile'!$L$5*EXP(-(C45^2)/(2*'transversal subsidence profile'!$J$5^2)))*100)</f>
        <v/>
      </c>
      <c r="Z45" s="664" t="str">
        <f>IF(C45="","",(+'transversal subsidence profile'!$L$6*EXP(-((C45+$G$10)^2)/(2*'transversal subsidence profile'!$J$6^2)))*100)</f>
        <v/>
      </c>
      <c r="AA45" s="751" t="str">
        <f>IF(C45="","",IF('IN-OUT'!$F$26=0,'Damage classification-Rankin'!Z45,IF('IN-OUT'!$F$35=0,Y45,'Damage classification-Rankin'!Y45+'Damage classification-Rankin'!Z45)))</f>
        <v/>
      </c>
      <c r="AB45" s="78"/>
      <c r="AC45" s="608"/>
      <c r="AD45" s="608"/>
      <c r="AE45" s="606"/>
      <c r="AH45" s="620" t="s">
        <v>99</v>
      </c>
      <c r="AI45" s="89" t="s">
        <v>100</v>
      </c>
      <c r="AJ45" s="88" t="s">
        <v>101</v>
      </c>
      <c r="AK45" s="89" t="s">
        <v>102</v>
      </c>
      <c r="AL45" s="90" t="s">
        <v>103</v>
      </c>
      <c r="AM45" s="89" t="s">
        <v>104</v>
      </c>
      <c r="AN45" s="88" t="s">
        <v>105</v>
      </c>
      <c r="AO45" s="89" t="s">
        <v>106</v>
      </c>
      <c r="AP45" s="88" t="s">
        <v>107</v>
      </c>
      <c r="AQ45" s="89" t="s">
        <v>108</v>
      </c>
      <c r="AU45" s="601"/>
      <c r="AV45" s="601"/>
      <c r="AW45" s="601"/>
      <c r="AX45" s="606"/>
      <c r="AY45" s="606"/>
      <c r="AZ45" s="606"/>
      <c r="BA45" s="7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</row>
    <row r="46" spans="1:65" ht="16.2" thickBot="1">
      <c r="B46" s="655">
        <f t="shared" si="5"/>
        <v>25</v>
      </c>
      <c r="C46" s="374" t="str">
        <f t="shared" si="1"/>
        <v/>
      </c>
      <c r="D46" s="784" t="str">
        <f t="shared" si="0"/>
        <v/>
      </c>
      <c r="E46" s="784" t="str">
        <f t="shared" si="2"/>
        <v/>
      </c>
      <c r="F46" s="785" t="str">
        <f t="shared" si="3"/>
        <v/>
      </c>
      <c r="G46" s="784" t="str">
        <f t="shared" si="4"/>
        <v/>
      </c>
      <c r="Y46" s="663" t="str">
        <f>IF(C46="","",('transversal subsidence profile'!$L$5*EXP(-(C46^2)/(2*'transversal subsidence profile'!$J$5^2)))*100)</f>
        <v/>
      </c>
      <c r="Z46" s="664" t="str">
        <f>IF(C46="","",(+'transversal subsidence profile'!$L$6*EXP(-((C46+$G$10)^2)/(2*'transversal subsidence profile'!$J$6^2)))*100)</f>
        <v/>
      </c>
      <c r="AA46" s="751" t="str">
        <f>IF(C46="","",IF('IN-OUT'!$F$26=0,'Damage classification-Rankin'!Z46,IF('IN-OUT'!$F$35=0,Y46,'Damage classification-Rankin'!Y46+'Damage classification-Rankin'!Z46)))</f>
        <v/>
      </c>
      <c r="AB46" s="78"/>
      <c r="AC46" s="608"/>
      <c r="AD46" s="608"/>
      <c r="AE46" s="606"/>
      <c r="AH46" s="621" t="s">
        <v>77</v>
      </c>
      <c r="AI46" s="47"/>
      <c r="AJ46" s="74" t="s">
        <v>77</v>
      </c>
      <c r="AK46" s="47"/>
      <c r="AL46" s="92" t="s">
        <v>77</v>
      </c>
      <c r="AM46" s="47"/>
      <c r="AN46" s="74" t="s">
        <v>77</v>
      </c>
      <c r="AO46" s="47"/>
      <c r="AP46" s="74" t="s">
        <v>77</v>
      </c>
      <c r="AQ46" s="47"/>
      <c r="AU46" s="601"/>
      <c r="AV46" s="601"/>
      <c r="AW46" s="601"/>
      <c r="AX46" s="606"/>
      <c r="AY46" s="606"/>
      <c r="AZ46" s="606"/>
      <c r="BA46" s="7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</row>
    <row r="47" spans="1:65" ht="13.8" thickBot="1">
      <c r="B47" s="655">
        <f t="shared" si="5"/>
        <v>26</v>
      </c>
      <c r="C47" s="374" t="str">
        <f t="shared" si="1"/>
        <v/>
      </c>
      <c r="D47" s="784" t="str">
        <f t="shared" si="0"/>
        <v/>
      </c>
      <c r="E47" s="784" t="str">
        <f t="shared" si="2"/>
        <v/>
      </c>
      <c r="F47" s="785" t="str">
        <f t="shared" si="3"/>
        <v/>
      </c>
      <c r="G47" s="784" t="str">
        <f t="shared" si="4"/>
        <v/>
      </c>
      <c r="Y47" s="663" t="str">
        <f>IF(C47="","",('transversal subsidence profile'!$L$5*EXP(-(C47^2)/(2*'transversal subsidence profile'!$J$5^2)))*100)</f>
        <v/>
      </c>
      <c r="Z47" s="664" t="str">
        <f>IF(C47="","",(+'transversal subsidence profile'!$L$6*EXP(-((C47+$G$10)^2)/(2*'transversal subsidence profile'!$J$6^2)))*100)</f>
        <v/>
      </c>
      <c r="AA47" s="751" t="str">
        <f>IF(C47="","",IF('IN-OUT'!$F$26=0,'Damage classification-Rankin'!Z47,IF('IN-OUT'!$F$35=0,Y47,'Damage classification-Rankin'!Y47+'Damage classification-Rankin'!Z47)))</f>
        <v/>
      </c>
      <c r="AB47" s="78"/>
      <c r="AC47" s="608"/>
      <c r="AD47" s="608"/>
      <c r="AE47" s="606"/>
      <c r="AH47" s="619" t="s">
        <v>78</v>
      </c>
      <c r="AI47" s="47"/>
      <c r="AJ47" s="48" t="s">
        <v>78</v>
      </c>
      <c r="AK47" s="47"/>
      <c r="AL47" s="46" t="s">
        <v>78</v>
      </c>
      <c r="AM47" s="47"/>
      <c r="AN47" s="48" t="s">
        <v>78</v>
      </c>
      <c r="AO47" s="47"/>
      <c r="AP47" s="48" t="s">
        <v>78</v>
      </c>
      <c r="AQ47" s="47"/>
      <c r="AU47" s="601"/>
      <c r="AV47" s="601"/>
      <c r="AW47" s="601"/>
      <c r="AX47" s="606"/>
      <c r="AY47" s="606"/>
      <c r="AZ47" s="606"/>
      <c r="BA47" s="7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</row>
    <row r="48" spans="1:65" ht="13.8" thickBot="1">
      <c r="B48" s="655">
        <f t="shared" si="5"/>
        <v>27</v>
      </c>
      <c r="C48" s="374" t="str">
        <f t="shared" si="1"/>
        <v/>
      </c>
      <c r="D48" s="784" t="str">
        <f t="shared" si="0"/>
        <v/>
      </c>
      <c r="E48" s="784" t="str">
        <f t="shared" si="2"/>
        <v/>
      </c>
      <c r="F48" s="785" t="str">
        <f t="shared" si="3"/>
        <v/>
      </c>
      <c r="G48" s="784" t="str">
        <f t="shared" si="4"/>
        <v/>
      </c>
      <c r="Y48" s="663" t="str">
        <f>IF(C48="","",('transversal subsidence profile'!$L$5*EXP(-(C48^2)/(2*'transversal subsidence profile'!$J$5^2)))*100)</f>
        <v/>
      </c>
      <c r="Z48" s="664" t="str">
        <f>IF(C48="","",(+'transversal subsidence profile'!$L$6*EXP(-((C48+$G$10)^2)/(2*'transversal subsidence profile'!$J$6^2)))*100)</f>
        <v/>
      </c>
      <c r="AA48" s="751" t="str">
        <f>IF(C48="","",IF('IN-OUT'!$F$26=0,'Damage classification-Rankin'!Z48,IF('IN-OUT'!$F$35=0,Y48,'Damage classification-Rankin'!Y48+'Damage classification-Rankin'!Z48)))</f>
        <v/>
      </c>
      <c r="AB48" s="78"/>
      <c r="AC48" s="608"/>
      <c r="AD48" s="608"/>
      <c r="AE48" s="606"/>
      <c r="AF48" s="67"/>
      <c r="AG48" s="67"/>
      <c r="AH48" s="623" t="s">
        <v>109</v>
      </c>
      <c r="AI48" s="98"/>
      <c r="AJ48" s="97" t="s">
        <v>110</v>
      </c>
      <c r="AK48" s="98"/>
      <c r="AL48" s="101" t="s">
        <v>111</v>
      </c>
      <c r="AM48" s="98"/>
      <c r="AN48" s="97" t="s">
        <v>112</v>
      </c>
      <c r="AO48" s="98"/>
      <c r="AP48" s="97" t="s">
        <v>113</v>
      </c>
      <c r="AQ48" s="98"/>
      <c r="AU48" s="601"/>
      <c r="AV48" s="601"/>
      <c r="AW48" s="601"/>
      <c r="AX48" s="606"/>
      <c r="AY48" s="606"/>
      <c r="AZ48" s="606"/>
      <c r="BA48" s="7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</row>
    <row r="49" spans="2:65" ht="13.8" thickBot="1">
      <c r="B49" s="655">
        <f t="shared" si="5"/>
        <v>28</v>
      </c>
      <c r="C49" s="374" t="str">
        <f t="shared" si="1"/>
        <v/>
      </c>
      <c r="D49" s="784" t="str">
        <f t="shared" si="0"/>
        <v/>
      </c>
      <c r="E49" s="784" t="str">
        <f t="shared" si="2"/>
        <v/>
      </c>
      <c r="F49" s="785" t="str">
        <f t="shared" si="3"/>
        <v/>
      </c>
      <c r="G49" s="784" t="str">
        <f t="shared" si="4"/>
        <v/>
      </c>
      <c r="Y49" s="663" t="str">
        <f>IF(C49="","",('transversal subsidence profile'!$L$5*EXP(-(C49^2)/(2*'transversal subsidence profile'!$J$5^2)))*100)</f>
        <v/>
      </c>
      <c r="Z49" s="664" t="str">
        <f>IF(C49="","",(+'transversal subsidence profile'!$L$6*EXP(-((C49+$G$10)^2)/(2*'transversal subsidence profile'!$J$6^2)))*100)</f>
        <v/>
      </c>
      <c r="AA49" s="751" t="str">
        <f>IF(C49="","",IF('IN-OUT'!$F$26=0,'Damage classification-Rankin'!Z49,IF('IN-OUT'!$F$35=0,Y49,'Damage classification-Rankin'!Y49+'Damage classification-Rankin'!Z49)))</f>
        <v/>
      </c>
      <c r="AB49" s="78"/>
      <c r="AC49" s="608"/>
      <c r="AD49" s="608"/>
      <c r="AE49" s="606"/>
      <c r="AF49" s="67"/>
      <c r="AG49" s="122"/>
      <c r="AH49" s="188"/>
      <c r="AI49" s="67"/>
      <c r="AJ49" s="67"/>
      <c r="AK49" s="67"/>
      <c r="AU49" s="601"/>
      <c r="AV49" s="601"/>
      <c r="AW49" s="601"/>
      <c r="AX49" s="606"/>
      <c r="AY49" s="606"/>
      <c r="AZ49" s="606"/>
      <c r="BA49" s="7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</row>
    <row r="50" spans="2:65" ht="12.75" customHeight="1" thickBot="1">
      <c r="B50" s="655">
        <f t="shared" si="5"/>
        <v>29</v>
      </c>
      <c r="C50" s="374" t="str">
        <f t="shared" si="1"/>
        <v/>
      </c>
      <c r="D50" s="784" t="str">
        <f t="shared" si="0"/>
        <v/>
      </c>
      <c r="E50" s="784" t="str">
        <f t="shared" si="2"/>
        <v/>
      </c>
      <c r="F50" s="785" t="str">
        <f t="shared" si="3"/>
        <v/>
      </c>
      <c r="G50" s="784" t="str">
        <f t="shared" si="4"/>
        <v/>
      </c>
      <c r="Y50" s="663" t="str">
        <f>IF(C50="","",('transversal subsidence profile'!$L$5*EXP(-(C50^2)/(2*'transversal subsidence profile'!$J$5^2)))*100)</f>
        <v/>
      </c>
      <c r="Z50" s="664" t="str">
        <f>IF(C50="","",(+'transversal subsidence profile'!$L$6*EXP(-((C50+$G$10)^2)/(2*'transversal subsidence profile'!$J$6^2)))*100)</f>
        <v/>
      </c>
      <c r="AA50" s="751" t="str">
        <f>IF(C50="","",IF('IN-OUT'!$F$26=0,'Damage classification-Rankin'!Z50,IF('IN-OUT'!$F$35=0,Y50,'Damage classification-Rankin'!Y50+'Damage classification-Rankin'!Z50)))</f>
        <v/>
      </c>
      <c r="AB50" s="78"/>
      <c r="AC50" s="608"/>
      <c r="AD50" s="608"/>
      <c r="AE50" s="606"/>
      <c r="AF50" s="67"/>
      <c r="AG50" s="122"/>
      <c r="AH50" s="78"/>
      <c r="AI50" s="46"/>
      <c r="AJ50" s="46"/>
      <c r="AK50" s="614" t="s">
        <v>124</v>
      </c>
      <c r="AL50" s="591" t="s">
        <v>115</v>
      </c>
      <c r="AM50" s="124" t="s">
        <v>116</v>
      </c>
      <c r="AN50" s="65" t="s">
        <v>117</v>
      </c>
      <c r="AO50" s="125" t="s">
        <v>125</v>
      </c>
      <c r="AP50" s="44"/>
      <c r="AQ50" s="123" t="str">
        <f>IF(AQ51&lt;2,$AH$24,IF((AQ51&lt;4),$AJ$24,IF((AQ51&lt;6),$AL$24,IF((AQ51&lt;8),$AN$24,$AP$24))))</f>
        <v>IRRELEVANT</v>
      </c>
      <c r="AU50" s="601"/>
      <c r="AV50" s="601"/>
      <c r="AW50" s="601"/>
      <c r="AX50" s="606"/>
      <c r="AY50" s="606"/>
      <c r="AZ50" s="606"/>
      <c r="BA50" s="7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</row>
    <row r="51" spans="2:65" ht="13.8" thickBot="1">
      <c r="B51" s="655">
        <f t="shared" si="5"/>
        <v>30</v>
      </c>
      <c r="C51" s="374" t="str">
        <f t="shared" si="1"/>
        <v/>
      </c>
      <c r="D51" s="784" t="str">
        <f t="shared" si="0"/>
        <v/>
      </c>
      <c r="E51" s="784" t="str">
        <f t="shared" si="2"/>
        <v/>
      </c>
      <c r="F51" s="785" t="str">
        <f t="shared" si="3"/>
        <v/>
      </c>
      <c r="G51" s="784" t="str">
        <f t="shared" si="4"/>
        <v/>
      </c>
      <c r="Y51" s="663" t="str">
        <f>IF(C51="","",('transversal subsidence profile'!$L$5*EXP(-(C51^2)/(2*'transversal subsidence profile'!$J$5^2)))*100)</f>
        <v/>
      </c>
      <c r="Z51" s="664" t="str">
        <f>IF(C51="","",(+'transversal subsidence profile'!$L$6*EXP(-((C51+$G$10)^2)/(2*'transversal subsidence profile'!$J$6^2)))*100)</f>
        <v/>
      </c>
      <c r="AA51" s="751" t="str">
        <f>IF(C51="","",IF('IN-OUT'!$F$26=0,'Damage classification-Rankin'!Z51,IF('IN-OUT'!$F$35=0,Y51,'Damage classification-Rankin'!Y51+'Damage classification-Rankin'!Z51)))</f>
        <v/>
      </c>
      <c r="AB51" s="78"/>
      <c r="AC51" s="608"/>
      <c r="AD51" s="608"/>
      <c r="AE51" s="606"/>
      <c r="AF51" s="67"/>
      <c r="AG51" s="122"/>
      <c r="AH51" s="78"/>
      <c r="AI51" s="46"/>
      <c r="AJ51" s="46"/>
      <c r="AK51" s="103" t="s">
        <v>119</v>
      </c>
      <c r="AL51" s="185" t="s">
        <v>120</v>
      </c>
      <c r="AM51" s="104" t="s">
        <v>121</v>
      </c>
      <c r="AN51" s="100" t="s">
        <v>122</v>
      </c>
      <c r="AO51" s="103" t="s">
        <v>123</v>
      </c>
      <c r="AP51" s="46"/>
      <c r="AQ51" s="110">
        <f>AJ17</f>
        <v>0</v>
      </c>
      <c r="AS51" s="188"/>
      <c r="AT51" s="188"/>
      <c r="AU51" s="601"/>
      <c r="AV51" s="601"/>
      <c r="AW51" s="601"/>
      <c r="AX51" s="606"/>
      <c r="AY51" s="606"/>
      <c r="AZ51" s="606"/>
      <c r="BA51" s="7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</row>
    <row r="52" spans="2:65" ht="13.8" thickBot="1">
      <c r="B52" s="655">
        <f t="shared" si="5"/>
        <v>31</v>
      </c>
      <c r="C52" s="374" t="str">
        <f t="shared" si="1"/>
        <v/>
      </c>
      <c r="D52" s="784" t="str">
        <f t="shared" si="0"/>
        <v/>
      </c>
      <c r="E52" s="784" t="str">
        <f t="shared" si="2"/>
        <v/>
      </c>
      <c r="F52" s="785" t="str">
        <f t="shared" si="3"/>
        <v/>
      </c>
      <c r="G52" s="784" t="str">
        <f t="shared" si="4"/>
        <v/>
      </c>
      <c r="Y52" s="663" t="str">
        <f>IF(C52="","",('transversal subsidence profile'!$L$5*EXP(-(C52^2)/(2*'transversal subsidence profile'!$J$5^2)))*100)</f>
        <v/>
      </c>
      <c r="Z52" s="664" t="str">
        <f>IF(C52="","",(+'transversal subsidence profile'!$L$6*EXP(-((C52+$G$10)^2)/(2*'transversal subsidence profile'!$J$6^2)))*100)</f>
        <v/>
      </c>
      <c r="AA52" s="751" t="str">
        <f>IF(C52="","",IF('IN-OUT'!$F$26=0,'Damage classification-Rankin'!Z52,IF('IN-OUT'!$F$35=0,Y52,'Damage classification-Rankin'!Y52+'Damage classification-Rankin'!Z52)))</f>
        <v/>
      </c>
      <c r="AB52" s="78"/>
      <c r="AC52" s="608"/>
      <c r="AD52" s="608"/>
      <c r="AE52" s="606"/>
      <c r="AF52" s="67"/>
      <c r="AG52" s="122"/>
      <c r="AH52" s="78"/>
      <c r="AI52" s="46"/>
      <c r="AJ52" s="46"/>
      <c r="AK52" s="100">
        <v>1</v>
      </c>
      <c r="AL52" s="106">
        <v>1.25</v>
      </c>
      <c r="AM52" s="107">
        <v>1.5</v>
      </c>
      <c r="AN52" s="105">
        <v>1.75</v>
      </c>
      <c r="AO52" s="106">
        <v>2</v>
      </c>
      <c r="AP52" s="46"/>
      <c r="AQ52" s="126">
        <f>IF($AQ$50=AK50,AK52,IF(($N$17=AL50),AL52,IF(($N$17=AM50),AM52,IF(($N$17=AN50),AN52,IF(($N$17=AO50),AO52)))))</f>
        <v>1</v>
      </c>
      <c r="AS52" s="188"/>
      <c r="AT52" s="188"/>
      <c r="AU52" s="601"/>
      <c r="AV52" s="601"/>
      <c r="AW52" s="601"/>
      <c r="AX52" s="606"/>
      <c r="AY52" s="606"/>
      <c r="AZ52" s="606"/>
      <c r="BA52" s="7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</row>
    <row r="53" spans="2:65" ht="16.2" thickBot="1">
      <c r="B53" s="655">
        <f t="shared" si="5"/>
        <v>32</v>
      </c>
      <c r="C53" s="374" t="str">
        <f t="shared" si="1"/>
        <v/>
      </c>
      <c r="D53" s="784" t="str">
        <f t="shared" si="0"/>
        <v/>
      </c>
      <c r="E53" s="784" t="str">
        <f t="shared" si="2"/>
        <v/>
      </c>
      <c r="F53" s="785" t="str">
        <f t="shared" si="3"/>
        <v/>
      </c>
      <c r="G53" s="784" t="str">
        <f t="shared" si="4"/>
        <v/>
      </c>
      <c r="Y53" s="663" t="str">
        <f>IF(C53="","",('transversal subsidence profile'!$L$5*EXP(-(C53^2)/(2*'transversal subsidence profile'!$J$5^2)))*100)</f>
        <v/>
      </c>
      <c r="Z53" s="664" t="str">
        <f>IF(C53="","",(+'transversal subsidence profile'!$L$6*EXP(-((C53+$G$10)^2)/(2*'transversal subsidence profile'!$J$6^2)))*100)</f>
        <v/>
      </c>
      <c r="AA53" s="751" t="str">
        <f>IF(C53="","",IF('IN-OUT'!$F$26=0,'Damage classification-Rankin'!Z53,IF('IN-OUT'!$F$35=0,Y53,'Damage classification-Rankin'!Y53+'Damage classification-Rankin'!Z53)))</f>
        <v/>
      </c>
      <c r="AB53" s="78"/>
      <c r="AC53" s="608"/>
      <c r="AD53" s="608"/>
      <c r="AE53" s="606"/>
      <c r="AH53" s="618"/>
      <c r="AI53" s="86"/>
      <c r="AJ53" s="43" t="s">
        <v>65</v>
      </c>
      <c r="AK53" s="86">
        <f>10</f>
        <v>10</v>
      </c>
      <c r="AL53" s="108">
        <f>8</f>
        <v>8</v>
      </c>
      <c r="AM53" s="109">
        <f>6.7</f>
        <v>6.7</v>
      </c>
      <c r="AN53" s="108">
        <f>5.7</f>
        <v>5.7</v>
      </c>
      <c r="AO53" s="102">
        <f>5</f>
        <v>5</v>
      </c>
      <c r="AP53" s="46"/>
      <c r="AQ53" s="108">
        <f t="shared" ref="AQ53:AQ64" si="6">LOOKUP($AQ$52,$AK$52:$AO$52,AK53:AO53)</f>
        <v>10</v>
      </c>
      <c r="AU53" s="601"/>
      <c r="AV53" s="601"/>
      <c r="AW53" s="601"/>
      <c r="AX53" s="606"/>
      <c r="AY53" s="606"/>
      <c r="AZ53" s="606"/>
      <c r="BA53" s="7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</row>
    <row r="54" spans="2:65" ht="16.2" thickBot="1">
      <c r="B54" s="655">
        <f t="shared" si="5"/>
        <v>33</v>
      </c>
      <c r="C54" s="374" t="str">
        <f t="shared" si="1"/>
        <v/>
      </c>
      <c r="D54" s="784" t="str">
        <f t="shared" ref="D54:D85" si="7">AA54</f>
        <v/>
      </c>
      <c r="E54" s="784" t="str">
        <f t="shared" si="2"/>
        <v/>
      </c>
      <c r="F54" s="785" t="str">
        <f t="shared" si="3"/>
        <v/>
      </c>
      <c r="G54" s="784" t="str">
        <f t="shared" si="4"/>
        <v/>
      </c>
      <c r="Y54" s="663" t="str">
        <f>IF(C54="","",('transversal subsidence profile'!$L$5*EXP(-(C54^2)/(2*'transversal subsidence profile'!$J$5^2)))*100)</f>
        <v/>
      </c>
      <c r="Z54" s="664" t="str">
        <f>IF(C54="","",(+'transversal subsidence profile'!$L$6*EXP(-((C54+$G$10)^2)/(2*'transversal subsidence profile'!$J$6^2)))*100)</f>
        <v/>
      </c>
      <c r="AA54" s="751" t="str">
        <f>IF(C54="","",IF('IN-OUT'!$F$26=0,'Damage classification-Rankin'!Z54,IF('IN-OUT'!$F$35=0,Y54,'Damage classification-Rankin'!Y54+'Damage classification-Rankin'!Z54)))</f>
        <v/>
      </c>
      <c r="AB54" s="78"/>
      <c r="AC54" s="608"/>
      <c r="AD54" s="608"/>
      <c r="AE54" s="606"/>
      <c r="AH54" s="611" t="s">
        <v>162</v>
      </c>
      <c r="AI54" s="80">
        <v>1</v>
      </c>
      <c r="AJ54" s="74" t="s">
        <v>66</v>
      </c>
      <c r="AK54" s="80">
        <f>1/500</f>
        <v>2E-3</v>
      </c>
      <c r="AL54" s="110">
        <f>1/625</f>
        <v>1.6000000000000001E-3</v>
      </c>
      <c r="AM54" s="73">
        <f>1/750</f>
        <v>1.3333333333333333E-3</v>
      </c>
      <c r="AN54" s="110">
        <f>1/875</f>
        <v>1.1428571428571429E-3</v>
      </c>
      <c r="AO54" s="111">
        <f>1/1000</f>
        <v>1E-3</v>
      </c>
      <c r="AP54" s="46"/>
      <c r="AQ54" s="110">
        <f t="shared" si="6"/>
        <v>2E-3</v>
      </c>
      <c r="AU54" s="601"/>
      <c r="AV54" s="601"/>
      <c r="AW54" s="601"/>
      <c r="AX54" s="606"/>
      <c r="AY54" s="606"/>
      <c r="AZ54" s="606"/>
      <c r="BA54" s="7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</row>
    <row r="55" spans="2:65" s="654" customFormat="1" ht="16.2" thickBot="1">
      <c r="B55" s="655">
        <f t="shared" si="5"/>
        <v>34</v>
      </c>
      <c r="C55" s="374" t="str">
        <f t="shared" ref="C55:C86" si="8">IF(OR(C54=$D$8,C54=""),"",IF((C54+$C$19)&gt;$D$8,$D$8,C54+$C$19))</f>
        <v/>
      </c>
      <c r="D55" s="784" t="str">
        <f t="shared" si="7"/>
        <v/>
      </c>
      <c r="E55" s="784" t="str">
        <f t="shared" ref="E55:E86" si="9">IF(C55="","",IF(D55&gt;D54,ATAN(((D55-D54))/ABS((C55-C54)*100)),-ATAN(((D54-D55))/ABS((C55-C54)*100))))</f>
        <v/>
      </c>
      <c r="F55" s="785" t="str">
        <f t="shared" ref="F55:F86" si="10">IF(C55&lt;&gt;"",ABS(D54-D55),"")</f>
        <v/>
      </c>
      <c r="G55" s="784" t="str">
        <f t="shared" si="4"/>
        <v/>
      </c>
      <c r="U55" s="749"/>
      <c r="V55" s="749"/>
      <c r="Y55" s="748" t="str">
        <f>IF(C55="","",('transversal subsidence profile'!$L$5*EXP(-(C55^2)/(2*'transversal subsidence profile'!$J$5^2)))*100)</f>
        <v/>
      </c>
      <c r="Z55" s="750" t="str">
        <f>IF(C55="","",(+'transversal subsidence profile'!$L$6*EXP(-((C55+$G$10)^2)/(2*'transversal subsidence profile'!$J$6^2)))*100)</f>
        <v/>
      </c>
      <c r="AA55" s="751" t="str">
        <f>IF(C55="","",IF('IN-OUT'!$F$26=0,'Damage classification-Rankin'!Z55,IF('IN-OUT'!$F$35=0,Y55,'Damage classification-Rankin'!Y55+'Damage classification-Rankin'!Z55)))</f>
        <v/>
      </c>
      <c r="AB55" s="765"/>
      <c r="AC55" s="801"/>
      <c r="AD55" s="801"/>
      <c r="AE55" s="657"/>
      <c r="AH55" s="802"/>
      <c r="AI55" s="803"/>
      <c r="AJ55" s="804" t="s">
        <v>77</v>
      </c>
      <c r="AK55" s="805">
        <v>7.4999999999999997E-2</v>
      </c>
      <c r="AL55" s="806">
        <v>0.06</v>
      </c>
      <c r="AM55" s="807">
        <v>0.05</v>
      </c>
      <c r="AN55" s="806">
        <v>4.2999999999999997E-2</v>
      </c>
      <c r="AO55" s="808">
        <v>3.7999999999999999E-2</v>
      </c>
      <c r="AP55" s="42"/>
      <c r="AQ55" s="809">
        <f t="shared" si="6"/>
        <v>7.4999999999999997E-2</v>
      </c>
      <c r="AU55" s="548"/>
      <c r="AV55" s="548"/>
      <c r="AW55" s="548"/>
      <c r="AX55" s="657"/>
      <c r="AY55" s="657"/>
      <c r="AZ55" s="657"/>
      <c r="BA55" s="656"/>
    </row>
    <row r="56" spans="2:65" ht="16.2" thickBot="1">
      <c r="B56" s="655">
        <f t="shared" si="5"/>
        <v>35</v>
      </c>
      <c r="C56" s="374" t="str">
        <f t="shared" si="8"/>
        <v/>
      </c>
      <c r="D56" s="784" t="str">
        <f t="shared" si="7"/>
        <v/>
      </c>
      <c r="E56" s="784" t="str">
        <f t="shared" si="9"/>
        <v/>
      </c>
      <c r="F56" s="785" t="str">
        <f t="shared" si="10"/>
        <v/>
      </c>
      <c r="G56" s="784" t="str">
        <f t="shared" si="4"/>
        <v/>
      </c>
      <c r="Y56" s="663" t="str">
        <f>IF(C56="","",('transversal subsidence profile'!$L$5*EXP(-(C56^2)/(2*'transversal subsidence profile'!$J$5^2)))*100)</f>
        <v/>
      </c>
      <c r="Z56" s="664" t="str">
        <f>IF(C56="","",(+'transversal subsidence profile'!$L$6*EXP(-((C56+$G$10)^2)/(2*'transversal subsidence profile'!$J$6^2)))*100)</f>
        <v/>
      </c>
      <c r="AA56" s="751" t="str">
        <f>IF(C56="","",IF('IN-OUT'!$F$26=0,'Damage classification-Rankin'!Z56,IF('IN-OUT'!$F$35=0,Y56,'Damage classification-Rankin'!Y56+'Damage classification-Rankin'!Z56)))</f>
        <v/>
      </c>
      <c r="AB56" s="78"/>
      <c r="AC56" s="608"/>
      <c r="AD56" s="608"/>
      <c r="AE56" s="606"/>
      <c r="AH56" s="618"/>
      <c r="AI56" s="43"/>
      <c r="AJ56" s="113" t="s">
        <v>65</v>
      </c>
      <c r="AK56" s="114">
        <v>50</v>
      </c>
      <c r="AL56" s="115">
        <v>40</v>
      </c>
      <c r="AM56" s="116">
        <v>33.299999999999997</v>
      </c>
      <c r="AN56" s="115">
        <v>28.6</v>
      </c>
      <c r="AO56" s="117">
        <v>25</v>
      </c>
      <c r="AP56" s="46"/>
      <c r="AQ56" s="108">
        <f t="shared" si="6"/>
        <v>50</v>
      </c>
      <c r="AU56" s="601"/>
      <c r="AV56" s="601"/>
      <c r="AW56" s="601"/>
      <c r="AX56" s="606"/>
      <c r="AY56" s="606"/>
      <c r="AZ56" s="606"/>
      <c r="BA56" s="7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</row>
    <row r="57" spans="2:65" ht="16.2" thickBot="1">
      <c r="B57" s="655">
        <f t="shared" si="5"/>
        <v>36</v>
      </c>
      <c r="C57" s="374" t="str">
        <f t="shared" si="8"/>
        <v/>
      </c>
      <c r="D57" s="784" t="str">
        <f t="shared" si="7"/>
        <v/>
      </c>
      <c r="E57" s="784" t="str">
        <f t="shared" si="9"/>
        <v/>
      </c>
      <c r="F57" s="785" t="str">
        <f t="shared" si="10"/>
        <v/>
      </c>
      <c r="G57" s="784" t="str">
        <f t="shared" si="4"/>
        <v/>
      </c>
      <c r="Y57" s="663" t="str">
        <f>IF(C57="","",('transversal subsidence profile'!$L$5*EXP(-(C57^2)/(2*'transversal subsidence profile'!$J$5^2)))*100)</f>
        <v/>
      </c>
      <c r="Z57" s="664" t="str">
        <f>IF(C57="","",(+'transversal subsidence profile'!$L$6*EXP(-((C57+$G$10)^2)/(2*'transversal subsidence profile'!$J$6^2)))*100)</f>
        <v/>
      </c>
      <c r="AA57" s="751" t="str">
        <f>IF(C57="","",IF('IN-OUT'!$F$26=0,'Damage classification-Rankin'!Z57,IF('IN-OUT'!$F$35=0,Y57,'Damage classification-Rankin'!Y57+'Damage classification-Rankin'!Z57)))</f>
        <v/>
      </c>
      <c r="AH57" s="611" t="s">
        <v>166</v>
      </c>
      <c r="AI57" s="80">
        <v>2</v>
      </c>
      <c r="AJ57" s="118" t="s">
        <v>66</v>
      </c>
      <c r="AK57" s="80">
        <f>1/200</f>
        <v>5.0000000000000001E-3</v>
      </c>
      <c r="AL57" s="110">
        <f>1/250</f>
        <v>4.0000000000000001E-3</v>
      </c>
      <c r="AM57" s="73">
        <f>1/300</f>
        <v>3.3333333333333335E-3</v>
      </c>
      <c r="AN57" s="110">
        <f>1/350</f>
        <v>2.8571428571428571E-3</v>
      </c>
      <c r="AO57" s="111">
        <f>1/400</f>
        <v>2.5000000000000001E-3</v>
      </c>
      <c r="AP57" s="46"/>
      <c r="AQ57" s="110">
        <f t="shared" si="6"/>
        <v>5.0000000000000001E-3</v>
      </c>
      <c r="AU57" s="601"/>
      <c r="AV57" s="601"/>
      <c r="AW57" s="601"/>
      <c r="AX57" s="606"/>
      <c r="AY57" s="606"/>
      <c r="AZ57" s="606"/>
      <c r="BA57" s="7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</row>
    <row r="58" spans="2:65" ht="16.2" thickBot="1">
      <c r="B58" s="655">
        <f t="shared" si="5"/>
        <v>37</v>
      </c>
      <c r="C58" s="374" t="str">
        <f t="shared" si="8"/>
        <v/>
      </c>
      <c r="D58" s="784" t="str">
        <f t="shared" si="7"/>
        <v/>
      </c>
      <c r="E58" s="784" t="str">
        <f t="shared" si="9"/>
        <v/>
      </c>
      <c r="F58" s="785" t="str">
        <f t="shared" si="10"/>
        <v/>
      </c>
      <c r="G58" s="784" t="str">
        <f t="shared" si="4"/>
        <v/>
      </c>
      <c r="Y58" s="663" t="str">
        <f>IF(C58="","",('transversal subsidence profile'!$L$5*EXP(-(C58^2)/(2*'transversal subsidence profile'!$J$5^2)))*100)</f>
        <v/>
      </c>
      <c r="Z58" s="664" t="str">
        <f>IF(C58="","",(+'transversal subsidence profile'!$L$6*EXP(-((C58+$G$10)^2)/(2*'transversal subsidence profile'!$J$6^2)))*100)</f>
        <v/>
      </c>
      <c r="AA58" s="751" t="str">
        <f>IF(C58="","",IF('IN-OUT'!$F$26=0,'Damage classification-Rankin'!Z58,IF('IN-OUT'!$F$35=0,Y58,'Damage classification-Rankin'!Y58+'Damage classification-Rankin'!Z58)))</f>
        <v/>
      </c>
      <c r="AH58" s="624"/>
      <c r="AI58" s="119"/>
      <c r="AJ58" s="120" t="s">
        <v>77</v>
      </c>
      <c r="AK58" s="97">
        <v>0.15</v>
      </c>
      <c r="AL58" s="112">
        <v>0.12</v>
      </c>
      <c r="AM58" s="101">
        <v>0.1</v>
      </c>
      <c r="AN58" s="112">
        <v>8.5999999999999993E-2</v>
      </c>
      <c r="AO58" s="98">
        <v>7.4999999999999997E-2</v>
      </c>
      <c r="AP58" s="46"/>
      <c r="AQ58" s="103">
        <f t="shared" si="6"/>
        <v>0.15</v>
      </c>
      <c r="AU58" s="601"/>
      <c r="AV58" s="601"/>
      <c r="AW58" s="601"/>
      <c r="AX58" s="606"/>
      <c r="AY58" s="606"/>
      <c r="AZ58" s="606"/>
      <c r="BA58" s="7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</row>
    <row r="59" spans="2:65" ht="16.2" thickBot="1">
      <c r="B59" s="655">
        <f t="shared" si="5"/>
        <v>38</v>
      </c>
      <c r="C59" s="374" t="str">
        <f t="shared" si="8"/>
        <v/>
      </c>
      <c r="D59" s="784" t="str">
        <f t="shared" si="7"/>
        <v/>
      </c>
      <c r="E59" s="784" t="str">
        <f t="shared" si="9"/>
        <v/>
      </c>
      <c r="F59" s="785" t="str">
        <f t="shared" si="10"/>
        <v/>
      </c>
      <c r="G59" s="784" t="str">
        <f t="shared" si="4"/>
        <v/>
      </c>
      <c r="Y59" s="663" t="str">
        <f>IF(C59="","",('transversal subsidence profile'!$L$5*EXP(-(C59^2)/(2*'transversal subsidence profile'!$J$5^2)))*100)</f>
        <v/>
      </c>
      <c r="Z59" s="664" t="str">
        <f>IF(C59="","",(+'transversal subsidence profile'!$L$6*EXP(-((C59+$G$10)^2)/(2*'transversal subsidence profile'!$J$6^2)))*100)</f>
        <v/>
      </c>
      <c r="AA59" s="751" t="str">
        <f>IF(C59="","",IF('IN-OUT'!$F$26=0,'Damage classification-Rankin'!Z59,IF('IN-OUT'!$F$35=0,Y59,'Damage classification-Rankin'!Y59+'Damage classification-Rankin'!Z59)))</f>
        <v/>
      </c>
      <c r="AH59" s="610"/>
      <c r="AI59" s="48"/>
      <c r="AJ59" s="113" t="s">
        <v>65</v>
      </c>
      <c r="AK59" s="86">
        <f>75</f>
        <v>75</v>
      </c>
      <c r="AL59" s="108">
        <f>60</f>
        <v>60</v>
      </c>
      <c r="AM59" s="116">
        <v>50</v>
      </c>
      <c r="AN59" s="115">
        <v>42.9</v>
      </c>
      <c r="AO59" s="117">
        <v>37.5</v>
      </c>
      <c r="AP59" s="46"/>
      <c r="AQ59" s="108">
        <f t="shared" si="6"/>
        <v>75</v>
      </c>
      <c r="AU59" s="601"/>
      <c r="AV59" s="601"/>
      <c r="AW59" s="601"/>
      <c r="AX59" s="606"/>
      <c r="AY59" s="606"/>
      <c r="AZ59" s="606"/>
      <c r="BA59" s="7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</row>
    <row r="60" spans="2:65" ht="16.2" thickBot="1">
      <c r="B60" s="655">
        <f t="shared" si="5"/>
        <v>39</v>
      </c>
      <c r="C60" s="374" t="str">
        <f t="shared" si="8"/>
        <v/>
      </c>
      <c r="D60" s="784" t="str">
        <f t="shared" si="7"/>
        <v/>
      </c>
      <c r="E60" s="784" t="str">
        <f t="shared" si="9"/>
        <v/>
      </c>
      <c r="F60" s="785" t="str">
        <f t="shared" si="10"/>
        <v/>
      </c>
      <c r="G60" s="784" t="str">
        <f t="shared" si="4"/>
        <v/>
      </c>
      <c r="Y60" s="663" t="str">
        <f>IF(C60="","",('transversal subsidence profile'!$L$5*EXP(-(C60^2)/(2*'transversal subsidence profile'!$J$5^2)))*100)</f>
        <v/>
      </c>
      <c r="Z60" s="664" t="str">
        <f>IF(C60="","",(+'transversal subsidence profile'!$L$6*EXP(-((C60+$G$10)^2)/(2*'transversal subsidence profile'!$J$6^2)))*100)</f>
        <v/>
      </c>
      <c r="AA60" s="751" t="str">
        <f>IF(C60="","",IF('IN-OUT'!$F$26=0,'Damage classification-Rankin'!Z60,IF('IN-OUT'!$F$35=0,Y60,'Damage classification-Rankin'!Y60+'Damage classification-Rankin'!Z60)))</f>
        <v/>
      </c>
      <c r="AH60" s="611" t="s">
        <v>168</v>
      </c>
      <c r="AI60" s="80">
        <v>3</v>
      </c>
      <c r="AJ60" s="118" t="s">
        <v>66</v>
      </c>
      <c r="AK60" s="80">
        <f>1/50</f>
        <v>0.02</v>
      </c>
      <c r="AL60" s="110">
        <f>1/62.5</f>
        <v>1.6E-2</v>
      </c>
      <c r="AM60" s="73">
        <f>1/75</f>
        <v>1.3333333333333334E-2</v>
      </c>
      <c r="AN60" s="110">
        <f>1/87.5</f>
        <v>1.1428571428571429E-2</v>
      </c>
      <c r="AO60" s="111">
        <f>1/100</f>
        <v>0.01</v>
      </c>
      <c r="AP60" s="46"/>
      <c r="AQ60" s="110">
        <f t="shared" si="6"/>
        <v>0.02</v>
      </c>
      <c r="AU60" s="601"/>
      <c r="AV60" s="601"/>
      <c r="AW60" s="601"/>
      <c r="AX60" s="606"/>
      <c r="AY60" s="606"/>
      <c r="AZ60" s="606"/>
      <c r="BA60" s="7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</row>
    <row r="61" spans="2:65" ht="16.2" thickBot="1">
      <c r="B61" s="655">
        <f t="shared" si="5"/>
        <v>40</v>
      </c>
      <c r="C61" s="374" t="str">
        <f t="shared" si="8"/>
        <v/>
      </c>
      <c r="D61" s="784" t="str">
        <f t="shared" si="7"/>
        <v/>
      </c>
      <c r="E61" s="784" t="str">
        <f t="shared" si="9"/>
        <v/>
      </c>
      <c r="F61" s="785" t="str">
        <f t="shared" si="10"/>
        <v/>
      </c>
      <c r="G61" s="784" t="str">
        <f t="shared" si="4"/>
        <v/>
      </c>
      <c r="Y61" s="663" t="str">
        <f>IF(C61="","",('transversal subsidence profile'!$L$5*EXP(-(C61^2)/(2*'transversal subsidence profile'!$J$5^2)))*100)</f>
        <v/>
      </c>
      <c r="Z61" s="664" t="str">
        <f>IF(C61="","",(+'transversal subsidence profile'!$L$6*EXP(-((C61+$G$10)^2)/(2*'transversal subsidence profile'!$J$6^2)))*100)</f>
        <v/>
      </c>
      <c r="AA61" s="751" t="str">
        <f>IF(C61="","",IF('IN-OUT'!$F$26=0,'Damage classification-Rankin'!Z61,IF('IN-OUT'!$F$35=0,Y61,'Damage classification-Rankin'!Y61+'Damage classification-Rankin'!Z61)))</f>
        <v/>
      </c>
      <c r="AH61" s="624"/>
      <c r="AI61" s="69"/>
      <c r="AJ61" s="120" t="s">
        <v>77</v>
      </c>
      <c r="AK61" s="97">
        <v>0.3</v>
      </c>
      <c r="AL61" s="112">
        <v>0.24</v>
      </c>
      <c r="AM61" s="101">
        <v>0.2</v>
      </c>
      <c r="AN61" s="112">
        <v>0.17100000000000001</v>
      </c>
      <c r="AO61" s="98">
        <v>0.15</v>
      </c>
      <c r="AP61" s="46"/>
      <c r="AQ61" s="103">
        <f t="shared" si="6"/>
        <v>0.3</v>
      </c>
      <c r="AU61" s="601"/>
      <c r="AV61" s="601"/>
      <c r="AW61" s="601"/>
      <c r="AX61" s="606"/>
      <c r="AY61" s="606"/>
      <c r="AZ61" s="606"/>
      <c r="BA61" s="7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</row>
    <row r="62" spans="2:65" ht="16.2" thickBot="1">
      <c r="B62" s="655">
        <f t="shared" si="5"/>
        <v>41</v>
      </c>
      <c r="C62" s="374" t="str">
        <f t="shared" si="8"/>
        <v/>
      </c>
      <c r="D62" s="784" t="str">
        <f t="shared" si="7"/>
        <v/>
      </c>
      <c r="E62" s="784" t="str">
        <f t="shared" si="9"/>
        <v/>
      </c>
      <c r="F62" s="785" t="str">
        <f t="shared" si="10"/>
        <v/>
      </c>
      <c r="G62" s="784" t="str">
        <f t="shared" si="4"/>
        <v/>
      </c>
      <c r="Y62" s="663" t="str">
        <f>IF(C62="","",('transversal subsidence profile'!$L$5*EXP(-(C62^2)/(2*'transversal subsidence profile'!$J$5^2)))*100)</f>
        <v/>
      </c>
      <c r="Z62" s="664" t="str">
        <f>IF(C62="","",(+'transversal subsidence profile'!$L$6*EXP(-((C62+$G$10)^2)/(2*'transversal subsidence profile'!$J$6^2)))*100)</f>
        <v/>
      </c>
      <c r="AA62" s="751" t="str">
        <f>IF(C62="","",IF('IN-OUT'!$F$26=0,'Damage classification-Rankin'!Z62,IF('IN-OUT'!$F$35=0,Y62,'Damage classification-Rankin'!Y62+'Damage classification-Rankin'!Z62)))</f>
        <v/>
      </c>
      <c r="AH62" s="619"/>
      <c r="AI62" s="86"/>
      <c r="AJ62" s="121" t="s">
        <v>65</v>
      </c>
      <c r="AK62" s="80">
        <f>75</f>
        <v>75</v>
      </c>
      <c r="AL62" s="110">
        <f>60</f>
        <v>60</v>
      </c>
      <c r="AM62" s="116">
        <f>50</f>
        <v>50</v>
      </c>
      <c r="AN62" s="115">
        <v>42.9</v>
      </c>
      <c r="AO62" s="117">
        <v>37.5</v>
      </c>
      <c r="AP62" s="46"/>
      <c r="AQ62" s="108">
        <f t="shared" si="6"/>
        <v>75</v>
      </c>
      <c r="AU62" s="601"/>
      <c r="AV62" s="601"/>
      <c r="AW62" s="601"/>
      <c r="AX62" s="606"/>
      <c r="AY62" s="606"/>
      <c r="AZ62" s="606"/>
      <c r="BA62" s="7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</row>
    <row r="63" spans="2:65" ht="16.2" thickBot="1">
      <c r="B63" s="655">
        <f t="shared" si="5"/>
        <v>42</v>
      </c>
      <c r="C63" s="374" t="str">
        <f t="shared" si="8"/>
        <v/>
      </c>
      <c r="D63" s="784" t="str">
        <f t="shared" si="7"/>
        <v/>
      </c>
      <c r="E63" s="784" t="str">
        <f t="shared" si="9"/>
        <v/>
      </c>
      <c r="F63" s="785" t="str">
        <f t="shared" si="10"/>
        <v/>
      </c>
      <c r="G63" s="784" t="str">
        <f t="shared" si="4"/>
        <v/>
      </c>
      <c r="Y63" s="663" t="str">
        <f>IF(C63="","",('transversal subsidence profile'!$L$5*EXP(-(C63^2)/(2*'transversal subsidence profile'!$J$5^2)))*100)</f>
        <v/>
      </c>
      <c r="Z63" s="664" t="str">
        <f>IF(C63="","",(+'transversal subsidence profile'!$L$6*EXP(-((C63+$G$10)^2)/(2*'transversal subsidence profile'!$J$6^2)))*100)</f>
        <v/>
      </c>
      <c r="AA63" s="751" t="str">
        <f>IF(C63="","",IF('IN-OUT'!$F$26=0,'Damage classification-Rankin'!Z63,IF('IN-OUT'!$F$35=0,Y63,'Damage classification-Rankin'!Y63+'Damage classification-Rankin'!Z63)))</f>
        <v/>
      </c>
      <c r="AH63" s="611" t="s">
        <v>314</v>
      </c>
      <c r="AI63" s="80">
        <v>4</v>
      </c>
      <c r="AJ63" s="118" t="s">
        <v>66</v>
      </c>
      <c r="AK63" s="80">
        <f>1/50</f>
        <v>0.02</v>
      </c>
      <c r="AL63" s="110">
        <f>1/62.5</f>
        <v>1.6E-2</v>
      </c>
      <c r="AM63" s="73">
        <f>1/75</f>
        <v>1.3333333333333334E-2</v>
      </c>
      <c r="AN63" s="110">
        <f>1/87.5</f>
        <v>1.1428571428571429E-2</v>
      </c>
      <c r="AO63" s="111">
        <f>1/100</f>
        <v>0.01</v>
      </c>
      <c r="AP63" s="46"/>
      <c r="AQ63" s="110">
        <f t="shared" si="6"/>
        <v>0.02</v>
      </c>
      <c r="AU63" s="601"/>
      <c r="AV63" s="601"/>
      <c r="AW63" s="601"/>
      <c r="AX63" s="606"/>
      <c r="AY63" s="606"/>
      <c r="AZ63" s="606"/>
      <c r="BA63" s="7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</row>
    <row r="64" spans="2:65" ht="16.2" thickBot="1">
      <c r="B64" s="655">
        <f t="shared" si="5"/>
        <v>43</v>
      </c>
      <c r="C64" s="374" t="str">
        <f t="shared" si="8"/>
        <v/>
      </c>
      <c r="D64" s="784" t="str">
        <f t="shared" si="7"/>
        <v/>
      </c>
      <c r="E64" s="784" t="str">
        <f t="shared" si="9"/>
        <v/>
      </c>
      <c r="F64" s="785" t="str">
        <f t="shared" si="10"/>
        <v/>
      </c>
      <c r="G64" s="784" t="str">
        <f t="shared" si="4"/>
        <v/>
      </c>
      <c r="Y64" s="663" t="str">
        <f>IF(C64="","",('transversal subsidence profile'!$L$5*EXP(-(C64^2)/(2*'transversal subsidence profile'!$J$5^2)))*100)</f>
        <v/>
      </c>
      <c r="Z64" s="664" t="str">
        <f>IF(C64="","",(+'transversal subsidence profile'!$L$6*EXP(-((C64+$G$10)^2)/(2*'transversal subsidence profile'!$J$6^2)))*100)</f>
        <v/>
      </c>
      <c r="AA64" s="751" t="str">
        <f>IF(C64="","",IF('IN-OUT'!$F$26=0,'Damage classification-Rankin'!Z64,IF('IN-OUT'!$F$35=0,Y64,'Damage classification-Rankin'!Y64+'Damage classification-Rankin'!Z64)))</f>
        <v/>
      </c>
      <c r="AH64" s="624"/>
      <c r="AI64" s="69"/>
      <c r="AJ64" s="120" t="s">
        <v>77</v>
      </c>
      <c r="AK64" s="97">
        <v>0.3</v>
      </c>
      <c r="AL64" s="112">
        <v>0.24</v>
      </c>
      <c r="AM64" s="101">
        <v>0.2</v>
      </c>
      <c r="AN64" s="112">
        <v>0.17100000000000001</v>
      </c>
      <c r="AO64" s="98">
        <v>0.15</v>
      </c>
      <c r="AP64" s="70"/>
      <c r="AQ64" s="103">
        <f t="shared" si="6"/>
        <v>0.3</v>
      </c>
      <c r="AU64" s="601"/>
      <c r="AV64" s="601"/>
      <c r="AW64" s="601"/>
      <c r="AX64" s="606"/>
      <c r="AY64" s="606"/>
      <c r="AZ64" s="606"/>
      <c r="BA64" s="7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</row>
    <row r="65" spans="2:65" ht="13.8" thickBot="1">
      <c r="B65" s="655">
        <f t="shared" si="5"/>
        <v>44</v>
      </c>
      <c r="C65" s="374" t="str">
        <f t="shared" si="8"/>
        <v/>
      </c>
      <c r="D65" s="784" t="str">
        <f t="shared" si="7"/>
        <v/>
      </c>
      <c r="E65" s="784" t="str">
        <f t="shared" si="9"/>
        <v/>
      </c>
      <c r="F65" s="785" t="str">
        <f t="shared" si="10"/>
        <v/>
      </c>
      <c r="G65" s="784" t="str">
        <f t="shared" si="4"/>
        <v/>
      </c>
      <c r="Y65" s="663" t="str">
        <f>IF(C65="","",('transversal subsidence profile'!$L$5*EXP(-(C65^2)/(2*'transversal subsidence profile'!$J$5^2)))*100)</f>
        <v/>
      </c>
      <c r="Z65" s="664" t="str">
        <f>IF(C65="","",(+'transversal subsidence profile'!$L$6*EXP(-((C65+$G$10)^2)/(2*'transversal subsidence profile'!$J$6^2)))*100)</f>
        <v/>
      </c>
      <c r="AA65" s="751" t="str">
        <f>IF(C65="","",IF('IN-OUT'!$F$26=0,'Damage classification-Rankin'!Z65,IF('IN-OUT'!$F$35=0,Y65,'Damage classification-Rankin'!Y65+'Damage classification-Rankin'!Z65)))</f>
        <v/>
      </c>
      <c r="AH65" s="612"/>
      <c r="AU65" s="601"/>
      <c r="AV65" s="601"/>
      <c r="AW65" s="601"/>
      <c r="AX65" s="606"/>
      <c r="AY65" s="606"/>
      <c r="AZ65" s="606"/>
      <c r="BA65" s="7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</row>
    <row r="66" spans="2:65" ht="13.8" thickBot="1">
      <c r="B66" s="655">
        <f t="shared" si="5"/>
        <v>45</v>
      </c>
      <c r="C66" s="374" t="str">
        <f t="shared" si="8"/>
        <v/>
      </c>
      <c r="D66" s="784" t="str">
        <f t="shared" si="7"/>
        <v/>
      </c>
      <c r="E66" s="784" t="str">
        <f t="shared" si="9"/>
        <v/>
      </c>
      <c r="F66" s="785" t="str">
        <f t="shared" si="10"/>
        <v/>
      </c>
      <c r="G66" s="784" t="str">
        <f t="shared" si="4"/>
        <v/>
      </c>
      <c r="Y66" s="663" t="str">
        <f>IF(C66="","",('transversal subsidence profile'!$L$5*EXP(-(C66^2)/(2*'transversal subsidence profile'!$J$5^2)))*100)</f>
        <v/>
      </c>
      <c r="Z66" s="664" t="str">
        <f>IF(C66="","",(+'transversal subsidence profile'!$L$6*EXP(-((C66+$G$10)^2)/(2*'transversal subsidence profile'!$J$6^2)))*100)</f>
        <v/>
      </c>
      <c r="AA66" s="751" t="str">
        <f>IF(C66="","",IF('IN-OUT'!$F$26=0,'Damage classification-Rankin'!Z66,IF('IN-OUT'!$F$35=0,Y66,'Damage classification-Rankin'!Y66+'Damage classification-Rankin'!Z66)))</f>
        <v/>
      </c>
      <c r="AH66" s="612"/>
      <c r="AU66" s="601"/>
      <c r="AV66" s="606"/>
      <c r="AW66" s="606"/>
      <c r="AX66" s="606"/>
      <c r="AY66" s="7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</row>
    <row r="67" spans="2:65" ht="13.8" thickBot="1">
      <c r="B67" s="655">
        <f t="shared" si="5"/>
        <v>46</v>
      </c>
      <c r="C67" s="374" t="str">
        <f t="shared" si="8"/>
        <v/>
      </c>
      <c r="D67" s="784" t="str">
        <f t="shared" si="7"/>
        <v/>
      </c>
      <c r="E67" s="784" t="str">
        <f t="shared" si="9"/>
        <v/>
      </c>
      <c r="F67" s="785" t="str">
        <f t="shared" si="10"/>
        <v/>
      </c>
      <c r="G67" s="784" t="str">
        <f t="shared" si="4"/>
        <v/>
      </c>
      <c r="Y67" s="663" t="str">
        <f>IF(C67="","",('transversal subsidence profile'!$L$5*EXP(-(C67^2)/(2*'transversal subsidence profile'!$J$5^2)))*100)</f>
        <v/>
      </c>
      <c r="Z67" s="664" t="str">
        <f>IF(C67="","",(+'transversal subsidence profile'!$L$6*EXP(-((C67+$G$10)^2)/(2*'transversal subsidence profile'!$J$6^2)))*100)</f>
        <v/>
      </c>
      <c r="AA67" s="751" t="str">
        <f>IF(C67="","",IF('IN-OUT'!$F$26=0,'Damage classification-Rankin'!Z67,IF('IN-OUT'!$F$35=0,Y67,'Damage classification-Rankin'!Y67+'Damage classification-Rankin'!Z67)))</f>
        <v/>
      </c>
      <c r="AH67" s="612"/>
      <c r="AU67" s="601"/>
      <c r="AV67" s="606"/>
      <c r="AW67" s="606"/>
      <c r="AX67" s="606"/>
      <c r="AY67" s="7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</row>
    <row r="68" spans="2:65" ht="13.8" thickBot="1">
      <c r="B68" s="655">
        <f t="shared" si="5"/>
        <v>47</v>
      </c>
      <c r="C68" s="374" t="str">
        <f t="shared" si="8"/>
        <v/>
      </c>
      <c r="D68" s="784" t="str">
        <f t="shared" si="7"/>
        <v/>
      </c>
      <c r="E68" s="784" t="str">
        <f t="shared" si="9"/>
        <v/>
      </c>
      <c r="F68" s="785" t="str">
        <f t="shared" si="10"/>
        <v/>
      </c>
      <c r="G68" s="784" t="str">
        <f t="shared" si="4"/>
        <v/>
      </c>
      <c r="Y68" s="663" t="str">
        <f>IF(C68="","",('transversal subsidence profile'!$L$5*EXP(-(C68^2)/(2*'transversal subsidence profile'!$J$5^2)))*100)</f>
        <v/>
      </c>
      <c r="Z68" s="664" t="str">
        <f>IF(C68="","",(+'transversal subsidence profile'!$L$6*EXP(-((C68+$G$10)^2)/(2*'transversal subsidence profile'!$J$6^2)))*100)</f>
        <v/>
      </c>
      <c r="AA68" s="751" t="str">
        <f>IF(C68="","",IF('IN-OUT'!$F$26=0,'Damage classification-Rankin'!Z68,IF('IN-OUT'!$F$35=0,Y68,'Damage classification-Rankin'!Y68+'Damage classification-Rankin'!Z68)))</f>
        <v/>
      </c>
      <c r="AH68" s="612"/>
      <c r="AU68" s="601"/>
      <c r="AV68" s="606"/>
      <c r="AW68" s="606"/>
      <c r="AX68" s="606"/>
      <c r="AY68" s="7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</row>
    <row r="69" spans="2:65" ht="13.8" thickBot="1">
      <c r="B69" s="655">
        <f t="shared" ref="B69:B100" si="11">B68+1</f>
        <v>48</v>
      </c>
      <c r="C69" s="374" t="str">
        <f t="shared" si="8"/>
        <v/>
      </c>
      <c r="D69" s="784" t="str">
        <f t="shared" si="7"/>
        <v/>
      </c>
      <c r="E69" s="784" t="str">
        <f t="shared" si="9"/>
        <v/>
      </c>
      <c r="F69" s="785" t="str">
        <f t="shared" si="10"/>
        <v/>
      </c>
      <c r="G69" s="784" t="str">
        <f t="shared" si="4"/>
        <v/>
      </c>
      <c r="K69" s="756"/>
      <c r="Y69" s="663" t="str">
        <f>IF(C69="","",('transversal subsidence profile'!$L$5*EXP(-(C69^2)/(2*'transversal subsidence profile'!$J$5^2)))*100)</f>
        <v/>
      </c>
      <c r="Z69" s="664" t="str">
        <f>IF(C69="","",(+'transversal subsidence profile'!$L$6*EXP(-((C69+$G$10)^2)/(2*'transversal subsidence profile'!$J$6^2)))*100)</f>
        <v/>
      </c>
      <c r="AA69" s="751" t="str">
        <f>IF(C69="","",IF('IN-OUT'!$F$26=0,'Damage classification-Rankin'!Z69,IF('IN-OUT'!$F$35=0,Y69,'Damage classification-Rankin'!Y69+'Damage classification-Rankin'!Z69)))</f>
        <v/>
      </c>
      <c r="AH69" s="612"/>
      <c r="AU69" s="601"/>
      <c r="AV69" s="606"/>
      <c r="AW69" s="606"/>
      <c r="AX69" s="606"/>
      <c r="AY69" s="7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</row>
    <row r="70" spans="2:65" ht="13.8" thickBot="1">
      <c r="B70" s="655">
        <f t="shared" si="11"/>
        <v>49</v>
      </c>
      <c r="C70" s="374" t="str">
        <f t="shared" si="8"/>
        <v/>
      </c>
      <c r="D70" s="784" t="str">
        <f t="shared" si="7"/>
        <v/>
      </c>
      <c r="E70" s="784" t="str">
        <f t="shared" si="9"/>
        <v/>
      </c>
      <c r="F70" s="785" t="str">
        <f t="shared" si="10"/>
        <v/>
      </c>
      <c r="G70" s="784" t="str">
        <f t="shared" si="4"/>
        <v/>
      </c>
      <c r="Y70" s="663" t="str">
        <f>IF(C70="","",('transversal subsidence profile'!$L$5*EXP(-(C70^2)/(2*'transversal subsidence profile'!$J$5^2)))*100)</f>
        <v/>
      </c>
      <c r="Z70" s="664" t="str">
        <f>IF(C70="","",(+'transversal subsidence profile'!$L$6*EXP(-((C70+$G$10)^2)/(2*'transversal subsidence profile'!$J$6^2)))*100)</f>
        <v/>
      </c>
      <c r="AA70" s="751" t="str">
        <f>IF(C70="","",IF('IN-OUT'!$F$26=0,'Damage classification-Rankin'!Z70,IF('IN-OUT'!$F$35=0,Y70,'Damage classification-Rankin'!Y70+'Damage classification-Rankin'!Z70)))</f>
        <v/>
      </c>
      <c r="AH70" s="612"/>
      <c r="AU70" s="601"/>
      <c r="AV70" s="601"/>
      <c r="AW70" s="601"/>
      <c r="AX70" s="606"/>
      <c r="AY70" s="606"/>
      <c r="AZ70" s="606"/>
      <c r="BA70" s="7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</row>
    <row r="71" spans="2:65" ht="13.8" thickBot="1">
      <c r="B71" s="655">
        <f t="shared" si="11"/>
        <v>50</v>
      </c>
      <c r="C71" s="374" t="str">
        <f t="shared" si="8"/>
        <v/>
      </c>
      <c r="D71" s="784" t="str">
        <f t="shared" si="7"/>
        <v/>
      </c>
      <c r="E71" s="784" t="str">
        <f t="shared" si="9"/>
        <v/>
      </c>
      <c r="F71" s="785" t="str">
        <f t="shared" si="10"/>
        <v/>
      </c>
      <c r="G71" s="784" t="str">
        <f t="shared" si="4"/>
        <v/>
      </c>
      <c r="Y71" s="663" t="str">
        <f>IF(C71="","",('transversal subsidence profile'!$L$5*EXP(-(C71^2)/(2*'transversal subsidence profile'!$J$5^2)))*100)</f>
        <v/>
      </c>
      <c r="Z71" s="664" t="str">
        <f>IF(C71="","",(+'transversal subsidence profile'!$L$6*EXP(-((C71+$G$10)^2)/(2*'transversal subsidence profile'!$J$6^2)))*100)</f>
        <v/>
      </c>
      <c r="AA71" s="751" t="str">
        <f>IF(C71="","",IF('IN-OUT'!$F$26=0,'Damage classification-Rankin'!Z71,IF('IN-OUT'!$F$35=0,Y71,'Damage classification-Rankin'!Y71+'Damage classification-Rankin'!Z71)))</f>
        <v/>
      </c>
      <c r="AH71" s="612"/>
      <c r="AU71" s="601"/>
      <c r="AV71" s="601"/>
      <c r="AW71" s="601"/>
      <c r="AX71" s="606"/>
      <c r="AY71" s="606"/>
      <c r="AZ71" s="606"/>
      <c r="BA71" s="7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</row>
    <row r="72" spans="2:65" ht="13.8" thickBot="1">
      <c r="B72" s="655">
        <f t="shared" si="11"/>
        <v>51</v>
      </c>
      <c r="C72" s="374" t="str">
        <f t="shared" si="8"/>
        <v/>
      </c>
      <c r="D72" s="784" t="str">
        <f t="shared" si="7"/>
        <v/>
      </c>
      <c r="E72" s="784" t="str">
        <f t="shared" si="9"/>
        <v/>
      </c>
      <c r="F72" s="785" t="str">
        <f t="shared" si="10"/>
        <v/>
      </c>
      <c r="G72" s="784" t="str">
        <f t="shared" si="4"/>
        <v/>
      </c>
      <c r="Y72" s="663" t="str">
        <f>IF(C72="","",('transversal subsidence profile'!$L$5*EXP(-(C72^2)/(2*'transversal subsidence profile'!$J$5^2)))*100)</f>
        <v/>
      </c>
      <c r="Z72" s="664" t="str">
        <f>IF(C72="","",(+'transversal subsidence profile'!$L$6*EXP(-((C72+$G$10)^2)/(2*'transversal subsidence profile'!$J$6^2)))*100)</f>
        <v/>
      </c>
      <c r="AA72" s="751" t="str">
        <f>IF(C72="","",IF('IN-OUT'!$F$26=0,'Damage classification-Rankin'!Z72,IF('IN-OUT'!$F$35=0,Y72,'Damage classification-Rankin'!Y72+'Damage classification-Rankin'!Z72)))</f>
        <v/>
      </c>
      <c r="AH72" s="612"/>
      <c r="AU72" s="601"/>
      <c r="AV72" s="601"/>
      <c r="AW72" s="601"/>
      <c r="AX72" s="606"/>
      <c r="AY72" s="606"/>
      <c r="AZ72" s="606"/>
      <c r="BA72" s="7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</row>
    <row r="73" spans="2:65" ht="13.8" thickBot="1">
      <c r="B73" s="655">
        <f t="shared" si="11"/>
        <v>52</v>
      </c>
      <c r="C73" s="374" t="str">
        <f t="shared" si="8"/>
        <v/>
      </c>
      <c r="D73" s="784" t="str">
        <f t="shared" si="7"/>
        <v/>
      </c>
      <c r="E73" s="784" t="str">
        <f t="shared" si="9"/>
        <v/>
      </c>
      <c r="F73" s="785" t="str">
        <f t="shared" si="10"/>
        <v/>
      </c>
      <c r="G73" s="784" t="str">
        <f t="shared" si="4"/>
        <v/>
      </c>
      <c r="Y73" s="663" t="str">
        <f>IF(C73="","",('transversal subsidence profile'!$L$5*EXP(-(C73^2)/(2*'transversal subsidence profile'!$J$5^2)))*100)</f>
        <v/>
      </c>
      <c r="Z73" s="664" t="str">
        <f>IF(C73="","",(+'transversal subsidence profile'!$L$6*EXP(-((C73+$G$10)^2)/(2*'transversal subsidence profile'!$J$6^2)))*100)</f>
        <v/>
      </c>
      <c r="AA73" s="751" t="str">
        <f>IF(C73="","",IF('IN-OUT'!$F$26=0,'Damage classification-Rankin'!Z73,IF('IN-OUT'!$F$35=0,Y73,'Damage classification-Rankin'!Y73+'Damage classification-Rankin'!Z73)))</f>
        <v/>
      </c>
      <c r="AC73" s="46"/>
      <c r="AD73" s="605"/>
      <c r="AE73" s="73"/>
      <c r="AH73" s="612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</row>
    <row r="74" spans="2:65" ht="13.8" thickBot="1">
      <c r="B74" s="655">
        <f t="shared" si="11"/>
        <v>53</v>
      </c>
      <c r="C74" s="374" t="str">
        <f t="shared" si="8"/>
        <v/>
      </c>
      <c r="D74" s="784" t="str">
        <f t="shared" si="7"/>
        <v/>
      </c>
      <c r="E74" s="784" t="str">
        <f t="shared" si="9"/>
        <v/>
      </c>
      <c r="F74" s="785" t="str">
        <f t="shared" si="10"/>
        <v/>
      </c>
      <c r="G74" s="784" t="str">
        <f t="shared" si="4"/>
        <v/>
      </c>
      <c r="Y74" s="663" t="str">
        <f>IF(C74="","",('transversal subsidence profile'!$L$5*EXP(-(C74^2)/(2*'transversal subsidence profile'!$J$5^2)))*100)</f>
        <v/>
      </c>
      <c r="Z74" s="664" t="str">
        <f>IF(C74="","",(+'transversal subsidence profile'!$L$6*EXP(-((C74+$G$10)^2)/(2*'transversal subsidence profile'!$J$6^2)))*100)</f>
        <v/>
      </c>
      <c r="AA74" s="751" t="str">
        <f>IF(C74="","",IF('IN-OUT'!$F$26=0,'Damage classification-Rankin'!Z74,IF('IN-OUT'!$F$35=0,Y74,'Damage classification-Rankin'!Y74+'Damage classification-Rankin'!Z74)))</f>
        <v/>
      </c>
      <c r="AC74" s="46"/>
      <c r="AD74" s="605"/>
      <c r="AE74" s="73"/>
      <c r="AH74" s="612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</row>
    <row r="75" spans="2:65" ht="13.8" thickBot="1">
      <c r="B75" s="655">
        <f t="shared" si="11"/>
        <v>54</v>
      </c>
      <c r="C75" s="374" t="str">
        <f t="shared" si="8"/>
        <v/>
      </c>
      <c r="D75" s="784" t="str">
        <f t="shared" si="7"/>
        <v/>
      </c>
      <c r="E75" s="784" t="str">
        <f t="shared" si="9"/>
        <v/>
      </c>
      <c r="F75" s="785" t="str">
        <f t="shared" si="10"/>
        <v/>
      </c>
      <c r="G75" s="784" t="str">
        <f t="shared" si="4"/>
        <v/>
      </c>
      <c r="Y75" s="663" t="str">
        <f>IF(C75="","",('transversal subsidence profile'!$L$5*EXP(-(C75^2)/(2*'transversal subsidence profile'!$J$5^2)))*100)</f>
        <v/>
      </c>
      <c r="Z75" s="664" t="str">
        <f>IF(C75="","",(+'transversal subsidence profile'!$L$6*EXP(-((C75+$G$10)^2)/(2*'transversal subsidence profile'!$J$6^2)))*100)</f>
        <v/>
      </c>
      <c r="AA75" s="751" t="str">
        <f>IF(C75="","",IF('IN-OUT'!$F$26=0,'Damage classification-Rankin'!Z75,IF('IN-OUT'!$F$35=0,Y75,'Damage classification-Rankin'!Y75+'Damage classification-Rankin'!Z75)))</f>
        <v/>
      </c>
      <c r="AC75" s="46"/>
      <c r="AD75" s="605"/>
      <c r="AE75" s="73"/>
      <c r="AH75" s="612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</row>
    <row r="76" spans="2:65" ht="13.8" thickBot="1">
      <c r="B76" s="655">
        <f t="shared" si="11"/>
        <v>55</v>
      </c>
      <c r="C76" s="374" t="str">
        <f t="shared" si="8"/>
        <v/>
      </c>
      <c r="D76" s="784" t="str">
        <f t="shared" si="7"/>
        <v/>
      </c>
      <c r="E76" s="784" t="str">
        <f t="shared" si="9"/>
        <v/>
      </c>
      <c r="F76" s="785" t="str">
        <f t="shared" si="10"/>
        <v/>
      </c>
      <c r="G76" s="784" t="str">
        <f t="shared" si="4"/>
        <v/>
      </c>
      <c r="Y76" s="663" t="str">
        <f>IF(C76="","",('transversal subsidence profile'!$L$5*EXP(-(C76^2)/(2*'transversal subsidence profile'!$J$5^2)))*100)</f>
        <v/>
      </c>
      <c r="Z76" s="664" t="str">
        <f>IF(C76="","",(+'transversal subsidence profile'!$L$6*EXP(-((C76+$G$10)^2)/(2*'transversal subsidence profile'!$J$6^2)))*100)</f>
        <v/>
      </c>
      <c r="AA76" s="751" t="str">
        <f>IF(C76="","",IF('IN-OUT'!$F$26=0,'Damage classification-Rankin'!Z76,IF('IN-OUT'!$F$35=0,Y76,'Damage classification-Rankin'!Y76+'Damage classification-Rankin'!Z76)))</f>
        <v/>
      </c>
      <c r="AC76" s="46"/>
      <c r="AD76" s="605"/>
      <c r="AE76" s="73"/>
      <c r="AH76" s="612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</row>
    <row r="77" spans="2:65" ht="13.8" thickBot="1">
      <c r="B77" s="655">
        <f t="shared" si="11"/>
        <v>56</v>
      </c>
      <c r="C77" s="374" t="str">
        <f t="shared" si="8"/>
        <v/>
      </c>
      <c r="D77" s="784" t="str">
        <f t="shared" si="7"/>
        <v/>
      </c>
      <c r="E77" s="784" t="str">
        <f t="shared" si="9"/>
        <v/>
      </c>
      <c r="F77" s="785" t="str">
        <f t="shared" si="10"/>
        <v/>
      </c>
      <c r="G77" s="784" t="str">
        <f t="shared" si="4"/>
        <v/>
      </c>
      <c r="Y77" s="663" t="str">
        <f>IF(C77="","",('transversal subsidence profile'!$L$5*EXP(-(C77^2)/(2*'transversal subsidence profile'!$J$5^2)))*100)</f>
        <v/>
      </c>
      <c r="Z77" s="664" t="str">
        <f>IF(C77="","",(+'transversal subsidence profile'!$L$6*EXP(-((C77+$G$10)^2)/(2*'transversal subsidence profile'!$J$6^2)))*100)</f>
        <v/>
      </c>
      <c r="AA77" s="751" t="str">
        <f>IF(C77="","",IF('IN-OUT'!$F$26=0,'Damage classification-Rankin'!Z77,IF('IN-OUT'!$F$35=0,Y77,'Damage classification-Rankin'!Y77+'Damage classification-Rankin'!Z77)))</f>
        <v/>
      </c>
      <c r="AC77" s="46"/>
      <c r="AD77" s="605"/>
      <c r="AE77" s="73"/>
      <c r="AF77" s="67"/>
      <c r="AG77" s="67"/>
      <c r="AH77" s="612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</row>
    <row r="78" spans="2:65" ht="13.8" thickBot="1">
      <c r="B78" s="655">
        <f t="shared" si="11"/>
        <v>57</v>
      </c>
      <c r="C78" s="374" t="str">
        <f t="shared" si="8"/>
        <v/>
      </c>
      <c r="D78" s="784" t="str">
        <f t="shared" si="7"/>
        <v/>
      </c>
      <c r="E78" s="784" t="str">
        <f t="shared" si="9"/>
        <v/>
      </c>
      <c r="F78" s="785" t="str">
        <f t="shared" si="10"/>
        <v/>
      </c>
      <c r="G78" s="784" t="str">
        <f t="shared" si="4"/>
        <v/>
      </c>
      <c r="Y78" s="663" t="str">
        <f>IF(C78="","",('transversal subsidence profile'!$L$5*EXP(-(C78^2)/(2*'transversal subsidence profile'!$J$5^2)))*100)</f>
        <v/>
      </c>
      <c r="Z78" s="664" t="str">
        <f>IF(C78="","",(+'transversal subsidence profile'!$L$6*EXP(-((C78+$G$10)^2)/(2*'transversal subsidence profile'!$J$6^2)))*100)</f>
        <v/>
      </c>
      <c r="AA78" s="751" t="str">
        <f>IF(C78="","",IF('IN-OUT'!$F$26=0,'Damage classification-Rankin'!Z78,IF('IN-OUT'!$F$35=0,Y78,'Damage classification-Rankin'!Y78+'Damage classification-Rankin'!Z78)))</f>
        <v/>
      </c>
      <c r="AC78" s="46"/>
      <c r="AD78" s="605"/>
      <c r="AE78" s="73"/>
      <c r="AF78" s="67"/>
      <c r="AG78" s="67"/>
      <c r="AH78" s="612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</row>
    <row r="79" spans="2:65" ht="13.8" thickBot="1">
      <c r="B79" s="655">
        <f t="shared" si="11"/>
        <v>58</v>
      </c>
      <c r="C79" s="374" t="str">
        <f t="shared" si="8"/>
        <v/>
      </c>
      <c r="D79" s="784" t="str">
        <f t="shared" si="7"/>
        <v/>
      </c>
      <c r="E79" s="784" t="str">
        <f t="shared" si="9"/>
        <v/>
      </c>
      <c r="F79" s="785" t="str">
        <f t="shared" si="10"/>
        <v/>
      </c>
      <c r="G79" s="784" t="str">
        <f t="shared" si="4"/>
        <v/>
      </c>
      <c r="Y79" s="663" t="str">
        <f>IF(C79="","",('transversal subsidence profile'!$L$5*EXP(-(C79^2)/(2*'transversal subsidence profile'!$J$5^2)))*100)</f>
        <v/>
      </c>
      <c r="Z79" s="664" t="str">
        <f>IF(C79="","",(+'transversal subsidence profile'!$L$6*EXP(-((C79+$G$10)^2)/(2*'transversal subsidence profile'!$J$6^2)))*100)</f>
        <v/>
      </c>
      <c r="AA79" s="751" t="str">
        <f>IF(C79="","",IF('IN-OUT'!$F$26=0,'Damage classification-Rankin'!Z79,IF('IN-OUT'!$F$35=0,Y79,'Damage classification-Rankin'!Y79+'Damage classification-Rankin'!Z79)))</f>
        <v/>
      </c>
      <c r="AC79" s="46"/>
      <c r="AD79" s="605"/>
      <c r="AE79" s="73"/>
      <c r="AF79" s="67"/>
      <c r="AG79" s="122"/>
      <c r="AH79" s="188"/>
      <c r="AI79" s="67"/>
      <c r="AJ79" s="67"/>
      <c r="AK79" s="67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</row>
    <row r="80" spans="2:65" ht="13.8" thickBot="1">
      <c r="B80" s="655">
        <f t="shared" si="11"/>
        <v>59</v>
      </c>
      <c r="C80" s="374" t="str">
        <f t="shared" si="8"/>
        <v/>
      </c>
      <c r="D80" s="784" t="str">
        <f t="shared" si="7"/>
        <v/>
      </c>
      <c r="E80" s="784" t="str">
        <f t="shared" si="9"/>
        <v/>
      </c>
      <c r="F80" s="785" t="str">
        <f t="shared" si="10"/>
        <v/>
      </c>
      <c r="G80" s="784" t="str">
        <f t="shared" si="4"/>
        <v/>
      </c>
      <c r="Y80" s="663" t="str">
        <f>IF(C80="","",('transversal subsidence profile'!$L$5*EXP(-(C80^2)/(2*'transversal subsidence profile'!$J$5^2)))*100)</f>
        <v/>
      </c>
      <c r="Z80" s="664" t="str">
        <f>IF(C80="","",(+'transversal subsidence profile'!$L$6*EXP(-((C80+$G$10)^2)/(2*'transversal subsidence profile'!$J$6^2)))*100)</f>
        <v/>
      </c>
      <c r="AA80" s="751" t="str">
        <f>IF(C80="","",IF('IN-OUT'!$F$26=0,'Damage classification-Rankin'!Z80,IF('IN-OUT'!$F$35=0,Y80,'Damage classification-Rankin'!Y80+'Damage classification-Rankin'!Z80)))</f>
        <v/>
      </c>
      <c r="AC80" s="46"/>
      <c r="AD80" s="605"/>
      <c r="AE80" s="73"/>
      <c r="AF80" s="67"/>
      <c r="AG80" s="122"/>
      <c r="AH80" s="188"/>
      <c r="AI80" s="67"/>
      <c r="AJ80" s="67"/>
      <c r="AK80" s="67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</row>
    <row r="81" spans="2:65" ht="13.8" thickBot="1">
      <c r="B81" s="655">
        <f t="shared" si="11"/>
        <v>60</v>
      </c>
      <c r="C81" s="374" t="str">
        <f t="shared" si="8"/>
        <v/>
      </c>
      <c r="D81" s="784" t="str">
        <f t="shared" si="7"/>
        <v/>
      </c>
      <c r="E81" s="784" t="str">
        <f t="shared" si="9"/>
        <v/>
      </c>
      <c r="F81" s="785" t="str">
        <f t="shared" si="10"/>
        <v/>
      </c>
      <c r="G81" s="784" t="str">
        <f t="shared" si="4"/>
        <v/>
      </c>
      <c r="Y81" s="663" t="str">
        <f>IF(C81="","",('transversal subsidence profile'!$L$5*EXP(-(C81^2)/(2*'transversal subsidence profile'!$J$5^2)))*100)</f>
        <v/>
      </c>
      <c r="Z81" s="664" t="str">
        <f>IF(C81="","",(+'transversal subsidence profile'!$L$6*EXP(-((C81+$G$10)^2)/(2*'transversal subsidence profile'!$J$6^2)))*100)</f>
        <v/>
      </c>
      <c r="AA81" s="751" t="str">
        <f>IF(C81="","",IF('IN-OUT'!$F$26=0,'Damage classification-Rankin'!Z81,IF('IN-OUT'!$F$35=0,Y81,'Damage classification-Rankin'!Y81+'Damage classification-Rankin'!Z81)))</f>
        <v/>
      </c>
      <c r="AC81" s="46"/>
      <c r="AD81" s="605"/>
      <c r="AE81" s="73"/>
      <c r="AF81" s="67"/>
      <c r="AG81" s="122"/>
      <c r="AH81" s="188"/>
      <c r="AI81" s="67"/>
      <c r="AJ81" s="67"/>
      <c r="AK81" s="67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</row>
    <row r="82" spans="2:65" ht="13.8" thickBot="1">
      <c r="B82" s="655">
        <f t="shared" si="11"/>
        <v>61</v>
      </c>
      <c r="C82" s="374" t="str">
        <f t="shared" si="8"/>
        <v/>
      </c>
      <c r="D82" s="784" t="str">
        <f t="shared" si="7"/>
        <v/>
      </c>
      <c r="E82" s="784" t="str">
        <f t="shared" si="9"/>
        <v/>
      </c>
      <c r="F82" s="785" t="str">
        <f t="shared" si="10"/>
        <v/>
      </c>
      <c r="G82" s="784" t="str">
        <f t="shared" si="4"/>
        <v/>
      </c>
      <c r="P82" s="188"/>
      <c r="Q82" s="188"/>
      <c r="R82" s="188"/>
      <c r="S82" s="188"/>
      <c r="T82" s="188"/>
      <c r="U82" s="641"/>
      <c r="V82" s="641"/>
      <c r="W82" s="67"/>
      <c r="X82" s="67"/>
      <c r="Y82" s="663" t="str">
        <f>IF(C82="","",('transversal subsidence profile'!$L$5*EXP(-(C82^2)/(2*'transversal subsidence profile'!$J$5^2)))*100)</f>
        <v/>
      </c>
      <c r="Z82" s="664" t="str">
        <f>IF(C82="","",(+'transversal subsidence profile'!$L$6*EXP(-((C82+$G$10)^2)/(2*'transversal subsidence profile'!$J$6^2)))*100)</f>
        <v/>
      </c>
      <c r="AA82" s="751" t="str">
        <f>IF(C82="","",IF('IN-OUT'!$F$26=0,'Damage classification-Rankin'!Z82,IF('IN-OUT'!$F$35=0,Y82,'Damage classification-Rankin'!Y82+'Damage classification-Rankin'!Z82)))</f>
        <v/>
      </c>
      <c r="AC82" s="46"/>
      <c r="AD82" s="605"/>
      <c r="AE82" s="73"/>
      <c r="AF82" s="67"/>
      <c r="AG82" s="122"/>
      <c r="AH82" s="188"/>
      <c r="AI82" s="67"/>
      <c r="AJ82" s="67"/>
      <c r="AK82" s="67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</row>
    <row r="83" spans="2:65" ht="13.8" thickBot="1">
      <c r="B83" s="655">
        <f t="shared" si="11"/>
        <v>62</v>
      </c>
      <c r="C83" s="374" t="str">
        <f t="shared" si="8"/>
        <v/>
      </c>
      <c r="D83" s="784" t="str">
        <f t="shared" si="7"/>
        <v/>
      </c>
      <c r="E83" s="784" t="str">
        <f t="shared" si="9"/>
        <v/>
      </c>
      <c r="F83" s="785" t="str">
        <f t="shared" si="10"/>
        <v/>
      </c>
      <c r="G83" s="784" t="str">
        <f t="shared" si="4"/>
        <v/>
      </c>
      <c r="P83" s="188"/>
      <c r="Q83" s="188"/>
      <c r="R83" s="188"/>
      <c r="S83" s="188"/>
      <c r="T83" s="188"/>
      <c r="U83" s="641"/>
      <c r="V83" s="641"/>
      <c r="W83" s="67"/>
      <c r="X83" s="67"/>
      <c r="Y83" s="663" t="str">
        <f>IF(C83="","",('transversal subsidence profile'!$L$5*EXP(-(C83^2)/(2*'transversal subsidence profile'!$J$5^2)))*100)</f>
        <v/>
      </c>
      <c r="Z83" s="664" t="str">
        <f>IF(C83="","",(+'transversal subsidence profile'!$L$6*EXP(-((C83+$G$10)^2)/(2*'transversal subsidence profile'!$J$6^2)))*100)</f>
        <v/>
      </c>
      <c r="AA83" s="751" t="str">
        <f>IF(C83="","",IF('IN-OUT'!$F$26=0,'Damage classification-Rankin'!Z83,IF('IN-OUT'!$F$35=0,Y83,'Damage classification-Rankin'!Y83+'Damage classification-Rankin'!Z83)))</f>
        <v/>
      </c>
      <c r="AC83" s="46"/>
      <c r="AD83" s="605"/>
      <c r="AE83" s="73"/>
      <c r="AF83" s="67"/>
      <c r="AG83" s="122"/>
      <c r="AH83" s="188"/>
      <c r="AI83" s="67"/>
      <c r="AJ83" s="67"/>
      <c r="AK83" s="67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</row>
    <row r="84" spans="2:65" ht="13.8" thickBot="1">
      <c r="B84" s="655">
        <f t="shared" si="11"/>
        <v>63</v>
      </c>
      <c r="C84" s="374" t="str">
        <f t="shared" si="8"/>
        <v/>
      </c>
      <c r="D84" s="784" t="str">
        <f t="shared" si="7"/>
        <v/>
      </c>
      <c r="E84" s="784" t="str">
        <f t="shared" si="9"/>
        <v/>
      </c>
      <c r="F84" s="785" t="str">
        <f t="shared" si="10"/>
        <v/>
      </c>
      <c r="G84" s="784" t="str">
        <f t="shared" si="4"/>
        <v/>
      </c>
      <c r="Y84" s="663" t="str">
        <f>IF(C84="","",('transversal subsidence profile'!$L$5*EXP(-(C84^2)/(2*'transversal subsidence profile'!$J$5^2)))*100)</f>
        <v/>
      </c>
      <c r="Z84" s="664" t="str">
        <f>IF(C84="","",(+'transversal subsidence profile'!$L$6*EXP(-((C84+$G$10)^2)/(2*'transversal subsidence profile'!$J$6^2)))*100)</f>
        <v/>
      </c>
      <c r="AA84" s="751" t="str">
        <f>IF(C84="","",IF('IN-OUT'!$F$26=0,'Damage classification-Rankin'!Z84,IF('IN-OUT'!$F$35=0,Y84,'Damage classification-Rankin'!Y84+'Damage classification-Rankin'!Z84)))</f>
        <v/>
      </c>
      <c r="AC84" s="46"/>
      <c r="AD84" s="605"/>
      <c r="AE84" s="73"/>
      <c r="AF84" s="67"/>
      <c r="AG84" s="122"/>
      <c r="AH84" s="188"/>
      <c r="AI84" s="67"/>
      <c r="AJ84" s="67"/>
      <c r="AK84" s="67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</row>
    <row r="85" spans="2:65" ht="18.75" customHeight="1" thickBot="1">
      <c r="B85" s="655">
        <f t="shared" si="11"/>
        <v>64</v>
      </c>
      <c r="C85" s="374" t="str">
        <f t="shared" si="8"/>
        <v/>
      </c>
      <c r="D85" s="784" t="str">
        <f t="shared" si="7"/>
        <v/>
      </c>
      <c r="E85" s="784" t="str">
        <f t="shared" si="9"/>
        <v/>
      </c>
      <c r="F85" s="785" t="str">
        <f t="shared" si="10"/>
        <v/>
      </c>
      <c r="G85" s="784" t="str">
        <f t="shared" si="4"/>
        <v/>
      </c>
      <c r="Y85" s="663" t="str">
        <f>IF(C85="","",('transversal subsidence profile'!$L$5*EXP(-(C85^2)/(2*'transversal subsidence profile'!$J$5^2)))*100)</f>
        <v/>
      </c>
      <c r="Z85" s="664" t="str">
        <f>IF(C85="","",(+'transversal subsidence profile'!$L$6*EXP(-((C85+$G$10)^2)/(2*'transversal subsidence profile'!$J$6^2)))*100)</f>
        <v/>
      </c>
      <c r="AA85" s="751" t="str">
        <f>IF(C85="","",IF('IN-OUT'!$F$26=0,'Damage classification-Rankin'!Z85,IF('IN-OUT'!$F$35=0,Y85,'Damage classification-Rankin'!Y85+'Damage classification-Rankin'!Z85)))</f>
        <v/>
      </c>
      <c r="AC85" s="46"/>
      <c r="AD85" s="605"/>
      <c r="AE85" s="73"/>
      <c r="AF85" s="67"/>
      <c r="AG85" s="122"/>
      <c r="AH85" s="188"/>
      <c r="AI85" s="67"/>
      <c r="AJ85" s="67"/>
      <c r="AK85" s="67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</row>
    <row r="86" spans="2:65" ht="18.75" customHeight="1" thickBot="1">
      <c r="B86" s="655">
        <f t="shared" si="11"/>
        <v>65</v>
      </c>
      <c r="C86" s="374" t="str">
        <f t="shared" si="8"/>
        <v/>
      </c>
      <c r="D86" s="784" t="str">
        <f t="shared" ref="D86:D117" si="12">AA86</f>
        <v/>
      </c>
      <c r="E86" s="784" t="str">
        <f t="shared" si="9"/>
        <v/>
      </c>
      <c r="F86" s="785" t="str">
        <f t="shared" si="10"/>
        <v/>
      </c>
      <c r="G86" s="784" t="str">
        <f t="shared" si="4"/>
        <v/>
      </c>
      <c r="Y86" s="663" t="str">
        <f>IF(C86="","",('transversal subsidence profile'!$L$5*EXP(-(C86^2)/(2*'transversal subsidence profile'!$J$5^2)))*100)</f>
        <v/>
      </c>
      <c r="Z86" s="664" t="str">
        <f>IF(C86="","",(+'transversal subsidence profile'!$L$6*EXP(-((C86+$G$10)^2)/(2*'transversal subsidence profile'!$J$6^2)))*100)</f>
        <v/>
      </c>
      <c r="AA86" s="751" t="str">
        <f>IF(C86="","",IF('IN-OUT'!$F$26=0,'Damage classification-Rankin'!Z86,IF('IN-OUT'!$F$35=0,Y86,'Damage classification-Rankin'!Y86+'Damage classification-Rankin'!Z86)))</f>
        <v/>
      </c>
      <c r="AF86" s="67"/>
      <c r="AG86" s="122"/>
      <c r="AH86" s="188"/>
      <c r="AI86" s="67"/>
      <c r="AJ86" s="67"/>
      <c r="AK86" s="67"/>
      <c r="AU86" s="601"/>
      <c r="AV86" s="601"/>
      <c r="AW86" s="601"/>
      <c r="AX86" s="606"/>
      <c r="AY86" s="606"/>
      <c r="AZ86" s="606"/>
      <c r="BA86" s="7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</row>
    <row r="87" spans="2:65" ht="13.8" thickBot="1">
      <c r="B87" s="655">
        <f t="shared" si="11"/>
        <v>66</v>
      </c>
      <c r="C87" s="374" t="str">
        <f t="shared" ref="C87:C118" si="13">IF(OR(C86=$D$8,C86=""),"",IF((C86+$C$19)&gt;$D$8,$D$8,C86+$C$19))</f>
        <v/>
      </c>
      <c r="D87" s="784" t="str">
        <f t="shared" si="12"/>
        <v/>
      </c>
      <c r="E87" s="784" t="str">
        <f t="shared" ref="E87:E118" si="14">IF(C87="","",IF(D87&gt;D86,ATAN(((D87-D86))/ABS((C87-C86)*100)),-ATAN(((D86-D87))/ABS((C87-C86)*100))))</f>
        <v/>
      </c>
      <c r="F87" s="785" t="str">
        <f t="shared" ref="F87:F118" si="15">IF(C87&lt;&gt;"",ABS(D86-D87),"")</f>
        <v/>
      </c>
      <c r="G87" s="784" t="str">
        <f t="shared" si="4"/>
        <v/>
      </c>
      <c r="Y87" s="663" t="str">
        <f>IF(C87="","",('transversal subsidence profile'!$L$5*EXP(-(C87^2)/(2*'transversal subsidence profile'!$J$5^2)))*100)</f>
        <v/>
      </c>
      <c r="Z87" s="664" t="str">
        <f>IF(C87="","",(+'transversal subsidence profile'!$L$6*EXP(-((C87+$G$10)^2)/(2*'transversal subsidence profile'!$J$6^2)))*100)</f>
        <v/>
      </c>
      <c r="AA87" s="751" t="str">
        <f>IF(C87="","",IF('IN-OUT'!$F$26=0,'Damage classification-Rankin'!Z87,IF('IN-OUT'!$F$35=0,Y87,'Damage classification-Rankin'!Y87+'Damage classification-Rankin'!Z87)))</f>
        <v/>
      </c>
      <c r="AF87" s="67"/>
      <c r="AG87" s="122"/>
      <c r="AH87" s="188"/>
      <c r="AI87" s="67"/>
      <c r="AJ87" s="67"/>
      <c r="AK87" s="67"/>
      <c r="AU87" s="601"/>
      <c r="AV87" s="601"/>
      <c r="AW87" s="601"/>
      <c r="AX87" s="606"/>
      <c r="AY87" s="606"/>
      <c r="AZ87" s="606"/>
      <c r="BA87" s="7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</row>
    <row r="88" spans="2:65" ht="13.8" thickBot="1">
      <c r="B88" s="655">
        <f t="shared" si="11"/>
        <v>67</v>
      </c>
      <c r="C88" s="374" t="str">
        <f t="shared" si="13"/>
        <v/>
      </c>
      <c r="D88" s="784" t="str">
        <f t="shared" si="12"/>
        <v/>
      </c>
      <c r="E88" s="784" t="str">
        <f t="shared" si="14"/>
        <v/>
      </c>
      <c r="F88" s="785" t="str">
        <f t="shared" si="15"/>
        <v/>
      </c>
      <c r="G88" s="784" t="str">
        <f t="shared" ref="G88:G151" si="16">IF(C88="","",IF(ABS(C87-C88)&lt;($C$19-0.0001),"",$C$20+E88))</f>
        <v/>
      </c>
      <c r="Y88" s="663" t="str">
        <f>IF(C88="","",('transversal subsidence profile'!$L$5*EXP(-(C88^2)/(2*'transversal subsidence profile'!$J$5^2)))*100)</f>
        <v/>
      </c>
      <c r="Z88" s="664" t="str">
        <f>IF(C88="","",(+'transversal subsidence profile'!$L$6*EXP(-((C88+$G$10)^2)/(2*'transversal subsidence profile'!$J$6^2)))*100)</f>
        <v/>
      </c>
      <c r="AA88" s="751" t="str">
        <f>IF(C88="","",IF('IN-OUT'!$F$26=0,'Damage classification-Rankin'!Z88,IF('IN-OUT'!$F$35=0,Y88,'Damage classification-Rankin'!Y88+'Damage classification-Rankin'!Z88)))</f>
        <v/>
      </c>
      <c r="AF88" s="67"/>
      <c r="AG88" s="122"/>
      <c r="AH88" s="188"/>
      <c r="AI88" s="67"/>
      <c r="AJ88" s="67"/>
      <c r="AK88" s="67"/>
      <c r="AU88" s="601"/>
      <c r="AV88" s="601"/>
      <c r="AW88" s="601"/>
      <c r="AX88" s="606"/>
      <c r="AY88" s="606"/>
      <c r="AZ88" s="606"/>
      <c r="BA88" s="7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</row>
    <row r="89" spans="2:65" ht="12.75" customHeight="1" thickBot="1">
      <c r="B89" s="655">
        <f t="shared" si="11"/>
        <v>68</v>
      </c>
      <c r="C89" s="374" t="str">
        <f t="shared" si="13"/>
        <v/>
      </c>
      <c r="D89" s="784" t="str">
        <f t="shared" si="12"/>
        <v/>
      </c>
      <c r="E89" s="784" t="str">
        <f t="shared" si="14"/>
        <v/>
      </c>
      <c r="F89" s="785" t="str">
        <f t="shared" si="15"/>
        <v/>
      </c>
      <c r="G89" s="784" t="str">
        <f t="shared" si="16"/>
        <v/>
      </c>
      <c r="Y89" s="663" t="str">
        <f>IF(C89="","",('transversal subsidence profile'!$L$5*EXP(-(C89^2)/(2*'transversal subsidence profile'!$J$5^2)))*100)</f>
        <v/>
      </c>
      <c r="Z89" s="664" t="str">
        <f>IF(C89="","",(+'transversal subsidence profile'!$L$6*EXP(-((C89+$G$10)^2)/(2*'transversal subsidence profile'!$J$6^2)))*100)</f>
        <v/>
      </c>
      <c r="AA89" s="751" t="str">
        <f>IF(C89="","",IF('IN-OUT'!$F$26=0,'Damage classification-Rankin'!Z89,IF('IN-OUT'!$F$35=0,Y89,'Damage classification-Rankin'!Y89+'Damage classification-Rankin'!Z89)))</f>
        <v/>
      </c>
      <c r="AF89" s="67"/>
      <c r="AG89" s="122"/>
      <c r="AH89" s="188"/>
      <c r="AI89" s="67"/>
      <c r="AJ89" s="67"/>
      <c r="AK89" s="67"/>
      <c r="AU89" s="601"/>
      <c r="AV89" s="601"/>
      <c r="AW89" s="601"/>
      <c r="AX89" s="606"/>
      <c r="AY89" s="606"/>
      <c r="AZ89" s="606"/>
      <c r="BA89" s="7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</row>
    <row r="90" spans="2:65" ht="13.8" thickBot="1">
      <c r="B90" s="655">
        <f t="shared" si="11"/>
        <v>69</v>
      </c>
      <c r="C90" s="374" t="str">
        <f t="shared" si="13"/>
        <v/>
      </c>
      <c r="D90" s="784" t="str">
        <f t="shared" si="12"/>
        <v/>
      </c>
      <c r="E90" s="784" t="str">
        <f t="shared" si="14"/>
        <v/>
      </c>
      <c r="F90" s="785" t="str">
        <f t="shared" si="15"/>
        <v/>
      </c>
      <c r="G90" s="784" t="str">
        <f t="shared" si="16"/>
        <v/>
      </c>
      <c r="Y90" s="663" t="str">
        <f>IF(C90="","",('transversal subsidence profile'!$L$5*EXP(-(C90^2)/(2*'transversal subsidence profile'!$J$5^2)))*100)</f>
        <v/>
      </c>
      <c r="Z90" s="664" t="str">
        <f>IF(C90="","",(+'transversal subsidence profile'!$L$6*EXP(-((C90+$G$10)^2)/(2*'transversal subsidence profile'!$J$6^2)))*100)</f>
        <v/>
      </c>
      <c r="AA90" s="751" t="str">
        <f>IF(C90="","",IF('IN-OUT'!$F$26=0,'Damage classification-Rankin'!Z90,IF('IN-OUT'!$F$35=0,Y90,'Damage classification-Rankin'!Y90+'Damage classification-Rankin'!Z90)))</f>
        <v/>
      </c>
      <c r="AJ90" s="46"/>
      <c r="AK90" s="605"/>
      <c r="AL90" s="73"/>
      <c r="AM90" s="601"/>
      <c r="AN90" s="601"/>
      <c r="AO90" s="127"/>
      <c r="AP90" s="601"/>
      <c r="AQ90" s="601"/>
      <c r="AR90" s="73"/>
      <c r="AS90" s="46"/>
      <c r="AT90" s="73"/>
      <c r="AU90" s="601"/>
      <c r="AV90" s="601"/>
      <c r="AW90" s="601"/>
      <c r="AX90" s="606"/>
      <c r="AY90" s="606"/>
      <c r="AZ90" s="606"/>
      <c r="BA90" s="7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</row>
    <row r="91" spans="2:65" ht="13.8" thickBot="1">
      <c r="B91" s="655">
        <f t="shared" si="11"/>
        <v>70</v>
      </c>
      <c r="C91" s="374" t="str">
        <f t="shared" si="13"/>
        <v/>
      </c>
      <c r="D91" s="784" t="str">
        <f t="shared" si="12"/>
        <v/>
      </c>
      <c r="E91" s="784" t="str">
        <f t="shared" si="14"/>
        <v/>
      </c>
      <c r="F91" s="785" t="str">
        <f t="shared" si="15"/>
        <v/>
      </c>
      <c r="G91" s="784" t="str">
        <f t="shared" si="16"/>
        <v/>
      </c>
      <c r="Y91" s="663" t="str">
        <f>IF(C91="","",('transversal subsidence profile'!$L$5*EXP(-(C91^2)/(2*'transversal subsidence profile'!$J$5^2)))*100)</f>
        <v/>
      </c>
      <c r="Z91" s="664" t="str">
        <f>IF(C91="","",(+'transversal subsidence profile'!$L$6*EXP(-((C91+$G$10)^2)/(2*'transversal subsidence profile'!$J$6^2)))*100)</f>
        <v/>
      </c>
      <c r="AA91" s="751" t="str">
        <f>IF(C91="","",IF('IN-OUT'!$F$26=0,'Damage classification-Rankin'!Z91,IF('IN-OUT'!$F$35=0,Y91,'Damage classification-Rankin'!Y91+'Damage classification-Rankin'!Z91)))</f>
        <v/>
      </c>
      <c r="AJ91" s="46"/>
      <c r="AK91" s="605"/>
      <c r="AL91" s="73"/>
      <c r="AM91" s="601"/>
      <c r="AN91" s="601"/>
      <c r="AO91" s="127"/>
      <c r="AP91" s="601"/>
      <c r="AQ91" s="601"/>
      <c r="AR91" s="73"/>
      <c r="AS91" s="46"/>
      <c r="AT91" s="73"/>
      <c r="AU91" s="601"/>
      <c r="AV91" s="601"/>
      <c r="AW91" s="601"/>
      <c r="AX91" s="606"/>
      <c r="AY91" s="606"/>
      <c r="AZ91" s="606"/>
      <c r="BA91" s="7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</row>
    <row r="92" spans="2:65" ht="13.8" thickBot="1">
      <c r="B92" s="655">
        <f t="shared" si="11"/>
        <v>71</v>
      </c>
      <c r="C92" s="374" t="str">
        <f t="shared" si="13"/>
        <v/>
      </c>
      <c r="D92" s="784" t="str">
        <f t="shared" si="12"/>
        <v/>
      </c>
      <c r="E92" s="784" t="str">
        <f t="shared" si="14"/>
        <v/>
      </c>
      <c r="F92" s="785" t="str">
        <f t="shared" si="15"/>
        <v/>
      </c>
      <c r="G92" s="784" t="str">
        <f t="shared" si="16"/>
        <v/>
      </c>
      <c r="Y92" s="663" t="str">
        <f>IF(C92="","",('transversal subsidence profile'!$L$5*EXP(-(C92^2)/(2*'transversal subsidence profile'!$J$5^2)))*100)</f>
        <v/>
      </c>
      <c r="Z92" s="664" t="str">
        <f>IF(C92="","",(+'transversal subsidence profile'!$L$6*EXP(-((C92+$G$10)^2)/(2*'transversal subsidence profile'!$J$6^2)))*100)</f>
        <v/>
      </c>
      <c r="AA92" s="751" t="str">
        <f>IF(C92="","",IF('IN-OUT'!$F$26=0,'Damage classification-Rankin'!Z92,IF('IN-OUT'!$F$35=0,Y92,'Damage classification-Rankin'!Y92+'Damage classification-Rankin'!Z92)))</f>
        <v/>
      </c>
      <c r="AJ92" s="46"/>
      <c r="AK92" s="605"/>
      <c r="AL92" s="73"/>
      <c r="AM92" s="601"/>
      <c r="AN92" s="601"/>
      <c r="AO92" s="127"/>
      <c r="AP92" s="601"/>
      <c r="AQ92" s="601"/>
      <c r="AR92" s="73"/>
      <c r="AS92" s="46"/>
      <c r="AT92" s="73"/>
      <c r="AU92" s="601"/>
      <c r="AV92" s="601"/>
      <c r="AW92" s="601"/>
      <c r="AX92" s="606"/>
      <c r="AY92" s="606"/>
      <c r="AZ92" s="606"/>
      <c r="BA92" s="7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</row>
    <row r="93" spans="2:65" ht="13.8" thickBot="1">
      <c r="B93" s="655">
        <f t="shared" si="11"/>
        <v>72</v>
      </c>
      <c r="C93" s="374" t="str">
        <f t="shared" si="13"/>
        <v/>
      </c>
      <c r="D93" s="784" t="str">
        <f t="shared" si="12"/>
        <v/>
      </c>
      <c r="E93" s="784" t="str">
        <f t="shared" si="14"/>
        <v/>
      </c>
      <c r="F93" s="785" t="str">
        <f t="shared" si="15"/>
        <v/>
      </c>
      <c r="G93" s="784" t="str">
        <f t="shared" si="16"/>
        <v/>
      </c>
      <c r="Y93" s="663" t="str">
        <f>IF(C93="","",('transversal subsidence profile'!$L$5*EXP(-(C93^2)/(2*'transversal subsidence profile'!$J$5^2)))*100)</f>
        <v/>
      </c>
      <c r="Z93" s="664" t="str">
        <f>IF(C93="","",(+'transversal subsidence profile'!$L$6*EXP(-((C93+$G$10)^2)/(2*'transversal subsidence profile'!$J$6^2)))*100)</f>
        <v/>
      </c>
      <c r="AA93" s="751" t="str">
        <f>IF(C93="","",IF('IN-OUT'!$F$26=0,'Damage classification-Rankin'!Z93,IF('IN-OUT'!$F$35=0,Y93,'Damage classification-Rankin'!Y93+'Damage classification-Rankin'!Z93)))</f>
        <v/>
      </c>
      <c r="AJ93" s="46"/>
      <c r="AK93" s="605"/>
      <c r="AL93" s="73"/>
      <c r="AM93" s="601"/>
      <c r="AN93" s="601"/>
      <c r="AO93" s="127"/>
      <c r="AP93" s="601"/>
      <c r="AQ93" s="601"/>
      <c r="AR93" s="73"/>
      <c r="AS93" s="46"/>
      <c r="AT93" s="73"/>
      <c r="AU93" s="601"/>
      <c r="AV93" s="601"/>
      <c r="AW93" s="601"/>
      <c r="AX93" s="606"/>
      <c r="AY93" s="606"/>
      <c r="AZ93" s="606"/>
      <c r="BA93" s="7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</row>
    <row r="94" spans="2:65" ht="13.8" thickBot="1">
      <c r="B94" s="655">
        <f t="shared" si="11"/>
        <v>73</v>
      </c>
      <c r="C94" s="374" t="str">
        <f t="shared" si="13"/>
        <v/>
      </c>
      <c r="D94" s="784" t="str">
        <f t="shared" si="12"/>
        <v/>
      </c>
      <c r="E94" s="784" t="str">
        <f t="shared" si="14"/>
        <v/>
      </c>
      <c r="F94" s="785" t="str">
        <f t="shared" si="15"/>
        <v/>
      </c>
      <c r="G94" s="784" t="str">
        <f t="shared" si="16"/>
        <v/>
      </c>
      <c r="Y94" s="663" t="str">
        <f>IF(C94="","",('transversal subsidence profile'!$L$5*EXP(-(C94^2)/(2*'transversal subsidence profile'!$J$5^2)))*100)</f>
        <v/>
      </c>
      <c r="Z94" s="664" t="str">
        <f>IF(C94="","",(+'transversal subsidence profile'!$L$6*EXP(-((C94+$G$10)^2)/(2*'transversal subsidence profile'!$J$6^2)))*100)</f>
        <v/>
      </c>
      <c r="AA94" s="751" t="str">
        <f>IF(C94="","",IF('IN-OUT'!$F$26=0,'Damage classification-Rankin'!Z94,IF('IN-OUT'!$F$35=0,Y94,'Damage classification-Rankin'!Y94+'Damage classification-Rankin'!Z94)))</f>
        <v/>
      </c>
      <c r="AJ94" s="46"/>
      <c r="AK94" s="605"/>
      <c r="AL94" s="73"/>
      <c r="AM94" s="601"/>
      <c r="AN94" s="601"/>
      <c r="AO94" s="127"/>
      <c r="AP94" s="601"/>
      <c r="AQ94" s="601"/>
      <c r="AR94" s="73"/>
      <c r="AS94" s="46"/>
      <c r="AT94" s="73"/>
      <c r="AU94" s="601"/>
      <c r="AV94" s="601"/>
      <c r="AW94" s="601"/>
      <c r="AX94" s="606"/>
      <c r="AY94" s="606"/>
      <c r="AZ94" s="606"/>
      <c r="BA94" s="7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</row>
    <row r="95" spans="2:65" ht="13.8" thickBot="1">
      <c r="B95" s="655">
        <f t="shared" si="11"/>
        <v>74</v>
      </c>
      <c r="C95" s="374" t="str">
        <f t="shared" si="13"/>
        <v/>
      </c>
      <c r="D95" s="784" t="str">
        <f t="shared" si="12"/>
        <v/>
      </c>
      <c r="E95" s="784" t="str">
        <f t="shared" si="14"/>
        <v/>
      </c>
      <c r="F95" s="785" t="str">
        <f t="shared" si="15"/>
        <v/>
      </c>
      <c r="G95" s="784" t="str">
        <f t="shared" si="16"/>
        <v/>
      </c>
      <c r="Y95" s="663" t="str">
        <f>IF(C95="","",('transversal subsidence profile'!$L$5*EXP(-(C95^2)/(2*'transversal subsidence profile'!$J$5^2)))*100)</f>
        <v/>
      </c>
      <c r="Z95" s="664" t="str">
        <f>IF(C95="","",(+'transversal subsidence profile'!$L$6*EXP(-((C95+$G$10)^2)/(2*'transversal subsidence profile'!$J$6^2)))*100)</f>
        <v/>
      </c>
      <c r="AA95" s="751" t="str">
        <f>IF(C95="","",IF('IN-OUT'!$F$26=0,'Damage classification-Rankin'!Z95,IF('IN-OUT'!$F$35=0,Y95,'Damage classification-Rankin'!Y95+'Damage classification-Rankin'!Z95)))</f>
        <v/>
      </c>
      <c r="AJ95" s="46"/>
      <c r="AK95" s="605"/>
      <c r="AL95" s="73"/>
      <c r="AM95" s="601"/>
      <c r="AN95" s="601"/>
      <c r="AO95" s="127"/>
      <c r="AP95" s="601"/>
      <c r="AQ95" s="601"/>
      <c r="AR95" s="73"/>
      <c r="AS95" s="46"/>
      <c r="AT95" s="73"/>
      <c r="AU95" s="601"/>
      <c r="AV95" s="601"/>
      <c r="AW95" s="601"/>
      <c r="AX95" s="606"/>
      <c r="AY95" s="606"/>
      <c r="AZ95" s="606"/>
      <c r="BA95" s="7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</row>
    <row r="96" spans="2:65" ht="13.8" thickBot="1">
      <c r="B96" s="655">
        <f t="shared" si="11"/>
        <v>75</v>
      </c>
      <c r="C96" s="374" t="str">
        <f t="shared" si="13"/>
        <v/>
      </c>
      <c r="D96" s="784" t="str">
        <f t="shared" si="12"/>
        <v/>
      </c>
      <c r="E96" s="784" t="str">
        <f t="shared" si="14"/>
        <v/>
      </c>
      <c r="F96" s="785" t="str">
        <f t="shared" si="15"/>
        <v/>
      </c>
      <c r="G96" s="784" t="str">
        <f t="shared" si="16"/>
        <v/>
      </c>
      <c r="Y96" s="663" t="str">
        <f>IF(C96="","",('transversal subsidence profile'!$L$5*EXP(-(C96^2)/(2*'transversal subsidence profile'!$J$5^2)))*100)</f>
        <v/>
      </c>
      <c r="Z96" s="664" t="str">
        <f>IF(C96="","",(+'transversal subsidence profile'!$L$6*EXP(-((C96+$G$10)^2)/(2*'transversal subsidence profile'!$J$6^2)))*100)</f>
        <v/>
      </c>
      <c r="AA96" s="751" t="str">
        <f>IF(C96="","",IF('IN-OUT'!$F$26=0,'Damage classification-Rankin'!Z96,IF('IN-OUT'!$F$35=0,Y96,'Damage classification-Rankin'!Y96+'Damage classification-Rankin'!Z96)))</f>
        <v/>
      </c>
      <c r="AJ96" s="46"/>
      <c r="AK96" s="605"/>
      <c r="AL96" s="73"/>
      <c r="AM96" s="601"/>
      <c r="AN96" s="601"/>
      <c r="AO96" s="127"/>
      <c r="AP96" s="601"/>
      <c r="AQ96" s="601"/>
      <c r="AR96" s="73"/>
      <c r="AS96" s="46"/>
      <c r="AT96" s="73"/>
      <c r="AU96" s="601"/>
      <c r="AV96" s="601"/>
      <c r="AW96" s="601"/>
      <c r="AX96" s="606"/>
      <c r="AY96" s="606"/>
      <c r="AZ96" s="606"/>
      <c r="BA96" s="7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</row>
    <row r="97" spans="2:65" ht="13.8" thickBot="1">
      <c r="B97" s="655">
        <f t="shared" si="11"/>
        <v>76</v>
      </c>
      <c r="C97" s="374" t="str">
        <f t="shared" si="13"/>
        <v/>
      </c>
      <c r="D97" s="784" t="str">
        <f t="shared" si="12"/>
        <v/>
      </c>
      <c r="E97" s="784" t="str">
        <f t="shared" si="14"/>
        <v/>
      </c>
      <c r="F97" s="785" t="str">
        <f t="shared" si="15"/>
        <v/>
      </c>
      <c r="G97" s="784" t="str">
        <f t="shared" si="16"/>
        <v/>
      </c>
      <c r="Y97" s="663" t="str">
        <f>IF(C97="","",('transversal subsidence profile'!$L$5*EXP(-(C97^2)/(2*'transversal subsidence profile'!$J$5^2)))*100)</f>
        <v/>
      </c>
      <c r="Z97" s="664" t="str">
        <f>IF(C97="","",(+'transversal subsidence profile'!$L$6*EXP(-((C97+$G$10)^2)/(2*'transversal subsidence profile'!$J$6^2)))*100)</f>
        <v/>
      </c>
      <c r="AA97" s="751" t="str">
        <f>IF(C97="","",IF('IN-OUT'!$F$26=0,'Damage classification-Rankin'!Z97,IF('IN-OUT'!$F$35=0,Y97,'Damage classification-Rankin'!Y97+'Damage classification-Rankin'!Z97)))</f>
        <v/>
      </c>
      <c r="AJ97" s="46"/>
      <c r="AK97" s="605"/>
      <c r="AL97" s="73"/>
      <c r="AM97" s="601"/>
      <c r="AN97" s="601"/>
      <c r="AO97" s="127"/>
      <c r="AP97" s="601"/>
      <c r="AQ97" s="601"/>
      <c r="AR97" s="73"/>
      <c r="AS97" s="46"/>
      <c r="AT97" s="73"/>
      <c r="AU97" s="601"/>
      <c r="AV97" s="601"/>
      <c r="AW97" s="601"/>
      <c r="AX97" s="606"/>
      <c r="AY97" s="606"/>
      <c r="AZ97" s="606"/>
      <c r="BA97" s="7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</row>
    <row r="98" spans="2:65" ht="13.8" thickBot="1">
      <c r="B98" s="655">
        <f t="shared" si="11"/>
        <v>77</v>
      </c>
      <c r="C98" s="374" t="str">
        <f t="shared" si="13"/>
        <v/>
      </c>
      <c r="D98" s="784" t="str">
        <f t="shared" si="12"/>
        <v/>
      </c>
      <c r="E98" s="784" t="str">
        <f t="shared" si="14"/>
        <v/>
      </c>
      <c r="F98" s="785" t="str">
        <f t="shared" si="15"/>
        <v/>
      </c>
      <c r="G98" s="784" t="str">
        <f t="shared" si="16"/>
        <v/>
      </c>
      <c r="Y98" s="663" t="str">
        <f>IF(C98="","",('transversal subsidence profile'!$L$5*EXP(-(C98^2)/(2*'transversal subsidence profile'!$J$5^2)))*100)</f>
        <v/>
      </c>
      <c r="Z98" s="664" t="str">
        <f>IF(C98="","",(+'transversal subsidence profile'!$L$6*EXP(-((C98+$G$10)^2)/(2*'transversal subsidence profile'!$J$6^2)))*100)</f>
        <v/>
      </c>
      <c r="AA98" s="751" t="str">
        <f>IF(C98="","",IF('IN-OUT'!$F$26=0,'Damage classification-Rankin'!Z98,IF('IN-OUT'!$F$35=0,Y98,'Damage classification-Rankin'!Y98+'Damage classification-Rankin'!Z98)))</f>
        <v/>
      </c>
      <c r="AJ98" s="46"/>
      <c r="AK98" s="605"/>
      <c r="AL98" s="73"/>
      <c r="AM98" s="601"/>
      <c r="AN98" s="601"/>
      <c r="AO98" s="127"/>
      <c r="AP98" s="601"/>
      <c r="AQ98" s="601"/>
      <c r="AR98" s="73"/>
      <c r="AS98" s="46"/>
      <c r="AT98" s="73"/>
      <c r="AU98" s="601"/>
      <c r="AV98" s="601"/>
      <c r="AW98" s="601"/>
      <c r="AX98" s="606"/>
      <c r="AY98" s="606"/>
      <c r="AZ98" s="606"/>
      <c r="BA98" s="7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</row>
    <row r="99" spans="2:65" ht="13.8" thickBot="1">
      <c r="B99" s="655">
        <f t="shared" si="11"/>
        <v>78</v>
      </c>
      <c r="C99" s="374" t="str">
        <f t="shared" si="13"/>
        <v/>
      </c>
      <c r="D99" s="784" t="str">
        <f t="shared" si="12"/>
        <v/>
      </c>
      <c r="E99" s="784" t="str">
        <f t="shared" si="14"/>
        <v/>
      </c>
      <c r="F99" s="785" t="str">
        <f t="shared" si="15"/>
        <v/>
      </c>
      <c r="G99" s="784" t="str">
        <f t="shared" si="16"/>
        <v/>
      </c>
      <c r="Y99" s="663" t="str">
        <f>IF(C99="","",('transversal subsidence profile'!$L$5*EXP(-(C99^2)/(2*'transversal subsidence profile'!$J$5^2)))*100)</f>
        <v/>
      </c>
      <c r="Z99" s="664" t="str">
        <f>IF(C99="","",(+'transversal subsidence profile'!$L$6*EXP(-((C99+$G$10)^2)/(2*'transversal subsidence profile'!$J$6^2)))*100)</f>
        <v/>
      </c>
      <c r="AA99" s="751" t="str">
        <f>IF(C99="","",IF('IN-OUT'!$F$26=0,'Damage classification-Rankin'!Z99,IF('IN-OUT'!$F$35=0,Y99,'Damage classification-Rankin'!Y99+'Damage classification-Rankin'!Z99)))</f>
        <v/>
      </c>
      <c r="AJ99" s="46"/>
      <c r="AK99" s="605"/>
      <c r="AL99" s="73"/>
      <c r="AM99" s="601"/>
      <c r="AN99" s="601"/>
      <c r="AO99" s="127"/>
      <c r="AP99" s="601"/>
      <c r="AQ99" s="601"/>
      <c r="AR99" s="73"/>
      <c r="AS99" s="46"/>
      <c r="AT99" s="73"/>
      <c r="AU99" s="601"/>
      <c r="AV99" s="601"/>
      <c r="AW99" s="601"/>
      <c r="AX99" s="606"/>
      <c r="AY99" s="606"/>
      <c r="AZ99" s="606"/>
      <c r="BA99" s="7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</row>
    <row r="100" spans="2:65" ht="13.8" thickBot="1">
      <c r="B100" s="655">
        <f t="shared" si="11"/>
        <v>79</v>
      </c>
      <c r="C100" s="374" t="str">
        <f t="shared" si="13"/>
        <v/>
      </c>
      <c r="D100" s="784" t="str">
        <f t="shared" si="12"/>
        <v/>
      </c>
      <c r="E100" s="784" t="str">
        <f t="shared" si="14"/>
        <v/>
      </c>
      <c r="F100" s="785" t="str">
        <f t="shared" si="15"/>
        <v/>
      </c>
      <c r="G100" s="784" t="str">
        <f t="shared" si="16"/>
        <v/>
      </c>
      <c r="Y100" s="663" t="str">
        <f>IF(C100="","",('transversal subsidence profile'!$L$5*EXP(-(C100^2)/(2*'transversal subsidence profile'!$J$5^2)))*100)</f>
        <v/>
      </c>
      <c r="Z100" s="664" t="str">
        <f>IF(C100="","",(+'transversal subsidence profile'!$L$6*EXP(-((C100+$G$10)^2)/(2*'transversal subsidence profile'!$J$6^2)))*100)</f>
        <v/>
      </c>
      <c r="AA100" s="751" t="str">
        <f>IF(C100="","",IF('IN-OUT'!$F$26=0,'Damage classification-Rankin'!Z100,IF('IN-OUT'!$F$35=0,Y100,'Damage classification-Rankin'!Y100+'Damage classification-Rankin'!Z100)))</f>
        <v/>
      </c>
      <c r="AJ100" s="46"/>
      <c r="AK100" s="605"/>
      <c r="AL100" s="73"/>
      <c r="AM100" s="601"/>
      <c r="AN100" s="601"/>
      <c r="AO100" s="127"/>
      <c r="AP100" s="601"/>
      <c r="AQ100" s="601"/>
      <c r="AR100" s="73"/>
      <c r="AS100" s="46"/>
      <c r="AT100" s="73"/>
      <c r="AU100" s="601"/>
      <c r="AV100" s="601"/>
      <c r="AW100" s="601"/>
      <c r="AX100" s="606"/>
      <c r="AY100" s="606"/>
      <c r="AZ100" s="606"/>
      <c r="BA100" s="7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</row>
    <row r="101" spans="2:65" ht="13.8" thickBot="1">
      <c r="B101" s="655">
        <f t="shared" ref="B101:B132" si="17">B100+1</f>
        <v>80</v>
      </c>
      <c r="C101" s="374" t="str">
        <f t="shared" si="13"/>
        <v/>
      </c>
      <c r="D101" s="784" t="str">
        <f t="shared" si="12"/>
        <v/>
      </c>
      <c r="E101" s="784" t="str">
        <f t="shared" si="14"/>
        <v/>
      </c>
      <c r="F101" s="785" t="str">
        <f t="shared" si="15"/>
        <v/>
      </c>
      <c r="G101" s="784" t="str">
        <f t="shared" si="16"/>
        <v/>
      </c>
      <c r="Y101" s="663" t="str">
        <f>IF(C101="","",('transversal subsidence profile'!$L$5*EXP(-(C101^2)/(2*'transversal subsidence profile'!$J$5^2)))*100)</f>
        <v/>
      </c>
      <c r="Z101" s="664" t="str">
        <f>IF(C101="","",(+'transversal subsidence profile'!$L$6*EXP(-((C101+$G$10)^2)/(2*'transversal subsidence profile'!$J$6^2)))*100)</f>
        <v/>
      </c>
      <c r="AA101" s="751" t="str">
        <f>IF(C101="","",IF('IN-OUT'!$F$26=0,'Damage classification-Rankin'!Z101,IF('IN-OUT'!$F$35=0,Y101,'Damage classification-Rankin'!Y101+'Damage classification-Rankin'!Z101)))</f>
        <v/>
      </c>
      <c r="AJ101" s="46"/>
      <c r="AK101" s="605"/>
      <c r="AL101" s="73"/>
      <c r="AM101" s="601"/>
      <c r="AN101" s="601"/>
      <c r="AO101" s="127"/>
      <c r="AP101" s="601"/>
      <c r="AQ101" s="601"/>
      <c r="AR101" s="73"/>
      <c r="AS101" s="46"/>
      <c r="AT101" s="73"/>
      <c r="AU101" s="601"/>
      <c r="AV101" s="601"/>
      <c r="AW101" s="601"/>
      <c r="AX101" s="606"/>
      <c r="AY101" s="606"/>
      <c r="AZ101" s="606"/>
      <c r="BA101" s="7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</row>
    <row r="102" spans="2:65" ht="13.8" thickBot="1">
      <c r="B102" s="655">
        <f t="shared" si="17"/>
        <v>81</v>
      </c>
      <c r="C102" s="374" t="str">
        <f t="shared" si="13"/>
        <v/>
      </c>
      <c r="D102" s="784" t="str">
        <f t="shared" si="12"/>
        <v/>
      </c>
      <c r="E102" s="784" t="str">
        <f t="shared" si="14"/>
        <v/>
      </c>
      <c r="F102" s="785" t="str">
        <f t="shared" si="15"/>
        <v/>
      </c>
      <c r="G102" s="784" t="str">
        <f t="shared" si="16"/>
        <v/>
      </c>
      <c r="Y102" s="663" t="str">
        <f>IF(C102="","",('transversal subsidence profile'!$L$5*EXP(-(C102^2)/(2*'transversal subsidence profile'!$J$5^2)))*100)</f>
        <v/>
      </c>
      <c r="Z102" s="664" t="str">
        <f>IF(C102="","",(+'transversal subsidence profile'!$L$6*EXP(-((C102+$G$10)^2)/(2*'transversal subsidence profile'!$J$6^2)))*100)</f>
        <v/>
      </c>
      <c r="AA102" s="751" t="str">
        <f>IF(C102="","",IF('IN-OUT'!$F$26=0,'Damage classification-Rankin'!Z102,IF('IN-OUT'!$F$35=0,Y102,'Damage classification-Rankin'!Y102+'Damage classification-Rankin'!Z102)))</f>
        <v/>
      </c>
      <c r="AJ102" s="46"/>
      <c r="AK102" s="605"/>
      <c r="AL102" s="73"/>
      <c r="AM102" s="601"/>
      <c r="AN102" s="601"/>
      <c r="AO102" s="127"/>
      <c r="AP102" s="601"/>
      <c r="AQ102" s="601"/>
      <c r="AR102" s="73"/>
      <c r="AS102" s="46"/>
      <c r="AT102" s="73"/>
      <c r="AU102" s="601"/>
      <c r="AV102" s="601"/>
      <c r="AW102" s="601"/>
      <c r="AX102" s="606"/>
      <c r="AY102" s="606"/>
      <c r="AZ102" s="606"/>
      <c r="BA102" s="7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</row>
    <row r="103" spans="2:65" ht="13.8" thickBot="1">
      <c r="B103" s="655">
        <f t="shared" si="17"/>
        <v>82</v>
      </c>
      <c r="C103" s="374" t="str">
        <f t="shared" si="13"/>
        <v/>
      </c>
      <c r="D103" s="784" t="str">
        <f t="shared" si="12"/>
        <v/>
      </c>
      <c r="E103" s="784" t="str">
        <f t="shared" si="14"/>
        <v/>
      </c>
      <c r="F103" s="785" t="str">
        <f t="shared" si="15"/>
        <v/>
      </c>
      <c r="G103" s="784" t="str">
        <f t="shared" si="16"/>
        <v/>
      </c>
      <c r="Y103" s="663" t="str">
        <f>IF(C103="","",('transversal subsidence profile'!$L$5*EXP(-(C103^2)/(2*'transversal subsidence profile'!$J$5^2)))*100)</f>
        <v/>
      </c>
      <c r="Z103" s="664" t="str">
        <f>IF(C103="","",(+'transversal subsidence profile'!$L$6*EXP(-((C103+$G$10)^2)/(2*'transversal subsidence profile'!$J$6^2)))*100)</f>
        <v/>
      </c>
      <c r="AA103" s="751" t="str">
        <f>IF(C103="","",IF('IN-OUT'!$F$26=0,'Damage classification-Rankin'!Z103,IF('IN-OUT'!$F$35=0,Y103,'Damage classification-Rankin'!Y103+'Damage classification-Rankin'!Z103)))</f>
        <v/>
      </c>
      <c r="AJ103" s="46"/>
      <c r="AK103" s="605"/>
      <c r="AL103" s="73"/>
      <c r="AM103" s="601"/>
      <c r="AN103" s="601"/>
      <c r="AO103" s="127"/>
      <c r="AP103" s="601"/>
      <c r="AQ103" s="601"/>
      <c r="AR103" s="73"/>
      <c r="AS103" s="46"/>
      <c r="AT103" s="73"/>
      <c r="AU103" s="601"/>
      <c r="AV103" s="601"/>
      <c r="AW103" s="601"/>
      <c r="AX103" s="606"/>
      <c r="AY103" s="606"/>
      <c r="AZ103" s="606"/>
      <c r="BA103" s="7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</row>
    <row r="104" spans="2:65" ht="13.8" thickBot="1">
      <c r="B104" s="655">
        <f t="shared" si="17"/>
        <v>83</v>
      </c>
      <c r="C104" s="374" t="str">
        <f t="shared" si="13"/>
        <v/>
      </c>
      <c r="D104" s="784" t="str">
        <f t="shared" si="12"/>
        <v/>
      </c>
      <c r="E104" s="784" t="str">
        <f t="shared" si="14"/>
        <v/>
      </c>
      <c r="F104" s="785" t="str">
        <f t="shared" si="15"/>
        <v/>
      </c>
      <c r="G104" s="784" t="str">
        <f t="shared" si="16"/>
        <v/>
      </c>
      <c r="Y104" s="663" t="str">
        <f>IF(C104="","",('transversal subsidence profile'!$L$5*EXP(-(C104^2)/(2*'transversal subsidence profile'!$J$5^2)))*100)</f>
        <v/>
      </c>
      <c r="Z104" s="664" t="str">
        <f>IF(C104="","",(+'transversal subsidence profile'!$L$6*EXP(-((C104+$G$10)^2)/(2*'transversal subsidence profile'!$J$6^2)))*100)</f>
        <v/>
      </c>
      <c r="AA104" s="751" t="str">
        <f>IF(C104="","",IF('IN-OUT'!$F$26=0,'Damage classification-Rankin'!Z104,IF('IN-OUT'!$F$35=0,Y104,'Damage classification-Rankin'!Y104+'Damage classification-Rankin'!Z104)))</f>
        <v/>
      </c>
      <c r="AJ104" s="46"/>
      <c r="AK104" s="605"/>
      <c r="AL104" s="73"/>
      <c r="AM104" s="601"/>
      <c r="AN104" s="601"/>
      <c r="AO104" s="127"/>
      <c r="AP104" s="601"/>
      <c r="AQ104" s="601"/>
      <c r="AR104" s="73"/>
      <c r="AS104" s="46"/>
      <c r="AT104" s="73"/>
      <c r="AU104" s="601"/>
      <c r="AV104" s="601"/>
      <c r="AW104" s="601"/>
      <c r="AX104" s="606"/>
      <c r="AY104" s="606"/>
      <c r="AZ104" s="606"/>
      <c r="BA104" s="7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</row>
    <row r="105" spans="2:65" ht="13.8" thickBot="1">
      <c r="B105" s="655">
        <f t="shared" si="17"/>
        <v>84</v>
      </c>
      <c r="C105" s="374" t="str">
        <f t="shared" si="13"/>
        <v/>
      </c>
      <c r="D105" s="784" t="str">
        <f t="shared" si="12"/>
        <v/>
      </c>
      <c r="E105" s="784" t="str">
        <f t="shared" si="14"/>
        <v/>
      </c>
      <c r="F105" s="785" t="str">
        <f t="shared" si="15"/>
        <v/>
      </c>
      <c r="G105" s="784" t="str">
        <f t="shared" si="16"/>
        <v/>
      </c>
      <c r="Y105" s="663" t="str">
        <f>IF(C105="","",('transversal subsidence profile'!$L$5*EXP(-(C105^2)/(2*'transversal subsidence profile'!$J$5^2)))*100)</f>
        <v/>
      </c>
      <c r="Z105" s="664" t="str">
        <f>IF(C105="","",(+'transversal subsidence profile'!$L$6*EXP(-((C105+$G$10)^2)/(2*'transversal subsidence profile'!$J$6^2)))*100)</f>
        <v/>
      </c>
      <c r="AA105" s="751" t="str">
        <f>IF(C105="","",IF('IN-OUT'!$F$26=0,'Damage classification-Rankin'!Z105,IF('IN-OUT'!$F$35=0,Y105,'Damage classification-Rankin'!Y105+'Damage classification-Rankin'!Z105)))</f>
        <v/>
      </c>
      <c r="AJ105" s="46"/>
      <c r="AK105" s="605"/>
      <c r="AL105" s="73"/>
      <c r="AM105" s="601"/>
      <c r="AN105" s="601"/>
      <c r="AO105" s="127"/>
      <c r="AP105" s="601"/>
      <c r="AQ105" s="601"/>
      <c r="AR105" s="73"/>
      <c r="AS105" s="46"/>
      <c r="AT105" s="73"/>
      <c r="AU105" s="601"/>
      <c r="AV105" s="601"/>
      <c r="AW105" s="601"/>
      <c r="AX105" s="606"/>
      <c r="AY105" s="606"/>
      <c r="AZ105" s="606"/>
      <c r="BA105" s="7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</row>
    <row r="106" spans="2:65" ht="13.8" thickBot="1">
      <c r="B106" s="655">
        <f t="shared" si="17"/>
        <v>85</v>
      </c>
      <c r="C106" s="374" t="str">
        <f t="shared" si="13"/>
        <v/>
      </c>
      <c r="D106" s="784" t="str">
        <f t="shared" si="12"/>
        <v/>
      </c>
      <c r="E106" s="784" t="str">
        <f t="shared" si="14"/>
        <v/>
      </c>
      <c r="F106" s="785" t="str">
        <f t="shared" si="15"/>
        <v/>
      </c>
      <c r="G106" s="784" t="str">
        <f t="shared" si="16"/>
        <v/>
      </c>
      <c r="Y106" s="663" t="str">
        <f>IF(C106="","",('transversal subsidence profile'!$L$5*EXP(-(C106^2)/(2*'transversal subsidence profile'!$J$5^2)))*100)</f>
        <v/>
      </c>
      <c r="Z106" s="664" t="str">
        <f>IF(C106="","",(+'transversal subsidence profile'!$L$6*EXP(-((C106+$G$10)^2)/(2*'transversal subsidence profile'!$J$6^2)))*100)</f>
        <v/>
      </c>
      <c r="AA106" s="751" t="str">
        <f>IF(C106="","",IF('IN-OUT'!$F$26=0,'Damage classification-Rankin'!Z106,IF('IN-OUT'!$F$35=0,Y106,'Damage classification-Rankin'!Y106+'Damage classification-Rankin'!Z106)))</f>
        <v/>
      </c>
      <c r="AJ106" s="46"/>
      <c r="AK106" s="605"/>
      <c r="AL106" s="73"/>
      <c r="AM106" s="601"/>
      <c r="AN106" s="601"/>
      <c r="AO106" s="127"/>
      <c r="AP106" s="601"/>
      <c r="AQ106" s="601"/>
      <c r="AR106" s="73"/>
      <c r="AS106" s="46"/>
      <c r="AT106" s="73"/>
      <c r="AU106" s="601"/>
      <c r="AV106" s="601"/>
      <c r="AW106" s="601"/>
      <c r="AX106" s="606"/>
      <c r="AY106" s="606"/>
      <c r="AZ106" s="606"/>
      <c r="BA106" s="7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</row>
    <row r="107" spans="2:65" ht="13.8" thickBot="1">
      <c r="B107" s="655">
        <f t="shared" si="17"/>
        <v>86</v>
      </c>
      <c r="C107" s="374" t="str">
        <f t="shared" si="13"/>
        <v/>
      </c>
      <c r="D107" s="784" t="str">
        <f t="shared" si="12"/>
        <v/>
      </c>
      <c r="E107" s="784" t="str">
        <f t="shared" si="14"/>
        <v/>
      </c>
      <c r="F107" s="785" t="str">
        <f t="shared" si="15"/>
        <v/>
      </c>
      <c r="G107" s="784" t="str">
        <f t="shared" si="16"/>
        <v/>
      </c>
      <c r="Y107" s="663" t="str">
        <f>IF(C107="","",('transversal subsidence profile'!$L$5*EXP(-(C107^2)/(2*'transversal subsidence profile'!$J$5^2)))*100)</f>
        <v/>
      </c>
      <c r="Z107" s="664" t="str">
        <f>IF(C107="","",(+'transversal subsidence profile'!$L$6*EXP(-((C107+$G$10)^2)/(2*'transversal subsidence profile'!$J$6^2)))*100)</f>
        <v/>
      </c>
      <c r="AA107" s="751" t="str">
        <f>IF(C107="","",IF('IN-OUT'!$F$26=0,'Damage classification-Rankin'!Z107,IF('IN-OUT'!$F$35=0,Y107,'Damage classification-Rankin'!Y107+'Damage classification-Rankin'!Z107)))</f>
        <v/>
      </c>
      <c r="AJ107" s="46"/>
      <c r="AK107" s="605"/>
      <c r="AL107" s="73"/>
      <c r="AM107" s="601"/>
      <c r="AN107" s="601"/>
      <c r="AO107" s="127"/>
      <c r="AP107" s="601"/>
      <c r="AQ107" s="601"/>
      <c r="AR107" s="73"/>
      <c r="AS107" s="46"/>
      <c r="AT107" s="73"/>
      <c r="AU107" s="601"/>
      <c r="AV107" s="601"/>
      <c r="AW107" s="601"/>
      <c r="AX107" s="606"/>
      <c r="AY107" s="606"/>
      <c r="AZ107" s="606"/>
      <c r="BA107" s="7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</row>
    <row r="108" spans="2:65" s="654" customFormat="1" ht="13.8" thickBot="1">
      <c r="B108" s="655">
        <f t="shared" si="17"/>
        <v>87</v>
      </c>
      <c r="C108" s="374" t="str">
        <f t="shared" si="13"/>
        <v/>
      </c>
      <c r="D108" s="784" t="str">
        <f t="shared" si="12"/>
        <v/>
      </c>
      <c r="E108" s="784" t="str">
        <f t="shared" si="14"/>
        <v/>
      </c>
      <c r="F108" s="785" t="str">
        <f t="shared" si="15"/>
        <v/>
      </c>
      <c r="G108" s="784" t="str">
        <f t="shared" si="16"/>
        <v/>
      </c>
      <c r="U108" s="749"/>
      <c r="V108" s="749"/>
      <c r="Y108" s="748" t="str">
        <f>IF(C108="","",('transversal subsidence profile'!$L$5*EXP(-(C108^2)/(2*'transversal subsidence profile'!$J$5^2)))*100)</f>
        <v/>
      </c>
      <c r="Z108" s="750" t="str">
        <f>IF(C108="","",(+'transversal subsidence profile'!$L$6*EXP(-((C108+$G$10)^2)/(2*'transversal subsidence profile'!$J$6^2)))*100)</f>
        <v/>
      </c>
      <c r="AA108" s="751" t="str">
        <f>IF(C108="","",IF('IN-OUT'!$F$26=0,'Damage classification-Rankin'!Z108,IF('IN-OUT'!$F$35=0,Y108,'Damage classification-Rankin'!Y108+'Damage classification-Rankin'!Z108)))</f>
        <v/>
      </c>
      <c r="AJ108" s="42"/>
      <c r="AK108" s="800"/>
      <c r="AL108" s="511"/>
      <c r="AM108" s="548"/>
      <c r="AN108" s="548"/>
      <c r="AO108" s="27"/>
      <c r="AP108" s="548"/>
      <c r="AQ108" s="548"/>
      <c r="AR108" s="511"/>
      <c r="AS108" s="42"/>
      <c r="AT108" s="511"/>
      <c r="AU108" s="548"/>
      <c r="AV108" s="548"/>
      <c r="AW108" s="548"/>
      <c r="AX108" s="657"/>
      <c r="AY108" s="657"/>
      <c r="AZ108" s="657"/>
      <c r="BA108" s="656"/>
    </row>
    <row r="109" spans="2:65" ht="13.8" thickBot="1">
      <c r="B109" s="655">
        <f t="shared" si="17"/>
        <v>88</v>
      </c>
      <c r="C109" s="374" t="str">
        <f t="shared" si="13"/>
        <v/>
      </c>
      <c r="D109" s="784" t="str">
        <f t="shared" si="12"/>
        <v/>
      </c>
      <c r="E109" s="784" t="str">
        <f t="shared" si="14"/>
        <v/>
      </c>
      <c r="F109" s="785" t="str">
        <f t="shared" si="15"/>
        <v/>
      </c>
      <c r="G109" s="784" t="str">
        <f t="shared" si="16"/>
        <v/>
      </c>
      <c r="Y109" s="663" t="str">
        <f>IF(C109="","",('transversal subsidence profile'!$L$5*EXP(-(C109^2)/(2*'transversal subsidence profile'!$J$5^2)))*100)</f>
        <v/>
      </c>
      <c r="Z109" s="664" t="str">
        <f>IF(C109="","",(+'transversal subsidence profile'!$L$6*EXP(-((C109+$G$10)^2)/(2*'transversal subsidence profile'!$J$6^2)))*100)</f>
        <v/>
      </c>
      <c r="AA109" s="751" t="str">
        <f>IF(C109="","",IF('IN-OUT'!$F$26=0,'Damage classification-Rankin'!Z109,IF('IN-OUT'!$F$35=0,Y109,'Damage classification-Rankin'!Y109+'Damage classification-Rankin'!Z109)))</f>
        <v/>
      </c>
      <c r="AJ109" s="46"/>
      <c r="AK109" s="605"/>
      <c r="AL109" s="73"/>
      <c r="AM109" s="601"/>
      <c r="AN109" s="601"/>
      <c r="AO109" s="127"/>
      <c r="AP109" s="601"/>
      <c r="AQ109" s="601"/>
      <c r="AR109" s="73"/>
      <c r="AS109" s="46"/>
      <c r="AT109" s="73"/>
      <c r="AU109" s="601"/>
      <c r="AV109" s="601"/>
      <c r="AW109" s="601"/>
      <c r="AX109" s="606"/>
      <c r="AY109" s="606"/>
      <c r="AZ109" s="606"/>
      <c r="BA109" s="7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</row>
    <row r="110" spans="2:65" ht="13.8" thickBot="1">
      <c r="B110" s="655">
        <f t="shared" si="17"/>
        <v>89</v>
      </c>
      <c r="C110" s="374" t="str">
        <f t="shared" si="13"/>
        <v/>
      </c>
      <c r="D110" s="784" t="str">
        <f t="shared" si="12"/>
        <v/>
      </c>
      <c r="E110" s="784" t="str">
        <f t="shared" si="14"/>
        <v/>
      </c>
      <c r="F110" s="785" t="str">
        <f t="shared" si="15"/>
        <v/>
      </c>
      <c r="G110" s="784" t="str">
        <f t="shared" si="16"/>
        <v/>
      </c>
      <c r="Y110" s="663" t="str">
        <f>IF(C110="","",('transversal subsidence profile'!$L$5*EXP(-(C110^2)/(2*'transversal subsidence profile'!$J$5^2)))*100)</f>
        <v/>
      </c>
      <c r="Z110" s="664" t="str">
        <f>IF(C110="","",(+'transversal subsidence profile'!$L$6*EXP(-((C110+$G$10)^2)/(2*'transversal subsidence profile'!$J$6^2)))*100)</f>
        <v/>
      </c>
      <c r="AA110" s="751" t="str">
        <f>IF(C110="","",IF('IN-OUT'!$F$26=0,'Damage classification-Rankin'!Z110,IF('IN-OUT'!$F$35=0,Y110,'Damage classification-Rankin'!Y110+'Damage classification-Rankin'!Z110)))</f>
        <v/>
      </c>
      <c r="AJ110" s="46"/>
      <c r="AK110" s="605"/>
      <c r="AL110" s="73"/>
      <c r="AM110" s="601"/>
      <c r="AN110" s="601"/>
      <c r="AO110" s="127"/>
      <c r="AP110" s="601"/>
      <c r="AQ110" s="601"/>
      <c r="AR110" s="73"/>
      <c r="AS110" s="46"/>
      <c r="AT110" s="73"/>
      <c r="AU110" s="601"/>
      <c r="AV110" s="601"/>
      <c r="AW110" s="601"/>
      <c r="AX110" s="606"/>
      <c r="AY110" s="606"/>
      <c r="AZ110" s="606"/>
      <c r="BA110" s="7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</row>
    <row r="111" spans="2:65" ht="13.8" thickBot="1">
      <c r="B111" s="655">
        <f t="shared" si="17"/>
        <v>90</v>
      </c>
      <c r="C111" s="374" t="str">
        <f t="shared" si="13"/>
        <v/>
      </c>
      <c r="D111" s="784" t="str">
        <f t="shared" si="12"/>
        <v/>
      </c>
      <c r="E111" s="784" t="str">
        <f t="shared" si="14"/>
        <v/>
      </c>
      <c r="F111" s="785" t="str">
        <f t="shared" si="15"/>
        <v/>
      </c>
      <c r="G111" s="784" t="str">
        <f t="shared" si="16"/>
        <v/>
      </c>
      <c r="Y111" s="663" t="str">
        <f>IF(C111="","",('transversal subsidence profile'!$L$5*EXP(-(C111^2)/(2*'transversal subsidence profile'!$J$5^2)))*100)</f>
        <v/>
      </c>
      <c r="Z111" s="664" t="str">
        <f>IF(C111="","",(+'transversal subsidence profile'!$L$6*EXP(-((C111+$G$10)^2)/(2*'transversal subsidence profile'!$J$6^2)))*100)</f>
        <v/>
      </c>
      <c r="AA111" s="751" t="str">
        <f>IF(C111="","",IF('IN-OUT'!$F$26=0,'Damage classification-Rankin'!Z111,IF('IN-OUT'!$F$35=0,Y111,'Damage classification-Rankin'!Y111+'Damage classification-Rankin'!Z111)))</f>
        <v/>
      </c>
      <c r="AJ111" s="46"/>
      <c r="AK111" s="605"/>
      <c r="AL111" s="73"/>
      <c r="AM111" s="601"/>
      <c r="AN111" s="601"/>
      <c r="AO111" s="127"/>
      <c r="AP111" s="601"/>
      <c r="AQ111" s="601"/>
      <c r="AR111" s="73"/>
      <c r="AS111" s="46"/>
      <c r="AT111" s="73"/>
      <c r="AU111" s="601"/>
      <c r="AV111" s="601"/>
      <c r="AW111" s="601"/>
      <c r="AX111" s="606"/>
      <c r="AY111" s="606"/>
      <c r="AZ111" s="606"/>
      <c r="BA111" s="7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</row>
    <row r="112" spans="2:65" ht="13.8" thickBot="1">
      <c r="B112" s="655">
        <f t="shared" si="17"/>
        <v>91</v>
      </c>
      <c r="C112" s="374" t="str">
        <f t="shared" si="13"/>
        <v/>
      </c>
      <c r="D112" s="784" t="str">
        <f t="shared" si="12"/>
        <v/>
      </c>
      <c r="E112" s="784" t="str">
        <f t="shared" si="14"/>
        <v/>
      </c>
      <c r="F112" s="785" t="str">
        <f t="shared" si="15"/>
        <v/>
      </c>
      <c r="G112" s="784" t="str">
        <f t="shared" si="16"/>
        <v/>
      </c>
      <c r="Y112" s="663" t="str">
        <f>IF(C112="","",('transversal subsidence profile'!$L$5*EXP(-(C112^2)/(2*'transversal subsidence profile'!$J$5^2)))*100)</f>
        <v/>
      </c>
      <c r="Z112" s="664" t="str">
        <f>IF(C112="","",(+'transversal subsidence profile'!$L$6*EXP(-((C112+$G$10)^2)/(2*'transversal subsidence profile'!$J$6^2)))*100)</f>
        <v/>
      </c>
      <c r="AA112" s="751" t="str">
        <f>IF(C112="","",IF('IN-OUT'!$F$26=0,'Damage classification-Rankin'!Z112,IF('IN-OUT'!$F$35=0,Y112,'Damage classification-Rankin'!Y112+'Damage classification-Rankin'!Z112)))</f>
        <v/>
      </c>
      <c r="AJ112" s="46"/>
      <c r="AK112" s="605"/>
      <c r="AL112" s="73"/>
      <c r="AM112" s="601"/>
      <c r="AN112" s="601"/>
      <c r="AO112" s="127"/>
      <c r="AP112" s="601"/>
      <c r="AQ112" s="601"/>
      <c r="AR112" s="73"/>
      <c r="AS112" s="46"/>
      <c r="AT112" s="73"/>
      <c r="AU112" s="601"/>
      <c r="AV112" s="601"/>
      <c r="AW112" s="601"/>
      <c r="AX112" s="606"/>
      <c r="AY112" s="606"/>
      <c r="AZ112" s="606"/>
      <c r="BA112" s="7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</row>
    <row r="113" spans="1:69" ht="13.8" thickBot="1">
      <c r="B113" s="655">
        <f t="shared" si="17"/>
        <v>92</v>
      </c>
      <c r="C113" s="374" t="str">
        <f t="shared" si="13"/>
        <v/>
      </c>
      <c r="D113" s="784" t="str">
        <f t="shared" si="12"/>
        <v/>
      </c>
      <c r="E113" s="784" t="str">
        <f t="shared" si="14"/>
        <v/>
      </c>
      <c r="F113" s="785" t="str">
        <f t="shared" si="15"/>
        <v/>
      </c>
      <c r="G113" s="784" t="str">
        <f t="shared" si="16"/>
        <v/>
      </c>
      <c r="Y113" s="663" t="str">
        <f>IF(C113="","",('transversal subsidence profile'!$L$5*EXP(-(C113^2)/(2*'transversal subsidence profile'!$J$5^2)))*100)</f>
        <v/>
      </c>
      <c r="Z113" s="664" t="str">
        <f>IF(C113="","",(+'transversal subsidence profile'!$L$6*EXP(-((C113+$G$10)^2)/(2*'transversal subsidence profile'!$J$6^2)))*100)</f>
        <v/>
      </c>
      <c r="AA113" s="751" t="str">
        <f>IF(C113="","",IF('IN-OUT'!$F$26=0,'Damage classification-Rankin'!Z113,IF('IN-OUT'!$F$35=0,Y113,'Damage classification-Rankin'!Y113+'Damage classification-Rankin'!Z113)))</f>
        <v/>
      </c>
      <c r="AJ113" s="46"/>
      <c r="AK113" s="605"/>
      <c r="AL113" s="73"/>
      <c r="AM113" s="601"/>
      <c r="AN113" s="601"/>
      <c r="AO113" s="127"/>
      <c r="AP113" s="601"/>
      <c r="AQ113" s="601"/>
      <c r="AR113" s="73"/>
      <c r="AS113" s="46"/>
      <c r="AT113" s="73"/>
      <c r="AU113" s="601"/>
      <c r="AV113" s="601"/>
      <c r="AW113" s="601"/>
      <c r="AX113" s="606"/>
      <c r="AY113" s="606"/>
      <c r="AZ113" s="606"/>
      <c r="BA113" s="7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</row>
    <row r="114" spans="1:69" ht="13.8" thickBot="1">
      <c r="B114" s="655">
        <f t="shared" si="17"/>
        <v>93</v>
      </c>
      <c r="C114" s="374" t="str">
        <f t="shared" si="13"/>
        <v/>
      </c>
      <c r="D114" s="784" t="str">
        <f t="shared" si="12"/>
        <v/>
      </c>
      <c r="E114" s="784" t="str">
        <f t="shared" si="14"/>
        <v/>
      </c>
      <c r="F114" s="785" t="str">
        <f t="shared" si="15"/>
        <v/>
      </c>
      <c r="G114" s="784" t="str">
        <f t="shared" si="16"/>
        <v/>
      </c>
      <c r="Y114" s="663" t="str">
        <f>IF(C114="","",('transversal subsidence profile'!$L$5*EXP(-(C114^2)/(2*'transversal subsidence profile'!$J$5^2)))*100)</f>
        <v/>
      </c>
      <c r="Z114" s="664" t="str">
        <f>IF(C114="","",(+'transversal subsidence profile'!$L$6*EXP(-((C114+$G$10)^2)/(2*'transversal subsidence profile'!$J$6^2)))*100)</f>
        <v/>
      </c>
      <c r="AA114" s="751" t="str">
        <f>IF(C114="","",IF('IN-OUT'!$F$26=0,'Damage classification-Rankin'!Z114,IF('IN-OUT'!$F$35=0,Y114,'Damage classification-Rankin'!Y114+'Damage classification-Rankin'!Z114)))</f>
        <v/>
      </c>
      <c r="AJ114" s="46"/>
      <c r="AK114" s="605"/>
      <c r="AL114" s="73"/>
      <c r="AM114" s="601"/>
      <c r="AN114" s="601"/>
      <c r="AO114" s="127"/>
      <c r="AP114" s="601"/>
      <c r="AQ114" s="601"/>
      <c r="AR114" s="73"/>
      <c r="AS114" s="46"/>
      <c r="AT114" s="73"/>
      <c r="AU114" s="601"/>
      <c r="AV114" s="601"/>
      <c r="AW114" s="601"/>
      <c r="AX114" s="606"/>
      <c r="AY114" s="606"/>
      <c r="AZ114" s="606"/>
      <c r="BA114" s="7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</row>
    <row r="115" spans="1:69" ht="13.8" thickBot="1">
      <c r="B115" s="655">
        <f t="shared" si="17"/>
        <v>94</v>
      </c>
      <c r="C115" s="374" t="str">
        <f t="shared" si="13"/>
        <v/>
      </c>
      <c r="D115" s="784" t="str">
        <f t="shared" si="12"/>
        <v/>
      </c>
      <c r="E115" s="784" t="str">
        <f t="shared" si="14"/>
        <v/>
      </c>
      <c r="F115" s="785" t="str">
        <f t="shared" si="15"/>
        <v/>
      </c>
      <c r="G115" s="784" t="str">
        <f t="shared" si="16"/>
        <v/>
      </c>
      <c r="Y115" s="663" t="str">
        <f>IF(C115="","",('transversal subsidence profile'!$L$5*EXP(-(C115^2)/(2*'transversal subsidence profile'!$J$5^2)))*100)</f>
        <v/>
      </c>
      <c r="Z115" s="664" t="str">
        <f>IF(C115="","",(+'transversal subsidence profile'!$L$6*EXP(-((C115+$G$10)^2)/(2*'transversal subsidence profile'!$J$6^2)))*100)</f>
        <v/>
      </c>
      <c r="AA115" s="751" t="str">
        <f>IF(C115="","",IF('IN-OUT'!$F$26=0,'Damage classification-Rankin'!Z115,IF('IN-OUT'!$F$35=0,Y115,'Damage classification-Rankin'!Y115+'Damage classification-Rankin'!Z115)))</f>
        <v/>
      </c>
      <c r="AJ115" s="46"/>
      <c r="AK115" s="605"/>
      <c r="AL115" s="73"/>
      <c r="AM115" s="601"/>
      <c r="AN115" s="601"/>
      <c r="AO115" s="127"/>
      <c r="AP115" s="601"/>
      <c r="AQ115" s="601"/>
      <c r="AR115" s="73"/>
      <c r="AS115" s="46"/>
      <c r="AT115" s="73"/>
      <c r="AU115" s="601"/>
      <c r="AV115" s="601"/>
      <c r="AW115" s="601"/>
      <c r="AX115" s="606"/>
      <c r="AY115" s="606"/>
      <c r="AZ115" s="606"/>
      <c r="BA115" s="7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</row>
    <row r="116" spans="1:69" ht="13.8" thickBot="1">
      <c r="B116" s="655">
        <f t="shared" si="17"/>
        <v>95</v>
      </c>
      <c r="C116" s="374" t="str">
        <f t="shared" si="13"/>
        <v/>
      </c>
      <c r="D116" s="784" t="str">
        <f t="shared" si="12"/>
        <v/>
      </c>
      <c r="E116" s="784" t="str">
        <f t="shared" si="14"/>
        <v/>
      </c>
      <c r="F116" s="785" t="str">
        <f t="shared" si="15"/>
        <v/>
      </c>
      <c r="G116" s="784" t="str">
        <f t="shared" si="16"/>
        <v/>
      </c>
      <c r="Y116" s="663" t="str">
        <f>IF(C116="","",('transversal subsidence profile'!$L$5*EXP(-(C116^2)/(2*'transversal subsidence profile'!$J$5^2)))*100)</f>
        <v/>
      </c>
      <c r="Z116" s="664" t="str">
        <f>IF(C116="","",(+'transversal subsidence profile'!$L$6*EXP(-((C116+$G$10)^2)/(2*'transversal subsidence profile'!$J$6^2)))*100)</f>
        <v/>
      </c>
      <c r="AA116" s="751" t="str">
        <f>IF(C116="","",IF('IN-OUT'!$F$26=0,'Damage classification-Rankin'!Z116,IF('IN-OUT'!$F$35=0,Y116,'Damage classification-Rankin'!Y116+'Damage classification-Rankin'!Z116)))</f>
        <v/>
      </c>
      <c r="AJ116" s="46"/>
      <c r="AK116" s="605"/>
      <c r="AL116" s="73"/>
      <c r="AM116" s="601"/>
      <c r="AN116" s="601"/>
      <c r="AO116" s="127"/>
      <c r="AP116" s="601"/>
      <c r="AQ116" s="601"/>
      <c r="AR116" s="73"/>
      <c r="AS116" s="46"/>
      <c r="AT116" s="73"/>
      <c r="AU116" s="601"/>
      <c r="AV116" s="601"/>
      <c r="AW116" s="601"/>
      <c r="AX116" s="606"/>
      <c r="AY116" s="606"/>
      <c r="AZ116" s="606"/>
      <c r="BA116" s="7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</row>
    <row r="117" spans="1:69" ht="13.8" thickBot="1">
      <c r="B117" s="655">
        <f t="shared" si="17"/>
        <v>96</v>
      </c>
      <c r="C117" s="374" t="str">
        <f t="shared" si="13"/>
        <v/>
      </c>
      <c r="D117" s="784" t="str">
        <f t="shared" si="12"/>
        <v/>
      </c>
      <c r="E117" s="784" t="str">
        <f t="shared" si="14"/>
        <v/>
      </c>
      <c r="F117" s="785" t="str">
        <f t="shared" si="15"/>
        <v/>
      </c>
      <c r="G117" s="784" t="str">
        <f t="shared" si="16"/>
        <v/>
      </c>
      <c r="Q117" s="755"/>
      <c r="Y117" s="663" t="str">
        <f>IF(C117="","",('transversal subsidence profile'!$L$5*EXP(-(C117^2)/(2*'transversal subsidence profile'!$J$5^2)))*100)</f>
        <v/>
      </c>
      <c r="Z117" s="664" t="str">
        <f>IF(C117="","",(+'transversal subsidence profile'!$L$6*EXP(-((C117+$G$10)^2)/(2*'transversal subsidence profile'!$J$6^2)))*100)</f>
        <v/>
      </c>
      <c r="AA117" s="751" t="str">
        <f>IF(C117="","",IF('IN-OUT'!$F$26=0,'Damage classification-Rankin'!Z117,IF('IN-OUT'!$F$35=0,Y117,'Damage classification-Rankin'!Y117+'Damage classification-Rankin'!Z117)))</f>
        <v/>
      </c>
      <c r="AJ117" s="46"/>
      <c r="AK117" s="605"/>
      <c r="AL117" s="73"/>
      <c r="AM117" s="601"/>
      <c r="AN117" s="601"/>
      <c r="AO117" s="127"/>
      <c r="AP117" s="601"/>
      <c r="AQ117" s="601"/>
      <c r="AR117" s="73"/>
      <c r="AS117" s="46"/>
      <c r="AT117" s="73"/>
      <c r="AU117" s="601"/>
      <c r="AV117" s="601"/>
      <c r="AW117" s="601"/>
      <c r="AX117" s="606"/>
      <c r="AY117" s="606"/>
      <c r="AZ117" s="606"/>
      <c r="BA117" s="7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</row>
    <row r="118" spans="1:69" ht="13.8" thickBot="1">
      <c r="B118" s="655">
        <f t="shared" si="17"/>
        <v>97</v>
      </c>
      <c r="C118" s="374" t="str">
        <f t="shared" si="13"/>
        <v/>
      </c>
      <c r="D118" s="784" t="str">
        <f t="shared" ref="D118:D149" si="18">AA118</f>
        <v/>
      </c>
      <c r="E118" s="784" t="str">
        <f t="shared" si="14"/>
        <v/>
      </c>
      <c r="F118" s="785" t="str">
        <f t="shared" si="15"/>
        <v/>
      </c>
      <c r="G118" s="784" t="str">
        <f t="shared" si="16"/>
        <v/>
      </c>
      <c r="Y118" s="663" t="str">
        <f>IF(C118="","",('transversal subsidence profile'!$L$5*EXP(-(C118^2)/(2*'transversal subsidence profile'!$J$5^2)))*100)</f>
        <v/>
      </c>
      <c r="Z118" s="664" t="str">
        <f>IF(C118="","",(+'transversal subsidence profile'!$L$6*EXP(-((C118+$G$10)^2)/(2*'transversal subsidence profile'!$J$6^2)))*100)</f>
        <v/>
      </c>
      <c r="AA118" s="751" t="str">
        <f>IF(C118="","",IF('IN-OUT'!$F$26=0,'Damage classification-Rankin'!Z118,IF('IN-OUT'!$F$35=0,Y118,'Damage classification-Rankin'!Y118+'Damage classification-Rankin'!Z118)))</f>
        <v/>
      </c>
      <c r="AJ118" s="46"/>
      <c r="AK118" s="605"/>
      <c r="AL118" s="73"/>
      <c r="AM118" s="601"/>
      <c r="AN118" s="601"/>
      <c r="AO118" s="127"/>
      <c r="AP118" s="601"/>
      <c r="AQ118" s="601"/>
      <c r="AR118" s="73"/>
      <c r="AS118" s="46"/>
      <c r="AT118" s="73"/>
      <c r="AU118" s="601"/>
      <c r="AV118" s="601"/>
      <c r="AW118" s="601"/>
      <c r="AX118" s="606"/>
      <c r="AY118" s="606"/>
      <c r="AZ118" s="606"/>
      <c r="BA118" s="7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</row>
    <row r="119" spans="1:69" ht="13.8" thickBot="1">
      <c r="B119" s="655">
        <f t="shared" si="17"/>
        <v>98</v>
      </c>
      <c r="C119" s="374" t="str">
        <f t="shared" ref="C119:C150" si="19">IF(OR(C118=$D$8,C118=""),"",IF((C118+$C$19)&gt;$D$8,$D$8,C118+$C$19))</f>
        <v/>
      </c>
      <c r="D119" s="784" t="str">
        <f t="shared" si="18"/>
        <v/>
      </c>
      <c r="E119" s="784" t="str">
        <f t="shared" ref="E119:E150" si="20">IF(C119="","",IF(D119&gt;D118,ATAN(((D119-D118))/ABS((C119-C118)*100)),-ATAN(((D118-D119))/ABS((C119-C118)*100))))</f>
        <v/>
      </c>
      <c r="F119" s="785" t="str">
        <f t="shared" ref="F119:F150" si="21">IF(C119&lt;&gt;"",ABS(D118-D119),"")</f>
        <v/>
      </c>
      <c r="G119" s="784" t="str">
        <f t="shared" si="16"/>
        <v/>
      </c>
      <c r="Y119" s="663" t="str">
        <f>IF(C119="","",('transversal subsidence profile'!$L$5*EXP(-(C119^2)/(2*'transversal subsidence profile'!$J$5^2)))*100)</f>
        <v/>
      </c>
      <c r="Z119" s="664" t="str">
        <f>IF(C119="","",(+'transversal subsidence profile'!$L$6*EXP(-((C119+$G$10)^2)/(2*'transversal subsidence profile'!$J$6^2)))*100)</f>
        <v/>
      </c>
      <c r="AA119" s="751" t="str">
        <f>IF(C119="","",IF('IN-OUT'!$F$26=0,'Damage classification-Rankin'!Z119,IF('IN-OUT'!$F$35=0,Y119,'Damage classification-Rankin'!Y119+'Damage classification-Rankin'!Z119)))</f>
        <v/>
      </c>
      <c r="AJ119" s="46"/>
      <c r="AK119" s="605"/>
      <c r="AL119" s="73"/>
      <c r="AM119" s="601"/>
      <c r="AN119" s="601"/>
      <c r="AO119" s="127"/>
      <c r="AP119" s="601"/>
      <c r="AQ119" s="601"/>
      <c r="AR119" s="73"/>
      <c r="AS119" s="46"/>
      <c r="AT119" s="73"/>
      <c r="AU119" s="601"/>
      <c r="AV119" s="601"/>
      <c r="AW119" s="601"/>
      <c r="AX119" s="606"/>
      <c r="AY119" s="606"/>
      <c r="AZ119" s="606"/>
      <c r="BA119" s="7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</row>
    <row r="120" spans="1:69" ht="19.5" customHeight="1" thickBot="1">
      <c r="B120" s="655">
        <f t="shared" si="17"/>
        <v>99</v>
      </c>
      <c r="C120" s="374" t="str">
        <f t="shared" si="19"/>
        <v/>
      </c>
      <c r="D120" s="784" t="str">
        <f t="shared" si="18"/>
        <v/>
      </c>
      <c r="E120" s="784" t="str">
        <f t="shared" si="20"/>
        <v/>
      </c>
      <c r="F120" s="785" t="str">
        <f t="shared" si="21"/>
        <v/>
      </c>
      <c r="G120" s="784" t="str">
        <f t="shared" si="16"/>
        <v/>
      </c>
      <c r="Y120" s="663" t="str">
        <f>IF(C120="","",('transversal subsidence profile'!$L$5*EXP(-(C120^2)/(2*'transversal subsidence profile'!$J$5^2)))*100)</f>
        <v/>
      </c>
      <c r="Z120" s="664" t="str">
        <f>IF(C120="","",(+'transversal subsidence profile'!$L$6*EXP(-((C120+$G$10)^2)/(2*'transversal subsidence profile'!$J$6^2)))*100)</f>
        <v/>
      </c>
      <c r="AA120" s="751" t="str">
        <f>IF(C120="","",IF('IN-OUT'!$F$26=0,'Damage classification-Rankin'!Z120,IF('IN-OUT'!$F$35=0,Y120,'Damage classification-Rankin'!Y120+'Damage classification-Rankin'!Z120)))</f>
        <v/>
      </c>
      <c r="AJ120" s="46"/>
      <c r="AK120" s="605"/>
      <c r="AL120" s="73"/>
      <c r="AM120" s="601"/>
      <c r="AN120" s="601"/>
      <c r="AO120" s="127"/>
      <c r="AP120" s="601"/>
      <c r="AQ120" s="601"/>
      <c r="AR120" s="73"/>
      <c r="AS120" s="46"/>
      <c r="AT120" s="73"/>
      <c r="AU120" s="601"/>
      <c r="AV120" s="601"/>
      <c r="AW120" s="601"/>
      <c r="AX120" s="606"/>
      <c r="AY120" s="606"/>
      <c r="AZ120" s="606"/>
      <c r="BA120" s="7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</row>
    <row r="121" spans="1:69" ht="18.75" customHeight="1" thickBot="1">
      <c r="A121" s="67"/>
      <c r="B121" s="655">
        <f t="shared" si="17"/>
        <v>100</v>
      </c>
      <c r="C121" s="374" t="str">
        <f t="shared" si="19"/>
        <v/>
      </c>
      <c r="D121" s="784" t="str">
        <f t="shared" si="18"/>
        <v/>
      </c>
      <c r="E121" s="784" t="str">
        <f t="shared" si="20"/>
        <v/>
      </c>
      <c r="F121" s="785" t="str">
        <f t="shared" si="21"/>
        <v/>
      </c>
      <c r="G121" s="784" t="str">
        <f t="shared" si="16"/>
        <v/>
      </c>
      <c r="Y121" s="663" t="str">
        <f>IF(C121="","",('transversal subsidence profile'!$L$5*EXP(-(C121^2)/(2*'transversal subsidence profile'!$J$5^2)))*100)</f>
        <v/>
      </c>
      <c r="Z121" s="664" t="str">
        <f>IF(C121="","",(+'transversal subsidence profile'!$L$6*EXP(-((C121+$G$10)^2)/(2*'transversal subsidence profile'!$J$6^2)))*100)</f>
        <v/>
      </c>
      <c r="AA121" s="751" t="str">
        <f>IF(C121="","",IF('IN-OUT'!$F$26=0,'Damage classification-Rankin'!Z121,IF('IN-OUT'!$F$35=0,Y121,'Damage classification-Rankin'!Y121+'Damage classification-Rankin'!Z121)))</f>
        <v/>
      </c>
      <c r="AJ121" s="46"/>
      <c r="AK121" s="605"/>
      <c r="AL121" s="73"/>
      <c r="AM121" s="601"/>
      <c r="AN121" s="601"/>
      <c r="AO121" s="127"/>
      <c r="AP121" s="601"/>
      <c r="AQ121" s="601"/>
      <c r="AR121" s="73"/>
      <c r="AS121" s="46"/>
      <c r="AT121" s="73"/>
      <c r="AU121" s="601"/>
      <c r="AV121" s="601"/>
      <c r="AW121" s="601"/>
      <c r="AX121" s="606"/>
      <c r="AY121" s="606"/>
      <c r="AZ121" s="606"/>
      <c r="BA121" s="7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</row>
    <row r="122" spans="1:69" ht="13.8" thickBot="1">
      <c r="A122" s="67"/>
      <c r="B122" s="655">
        <f t="shared" si="17"/>
        <v>101</v>
      </c>
      <c r="C122" s="374" t="str">
        <f t="shared" si="19"/>
        <v/>
      </c>
      <c r="D122" s="784" t="str">
        <f t="shared" si="18"/>
        <v/>
      </c>
      <c r="E122" s="784" t="str">
        <f t="shared" si="20"/>
        <v/>
      </c>
      <c r="F122" s="785" t="str">
        <f t="shared" si="21"/>
        <v/>
      </c>
      <c r="G122" s="784" t="str">
        <f t="shared" si="16"/>
        <v/>
      </c>
      <c r="Y122" s="663" t="str">
        <f>IF(C122="","",('transversal subsidence profile'!$L$5*EXP(-(C122^2)/(2*'transversal subsidence profile'!$J$5^2)))*100)</f>
        <v/>
      </c>
      <c r="Z122" s="664" t="str">
        <f>IF(C122="","",(+'transversal subsidence profile'!$L$6*EXP(-((C122+$G$10)^2)/(2*'transversal subsidence profile'!$J$6^2)))*100)</f>
        <v/>
      </c>
      <c r="AA122" s="751" t="str">
        <f>IF(C122="","",IF('IN-OUT'!$F$26=0,'Damage classification-Rankin'!Z122,IF('IN-OUT'!$F$35=0,Y122,'Damage classification-Rankin'!Y122+'Damage classification-Rankin'!Z122)))</f>
        <v/>
      </c>
      <c r="AJ122" s="46"/>
      <c r="AK122" s="605"/>
      <c r="AL122" s="73"/>
      <c r="AM122" s="601"/>
      <c r="AN122" s="601"/>
      <c r="AO122" s="127"/>
      <c r="AP122" s="601"/>
      <c r="AQ122" s="601"/>
      <c r="AR122" s="73"/>
      <c r="AS122" s="46"/>
      <c r="AT122" s="73"/>
      <c r="AU122" s="601"/>
      <c r="AV122" s="601"/>
      <c r="AW122" s="601"/>
      <c r="AX122" s="606"/>
      <c r="AY122" s="606"/>
      <c r="AZ122" s="606"/>
      <c r="BA122" s="7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</row>
    <row r="123" spans="1:69" ht="13.8" thickBot="1">
      <c r="A123" s="67"/>
      <c r="B123" s="655">
        <f t="shared" si="17"/>
        <v>102</v>
      </c>
      <c r="C123" s="374" t="str">
        <f t="shared" si="19"/>
        <v/>
      </c>
      <c r="D123" s="784" t="str">
        <f t="shared" si="18"/>
        <v/>
      </c>
      <c r="E123" s="784" t="str">
        <f t="shared" si="20"/>
        <v/>
      </c>
      <c r="F123" s="785" t="str">
        <f t="shared" si="21"/>
        <v/>
      </c>
      <c r="G123" s="784" t="str">
        <f t="shared" si="16"/>
        <v/>
      </c>
      <c r="Y123" s="663" t="str">
        <f>IF(C123="","",('transversal subsidence profile'!$L$5*EXP(-(C123^2)/(2*'transversal subsidence profile'!$J$5^2)))*100)</f>
        <v/>
      </c>
      <c r="Z123" s="664" t="str">
        <f>IF(C123="","",(+'transversal subsidence profile'!$L$6*EXP(-((C123+$G$10)^2)/(2*'transversal subsidence profile'!$J$6^2)))*100)</f>
        <v/>
      </c>
      <c r="AA123" s="751" t="str">
        <f>IF(C123="","",IF('IN-OUT'!$F$26=0,'Damage classification-Rankin'!Z123,IF('IN-OUT'!$F$35=0,Y123,'Damage classification-Rankin'!Y123+'Damage classification-Rankin'!Z123)))</f>
        <v/>
      </c>
      <c r="AJ123" s="46"/>
      <c r="AK123" s="605"/>
      <c r="AL123" s="73"/>
      <c r="AM123" s="601"/>
      <c r="AN123" s="601"/>
      <c r="AO123" s="127"/>
      <c r="AP123" s="601"/>
      <c r="AQ123" s="601"/>
      <c r="AR123" s="73"/>
      <c r="AS123" s="46"/>
      <c r="AT123" s="73"/>
      <c r="AU123" s="601"/>
      <c r="AV123" s="601"/>
      <c r="AW123" s="601"/>
      <c r="AX123" s="606"/>
      <c r="AY123" s="606"/>
      <c r="AZ123" s="606"/>
      <c r="BA123" s="7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</row>
    <row r="124" spans="1:69" ht="12.75" customHeight="1" thickBot="1">
      <c r="A124" s="67"/>
      <c r="B124" s="655">
        <f t="shared" si="17"/>
        <v>103</v>
      </c>
      <c r="C124" s="374" t="str">
        <f t="shared" si="19"/>
        <v/>
      </c>
      <c r="D124" s="784" t="str">
        <f t="shared" si="18"/>
        <v/>
      </c>
      <c r="E124" s="784" t="str">
        <f t="shared" si="20"/>
        <v/>
      </c>
      <c r="F124" s="785" t="str">
        <f t="shared" si="21"/>
        <v/>
      </c>
      <c r="G124" s="784" t="str">
        <f t="shared" si="16"/>
        <v/>
      </c>
      <c r="Y124" s="663" t="str">
        <f>IF(C124="","",('transversal subsidence profile'!$L$5*EXP(-(C124^2)/(2*'transversal subsidence profile'!$J$5^2)))*100)</f>
        <v/>
      </c>
      <c r="Z124" s="664" t="str">
        <f>IF(C124="","",(+'transversal subsidence profile'!$L$6*EXP(-((C124+$G$10)^2)/(2*'transversal subsidence profile'!$J$6^2)))*100)</f>
        <v/>
      </c>
      <c r="AA124" s="751" t="str">
        <f>IF(C124="","",IF('IN-OUT'!$F$26=0,'Damage classification-Rankin'!Z124,IF('IN-OUT'!$F$35=0,Y124,'Damage classification-Rankin'!Y124+'Damage classification-Rankin'!Z124)))</f>
        <v/>
      </c>
      <c r="AJ124" s="46"/>
      <c r="AK124" s="605"/>
      <c r="AL124" s="73"/>
      <c r="AM124" s="601"/>
      <c r="AN124" s="601"/>
      <c r="AO124" s="127"/>
      <c r="AP124" s="601"/>
      <c r="AQ124" s="601"/>
      <c r="AR124" s="73"/>
      <c r="AS124" s="46"/>
      <c r="AT124" s="73"/>
      <c r="AU124" s="601"/>
      <c r="AV124" s="601"/>
      <c r="AW124" s="601"/>
      <c r="AX124" s="606"/>
      <c r="AY124" s="606"/>
      <c r="AZ124" s="606"/>
      <c r="BA124" s="7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</row>
    <row r="125" spans="1:69" ht="13.8" thickBot="1">
      <c r="A125" s="67"/>
      <c r="B125" s="655">
        <f t="shared" si="17"/>
        <v>104</v>
      </c>
      <c r="C125" s="374" t="str">
        <f t="shared" si="19"/>
        <v/>
      </c>
      <c r="D125" s="784" t="str">
        <f t="shared" si="18"/>
        <v/>
      </c>
      <c r="E125" s="784" t="str">
        <f t="shared" si="20"/>
        <v/>
      </c>
      <c r="F125" s="785" t="str">
        <f t="shared" si="21"/>
        <v/>
      </c>
      <c r="G125" s="784" t="str">
        <f t="shared" si="16"/>
        <v/>
      </c>
      <c r="Y125" s="663" t="str">
        <f>IF(C125="","",('transversal subsidence profile'!$L$5*EXP(-(C125^2)/(2*'transversal subsidence profile'!$J$5^2)))*100)</f>
        <v/>
      </c>
      <c r="Z125" s="664" t="str">
        <f>IF(C125="","",(+'transversal subsidence profile'!$L$6*EXP(-((C125+$G$10)^2)/(2*'transversal subsidence profile'!$J$6^2)))*100)</f>
        <v/>
      </c>
      <c r="AA125" s="751" t="str">
        <f>IF(C125="","",IF('IN-OUT'!$F$26=0,'Damage classification-Rankin'!Z125,IF('IN-OUT'!$F$35=0,Y125,'Damage classification-Rankin'!Y125+'Damage classification-Rankin'!Z125)))</f>
        <v/>
      </c>
      <c r="AJ125" s="46"/>
      <c r="AK125" s="605"/>
      <c r="AL125" s="73"/>
      <c r="AM125" s="601"/>
      <c r="AN125" s="601"/>
      <c r="AO125" s="127"/>
      <c r="AP125" s="601"/>
      <c r="AQ125" s="601"/>
      <c r="AR125" s="73"/>
      <c r="AS125" s="46"/>
      <c r="AT125" s="73"/>
      <c r="AU125" s="601"/>
      <c r="AV125" s="601"/>
      <c r="AW125" s="601"/>
      <c r="AX125" s="606"/>
      <c r="AY125" s="606"/>
      <c r="AZ125" s="606"/>
      <c r="BA125" s="7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</row>
    <row r="126" spans="1:69" ht="13.8" thickBot="1">
      <c r="A126" s="67"/>
      <c r="B126" s="655">
        <f t="shared" si="17"/>
        <v>105</v>
      </c>
      <c r="C126" s="374" t="str">
        <f t="shared" si="19"/>
        <v/>
      </c>
      <c r="D126" s="784" t="str">
        <f t="shared" si="18"/>
        <v/>
      </c>
      <c r="E126" s="784" t="str">
        <f t="shared" si="20"/>
        <v/>
      </c>
      <c r="F126" s="785" t="str">
        <f t="shared" si="21"/>
        <v/>
      </c>
      <c r="G126" s="784" t="str">
        <f t="shared" si="16"/>
        <v/>
      </c>
      <c r="Y126" s="663" t="str">
        <f>IF(C126="","",('transversal subsidence profile'!$L$5*EXP(-(C126^2)/(2*'transversal subsidence profile'!$J$5^2)))*100)</f>
        <v/>
      </c>
      <c r="Z126" s="664" t="str">
        <f>IF(C126="","",(+'transversal subsidence profile'!$L$6*EXP(-((C126+$G$10)^2)/(2*'transversal subsidence profile'!$J$6^2)))*100)</f>
        <v/>
      </c>
      <c r="AA126" s="751" t="str">
        <f>IF(C126="","",IF('IN-OUT'!$F$26=0,'Damage classification-Rankin'!Z126,IF('IN-OUT'!$F$35=0,Y126,'Damage classification-Rankin'!Y126+'Damage classification-Rankin'!Z126)))</f>
        <v/>
      </c>
      <c r="AJ126" s="46"/>
      <c r="AK126" s="605"/>
      <c r="AL126" s="73"/>
      <c r="AM126" s="601"/>
      <c r="AN126" s="601"/>
      <c r="AO126" s="127"/>
      <c r="AP126" s="601"/>
      <c r="AQ126" s="601"/>
      <c r="AR126" s="73"/>
      <c r="AS126" s="46"/>
      <c r="AT126" s="73"/>
      <c r="AU126" s="601"/>
      <c r="AV126" s="601"/>
      <c r="AW126" s="601"/>
      <c r="AX126" s="606"/>
      <c r="AY126" s="606"/>
      <c r="AZ126" s="606"/>
      <c r="BA126" s="7"/>
      <c r="BB126" s="7"/>
      <c r="BC126" s="7"/>
      <c r="BD126" s="7"/>
      <c r="BE126" s="7"/>
      <c r="BF126" s="7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</row>
    <row r="127" spans="1:69" ht="13.8" thickBot="1">
      <c r="A127" s="67"/>
      <c r="B127" s="655">
        <f t="shared" si="17"/>
        <v>106</v>
      </c>
      <c r="C127" s="374" t="str">
        <f t="shared" si="19"/>
        <v/>
      </c>
      <c r="D127" s="784" t="str">
        <f t="shared" si="18"/>
        <v/>
      </c>
      <c r="E127" s="784" t="str">
        <f t="shared" si="20"/>
        <v/>
      </c>
      <c r="F127" s="785" t="str">
        <f t="shared" si="21"/>
        <v/>
      </c>
      <c r="G127" s="784" t="str">
        <f t="shared" si="16"/>
        <v/>
      </c>
      <c r="Y127" s="663" t="str">
        <f>IF(C127="","",('transversal subsidence profile'!$L$5*EXP(-(C127^2)/(2*'transversal subsidence profile'!$J$5^2)))*100)</f>
        <v/>
      </c>
      <c r="Z127" s="664" t="str">
        <f>IF(C127="","",(+'transversal subsidence profile'!$L$6*EXP(-((C127+$G$10)^2)/(2*'transversal subsidence profile'!$J$6^2)))*100)</f>
        <v/>
      </c>
      <c r="AA127" s="751" t="str">
        <f>IF(C127="","",IF('IN-OUT'!$F$26=0,'Damage classification-Rankin'!Z127,IF('IN-OUT'!$F$35=0,Y127,'Damage classification-Rankin'!Y127+'Damage classification-Rankin'!Z127)))</f>
        <v/>
      </c>
      <c r="AJ127" s="46"/>
      <c r="AK127" s="605"/>
      <c r="AL127" s="73"/>
      <c r="AM127" s="601"/>
      <c r="AN127" s="601"/>
      <c r="AO127" s="127"/>
      <c r="AP127" s="601"/>
      <c r="AQ127" s="601"/>
      <c r="AR127" s="73"/>
      <c r="AS127" s="46"/>
      <c r="AT127" s="73"/>
      <c r="AU127" s="601"/>
      <c r="AV127" s="601"/>
      <c r="AW127" s="601"/>
      <c r="AX127" s="606"/>
      <c r="AY127" s="606"/>
      <c r="AZ127" s="606"/>
      <c r="BA127" s="7"/>
      <c r="BB127" s="7"/>
      <c r="BC127" s="7"/>
      <c r="BD127" s="7"/>
      <c r="BE127" s="7"/>
      <c r="BF127" s="7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</row>
    <row r="128" spans="1:69" ht="13.8" thickBot="1">
      <c r="A128" s="67"/>
      <c r="B128" s="655">
        <f t="shared" si="17"/>
        <v>107</v>
      </c>
      <c r="C128" s="374" t="str">
        <f t="shared" si="19"/>
        <v/>
      </c>
      <c r="D128" s="784" t="str">
        <f t="shared" si="18"/>
        <v/>
      </c>
      <c r="E128" s="784" t="str">
        <f t="shared" si="20"/>
        <v/>
      </c>
      <c r="F128" s="785" t="str">
        <f t="shared" si="21"/>
        <v/>
      </c>
      <c r="G128" s="784" t="str">
        <f t="shared" si="16"/>
        <v/>
      </c>
      <c r="L128" s="67"/>
      <c r="M128" s="67"/>
      <c r="N128" s="67"/>
      <c r="O128" s="67"/>
      <c r="P128" s="67"/>
      <c r="Q128" s="67"/>
      <c r="R128" s="67"/>
      <c r="S128" s="67"/>
      <c r="T128" s="67"/>
      <c r="U128" s="641"/>
      <c r="V128" s="641"/>
      <c r="W128" s="67"/>
      <c r="X128" s="67"/>
      <c r="Y128" s="663" t="str">
        <f>IF(C128="","",('transversal subsidence profile'!$L$5*EXP(-(C128^2)/(2*'transversal subsidence profile'!$J$5^2)))*100)</f>
        <v/>
      </c>
      <c r="Z128" s="664" t="str">
        <f>IF(C128="","",(+'transversal subsidence profile'!$L$6*EXP(-((C128+$G$10)^2)/(2*'transversal subsidence profile'!$J$6^2)))*100)</f>
        <v/>
      </c>
      <c r="AA128" s="751" t="str">
        <f>IF(C128="","",IF('IN-OUT'!$F$26=0,'Damage classification-Rankin'!Z128,IF('IN-OUT'!$F$35=0,Y128,'Damage classification-Rankin'!Y128+'Damage classification-Rankin'!Z128)))</f>
        <v/>
      </c>
      <c r="AB128" s="67"/>
      <c r="AC128" s="67"/>
      <c r="AJ128" s="46"/>
      <c r="AK128" s="605"/>
      <c r="AL128" s="73"/>
      <c r="AM128" s="601"/>
      <c r="AN128" s="601"/>
      <c r="AO128" s="127"/>
      <c r="AP128" s="601"/>
      <c r="AQ128" s="601"/>
      <c r="AR128" s="73"/>
      <c r="AS128" s="46"/>
      <c r="AT128" s="73"/>
      <c r="AU128" s="601"/>
      <c r="AV128" s="601"/>
      <c r="AW128" s="601"/>
      <c r="AX128" s="606"/>
      <c r="AY128" s="606"/>
      <c r="AZ128" s="606"/>
      <c r="BA128" s="7"/>
      <c r="BB128" s="7"/>
      <c r="BC128" s="7"/>
      <c r="BD128" s="7"/>
      <c r="BE128" s="7"/>
      <c r="BF128" s="7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</row>
    <row r="129" spans="1:69" ht="13.8" thickBot="1">
      <c r="A129" s="67"/>
      <c r="B129" s="655">
        <f t="shared" si="17"/>
        <v>108</v>
      </c>
      <c r="C129" s="374" t="str">
        <f t="shared" si="19"/>
        <v/>
      </c>
      <c r="D129" s="784" t="str">
        <f t="shared" si="18"/>
        <v/>
      </c>
      <c r="E129" s="784" t="str">
        <f t="shared" si="20"/>
        <v/>
      </c>
      <c r="F129" s="785" t="str">
        <f t="shared" si="21"/>
        <v/>
      </c>
      <c r="G129" s="784" t="str">
        <f t="shared" si="16"/>
        <v/>
      </c>
      <c r="L129" s="67"/>
      <c r="M129" s="67"/>
      <c r="N129" s="67"/>
      <c r="O129" s="67"/>
      <c r="P129" s="67"/>
      <c r="Q129" s="67"/>
      <c r="R129" s="67"/>
      <c r="S129" s="67"/>
      <c r="T129" s="67"/>
      <c r="U129" s="641"/>
      <c r="V129" s="641"/>
      <c r="W129" s="67"/>
      <c r="X129" s="67"/>
      <c r="Y129" s="663" t="str">
        <f>IF(C129="","",('transversal subsidence profile'!$L$5*EXP(-(C129^2)/(2*'transversal subsidence profile'!$J$5^2)))*100)</f>
        <v/>
      </c>
      <c r="Z129" s="664" t="str">
        <f>IF(C129="","",(+'transversal subsidence profile'!$L$6*EXP(-((C129+$G$10)^2)/(2*'transversal subsidence profile'!$J$6^2)))*100)</f>
        <v/>
      </c>
      <c r="AA129" s="751" t="str">
        <f>IF(C129="","",IF('IN-OUT'!$F$26=0,'Damage classification-Rankin'!Z129,IF('IN-OUT'!$F$35=0,Y129,'Damage classification-Rankin'!Y129+'Damage classification-Rankin'!Z129)))</f>
        <v/>
      </c>
      <c r="AB129" s="67"/>
      <c r="AC129" s="67"/>
      <c r="AJ129" s="46"/>
      <c r="AK129" s="605"/>
      <c r="AL129" s="73"/>
      <c r="AM129" s="601"/>
      <c r="AN129" s="601"/>
      <c r="AO129" s="127"/>
      <c r="AP129" s="601"/>
      <c r="AQ129" s="601"/>
      <c r="AR129" s="73"/>
      <c r="AS129" s="46"/>
      <c r="AT129" s="73"/>
      <c r="AU129" s="601"/>
      <c r="AV129" s="601"/>
      <c r="AW129" s="601"/>
      <c r="AX129" s="606"/>
      <c r="AY129" s="606"/>
      <c r="AZ129" s="606"/>
      <c r="BA129" s="7"/>
      <c r="BB129" s="7"/>
      <c r="BC129" s="7"/>
      <c r="BD129" s="7"/>
      <c r="BE129" s="7"/>
      <c r="BF129" s="7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</row>
    <row r="130" spans="1:69" ht="13.8" thickBot="1">
      <c r="A130" s="67"/>
      <c r="B130" s="655">
        <f t="shared" si="17"/>
        <v>109</v>
      </c>
      <c r="C130" s="374" t="str">
        <f t="shared" si="19"/>
        <v/>
      </c>
      <c r="D130" s="784" t="str">
        <f t="shared" si="18"/>
        <v/>
      </c>
      <c r="E130" s="784" t="str">
        <f t="shared" si="20"/>
        <v/>
      </c>
      <c r="F130" s="785" t="str">
        <f t="shared" si="21"/>
        <v/>
      </c>
      <c r="G130" s="784" t="str">
        <f t="shared" si="16"/>
        <v/>
      </c>
      <c r="L130" s="67"/>
      <c r="M130" s="67"/>
      <c r="N130" s="67"/>
      <c r="O130" s="67"/>
      <c r="P130" s="67"/>
      <c r="Q130" s="67"/>
      <c r="R130" s="67"/>
      <c r="S130" s="67"/>
      <c r="T130" s="67"/>
      <c r="U130" s="641"/>
      <c r="V130" s="641"/>
      <c r="W130" s="67"/>
      <c r="X130" s="67"/>
      <c r="Y130" s="663" t="str">
        <f>IF(C130="","",('transversal subsidence profile'!$L$5*EXP(-(C130^2)/(2*'transversal subsidence profile'!$J$5^2)))*100)</f>
        <v/>
      </c>
      <c r="Z130" s="664" t="str">
        <f>IF(C130="","",(+'transversal subsidence profile'!$L$6*EXP(-((C130+$G$10)^2)/(2*'transversal subsidence profile'!$J$6^2)))*100)</f>
        <v/>
      </c>
      <c r="AA130" s="751" t="str">
        <f>IF(C130="","",IF('IN-OUT'!$F$26=0,'Damage classification-Rankin'!Z130,IF('IN-OUT'!$F$35=0,Y130,'Damage classification-Rankin'!Y130+'Damage classification-Rankin'!Z130)))</f>
        <v/>
      </c>
      <c r="AB130" s="67"/>
      <c r="AC130" s="67"/>
      <c r="AJ130" s="46"/>
      <c r="AK130" s="605"/>
      <c r="AL130" s="73"/>
      <c r="AM130" s="601"/>
      <c r="AN130" s="601"/>
      <c r="AO130" s="127"/>
      <c r="AP130" s="601"/>
      <c r="AQ130" s="601"/>
      <c r="AR130" s="73"/>
      <c r="AS130" s="46"/>
      <c r="AT130" s="73"/>
      <c r="AU130" s="601"/>
      <c r="AV130" s="601"/>
      <c r="AW130" s="601"/>
      <c r="AX130" s="606"/>
      <c r="AY130" s="606"/>
      <c r="AZ130" s="606"/>
      <c r="BA130" s="7"/>
      <c r="BB130" s="7"/>
      <c r="BC130" s="7"/>
      <c r="BD130" s="7"/>
      <c r="BE130" s="7"/>
      <c r="BF130" s="7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</row>
    <row r="131" spans="1:69" ht="13.8" thickBot="1">
      <c r="A131" s="67"/>
      <c r="B131" s="655">
        <f t="shared" si="17"/>
        <v>110</v>
      </c>
      <c r="C131" s="374" t="str">
        <f t="shared" si="19"/>
        <v/>
      </c>
      <c r="D131" s="784" t="str">
        <f t="shared" si="18"/>
        <v/>
      </c>
      <c r="E131" s="784" t="str">
        <f t="shared" si="20"/>
        <v/>
      </c>
      <c r="F131" s="785" t="str">
        <f t="shared" si="21"/>
        <v/>
      </c>
      <c r="G131" s="784" t="str">
        <f t="shared" si="16"/>
        <v/>
      </c>
      <c r="L131" s="67"/>
      <c r="M131" s="67"/>
      <c r="N131" s="67"/>
      <c r="O131" s="67"/>
      <c r="P131" s="67"/>
      <c r="Q131" s="67"/>
      <c r="R131" s="67"/>
      <c r="S131" s="67"/>
      <c r="T131" s="67"/>
      <c r="U131" s="641"/>
      <c r="V131" s="641"/>
      <c r="W131" s="67"/>
      <c r="X131" s="67"/>
      <c r="Y131" s="663" t="str">
        <f>IF(C131="","",('transversal subsidence profile'!$L$5*EXP(-(C131^2)/(2*'transversal subsidence profile'!$J$5^2)))*100)</f>
        <v/>
      </c>
      <c r="Z131" s="664" t="str">
        <f>IF(C131="","",(+'transversal subsidence profile'!$L$6*EXP(-((C131+$G$10)^2)/(2*'transversal subsidence profile'!$J$6^2)))*100)</f>
        <v/>
      </c>
      <c r="AA131" s="751" t="str">
        <f>IF(C131="","",IF('IN-OUT'!$F$26=0,'Damage classification-Rankin'!Z131,IF('IN-OUT'!$F$35=0,Y131,'Damage classification-Rankin'!Y131+'Damage classification-Rankin'!Z131)))</f>
        <v/>
      </c>
      <c r="AB131" s="67"/>
      <c r="AC131" s="67"/>
      <c r="AJ131" s="46"/>
      <c r="AK131" s="605"/>
      <c r="AL131" s="73"/>
      <c r="AM131" s="601"/>
      <c r="AN131" s="601"/>
      <c r="AO131" s="127"/>
      <c r="AP131" s="601"/>
      <c r="AQ131" s="601"/>
      <c r="AR131" s="73"/>
      <c r="AS131" s="46"/>
      <c r="AT131" s="73"/>
      <c r="AU131" s="601"/>
      <c r="AV131" s="601"/>
      <c r="AW131" s="601"/>
      <c r="AX131" s="606"/>
      <c r="AY131" s="606"/>
      <c r="AZ131" s="606"/>
      <c r="BA131" s="7"/>
      <c r="BB131" s="7"/>
      <c r="BC131" s="7"/>
      <c r="BD131" s="7"/>
      <c r="BE131" s="7"/>
      <c r="BF131" s="7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</row>
    <row r="132" spans="1:69" ht="13.8" thickBot="1">
      <c r="A132" s="67"/>
      <c r="B132" s="655">
        <f t="shared" si="17"/>
        <v>111</v>
      </c>
      <c r="C132" s="374" t="str">
        <f t="shared" si="19"/>
        <v/>
      </c>
      <c r="D132" s="784" t="str">
        <f t="shared" si="18"/>
        <v/>
      </c>
      <c r="E132" s="784" t="str">
        <f t="shared" si="20"/>
        <v/>
      </c>
      <c r="F132" s="785" t="str">
        <f t="shared" si="21"/>
        <v/>
      </c>
      <c r="G132" s="784" t="str">
        <f t="shared" si="16"/>
        <v/>
      </c>
      <c r="L132" s="67"/>
      <c r="M132" s="67"/>
      <c r="N132" s="67"/>
      <c r="O132" s="67"/>
      <c r="P132" s="67"/>
      <c r="Q132" s="67"/>
      <c r="R132" s="67"/>
      <c r="S132" s="67"/>
      <c r="T132" s="67"/>
      <c r="U132" s="641"/>
      <c r="V132" s="641"/>
      <c r="W132" s="67"/>
      <c r="X132" s="67"/>
      <c r="Y132" s="663" t="str">
        <f>IF(C132="","",('transversal subsidence profile'!$L$5*EXP(-(C132^2)/(2*'transversal subsidence profile'!$J$5^2)))*100)</f>
        <v/>
      </c>
      <c r="Z132" s="664" t="str">
        <f>IF(C132="","",(+'transversal subsidence profile'!$L$6*EXP(-((C132+$G$10)^2)/(2*'transversal subsidence profile'!$J$6^2)))*100)</f>
        <v/>
      </c>
      <c r="AA132" s="751" t="str">
        <f>IF(C132="","",IF('IN-OUT'!$F$26=0,'Damage classification-Rankin'!Z132,IF('IN-OUT'!$F$35=0,Y132,'Damage classification-Rankin'!Y132+'Damage classification-Rankin'!Z132)))</f>
        <v/>
      </c>
      <c r="AB132" s="67"/>
      <c r="AC132" s="67"/>
      <c r="AJ132" s="46"/>
      <c r="AK132" s="605"/>
      <c r="AL132" s="73"/>
      <c r="AM132" s="601"/>
      <c r="AN132" s="601"/>
      <c r="AO132" s="127"/>
      <c r="AP132" s="601"/>
      <c r="AQ132" s="601"/>
      <c r="AR132" s="73"/>
      <c r="AS132" s="46"/>
      <c r="AT132" s="73"/>
      <c r="AU132" s="601"/>
      <c r="AV132" s="601"/>
      <c r="AW132" s="601"/>
      <c r="AX132" s="606"/>
      <c r="AY132" s="606"/>
      <c r="AZ132" s="606"/>
      <c r="BA132" s="7"/>
      <c r="BB132" s="7"/>
      <c r="BC132" s="7"/>
      <c r="BD132" s="7"/>
      <c r="BE132" s="7"/>
      <c r="BF132" s="7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</row>
    <row r="133" spans="1:69" ht="13.8" thickBot="1">
      <c r="A133" s="67"/>
      <c r="B133" s="655">
        <f t="shared" ref="B133:B161" si="22">B132+1</f>
        <v>112</v>
      </c>
      <c r="C133" s="374" t="str">
        <f t="shared" si="19"/>
        <v/>
      </c>
      <c r="D133" s="784" t="str">
        <f t="shared" si="18"/>
        <v/>
      </c>
      <c r="E133" s="784" t="str">
        <f t="shared" si="20"/>
        <v/>
      </c>
      <c r="F133" s="785" t="str">
        <f t="shared" si="21"/>
        <v/>
      </c>
      <c r="G133" s="784" t="str">
        <f t="shared" si="16"/>
        <v/>
      </c>
      <c r="L133" s="67"/>
      <c r="M133" s="67"/>
      <c r="N133" s="67"/>
      <c r="O133" s="67"/>
      <c r="P133" s="67"/>
      <c r="Q133" s="67"/>
      <c r="R133" s="67"/>
      <c r="S133" s="67"/>
      <c r="T133" s="67"/>
      <c r="U133" s="641"/>
      <c r="V133" s="641"/>
      <c r="W133" s="67"/>
      <c r="X133" s="67"/>
      <c r="Y133" s="663" t="str">
        <f>IF(C133="","",('transversal subsidence profile'!$L$5*EXP(-(C133^2)/(2*'transversal subsidence profile'!$J$5^2)))*100)</f>
        <v/>
      </c>
      <c r="Z133" s="664" t="str">
        <f>IF(C133="","",(+'transversal subsidence profile'!$L$6*EXP(-((C133+$G$10)^2)/(2*'transversal subsidence profile'!$J$6^2)))*100)</f>
        <v/>
      </c>
      <c r="AA133" s="751" t="str">
        <f>IF(C133="","",IF('IN-OUT'!$F$26=0,'Damage classification-Rankin'!Z133,IF('IN-OUT'!$F$35=0,Y133,'Damage classification-Rankin'!Y133+'Damage classification-Rankin'!Z133)))</f>
        <v/>
      </c>
      <c r="AB133" s="67"/>
      <c r="AC133" s="67"/>
      <c r="AJ133" s="46"/>
      <c r="AK133" s="605"/>
      <c r="AL133" s="73"/>
      <c r="AM133" s="601"/>
      <c r="AN133" s="601"/>
      <c r="AO133" s="127"/>
      <c r="AP133" s="601"/>
      <c r="AQ133" s="601"/>
      <c r="AR133" s="73"/>
      <c r="AS133" s="46"/>
      <c r="AT133" s="73"/>
      <c r="AU133" s="601"/>
      <c r="AV133" s="601"/>
      <c r="AW133" s="601"/>
      <c r="AX133" s="606"/>
      <c r="AY133" s="606"/>
      <c r="AZ133" s="606"/>
      <c r="BA133" s="7"/>
      <c r="BB133" s="7"/>
      <c r="BC133" s="7"/>
      <c r="BD133" s="7"/>
      <c r="BE133" s="7"/>
      <c r="BF133" s="7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</row>
    <row r="134" spans="1:69" ht="13.8" thickBot="1">
      <c r="A134" s="67"/>
      <c r="B134" s="655">
        <f t="shared" si="22"/>
        <v>113</v>
      </c>
      <c r="C134" s="374" t="str">
        <f t="shared" si="19"/>
        <v/>
      </c>
      <c r="D134" s="784" t="str">
        <f t="shared" si="18"/>
        <v/>
      </c>
      <c r="E134" s="784" t="str">
        <f t="shared" si="20"/>
        <v/>
      </c>
      <c r="F134" s="785" t="str">
        <f t="shared" si="21"/>
        <v/>
      </c>
      <c r="G134" s="784" t="str">
        <f t="shared" si="16"/>
        <v/>
      </c>
      <c r="L134" s="67"/>
      <c r="M134" s="67"/>
      <c r="N134" s="67"/>
      <c r="O134" s="67"/>
      <c r="P134" s="67"/>
      <c r="Q134" s="67"/>
      <c r="R134" s="67"/>
      <c r="S134" s="67"/>
      <c r="T134" s="67"/>
      <c r="U134" s="641"/>
      <c r="V134" s="641"/>
      <c r="W134" s="67"/>
      <c r="X134" s="67"/>
      <c r="Y134" s="663" t="str">
        <f>IF(C134="","",('transversal subsidence profile'!$L$5*EXP(-(C134^2)/(2*'transversal subsidence profile'!$J$5^2)))*100)</f>
        <v/>
      </c>
      <c r="Z134" s="664" t="str">
        <f>IF(C134="","",(+'transversal subsidence profile'!$L$6*EXP(-((C134+$G$10)^2)/(2*'transversal subsidence profile'!$J$6^2)))*100)</f>
        <v/>
      </c>
      <c r="AA134" s="751" t="str">
        <f>IF(C134="","",IF('IN-OUT'!$F$26=0,'Damage classification-Rankin'!Z134,IF('IN-OUT'!$F$35=0,Y134,'Damage classification-Rankin'!Y134+'Damage classification-Rankin'!Z134)))</f>
        <v/>
      </c>
      <c r="AB134" s="67"/>
      <c r="AC134" s="67"/>
      <c r="AJ134" s="46"/>
      <c r="AK134" s="605"/>
      <c r="AL134" s="73"/>
      <c r="AM134" s="601"/>
      <c r="AN134" s="601"/>
      <c r="AO134" s="127"/>
      <c r="AP134" s="601"/>
      <c r="AQ134" s="601"/>
      <c r="AR134" s="73"/>
      <c r="AS134" s="46"/>
      <c r="AT134" s="73"/>
      <c r="AU134" s="601"/>
      <c r="AV134" s="601"/>
      <c r="AW134" s="601"/>
      <c r="AX134" s="606"/>
      <c r="AY134" s="606"/>
      <c r="AZ134" s="606"/>
      <c r="BA134" s="7"/>
      <c r="BB134" s="7"/>
      <c r="BC134" s="7"/>
      <c r="BD134" s="7"/>
      <c r="BE134" s="7"/>
      <c r="BF134" s="7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</row>
    <row r="135" spans="1:69" ht="13.8" thickBot="1">
      <c r="A135" s="67"/>
      <c r="B135" s="655">
        <f t="shared" si="22"/>
        <v>114</v>
      </c>
      <c r="C135" s="374" t="str">
        <f t="shared" si="19"/>
        <v/>
      </c>
      <c r="D135" s="784" t="str">
        <f t="shared" si="18"/>
        <v/>
      </c>
      <c r="E135" s="784" t="str">
        <f t="shared" si="20"/>
        <v/>
      </c>
      <c r="F135" s="785" t="str">
        <f t="shared" si="21"/>
        <v/>
      </c>
      <c r="G135" s="784" t="str">
        <f t="shared" si="16"/>
        <v/>
      </c>
      <c r="L135" s="67"/>
      <c r="M135" s="67"/>
      <c r="N135" s="67"/>
      <c r="O135" s="67"/>
      <c r="P135" s="67"/>
      <c r="Q135" s="67"/>
      <c r="R135" s="67"/>
      <c r="S135" s="67"/>
      <c r="T135" s="67"/>
      <c r="U135" s="641"/>
      <c r="V135" s="641"/>
      <c r="W135" s="67"/>
      <c r="X135" s="67"/>
      <c r="Y135" s="663" t="str">
        <f>IF(C135="","",('transversal subsidence profile'!$L$5*EXP(-(C135^2)/(2*'transversal subsidence profile'!$J$5^2)))*100)</f>
        <v/>
      </c>
      <c r="Z135" s="664" t="str">
        <f>IF(C135="","",(+'transversal subsidence profile'!$L$6*EXP(-((C135+$G$10)^2)/(2*'transversal subsidence profile'!$J$6^2)))*100)</f>
        <v/>
      </c>
      <c r="AA135" s="751" t="str">
        <f>IF(C135="","",IF('IN-OUT'!$F$26=0,'Damage classification-Rankin'!Z135,IF('IN-OUT'!$F$35=0,Y135,'Damage classification-Rankin'!Y135+'Damage classification-Rankin'!Z135)))</f>
        <v/>
      </c>
      <c r="AB135" s="67"/>
      <c r="AC135" s="67"/>
      <c r="AJ135" s="46"/>
      <c r="AK135" s="605"/>
      <c r="AL135" s="73"/>
      <c r="AM135" s="601"/>
      <c r="AN135" s="601"/>
      <c r="AO135" s="127"/>
      <c r="AP135" s="601"/>
      <c r="AQ135" s="601"/>
      <c r="AR135" s="73"/>
      <c r="AS135" s="46"/>
      <c r="AT135" s="73"/>
      <c r="AU135" s="601"/>
      <c r="AV135" s="601"/>
      <c r="AW135" s="601"/>
      <c r="AX135" s="606"/>
      <c r="AY135" s="606"/>
      <c r="AZ135" s="606"/>
      <c r="BA135" s="7"/>
      <c r="BB135" s="7"/>
      <c r="BC135" s="7"/>
      <c r="BD135" s="7"/>
      <c r="BE135" s="7"/>
      <c r="BF135" s="7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</row>
    <row r="136" spans="1:69" ht="13.8" thickBot="1">
      <c r="A136" s="67"/>
      <c r="B136" s="655">
        <f t="shared" si="22"/>
        <v>115</v>
      </c>
      <c r="C136" s="374" t="str">
        <f t="shared" si="19"/>
        <v/>
      </c>
      <c r="D136" s="784" t="str">
        <f t="shared" si="18"/>
        <v/>
      </c>
      <c r="E136" s="784" t="str">
        <f t="shared" si="20"/>
        <v/>
      </c>
      <c r="F136" s="785" t="str">
        <f t="shared" si="21"/>
        <v/>
      </c>
      <c r="G136" s="784" t="str">
        <f t="shared" si="16"/>
        <v/>
      </c>
      <c r="L136" s="67"/>
      <c r="M136" s="67"/>
      <c r="N136" s="67"/>
      <c r="O136" s="67"/>
      <c r="P136" s="67"/>
      <c r="Q136" s="67"/>
      <c r="R136" s="67"/>
      <c r="S136" s="67"/>
      <c r="T136" s="67"/>
      <c r="U136" s="641"/>
      <c r="V136" s="643"/>
      <c r="W136" s="593"/>
      <c r="X136" s="67"/>
      <c r="Y136" s="663" t="str">
        <f>IF(C136="","",('transversal subsidence profile'!$L$5*EXP(-(C136^2)/(2*'transversal subsidence profile'!$J$5^2)))*100)</f>
        <v/>
      </c>
      <c r="Z136" s="664" t="str">
        <f>IF(C136="","",(+'transversal subsidence profile'!$L$6*EXP(-((C136+$G$10)^2)/(2*'transversal subsidence profile'!$J$6^2)))*100)</f>
        <v/>
      </c>
      <c r="AA136" s="751" t="str">
        <f>IF(C136="","",IF('IN-OUT'!$F$26=0,'Damage classification-Rankin'!Z136,IF('IN-OUT'!$F$35=0,Y136,'Damage classification-Rankin'!Y136+'Damage classification-Rankin'!Z136)))</f>
        <v/>
      </c>
      <c r="AB136" s="67"/>
      <c r="AC136" s="67"/>
      <c r="AJ136" s="67"/>
      <c r="AK136" s="67"/>
      <c r="AL136" s="67"/>
      <c r="AM136" s="67"/>
      <c r="AN136" s="67"/>
      <c r="AO136" s="67"/>
      <c r="AP136" s="67"/>
      <c r="AQ136" s="67"/>
      <c r="AR136" s="67"/>
      <c r="AS136" s="67"/>
      <c r="AT136" s="67"/>
      <c r="AU136" s="67"/>
      <c r="AV136" s="67"/>
      <c r="AW136" s="46"/>
      <c r="AX136" s="605"/>
      <c r="AY136" s="73"/>
      <c r="AZ136" s="601"/>
      <c r="BA136" s="601"/>
      <c r="BB136" s="127"/>
      <c r="BC136" s="601"/>
      <c r="BD136" s="601"/>
      <c r="BE136" s="73"/>
      <c r="BF136" s="46"/>
      <c r="BG136" s="73"/>
      <c r="BH136" s="601"/>
      <c r="BI136" s="601"/>
      <c r="BJ136" s="601"/>
      <c r="BK136" s="606"/>
      <c r="BL136" s="606"/>
      <c r="BM136" s="606"/>
      <c r="BN136" s="7"/>
      <c r="BO136" s="7"/>
      <c r="BP136" s="7"/>
      <c r="BQ136" s="7"/>
    </row>
    <row r="137" spans="1:69" ht="13.8" thickBot="1">
      <c r="A137" s="67"/>
      <c r="B137" s="655">
        <f t="shared" si="22"/>
        <v>116</v>
      </c>
      <c r="C137" s="374" t="str">
        <f t="shared" si="19"/>
        <v/>
      </c>
      <c r="D137" s="784" t="str">
        <f t="shared" si="18"/>
        <v/>
      </c>
      <c r="E137" s="784" t="str">
        <f t="shared" si="20"/>
        <v/>
      </c>
      <c r="F137" s="785" t="str">
        <f t="shared" si="21"/>
        <v/>
      </c>
      <c r="G137" s="784" t="str">
        <f t="shared" si="16"/>
        <v/>
      </c>
      <c r="L137" s="67"/>
      <c r="M137" s="67"/>
      <c r="N137" s="67"/>
      <c r="O137" s="67"/>
      <c r="P137" s="67"/>
      <c r="Q137" s="67"/>
      <c r="R137" s="67"/>
      <c r="S137" s="67"/>
      <c r="T137" s="67"/>
      <c r="U137" s="641"/>
      <c r="V137" s="643"/>
      <c r="W137" s="593"/>
      <c r="X137" s="67"/>
      <c r="Y137" s="663" t="str">
        <f>IF(C137="","",('transversal subsidence profile'!$L$5*EXP(-(C137^2)/(2*'transversal subsidence profile'!$J$5^2)))*100)</f>
        <v/>
      </c>
      <c r="Z137" s="664" t="str">
        <f>IF(C137="","",(+'transversal subsidence profile'!$L$6*EXP(-((C137+$G$10)^2)/(2*'transversal subsidence profile'!$J$6^2)))*100)</f>
        <v/>
      </c>
      <c r="AA137" s="751" t="str">
        <f>IF(C137="","",IF('IN-OUT'!$F$26=0,'Damage classification-Rankin'!Z137,IF('IN-OUT'!$F$35=0,Y137,'Damage classification-Rankin'!Y137+'Damage classification-Rankin'!Z137)))</f>
        <v/>
      </c>
      <c r="AB137" s="67"/>
      <c r="AC137" s="67"/>
      <c r="AJ137" s="67"/>
      <c r="AK137" s="67"/>
      <c r="AL137" s="67"/>
      <c r="AM137" s="67"/>
      <c r="AN137" s="67"/>
      <c r="AO137" s="67"/>
      <c r="AP137" s="67"/>
      <c r="AQ137" s="67"/>
      <c r="AR137" s="67"/>
      <c r="AS137" s="67"/>
      <c r="AT137" s="67"/>
      <c r="AU137" s="67"/>
      <c r="AV137" s="67"/>
      <c r="AW137" s="46"/>
      <c r="AX137" s="605"/>
      <c r="AY137" s="73"/>
      <c r="AZ137" s="601"/>
      <c r="BA137" s="601"/>
      <c r="BB137" s="127"/>
      <c r="BC137" s="601"/>
      <c r="BD137" s="601"/>
      <c r="BE137" s="73"/>
      <c r="BF137" s="46"/>
      <c r="BG137" s="73"/>
      <c r="BH137" s="601"/>
      <c r="BI137" s="601"/>
      <c r="BJ137" s="601"/>
      <c r="BK137" s="606"/>
      <c r="BL137" s="606"/>
      <c r="BM137" s="606"/>
      <c r="BN137" s="7"/>
      <c r="BO137" s="7"/>
      <c r="BP137" s="7"/>
      <c r="BQ137" s="7"/>
    </row>
    <row r="138" spans="1:69" ht="13.8" thickBot="1">
      <c r="A138" s="67"/>
      <c r="B138" s="655">
        <f t="shared" si="22"/>
        <v>117</v>
      </c>
      <c r="C138" s="374" t="str">
        <f t="shared" si="19"/>
        <v/>
      </c>
      <c r="D138" s="784" t="str">
        <f t="shared" si="18"/>
        <v/>
      </c>
      <c r="E138" s="784" t="str">
        <f t="shared" si="20"/>
        <v/>
      </c>
      <c r="F138" s="785" t="str">
        <f t="shared" si="21"/>
        <v/>
      </c>
      <c r="G138" s="784" t="str">
        <f t="shared" si="16"/>
        <v/>
      </c>
      <c r="L138" s="67"/>
      <c r="M138" s="67"/>
      <c r="N138" s="67"/>
      <c r="O138" s="67"/>
      <c r="P138" s="67"/>
      <c r="Q138" s="67"/>
      <c r="R138" s="67"/>
      <c r="S138" s="67"/>
      <c r="T138" s="67"/>
      <c r="U138" s="641"/>
      <c r="V138" s="643"/>
      <c r="W138" s="593"/>
      <c r="X138" s="67"/>
      <c r="Y138" s="663" t="str">
        <f>IF(C138="","",('transversal subsidence profile'!$L$5*EXP(-(C138^2)/(2*'transversal subsidence profile'!$J$5^2)))*100)</f>
        <v/>
      </c>
      <c r="Z138" s="664" t="str">
        <f>IF(C138="","",(+'transversal subsidence profile'!$L$6*EXP(-((C138+$G$10)^2)/(2*'transversal subsidence profile'!$J$6^2)))*100)</f>
        <v/>
      </c>
      <c r="AA138" s="751" t="str">
        <f>IF(C138="","",IF('IN-OUT'!$F$26=0,'Damage classification-Rankin'!Z138,IF('IN-OUT'!$F$35=0,Y138,'Damage classification-Rankin'!Y138+'Damage classification-Rankin'!Z138)))</f>
        <v/>
      </c>
      <c r="AB138" s="67"/>
      <c r="AC138" s="67"/>
      <c r="AJ138" s="67"/>
      <c r="AK138" s="67"/>
      <c r="AL138" s="67"/>
      <c r="AM138" s="67"/>
      <c r="AN138" s="67"/>
      <c r="AO138" s="67"/>
      <c r="AP138" s="67"/>
      <c r="AQ138" s="67"/>
      <c r="AR138" s="67"/>
      <c r="AS138" s="67"/>
      <c r="AT138" s="67"/>
      <c r="AU138" s="67"/>
      <c r="AV138" s="67"/>
      <c r="AW138" s="46"/>
      <c r="AX138" s="605"/>
      <c r="AY138" s="73"/>
      <c r="AZ138" s="601"/>
      <c r="BA138" s="601"/>
      <c r="BB138" s="127"/>
      <c r="BC138" s="601"/>
      <c r="BD138" s="601"/>
      <c r="BE138" s="73"/>
      <c r="BF138" s="46"/>
      <c r="BG138" s="73"/>
      <c r="BH138" s="601"/>
      <c r="BI138" s="601"/>
      <c r="BJ138" s="601"/>
      <c r="BK138" s="606"/>
      <c r="BL138" s="606"/>
      <c r="BM138" s="606"/>
      <c r="BN138" s="7"/>
      <c r="BO138" s="7"/>
      <c r="BP138" s="7"/>
      <c r="BQ138" s="7"/>
    </row>
    <row r="139" spans="1:69" ht="13.8" thickBot="1">
      <c r="A139" s="67"/>
      <c r="B139" s="655">
        <f t="shared" si="22"/>
        <v>118</v>
      </c>
      <c r="C139" s="374" t="str">
        <f t="shared" si="19"/>
        <v/>
      </c>
      <c r="D139" s="784" t="str">
        <f t="shared" si="18"/>
        <v/>
      </c>
      <c r="E139" s="784" t="str">
        <f t="shared" si="20"/>
        <v/>
      </c>
      <c r="F139" s="785" t="str">
        <f t="shared" si="21"/>
        <v/>
      </c>
      <c r="G139" s="784" t="str">
        <f t="shared" si="16"/>
        <v/>
      </c>
      <c r="L139" s="67"/>
      <c r="M139" s="67"/>
      <c r="N139" s="67"/>
      <c r="O139" s="67"/>
      <c r="P139" s="67"/>
      <c r="Q139" s="67"/>
      <c r="R139" s="67"/>
      <c r="S139" s="67"/>
      <c r="T139" s="67"/>
      <c r="U139" s="641"/>
      <c r="V139" s="643"/>
      <c r="W139" s="593"/>
      <c r="X139" s="67"/>
      <c r="Y139" s="663" t="str">
        <f>IF(C139="","",('transversal subsidence profile'!$L$5*EXP(-(C139^2)/(2*'transversal subsidence profile'!$J$5^2)))*100)</f>
        <v/>
      </c>
      <c r="Z139" s="664" t="str">
        <f>IF(C139="","",(+'transversal subsidence profile'!$L$6*EXP(-((C139+$G$10)^2)/(2*'transversal subsidence profile'!$J$6^2)))*100)</f>
        <v/>
      </c>
      <c r="AA139" s="751" t="str">
        <f>IF(C139="","",IF('IN-OUT'!$F$26=0,'Damage classification-Rankin'!Z139,IF('IN-OUT'!$F$35=0,Y139,'Damage classification-Rankin'!Y139+'Damage classification-Rankin'!Z139)))</f>
        <v/>
      </c>
      <c r="AB139" s="67"/>
      <c r="AC139" s="67"/>
      <c r="AJ139" s="67"/>
      <c r="AK139" s="67"/>
      <c r="AL139" s="67"/>
      <c r="AM139" s="67"/>
      <c r="AN139" s="67"/>
      <c r="AO139" s="67"/>
      <c r="AP139" s="67"/>
      <c r="AQ139" s="67"/>
      <c r="AR139" s="67"/>
      <c r="AS139" s="67"/>
      <c r="AT139" s="67"/>
      <c r="AU139" s="67"/>
      <c r="AV139" s="67"/>
      <c r="AW139" s="46"/>
      <c r="AX139" s="605"/>
      <c r="AY139" s="73"/>
      <c r="AZ139" s="601"/>
      <c r="BA139" s="601"/>
      <c r="BB139" s="127"/>
      <c r="BC139" s="601"/>
      <c r="BD139" s="601"/>
      <c r="BE139" s="73"/>
      <c r="BF139" s="46"/>
      <c r="BG139" s="73"/>
      <c r="BH139" s="601"/>
      <c r="BI139" s="601"/>
      <c r="BJ139" s="601"/>
      <c r="BK139" s="606"/>
      <c r="BL139" s="606"/>
      <c r="BM139" s="606"/>
      <c r="BN139" s="7"/>
      <c r="BO139" s="7"/>
      <c r="BP139" s="7"/>
      <c r="BQ139" s="7"/>
    </row>
    <row r="140" spans="1:69" ht="13.8" thickBot="1">
      <c r="A140" s="67"/>
      <c r="B140" s="655">
        <f t="shared" si="22"/>
        <v>119</v>
      </c>
      <c r="C140" s="374" t="str">
        <f t="shared" si="19"/>
        <v/>
      </c>
      <c r="D140" s="784" t="str">
        <f t="shared" si="18"/>
        <v/>
      </c>
      <c r="E140" s="784" t="str">
        <f t="shared" si="20"/>
        <v/>
      </c>
      <c r="F140" s="785" t="str">
        <f t="shared" si="21"/>
        <v/>
      </c>
      <c r="G140" s="784" t="str">
        <f t="shared" si="16"/>
        <v/>
      </c>
      <c r="L140" s="67"/>
      <c r="M140" s="67"/>
      <c r="N140" s="67"/>
      <c r="O140" s="67"/>
      <c r="P140" s="67"/>
      <c r="Q140" s="67"/>
      <c r="R140" s="67"/>
      <c r="S140" s="67"/>
      <c r="T140" s="67"/>
      <c r="U140" s="641"/>
      <c r="V140" s="643"/>
      <c r="W140" s="593"/>
      <c r="X140" s="67"/>
      <c r="Y140" s="663" t="str">
        <f>IF(C140="","",('transversal subsidence profile'!$L$5*EXP(-(C140^2)/(2*'transversal subsidence profile'!$J$5^2)))*100)</f>
        <v/>
      </c>
      <c r="Z140" s="664" t="str">
        <f>IF(C140="","",(+'transversal subsidence profile'!$L$6*EXP(-((C140+$G$10)^2)/(2*'transversal subsidence profile'!$J$6^2)))*100)</f>
        <v/>
      </c>
      <c r="AA140" s="751" t="str">
        <f>IF(C140="","",IF('IN-OUT'!$F$26=0,'Damage classification-Rankin'!Z140,IF('IN-OUT'!$F$35=0,Y140,'Damage classification-Rankin'!Y140+'Damage classification-Rankin'!Z140)))</f>
        <v/>
      </c>
      <c r="AB140" s="67"/>
      <c r="AC140" s="67"/>
      <c r="AJ140" s="67"/>
      <c r="AK140" s="67"/>
      <c r="AL140" s="67"/>
      <c r="AM140" s="67"/>
      <c r="AN140" s="67"/>
      <c r="AO140" s="67"/>
      <c r="AP140" s="67"/>
      <c r="AQ140" s="67"/>
      <c r="AR140" s="67"/>
      <c r="AS140" s="67"/>
      <c r="AT140" s="67"/>
      <c r="AU140" s="67"/>
      <c r="AV140" s="67"/>
      <c r="AW140" s="46"/>
      <c r="AX140" s="605"/>
      <c r="AY140" s="73"/>
      <c r="AZ140" s="601"/>
      <c r="BA140" s="601"/>
      <c r="BB140" s="127"/>
      <c r="BC140" s="601"/>
      <c r="BD140" s="601"/>
      <c r="BE140" s="73"/>
      <c r="BF140" s="46"/>
      <c r="BG140" s="73"/>
      <c r="BH140" s="601"/>
      <c r="BI140" s="601"/>
      <c r="BJ140" s="601"/>
      <c r="BK140" s="606"/>
      <c r="BL140" s="606"/>
      <c r="BM140" s="606"/>
      <c r="BN140" s="7"/>
      <c r="BO140" s="7"/>
      <c r="BP140" s="7"/>
      <c r="BQ140" s="7"/>
    </row>
    <row r="141" spans="1:69" ht="13.8" thickBot="1">
      <c r="A141" s="67"/>
      <c r="B141" s="655">
        <f t="shared" si="22"/>
        <v>120</v>
      </c>
      <c r="C141" s="374" t="str">
        <f t="shared" si="19"/>
        <v/>
      </c>
      <c r="D141" s="784" t="str">
        <f t="shared" si="18"/>
        <v/>
      </c>
      <c r="E141" s="784" t="str">
        <f t="shared" si="20"/>
        <v/>
      </c>
      <c r="F141" s="785" t="str">
        <f t="shared" si="21"/>
        <v/>
      </c>
      <c r="G141" s="784" t="str">
        <f t="shared" si="16"/>
        <v/>
      </c>
      <c r="L141" s="67"/>
      <c r="M141" s="67"/>
      <c r="N141" s="67"/>
      <c r="O141" s="67"/>
      <c r="P141" s="67"/>
      <c r="Q141" s="67"/>
      <c r="R141" s="67"/>
      <c r="S141" s="67"/>
      <c r="T141" s="67"/>
      <c r="U141" s="641"/>
      <c r="V141" s="643"/>
      <c r="W141" s="593"/>
      <c r="X141" s="67"/>
      <c r="Y141" s="663" t="str">
        <f>IF(C141="","",('transversal subsidence profile'!$L$5*EXP(-(C141^2)/(2*'transversal subsidence profile'!$J$5^2)))*100)</f>
        <v/>
      </c>
      <c r="Z141" s="664" t="str">
        <f>IF(C141="","",(+'transversal subsidence profile'!$L$6*EXP(-((C141+$G$10)^2)/(2*'transversal subsidence profile'!$J$6^2)))*100)</f>
        <v/>
      </c>
      <c r="AA141" s="751" t="str">
        <f>IF(C141="","",IF('IN-OUT'!$F$26=0,'Damage classification-Rankin'!Z141,IF('IN-OUT'!$F$35=0,Y141,'Damage classification-Rankin'!Y141+'Damage classification-Rankin'!Z141)))</f>
        <v/>
      </c>
      <c r="AB141" s="67"/>
      <c r="AC141" s="67"/>
      <c r="AJ141" s="67"/>
      <c r="AK141" s="67"/>
      <c r="AL141" s="67"/>
      <c r="AM141" s="67"/>
      <c r="AN141" s="67"/>
      <c r="AO141" s="67"/>
      <c r="AP141" s="67"/>
      <c r="AQ141" s="67"/>
      <c r="AR141" s="67"/>
      <c r="AS141" s="67"/>
      <c r="AT141" s="67"/>
      <c r="AU141" s="67"/>
      <c r="AV141" s="67"/>
      <c r="AW141" s="46"/>
      <c r="AX141" s="605"/>
      <c r="AY141" s="73"/>
      <c r="AZ141" s="601"/>
      <c r="BA141" s="601"/>
      <c r="BB141" s="127"/>
      <c r="BC141" s="601"/>
      <c r="BD141" s="601"/>
      <c r="BE141" s="73"/>
      <c r="BF141" s="46"/>
      <c r="BG141" s="73"/>
      <c r="BH141" s="601"/>
      <c r="BI141" s="601"/>
      <c r="BJ141" s="601"/>
      <c r="BK141" s="606"/>
      <c r="BL141" s="606"/>
      <c r="BM141" s="606"/>
      <c r="BN141" s="7"/>
      <c r="BO141" s="7"/>
      <c r="BP141" s="7"/>
      <c r="BQ141" s="7"/>
    </row>
    <row r="142" spans="1:69" ht="13.8" thickBot="1">
      <c r="A142" s="67"/>
      <c r="B142" s="655">
        <f t="shared" si="22"/>
        <v>121</v>
      </c>
      <c r="C142" s="374" t="str">
        <f t="shared" si="19"/>
        <v/>
      </c>
      <c r="D142" s="784" t="str">
        <f t="shared" si="18"/>
        <v/>
      </c>
      <c r="E142" s="784" t="str">
        <f t="shared" si="20"/>
        <v/>
      </c>
      <c r="F142" s="785" t="str">
        <f t="shared" si="21"/>
        <v/>
      </c>
      <c r="G142" s="784" t="str">
        <f t="shared" si="16"/>
        <v/>
      </c>
      <c r="L142" s="67"/>
      <c r="M142" s="67"/>
      <c r="N142" s="189"/>
      <c r="O142" s="67"/>
      <c r="P142" s="67"/>
      <c r="Q142" s="67"/>
      <c r="R142" s="67"/>
      <c r="S142" s="67"/>
      <c r="T142" s="67"/>
      <c r="U142" s="641"/>
      <c r="V142" s="643"/>
      <c r="W142" s="593"/>
      <c r="X142" s="67"/>
      <c r="Y142" s="663" t="str">
        <f>IF(C142="","",('transversal subsidence profile'!$L$5*EXP(-(C142^2)/(2*'transversal subsidence profile'!$J$5^2)))*100)</f>
        <v/>
      </c>
      <c r="Z142" s="664" t="str">
        <f>IF(C142="","",(+'transversal subsidence profile'!$L$6*EXP(-((C142+$G$10)^2)/(2*'transversal subsidence profile'!$J$6^2)))*100)</f>
        <v/>
      </c>
      <c r="AA142" s="751" t="str">
        <f>IF(C142="","",IF('IN-OUT'!$F$26=0,'Damage classification-Rankin'!Z142,IF('IN-OUT'!$F$35=0,Y142,'Damage classification-Rankin'!Y142+'Damage classification-Rankin'!Z142)))</f>
        <v/>
      </c>
      <c r="AB142" s="67"/>
      <c r="AC142" s="67"/>
      <c r="AJ142" s="67"/>
      <c r="AK142" s="67"/>
      <c r="AL142" s="67"/>
      <c r="AM142" s="67"/>
      <c r="AN142" s="67"/>
      <c r="AO142" s="67"/>
      <c r="AP142" s="67"/>
      <c r="AQ142" s="67"/>
      <c r="AR142" s="67"/>
      <c r="AS142" s="67"/>
      <c r="AT142" s="67"/>
      <c r="AU142" s="67"/>
      <c r="AV142" s="67"/>
      <c r="AW142" s="46"/>
      <c r="AX142" s="605"/>
      <c r="AY142" s="73"/>
      <c r="AZ142" s="601"/>
      <c r="BA142" s="601"/>
      <c r="BB142" s="127"/>
      <c r="BC142" s="601"/>
      <c r="BD142" s="601"/>
      <c r="BE142" s="73"/>
      <c r="BF142" s="46"/>
      <c r="BG142" s="73"/>
      <c r="BH142" s="601"/>
      <c r="BI142" s="601"/>
      <c r="BJ142" s="601"/>
      <c r="BK142" s="606"/>
      <c r="BL142" s="606"/>
      <c r="BM142" s="606"/>
      <c r="BN142" s="7"/>
      <c r="BO142" s="7"/>
      <c r="BP142" s="7"/>
      <c r="BQ142" s="7"/>
    </row>
    <row r="143" spans="1:69" ht="13.8" thickBot="1">
      <c r="A143" s="67"/>
      <c r="B143" s="655">
        <f t="shared" si="22"/>
        <v>122</v>
      </c>
      <c r="C143" s="374" t="str">
        <f t="shared" si="19"/>
        <v/>
      </c>
      <c r="D143" s="784" t="str">
        <f t="shared" si="18"/>
        <v/>
      </c>
      <c r="E143" s="784" t="str">
        <f t="shared" si="20"/>
        <v/>
      </c>
      <c r="F143" s="785" t="str">
        <f t="shared" si="21"/>
        <v/>
      </c>
      <c r="G143" s="784" t="str">
        <f t="shared" si="16"/>
        <v/>
      </c>
      <c r="L143" s="67"/>
      <c r="M143" s="67"/>
      <c r="N143" s="67"/>
      <c r="O143" s="67"/>
      <c r="P143" s="592"/>
      <c r="Q143" s="593"/>
      <c r="R143" s="593"/>
      <c r="S143" s="593"/>
      <c r="T143" s="593"/>
      <c r="U143" s="642"/>
      <c r="V143" s="643"/>
      <c r="W143" s="593"/>
      <c r="X143" s="67"/>
      <c r="Y143" s="663" t="str">
        <f>IF(C143="","",('transversal subsidence profile'!$L$5*EXP(-(C143^2)/(2*'transversal subsidence profile'!$J$5^2)))*100)</f>
        <v/>
      </c>
      <c r="Z143" s="664" t="str">
        <f>IF(C143="","",(+'transversal subsidence profile'!$L$6*EXP(-((C143+$G$10)^2)/(2*'transversal subsidence profile'!$J$6^2)))*100)</f>
        <v/>
      </c>
      <c r="AA143" s="751" t="str">
        <f>IF(C143="","",IF('IN-OUT'!$F$26=0,'Damage classification-Rankin'!Z143,IF('IN-OUT'!$F$35=0,Y143,'Damage classification-Rankin'!Y143+'Damage classification-Rankin'!Z143)))</f>
        <v/>
      </c>
      <c r="AB143" s="67"/>
      <c r="AC143" s="67"/>
      <c r="AJ143" s="67"/>
      <c r="AK143" s="67"/>
      <c r="AL143" s="67"/>
      <c r="AM143" s="67"/>
      <c r="AN143" s="67"/>
      <c r="AO143" s="67"/>
      <c r="AP143" s="67"/>
      <c r="AQ143" s="67"/>
      <c r="AR143" s="67"/>
      <c r="AS143" s="67"/>
      <c r="AT143" s="67"/>
      <c r="AU143" s="67"/>
      <c r="AV143" s="67"/>
      <c r="AW143" s="46"/>
      <c r="AX143" s="605"/>
      <c r="AY143" s="73"/>
      <c r="AZ143" s="601"/>
      <c r="BA143" s="601"/>
      <c r="BB143" s="127"/>
      <c r="BC143" s="601"/>
      <c r="BD143" s="601"/>
      <c r="BE143" s="73"/>
      <c r="BF143" s="46"/>
      <c r="BG143" s="73"/>
      <c r="BH143" s="601"/>
      <c r="BI143" s="601"/>
      <c r="BJ143" s="601"/>
      <c r="BK143" s="606"/>
      <c r="BL143" s="606"/>
      <c r="BM143" s="606"/>
      <c r="BN143" s="7"/>
      <c r="BO143" s="7"/>
      <c r="BP143" s="7"/>
      <c r="BQ143" s="7"/>
    </row>
    <row r="144" spans="1:69" ht="13.8" thickBot="1">
      <c r="A144" s="67"/>
      <c r="B144" s="655">
        <f t="shared" si="22"/>
        <v>123</v>
      </c>
      <c r="C144" s="374" t="str">
        <f t="shared" si="19"/>
        <v/>
      </c>
      <c r="D144" s="784" t="str">
        <f t="shared" si="18"/>
        <v/>
      </c>
      <c r="E144" s="784" t="str">
        <f t="shared" si="20"/>
        <v/>
      </c>
      <c r="F144" s="785" t="str">
        <f t="shared" si="21"/>
        <v/>
      </c>
      <c r="G144" s="784" t="str">
        <f t="shared" si="16"/>
        <v/>
      </c>
      <c r="L144" s="67"/>
      <c r="M144" s="67"/>
      <c r="N144" s="67"/>
      <c r="O144" s="67"/>
      <c r="P144" s="67"/>
      <c r="Q144" s="67"/>
      <c r="R144" s="67"/>
      <c r="S144" s="67"/>
      <c r="T144" s="67"/>
      <c r="U144" s="641"/>
      <c r="V144" s="643"/>
      <c r="W144" s="593"/>
      <c r="X144" s="67"/>
      <c r="Y144" s="663" t="str">
        <f>IF(C144="","",('transversal subsidence profile'!$L$5*EXP(-(C144^2)/(2*'transversal subsidence profile'!$J$5^2)))*100)</f>
        <v/>
      </c>
      <c r="Z144" s="664" t="str">
        <f>IF(C144="","",(+'transversal subsidence profile'!$L$6*EXP(-((C144+$G$10)^2)/(2*'transversal subsidence profile'!$J$6^2)))*100)</f>
        <v/>
      </c>
      <c r="AA144" s="751" t="str">
        <f>IF(C144="","",IF('IN-OUT'!$F$26=0,'Damage classification-Rankin'!Z144,IF('IN-OUT'!$F$35=0,Y144,'Damage classification-Rankin'!Y144+'Damage classification-Rankin'!Z144)))</f>
        <v/>
      </c>
      <c r="AB144" s="67"/>
      <c r="AC144" s="67"/>
      <c r="AJ144" s="67"/>
      <c r="AK144" s="67"/>
      <c r="AL144" s="67"/>
      <c r="AM144" s="67"/>
      <c r="AN144" s="67"/>
      <c r="AO144" s="67"/>
      <c r="AP144" s="67"/>
      <c r="AQ144" s="67"/>
      <c r="AR144" s="67"/>
      <c r="AS144" s="67"/>
      <c r="AT144" s="67"/>
      <c r="AU144" s="67"/>
      <c r="AV144" s="67"/>
      <c r="AW144" s="46"/>
      <c r="AX144" s="605"/>
      <c r="AY144" s="73"/>
      <c r="AZ144" s="601"/>
      <c r="BA144" s="601"/>
      <c r="BB144" s="127"/>
      <c r="BC144" s="601"/>
      <c r="BD144" s="601"/>
      <c r="BE144" s="73"/>
      <c r="BF144" s="46"/>
      <c r="BG144" s="73"/>
      <c r="BH144" s="601"/>
      <c r="BI144" s="601"/>
      <c r="BJ144" s="601"/>
      <c r="BK144" s="606"/>
      <c r="BL144" s="606"/>
      <c r="BM144" s="606"/>
      <c r="BN144" s="7"/>
      <c r="BO144" s="7"/>
      <c r="BP144" s="7"/>
      <c r="BQ144" s="7"/>
    </row>
    <row r="145" spans="1:69" ht="13.8" thickBot="1">
      <c r="A145" s="67"/>
      <c r="B145" s="655">
        <f t="shared" si="22"/>
        <v>124</v>
      </c>
      <c r="C145" s="374" t="str">
        <f t="shared" si="19"/>
        <v/>
      </c>
      <c r="D145" s="784" t="str">
        <f t="shared" si="18"/>
        <v/>
      </c>
      <c r="E145" s="784" t="str">
        <f t="shared" si="20"/>
        <v/>
      </c>
      <c r="F145" s="785" t="str">
        <f t="shared" si="21"/>
        <v/>
      </c>
      <c r="G145" s="784" t="str">
        <f t="shared" si="16"/>
        <v/>
      </c>
      <c r="L145" s="67"/>
      <c r="M145" s="67"/>
      <c r="N145" s="92"/>
      <c r="O145" s="67"/>
      <c r="P145" s="67"/>
      <c r="Q145" s="67"/>
      <c r="R145" s="67"/>
      <c r="S145" s="67"/>
      <c r="T145" s="67"/>
      <c r="U145" s="641"/>
      <c r="V145" s="643"/>
      <c r="W145" s="593"/>
      <c r="X145" s="67"/>
      <c r="Y145" s="663" t="str">
        <f>IF(C145="","",('transversal subsidence profile'!$L$5*EXP(-(C145^2)/(2*'transversal subsidence profile'!$J$5^2)))*100)</f>
        <v/>
      </c>
      <c r="Z145" s="664" t="str">
        <f>IF(C145="","",(+'transversal subsidence profile'!$L$6*EXP(-((C145+$G$10)^2)/(2*'transversal subsidence profile'!$J$6^2)))*100)</f>
        <v/>
      </c>
      <c r="AA145" s="751" t="str">
        <f>IF(C145="","",IF('IN-OUT'!$F$26=0,'Damage classification-Rankin'!Z145,IF('IN-OUT'!$F$35=0,Y145,'Damage classification-Rankin'!Y145+'Damage classification-Rankin'!Z145)))</f>
        <v/>
      </c>
      <c r="AB145" s="67"/>
      <c r="AC145" s="67"/>
      <c r="AJ145" s="67"/>
      <c r="AK145" s="67"/>
      <c r="AL145" s="67"/>
      <c r="AM145" s="67"/>
      <c r="AN145" s="67"/>
      <c r="AO145" s="67"/>
      <c r="AP145" s="67"/>
      <c r="AQ145" s="67"/>
      <c r="AR145" s="67"/>
      <c r="AS145" s="67"/>
      <c r="AT145" s="67"/>
      <c r="AU145" s="67"/>
      <c r="AV145" s="67"/>
      <c r="AW145" s="46"/>
      <c r="AX145" s="605"/>
      <c r="AY145" s="73"/>
      <c r="AZ145" s="601"/>
      <c r="BA145" s="601"/>
      <c r="BB145" s="127"/>
      <c r="BC145" s="601"/>
      <c r="BD145" s="601"/>
      <c r="BE145" s="73"/>
      <c r="BF145" s="46"/>
      <c r="BG145" s="73"/>
      <c r="BH145" s="601"/>
      <c r="BI145" s="601"/>
      <c r="BJ145" s="601"/>
      <c r="BK145" s="606"/>
      <c r="BL145" s="606"/>
      <c r="BM145" s="606"/>
      <c r="BN145" s="7"/>
      <c r="BO145" s="7"/>
      <c r="BP145" s="7"/>
      <c r="BQ145" s="7"/>
    </row>
    <row r="146" spans="1:69" ht="13.8" thickBot="1">
      <c r="A146" s="67"/>
      <c r="B146" s="655">
        <f t="shared" si="22"/>
        <v>125</v>
      </c>
      <c r="C146" s="374" t="str">
        <f t="shared" si="19"/>
        <v/>
      </c>
      <c r="D146" s="784" t="str">
        <f t="shared" si="18"/>
        <v/>
      </c>
      <c r="E146" s="784" t="str">
        <f t="shared" si="20"/>
        <v/>
      </c>
      <c r="F146" s="785" t="str">
        <f t="shared" si="21"/>
        <v/>
      </c>
      <c r="G146" s="784" t="str">
        <f t="shared" si="16"/>
        <v/>
      </c>
      <c r="L146" s="67"/>
      <c r="M146" s="67"/>
      <c r="N146" s="189"/>
      <c r="O146" s="67"/>
      <c r="P146" s="67"/>
      <c r="Q146" s="67"/>
      <c r="R146" s="67"/>
      <c r="S146" s="67"/>
      <c r="T146" s="67"/>
      <c r="U146" s="641"/>
      <c r="V146" s="643"/>
      <c r="W146" s="593"/>
      <c r="X146" s="67"/>
      <c r="Y146" s="663" t="str">
        <f>IF(C146="","",('transversal subsidence profile'!$L$5*EXP(-(C146^2)/(2*'transversal subsidence profile'!$J$5^2)))*100)</f>
        <v/>
      </c>
      <c r="Z146" s="664" t="str">
        <f>IF(C146="","",(+'transversal subsidence profile'!$L$6*EXP(-((C146+$G$10)^2)/(2*'transversal subsidence profile'!$J$6^2)))*100)</f>
        <v/>
      </c>
      <c r="AA146" s="751" t="str">
        <f>IF(C146="","",IF('IN-OUT'!$F$26=0,'Damage classification-Rankin'!Z146,IF('IN-OUT'!$F$35=0,Y146,'Damage classification-Rankin'!Y146+'Damage classification-Rankin'!Z146)))</f>
        <v/>
      </c>
      <c r="AB146" s="67"/>
      <c r="AC146" s="67"/>
      <c r="AJ146" s="67"/>
      <c r="AK146" s="67"/>
      <c r="AL146" s="67"/>
      <c r="AM146" s="67"/>
      <c r="AN146" s="67"/>
      <c r="AO146" s="67"/>
      <c r="AP146" s="67"/>
      <c r="AQ146" s="67"/>
      <c r="AR146" s="67"/>
      <c r="AS146" s="67"/>
      <c r="AT146" s="67"/>
      <c r="AU146" s="67"/>
      <c r="AV146" s="67"/>
      <c r="AW146" s="46"/>
      <c r="AX146" s="605"/>
      <c r="AY146" s="73"/>
      <c r="AZ146" s="601"/>
      <c r="BA146" s="601"/>
      <c r="BB146" s="127"/>
      <c r="BC146" s="601"/>
      <c r="BD146" s="601"/>
      <c r="BE146" s="73"/>
      <c r="BF146" s="46"/>
      <c r="BG146" s="73"/>
      <c r="BH146" s="601"/>
      <c r="BI146" s="601"/>
      <c r="BJ146" s="601"/>
      <c r="BK146" s="606"/>
      <c r="BL146" s="606"/>
      <c r="BM146" s="606"/>
      <c r="BN146" s="7"/>
      <c r="BO146" s="7"/>
      <c r="BP146" s="7"/>
      <c r="BQ146" s="7"/>
    </row>
    <row r="147" spans="1:69" ht="13.8" thickBot="1">
      <c r="A147" s="67"/>
      <c r="B147" s="655">
        <f t="shared" si="22"/>
        <v>126</v>
      </c>
      <c r="C147" s="374" t="str">
        <f t="shared" si="19"/>
        <v/>
      </c>
      <c r="D147" s="784" t="str">
        <f t="shared" si="18"/>
        <v/>
      </c>
      <c r="E147" s="784" t="str">
        <f t="shared" si="20"/>
        <v/>
      </c>
      <c r="F147" s="785" t="str">
        <f t="shared" si="21"/>
        <v/>
      </c>
      <c r="G147" s="784" t="str">
        <f t="shared" si="16"/>
        <v/>
      </c>
      <c r="L147" s="67"/>
      <c r="M147" s="67"/>
      <c r="N147" s="67"/>
      <c r="O147" s="67"/>
      <c r="P147" s="67"/>
      <c r="Q147" s="67"/>
      <c r="R147" s="67"/>
      <c r="S147" s="67"/>
      <c r="T147" s="67"/>
      <c r="U147" s="641"/>
      <c r="V147" s="643"/>
      <c r="W147" s="593"/>
      <c r="X147" s="67"/>
      <c r="Y147" s="663" t="str">
        <f>IF(C147="","",('transversal subsidence profile'!$L$5*EXP(-(C147^2)/(2*'transversal subsidence profile'!$J$5^2)))*100)</f>
        <v/>
      </c>
      <c r="Z147" s="664" t="str">
        <f>IF(C147="","",(+'transversal subsidence profile'!$L$6*EXP(-((C147+$G$10)^2)/(2*'transversal subsidence profile'!$J$6^2)))*100)</f>
        <v/>
      </c>
      <c r="AA147" s="751" t="str">
        <f>IF(C147="","",IF('IN-OUT'!$F$26=0,'Damage classification-Rankin'!Z147,IF('IN-OUT'!$F$35=0,Y147,'Damage classification-Rankin'!Y147+'Damage classification-Rankin'!Z147)))</f>
        <v/>
      </c>
      <c r="AB147" s="67"/>
      <c r="AC147" s="67"/>
      <c r="AJ147" s="67"/>
      <c r="AK147" s="67"/>
      <c r="AL147" s="67"/>
      <c r="AM147" s="67"/>
      <c r="AN147" s="67"/>
      <c r="AO147" s="67"/>
      <c r="AP147" s="67"/>
      <c r="AQ147" s="67"/>
      <c r="AR147" s="67"/>
      <c r="AS147" s="67"/>
      <c r="AT147" s="67"/>
      <c r="AU147" s="67"/>
      <c r="AV147" s="67"/>
      <c r="AW147" s="46"/>
      <c r="AX147" s="605"/>
      <c r="AY147" s="73"/>
      <c r="AZ147" s="601"/>
      <c r="BA147" s="601"/>
      <c r="BB147" s="127"/>
      <c r="BC147" s="601"/>
      <c r="BD147" s="601"/>
      <c r="BE147" s="73"/>
      <c r="BF147" s="46"/>
      <c r="BG147" s="73"/>
      <c r="BH147" s="601"/>
      <c r="BI147" s="601"/>
      <c r="BJ147" s="601"/>
      <c r="BK147" s="606"/>
      <c r="BL147" s="606"/>
      <c r="BM147" s="606"/>
      <c r="BN147" s="7"/>
      <c r="BO147" s="7"/>
      <c r="BP147" s="7"/>
      <c r="BQ147" s="7"/>
    </row>
    <row r="148" spans="1:69" ht="13.8" thickBot="1">
      <c r="A148" s="67"/>
      <c r="B148" s="655">
        <f t="shared" si="22"/>
        <v>127</v>
      </c>
      <c r="C148" s="374" t="str">
        <f t="shared" si="19"/>
        <v/>
      </c>
      <c r="D148" s="784" t="str">
        <f t="shared" si="18"/>
        <v/>
      </c>
      <c r="E148" s="784" t="str">
        <f t="shared" si="20"/>
        <v/>
      </c>
      <c r="F148" s="785" t="str">
        <f t="shared" si="21"/>
        <v/>
      </c>
      <c r="G148" s="784" t="str">
        <f t="shared" si="16"/>
        <v/>
      </c>
      <c r="L148" s="67"/>
      <c r="M148" s="67"/>
      <c r="N148" s="67"/>
      <c r="O148" s="75"/>
      <c r="P148" s="67"/>
      <c r="Q148" s="67"/>
      <c r="R148" s="67"/>
      <c r="S148" s="67"/>
      <c r="T148" s="67"/>
      <c r="U148" s="641"/>
      <c r="V148" s="643"/>
      <c r="W148" s="593"/>
      <c r="X148" s="67"/>
      <c r="Y148" s="663" t="str">
        <f>IF(C148="","",('transversal subsidence profile'!$L$5*EXP(-(C148^2)/(2*'transversal subsidence profile'!$J$5^2)))*100)</f>
        <v/>
      </c>
      <c r="Z148" s="664" t="str">
        <f>IF(C148="","",(+'transversal subsidence profile'!$L$6*EXP(-((C148+$G$10)^2)/(2*'transversal subsidence profile'!$J$6^2)))*100)</f>
        <v/>
      </c>
      <c r="AA148" s="751" t="str">
        <f>IF(C148="","",IF('IN-OUT'!$F$26=0,'Damage classification-Rankin'!Z148,IF('IN-OUT'!$F$35=0,Y148,'Damage classification-Rankin'!Y148+'Damage classification-Rankin'!Z148)))</f>
        <v/>
      </c>
      <c r="AB148" s="67"/>
      <c r="AC148" s="67"/>
      <c r="AJ148" s="67"/>
      <c r="AK148" s="67"/>
      <c r="AL148" s="67"/>
      <c r="AM148" s="67"/>
      <c r="AN148" s="67"/>
      <c r="AO148" s="67"/>
      <c r="AP148" s="67"/>
      <c r="AQ148" s="67"/>
      <c r="AR148" s="67"/>
      <c r="AS148" s="67"/>
      <c r="AT148" s="67"/>
      <c r="AU148" s="67"/>
      <c r="AV148" s="67"/>
      <c r="AW148" s="46"/>
      <c r="AX148" s="605"/>
      <c r="AY148" s="73"/>
      <c r="AZ148" s="601"/>
      <c r="BA148" s="601"/>
      <c r="BB148" s="127"/>
      <c r="BC148" s="601"/>
      <c r="BD148" s="601"/>
      <c r="BE148" s="73"/>
      <c r="BF148" s="46"/>
      <c r="BG148" s="73"/>
      <c r="BH148" s="601"/>
      <c r="BI148" s="601"/>
      <c r="BJ148" s="601"/>
      <c r="BK148" s="606"/>
      <c r="BL148" s="606"/>
      <c r="BM148" s="606"/>
      <c r="BN148" s="7"/>
      <c r="BO148" s="7"/>
      <c r="BP148" s="7"/>
      <c r="BQ148" s="7"/>
    </row>
    <row r="149" spans="1:69" ht="13.8" thickBot="1">
      <c r="A149" s="67"/>
      <c r="B149" s="655">
        <f t="shared" si="22"/>
        <v>128</v>
      </c>
      <c r="C149" s="374" t="str">
        <f t="shared" si="19"/>
        <v/>
      </c>
      <c r="D149" s="784" t="str">
        <f t="shared" si="18"/>
        <v/>
      </c>
      <c r="E149" s="784" t="str">
        <f t="shared" si="20"/>
        <v/>
      </c>
      <c r="F149" s="785" t="str">
        <f t="shared" si="21"/>
        <v/>
      </c>
      <c r="G149" s="784" t="str">
        <f t="shared" si="16"/>
        <v/>
      </c>
      <c r="L149" s="67"/>
      <c r="M149" s="67"/>
      <c r="N149" s="67"/>
      <c r="O149" s="75"/>
      <c r="P149" s="67"/>
      <c r="Q149" s="67"/>
      <c r="R149" s="67"/>
      <c r="S149" s="67"/>
      <c r="T149" s="67"/>
      <c r="U149" s="641"/>
      <c r="V149" s="643"/>
      <c r="W149" s="593"/>
      <c r="X149" s="67"/>
      <c r="Y149" s="663" t="str">
        <f>IF(C149="","",('transversal subsidence profile'!$L$5*EXP(-(C149^2)/(2*'transversal subsidence profile'!$J$5^2)))*100)</f>
        <v/>
      </c>
      <c r="Z149" s="664" t="str">
        <f>IF(C149="","",(+'transversal subsidence profile'!$L$6*EXP(-((C149+$G$10)^2)/(2*'transversal subsidence profile'!$J$6^2)))*100)</f>
        <v/>
      </c>
      <c r="AA149" s="751" t="str">
        <f>IF(C149="","",IF('IN-OUT'!$F$26=0,'Damage classification-Rankin'!Z149,IF('IN-OUT'!$F$35=0,Y149,'Damage classification-Rankin'!Y149+'Damage classification-Rankin'!Z149)))</f>
        <v/>
      </c>
      <c r="AB149" s="67"/>
      <c r="AC149" s="67"/>
      <c r="AJ149" s="67"/>
      <c r="AK149" s="67"/>
      <c r="AL149" s="67"/>
      <c r="AM149" s="67"/>
      <c r="AN149" s="67"/>
      <c r="AO149" s="67"/>
      <c r="AP149" s="67"/>
      <c r="AQ149" s="67"/>
      <c r="AR149" s="67"/>
      <c r="AS149" s="67"/>
      <c r="AT149" s="67"/>
      <c r="AU149" s="67"/>
      <c r="AV149" s="67"/>
      <c r="AW149" s="46"/>
      <c r="AX149" s="605"/>
      <c r="AY149" s="73"/>
      <c r="AZ149" s="601"/>
      <c r="BA149" s="601"/>
      <c r="BB149" s="127"/>
      <c r="BC149" s="601"/>
      <c r="BD149" s="601"/>
      <c r="BE149" s="73"/>
      <c r="BF149" s="46"/>
      <c r="BG149" s="73"/>
      <c r="BH149" s="601"/>
      <c r="BI149" s="601"/>
      <c r="BJ149" s="601"/>
      <c r="BK149" s="606"/>
      <c r="BL149" s="606"/>
      <c r="BM149" s="606"/>
      <c r="BN149" s="7"/>
      <c r="BO149" s="7"/>
      <c r="BP149" s="7"/>
      <c r="BQ149" s="7"/>
    </row>
    <row r="150" spans="1:69" ht="13.8" thickBot="1">
      <c r="A150" s="67"/>
      <c r="B150" s="655">
        <f t="shared" si="22"/>
        <v>129</v>
      </c>
      <c r="C150" s="374" t="str">
        <f t="shared" si="19"/>
        <v/>
      </c>
      <c r="D150" s="784" t="str">
        <f t="shared" ref="D150:D161" si="23">AA150</f>
        <v/>
      </c>
      <c r="E150" s="784" t="str">
        <f t="shared" si="20"/>
        <v/>
      </c>
      <c r="F150" s="785" t="str">
        <f t="shared" si="21"/>
        <v/>
      </c>
      <c r="G150" s="784" t="str">
        <f t="shared" si="16"/>
        <v/>
      </c>
      <c r="L150" s="67"/>
      <c r="M150" s="67"/>
      <c r="N150" s="189"/>
      <c r="O150" s="67"/>
      <c r="P150" s="67"/>
      <c r="Q150" s="67"/>
      <c r="R150" s="67"/>
      <c r="S150" s="67"/>
      <c r="T150" s="67"/>
      <c r="U150" s="641"/>
      <c r="V150" s="643"/>
      <c r="W150" s="593"/>
      <c r="X150" s="67"/>
      <c r="Y150" s="663" t="str">
        <f>IF(C150="","",('transversal subsidence profile'!$L$5*EXP(-(C150^2)/(2*'transversal subsidence profile'!$J$5^2)))*100)</f>
        <v/>
      </c>
      <c r="Z150" s="664" t="str">
        <f>IF(C150="","",(+'transversal subsidence profile'!$L$6*EXP(-((C150+$G$10)^2)/(2*'transversal subsidence profile'!$J$6^2)))*100)</f>
        <v/>
      </c>
      <c r="AA150" s="751" t="str">
        <f>IF(C150="","",IF('IN-OUT'!$F$26=0,'Damage classification-Rankin'!Z150,IF('IN-OUT'!$F$35=0,Y150,'Damage classification-Rankin'!Y150+'Damage classification-Rankin'!Z150)))</f>
        <v/>
      </c>
      <c r="AB150" s="67"/>
      <c r="AC150" s="67"/>
      <c r="AJ150" s="67"/>
      <c r="AK150" s="67"/>
      <c r="AL150" s="67"/>
      <c r="AM150" s="67"/>
      <c r="AN150" s="67"/>
      <c r="AO150" s="67"/>
      <c r="AP150" s="67"/>
      <c r="AQ150" s="67"/>
      <c r="AR150" s="67"/>
      <c r="AS150" s="67"/>
      <c r="AT150" s="67"/>
      <c r="AU150" s="67"/>
      <c r="AV150" s="67"/>
      <c r="AW150" s="46"/>
      <c r="AX150" s="605"/>
      <c r="AY150" s="73"/>
      <c r="AZ150" s="601"/>
      <c r="BA150" s="601"/>
      <c r="BB150" s="127"/>
      <c r="BC150" s="601"/>
      <c r="BD150" s="601"/>
      <c r="BE150" s="73"/>
      <c r="BF150" s="46"/>
      <c r="BG150" s="73"/>
      <c r="BH150" s="601"/>
      <c r="BI150" s="601"/>
      <c r="BJ150" s="601"/>
      <c r="BK150" s="606"/>
      <c r="BL150" s="606"/>
      <c r="BM150" s="606"/>
      <c r="BN150" s="7"/>
      <c r="BO150" s="7"/>
      <c r="BP150" s="7"/>
      <c r="BQ150" s="7"/>
    </row>
    <row r="151" spans="1:69" ht="13.8" thickBot="1">
      <c r="A151" s="67"/>
      <c r="B151" s="655">
        <f t="shared" si="22"/>
        <v>130</v>
      </c>
      <c r="C151" s="374" t="str">
        <f t="shared" ref="C151:C161" si="24">IF(OR(C150=$D$8,C150=""),"",IF((C150+$C$19)&gt;$D$8,$D$8,C150+$C$19))</f>
        <v/>
      </c>
      <c r="D151" s="784" t="str">
        <f t="shared" si="23"/>
        <v/>
      </c>
      <c r="E151" s="784" t="str">
        <f t="shared" ref="E151:E161" si="25">IF(C151="","",IF(D151&gt;D150,ATAN(((D151-D150))/ABS((C151-C150)*100)),-ATAN(((D150-D151))/ABS((C151-C150)*100))))</f>
        <v/>
      </c>
      <c r="F151" s="785" t="str">
        <f t="shared" ref="F151:F161" si="26">IF(C151&lt;&gt;"",ABS(D150-D151),"")</f>
        <v/>
      </c>
      <c r="G151" s="784" t="str">
        <f t="shared" si="16"/>
        <v/>
      </c>
      <c r="L151" s="67"/>
      <c r="M151" s="67"/>
      <c r="N151" s="67"/>
      <c r="O151" s="67"/>
      <c r="P151" s="67"/>
      <c r="Q151" s="67"/>
      <c r="R151" s="67"/>
      <c r="S151" s="67"/>
      <c r="T151" s="67"/>
      <c r="U151" s="641"/>
      <c r="V151" s="643"/>
      <c r="W151" s="593"/>
      <c r="X151" s="67"/>
      <c r="Y151" s="663" t="str">
        <f>IF(C151="","",('transversal subsidence profile'!$L$5*EXP(-(C151^2)/(2*'transversal subsidence profile'!$J$5^2)))*100)</f>
        <v/>
      </c>
      <c r="Z151" s="664" t="str">
        <f>IF(C151="","",(+'transversal subsidence profile'!$L$6*EXP(-((C151+$G$10)^2)/(2*'transversal subsidence profile'!$J$6^2)))*100)</f>
        <v/>
      </c>
      <c r="AA151" s="751" t="str">
        <f>IF(C151="","",IF('IN-OUT'!$F$26=0,'Damage classification-Rankin'!Z151,IF('IN-OUT'!$F$35=0,Y151,'Damage classification-Rankin'!Y151+'Damage classification-Rankin'!Z151)))</f>
        <v/>
      </c>
      <c r="AB151" s="67"/>
      <c r="AC151" s="67"/>
      <c r="AJ151" s="67"/>
      <c r="AK151" s="67"/>
      <c r="AL151" s="67"/>
      <c r="AM151" s="67"/>
      <c r="AN151" s="67"/>
      <c r="AO151" s="67"/>
      <c r="AP151" s="67"/>
      <c r="AQ151" s="67"/>
      <c r="AR151" s="67"/>
      <c r="AS151" s="67"/>
      <c r="AT151" s="67"/>
      <c r="AU151" s="67"/>
      <c r="AV151" s="67"/>
      <c r="AW151" s="67"/>
      <c r="AX151" s="67"/>
      <c r="AY151" s="67"/>
      <c r="AZ151" s="67"/>
      <c r="BA151" s="67"/>
      <c r="BB151" s="67"/>
      <c r="BC151" s="67"/>
      <c r="BD151" s="67"/>
      <c r="BE151" s="67"/>
      <c r="BF151" s="67"/>
      <c r="BG151" s="67"/>
      <c r="BH151" s="67"/>
      <c r="BI151" s="67"/>
      <c r="BJ151" s="67"/>
      <c r="BK151" s="67"/>
      <c r="BL151" s="67"/>
      <c r="BM151" s="67"/>
      <c r="BN151" s="7"/>
      <c r="BO151" s="7"/>
      <c r="BP151" s="7"/>
      <c r="BQ151" s="7"/>
    </row>
    <row r="152" spans="1:69" ht="13.8" thickBot="1">
      <c r="A152" s="67"/>
      <c r="B152" s="655">
        <f t="shared" si="22"/>
        <v>131</v>
      </c>
      <c r="C152" s="374" t="str">
        <f t="shared" si="24"/>
        <v/>
      </c>
      <c r="D152" s="784" t="str">
        <f t="shared" si="23"/>
        <v/>
      </c>
      <c r="E152" s="784" t="str">
        <f t="shared" si="25"/>
        <v/>
      </c>
      <c r="F152" s="785" t="str">
        <f t="shared" si="26"/>
        <v/>
      </c>
      <c r="G152" s="784" t="str">
        <f t="shared" ref="G152:G215" si="27">IF(C152="","",IF(ABS(C151-C152)&lt;($C$19-0.0001),"",$C$20+E152))</f>
        <v/>
      </c>
      <c r="L152" s="67"/>
      <c r="M152" s="67"/>
      <c r="N152" s="67"/>
      <c r="O152" s="67"/>
      <c r="P152" s="67"/>
      <c r="Q152" s="67"/>
      <c r="R152" s="67"/>
      <c r="S152" s="67"/>
      <c r="T152" s="67"/>
      <c r="U152" s="641"/>
      <c r="V152" s="643"/>
      <c r="W152" s="593"/>
      <c r="X152" s="67"/>
      <c r="Y152" s="663" t="str">
        <f>IF(C152="","",('transversal subsidence profile'!$L$5*EXP(-(C152^2)/(2*'transversal subsidence profile'!$J$5^2)))*100)</f>
        <v/>
      </c>
      <c r="Z152" s="664" t="str">
        <f>IF(C152="","",(+'transversal subsidence profile'!$L$6*EXP(-((C152+$G$10)^2)/(2*'transversal subsidence profile'!$J$6^2)))*100)</f>
        <v/>
      </c>
      <c r="AA152" s="751" t="str">
        <f>IF(C152="","",IF('IN-OUT'!$F$26=0,'Damage classification-Rankin'!Z152,IF('IN-OUT'!$F$35=0,Y152,'Damage classification-Rankin'!Y152+'Damage classification-Rankin'!Z152)))</f>
        <v/>
      </c>
      <c r="AB152" s="67"/>
      <c r="AC152" s="67"/>
      <c r="AJ152" s="67"/>
      <c r="AK152" s="67"/>
      <c r="AL152" s="67"/>
      <c r="AM152" s="67"/>
      <c r="AN152" s="67"/>
      <c r="AO152" s="67"/>
      <c r="AP152" s="67"/>
      <c r="AQ152" s="67"/>
      <c r="AR152" s="67"/>
      <c r="AS152" s="67"/>
      <c r="AT152" s="67"/>
      <c r="AU152" s="67"/>
      <c r="AV152" s="67"/>
      <c r="AW152" s="67"/>
      <c r="AX152" s="67"/>
      <c r="AY152" s="67"/>
      <c r="AZ152" s="67"/>
      <c r="BA152" s="67"/>
      <c r="BB152" s="67"/>
      <c r="BC152" s="67"/>
      <c r="BD152" s="67"/>
      <c r="BE152" s="67"/>
      <c r="BF152" s="67"/>
      <c r="BG152" s="67"/>
      <c r="BH152" s="67"/>
      <c r="BI152" s="67"/>
      <c r="BJ152" s="67"/>
      <c r="BK152" s="67"/>
      <c r="BL152" s="67"/>
      <c r="BM152" s="67"/>
      <c r="BN152" s="7"/>
      <c r="BO152" s="7"/>
      <c r="BP152" s="7"/>
      <c r="BQ152" s="7"/>
    </row>
    <row r="153" spans="1:69" ht="13.8" thickBot="1">
      <c r="A153" s="67"/>
      <c r="B153" s="655">
        <f t="shared" si="22"/>
        <v>132</v>
      </c>
      <c r="C153" s="374" t="str">
        <f t="shared" si="24"/>
        <v/>
      </c>
      <c r="D153" s="784" t="str">
        <f t="shared" si="23"/>
        <v/>
      </c>
      <c r="E153" s="784" t="str">
        <f t="shared" si="25"/>
        <v/>
      </c>
      <c r="F153" s="785" t="str">
        <f t="shared" si="26"/>
        <v/>
      </c>
      <c r="G153" s="784" t="str">
        <f t="shared" si="27"/>
        <v/>
      </c>
      <c r="L153" s="67"/>
      <c r="M153" s="67"/>
      <c r="N153" s="92"/>
      <c r="O153" s="67"/>
      <c r="P153" s="67"/>
      <c r="Q153" s="67"/>
      <c r="R153" s="67"/>
      <c r="S153" s="67"/>
      <c r="T153" s="67"/>
      <c r="U153" s="641"/>
      <c r="V153" s="643"/>
      <c r="W153" s="593"/>
      <c r="X153" s="67"/>
      <c r="Y153" s="663" t="str">
        <f>IF(C153="","",('transversal subsidence profile'!$L$5*EXP(-(C153^2)/(2*'transversal subsidence profile'!$J$5^2)))*100)</f>
        <v/>
      </c>
      <c r="Z153" s="664" t="str">
        <f>IF(C153="","",(+'transversal subsidence profile'!$L$6*EXP(-((C153+$G$10)^2)/(2*'transversal subsidence profile'!$J$6^2)))*100)</f>
        <v/>
      </c>
      <c r="AA153" s="751" t="str">
        <f>IF(C153="","",IF('IN-OUT'!$F$26=0,'Damage classification-Rankin'!Z153,IF('IN-OUT'!$F$35=0,Y153,'Damage classification-Rankin'!Y153+'Damage classification-Rankin'!Z153)))</f>
        <v/>
      </c>
      <c r="AB153" s="67"/>
      <c r="AC153" s="67"/>
      <c r="AJ153" s="67"/>
      <c r="AK153" s="67"/>
      <c r="AL153" s="67"/>
      <c r="AM153" s="67"/>
      <c r="AN153" s="67"/>
      <c r="AO153" s="67"/>
      <c r="AP153" s="67"/>
      <c r="AQ153" s="67"/>
      <c r="AR153" s="67"/>
      <c r="AS153" s="67"/>
      <c r="AT153" s="67"/>
      <c r="AU153" s="67"/>
      <c r="AV153" s="67"/>
      <c r="AW153" s="67"/>
      <c r="AX153" s="67"/>
      <c r="AY153" s="67"/>
      <c r="AZ153" s="67"/>
      <c r="BA153" s="67"/>
      <c r="BB153" s="67"/>
      <c r="BC153" s="67"/>
      <c r="BD153" s="67"/>
      <c r="BE153" s="67"/>
      <c r="BF153" s="67"/>
      <c r="BG153" s="67"/>
      <c r="BH153" s="67"/>
      <c r="BI153" s="67"/>
      <c r="BJ153" s="67"/>
      <c r="BK153" s="67"/>
      <c r="BL153" s="67"/>
      <c r="BM153" s="67"/>
      <c r="BN153" s="7"/>
      <c r="BO153" s="7"/>
      <c r="BP153" s="7"/>
      <c r="BQ153" s="7"/>
    </row>
    <row r="154" spans="1:69" ht="13.8" thickBot="1">
      <c r="A154" s="67"/>
      <c r="B154" s="655">
        <f t="shared" si="22"/>
        <v>133</v>
      </c>
      <c r="C154" s="374" t="str">
        <f t="shared" si="24"/>
        <v/>
      </c>
      <c r="D154" s="784" t="str">
        <f t="shared" si="23"/>
        <v/>
      </c>
      <c r="E154" s="784" t="str">
        <f t="shared" si="25"/>
        <v/>
      </c>
      <c r="F154" s="785" t="str">
        <f t="shared" si="26"/>
        <v/>
      </c>
      <c r="G154" s="784" t="str">
        <f t="shared" si="27"/>
        <v/>
      </c>
      <c r="L154" s="67"/>
      <c r="M154" s="67"/>
      <c r="N154" s="67"/>
      <c r="O154" s="67"/>
      <c r="P154" s="67"/>
      <c r="Q154" s="67"/>
      <c r="R154" s="67"/>
      <c r="S154" s="67"/>
      <c r="T154" s="67"/>
      <c r="U154" s="641"/>
      <c r="V154" s="643"/>
      <c r="W154" s="593"/>
      <c r="X154" s="67"/>
      <c r="Y154" s="663" t="str">
        <f>IF(C154="","",('transversal subsidence profile'!$L$5*EXP(-(C154^2)/(2*'transversal subsidence profile'!$J$5^2)))*100)</f>
        <v/>
      </c>
      <c r="Z154" s="664" t="str">
        <f>IF(C154="","",(+'transversal subsidence profile'!$L$6*EXP(-((C154+$G$10)^2)/(2*'transversal subsidence profile'!$J$6^2)))*100)</f>
        <v/>
      </c>
      <c r="AA154" s="751" t="str">
        <f>IF(C154="","",IF('IN-OUT'!$F$26=0,'Damage classification-Rankin'!Z154,IF('IN-OUT'!$F$35=0,Y154,'Damage classification-Rankin'!Y154+'Damage classification-Rankin'!Z154)))</f>
        <v/>
      </c>
      <c r="AB154" s="67"/>
      <c r="AC154" s="67"/>
      <c r="AJ154" s="67"/>
      <c r="AK154" s="67"/>
      <c r="AL154" s="67"/>
      <c r="AM154" s="67"/>
      <c r="AN154" s="67"/>
      <c r="AO154" s="67"/>
      <c r="AP154" s="67"/>
      <c r="AQ154" s="67"/>
      <c r="AR154" s="67"/>
      <c r="AS154" s="67"/>
      <c r="AT154" s="67"/>
      <c r="AU154" s="67"/>
      <c r="AV154" s="67"/>
      <c r="AW154" s="67"/>
      <c r="AX154" s="67"/>
      <c r="AY154" s="67"/>
      <c r="AZ154" s="67"/>
      <c r="BA154" s="67"/>
      <c r="BB154" s="67"/>
      <c r="BC154" s="67"/>
      <c r="BD154" s="67"/>
      <c r="BE154" s="67"/>
      <c r="BF154" s="67"/>
      <c r="BG154" s="67"/>
      <c r="BH154" s="67"/>
      <c r="BI154" s="67"/>
      <c r="BJ154" s="67"/>
      <c r="BK154" s="67"/>
      <c r="BL154" s="67"/>
      <c r="BM154" s="67"/>
      <c r="BN154" s="7"/>
      <c r="BO154" s="7"/>
      <c r="BP154" s="7"/>
      <c r="BQ154" s="7"/>
    </row>
    <row r="155" spans="1:69" ht="13.8" thickBot="1">
      <c r="A155" s="67"/>
      <c r="B155" s="655">
        <f t="shared" si="22"/>
        <v>134</v>
      </c>
      <c r="C155" s="374" t="str">
        <f t="shared" si="24"/>
        <v/>
      </c>
      <c r="D155" s="784" t="str">
        <f t="shared" si="23"/>
        <v/>
      </c>
      <c r="E155" s="784" t="str">
        <f t="shared" si="25"/>
        <v/>
      </c>
      <c r="F155" s="785" t="str">
        <f t="shared" si="26"/>
        <v/>
      </c>
      <c r="G155" s="784" t="str">
        <f t="shared" si="27"/>
        <v/>
      </c>
      <c r="L155" s="67"/>
      <c r="M155" s="67"/>
      <c r="N155" s="67"/>
      <c r="O155" s="67"/>
      <c r="P155" s="67"/>
      <c r="Q155" s="67"/>
      <c r="R155" s="67"/>
      <c r="S155" s="67"/>
      <c r="T155" s="67"/>
      <c r="U155" s="641"/>
      <c r="V155" s="643"/>
      <c r="W155" s="593"/>
      <c r="X155" s="67"/>
      <c r="Y155" s="663" t="str">
        <f>IF(C155="","",('transversal subsidence profile'!$L$5*EXP(-(C155^2)/(2*'transversal subsidence profile'!$J$5^2)))*100)</f>
        <v/>
      </c>
      <c r="Z155" s="664" t="str">
        <f>IF(C155="","",(+'transversal subsidence profile'!$L$6*EXP(-((C155+$G$10)^2)/(2*'transversal subsidence profile'!$J$6^2)))*100)</f>
        <v/>
      </c>
      <c r="AA155" s="751" t="str">
        <f>IF(C155="","",IF('IN-OUT'!$F$26=0,'Damage classification-Rankin'!Z155,IF('IN-OUT'!$F$35=0,Y155,'Damage classification-Rankin'!Y155+'Damage classification-Rankin'!Z155)))</f>
        <v/>
      </c>
      <c r="AB155" s="67"/>
      <c r="AC155" s="67"/>
      <c r="AJ155" s="67"/>
      <c r="AK155" s="67"/>
      <c r="AL155" s="67"/>
      <c r="AM155" s="67"/>
      <c r="AN155" s="67"/>
      <c r="AO155" s="67"/>
      <c r="AP155" s="67"/>
      <c r="AQ155" s="67"/>
      <c r="AR155" s="67"/>
      <c r="AS155" s="67"/>
      <c r="AT155" s="67"/>
      <c r="AU155" s="67"/>
      <c r="AV155" s="67"/>
      <c r="AW155" s="67"/>
      <c r="AX155" s="67"/>
      <c r="AY155" s="67"/>
      <c r="AZ155" s="67"/>
      <c r="BA155" s="67"/>
      <c r="BB155" s="67"/>
      <c r="BC155" s="67"/>
      <c r="BD155" s="67"/>
      <c r="BE155" s="67"/>
      <c r="BF155" s="67"/>
      <c r="BG155" s="67"/>
      <c r="BH155" s="67"/>
      <c r="BI155" s="67"/>
      <c r="BJ155" s="67"/>
      <c r="BK155" s="67"/>
      <c r="BL155" s="67"/>
      <c r="BM155" s="67"/>
      <c r="BN155" s="7"/>
      <c r="BO155" s="7"/>
      <c r="BP155" s="7"/>
      <c r="BQ155" s="7"/>
    </row>
    <row r="156" spans="1:69" ht="13.8" thickBot="1">
      <c r="A156" s="67"/>
      <c r="B156" s="655">
        <f t="shared" si="22"/>
        <v>135</v>
      </c>
      <c r="C156" s="374" t="str">
        <f t="shared" si="24"/>
        <v/>
      </c>
      <c r="D156" s="784" t="str">
        <f t="shared" si="23"/>
        <v/>
      </c>
      <c r="E156" s="784" t="str">
        <f t="shared" si="25"/>
        <v/>
      </c>
      <c r="F156" s="785" t="str">
        <f t="shared" si="26"/>
        <v/>
      </c>
      <c r="G156" s="784" t="str">
        <f t="shared" si="27"/>
        <v/>
      </c>
      <c r="L156" s="67"/>
      <c r="M156" s="67"/>
      <c r="N156" s="67"/>
      <c r="O156" s="67"/>
      <c r="P156" s="67"/>
      <c r="Q156" s="67"/>
      <c r="R156" s="67"/>
      <c r="S156" s="67"/>
      <c r="T156" s="67"/>
      <c r="U156" s="641"/>
      <c r="V156" s="643"/>
      <c r="W156" s="593"/>
      <c r="X156" s="67"/>
      <c r="Y156" s="663" t="str">
        <f>IF(C156="","",('transversal subsidence profile'!$L$5*EXP(-(C156^2)/(2*'transversal subsidence profile'!$J$5^2)))*100)</f>
        <v/>
      </c>
      <c r="Z156" s="664" t="str">
        <f>IF(C156="","",(+'transversal subsidence profile'!$L$6*EXP(-((C156+$G$10)^2)/(2*'transversal subsidence profile'!$J$6^2)))*100)</f>
        <v/>
      </c>
      <c r="AA156" s="751" t="str">
        <f>IF(C156="","",IF('IN-OUT'!$F$26=0,'Damage classification-Rankin'!Z156,IF('IN-OUT'!$F$35=0,Y156,'Damage classification-Rankin'!Y156+'Damage classification-Rankin'!Z156)))</f>
        <v/>
      </c>
      <c r="AB156" s="67"/>
      <c r="AC156" s="67"/>
      <c r="AJ156" s="67"/>
      <c r="AK156" s="67"/>
      <c r="AL156" s="67"/>
      <c r="AM156" s="67"/>
      <c r="AN156" s="67"/>
      <c r="AO156" s="67"/>
      <c r="AP156" s="67"/>
      <c r="AQ156" s="67"/>
      <c r="AR156" s="67"/>
      <c r="AS156" s="67"/>
      <c r="AT156" s="67"/>
      <c r="AU156" s="67"/>
      <c r="AV156" s="67"/>
      <c r="AW156" s="67"/>
      <c r="AX156" s="67"/>
      <c r="AY156" s="67"/>
      <c r="AZ156" s="67"/>
      <c r="BA156" s="67"/>
      <c r="BB156" s="67"/>
      <c r="BC156" s="67"/>
      <c r="BD156" s="67"/>
      <c r="BE156" s="67"/>
      <c r="BF156" s="67"/>
      <c r="BG156" s="67"/>
      <c r="BH156" s="67"/>
      <c r="BI156" s="67"/>
      <c r="BJ156" s="67"/>
      <c r="BK156" s="67"/>
      <c r="BL156" s="67"/>
      <c r="BM156" s="67"/>
      <c r="BN156" s="7"/>
      <c r="BO156" s="7"/>
      <c r="BP156" s="7"/>
      <c r="BQ156" s="7"/>
    </row>
    <row r="157" spans="1:69" ht="13.8" thickBot="1">
      <c r="A157" s="67"/>
      <c r="B157" s="655">
        <f t="shared" si="22"/>
        <v>136</v>
      </c>
      <c r="C157" s="374" t="str">
        <f t="shared" si="24"/>
        <v/>
      </c>
      <c r="D157" s="784" t="str">
        <f t="shared" si="23"/>
        <v/>
      </c>
      <c r="E157" s="784" t="str">
        <f t="shared" si="25"/>
        <v/>
      </c>
      <c r="F157" s="785" t="str">
        <f t="shared" si="26"/>
        <v/>
      </c>
      <c r="G157" s="784" t="str">
        <f t="shared" si="27"/>
        <v/>
      </c>
      <c r="L157" s="67"/>
      <c r="M157" s="67"/>
      <c r="N157" s="67"/>
      <c r="O157" s="67"/>
      <c r="P157" s="67"/>
      <c r="Q157" s="67"/>
      <c r="R157" s="67"/>
      <c r="S157" s="67"/>
      <c r="T157" s="67"/>
      <c r="U157" s="641"/>
      <c r="V157" s="643"/>
      <c r="W157" s="593"/>
      <c r="X157" s="67"/>
      <c r="Y157" s="663" t="str">
        <f>IF(C157="","",('transversal subsidence profile'!$L$5*EXP(-(C157^2)/(2*'transversal subsidence profile'!$J$5^2)))*100)</f>
        <v/>
      </c>
      <c r="Z157" s="664" t="str">
        <f>IF(C157="","",(+'transversal subsidence profile'!$L$6*EXP(-((C157+$G$10)^2)/(2*'transversal subsidence profile'!$J$6^2)))*100)</f>
        <v/>
      </c>
      <c r="AA157" s="751" t="str">
        <f>IF(C157="","",IF('IN-OUT'!$F$26=0,'Damage classification-Rankin'!Z157,IF('IN-OUT'!$F$35=0,Y157,'Damage classification-Rankin'!Y157+'Damage classification-Rankin'!Z157)))</f>
        <v/>
      </c>
      <c r="AB157" s="67"/>
      <c r="AC157" s="67"/>
      <c r="AJ157" s="67"/>
      <c r="AK157" s="67"/>
      <c r="AL157" s="67"/>
      <c r="AM157" s="67"/>
      <c r="AN157" s="67"/>
      <c r="AO157" s="67"/>
      <c r="AP157" s="67"/>
      <c r="AQ157" s="67"/>
      <c r="AR157" s="67"/>
      <c r="AS157" s="67"/>
      <c r="AT157" s="67"/>
      <c r="AU157" s="67"/>
      <c r="AV157" s="67"/>
      <c r="AW157" s="67"/>
      <c r="AX157" s="67"/>
      <c r="AY157" s="67"/>
      <c r="AZ157" s="67"/>
      <c r="BA157" s="67"/>
      <c r="BB157" s="67"/>
      <c r="BC157" s="67"/>
      <c r="BD157" s="67"/>
      <c r="BE157" s="67"/>
      <c r="BF157" s="67"/>
      <c r="BG157" s="67"/>
      <c r="BH157" s="67"/>
      <c r="BI157" s="67"/>
      <c r="BJ157" s="67"/>
      <c r="BK157" s="67"/>
      <c r="BL157" s="67"/>
      <c r="BM157" s="67"/>
      <c r="BN157" s="7"/>
      <c r="BO157" s="7"/>
      <c r="BP157" s="7"/>
      <c r="BQ157" s="7"/>
    </row>
    <row r="158" spans="1:69" ht="13.8" thickBot="1">
      <c r="A158" s="67"/>
      <c r="B158" s="655">
        <f t="shared" si="22"/>
        <v>137</v>
      </c>
      <c r="C158" s="374" t="str">
        <f t="shared" si="24"/>
        <v/>
      </c>
      <c r="D158" s="784" t="str">
        <f t="shared" si="23"/>
        <v/>
      </c>
      <c r="E158" s="784" t="str">
        <f t="shared" si="25"/>
        <v/>
      </c>
      <c r="F158" s="785" t="str">
        <f t="shared" si="26"/>
        <v/>
      </c>
      <c r="G158" s="784" t="str">
        <f t="shared" si="27"/>
        <v/>
      </c>
      <c r="L158" s="67"/>
      <c r="M158" s="67"/>
      <c r="N158" s="67"/>
      <c r="O158" s="67"/>
      <c r="P158" s="67"/>
      <c r="Q158" s="67"/>
      <c r="R158" s="67"/>
      <c r="S158" s="67"/>
      <c r="T158" s="67"/>
      <c r="U158" s="641"/>
      <c r="V158" s="643"/>
      <c r="W158" s="593"/>
      <c r="X158" s="67"/>
      <c r="Y158" s="663" t="str">
        <f>IF(C158="","",('transversal subsidence profile'!$L$5*EXP(-(C158^2)/(2*'transversal subsidence profile'!$J$5^2)))*100)</f>
        <v/>
      </c>
      <c r="Z158" s="664" t="str">
        <f>IF(C158="","",(+'transversal subsidence profile'!$L$6*EXP(-((C158+$G$10)^2)/(2*'transversal subsidence profile'!$J$6^2)))*100)</f>
        <v/>
      </c>
      <c r="AA158" s="751" t="str">
        <f>IF(C158="","",IF('IN-OUT'!$F$26=0,'Damage classification-Rankin'!Z158,IF('IN-OUT'!$F$35=0,Y158,'Damage classification-Rankin'!Y158+'Damage classification-Rankin'!Z158)))</f>
        <v/>
      </c>
      <c r="AB158" s="67"/>
      <c r="AC158" s="67"/>
      <c r="AJ158" s="67"/>
      <c r="AK158" s="67"/>
      <c r="AL158" s="67"/>
      <c r="AM158" s="67"/>
      <c r="AN158" s="67"/>
      <c r="AO158" s="67"/>
      <c r="AP158" s="67"/>
      <c r="AQ158" s="67"/>
      <c r="AR158" s="67"/>
      <c r="AS158" s="67"/>
      <c r="AT158" s="67"/>
      <c r="AU158" s="67"/>
      <c r="AV158" s="67"/>
      <c r="AW158" s="67"/>
      <c r="AX158" s="67"/>
      <c r="AY158" s="67"/>
      <c r="AZ158" s="67"/>
      <c r="BA158" s="67"/>
    </row>
    <row r="159" spans="1:69" ht="13.8" thickBot="1">
      <c r="A159" s="67"/>
      <c r="B159" s="655">
        <f t="shared" si="22"/>
        <v>138</v>
      </c>
      <c r="C159" s="374" t="str">
        <f t="shared" si="24"/>
        <v/>
      </c>
      <c r="D159" s="784" t="str">
        <f t="shared" si="23"/>
        <v/>
      </c>
      <c r="E159" s="784" t="str">
        <f t="shared" si="25"/>
        <v/>
      </c>
      <c r="F159" s="785" t="str">
        <f t="shared" si="26"/>
        <v/>
      </c>
      <c r="G159" s="784" t="str">
        <f t="shared" si="27"/>
        <v/>
      </c>
      <c r="L159" s="67"/>
      <c r="M159" s="67"/>
      <c r="N159" s="67"/>
      <c r="O159" s="67"/>
      <c r="P159" s="67"/>
      <c r="Q159" s="67"/>
      <c r="R159" s="67"/>
      <c r="S159" s="67"/>
      <c r="T159" s="67"/>
      <c r="U159" s="641"/>
      <c r="V159" s="643"/>
      <c r="W159" s="593"/>
      <c r="X159" s="67"/>
      <c r="Y159" s="663" t="str">
        <f>IF(C159="","",('transversal subsidence profile'!$L$5*EXP(-(C159^2)/(2*'transversal subsidence profile'!$J$5^2)))*100)</f>
        <v/>
      </c>
      <c r="Z159" s="664" t="str">
        <f>IF(C159="","",(+'transversal subsidence profile'!$L$6*EXP(-((C159+$G$10)^2)/(2*'transversal subsidence profile'!$J$6^2)))*100)</f>
        <v/>
      </c>
      <c r="AA159" s="751" t="str">
        <f>IF(C159="","",IF('IN-OUT'!$F$26=0,'Damage classification-Rankin'!Z159,IF('IN-OUT'!$F$35=0,Y159,'Damage classification-Rankin'!Y159+'Damage classification-Rankin'!Z159)))</f>
        <v/>
      </c>
      <c r="AB159" s="67"/>
      <c r="AC159" s="67"/>
      <c r="AJ159" s="67"/>
      <c r="AK159" s="67"/>
      <c r="AL159" s="67"/>
      <c r="AM159" s="67"/>
      <c r="AN159" s="67"/>
      <c r="AO159" s="67"/>
      <c r="AP159" s="67"/>
      <c r="AQ159" s="67"/>
      <c r="AR159" s="67"/>
      <c r="AS159" s="67"/>
      <c r="AT159" s="67"/>
      <c r="AU159" s="67"/>
      <c r="AV159" s="67"/>
      <c r="AW159" s="67"/>
      <c r="AX159" s="67"/>
      <c r="AY159" s="67"/>
      <c r="AZ159" s="67"/>
      <c r="BA159" s="67"/>
    </row>
    <row r="160" spans="1:69" ht="13.8" thickBot="1">
      <c r="A160" s="67"/>
      <c r="B160" s="655">
        <f t="shared" si="22"/>
        <v>139</v>
      </c>
      <c r="C160" s="374" t="str">
        <f t="shared" si="24"/>
        <v/>
      </c>
      <c r="D160" s="784" t="str">
        <f t="shared" si="23"/>
        <v/>
      </c>
      <c r="E160" s="784" t="str">
        <f t="shared" si="25"/>
        <v/>
      </c>
      <c r="F160" s="785" t="str">
        <f t="shared" si="26"/>
        <v/>
      </c>
      <c r="G160" s="784" t="str">
        <f t="shared" si="27"/>
        <v/>
      </c>
      <c r="L160" s="67"/>
      <c r="M160" s="67"/>
      <c r="N160" s="67"/>
      <c r="O160" s="67"/>
      <c r="P160" s="67"/>
      <c r="Q160" s="67"/>
      <c r="R160" s="67"/>
      <c r="S160" s="67"/>
      <c r="T160" s="67"/>
      <c r="U160" s="641"/>
      <c r="V160" s="643"/>
      <c r="W160" s="593"/>
      <c r="X160" s="67"/>
      <c r="Y160" s="663" t="str">
        <f>IF(C160="","",('transversal subsidence profile'!$L$5*EXP(-(C160^2)/(2*'transversal subsidence profile'!$J$5^2)))*100)</f>
        <v/>
      </c>
      <c r="Z160" s="664" t="str">
        <f>IF(C160="","",(+'transversal subsidence profile'!$L$6*EXP(-((C160+$G$10)^2)/(2*'transversal subsidence profile'!$J$6^2)))*100)</f>
        <v/>
      </c>
      <c r="AA160" s="751" t="str">
        <f>IF(C160="","",IF('IN-OUT'!$F$26=0,'Damage classification-Rankin'!Z160,IF('IN-OUT'!$F$35=0,Y160,'Damage classification-Rankin'!Y160+'Damage classification-Rankin'!Z160)))</f>
        <v/>
      </c>
      <c r="AB160" s="67"/>
      <c r="AC160" s="67"/>
      <c r="AJ160" s="67"/>
      <c r="AK160" s="67"/>
      <c r="AL160" s="67"/>
      <c r="AM160" s="67"/>
      <c r="AN160" s="67"/>
      <c r="AO160" s="67"/>
      <c r="AP160" s="67"/>
      <c r="AQ160" s="67"/>
      <c r="AR160" s="67"/>
      <c r="AS160" s="67"/>
      <c r="AT160" s="67"/>
      <c r="AU160" s="67"/>
      <c r="AV160" s="67"/>
      <c r="AW160" s="67"/>
      <c r="AX160" s="67"/>
      <c r="AY160" s="67"/>
      <c r="AZ160" s="67"/>
      <c r="BA160" s="67"/>
    </row>
    <row r="161" spans="1:53" s="724" customFormat="1" ht="13.8" thickBot="1">
      <c r="A161" s="713"/>
      <c r="B161" s="655">
        <f t="shared" si="22"/>
        <v>140</v>
      </c>
      <c r="C161" s="374" t="str">
        <f t="shared" si="24"/>
        <v/>
      </c>
      <c r="D161" s="784" t="str">
        <f t="shared" si="23"/>
        <v/>
      </c>
      <c r="E161" s="784" t="str">
        <f t="shared" si="25"/>
        <v/>
      </c>
      <c r="F161" s="785" t="str">
        <f t="shared" si="26"/>
        <v/>
      </c>
      <c r="G161" s="784" t="str">
        <f t="shared" si="27"/>
        <v/>
      </c>
      <c r="L161" s="713"/>
      <c r="M161" s="713"/>
      <c r="N161" s="713"/>
      <c r="O161" s="713"/>
      <c r="P161" s="713"/>
      <c r="Q161" s="713"/>
      <c r="R161" s="713"/>
      <c r="S161" s="713"/>
      <c r="T161" s="713"/>
      <c r="U161" s="725"/>
      <c r="V161" s="726"/>
      <c r="W161" s="727"/>
      <c r="X161" s="713"/>
      <c r="Y161" s="663" t="str">
        <f>IF(C161="","",('transversal subsidence profile'!$L$5*EXP(-(C161^2)/(2*'transversal subsidence profile'!$J$5^2)))*100)</f>
        <v/>
      </c>
      <c r="Z161" s="664" t="str">
        <f>IF(C161="","",(+'transversal subsidence profile'!$L$6*EXP(-((C161+$G$10)^2)/(2*'transversal subsidence profile'!$J$6^2)))*100)</f>
        <v/>
      </c>
      <c r="AA161" s="751" t="str">
        <f>IF(C161="","",IF('IN-OUT'!$F$26=0,'Damage classification-Rankin'!Z161,IF('IN-OUT'!$F$35=0,Y161,'Damage classification-Rankin'!Y161+'Damage classification-Rankin'!Z161)))</f>
        <v/>
      </c>
      <c r="AB161" s="713"/>
      <c r="AC161" s="713"/>
      <c r="AJ161" s="713"/>
      <c r="AK161" s="713"/>
      <c r="AL161" s="713"/>
      <c r="AM161" s="713"/>
      <c r="AN161" s="713"/>
      <c r="AO161" s="713"/>
      <c r="AP161" s="713"/>
      <c r="AQ161" s="713"/>
      <c r="AR161" s="713"/>
      <c r="AS161" s="713"/>
      <c r="AT161" s="713"/>
      <c r="AU161" s="713"/>
      <c r="AV161" s="713"/>
      <c r="AW161" s="713"/>
      <c r="AX161" s="713"/>
      <c r="AY161" s="713"/>
      <c r="AZ161" s="713"/>
      <c r="BA161" s="713"/>
    </row>
    <row r="162" spans="1:53" ht="13.8" thickBot="1">
      <c r="A162" s="67"/>
      <c r="B162" s="655">
        <f t="shared" ref="B162:B225" si="28">B161+1</f>
        <v>141</v>
      </c>
      <c r="C162" s="374" t="str">
        <f t="shared" ref="C162:C225" si="29">IF(OR(C161=$D$8,C161=""),"",IF((C161+$C$19)&gt;$D$8,$D$8,C161+$C$19))</f>
        <v/>
      </c>
      <c r="D162" s="784" t="str">
        <f t="shared" ref="D162:D225" si="30">AA162</f>
        <v/>
      </c>
      <c r="E162" s="784" t="str">
        <f t="shared" ref="E162:E225" si="31">IF(C162="","",IF(D162&gt;D161,ATAN(((D162-D161))/ABS((C162-C161)*100)),-ATAN(((D161-D162))/ABS((C162-C161)*100))))</f>
        <v/>
      </c>
      <c r="F162" s="785" t="str">
        <f t="shared" ref="F162:F225" si="32">IF(C162&lt;&gt;"",ABS(D161-D162),"")</f>
        <v/>
      </c>
      <c r="G162" s="784" t="str">
        <f t="shared" si="27"/>
        <v/>
      </c>
      <c r="L162" s="67"/>
      <c r="M162" s="67"/>
      <c r="N162" s="67"/>
      <c r="O162" s="67"/>
      <c r="P162" s="67"/>
      <c r="Q162" s="67"/>
      <c r="R162" s="67"/>
      <c r="S162" s="67"/>
      <c r="T162" s="67"/>
      <c r="U162" s="641"/>
      <c r="V162" s="643"/>
      <c r="W162" s="593"/>
      <c r="X162" s="67"/>
      <c r="Y162" s="663" t="str">
        <f>IF(C162="","",('transversal subsidence profile'!$L$5*EXP(-(C162^2)/(2*'transversal subsidence profile'!$J$5^2)))*100)</f>
        <v/>
      </c>
      <c r="Z162" s="664" t="str">
        <f>IF(C162="","",(+'transversal subsidence profile'!$L$6*EXP(-((C162+$G$10)^2)/(2*'transversal subsidence profile'!$J$6^2)))*100)</f>
        <v/>
      </c>
      <c r="AA162" s="751" t="str">
        <f>IF(C162="","",IF('IN-OUT'!$F$26=0,'Damage classification-Rankin'!Z162,IF('IN-OUT'!$F$35=0,Y162,'Damage classification-Rankin'!Y162+'Damage classification-Rankin'!Z162)))</f>
        <v/>
      </c>
      <c r="AB162" s="67"/>
      <c r="AC162" s="67"/>
      <c r="AJ162" s="67"/>
      <c r="AK162" s="67"/>
      <c r="AL162" s="67"/>
      <c r="AM162" s="67"/>
      <c r="AN162" s="67"/>
      <c r="AO162" s="67"/>
      <c r="AP162" s="67"/>
      <c r="AQ162" s="67"/>
      <c r="AR162" s="67"/>
      <c r="AS162" s="67"/>
      <c r="AT162" s="67"/>
      <c r="AU162" s="67"/>
      <c r="AV162" s="67"/>
      <c r="AW162" s="67"/>
      <c r="AX162" s="67"/>
      <c r="AY162" s="67"/>
      <c r="AZ162" s="67"/>
      <c r="BA162" s="67"/>
    </row>
    <row r="163" spans="1:53" ht="13.8" thickBot="1">
      <c r="A163" s="67"/>
      <c r="B163" s="655">
        <f t="shared" si="28"/>
        <v>142</v>
      </c>
      <c r="C163" s="374" t="str">
        <f t="shared" si="29"/>
        <v/>
      </c>
      <c r="D163" s="784" t="str">
        <f t="shared" si="30"/>
        <v/>
      </c>
      <c r="E163" s="784" t="str">
        <f t="shared" si="31"/>
        <v/>
      </c>
      <c r="F163" s="785" t="str">
        <f t="shared" si="32"/>
        <v/>
      </c>
      <c r="G163" s="784" t="str">
        <f t="shared" si="27"/>
        <v/>
      </c>
      <c r="L163" s="67"/>
      <c r="M163" s="67"/>
      <c r="N163" s="67"/>
      <c r="O163" s="67"/>
      <c r="P163" s="67"/>
      <c r="Q163" s="67"/>
      <c r="R163" s="67"/>
      <c r="S163" s="67"/>
      <c r="T163" s="67"/>
      <c r="U163" s="641"/>
      <c r="V163" s="643"/>
      <c r="W163" s="593"/>
      <c r="X163" s="67"/>
      <c r="Y163" s="663" t="str">
        <f>IF(C163="","",('transversal subsidence profile'!$L$5*EXP(-(C163^2)/(2*'transversal subsidence profile'!$J$5^2)))*100)</f>
        <v/>
      </c>
      <c r="Z163" s="664" t="str">
        <f>IF(C163="","",(+'transversal subsidence profile'!$L$6*EXP(-((C163+$G$10)^2)/(2*'transversal subsidence profile'!$J$6^2)))*100)</f>
        <v/>
      </c>
      <c r="AA163" s="751" t="str">
        <f>IF(C163="","",IF('IN-OUT'!$F$26=0,'Damage classification-Rankin'!Z163,IF('IN-OUT'!$F$35=0,Y163,'Damage classification-Rankin'!Y163+'Damage classification-Rankin'!Z163)))</f>
        <v/>
      </c>
      <c r="AB163" s="67"/>
      <c r="AC163" s="67"/>
      <c r="AJ163" s="67"/>
      <c r="AK163" s="67"/>
      <c r="AL163" s="67"/>
      <c r="AM163" s="67"/>
      <c r="AN163" s="67"/>
      <c r="AO163" s="67"/>
      <c r="AP163" s="67"/>
      <c r="AQ163" s="67"/>
      <c r="AR163" s="67"/>
      <c r="AS163" s="67"/>
      <c r="AT163" s="67"/>
      <c r="AU163" s="67"/>
      <c r="AV163" s="67"/>
      <c r="AW163" s="67"/>
      <c r="AX163" s="67"/>
      <c r="AY163" s="67"/>
      <c r="AZ163" s="67"/>
      <c r="BA163" s="67"/>
    </row>
    <row r="164" spans="1:53" ht="13.8" thickBot="1">
      <c r="A164" s="67"/>
      <c r="B164" s="655">
        <f t="shared" si="28"/>
        <v>143</v>
      </c>
      <c r="C164" s="374" t="str">
        <f t="shared" si="29"/>
        <v/>
      </c>
      <c r="D164" s="784" t="str">
        <f t="shared" si="30"/>
        <v/>
      </c>
      <c r="E164" s="784" t="str">
        <f t="shared" si="31"/>
        <v/>
      </c>
      <c r="F164" s="785" t="str">
        <f t="shared" si="32"/>
        <v/>
      </c>
      <c r="G164" s="784" t="str">
        <f t="shared" si="27"/>
        <v/>
      </c>
      <c r="L164" s="67"/>
      <c r="M164" s="67"/>
      <c r="N164" s="67"/>
      <c r="O164" s="67"/>
      <c r="P164" s="67"/>
      <c r="Q164" s="67"/>
      <c r="R164" s="67"/>
      <c r="S164" s="67"/>
      <c r="T164" s="67"/>
      <c r="U164" s="641"/>
      <c r="V164" s="643"/>
      <c r="W164" s="593"/>
      <c r="X164" s="67"/>
      <c r="Y164" s="663" t="str">
        <f>IF(C164="","",('transversal subsidence profile'!$L$5*EXP(-(C164^2)/(2*'transversal subsidence profile'!$J$5^2)))*100)</f>
        <v/>
      </c>
      <c r="Z164" s="664" t="str">
        <f>IF(C164="","",(+'transversal subsidence profile'!$L$6*EXP(-((C164+$G$10)^2)/(2*'transversal subsidence profile'!$J$6^2)))*100)</f>
        <v/>
      </c>
      <c r="AA164" s="751" t="str">
        <f>IF(C164="","",IF('IN-OUT'!$F$26=0,'Damage classification-Rankin'!Z164,IF('IN-OUT'!$F$35=0,Y164,'Damage classification-Rankin'!Y164+'Damage classification-Rankin'!Z164)))</f>
        <v/>
      </c>
      <c r="AB164" s="67"/>
      <c r="AC164" s="67"/>
      <c r="AJ164" s="67"/>
      <c r="AK164" s="67"/>
      <c r="AL164" s="67"/>
      <c r="AM164" s="67"/>
      <c r="AN164" s="67"/>
      <c r="AO164" s="67"/>
      <c r="AP164" s="67"/>
      <c r="AQ164" s="67"/>
      <c r="AR164" s="67"/>
      <c r="AS164" s="67"/>
      <c r="AT164" s="67"/>
      <c r="AU164" s="67"/>
      <c r="AV164" s="67"/>
      <c r="AW164" s="67"/>
      <c r="AX164" s="67"/>
      <c r="AY164" s="67"/>
      <c r="AZ164" s="67"/>
      <c r="BA164" s="67"/>
    </row>
    <row r="165" spans="1:53" ht="13.8" thickBot="1">
      <c r="A165" s="67"/>
      <c r="B165" s="655">
        <f t="shared" si="28"/>
        <v>144</v>
      </c>
      <c r="C165" s="374" t="str">
        <f t="shared" si="29"/>
        <v/>
      </c>
      <c r="D165" s="784" t="str">
        <f t="shared" si="30"/>
        <v/>
      </c>
      <c r="E165" s="784" t="str">
        <f t="shared" si="31"/>
        <v/>
      </c>
      <c r="F165" s="785" t="str">
        <f t="shared" si="32"/>
        <v/>
      </c>
      <c r="G165" s="784" t="str">
        <f t="shared" si="27"/>
        <v/>
      </c>
      <c r="L165" s="67"/>
      <c r="M165" s="67"/>
      <c r="N165" s="67"/>
      <c r="O165" s="67"/>
      <c r="P165" s="67"/>
      <c r="Q165" s="67"/>
      <c r="R165" s="67"/>
      <c r="S165" s="67"/>
      <c r="T165" s="67"/>
      <c r="U165" s="641"/>
      <c r="V165" s="643"/>
      <c r="W165" s="593"/>
      <c r="X165" s="67"/>
      <c r="Y165" s="663" t="str">
        <f>IF(C165="","",('transversal subsidence profile'!$L$5*EXP(-(C165^2)/(2*'transversal subsidence profile'!$J$5^2)))*100)</f>
        <v/>
      </c>
      <c r="Z165" s="664" t="str">
        <f>IF(C165="","",(+'transversal subsidence profile'!$L$6*EXP(-((C165+$G$10)^2)/(2*'transversal subsidence profile'!$J$6^2)))*100)</f>
        <v/>
      </c>
      <c r="AA165" s="751" t="str">
        <f>IF(C165="","",IF('IN-OUT'!$F$26=0,'Damage classification-Rankin'!Z165,IF('IN-OUT'!$F$35=0,Y165,'Damage classification-Rankin'!Y165+'Damage classification-Rankin'!Z165)))</f>
        <v/>
      </c>
      <c r="AB165" s="67"/>
      <c r="AC165" s="67"/>
      <c r="AJ165" s="67"/>
      <c r="AK165" s="67"/>
      <c r="AL165" s="67"/>
      <c r="AM165" s="67"/>
      <c r="AN165" s="67"/>
      <c r="AO165" s="67"/>
      <c r="AP165" s="67"/>
      <c r="AQ165" s="67"/>
      <c r="AR165" s="67"/>
      <c r="AS165" s="67"/>
      <c r="AT165" s="67"/>
      <c r="AU165" s="67"/>
      <c r="AV165" s="67"/>
      <c r="AW165" s="67"/>
      <c r="AX165" s="67"/>
      <c r="AY165" s="67"/>
      <c r="AZ165" s="67"/>
      <c r="BA165" s="67"/>
    </row>
    <row r="166" spans="1:53" ht="13.8" thickBot="1">
      <c r="A166" s="67"/>
      <c r="B166" s="655">
        <f t="shared" si="28"/>
        <v>145</v>
      </c>
      <c r="C166" s="374" t="str">
        <f t="shared" si="29"/>
        <v/>
      </c>
      <c r="D166" s="784" t="str">
        <f t="shared" si="30"/>
        <v/>
      </c>
      <c r="E166" s="784" t="str">
        <f t="shared" si="31"/>
        <v/>
      </c>
      <c r="F166" s="785" t="str">
        <f t="shared" si="32"/>
        <v/>
      </c>
      <c r="G166" s="784" t="str">
        <f t="shared" si="27"/>
        <v/>
      </c>
      <c r="L166" s="67"/>
      <c r="M166" s="67"/>
      <c r="N166" s="67"/>
      <c r="O166" s="67"/>
      <c r="P166" s="67"/>
      <c r="Q166" s="67"/>
      <c r="R166" s="67"/>
      <c r="S166" s="67"/>
      <c r="T166" s="67"/>
      <c r="U166" s="641"/>
      <c r="V166" s="643"/>
      <c r="W166" s="593"/>
      <c r="X166" s="67"/>
      <c r="Y166" s="663" t="str">
        <f>IF(C166="","",('transversal subsidence profile'!$L$5*EXP(-(C166^2)/(2*'transversal subsidence profile'!$J$5^2)))*100)</f>
        <v/>
      </c>
      <c r="Z166" s="664" t="str">
        <f>IF(C166="","",(+'transversal subsidence profile'!$L$6*EXP(-((C166+$G$10)^2)/(2*'transversal subsidence profile'!$J$6^2)))*100)</f>
        <v/>
      </c>
      <c r="AA166" s="751" t="str">
        <f>IF(C166="","",IF('IN-OUT'!$F$26=0,'Damage classification-Rankin'!Z166,IF('IN-OUT'!$F$35=0,Y166,'Damage classification-Rankin'!Y166+'Damage classification-Rankin'!Z166)))</f>
        <v/>
      </c>
      <c r="AB166" s="67"/>
      <c r="AC166" s="67"/>
      <c r="AJ166" s="67"/>
      <c r="AK166" s="67"/>
      <c r="AL166" s="67"/>
      <c r="AM166" s="67"/>
      <c r="AN166" s="67"/>
      <c r="AO166" s="67"/>
      <c r="AP166" s="67"/>
      <c r="AQ166" s="67"/>
      <c r="AR166" s="67"/>
      <c r="AS166" s="67"/>
      <c r="AT166" s="67"/>
      <c r="AU166" s="67"/>
      <c r="AV166" s="67"/>
      <c r="AW166" s="67"/>
      <c r="AX166" s="67"/>
      <c r="AY166" s="67"/>
      <c r="AZ166" s="67"/>
      <c r="BA166" s="67"/>
    </row>
    <row r="167" spans="1:53" ht="13.8" thickBot="1">
      <c r="A167" s="67"/>
      <c r="B167" s="655">
        <f t="shared" si="28"/>
        <v>146</v>
      </c>
      <c r="C167" s="374" t="str">
        <f t="shared" si="29"/>
        <v/>
      </c>
      <c r="D167" s="784" t="str">
        <f t="shared" si="30"/>
        <v/>
      </c>
      <c r="E167" s="784" t="str">
        <f t="shared" si="31"/>
        <v/>
      </c>
      <c r="F167" s="785" t="str">
        <f t="shared" si="32"/>
        <v/>
      </c>
      <c r="G167" s="784" t="str">
        <f t="shared" si="27"/>
        <v/>
      </c>
      <c r="L167" s="67"/>
      <c r="M167" s="67"/>
      <c r="N167" s="67"/>
      <c r="O167" s="67"/>
      <c r="P167" s="67"/>
      <c r="Q167" s="67"/>
      <c r="R167" s="67"/>
      <c r="S167" s="67"/>
      <c r="T167" s="67"/>
      <c r="U167" s="641"/>
      <c r="V167" s="643"/>
      <c r="W167" s="593"/>
      <c r="X167" s="67"/>
      <c r="Y167" s="663" t="str">
        <f>IF(C167="","",('transversal subsidence profile'!$L$5*EXP(-(C167^2)/(2*'transversal subsidence profile'!$J$5^2)))*100)</f>
        <v/>
      </c>
      <c r="Z167" s="664" t="str">
        <f>IF(C167="","",(+'transversal subsidence profile'!$L$6*EXP(-((C167+$G$10)^2)/(2*'transversal subsidence profile'!$J$6^2)))*100)</f>
        <v/>
      </c>
      <c r="AA167" s="751" t="str">
        <f>IF(C167="","",IF('IN-OUT'!$F$26=0,'Damage classification-Rankin'!Z167,IF('IN-OUT'!$F$35=0,Y167,'Damage classification-Rankin'!Y167+'Damage classification-Rankin'!Z167)))</f>
        <v/>
      </c>
      <c r="AB167" s="67"/>
      <c r="AC167" s="67"/>
      <c r="AJ167" s="67"/>
      <c r="AK167" s="67"/>
      <c r="AL167" s="67"/>
      <c r="AM167" s="67"/>
      <c r="AN167" s="67"/>
      <c r="AO167" s="67"/>
      <c r="AP167" s="67"/>
      <c r="AQ167" s="67"/>
      <c r="AR167" s="67"/>
      <c r="AS167" s="67"/>
      <c r="AT167" s="67"/>
      <c r="AU167" s="67"/>
      <c r="AV167" s="67"/>
      <c r="AW167" s="67"/>
      <c r="AX167" s="67"/>
      <c r="AY167" s="67"/>
      <c r="AZ167" s="67"/>
      <c r="BA167" s="67"/>
    </row>
    <row r="168" spans="1:53" ht="13.8" thickBot="1">
      <c r="A168" s="67"/>
      <c r="B168" s="655">
        <f t="shared" si="28"/>
        <v>147</v>
      </c>
      <c r="C168" s="374" t="str">
        <f t="shared" si="29"/>
        <v/>
      </c>
      <c r="D168" s="784" t="str">
        <f t="shared" si="30"/>
        <v/>
      </c>
      <c r="E168" s="784" t="str">
        <f t="shared" si="31"/>
        <v/>
      </c>
      <c r="F168" s="785" t="str">
        <f t="shared" si="32"/>
        <v/>
      </c>
      <c r="G168" s="784" t="str">
        <f t="shared" si="27"/>
        <v/>
      </c>
      <c r="L168" s="67"/>
      <c r="M168" s="67"/>
      <c r="N168" s="67"/>
      <c r="O168" s="67"/>
      <c r="P168" s="67"/>
      <c r="Q168" s="67"/>
      <c r="R168" s="67"/>
      <c r="S168" s="67"/>
      <c r="T168" s="67"/>
      <c r="U168" s="641"/>
      <c r="V168" s="643"/>
      <c r="W168" s="593"/>
      <c r="X168" s="67"/>
      <c r="Y168" s="663" t="str">
        <f>IF(C168="","",('transversal subsidence profile'!$L$5*EXP(-(C168^2)/(2*'transversal subsidence profile'!$J$5^2)))*100)</f>
        <v/>
      </c>
      <c r="Z168" s="664" t="str">
        <f>IF(C168="","",(+'transversal subsidence profile'!$L$6*EXP(-((C168+$G$10)^2)/(2*'transversal subsidence profile'!$J$6^2)))*100)</f>
        <v/>
      </c>
      <c r="AA168" s="751" t="str">
        <f>IF(C168="","",IF('IN-OUT'!$F$26=0,'Damage classification-Rankin'!Z168,IF('IN-OUT'!$F$35=0,Y168,'Damage classification-Rankin'!Y168+'Damage classification-Rankin'!Z168)))</f>
        <v/>
      </c>
      <c r="AB168" s="67"/>
      <c r="AC168" s="67"/>
      <c r="AJ168" s="67"/>
      <c r="AK168" s="67"/>
      <c r="AL168" s="67"/>
      <c r="AM168" s="67"/>
      <c r="AN168" s="67"/>
      <c r="AO168" s="67"/>
      <c r="AP168" s="67"/>
      <c r="AQ168" s="67"/>
      <c r="AR168" s="67"/>
      <c r="AS168" s="67"/>
      <c r="AT168" s="67"/>
      <c r="AU168" s="67"/>
      <c r="AV168" s="67"/>
      <c r="AW168" s="67"/>
      <c r="AX168" s="67"/>
      <c r="AY168" s="67"/>
      <c r="AZ168" s="67"/>
      <c r="BA168" s="67"/>
    </row>
    <row r="169" spans="1:53" ht="13.8" thickBot="1">
      <c r="A169" s="67"/>
      <c r="B169" s="655">
        <f t="shared" si="28"/>
        <v>148</v>
      </c>
      <c r="C169" s="374" t="str">
        <f t="shared" si="29"/>
        <v/>
      </c>
      <c r="D169" s="784" t="str">
        <f t="shared" si="30"/>
        <v/>
      </c>
      <c r="E169" s="784" t="str">
        <f t="shared" si="31"/>
        <v/>
      </c>
      <c r="F169" s="785" t="str">
        <f t="shared" si="32"/>
        <v/>
      </c>
      <c r="G169" s="784" t="str">
        <f t="shared" si="27"/>
        <v/>
      </c>
      <c r="L169" s="67"/>
      <c r="M169" s="67"/>
      <c r="N169" s="67"/>
      <c r="O169" s="67"/>
      <c r="P169" s="67"/>
      <c r="Q169" s="67"/>
      <c r="R169" s="67"/>
      <c r="S169" s="67"/>
      <c r="T169" s="67"/>
      <c r="U169" s="641"/>
      <c r="V169" s="643"/>
      <c r="W169" s="593"/>
      <c r="X169" s="67"/>
      <c r="Y169" s="663" t="str">
        <f>IF(C169="","",('transversal subsidence profile'!$L$5*EXP(-(C169^2)/(2*'transversal subsidence profile'!$J$5^2)))*100)</f>
        <v/>
      </c>
      <c r="Z169" s="664" t="str">
        <f>IF(C169="","",(+'transversal subsidence profile'!$L$6*EXP(-((C169+$G$10)^2)/(2*'transversal subsidence profile'!$J$6^2)))*100)</f>
        <v/>
      </c>
      <c r="AA169" s="751" t="str">
        <f>IF(C169="","",IF('IN-OUT'!$F$26=0,'Damage classification-Rankin'!Z169,IF('IN-OUT'!$F$35=0,Y169,'Damage classification-Rankin'!Y169+'Damage classification-Rankin'!Z169)))</f>
        <v/>
      </c>
      <c r="AB169" s="67"/>
      <c r="AC169" s="67"/>
      <c r="AJ169" s="67"/>
      <c r="AK169" s="67"/>
      <c r="AL169" s="67"/>
      <c r="AM169" s="67"/>
      <c r="AN169" s="67"/>
      <c r="AO169" s="67"/>
      <c r="AP169" s="67"/>
      <c r="AQ169" s="67"/>
      <c r="AR169" s="67"/>
      <c r="AS169" s="67"/>
      <c r="AT169" s="67"/>
      <c r="AU169" s="67"/>
      <c r="AV169" s="67"/>
      <c r="AW169" s="67"/>
      <c r="AX169" s="67"/>
      <c r="AY169" s="67"/>
      <c r="AZ169" s="67"/>
      <c r="BA169" s="67"/>
    </row>
    <row r="170" spans="1:53" ht="13.8" thickBot="1">
      <c r="A170" s="67"/>
      <c r="B170" s="655">
        <f t="shared" si="28"/>
        <v>149</v>
      </c>
      <c r="C170" s="374" t="str">
        <f t="shared" si="29"/>
        <v/>
      </c>
      <c r="D170" s="784" t="str">
        <f t="shared" si="30"/>
        <v/>
      </c>
      <c r="E170" s="784" t="str">
        <f t="shared" si="31"/>
        <v/>
      </c>
      <c r="F170" s="785" t="str">
        <f t="shared" si="32"/>
        <v/>
      </c>
      <c r="G170" s="784" t="str">
        <f t="shared" si="27"/>
        <v/>
      </c>
      <c r="L170" s="67"/>
      <c r="M170" s="67"/>
      <c r="N170" s="67"/>
      <c r="O170" s="67"/>
      <c r="P170" s="67"/>
      <c r="Q170" s="67"/>
      <c r="R170" s="67"/>
      <c r="S170" s="67"/>
      <c r="T170" s="67"/>
      <c r="U170" s="641"/>
      <c r="V170" s="643"/>
      <c r="W170" s="593"/>
      <c r="X170" s="67"/>
      <c r="Y170" s="663" t="str">
        <f>IF(C170="","",('transversal subsidence profile'!$L$5*EXP(-(C170^2)/(2*'transversal subsidence profile'!$J$5^2)))*100)</f>
        <v/>
      </c>
      <c r="Z170" s="664" t="str">
        <f>IF(C170="","",(+'transversal subsidence profile'!$L$6*EXP(-((C170+$G$10)^2)/(2*'transversal subsidence profile'!$J$6^2)))*100)</f>
        <v/>
      </c>
      <c r="AA170" s="751" t="str">
        <f>IF(C170="","",IF('IN-OUT'!$F$26=0,'Damage classification-Rankin'!Z170,IF('IN-OUT'!$F$35=0,Y170,'Damage classification-Rankin'!Y170+'Damage classification-Rankin'!Z170)))</f>
        <v/>
      </c>
      <c r="AB170" s="67"/>
      <c r="AC170" s="67"/>
      <c r="AJ170" s="67"/>
      <c r="AK170" s="67"/>
      <c r="AL170" s="67"/>
      <c r="AM170" s="67"/>
      <c r="AN170" s="67"/>
      <c r="AO170" s="67"/>
      <c r="AP170" s="67"/>
      <c r="AQ170" s="67"/>
      <c r="AR170" s="67"/>
      <c r="AS170" s="67"/>
      <c r="AT170" s="67"/>
      <c r="AU170" s="67"/>
      <c r="AV170" s="67"/>
      <c r="AW170" s="67"/>
      <c r="AX170" s="67"/>
      <c r="AY170" s="67"/>
      <c r="AZ170" s="67"/>
      <c r="BA170" s="67"/>
    </row>
    <row r="171" spans="1:53" ht="13.8" thickBot="1">
      <c r="A171" s="67"/>
      <c r="B171" s="655">
        <f t="shared" si="28"/>
        <v>150</v>
      </c>
      <c r="C171" s="374" t="str">
        <f t="shared" si="29"/>
        <v/>
      </c>
      <c r="D171" s="784" t="str">
        <f t="shared" si="30"/>
        <v/>
      </c>
      <c r="E171" s="784" t="str">
        <f t="shared" si="31"/>
        <v/>
      </c>
      <c r="F171" s="785" t="str">
        <f t="shared" si="32"/>
        <v/>
      </c>
      <c r="G171" s="784" t="str">
        <f t="shared" si="27"/>
        <v/>
      </c>
      <c r="L171" s="67"/>
      <c r="M171" s="67"/>
      <c r="N171" s="67"/>
      <c r="O171" s="67"/>
      <c r="P171" s="67"/>
      <c r="Q171" s="67"/>
      <c r="R171" s="67"/>
      <c r="S171" s="67"/>
      <c r="T171" s="67"/>
      <c r="U171" s="641"/>
      <c r="V171" s="643"/>
      <c r="W171" s="593"/>
      <c r="X171" s="67"/>
      <c r="Y171" s="663" t="str">
        <f>IF(C171="","",('transversal subsidence profile'!$L$5*EXP(-(C171^2)/(2*'transversal subsidence profile'!$J$5^2)))*100)</f>
        <v/>
      </c>
      <c r="Z171" s="664" t="str">
        <f>IF(C171="","",(+'transversal subsidence profile'!$L$6*EXP(-((C171+$G$10)^2)/(2*'transversal subsidence profile'!$J$6^2)))*100)</f>
        <v/>
      </c>
      <c r="AA171" s="751" t="str">
        <f>IF(C171="","",IF('IN-OUT'!$F$26=0,'Damage classification-Rankin'!Z171,IF('IN-OUT'!$F$35=0,Y171,'Damage classification-Rankin'!Y171+'Damage classification-Rankin'!Z171)))</f>
        <v/>
      </c>
      <c r="AB171" s="67"/>
      <c r="AC171" s="67"/>
      <c r="AJ171" s="67"/>
      <c r="AK171" s="67"/>
      <c r="AL171" s="67"/>
      <c r="AM171" s="67"/>
      <c r="AN171" s="67"/>
      <c r="AO171" s="67"/>
      <c r="AP171" s="67"/>
      <c r="AQ171" s="67"/>
      <c r="AR171" s="67"/>
      <c r="AS171" s="67"/>
      <c r="AT171" s="67"/>
      <c r="AU171" s="67"/>
      <c r="AV171" s="67"/>
      <c r="AW171" s="67"/>
      <c r="AX171" s="67"/>
      <c r="AY171" s="67"/>
      <c r="AZ171" s="67"/>
      <c r="BA171" s="67"/>
    </row>
    <row r="172" spans="1:53" ht="13.8" thickBot="1">
      <c r="A172" s="67"/>
      <c r="B172" s="655">
        <f t="shared" si="28"/>
        <v>151</v>
      </c>
      <c r="C172" s="374" t="str">
        <f t="shared" si="29"/>
        <v/>
      </c>
      <c r="D172" s="784" t="str">
        <f t="shared" si="30"/>
        <v/>
      </c>
      <c r="E172" s="784" t="str">
        <f t="shared" si="31"/>
        <v/>
      </c>
      <c r="F172" s="785" t="str">
        <f t="shared" si="32"/>
        <v/>
      </c>
      <c r="G172" s="784" t="str">
        <f t="shared" si="27"/>
        <v/>
      </c>
      <c r="L172" s="67"/>
      <c r="M172" s="67"/>
      <c r="N172" s="67"/>
      <c r="O172" s="67"/>
      <c r="P172" s="67"/>
      <c r="Q172" s="67"/>
      <c r="R172" s="67"/>
      <c r="S172" s="67"/>
      <c r="T172" s="67"/>
      <c r="U172" s="641"/>
      <c r="V172" s="643"/>
      <c r="W172" s="593"/>
      <c r="X172" s="67"/>
      <c r="Y172" s="663" t="str">
        <f>IF(C172="","",('transversal subsidence profile'!$L$5*EXP(-(C172^2)/(2*'transversal subsidence profile'!$J$5^2)))*100)</f>
        <v/>
      </c>
      <c r="Z172" s="664" t="str">
        <f>IF(C172="","",(+'transversal subsidence profile'!$L$6*EXP(-((C172+$G$10)^2)/(2*'transversal subsidence profile'!$J$6^2)))*100)</f>
        <v/>
      </c>
      <c r="AA172" s="751" t="str">
        <f>IF(C172="","",IF('IN-OUT'!$F$26=0,'Damage classification-Rankin'!Z172,IF('IN-OUT'!$F$35=0,Y172,'Damage classification-Rankin'!Y172+'Damage classification-Rankin'!Z172)))</f>
        <v/>
      </c>
      <c r="AB172" s="67"/>
      <c r="AC172" s="67"/>
      <c r="AJ172" s="67"/>
      <c r="AK172" s="67"/>
      <c r="AL172" s="67"/>
      <c r="AM172" s="67"/>
      <c r="AN172" s="67"/>
      <c r="AO172" s="67"/>
      <c r="AP172" s="67"/>
      <c r="AQ172" s="67"/>
      <c r="AR172" s="67"/>
      <c r="AS172" s="67"/>
      <c r="AT172" s="67"/>
      <c r="AU172" s="67"/>
      <c r="AV172" s="67"/>
      <c r="AW172" s="67"/>
      <c r="AX172" s="67"/>
      <c r="AY172" s="67"/>
      <c r="AZ172" s="67"/>
      <c r="BA172" s="67"/>
    </row>
    <row r="173" spans="1:53" ht="13.8" thickBot="1">
      <c r="A173" s="67"/>
      <c r="B173" s="655">
        <f t="shared" si="28"/>
        <v>152</v>
      </c>
      <c r="C173" s="374" t="str">
        <f t="shared" si="29"/>
        <v/>
      </c>
      <c r="D173" s="784" t="str">
        <f t="shared" si="30"/>
        <v/>
      </c>
      <c r="E173" s="784" t="str">
        <f t="shared" si="31"/>
        <v/>
      </c>
      <c r="F173" s="785" t="str">
        <f t="shared" si="32"/>
        <v/>
      </c>
      <c r="G173" s="784" t="str">
        <f t="shared" si="27"/>
        <v/>
      </c>
      <c r="L173" s="67"/>
      <c r="M173" s="67"/>
      <c r="N173" s="67"/>
      <c r="O173" s="67"/>
      <c r="P173" s="67"/>
      <c r="Q173" s="67"/>
      <c r="R173" s="67"/>
      <c r="S173" s="67"/>
      <c r="T173" s="67"/>
      <c r="U173" s="641"/>
      <c r="V173" s="643"/>
      <c r="W173" s="593"/>
      <c r="X173" s="67"/>
      <c r="Y173" s="663" t="str">
        <f>IF(C173="","",('transversal subsidence profile'!$L$5*EXP(-(C173^2)/(2*'transversal subsidence profile'!$J$5^2)))*100)</f>
        <v/>
      </c>
      <c r="Z173" s="664" t="str">
        <f>IF(C173="","",(+'transversal subsidence profile'!$L$6*EXP(-((C173+$G$10)^2)/(2*'transversal subsidence profile'!$J$6^2)))*100)</f>
        <v/>
      </c>
      <c r="AA173" s="751" t="str">
        <f>IF(C173="","",IF('IN-OUT'!$F$26=0,'Damage classification-Rankin'!Z173,IF('IN-OUT'!$F$35=0,Y173,'Damage classification-Rankin'!Y173+'Damage classification-Rankin'!Z173)))</f>
        <v/>
      </c>
      <c r="AB173" s="67"/>
      <c r="AC173" s="67"/>
      <c r="AJ173" s="67"/>
      <c r="AK173" s="67"/>
      <c r="AL173" s="67"/>
      <c r="AM173" s="67"/>
      <c r="AN173" s="67"/>
      <c r="AO173" s="67"/>
      <c r="AP173" s="67"/>
      <c r="AQ173" s="67"/>
      <c r="AR173" s="67"/>
      <c r="AS173" s="67"/>
      <c r="AT173" s="67"/>
      <c r="AU173" s="67"/>
      <c r="AV173" s="67"/>
      <c r="AW173" s="67"/>
      <c r="AX173" s="67"/>
      <c r="AY173" s="67"/>
      <c r="AZ173" s="67"/>
      <c r="BA173" s="67"/>
    </row>
    <row r="174" spans="1:53" ht="13.8" thickBot="1">
      <c r="A174" s="67"/>
      <c r="B174" s="655">
        <f t="shared" si="28"/>
        <v>153</v>
      </c>
      <c r="C174" s="374" t="str">
        <f t="shared" si="29"/>
        <v/>
      </c>
      <c r="D174" s="784" t="str">
        <f t="shared" si="30"/>
        <v/>
      </c>
      <c r="E174" s="784" t="str">
        <f t="shared" si="31"/>
        <v/>
      </c>
      <c r="F174" s="785" t="str">
        <f t="shared" si="32"/>
        <v/>
      </c>
      <c r="G174" s="784" t="str">
        <f t="shared" si="27"/>
        <v/>
      </c>
      <c r="L174" s="67"/>
      <c r="M174" s="67"/>
      <c r="N174" s="67"/>
      <c r="O174" s="67"/>
      <c r="P174" s="67"/>
      <c r="Q174" s="67"/>
      <c r="R174" s="67"/>
      <c r="S174" s="67"/>
      <c r="T174" s="67"/>
      <c r="U174" s="641"/>
      <c r="V174" s="643"/>
      <c r="W174" s="593"/>
      <c r="X174" s="67"/>
      <c r="Y174" s="663" t="str">
        <f>IF(C174="","",('transversal subsidence profile'!$L$5*EXP(-(C174^2)/(2*'transversal subsidence profile'!$J$5^2)))*100)</f>
        <v/>
      </c>
      <c r="Z174" s="664" t="str">
        <f>IF(C174="","",(+'transversal subsidence profile'!$L$6*EXP(-((C174+$G$10)^2)/(2*'transversal subsidence profile'!$J$6^2)))*100)</f>
        <v/>
      </c>
      <c r="AA174" s="751" t="str">
        <f>IF(C174="","",IF('IN-OUT'!$F$26=0,'Damage classification-Rankin'!Z174,IF('IN-OUT'!$F$35=0,Y174,'Damage classification-Rankin'!Y174+'Damage classification-Rankin'!Z174)))</f>
        <v/>
      </c>
      <c r="AB174" s="67"/>
      <c r="AC174" s="67"/>
      <c r="AJ174" s="67"/>
      <c r="AK174" s="67"/>
      <c r="AL174" s="67"/>
      <c r="AM174" s="67"/>
      <c r="AN174" s="67"/>
      <c r="AO174" s="67"/>
      <c r="AP174" s="67"/>
      <c r="AQ174" s="67"/>
      <c r="AR174" s="67"/>
      <c r="AS174" s="67"/>
      <c r="AT174" s="67"/>
      <c r="AU174" s="67"/>
      <c r="AV174" s="67"/>
      <c r="AW174" s="67"/>
      <c r="AX174" s="67"/>
      <c r="AY174" s="67"/>
      <c r="AZ174" s="67"/>
      <c r="BA174" s="67"/>
    </row>
    <row r="175" spans="1:53" ht="13.8" thickBot="1">
      <c r="A175" s="67"/>
      <c r="B175" s="655">
        <f t="shared" si="28"/>
        <v>154</v>
      </c>
      <c r="C175" s="374" t="str">
        <f t="shared" si="29"/>
        <v/>
      </c>
      <c r="D175" s="784" t="str">
        <f t="shared" si="30"/>
        <v/>
      </c>
      <c r="E175" s="784" t="str">
        <f t="shared" si="31"/>
        <v/>
      </c>
      <c r="F175" s="785" t="str">
        <f t="shared" si="32"/>
        <v/>
      </c>
      <c r="G175" s="784" t="str">
        <f t="shared" si="27"/>
        <v/>
      </c>
      <c r="L175" s="67"/>
      <c r="M175" s="67"/>
      <c r="N175" s="67"/>
      <c r="O175" s="67"/>
      <c r="P175" s="67"/>
      <c r="Q175" s="67"/>
      <c r="R175" s="67"/>
      <c r="S175" s="67"/>
      <c r="T175" s="67"/>
      <c r="U175" s="641"/>
      <c r="V175" s="643"/>
      <c r="W175" s="593"/>
      <c r="X175" s="67"/>
      <c r="Y175" s="663" t="str">
        <f>IF(C175="","",('transversal subsidence profile'!$L$5*EXP(-(C175^2)/(2*'transversal subsidence profile'!$J$5^2)))*100)</f>
        <v/>
      </c>
      <c r="Z175" s="664" t="str">
        <f>IF(C175="","",(+'transversal subsidence profile'!$L$6*EXP(-((C175+$G$10)^2)/(2*'transversal subsidence profile'!$J$6^2)))*100)</f>
        <v/>
      </c>
      <c r="AA175" s="751" t="str">
        <f>IF(C175="","",IF('IN-OUT'!$F$26=0,'Damage classification-Rankin'!Z175,IF('IN-OUT'!$F$35=0,Y175,'Damage classification-Rankin'!Y175+'Damage classification-Rankin'!Z175)))</f>
        <v/>
      </c>
      <c r="AB175" s="67"/>
      <c r="AC175" s="67"/>
      <c r="AJ175" s="67"/>
      <c r="AK175" s="67"/>
      <c r="AL175" s="67"/>
      <c r="AM175" s="67"/>
      <c r="AN175" s="67"/>
      <c r="AO175" s="67"/>
      <c r="AP175" s="67"/>
      <c r="AQ175" s="67"/>
      <c r="AR175" s="67"/>
      <c r="AS175" s="67"/>
      <c r="AT175" s="67"/>
      <c r="AU175" s="67"/>
      <c r="AV175" s="67"/>
      <c r="AW175" s="67"/>
      <c r="AX175" s="67"/>
      <c r="AY175" s="67"/>
      <c r="AZ175" s="67"/>
      <c r="BA175" s="67"/>
    </row>
    <row r="176" spans="1:53" ht="13.8" thickBot="1">
      <c r="A176" s="67"/>
      <c r="B176" s="655">
        <f t="shared" si="28"/>
        <v>155</v>
      </c>
      <c r="C176" s="374" t="str">
        <f t="shared" si="29"/>
        <v/>
      </c>
      <c r="D176" s="784" t="str">
        <f t="shared" si="30"/>
        <v/>
      </c>
      <c r="E176" s="784" t="str">
        <f t="shared" si="31"/>
        <v/>
      </c>
      <c r="F176" s="785" t="str">
        <f t="shared" si="32"/>
        <v/>
      </c>
      <c r="G176" s="784" t="str">
        <f t="shared" si="27"/>
        <v/>
      </c>
      <c r="L176" s="67"/>
      <c r="M176" s="67"/>
      <c r="N176" s="67"/>
      <c r="O176" s="67"/>
      <c r="P176" s="67"/>
      <c r="Q176" s="67"/>
      <c r="R176" s="67"/>
      <c r="S176" s="67"/>
      <c r="T176" s="67"/>
      <c r="U176" s="641"/>
      <c r="V176" s="643"/>
      <c r="W176" s="593"/>
      <c r="X176" s="67"/>
      <c r="Y176" s="663" t="str">
        <f>IF(C176="","",('transversal subsidence profile'!$L$5*EXP(-(C176^2)/(2*'transversal subsidence profile'!$J$5^2)))*100)</f>
        <v/>
      </c>
      <c r="Z176" s="664" t="str">
        <f>IF(C176="","",(+'transversal subsidence profile'!$L$6*EXP(-((C176+$G$10)^2)/(2*'transversal subsidence profile'!$J$6^2)))*100)</f>
        <v/>
      </c>
      <c r="AA176" s="751" t="str">
        <f>IF(C176="","",IF('IN-OUT'!$F$26=0,'Damage classification-Rankin'!Z176,IF('IN-OUT'!$F$35=0,Y176,'Damage classification-Rankin'!Y176+'Damage classification-Rankin'!Z176)))</f>
        <v/>
      </c>
      <c r="AB176" s="67"/>
      <c r="AC176" s="67"/>
      <c r="AJ176" s="67"/>
      <c r="AK176" s="67"/>
      <c r="AL176" s="67"/>
      <c r="AM176" s="67"/>
      <c r="AN176" s="67"/>
      <c r="AO176" s="67"/>
      <c r="AP176" s="67"/>
      <c r="AQ176" s="67"/>
      <c r="AR176" s="67"/>
      <c r="AS176" s="67"/>
      <c r="AT176" s="67"/>
      <c r="AU176" s="67"/>
      <c r="AV176" s="67"/>
      <c r="AW176" s="67"/>
      <c r="AX176" s="67"/>
      <c r="AY176" s="67"/>
      <c r="AZ176" s="67"/>
      <c r="BA176" s="67"/>
    </row>
    <row r="177" spans="1:53" ht="13.8" thickBot="1">
      <c r="A177" s="67"/>
      <c r="B177" s="655">
        <f t="shared" si="28"/>
        <v>156</v>
      </c>
      <c r="C177" s="374" t="str">
        <f t="shared" si="29"/>
        <v/>
      </c>
      <c r="D177" s="784" t="str">
        <f t="shared" si="30"/>
        <v/>
      </c>
      <c r="E177" s="784" t="str">
        <f t="shared" si="31"/>
        <v/>
      </c>
      <c r="F177" s="785" t="str">
        <f t="shared" si="32"/>
        <v/>
      </c>
      <c r="G177" s="784" t="str">
        <f t="shared" si="27"/>
        <v/>
      </c>
      <c r="L177" s="67"/>
      <c r="M177" s="67"/>
      <c r="N177" s="67"/>
      <c r="O177" s="67"/>
      <c r="P177" s="67"/>
      <c r="Q177" s="67"/>
      <c r="R177" s="67"/>
      <c r="S177" s="67"/>
      <c r="T177" s="67"/>
      <c r="U177" s="641"/>
      <c r="V177" s="643"/>
      <c r="W177" s="593"/>
      <c r="X177" s="67"/>
      <c r="Y177" s="663" t="str">
        <f>IF(C177="","",('transversal subsidence profile'!$L$5*EXP(-(C177^2)/(2*'transversal subsidence profile'!$J$5^2)))*100)</f>
        <v/>
      </c>
      <c r="Z177" s="664" t="str">
        <f>IF(C177="","",(+'transversal subsidence profile'!$L$6*EXP(-((C177+$G$10)^2)/(2*'transversal subsidence profile'!$J$6^2)))*100)</f>
        <v/>
      </c>
      <c r="AA177" s="751" t="str">
        <f>IF(C177="","",IF('IN-OUT'!$F$26=0,'Damage classification-Rankin'!Z177,IF('IN-OUT'!$F$35=0,Y177,'Damage classification-Rankin'!Y177+'Damage classification-Rankin'!Z177)))</f>
        <v/>
      </c>
      <c r="AB177" s="67"/>
      <c r="AC177" s="67"/>
      <c r="AJ177" s="67"/>
      <c r="AK177" s="67"/>
      <c r="AL177" s="67"/>
      <c r="AM177" s="67"/>
      <c r="AN177" s="67"/>
      <c r="AO177" s="67"/>
      <c r="AP177" s="67"/>
      <c r="AQ177" s="67"/>
      <c r="AR177" s="67"/>
      <c r="AS177" s="67"/>
      <c r="AT177" s="67"/>
      <c r="AU177" s="67"/>
      <c r="AV177" s="67"/>
      <c r="AW177" s="67"/>
      <c r="AX177" s="67"/>
      <c r="AY177" s="67"/>
      <c r="AZ177" s="67"/>
      <c r="BA177" s="67"/>
    </row>
    <row r="178" spans="1:53" ht="13.8" thickBot="1">
      <c r="A178" s="67"/>
      <c r="B178" s="655">
        <f t="shared" si="28"/>
        <v>157</v>
      </c>
      <c r="C178" s="374" t="str">
        <f t="shared" si="29"/>
        <v/>
      </c>
      <c r="D178" s="784" t="str">
        <f t="shared" si="30"/>
        <v/>
      </c>
      <c r="E178" s="784" t="str">
        <f t="shared" si="31"/>
        <v/>
      </c>
      <c r="F178" s="785" t="str">
        <f t="shared" si="32"/>
        <v/>
      </c>
      <c r="G178" s="784" t="str">
        <f t="shared" si="27"/>
        <v/>
      </c>
      <c r="L178" s="67"/>
      <c r="M178" s="67"/>
      <c r="N178" s="67"/>
      <c r="O178" s="67"/>
      <c r="P178" s="67"/>
      <c r="Q178" s="67"/>
      <c r="R178" s="67"/>
      <c r="S178" s="67"/>
      <c r="T178" s="67"/>
      <c r="U178" s="641"/>
      <c r="V178" s="643"/>
      <c r="W178" s="593"/>
      <c r="X178" s="67"/>
      <c r="Y178" s="663" t="str">
        <f>IF(C178="","",('transversal subsidence profile'!$L$5*EXP(-(C178^2)/(2*'transversal subsidence profile'!$J$5^2)))*100)</f>
        <v/>
      </c>
      <c r="Z178" s="664" t="str">
        <f>IF(C178="","",(+'transversal subsidence profile'!$L$6*EXP(-((C178+$G$10)^2)/(2*'transversal subsidence profile'!$J$6^2)))*100)</f>
        <v/>
      </c>
      <c r="AA178" s="751" t="str">
        <f>IF(C178="","",IF('IN-OUT'!$F$26=0,'Damage classification-Rankin'!Z178,IF('IN-OUT'!$F$35=0,Y178,'Damage classification-Rankin'!Y178+'Damage classification-Rankin'!Z178)))</f>
        <v/>
      </c>
      <c r="AB178" s="67"/>
      <c r="AC178" s="67"/>
      <c r="AJ178" s="67"/>
      <c r="AK178" s="67"/>
      <c r="AL178" s="67"/>
      <c r="AM178" s="67"/>
      <c r="AN178" s="67"/>
      <c r="AO178" s="67"/>
      <c r="AP178" s="67"/>
      <c r="AQ178" s="67"/>
      <c r="AR178" s="67"/>
      <c r="AS178" s="67"/>
      <c r="AT178" s="67"/>
      <c r="AU178" s="67"/>
      <c r="AV178" s="67"/>
      <c r="AW178" s="67"/>
      <c r="AX178" s="67"/>
      <c r="AY178" s="67"/>
      <c r="AZ178" s="67"/>
      <c r="BA178" s="67"/>
    </row>
    <row r="179" spans="1:53" ht="13.8" thickBot="1">
      <c r="A179" s="67"/>
      <c r="B179" s="655">
        <f t="shared" si="28"/>
        <v>158</v>
      </c>
      <c r="C179" s="374" t="str">
        <f t="shared" si="29"/>
        <v/>
      </c>
      <c r="D179" s="784" t="str">
        <f t="shared" si="30"/>
        <v/>
      </c>
      <c r="E179" s="784" t="str">
        <f t="shared" si="31"/>
        <v/>
      </c>
      <c r="F179" s="785" t="str">
        <f t="shared" si="32"/>
        <v/>
      </c>
      <c r="G179" s="784" t="str">
        <f t="shared" si="27"/>
        <v/>
      </c>
      <c r="L179" s="67"/>
      <c r="M179" s="67"/>
      <c r="N179" s="67"/>
      <c r="O179" s="67"/>
      <c r="P179" s="67"/>
      <c r="Q179" s="67"/>
      <c r="R179" s="67"/>
      <c r="S179" s="67"/>
      <c r="T179" s="67"/>
      <c r="U179" s="641"/>
      <c r="V179" s="643"/>
      <c r="W179" s="593"/>
      <c r="X179" s="67"/>
      <c r="Y179" s="663" t="str">
        <f>IF(C179="","",('transversal subsidence profile'!$L$5*EXP(-(C179^2)/(2*'transversal subsidence profile'!$J$5^2)))*100)</f>
        <v/>
      </c>
      <c r="Z179" s="664" t="str">
        <f>IF(C179="","",(+'transversal subsidence profile'!$L$6*EXP(-((C179+$G$10)^2)/(2*'transversal subsidence profile'!$J$6^2)))*100)</f>
        <v/>
      </c>
      <c r="AA179" s="751" t="str">
        <f>IF(C179="","",IF('IN-OUT'!$F$26=0,'Damage classification-Rankin'!Z179,IF('IN-OUT'!$F$35=0,Y179,'Damage classification-Rankin'!Y179+'Damage classification-Rankin'!Z179)))</f>
        <v/>
      </c>
      <c r="AB179" s="67"/>
      <c r="AC179" s="67"/>
      <c r="AJ179" s="67"/>
      <c r="AK179" s="67"/>
      <c r="AL179" s="67"/>
      <c r="AM179" s="67"/>
      <c r="AN179" s="67"/>
      <c r="AO179" s="67"/>
      <c r="AP179" s="67"/>
      <c r="AQ179" s="67"/>
      <c r="AR179" s="67"/>
      <c r="AS179" s="67"/>
      <c r="AT179" s="67"/>
      <c r="AU179" s="67"/>
      <c r="AV179" s="67"/>
      <c r="AW179" s="67"/>
      <c r="AX179" s="67"/>
      <c r="AY179" s="67"/>
      <c r="AZ179" s="67"/>
      <c r="BA179" s="67"/>
    </row>
    <row r="180" spans="1:53" ht="13.8" thickBot="1">
      <c r="A180" s="67"/>
      <c r="B180" s="655">
        <f t="shared" si="28"/>
        <v>159</v>
      </c>
      <c r="C180" s="374" t="str">
        <f t="shared" si="29"/>
        <v/>
      </c>
      <c r="D180" s="784" t="str">
        <f t="shared" si="30"/>
        <v/>
      </c>
      <c r="E180" s="784" t="str">
        <f t="shared" si="31"/>
        <v/>
      </c>
      <c r="F180" s="785" t="str">
        <f t="shared" si="32"/>
        <v/>
      </c>
      <c r="G180" s="784" t="str">
        <f t="shared" si="27"/>
        <v/>
      </c>
      <c r="L180" s="67"/>
      <c r="M180" s="67"/>
      <c r="N180" s="67"/>
      <c r="O180" s="67"/>
      <c r="P180" s="67"/>
      <c r="Q180" s="67"/>
      <c r="R180" s="67"/>
      <c r="S180" s="67"/>
      <c r="T180" s="67"/>
      <c r="U180" s="641"/>
      <c r="V180" s="643"/>
      <c r="W180" s="593"/>
      <c r="X180" s="67"/>
      <c r="Y180" s="663" t="str">
        <f>IF(C180="","",('transversal subsidence profile'!$L$5*EXP(-(C180^2)/(2*'transversal subsidence profile'!$J$5^2)))*100)</f>
        <v/>
      </c>
      <c r="Z180" s="664" t="str">
        <f>IF(C180="","",(+'transversal subsidence profile'!$L$6*EXP(-((C180+$G$10)^2)/(2*'transversal subsidence profile'!$J$6^2)))*100)</f>
        <v/>
      </c>
      <c r="AA180" s="751" t="str">
        <f>IF(C180="","",IF('IN-OUT'!$F$26=0,'Damage classification-Rankin'!Z180,IF('IN-OUT'!$F$35=0,Y180,'Damage classification-Rankin'!Y180+'Damage classification-Rankin'!Z180)))</f>
        <v/>
      </c>
      <c r="AB180" s="67"/>
      <c r="AC180" s="67"/>
      <c r="AJ180" s="67"/>
      <c r="AK180" s="67"/>
      <c r="AL180" s="67"/>
      <c r="AM180" s="67"/>
      <c r="AN180" s="67"/>
      <c r="AO180" s="67"/>
      <c r="AP180" s="67"/>
      <c r="AQ180" s="67"/>
      <c r="AR180" s="67"/>
      <c r="AS180" s="67"/>
      <c r="AT180" s="67"/>
      <c r="AU180" s="67"/>
      <c r="AV180" s="67"/>
      <c r="AW180" s="67"/>
      <c r="AX180" s="67"/>
      <c r="AY180" s="67"/>
      <c r="AZ180" s="67"/>
      <c r="BA180" s="67"/>
    </row>
    <row r="181" spans="1:53" ht="13.8" thickBot="1">
      <c r="A181" s="67"/>
      <c r="B181" s="655">
        <f t="shared" si="28"/>
        <v>160</v>
      </c>
      <c r="C181" s="374" t="str">
        <f t="shared" si="29"/>
        <v/>
      </c>
      <c r="D181" s="784" t="str">
        <f t="shared" si="30"/>
        <v/>
      </c>
      <c r="E181" s="784" t="str">
        <f t="shared" si="31"/>
        <v/>
      </c>
      <c r="F181" s="785" t="str">
        <f t="shared" si="32"/>
        <v/>
      </c>
      <c r="G181" s="784" t="str">
        <f t="shared" si="27"/>
        <v/>
      </c>
      <c r="L181" s="67"/>
      <c r="M181" s="67"/>
      <c r="N181" s="67"/>
      <c r="O181" s="67"/>
      <c r="P181" s="67"/>
      <c r="Q181" s="67"/>
      <c r="R181" s="67"/>
      <c r="S181" s="67"/>
      <c r="T181" s="67"/>
      <c r="U181" s="641"/>
      <c r="V181" s="643"/>
      <c r="W181" s="593"/>
      <c r="X181" s="67"/>
      <c r="Y181" s="663" t="str">
        <f>IF(C181="","",('transversal subsidence profile'!$L$5*EXP(-(C181^2)/(2*'transversal subsidence profile'!$J$5^2)))*100)</f>
        <v/>
      </c>
      <c r="Z181" s="664" t="str">
        <f>IF(C181="","",(+'transversal subsidence profile'!$L$6*EXP(-((C181+$G$10)^2)/(2*'transversal subsidence profile'!$J$6^2)))*100)</f>
        <v/>
      </c>
      <c r="AA181" s="751" t="str">
        <f>IF(C181="","",IF('IN-OUT'!$F$26=0,'Damage classification-Rankin'!Z181,IF('IN-OUT'!$F$35=0,Y181,'Damage classification-Rankin'!Y181+'Damage classification-Rankin'!Z181)))</f>
        <v/>
      </c>
      <c r="AB181" s="67"/>
      <c r="AC181" s="67"/>
      <c r="AJ181" s="67">
        <f>ATAN(0.0002877)</f>
        <v>2.8769999206223367E-4</v>
      </c>
      <c r="AK181" s="67"/>
      <c r="AL181" s="67"/>
      <c r="AM181" s="67"/>
      <c r="AN181" s="67"/>
      <c r="AO181" s="67"/>
      <c r="AP181" s="67"/>
      <c r="AQ181" s="67"/>
      <c r="AR181" s="67"/>
      <c r="AS181" s="67"/>
      <c r="AT181" s="67"/>
      <c r="AU181" s="67"/>
      <c r="AV181" s="67"/>
      <c r="AW181" s="67"/>
      <c r="AX181" s="67"/>
      <c r="AY181" s="67"/>
      <c r="AZ181" s="67"/>
      <c r="BA181" s="67"/>
    </row>
    <row r="182" spans="1:53" ht="13.8" thickBot="1">
      <c r="A182" s="67"/>
      <c r="B182" s="655">
        <f t="shared" si="28"/>
        <v>161</v>
      </c>
      <c r="C182" s="374" t="str">
        <f t="shared" si="29"/>
        <v/>
      </c>
      <c r="D182" s="784" t="str">
        <f t="shared" si="30"/>
        <v/>
      </c>
      <c r="E182" s="784" t="str">
        <f t="shared" si="31"/>
        <v/>
      </c>
      <c r="F182" s="785" t="str">
        <f t="shared" si="32"/>
        <v/>
      </c>
      <c r="G182" s="784" t="str">
        <f t="shared" si="27"/>
        <v/>
      </c>
      <c r="L182" s="67"/>
      <c r="M182" s="67"/>
      <c r="N182" s="67"/>
      <c r="O182" s="67"/>
      <c r="P182" s="67"/>
      <c r="Q182" s="67"/>
      <c r="R182" s="67"/>
      <c r="S182" s="67"/>
      <c r="T182" s="67"/>
      <c r="U182" s="641"/>
      <c r="V182" s="643"/>
      <c r="W182" s="593"/>
      <c r="X182" s="67"/>
      <c r="Y182" s="663" t="str">
        <f>IF(C182="","",('transversal subsidence profile'!$L$5*EXP(-(C182^2)/(2*'transversal subsidence profile'!$J$5^2)))*100)</f>
        <v/>
      </c>
      <c r="Z182" s="664" t="str">
        <f>IF(C182="","",(+'transversal subsidence profile'!$L$6*EXP(-((C182+$G$10)^2)/(2*'transversal subsidence profile'!$J$6^2)))*100)</f>
        <v/>
      </c>
      <c r="AA182" s="751" t="str">
        <f>IF(C182="","",IF('IN-OUT'!$F$26=0,'Damage classification-Rankin'!Z182,IF('IN-OUT'!$F$35=0,Y182,'Damage classification-Rankin'!Y182+'Damage classification-Rankin'!Z182)))</f>
        <v/>
      </c>
      <c r="AB182" s="67"/>
      <c r="AC182" s="67"/>
      <c r="AJ182" s="67"/>
      <c r="AK182" s="67"/>
      <c r="AL182" s="67"/>
      <c r="AM182" s="67"/>
      <c r="AN182" s="67"/>
      <c r="AO182" s="67"/>
      <c r="AP182" s="67"/>
      <c r="AQ182" s="67"/>
      <c r="AR182" s="67"/>
      <c r="AS182" s="67"/>
      <c r="AT182" s="67"/>
      <c r="AU182" s="67"/>
      <c r="AV182" s="67"/>
      <c r="AW182" s="67"/>
      <c r="AX182" s="67"/>
      <c r="AY182" s="67"/>
      <c r="AZ182" s="67"/>
      <c r="BA182" s="67"/>
    </row>
    <row r="183" spans="1:53" ht="13.8" thickBot="1">
      <c r="A183" s="67"/>
      <c r="B183" s="655">
        <f t="shared" si="28"/>
        <v>162</v>
      </c>
      <c r="C183" s="374" t="str">
        <f t="shared" si="29"/>
        <v/>
      </c>
      <c r="D183" s="784" t="str">
        <f t="shared" si="30"/>
        <v/>
      </c>
      <c r="E183" s="784" t="str">
        <f t="shared" si="31"/>
        <v/>
      </c>
      <c r="F183" s="785" t="str">
        <f t="shared" si="32"/>
        <v/>
      </c>
      <c r="G183" s="784" t="str">
        <f t="shared" si="27"/>
        <v/>
      </c>
      <c r="L183" s="67"/>
      <c r="M183" s="67"/>
      <c r="N183" s="67"/>
      <c r="O183" s="67"/>
      <c r="P183" s="67"/>
      <c r="Q183" s="67"/>
      <c r="R183" s="67"/>
      <c r="S183" s="67"/>
      <c r="T183" s="67"/>
      <c r="U183" s="641"/>
      <c r="V183" s="643"/>
      <c r="W183" s="593"/>
      <c r="X183" s="67"/>
      <c r="Y183" s="663" t="str">
        <f>IF(C183="","",('transversal subsidence profile'!$L$5*EXP(-(C183^2)/(2*'transversal subsidence profile'!$J$5^2)))*100)</f>
        <v/>
      </c>
      <c r="Z183" s="664" t="str">
        <f>IF(C183="","",(+'transversal subsidence profile'!$L$6*EXP(-((C183+$G$10)^2)/(2*'transversal subsidence profile'!$J$6^2)))*100)</f>
        <v/>
      </c>
      <c r="AA183" s="751" t="str">
        <f>IF(C183="","",IF('IN-OUT'!$F$26=0,'Damage classification-Rankin'!Z183,IF('IN-OUT'!$F$35=0,Y183,'Damage classification-Rankin'!Y183+'Damage classification-Rankin'!Z183)))</f>
        <v/>
      </c>
      <c r="AB183" s="67"/>
      <c r="AC183" s="67"/>
      <c r="AJ183" s="67"/>
      <c r="AK183" s="67"/>
      <c r="AL183" s="67"/>
      <c r="AM183" s="67"/>
      <c r="AN183" s="67"/>
      <c r="AO183" s="67"/>
      <c r="AP183" s="67"/>
      <c r="AQ183" s="67"/>
      <c r="AR183" s="67"/>
      <c r="AS183" s="67"/>
      <c r="AT183" s="67"/>
      <c r="AU183" s="67"/>
      <c r="AV183" s="67"/>
      <c r="AW183" s="67"/>
      <c r="AX183" s="67"/>
      <c r="AY183" s="67"/>
      <c r="AZ183" s="67"/>
      <c r="BA183" s="67"/>
    </row>
    <row r="184" spans="1:53" ht="13.8" thickBot="1">
      <c r="A184" s="67"/>
      <c r="B184" s="655">
        <f t="shared" si="28"/>
        <v>163</v>
      </c>
      <c r="C184" s="374" t="str">
        <f t="shared" si="29"/>
        <v/>
      </c>
      <c r="D184" s="784" t="str">
        <f t="shared" si="30"/>
        <v/>
      </c>
      <c r="E184" s="784" t="str">
        <f t="shared" si="31"/>
        <v/>
      </c>
      <c r="F184" s="785" t="str">
        <f t="shared" si="32"/>
        <v/>
      </c>
      <c r="G184" s="784" t="str">
        <f t="shared" si="27"/>
        <v/>
      </c>
      <c r="L184" s="67"/>
      <c r="M184" s="67"/>
      <c r="N184" s="67"/>
      <c r="O184" s="67"/>
      <c r="P184" s="67"/>
      <c r="Q184" s="67"/>
      <c r="R184" s="67"/>
      <c r="S184" s="67"/>
      <c r="T184" s="67"/>
      <c r="U184" s="641"/>
      <c r="V184" s="643"/>
      <c r="W184" s="593"/>
      <c r="X184" s="67"/>
      <c r="Y184" s="663" t="str">
        <f>IF(C184="","",('transversal subsidence profile'!$L$5*EXP(-(C184^2)/(2*'transversal subsidence profile'!$J$5^2)))*100)</f>
        <v/>
      </c>
      <c r="Z184" s="664" t="str">
        <f>IF(C184="","",(+'transversal subsidence profile'!$L$6*EXP(-((C184+$G$10)^2)/(2*'transversal subsidence profile'!$J$6^2)))*100)</f>
        <v/>
      </c>
      <c r="AA184" s="751" t="str">
        <f>IF(C184="","",IF('IN-OUT'!$F$26=0,'Damage classification-Rankin'!Z184,IF('IN-OUT'!$F$35=0,Y184,'Damage classification-Rankin'!Y184+'Damage classification-Rankin'!Z184)))</f>
        <v/>
      </c>
      <c r="AB184" s="67"/>
      <c r="AC184" s="67"/>
      <c r="AJ184" s="67"/>
      <c r="AK184" s="67"/>
      <c r="AL184" s="67"/>
      <c r="AM184" s="67"/>
      <c r="AN184" s="67"/>
      <c r="AO184" s="67"/>
      <c r="AP184" s="67"/>
      <c r="AQ184" s="67"/>
      <c r="AR184" s="67"/>
      <c r="AS184" s="67"/>
      <c r="AT184" s="67"/>
      <c r="AU184" s="67"/>
      <c r="AV184" s="67"/>
      <c r="AW184" s="67"/>
      <c r="AX184" s="67"/>
      <c r="AY184" s="67"/>
      <c r="AZ184" s="67"/>
      <c r="BA184" s="67"/>
    </row>
    <row r="185" spans="1:53" ht="13.8" thickBot="1">
      <c r="A185" s="67"/>
      <c r="B185" s="655">
        <f t="shared" si="28"/>
        <v>164</v>
      </c>
      <c r="C185" s="374" t="str">
        <f t="shared" si="29"/>
        <v/>
      </c>
      <c r="D185" s="784" t="str">
        <f t="shared" si="30"/>
        <v/>
      </c>
      <c r="E185" s="784" t="str">
        <f t="shared" si="31"/>
        <v/>
      </c>
      <c r="F185" s="785" t="str">
        <f t="shared" si="32"/>
        <v/>
      </c>
      <c r="G185" s="784" t="str">
        <f t="shared" si="27"/>
        <v/>
      </c>
      <c r="L185" s="67"/>
      <c r="M185" s="67"/>
      <c r="N185" s="67"/>
      <c r="O185" s="67"/>
      <c r="P185" s="67"/>
      <c r="Q185" s="67"/>
      <c r="R185" s="67"/>
      <c r="S185" s="67"/>
      <c r="T185" s="67"/>
      <c r="U185" s="641"/>
      <c r="V185" s="643"/>
      <c r="W185" s="593"/>
      <c r="X185" s="67"/>
      <c r="Y185" s="663" t="str">
        <f>IF(C185="","",('transversal subsidence profile'!$L$5*EXP(-(C185^2)/(2*'transversal subsidence profile'!$J$5^2)))*100)</f>
        <v/>
      </c>
      <c r="Z185" s="664" t="str">
        <f>IF(C185="","",(+'transversal subsidence profile'!$L$6*EXP(-((C185+$G$10)^2)/(2*'transversal subsidence profile'!$J$6^2)))*100)</f>
        <v/>
      </c>
      <c r="AA185" s="751" t="str">
        <f>IF(C185="","",IF('IN-OUT'!$F$26=0,'Damage classification-Rankin'!Z185,IF('IN-OUT'!$F$35=0,Y185,'Damage classification-Rankin'!Y185+'Damage classification-Rankin'!Z185)))</f>
        <v/>
      </c>
      <c r="AB185" s="67"/>
      <c r="AC185" s="67"/>
      <c r="AJ185" s="67"/>
      <c r="AK185" s="67"/>
      <c r="AL185" s="67"/>
      <c r="AM185" s="67"/>
      <c r="AN185" s="67"/>
      <c r="AO185" s="67"/>
      <c r="AP185" s="67"/>
      <c r="AQ185" s="67"/>
      <c r="AR185" s="67"/>
      <c r="AS185" s="67"/>
      <c r="AT185" s="67"/>
      <c r="AU185" s="67"/>
      <c r="AV185" s="67"/>
      <c r="AW185" s="67"/>
      <c r="AX185" s="67"/>
      <c r="AY185" s="67"/>
      <c r="AZ185" s="67"/>
      <c r="BA185" s="67"/>
    </row>
    <row r="186" spans="1:53" ht="13.8" thickBot="1">
      <c r="A186" s="67"/>
      <c r="B186" s="655">
        <f t="shared" si="28"/>
        <v>165</v>
      </c>
      <c r="C186" s="374" t="str">
        <f t="shared" si="29"/>
        <v/>
      </c>
      <c r="D186" s="784" t="str">
        <f t="shared" si="30"/>
        <v/>
      </c>
      <c r="E186" s="784" t="str">
        <f t="shared" si="31"/>
        <v/>
      </c>
      <c r="F186" s="785" t="str">
        <f t="shared" si="32"/>
        <v/>
      </c>
      <c r="G186" s="784" t="str">
        <f t="shared" si="27"/>
        <v/>
      </c>
      <c r="L186" s="67"/>
      <c r="M186" s="67"/>
      <c r="N186" s="67"/>
      <c r="O186" s="67"/>
      <c r="P186" s="67"/>
      <c r="Q186" s="67"/>
      <c r="R186" s="67"/>
      <c r="S186" s="67"/>
      <c r="T186" s="67"/>
      <c r="U186" s="641"/>
      <c r="V186" s="643"/>
      <c r="W186" s="593"/>
      <c r="X186" s="67"/>
      <c r="Y186" s="663" t="str">
        <f>IF(C186="","",('transversal subsidence profile'!$L$5*EXP(-(C186^2)/(2*'transversal subsidence profile'!$J$5^2)))*100)</f>
        <v/>
      </c>
      <c r="Z186" s="664" t="str">
        <f>IF(C186="","",(+'transversal subsidence profile'!$L$6*EXP(-((C186+$G$10)^2)/(2*'transversal subsidence profile'!$J$6^2)))*100)</f>
        <v/>
      </c>
      <c r="AA186" s="751" t="str">
        <f>IF(C186="","",IF('IN-OUT'!$F$26=0,'Damage classification-Rankin'!Z186,IF('IN-OUT'!$F$35=0,Y186,'Damage classification-Rankin'!Y186+'Damage classification-Rankin'!Z186)))</f>
        <v/>
      </c>
      <c r="AB186" s="67"/>
      <c r="AC186" s="67"/>
      <c r="AJ186" s="67"/>
      <c r="AK186" s="67"/>
      <c r="AL186" s="67"/>
      <c r="AM186" s="67"/>
      <c r="AN186" s="67"/>
      <c r="AO186" s="67"/>
      <c r="AP186" s="67"/>
      <c r="AQ186" s="67"/>
      <c r="AR186" s="67"/>
      <c r="AS186" s="67"/>
      <c r="AT186" s="67"/>
      <c r="AU186" s="67"/>
      <c r="AV186" s="67"/>
      <c r="AW186" s="67"/>
      <c r="AX186" s="67"/>
      <c r="AY186" s="67"/>
      <c r="AZ186" s="67"/>
      <c r="BA186" s="67"/>
    </row>
    <row r="187" spans="1:53" ht="13.8" thickBot="1">
      <c r="A187" s="67"/>
      <c r="B187" s="655">
        <f t="shared" si="28"/>
        <v>166</v>
      </c>
      <c r="C187" s="374" t="str">
        <f t="shared" si="29"/>
        <v/>
      </c>
      <c r="D187" s="784" t="str">
        <f t="shared" si="30"/>
        <v/>
      </c>
      <c r="E187" s="784" t="str">
        <f t="shared" si="31"/>
        <v/>
      </c>
      <c r="F187" s="785" t="str">
        <f t="shared" si="32"/>
        <v/>
      </c>
      <c r="G187" s="784" t="str">
        <f t="shared" si="27"/>
        <v/>
      </c>
      <c r="L187" s="67"/>
      <c r="M187" s="67"/>
      <c r="N187" s="67"/>
      <c r="O187" s="67"/>
      <c r="P187" s="67"/>
      <c r="Q187" s="67"/>
      <c r="R187" s="67"/>
      <c r="S187" s="67"/>
      <c r="T187" s="67"/>
      <c r="U187" s="641"/>
      <c r="V187" s="643"/>
      <c r="W187" s="593"/>
      <c r="X187" s="67"/>
      <c r="Y187" s="663" t="str">
        <f>IF(C187="","",('transversal subsidence profile'!$L$5*EXP(-(C187^2)/(2*'transversal subsidence profile'!$J$5^2)))*100)</f>
        <v/>
      </c>
      <c r="Z187" s="664" t="str">
        <f>IF(C187="","",(+'transversal subsidence profile'!$L$6*EXP(-((C187+$G$10)^2)/(2*'transversal subsidence profile'!$J$6^2)))*100)</f>
        <v/>
      </c>
      <c r="AA187" s="751" t="str">
        <f>IF(C187="","",IF('IN-OUT'!$F$26=0,'Damage classification-Rankin'!Z187,IF('IN-OUT'!$F$35=0,Y187,'Damage classification-Rankin'!Y187+'Damage classification-Rankin'!Z187)))</f>
        <v/>
      </c>
      <c r="AB187" s="67"/>
      <c r="AC187" s="67"/>
      <c r="AJ187" s="67"/>
      <c r="AK187" s="67"/>
      <c r="AL187" s="67"/>
      <c r="AM187" s="67"/>
      <c r="AN187" s="67"/>
      <c r="AO187" s="67"/>
      <c r="AP187" s="67"/>
      <c r="AQ187" s="67"/>
      <c r="AR187" s="67"/>
      <c r="AS187" s="67"/>
      <c r="AT187" s="67"/>
      <c r="AU187" s="67"/>
      <c r="AV187" s="67"/>
      <c r="AW187" s="67"/>
      <c r="AX187" s="67"/>
      <c r="AY187" s="67"/>
      <c r="AZ187" s="67"/>
      <c r="BA187" s="67"/>
    </row>
    <row r="188" spans="1:53" ht="13.8" thickBot="1">
      <c r="A188" s="67"/>
      <c r="B188" s="655">
        <f t="shared" si="28"/>
        <v>167</v>
      </c>
      <c r="C188" s="374" t="str">
        <f t="shared" si="29"/>
        <v/>
      </c>
      <c r="D188" s="784" t="str">
        <f t="shared" si="30"/>
        <v/>
      </c>
      <c r="E188" s="784" t="str">
        <f t="shared" si="31"/>
        <v/>
      </c>
      <c r="F188" s="785" t="str">
        <f t="shared" si="32"/>
        <v/>
      </c>
      <c r="G188" s="784" t="str">
        <f t="shared" si="27"/>
        <v/>
      </c>
      <c r="L188" s="67"/>
      <c r="M188" s="67"/>
      <c r="N188" s="67"/>
      <c r="O188" s="67"/>
      <c r="P188" s="67"/>
      <c r="Q188" s="67"/>
      <c r="R188" s="67"/>
      <c r="S188" s="67"/>
      <c r="T188" s="67"/>
      <c r="U188" s="641"/>
      <c r="V188" s="643"/>
      <c r="W188" s="593"/>
      <c r="X188" s="67"/>
      <c r="Y188" s="663" t="str">
        <f>IF(C188="","",('transversal subsidence profile'!$L$5*EXP(-(C188^2)/(2*'transversal subsidence profile'!$J$5^2)))*100)</f>
        <v/>
      </c>
      <c r="Z188" s="664" t="str">
        <f>IF(C188="","",(+'transversal subsidence profile'!$L$6*EXP(-((C188+$G$10)^2)/(2*'transversal subsidence profile'!$J$6^2)))*100)</f>
        <v/>
      </c>
      <c r="AA188" s="751" t="str">
        <f>IF(C188="","",IF('IN-OUT'!$F$26=0,'Damage classification-Rankin'!Z188,IF('IN-OUT'!$F$35=0,Y188,'Damage classification-Rankin'!Y188+'Damage classification-Rankin'!Z188)))</f>
        <v/>
      </c>
      <c r="AB188" s="67"/>
      <c r="AC188" s="67"/>
      <c r="AJ188" s="67"/>
      <c r="AK188" s="67"/>
      <c r="AL188" s="67"/>
      <c r="AM188" s="67"/>
      <c r="AN188" s="67"/>
      <c r="AO188" s="67"/>
      <c r="AP188" s="67"/>
      <c r="AQ188" s="67"/>
      <c r="AR188" s="67"/>
      <c r="AS188" s="67"/>
      <c r="AT188" s="67"/>
      <c r="AU188" s="67"/>
      <c r="AV188" s="67"/>
      <c r="AW188" s="67"/>
      <c r="AX188" s="67"/>
      <c r="AY188" s="67"/>
      <c r="AZ188" s="67"/>
      <c r="BA188" s="67"/>
    </row>
    <row r="189" spans="1:53" ht="13.8" thickBot="1">
      <c r="A189" s="67"/>
      <c r="B189" s="655">
        <f t="shared" si="28"/>
        <v>168</v>
      </c>
      <c r="C189" s="374" t="str">
        <f t="shared" si="29"/>
        <v/>
      </c>
      <c r="D189" s="784" t="str">
        <f t="shared" si="30"/>
        <v/>
      </c>
      <c r="E189" s="784" t="str">
        <f t="shared" si="31"/>
        <v/>
      </c>
      <c r="F189" s="785" t="str">
        <f t="shared" si="32"/>
        <v/>
      </c>
      <c r="G189" s="784" t="str">
        <f t="shared" si="27"/>
        <v/>
      </c>
      <c r="L189" s="67"/>
      <c r="M189" s="67"/>
      <c r="N189" s="67"/>
      <c r="O189" s="67"/>
      <c r="P189" s="67"/>
      <c r="Q189" s="67"/>
      <c r="R189" s="67"/>
      <c r="S189" s="67"/>
      <c r="T189" s="67"/>
      <c r="U189" s="641"/>
      <c r="V189" s="643"/>
      <c r="W189" s="593"/>
      <c r="X189" s="67"/>
      <c r="Y189" s="663" t="str">
        <f>IF(C189="","",('transversal subsidence profile'!$L$5*EXP(-(C189^2)/(2*'transversal subsidence profile'!$J$5^2)))*100)</f>
        <v/>
      </c>
      <c r="Z189" s="664" t="str">
        <f>IF(C189="","",(+'transversal subsidence profile'!$L$6*EXP(-((C189+$G$10)^2)/(2*'transversal subsidence profile'!$J$6^2)))*100)</f>
        <v/>
      </c>
      <c r="AA189" s="751" t="str">
        <f>IF(C189="","",IF('IN-OUT'!$F$26=0,'Damage classification-Rankin'!Z189,IF('IN-OUT'!$F$35=0,Y189,'Damage classification-Rankin'!Y189+'Damage classification-Rankin'!Z189)))</f>
        <v/>
      </c>
      <c r="AB189" s="67"/>
      <c r="AC189" s="67"/>
      <c r="AJ189" s="67"/>
      <c r="AK189" s="67"/>
      <c r="AL189" s="67"/>
      <c r="AM189" s="67"/>
      <c r="AN189" s="67"/>
      <c r="AO189" s="67"/>
      <c r="AP189" s="67"/>
      <c r="AQ189" s="67"/>
      <c r="AR189" s="67"/>
      <c r="AS189" s="67"/>
      <c r="AT189" s="67"/>
      <c r="AU189" s="67"/>
      <c r="AV189" s="67"/>
      <c r="AW189" s="67"/>
      <c r="AX189" s="67"/>
      <c r="AY189" s="67"/>
      <c r="AZ189" s="67"/>
      <c r="BA189" s="67"/>
    </row>
    <row r="190" spans="1:53" ht="13.8" thickBot="1">
      <c r="A190" s="67"/>
      <c r="B190" s="655">
        <f t="shared" si="28"/>
        <v>169</v>
      </c>
      <c r="C190" s="374" t="str">
        <f t="shared" si="29"/>
        <v/>
      </c>
      <c r="D190" s="784" t="str">
        <f t="shared" si="30"/>
        <v/>
      </c>
      <c r="E190" s="784" t="str">
        <f t="shared" si="31"/>
        <v/>
      </c>
      <c r="F190" s="785" t="str">
        <f t="shared" si="32"/>
        <v/>
      </c>
      <c r="G190" s="784" t="str">
        <f t="shared" si="27"/>
        <v/>
      </c>
      <c r="L190" s="67"/>
      <c r="M190" s="67"/>
      <c r="N190" s="67"/>
      <c r="O190" s="67"/>
      <c r="P190" s="67"/>
      <c r="Q190" s="67"/>
      <c r="R190" s="67"/>
      <c r="S190" s="67"/>
      <c r="T190" s="67"/>
      <c r="U190" s="641"/>
      <c r="V190" s="643"/>
      <c r="W190" s="593"/>
      <c r="X190" s="67"/>
      <c r="Y190" s="663" t="str">
        <f>IF(C190="","",('transversal subsidence profile'!$L$5*EXP(-(C190^2)/(2*'transversal subsidence profile'!$J$5^2)))*100)</f>
        <v/>
      </c>
      <c r="Z190" s="664" t="str">
        <f>IF(C190="","",(+'transversal subsidence profile'!$L$6*EXP(-((C190+$G$10)^2)/(2*'transversal subsidence profile'!$J$6^2)))*100)</f>
        <v/>
      </c>
      <c r="AA190" s="751" t="str">
        <f>IF(C190="","",IF('IN-OUT'!$F$26=0,'Damage classification-Rankin'!Z190,IF('IN-OUT'!$F$35=0,Y190,'Damage classification-Rankin'!Y190+'Damage classification-Rankin'!Z190)))</f>
        <v/>
      </c>
      <c r="AB190" s="67"/>
      <c r="AC190" s="67"/>
      <c r="AJ190" s="67"/>
      <c r="AK190" s="67"/>
      <c r="AL190" s="67"/>
      <c r="AM190" s="67"/>
      <c r="AN190" s="67"/>
      <c r="AO190" s="67"/>
      <c r="AP190" s="67"/>
      <c r="AQ190" s="67"/>
      <c r="AR190" s="67"/>
      <c r="AS190" s="67"/>
      <c r="AT190" s="67"/>
      <c r="AU190" s="67"/>
      <c r="AV190" s="67"/>
      <c r="AW190" s="67"/>
      <c r="AX190" s="67"/>
      <c r="AY190" s="67"/>
      <c r="AZ190" s="67"/>
      <c r="BA190" s="67"/>
    </row>
    <row r="191" spans="1:53" ht="13.8" thickBot="1">
      <c r="A191" s="67"/>
      <c r="B191" s="655">
        <f t="shared" si="28"/>
        <v>170</v>
      </c>
      <c r="C191" s="374" t="str">
        <f t="shared" si="29"/>
        <v/>
      </c>
      <c r="D191" s="784" t="str">
        <f t="shared" si="30"/>
        <v/>
      </c>
      <c r="E191" s="784" t="str">
        <f t="shared" si="31"/>
        <v/>
      </c>
      <c r="F191" s="785" t="str">
        <f t="shared" si="32"/>
        <v/>
      </c>
      <c r="G191" s="784" t="str">
        <f t="shared" si="27"/>
        <v/>
      </c>
      <c r="L191" s="67"/>
      <c r="M191" s="67"/>
      <c r="N191" s="67"/>
      <c r="O191" s="67"/>
      <c r="P191" s="67"/>
      <c r="Q191" s="67"/>
      <c r="R191" s="67"/>
      <c r="S191" s="67"/>
      <c r="T191" s="67"/>
      <c r="U191" s="641"/>
      <c r="V191" s="643"/>
      <c r="W191" s="593"/>
      <c r="X191" s="67"/>
      <c r="Y191" s="663" t="str">
        <f>IF(C191="","",('transversal subsidence profile'!$L$5*EXP(-(C191^2)/(2*'transversal subsidence profile'!$J$5^2)))*100)</f>
        <v/>
      </c>
      <c r="Z191" s="664" t="str">
        <f>IF(C191="","",(+'transversal subsidence profile'!$L$6*EXP(-((C191+$G$10)^2)/(2*'transversal subsidence profile'!$J$6^2)))*100)</f>
        <v/>
      </c>
      <c r="AA191" s="751" t="str">
        <f>IF(C191="","",IF('IN-OUT'!$F$26=0,'Damage classification-Rankin'!Z191,IF('IN-OUT'!$F$35=0,Y191,'Damage classification-Rankin'!Y191+'Damage classification-Rankin'!Z191)))</f>
        <v/>
      </c>
      <c r="AB191" s="67"/>
      <c r="AC191" s="67"/>
      <c r="AJ191" s="67"/>
      <c r="AK191" s="67"/>
      <c r="AL191" s="67"/>
      <c r="AM191" s="67"/>
      <c r="AN191" s="67"/>
      <c r="AO191" s="67"/>
      <c r="AP191" s="67"/>
      <c r="AQ191" s="67"/>
      <c r="AR191" s="67"/>
      <c r="AS191" s="67"/>
      <c r="AT191" s="67"/>
      <c r="AU191" s="67"/>
      <c r="AV191" s="67"/>
      <c r="AW191" s="67"/>
      <c r="AX191" s="67"/>
      <c r="AY191" s="67"/>
      <c r="AZ191" s="67"/>
      <c r="BA191" s="67"/>
    </row>
    <row r="192" spans="1:53" ht="13.8" thickBot="1">
      <c r="A192" s="67"/>
      <c r="B192" s="655">
        <f t="shared" si="28"/>
        <v>171</v>
      </c>
      <c r="C192" s="374" t="str">
        <f t="shared" si="29"/>
        <v/>
      </c>
      <c r="D192" s="784" t="str">
        <f t="shared" si="30"/>
        <v/>
      </c>
      <c r="E192" s="784" t="str">
        <f t="shared" si="31"/>
        <v/>
      </c>
      <c r="F192" s="785" t="str">
        <f t="shared" si="32"/>
        <v/>
      </c>
      <c r="G192" s="784" t="str">
        <f t="shared" si="27"/>
        <v/>
      </c>
      <c r="L192" s="67"/>
      <c r="M192" s="67"/>
      <c r="N192" s="67"/>
      <c r="O192" s="67"/>
      <c r="P192" s="67"/>
      <c r="Q192" s="67"/>
      <c r="R192" s="67"/>
      <c r="S192" s="67"/>
      <c r="T192" s="67"/>
      <c r="U192" s="641"/>
      <c r="V192" s="643"/>
      <c r="W192" s="593"/>
      <c r="X192" s="67"/>
      <c r="Y192" s="663" t="str">
        <f>IF(C192="","",('transversal subsidence profile'!$L$5*EXP(-(C192^2)/(2*'transversal subsidence profile'!$J$5^2)))*100)</f>
        <v/>
      </c>
      <c r="Z192" s="664" t="str">
        <f>IF(C192="","",(+'transversal subsidence profile'!$L$6*EXP(-((C192+$G$10)^2)/(2*'transversal subsidence profile'!$J$6^2)))*100)</f>
        <v/>
      </c>
      <c r="AA192" s="751" t="str">
        <f>IF(C192="","",IF('IN-OUT'!$F$26=0,'Damage classification-Rankin'!Z192,IF('IN-OUT'!$F$35=0,Y192,'Damage classification-Rankin'!Y192+'Damage classification-Rankin'!Z192)))</f>
        <v/>
      </c>
      <c r="AB192" s="67"/>
      <c r="AC192" s="67"/>
      <c r="AJ192" s="67"/>
      <c r="AK192" s="67"/>
      <c r="AL192" s="67"/>
      <c r="AM192" s="67"/>
      <c r="AN192" s="67"/>
      <c r="AO192" s="67"/>
      <c r="AP192" s="67"/>
      <c r="AQ192" s="67"/>
      <c r="AR192" s="67"/>
      <c r="AS192" s="67"/>
      <c r="AT192" s="67"/>
      <c r="AU192" s="67"/>
      <c r="AV192" s="67"/>
      <c r="AW192" s="67"/>
      <c r="AX192" s="67"/>
      <c r="AY192" s="67"/>
      <c r="AZ192" s="67"/>
      <c r="BA192" s="67"/>
    </row>
    <row r="193" spans="1:53" ht="13.8" thickBot="1">
      <c r="A193" s="67"/>
      <c r="B193" s="655">
        <f t="shared" si="28"/>
        <v>172</v>
      </c>
      <c r="C193" s="374" t="str">
        <f t="shared" si="29"/>
        <v/>
      </c>
      <c r="D193" s="784" t="str">
        <f t="shared" si="30"/>
        <v/>
      </c>
      <c r="E193" s="784" t="str">
        <f t="shared" si="31"/>
        <v/>
      </c>
      <c r="F193" s="785" t="str">
        <f t="shared" si="32"/>
        <v/>
      </c>
      <c r="G193" s="784" t="str">
        <f t="shared" si="27"/>
        <v/>
      </c>
      <c r="L193" s="67"/>
      <c r="M193" s="67"/>
      <c r="N193" s="67"/>
      <c r="O193" s="67"/>
      <c r="P193" s="67"/>
      <c r="Q193" s="67"/>
      <c r="R193" s="67"/>
      <c r="S193" s="67"/>
      <c r="T193" s="67"/>
      <c r="U193" s="641"/>
      <c r="V193" s="643"/>
      <c r="W193" s="593"/>
      <c r="X193" s="67"/>
      <c r="Y193" s="663" t="str">
        <f>IF(C193="","",('transversal subsidence profile'!$L$5*EXP(-(C193^2)/(2*'transversal subsidence profile'!$J$5^2)))*100)</f>
        <v/>
      </c>
      <c r="Z193" s="664" t="str">
        <f>IF(C193="","",(+'transversal subsidence profile'!$L$6*EXP(-((C193+$G$10)^2)/(2*'transversal subsidence profile'!$J$6^2)))*100)</f>
        <v/>
      </c>
      <c r="AA193" s="751" t="str">
        <f>IF(C193="","",IF('IN-OUT'!$F$26=0,'Damage classification-Rankin'!Z193,IF('IN-OUT'!$F$35=0,Y193,'Damage classification-Rankin'!Y193+'Damage classification-Rankin'!Z193)))</f>
        <v/>
      </c>
      <c r="AB193" s="67"/>
      <c r="AC193" s="67"/>
      <c r="AJ193" s="67"/>
      <c r="AK193" s="67"/>
      <c r="AL193" s="67"/>
      <c r="AM193" s="67"/>
      <c r="AN193" s="67"/>
      <c r="AO193" s="67"/>
      <c r="AP193" s="67"/>
      <c r="AQ193" s="67"/>
      <c r="AR193" s="67"/>
      <c r="AS193" s="67"/>
      <c r="AT193" s="67"/>
      <c r="AU193" s="67"/>
      <c r="AV193" s="67"/>
      <c r="AW193" s="67"/>
      <c r="AX193" s="67"/>
      <c r="AY193" s="67"/>
      <c r="AZ193" s="67"/>
      <c r="BA193" s="67"/>
    </row>
    <row r="194" spans="1:53" ht="13.8" thickBot="1">
      <c r="A194" s="67"/>
      <c r="B194" s="655">
        <f t="shared" si="28"/>
        <v>173</v>
      </c>
      <c r="C194" s="374" t="str">
        <f t="shared" si="29"/>
        <v/>
      </c>
      <c r="D194" s="784" t="str">
        <f t="shared" si="30"/>
        <v/>
      </c>
      <c r="E194" s="784" t="str">
        <f t="shared" si="31"/>
        <v/>
      </c>
      <c r="F194" s="785" t="str">
        <f t="shared" si="32"/>
        <v/>
      </c>
      <c r="G194" s="784" t="str">
        <f t="shared" si="27"/>
        <v/>
      </c>
      <c r="L194" s="67"/>
      <c r="M194" s="67"/>
      <c r="N194" s="67"/>
      <c r="O194" s="67"/>
      <c r="P194" s="67"/>
      <c r="Q194" s="67"/>
      <c r="R194" s="67"/>
      <c r="S194" s="67"/>
      <c r="T194" s="67"/>
      <c r="U194" s="641"/>
      <c r="V194" s="643"/>
      <c r="W194" s="593"/>
      <c r="X194" s="67"/>
      <c r="Y194" s="663" t="str">
        <f>IF(C194="","",('transversal subsidence profile'!$L$5*EXP(-(C194^2)/(2*'transversal subsidence profile'!$J$5^2)))*100)</f>
        <v/>
      </c>
      <c r="Z194" s="664" t="str">
        <f>IF(C194="","",(+'transversal subsidence profile'!$L$6*EXP(-((C194+$G$10)^2)/(2*'transversal subsidence profile'!$J$6^2)))*100)</f>
        <v/>
      </c>
      <c r="AA194" s="751" t="str">
        <f>IF(C194="","",IF('IN-OUT'!$F$26=0,'Damage classification-Rankin'!Z194,IF('IN-OUT'!$F$35=0,Y194,'Damage classification-Rankin'!Y194+'Damage classification-Rankin'!Z194)))</f>
        <v/>
      </c>
      <c r="AB194" s="67"/>
      <c r="AC194" s="67"/>
      <c r="AJ194" s="67"/>
      <c r="AK194" s="67"/>
      <c r="AL194" s="67"/>
      <c r="AM194" s="67"/>
      <c r="AN194" s="67"/>
      <c r="AO194" s="67"/>
      <c r="AP194" s="67"/>
      <c r="AQ194" s="67"/>
      <c r="AR194" s="67"/>
      <c r="AS194" s="67"/>
      <c r="AT194" s="67"/>
      <c r="AU194" s="67"/>
      <c r="AV194" s="67"/>
      <c r="AW194" s="67"/>
      <c r="AX194" s="67"/>
      <c r="AY194" s="67"/>
      <c r="AZ194" s="67"/>
      <c r="BA194" s="67"/>
    </row>
    <row r="195" spans="1:53" ht="13.8" thickBot="1">
      <c r="A195" s="67"/>
      <c r="B195" s="655">
        <f t="shared" si="28"/>
        <v>174</v>
      </c>
      <c r="C195" s="374" t="str">
        <f t="shared" si="29"/>
        <v/>
      </c>
      <c r="D195" s="784" t="str">
        <f t="shared" si="30"/>
        <v/>
      </c>
      <c r="E195" s="784" t="str">
        <f t="shared" si="31"/>
        <v/>
      </c>
      <c r="F195" s="785" t="str">
        <f t="shared" si="32"/>
        <v/>
      </c>
      <c r="G195" s="784" t="str">
        <f t="shared" si="27"/>
        <v/>
      </c>
      <c r="L195" s="67"/>
      <c r="M195" s="67"/>
      <c r="N195" s="67"/>
      <c r="O195" s="67"/>
      <c r="P195" s="67"/>
      <c r="Q195" s="67"/>
      <c r="R195" s="67"/>
      <c r="S195" s="67"/>
      <c r="T195" s="67"/>
      <c r="U195" s="641"/>
      <c r="V195" s="643"/>
      <c r="W195" s="593"/>
      <c r="X195" s="67"/>
      <c r="Y195" s="663" t="str">
        <f>IF(C195="","",('transversal subsidence profile'!$L$5*EXP(-(C195^2)/(2*'transversal subsidence profile'!$J$5^2)))*100)</f>
        <v/>
      </c>
      <c r="Z195" s="664" t="str">
        <f>IF(C195="","",(+'transversal subsidence profile'!$L$6*EXP(-((C195+$G$10)^2)/(2*'transversal subsidence profile'!$J$6^2)))*100)</f>
        <v/>
      </c>
      <c r="AA195" s="751" t="str">
        <f>IF(C195="","",IF('IN-OUT'!$F$26=0,'Damage classification-Rankin'!Z195,IF('IN-OUT'!$F$35=0,Y195,'Damage classification-Rankin'!Y195+'Damage classification-Rankin'!Z195)))</f>
        <v/>
      </c>
      <c r="AB195" s="67"/>
      <c r="AC195" s="67"/>
      <c r="AJ195" s="67"/>
      <c r="AK195" s="67"/>
      <c r="AL195" s="67"/>
      <c r="AM195" s="67"/>
      <c r="AN195" s="67"/>
      <c r="AO195" s="67"/>
      <c r="AP195" s="67"/>
      <c r="AQ195" s="67"/>
      <c r="AR195" s="67"/>
      <c r="AS195" s="67"/>
      <c r="AT195" s="67"/>
      <c r="AU195" s="67"/>
      <c r="AV195" s="67"/>
      <c r="AW195" s="67"/>
      <c r="AX195" s="67"/>
      <c r="AY195" s="67"/>
      <c r="AZ195" s="67"/>
      <c r="BA195" s="67"/>
    </row>
    <row r="196" spans="1:53" ht="13.8" thickBot="1">
      <c r="A196" s="67"/>
      <c r="B196" s="655">
        <f t="shared" si="28"/>
        <v>175</v>
      </c>
      <c r="C196" s="374" t="str">
        <f t="shared" si="29"/>
        <v/>
      </c>
      <c r="D196" s="784" t="str">
        <f t="shared" si="30"/>
        <v/>
      </c>
      <c r="E196" s="784" t="str">
        <f t="shared" si="31"/>
        <v/>
      </c>
      <c r="F196" s="785" t="str">
        <f t="shared" si="32"/>
        <v/>
      </c>
      <c r="G196" s="784" t="str">
        <f t="shared" si="27"/>
        <v/>
      </c>
      <c r="L196" s="67"/>
      <c r="M196" s="67"/>
      <c r="N196" s="67"/>
      <c r="O196" s="67"/>
      <c r="P196" s="67"/>
      <c r="Q196" s="67"/>
      <c r="R196" s="67"/>
      <c r="S196" s="67"/>
      <c r="T196" s="67"/>
      <c r="U196" s="641"/>
      <c r="V196" s="643"/>
      <c r="W196" s="593"/>
      <c r="X196" s="67"/>
      <c r="Y196" s="663" t="str">
        <f>IF(C196="","",('transversal subsidence profile'!$L$5*EXP(-(C196^2)/(2*'transversal subsidence profile'!$J$5^2)))*100)</f>
        <v/>
      </c>
      <c r="Z196" s="664" t="str">
        <f>IF(C196="","",(+'transversal subsidence profile'!$L$6*EXP(-((C196+$G$10)^2)/(2*'transversal subsidence profile'!$J$6^2)))*100)</f>
        <v/>
      </c>
      <c r="AA196" s="751" t="str">
        <f>IF(C196="","",IF('IN-OUT'!$F$26=0,'Damage classification-Rankin'!Z196,IF('IN-OUT'!$F$35=0,Y196,'Damage classification-Rankin'!Y196+'Damage classification-Rankin'!Z196)))</f>
        <v/>
      </c>
      <c r="AB196" s="67"/>
      <c r="AC196" s="67"/>
      <c r="AJ196" s="67"/>
      <c r="AK196" s="67"/>
      <c r="AL196" s="67"/>
      <c r="AM196" s="67"/>
      <c r="AN196" s="67"/>
      <c r="AO196" s="67"/>
      <c r="AP196" s="67"/>
      <c r="AQ196" s="67"/>
      <c r="AR196" s="67"/>
      <c r="AS196" s="67"/>
      <c r="AT196" s="67"/>
      <c r="AU196" s="67"/>
      <c r="AV196" s="67"/>
      <c r="AW196" s="67"/>
      <c r="AX196" s="67"/>
      <c r="AY196" s="67"/>
      <c r="AZ196" s="67"/>
      <c r="BA196" s="67"/>
    </row>
    <row r="197" spans="1:53" ht="13.8" thickBot="1">
      <c r="A197" s="67"/>
      <c r="B197" s="655">
        <f t="shared" si="28"/>
        <v>176</v>
      </c>
      <c r="C197" s="374" t="str">
        <f t="shared" si="29"/>
        <v/>
      </c>
      <c r="D197" s="784" t="str">
        <f t="shared" si="30"/>
        <v/>
      </c>
      <c r="E197" s="784" t="str">
        <f t="shared" si="31"/>
        <v/>
      </c>
      <c r="F197" s="785" t="str">
        <f t="shared" si="32"/>
        <v/>
      </c>
      <c r="G197" s="784" t="str">
        <f t="shared" si="27"/>
        <v/>
      </c>
      <c r="L197" s="67"/>
      <c r="M197" s="67"/>
      <c r="N197" s="67"/>
      <c r="O197" s="67"/>
      <c r="P197" s="67"/>
      <c r="Q197" s="67"/>
      <c r="R197" s="67"/>
      <c r="S197" s="67"/>
      <c r="T197" s="67"/>
      <c r="U197" s="641"/>
      <c r="V197" s="643"/>
      <c r="W197" s="593"/>
      <c r="X197" s="67"/>
      <c r="Y197" s="663" t="str">
        <f>IF(C197="","",('transversal subsidence profile'!$L$5*EXP(-(C197^2)/(2*'transversal subsidence profile'!$J$5^2)))*100)</f>
        <v/>
      </c>
      <c r="Z197" s="664" t="str">
        <f>IF(C197="","",(+'transversal subsidence profile'!$L$6*EXP(-((C197+$G$10)^2)/(2*'transversal subsidence profile'!$J$6^2)))*100)</f>
        <v/>
      </c>
      <c r="AA197" s="751" t="str">
        <f>IF(C197="","",IF('IN-OUT'!$F$26=0,'Damage classification-Rankin'!Z197,IF('IN-OUT'!$F$35=0,Y197,'Damage classification-Rankin'!Y197+'Damage classification-Rankin'!Z197)))</f>
        <v/>
      </c>
      <c r="AB197" s="67"/>
      <c r="AC197" s="67"/>
      <c r="AJ197" s="67"/>
      <c r="AK197" s="67"/>
      <c r="AL197" s="67"/>
      <c r="AM197" s="67"/>
      <c r="AN197" s="67"/>
      <c r="AO197" s="67"/>
      <c r="AP197" s="67"/>
      <c r="AQ197" s="67"/>
      <c r="AR197" s="67"/>
      <c r="AS197" s="67"/>
      <c r="AT197" s="67"/>
      <c r="AU197" s="67"/>
      <c r="AV197" s="67"/>
      <c r="AW197" s="67"/>
      <c r="AX197" s="67"/>
      <c r="AY197" s="67"/>
      <c r="AZ197" s="67"/>
      <c r="BA197" s="67"/>
    </row>
    <row r="198" spans="1:53" ht="13.8" thickBot="1">
      <c r="A198" s="67"/>
      <c r="B198" s="655">
        <f t="shared" si="28"/>
        <v>177</v>
      </c>
      <c r="C198" s="374" t="str">
        <f t="shared" si="29"/>
        <v/>
      </c>
      <c r="D198" s="784" t="str">
        <f t="shared" si="30"/>
        <v/>
      </c>
      <c r="E198" s="784" t="str">
        <f t="shared" si="31"/>
        <v/>
      </c>
      <c r="F198" s="785" t="str">
        <f t="shared" si="32"/>
        <v/>
      </c>
      <c r="G198" s="784" t="str">
        <f t="shared" si="27"/>
        <v/>
      </c>
      <c r="L198" s="67"/>
      <c r="M198" s="67"/>
      <c r="N198" s="67"/>
      <c r="O198" s="67"/>
      <c r="P198" s="67"/>
      <c r="Q198" s="67"/>
      <c r="R198" s="67"/>
      <c r="S198" s="67"/>
      <c r="T198" s="67"/>
      <c r="U198" s="641"/>
      <c r="V198" s="643"/>
      <c r="W198" s="593"/>
      <c r="X198" s="67"/>
      <c r="Y198" s="663" t="str">
        <f>IF(C198="","",('transversal subsidence profile'!$L$5*EXP(-(C198^2)/(2*'transversal subsidence profile'!$J$5^2)))*100)</f>
        <v/>
      </c>
      <c r="Z198" s="664" t="str">
        <f>IF(C198="","",(+'transversal subsidence profile'!$L$6*EXP(-((C198+$G$10)^2)/(2*'transversal subsidence profile'!$J$6^2)))*100)</f>
        <v/>
      </c>
      <c r="AA198" s="751" t="str">
        <f>IF(C198="","",IF('IN-OUT'!$F$26=0,'Damage classification-Rankin'!Z198,IF('IN-OUT'!$F$35=0,Y198,'Damage classification-Rankin'!Y198+'Damage classification-Rankin'!Z198)))</f>
        <v/>
      </c>
      <c r="AB198" s="67"/>
      <c r="AC198" s="67"/>
      <c r="AJ198" s="67"/>
      <c r="AK198" s="67"/>
      <c r="AL198" s="67"/>
      <c r="AM198" s="67"/>
      <c r="AN198" s="67"/>
      <c r="AO198" s="67"/>
      <c r="AP198" s="67"/>
      <c r="AQ198" s="67"/>
      <c r="AR198" s="67"/>
      <c r="AS198" s="67"/>
      <c r="AT198" s="67"/>
      <c r="AU198" s="67"/>
      <c r="AV198" s="67"/>
      <c r="AW198" s="67"/>
      <c r="AX198" s="67"/>
      <c r="AY198" s="67"/>
      <c r="AZ198" s="67"/>
      <c r="BA198" s="67"/>
    </row>
    <row r="199" spans="1:53" ht="13.8" thickBot="1">
      <c r="A199" s="67"/>
      <c r="B199" s="655">
        <f t="shared" si="28"/>
        <v>178</v>
      </c>
      <c r="C199" s="374" t="str">
        <f t="shared" si="29"/>
        <v/>
      </c>
      <c r="D199" s="784" t="str">
        <f t="shared" si="30"/>
        <v/>
      </c>
      <c r="E199" s="784" t="str">
        <f t="shared" si="31"/>
        <v/>
      </c>
      <c r="F199" s="785" t="str">
        <f t="shared" si="32"/>
        <v/>
      </c>
      <c r="G199" s="784" t="str">
        <f t="shared" si="27"/>
        <v/>
      </c>
      <c r="L199" s="67"/>
      <c r="M199" s="67"/>
      <c r="N199" s="67"/>
      <c r="O199" s="67"/>
      <c r="P199" s="67"/>
      <c r="Q199" s="67"/>
      <c r="R199" s="67"/>
      <c r="S199" s="67"/>
      <c r="T199" s="67"/>
      <c r="U199" s="641"/>
      <c r="V199" s="643"/>
      <c r="W199" s="593"/>
      <c r="X199" s="67"/>
      <c r="Y199" s="663" t="str">
        <f>IF(C199="","",('transversal subsidence profile'!$L$5*EXP(-(C199^2)/(2*'transversal subsidence profile'!$J$5^2)))*100)</f>
        <v/>
      </c>
      <c r="Z199" s="664" t="str">
        <f>IF(C199="","",(+'transversal subsidence profile'!$L$6*EXP(-((C199+$G$10)^2)/(2*'transversal subsidence profile'!$J$6^2)))*100)</f>
        <v/>
      </c>
      <c r="AA199" s="751" t="str">
        <f>IF(C199="","",IF('IN-OUT'!$F$26=0,'Damage classification-Rankin'!Z199,IF('IN-OUT'!$F$35=0,Y199,'Damage classification-Rankin'!Y199+'Damage classification-Rankin'!Z199)))</f>
        <v/>
      </c>
      <c r="AB199" s="67"/>
      <c r="AC199" s="67"/>
      <c r="AJ199" s="67"/>
      <c r="AK199" s="67"/>
      <c r="AL199" s="67"/>
      <c r="AM199" s="67"/>
      <c r="AN199" s="67"/>
      <c r="AO199" s="67"/>
      <c r="AP199" s="67"/>
      <c r="AQ199" s="67"/>
      <c r="AR199" s="67"/>
      <c r="AS199" s="67"/>
      <c r="AT199" s="67"/>
      <c r="AU199" s="67"/>
      <c r="AV199" s="67"/>
      <c r="AW199" s="67"/>
      <c r="AX199" s="67"/>
      <c r="AY199" s="67"/>
      <c r="AZ199" s="67"/>
      <c r="BA199" s="67"/>
    </row>
    <row r="200" spans="1:53" ht="13.8" thickBot="1">
      <c r="A200" s="67"/>
      <c r="B200" s="655">
        <f t="shared" si="28"/>
        <v>179</v>
      </c>
      <c r="C200" s="374" t="str">
        <f t="shared" si="29"/>
        <v/>
      </c>
      <c r="D200" s="784" t="str">
        <f t="shared" si="30"/>
        <v/>
      </c>
      <c r="E200" s="784" t="str">
        <f t="shared" si="31"/>
        <v/>
      </c>
      <c r="F200" s="785" t="str">
        <f t="shared" si="32"/>
        <v/>
      </c>
      <c r="G200" s="784" t="str">
        <f t="shared" si="27"/>
        <v/>
      </c>
      <c r="L200" s="67"/>
      <c r="M200" s="67"/>
      <c r="N200" s="67"/>
      <c r="O200" s="67"/>
      <c r="P200" s="67"/>
      <c r="Q200" s="67"/>
      <c r="R200" s="67"/>
      <c r="S200" s="67"/>
      <c r="T200" s="67"/>
      <c r="U200" s="641"/>
      <c r="V200" s="643"/>
      <c r="W200" s="593"/>
      <c r="X200" s="67"/>
      <c r="Y200" s="663" t="str">
        <f>IF(C200="","",('transversal subsidence profile'!$L$5*EXP(-(C200^2)/(2*'transversal subsidence profile'!$J$5^2)))*100)</f>
        <v/>
      </c>
      <c r="Z200" s="664" t="str">
        <f>IF(C200="","",(+'transversal subsidence profile'!$L$6*EXP(-((C200+$G$10)^2)/(2*'transversal subsidence profile'!$J$6^2)))*100)</f>
        <v/>
      </c>
      <c r="AA200" s="751" t="str">
        <f>IF(C200="","",IF('IN-OUT'!$F$26=0,'Damage classification-Rankin'!Z200,IF('IN-OUT'!$F$35=0,Y200,'Damage classification-Rankin'!Y200+'Damage classification-Rankin'!Z200)))</f>
        <v/>
      </c>
      <c r="AB200" s="67"/>
      <c r="AC200" s="67"/>
      <c r="AJ200" s="67"/>
      <c r="AK200" s="67"/>
      <c r="AL200" s="67"/>
      <c r="AM200" s="67"/>
      <c r="AN200" s="67"/>
      <c r="AO200" s="67"/>
      <c r="AP200" s="67"/>
      <c r="AQ200" s="67"/>
      <c r="AR200" s="67"/>
      <c r="AS200" s="67"/>
      <c r="AT200" s="67"/>
      <c r="AU200" s="67"/>
      <c r="AV200" s="67"/>
      <c r="AW200" s="67"/>
      <c r="AX200" s="67"/>
      <c r="AY200" s="67"/>
      <c r="AZ200" s="67"/>
      <c r="BA200" s="67"/>
    </row>
    <row r="201" spans="1:53" ht="13.8" thickBot="1">
      <c r="A201" s="67"/>
      <c r="B201" s="655">
        <f t="shared" si="28"/>
        <v>180</v>
      </c>
      <c r="C201" s="374" t="str">
        <f t="shared" si="29"/>
        <v/>
      </c>
      <c r="D201" s="784" t="str">
        <f t="shared" si="30"/>
        <v/>
      </c>
      <c r="E201" s="784" t="str">
        <f t="shared" si="31"/>
        <v/>
      </c>
      <c r="F201" s="785" t="str">
        <f t="shared" si="32"/>
        <v/>
      </c>
      <c r="G201" s="784" t="str">
        <f t="shared" si="27"/>
        <v/>
      </c>
      <c r="L201" s="67"/>
      <c r="M201" s="67"/>
      <c r="N201" s="67"/>
      <c r="O201" s="67"/>
      <c r="P201" s="67"/>
      <c r="Q201" s="67"/>
      <c r="R201" s="67"/>
      <c r="S201" s="67"/>
      <c r="T201" s="67"/>
      <c r="U201" s="641"/>
      <c r="V201" s="643"/>
      <c r="W201" s="593"/>
      <c r="X201" s="67"/>
      <c r="Y201" s="663" t="str">
        <f>IF(C201="","",('transversal subsidence profile'!$L$5*EXP(-(C201^2)/(2*'transversal subsidence profile'!$J$5^2)))*100)</f>
        <v/>
      </c>
      <c r="Z201" s="664" t="str">
        <f>IF(C201="","",(+'transversal subsidence profile'!$L$6*EXP(-((C201+$G$10)^2)/(2*'transversal subsidence profile'!$J$6^2)))*100)</f>
        <v/>
      </c>
      <c r="AA201" s="751" t="str">
        <f>IF(C201="","",IF('IN-OUT'!$F$26=0,'Damage classification-Rankin'!Z201,IF('IN-OUT'!$F$35=0,Y201,'Damage classification-Rankin'!Y201+'Damage classification-Rankin'!Z201)))</f>
        <v/>
      </c>
      <c r="AB201" s="67"/>
      <c r="AC201" s="67"/>
      <c r="AJ201" s="67"/>
      <c r="AK201" s="67"/>
      <c r="AL201" s="67"/>
      <c r="AM201" s="67"/>
      <c r="AN201" s="67"/>
      <c r="AO201" s="67"/>
      <c r="AP201" s="67"/>
      <c r="AQ201" s="67"/>
      <c r="AR201" s="67"/>
      <c r="AS201" s="67"/>
      <c r="AT201" s="67"/>
      <c r="AU201" s="67"/>
      <c r="AV201" s="67"/>
      <c r="AW201" s="67"/>
      <c r="AX201" s="67"/>
      <c r="AY201" s="67"/>
      <c r="AZ201" s="67"/>
      <c r="BA201" s="67"/>
    </row>
    <row r="202" spans="1:53" ht="13.8" thickBot="1">
      <c r="A202" s="67"/>
      <c r="B202" s="655">
        <f t="shared" si="28"/>
        <v>181</v>
      </c>
      <c r="C202" s="374" t="str">
        <f t="shared" si="29"/>
        <v/>
      </c>
      <c r="D202" s="784" t="str">
        <f t="shared" si="30"/>
        <v/>
      </c>
      <c r="E202" s="784" t="str">
        <f t="shared" si="31"/>
        <v/>
      </c>
      <c r="F202" s="785" t="str">
        <f t="shared" si="32"/>
        <v/>
      </c>
      <c r="G202" s="784" t="str">
        <f t="shared" si="27"/>
        <v/>
      </c>
      <c r="L202" s="67"/>
      <c r="M202" s="67"/>
      <c r="N202" s="67"/>
      <c r="O202" s="67"/>
      <c r="P202" s="67"/>
      <c r="Q202" s="67"/>
      <c r="R202" s="67"/>
      <c r="S202" s="67"/>
      <c r="T202" s="67"/>
      <c r="U202" s="641"/>
      <c r="V202" s="643"/>
      <c r="W202" s="593"/>
      <c r="X202" s="67"/>
      <c r="Y202" s="663" t="str">
        <f>IF(C202="","",('transversal subsidence profile'!$L$5*EXP(-(C202^2)/(2*'transversal subsidence profile'!$J$5^2)))*100)</f>
        <v/>
      </c>
      <c r="Z202" s="664" t="str">
        <f>IF(C202="","",(+'transversal subsidence profile'!$L$6*EXP(-((C202+$G$10)^2)/(2*'transversal subsidence profile'!$J$6^2)))*100)</f>
        <v/>
      </c>
      <c r="AA202" s="751" t="str">
        <f>IF(C202="","",IF('IN-OUT'!$F$26=0,'Damage classification-Rankin'!Z202,IF('IN-OUT'!$F$35=0,Y202,'Damage classification-Rankin'!Y202+'Damage classification-Rankin'!Z202)))</f>
        <v/>
      </c>
      <c r="AB202" s="67"/>
      <c r="AC202" s="67"/>
      <c r="AJ202" s="67"/>
      <c r="AK202" s="67"/>
      <c r="AL202" s="67"/>
      <c r="AM202" s="67"/>
      <c r="AN202" s="67"/>
      <c r="AO202" s="67"/>
      <c r="AP202" s="67"/>
      <c r="AQ202" s="67"/>
      <c r="AR202" s="67"/>
      <c r="AS202" s="67"/>
      <c r="AT202" s="67"/>
      <c r="AU202" s="67"/>
      <c r="AV202" s="67"/>
      <c r="AW202" s="67"/>
      <c r="AX202" s="67"/>
      <c r="AY202" s="67"/>
      <c r="AZ202" s="67"/>
      <c r="BA202" s="67"/>
    </row>
    <row r="203" spans="1:53" ht="13.8" thickBot="1">
      <c r="A203" s="67"/>
      <c r="B203" s="655">
        <f t="shared" si="28"/>
        <v>182</v>
      </c>
      <c r="C203" s="374" t="str">
        <f t="shared" si="29"/>
        <v/>
      </c>
      <c r="D203" s="784" t="str">
        <f t="shared" si="30"/>
        <v/>
      </c>
      <c r="E203" s="784" t="str">
        <f t="shared" si="31"/>
        <v/>
      </c>
      <c r="F203" s="785" t="str">
        <f t="shared" si="32"/>
        <v/>
      </c>
      <c r="G203" s="784" t="str">
        <f t="shared" si="27"/>
        <v/>
      </c>
      <c r="L203" s="67"/>
      <c r="M203" s="67"/>
      <c r="N203" s="67"/>
      <c r="O203" s="67"/>
      <c r="P203" s="67"/>
      <c r="Q203" s="67"/>
      <c r="R203" s="67"/>
      <c r="S203" s="67"/>
      <c r="T203" s="67"/>
      <c r="U203" s="641"/>
      <c r="V203" s="643"/>
      <c r="W203" s="593"/>
      <c r="X203" s="67"/>
      <c r="Y203" s="663" t="str">
        <f>IF(C203="","",('transversal subsidence profile'!$L$5*EXP(-(C203^2)/(2*'transversal subsidence profile'!$J$5^2)))*100)</f>
        <v/>
      </c>
      <c r="Z203" s="664" t="str">
        <f>IF(C203="","",(+'transversal subsidence profile'!$L$6*EXP(-((C203+$G$10)^2)/(2*'transversal subsidence profile'!$J$6^2)))*100)</f>
        <v/>
      </c>
      <c r="AA203" s="751" t="str">
        <f>IF(C203="","",IF('IN-OUT'!$F$26=0,'Damage classification-Rankin'!Z203,IF('IN-OUT'!$F$35=0,Y203,'Damage classification-Rankin'!Y203+'Damage classification-Rankin'!Z203)))</f>
        <v/>
      </c>
      <c r="AB203" s="67"/>
      <c r="AC203" s="67"/>
      <c r="AJ203" s="67"/>
      <c r="AK203" s="67"/>
      <c r="AL203" s="67"/>
      <c r="AM203" s="67"/>
      <c r="AN203" s="67"/>
      <c r="AO203" s="67"/>
      <c r="AP203" s="67"/>
      <c r="AQ203" s="67"/>
      <c r="AR203" s="67"/>
      <c r="AS203" s="67"/>
      <c r="AT203" s="67"/>
      <c r="AU203" s="67"/>
      <c r="AV203" s="67"/>
      <c r="AW203" s="67"/>
      <c r="AX203" s="67"/>
      <c r="AY203" s="67"/>
      <c r="AZ203" s="67"/>
      <c r="BA203" s="67"/>
    </row>
    <row r="204" spans="1:53" ht="13.8" thickBot="1">
      <c r="A204" s="67"/>
      <c r="B204" s="655">
        <f t="shared" si="28"/>
        <v>183</v>
      </c>
      <c r="C204" s="374" t="str">
        <f t="shared" si="29"/>
        <v/>
      </c>
      <c r="D204" s="784" t="str">
        <f t="shared" si="30"/>
        <v/>
      </c>
      <c r="E204" s="784" t="str">
        <f t="shared" si="31"/>
        <v/>
      </c>
      <c r="F204" s="785" t="str">
        <f t="shared" si="32"/>
        <v/>
      </c>
      <c r="G204" s="784" t="str">
        <f t="shared" si="27"/>
        <v/>
      </c>
      <c r="L204" s="67"/>
      <c r="M204" s="67"/>
      <c r="N204" s="67"/>
      <c r="O204" s="67"/>
      <c r="P204" s="67"/>
      <c r="Q204" s="67"/>
      <c r="R204" s="67"/>
      <c r="S204" s="67"/>
      <c r="T204" s="67"/>
      <c r="U204" s="641"/>
      <c r="V204" s="643"/>
      <c r="W204" s="593"/>
      <c r="X204" s="67"/>
      <c r="Y204" s="663" t="str">
        <f>IF(C204="","",('transversal subsidence profile'!$L$5*EXP(-(C204^2)/(2*'transversal subsidence profile'!$J$5^2)))*100)</f>
        <v/>
      </c>
      <c r="Z204" s="664" t="str">
        <f>IF(C204="","",(+'transversal subsidence profile'!$L$6*EXP(-((C204+$G$10)^2)/(2*'transversal subsidence profile'!$J$6^2)))*100)</f>
        <v/>
      </c>
      <c r="AA204" s="751" t="str">
        <f>IF(C204="","",IF('IN-OUT'!$F$26=0,'Damage classification-Rankin'!Z204,IF('IN-OUT'!$F$35=0,Y204,'Damage classification-Rankin'!Y204+'Damage classification-Rankin'!Z204)))</f>
        <v/>
      </c>
      <c r="AB204" s="67"/>
      <c r="AC204" s="67"/>
      <c r="AJ204" s="67"/>
      <c r="AK204" s="67"/>
      <c r="AL204" s="67"/>
      <c r="AM204" s="67"/>
      <c r="AN204" s="67"/>
      <c r="AO204" s="67"/>
      <c r="AP204" s="67"/>
      <c r="AQ204" s="67"/>
      <c r="AR204" s="67"/>
      <c r="AS204" s="67"/>
      <c r="AT204" s="67"/>
      <c r="AU204" s="67"/>
      <c r="AV204" s="67"/>
      <c r="AW204" s="67"/>
      <c r="AX204" s="67"/>
      <c r="AY204" s="67"/>
      <c r="AZ204" s="67"/>
      <c r="BA204" s="67"/>
    </row>
    <row r="205" spans="1:53" ht="13.8" thickBot="1">
      <c r="A205" s="67"/>
      <c r="B205" s="655">
        <f t="shared" si="28"/>
        <v>184</v>
      </c>
      <c r="C205" s="374" t="str">
        <f t="shared" si="29"/>
        <v/>
      </c>
      <c r="D205" s="784" t="str">
        <f t="shared" si="30"/>
        <v/>
      </c>
      <c r="E205" s="784" t="str">
        <f t="shared" si="31"/>
        <v/>
      </c>
      <c r="F205" s="785" t="str">
        <f t="shared" si="32"/>
        <v/>
      </c>
      <c r="G205" s="784" t="str">
        <f t="shared" si="27"/>
        <v/>
      </c>
      <c r="L205" s="67"/>
      <c r="M205" s="67"/>
      <c r="N205" s="189"/>
      <c r="O205" s="67"/>
      <c r="P205" s="67"/>
      <c r="Q205" s="67"/>
      <c r="R205" s="67"/>
      <c r="S205" s="67"/>
      <c r="T205" s="67"/>
      <c r="U205" s="641"/>
      <c r="V205" s="643"/>
      <c r="W205" s="593"/>
      <c r="X205" s="67"/>
      <c r="Y205" s="663" t="str">
        <f>IF(C205="","",('transversal subsidence profile'!$L$5*EXP(-(C205^2)/(2*'transversal subsidence profile'!$J$5^2)))*100)</f>
        <v/>
      </c>
      <c r="Z205" s="664" t="str">
        <f>IF(C205="","",(+'transversal subsidence profile'!$L$6*EXP(-((C205+$G$10)^2)/(2*'transversal subsidence profile'!$J$6^2)))*100)</f>
        <v/>
      </c>
      <c r="AA205" s="751" t="str">
        <f>IF(C205="","",IF('IN-OUT'!$F$26=0,'Damage classification-Rankin'!Z205,IF('IN-OUT'!$F$35=0,Y205,'Damage classification-Rankin'!Y205+'Damage classification-Rankin'!Z205)))</f>
        <v/>
      </c>
      <c r="AB205" s="67"/>
      <c r="AC205" s="67"/>
      <c r="AJ205" s="67"/>
      <c r="AK205" s="67"/>
      <c r="AL205" s="67"/>
      <c r="AM205" s="67"/>
      <c r="AN205" s="67"/>
      <c r="AO205" s="67"/>
      <c r="AP205" s="67"/>
      <c r="AQ205" s="67"/>
      <c r="AR205" s="67"/>
      <c r="AS205" s="67"/>
      <c r="AT205" s="67"/>
      <c r="AU205" s="67"/>
      <c r="AV205" s="67"/>
      <c r="AW205" s="67"/>
      <c r="AX205" s="67"/>
      <c r="AY205" s="67"/>
      <c r="AZ205" s="67"/>
      <c r="BA205" s="67"/>
    </row>
    <row r="206" spans="1:53" ht="13.8" thickBot="1">
      <c r="A206" s="67"/>
      <c r="B206" s="655">
        <f t="shared" si="28"/>
        <v>185</v>
      </c>
      <c r="C206" s="374" t="str">
        <f t="shared" si="29"/>
        <v/>
      </c>
      <c r="D206" s="784" t="str">
        <f t="shared" si="30"/>
        <v/>
      </c>
      <c r="E206" s="784" t="str">
        <f t="shared" si="31"/>
        <v/>
      </c>
      <c r="F206" s="785" t="str">
        <f t="shared" si="32"/>
        <v/>
      </c>
      <c r="G206" s="784" t="str">
        <f t="shared" si="27"/>
        <v/>
      </c>
      <c r="L206" s="67"/>
      <c r="M206" s="67"/>
      <c r="N206" s="67"/>
      <c r="O206" s="67"/>
      <c r="P206" s="592"/>
      <c r="Q206" s="593"/>
      <c r="R206" s="593"/>
      <c r="S206" s="593"/>
      <c r="T206" s="593"/>
      <c r="U206" s="642"/>
      <c r="V206" s="643"/>
      <c r="W206" s="593"/>
      <c r="X206" s="67"/>
      <c r="Y206" s="663" t="str">
        <f>IF(C206="","",('transversal subsidence profile'!$L$5*EXP(-(C206^2)/(2*'transversal subsidence profile'!$J$5^2)))*100)</f>
        <v/>
      </c>
      <c r="Z206" s="664" t="str">
        <f>IF(C206="","",(+'transversal subsidence profile'!$L$6*EXP(-((C206+$G$10)^2)/(2*'transversal subsidence profile'!$J$6^2)))*100)</f>
        <v/>
      </c>
      <c r="AA206" s="751" t="str">
        <f>IF(C206="","",IF('IN-OUT'!$F$26=0,'Damage classification-Rankin'!Z206,IF('IN-OUT'!$F$35=0,Y206,'Damage classification-Rankin'!Y206+'Damage classification-Rankin'!Z206)))</f>
        <v/>
      </c>
      <c r="AB206" s="67"/>
      <c r="AC206" s="67"/>
      <c r="AJ206" s="67"/>
      <c r="AK206" s="67"/>
      <c r="AL206" s="67"/>
      <c r="AM206" s="67"/>
      <c r="AN206" s="67"/>
      <c r="AO206" s="67"/>
      <c r="AP206" s="67"/>
      <c r="AQ206" s="67"/>
      <c r="AR206" s="67"/>
      <c r="AS206" s="67"/>
      <c r="AT206" s="67"/>
      <c r="AU206" s="67"/>
      <c r="AV206" s="67"/>
      <c r="AW206" s="67"/>
      <c r="AX206" s="67"/>
      <c r="AY206" s="67"/>
      <c r="AZ206" s="67"/>
      <c r="BA206" s="67"/>
    </row>
    <row r="207" spans="1:53" ht="13.8" thickBot="1">
      <c r="A207" s="67"/>
      <c r="B207" s="655">
        <f t="shared" si="28"/>
        <v>186</v>
      </c>
      <c r="C207" s="374" t="str">
        <f t="shared" si="29"/>
        <v/>
      </c>
      <c r="D207" s="784" t="str">
        <f t="shared" si="30"/>
        <v/>
      </c>
      <c r="E207" s="784" t="str">
        <f t="shared" si="31"/>
        <v/>
      </c>
      <c r="F207" s="785" t="str">
        <f t="shared" si="32"/>
        <v/>
      </c>
      <c r="G207" s="784" t="str">
        <f t="shared" si="27"/>
        <v/>
      </c>
      <c r="L207" s="67"/>
      <c r="M207" s="67"/>
      <c r="N207" s="67"/>
      <c r="O207" s="67"/>
      <c r="P207" s="67"/>
      <c r="Q207" s="67"/>
      <c r="R207" s="67"/>
      <c r="S207" s="67"/>
      <c r="T207" s="67"/>
      <c r="U207" s="641"/>
      <c r="V207" s="643"/>
      <c r="W207" s="593"/>
      <c r="X207" s="67"/>
      <c r="Y207" s="663" t="str">
        <f>IF(C207="","",('transversal subsidence profile'!$L$5*EXP(-(C207^2)/(2*'transversal subsidence profile'!$J$5^2)))*100)</f>
        <v/>
      </c>
      <c r="Z207" s="664" t="str">
        <f>IF(C207="","",(+'transversal subsidence profile'!$L$6*EXP(-((C207+$G$10)^2)/(2*'transversal subsidence profile'!$J$6^2)))*100)</f>
        <v/>
      </c>
      <c r="AA207" s="751" t="str">
        <f>IF(C207="","",IF('IN-OUT'!$F$26=0,'Damage classification-Rankin'!Z207,IF('IN-OUT'!$F$35=0,Y207,'Damage classification-Rankin'!Y207+'Damage classification-Rankin'!Z207)))</f>
        <v/>
      </c>
      <c r="AB207" s="67"/>
      <c r="AC207" s="67"/>
      <c r="AJ207" s="67"/>
      <c r="AK207" s="67"/>
      <c r="AL207" s="67"/>
      <c r="AM207" s="67"/>
      <c r="AN207" s="67"/>
      <c r="AO207" s="67"/>
      <c r="AP207" s="67"/>
      <c r="AQ207" s="67"/>
      <c r="AR207" s="67"/>
      <c r="AS207" s="67"/>
      <c r="AT207" s="67"/>
      <c r="AU207" s="67"/>
      <c r="AV207" s="67"/>
      <c r="AW207" s="67"/>
      <c r="AX207" s="67"/>
      <c r="AY207" s="67"/>
      <c r="AZ207" s="67"/>
      <c r="BA207" s="67"/>
    </row>
    <row r="208" spans="1:53" ht="13.8" thickBot="1">
      <c r="A208" s="67"/>
      <c r="B208" s="655">
        <f t="shared" si="28"/>
        <v>187</v>
      </c>
      <c r="C208" s="374" t="str">
        <f t="shared" si="29"/>
        <v/>
      </c>
      <c r="D208" s="784" t="str">
        <f t="shared" si="30"/>
        <v/>
      </c>
      <c r="E208" s="784" t="str">
        <f t="shared" si="31"/>
        <v/>
      </c>
      <c r="F208" s="785" t="str">
        <f t="shared" si="32"/>
        <v/>
      </c>
      <c r="G208" s="784" t="str">
        <f t="shared" si="27"/>
        <v/>
      </c>
      <c r="L208" s="67"/>
      <c r="M208" s="67"/>
      <c r="N208" s="92"/>
      <c r="O208" s="67"/>
      <c r="P208" s="67"/>
      <c r="Q208" s="67"/>
      <c r="R208" s="67"/>
      <c r="S208" s="67"/>
      <c r="T208" s="67"/>
      <c r="U208" s="641"/>
      <c r="V208" s="643"/>
      <c r="W208" s="593"/>
      <c r="X208" s="67"/>
      <c r="Y208" s="663" t="str">
        <f>IF(C208="","",('transversal subsidence profile'!$L$5*EXP(-(C208^2)/(2*'transversal subsidence profile'!$J$5^2)))*100)</f>
        <v/>
      </c>
      <c r="Z208" s="664" t="str">
        <f>IF(C208="","",(+'transversal subsidence profile'!$L$6*EXP(-((C208+$G$10)^2)/(2*'transversal subsidence profile'!$J$6^2)))*100)</f>
        <v/>
      </c>
      <c r="AA208" s="751" t="str">
        <f>IF(C208="","",IF('IN-OUT'!$F$26=0,'Damage classification-Rankin'!Z208,IF('IN-OUT'!$F$35=0,Y208,'Damage classification-Rankin'!Y208+'Damage classification-Rankin'!Z208)))</f>
        <v/>
      </c>
      <c r="AB208" s="67"/>
      <c r="AC208" s="67"/>
      <c r="AJ208" s="67"/>
      <c r="AK208" s="67"/>
      <c r="AL208" s="67"/>
      <c r="AM208" s="67"/>
      <c r="AN208" s="67"/>
      <c r="AO208" s="67"/>
      <c r="AP208" s="67"/>
      <c r="AQ208" s="67"/>
      <c r="AR208" s="67"/>
      <c r="AS208" s="67"/>
      <c r="AT208" s="67"/>
      <c r="AU208" s="67"/>
      <c r="AV208" s="67"/>
      <c r="AW208" s="67"/>
      <c r="AX208" s="67"/>
      <c r="AY208" s="67"/>
      <c r="AZ208" s="67"/>
      <c r="BA208" s="67"/>
    </row>
    <row r="209" spans="1:53" ht="13.8" thickBot="1">
      <c r="A209" s="67"/>
      <c r="B209" s="655">
        <f t="shared" si="28"/>
        <v>188</v>
      </c>
      <c r="C209" s="374" t="str">
        <f t="shared" si="29"/>
        <v/>
      </c>
      <c r="D209" s="784" t="str">
        <f t="shared" si="30"/>
        <v/>
      </c>
      <c r="E209" s="784" t="str">
        <f t="shared" si="31"/>
        <v/>
      </c>
      <c r="F209" s="785" t="str">
        <f t="shared" si="32"/>
        <v/>
      </c>
      <c r="G209" s="784" t="str">
        <f t="shared" si="27"/>
        <v/>
      </c>
      <c r="L209" s="67"/>
      <c r="M209" s="67"/>
      <c r="N209" s="189"/>
      <c r="O209" s="67"/>
      <c r="P209" s="67"/>
      <c r="Q209" s="67"/>
      <c r="R209" s="67"/>
      <c r="S209" s="67"/>
      <c r="T209" s="67"/>
      <c r="U209" s="641"/>
      <c r="V209" s="643"/>
      <c r="W209" s="593"/>
      <c r="X209" s="67"/>
      <c r="Y209" s="663" t="str">
        <f>IF(C209="","",('transversal subsidence profile'!$L$5*EXP(-(C209^2)/(2*'transversal subsidence profile'!$J$5^2)))*100)</f>
        <v/>
      </c>
      <c r="Z209" s="664" t="str">
        <f>IF(C209="","",(+'transversal subsidence profile'!$L$6*EXP(-((C209+$G$10)^2)/(2*'transversal subsidence profile'!$J$6^2)))*100)</f>
        <v/>
      </c>
      <c r="AA209" s="751" t="str">
        <f>IF(C209="","",IF('IN-OUT'!$F$26=0,'Damage classification-Rankin'!Z209,IF('IN-OUT'!$F$35=0,Y209,'Damage classification-Rankin'!Y209+'Damage classification-Rankin'!Z209)))</f>
        <v/>
      </c>
      <c r="AB209" s="67"/>
      <c r="AC209" s="67"/>
      <c r="AJ209" s="67"/>
      <c r="AK209" s="67"/>
      <c r="AL209" s="67"/>
      <c r="AM209" s="67"/>
      <c r="AN209" s="67"/>
      <c r="AO209" s="67"/>
      <c r="AP209" s="67"/>
      <c r="AQ209" s="67"/>
      <c r="AR209" s="67"/>
      <c r="AS209" s="67"/>
      <c r="AT209" s="67"/>
      <c r="AU209" s="67"/>
      <c r="AV209" s="67"/>
      <c r="AW209" s="67"/>
      <c r="AX209" s="67"/>
      <c r="AY209" s="67"/>
      <c r="AZ209" s="67"/>
      <c r="BA209" s="67"/>
    </row>
    <row r="210" spans="1:53" ht="13.8" thickBot="1">
      <c r="A210" s="67"/>
      <c r="B210" s="655">
        <f t="shared" si="28"/>
        <v>189</v>
      </c>
      <c r="C210" s="374" t="str">
        <f t="shared" si="29"/>
        <v/>
      </c>
      <c r="D210" s="784" t="str">
        <f t="shared" si="30"/>
        <v/>
      </c>
      <c r="E210" s="784" t="str">
        <f t="shared" si="31"/>
        <v/>
      </c>
      <c r="F210" s="785" t="str">
        <f t="shared" si="32"/>
        <v/>
      </c>
      <c r="G210" s="784" t="str">
        <f t="shared" si="27"/>
        <v/>
      </c>
      <c r="L210" s="67"/>
      <c r="M210" s="67"/>
      <c r="N210" s="67"/>
      <c r="O210" s="67"/>
      <c r="P210" s="67"/>
      <c r="Q210" s="67"/>
      <c r="R210" s="67"/>
      <c r="S210" s="67"/>
      <c r="T210" s="67"/>
      <c r="U210" s="641"/>
      <c r="V210" s="643"/>
      <c r="W210" s="593"/>
      <c r="X210" s="67"/>
      <c r="Y210" s="663" t="str">
        <f>IF(C210="","",('transversal subsidence profile'!$L$5*EXP(-(C210^2)/(2*'transversal subsidence profile'!$J$5^2)))*100)</f>
        <v/>
      </c>
      <c r="Z210" s="664" t="str">
        <f>IF(C210="","",(+'transversal subsidence profile'!$L$6*EXP(-((C210+$G$10)^2)/(2*'transversal subsidence profile'!$J$6^2)))*100)</f>
        <v/>
      </c>
      <c r="AA210" s="751" t="str">
        <f>IF(C210="","",IF('IN-OUT'!$F$26=0,'Damage classification-Rankin'!Z210,IF('IN-OUT'!$F$35=0,Y210,'Damage classification-Rankin'!Y210+'Damage classification-Rankin'!Z210)))</f>
        <v/>
      </c>
      <c r="AB210" s="67"/>
      <c r="AC210" s="67"/>
      <c r="AJ210" s="67"/>
      <c r="AK210" s="67"/>
      <c r="AL210" s="67"/>
      <c r="AM210" s="67"/>
      <c r="AN210" s="67"/>
      <c r="AO210" s="67"/>
      <c r="AP210" s="67"/>
      <c r="AQ210" s="67"/>
      <c r="AR210" s="67"/>
      <c r="AS210" s="67"/>
      <c r="AT210" s="67"/>
      <c r="AU210" s="67"/>
      <c r="AV210" s="67"/>
      <c r="AW210" s="67"/>
      <c r="AX210" s="67"/>
      <c r="AY210" s="67"/>
      <c r="AZ210" s="67"/>
      <c r="BA210" s="67"/>
    </row>
    <row r="211" spans="1:53" ht="13.8" thickBot="1">
      <c r="A211" s="67"/>
      <c r="B211" s="655">
        <f t="shared" si="28"/>
        <v>190</v>
      </c>
      <c r="C211" s="374" t="str">
        <f t="shared" si="29"/>
        <v/>
      </c>
      <c r="D211" s="784" t="str">
        <f t="shared" si="30"/>
        <v/>
      </c>
      <c r="E211" s="784" t="str">
        <f t="shared" si="31"/>
        <v/>
      </c>
      <c r="F211" s="785" t="str">
        <f t="shared" si="32"/>
        <v/>
      </c>
      <c r="G211" s="784" t="str">
        <f t="shared" si="27"/>
        <v/>
      </c>
      <c r="L211" s="67"/>
      <c r="M211" s="67"/>
      <c r="N211" s="67"/>
      <c r="O211" s="75"/>
      <c r="P211" s="67"/>
      <c r="Q211" s="67"/>
      <c r="R211" s="67"/>
      <c r="S211" s="67"/>
      <c r="T211" s="67"/>
      <c r="U211" s="641"/>
      <c r="V211" s="643"/>
      <c r="W211" s="593"/>
      <c r="X211" s="67"/>
      <c r="Y211" s="663" t="str">
        <f>IF(C211="","",('transversal subsidence profile'!$L$5*EXP(-(C211^2)/(2*'transversal subsidence profile'!$J$5^2)))*100)</f>
        <v/>
      </c>
      <c r="Z211" s="664" t="str">
        <f>IF(C211="","",(+'transversal subsidence profile'!$L$6*EXP(-((C211+$G$10)^2)/(2*'transversal subsidence profile'!$J$6^2)))*100)</f>
        <v/>
      </c>
      <c r="AA211" s="751" t="str">
        <f>IF(C211="","",IF('IN-OUT'!$F$26=0,'Damage classification-Rankin'!Z211,IF('IN-OUT'!$F$35=0,Y211,'Damage classification-Rankin'!Y211+'Damage classification-Rankin'!Z211)))</f>
        <v/>
      </c>
      <c r="AB211" s="67"/>
      <c r="AC211" s="67"/>
      <c r="AJ211" s="67"/>
      <c r="AK211" s="67"/>
      <c r="AL211" s="67"/>
      <c r="AM211" s="67"/>
      <c r="AN211" s="67"/>
      <c r="AO211" s="67"/>
      <c r="AP211" s="67"/>
      <c r="AQ211" s="67"/>
      <c r="AR211" s="67"/>
      <c r="AS211" s="67"/>
      <c r="AT211" s="67"/>
      <c r="AU211" s="67"/>
      <c r="AV211" s="67"/>
      <c r="AW211" s="67"/>
      <c r="AX211" s="67"/>
      <c r="AY211" s="67"/>
      <c r="AZ211" s="67"/>
      <c r="BA211" s="67"/>
    </row>
    <row r="212" spans="1:53" ht="13.8" thickBot="1">
      <c r="A212" s="67"/>
      <c r="B212" s="655">
        <f t="shared" si="28"/>
        <v>191</v>
      </c>
      <c r="C212" s="374" t="str">
        <f t="shared" si="29"/>
        <v/>
      </c>
      <c r="D212" s="784" t="str">
        <f t="shared" si="30"/>
        <v/>
      </c>
      <c r="E212" s="784" t="str">
        <f t="shared" si="31"/>
        <v/>
      </c>
      <c r="F212" s="785" t="str">
        <f t="shared" si="32"/>
        <v/>
      </c>
      <c r="G212" s="784" t="str">
        <f t="shared" si="27"/>
        <v/>
      </c>
      <c r="L212" s="67"/>
      <c r="M212" s="67"/>
      <c r="N212" s="67"/>
      <c r="O212" s="75"/>
      <c r="P212" s="67"/>
      <c r="Q212" s="67"/>
      <c r="R212" s="67"/>
      <c r="S212" s="67"/>
      <c r="T212" s="67"/>
      <c r="U212" s="641"/>
      <c r="V212" s="643"/>
      <c r="W212" s="593"/>
      <c r="X212" s="67"/>
      <c r="Y212" s="663" t="str">
        <f>IF(C212="","",('transversal subsidence profile'!$L$5*EXP(-(C212^2)/(2*'transversal subsidence profile'!$J$5^2)))*100)</f>
        <v/>
      </c>
      <c r="Z212" s="664" t="str">
        <f>IF(C212="","",(+'transversal subsidence profile'!$L$6*EXP(-((C212+$G$10)^2)/(2*'transversal subsidence profile'!$J$6^2)))*100)</f>
        <v/>
      </c>
      <c r="AA212" s="751" t="str">
        <f>IF(C212="","",IF('IN-OUT'!$F$26=0,'Damage classification-Rankin'!Z212,IF('IN-OUT'!$F$35=0,Y212,'Damage classification-Rankin'!Y212+'Damage classification-Rankin'!Z212)))</f>
        <v/>
      </c>
      <c r="AB212" s="67"/>
      <c r="AC212" s="67"/>
      <c r="AJ212" s="67"/>
      <c r="AK212" s="67"/>
      <c r="AL212" s="67"/>
      <c r="AM212" s="67"/>
      <c r="AN212" s="67"/>
      <c r="AO212" s="67"/>
      <c r="AP212" s="67"/>
      <c r="AQ212" s="67"/>
      <c r="AR212" s="67"/>
      <c r="AS212" s="67"/>
      <c r="AT212" s="67"/>
      <c r="AU212" s="67"/>
      <c r="AV212" s="67"/>
      <c r="AW212" s="67"/>
      <c r="AX212" s="67"/>
      <c r="AY212" s="67"/>
      <c r="AZ212" s="67"/>
      <c r="BA212" s="67"/>
    </row>
    <row r="213" spans="1:53" ht="13.8" thickBot="1">
      <c r="A213" s="67"/>
      <c r="B213" s="655">
        <f t="shared" si="28"/>
        <v>192</v>
      </c>
      <c r="C213" s="374" t="str">
        <f t="shared" si="29"/>
        <v/>
      </c>
      <c r="D213" s="784" t="str">
        <f t="shared" si="30"/>
        <v/>
      </c>
      <c r="E213" s="784" t="str">
        <f t="shared" si="31"/>
        <v/>
      </c>
      <c r="F213" s="785" t="str">
        <f t="shared" si="32"/>
        <v/>
      </c>
      <c r="G213" s="784" t="str">
        <f t="shared" si="27"/>
        <v/>
      </c>
      <c r="L213" s="67"/>
      <c r="M213" s="67"/>
      <c r="N213" s="189"/>
      <c r="O213" s="67"/>
      <c r="P213" s="67"/>
      <c r="Q213" s="67"/>
      <c r="R213" s="67"/>
      <c r="S213" s="67"/>
      <c r="T213" s="67"/>
      <c r="U213" s="641"/>
      <c r="V213" s="643"/>
      <c r="W213" s="593"/>
      <c r="X213" s="67"/>
      <c r="Y213" s="663" t="str">
        <f>IF(C213="","",('transversal subsidence profile'!$L$5*EXP(-(C213^2)/(2*'transversal subsidence profile'!$J$5^2)))*100)</f>
        <v/>
      </c>
      <c r="Z213" s="664" t="str">
        <f>IF(C213="","",(+'transversal subsidence profile'!$L$6*EXP(-((C213+$G$10)^2)/(2*'transversal subsidence profile'!$J$6^2)))*100)</f>
        <v/>
      </c>
      <c r="AA213" s="751" t="str">
        <f>IF(C213="","",IF('IN-OUT'!$F$26=0,'Damage classification-Rankin'!Z213,IF('IN-OUT'!$F$35=0,Y213,'Damage classification-Rankin'!Y213+'Damage classification-Rankin'!Z213)))</f>
        <v/>
      </c>
      <c r="AB213" s="67"/>
      <c r="AC213" s="67"/>
      <c r="AJ213" s="67"/>
      <c r="AK213" s="67"/>
      <c r="AL213" s="67"/>
      <c r="AM213" s="67"/>
      <c r="AN213" s="67"/>
      <c r="AO213" s="67"/>
      <c r="AP213" s="67"/>
      <c r="AQ213" s="67"/>
      <c r="AR213" s="67"/>
      <c r="AS213" s="67"/>
      <c r="AT213" s="67"/>
      <c r="AU213" s="67"/>
      <c r="AV213" s="67"/>
      <c r="AW213" s="67"/>
      <c r="AX213" s="67"/>
      <c r="AY213" s="67"/>
      <c r="AZ213" s="67"/>
      <c r="BA213" s="67"/>
    </row>
    <row r="214" spans="1:53" ht="13.8" thickBot="1">
      <c r="A214" s="67"/>
      <c r="B214" s="655">
        <f t="shared" si="28"/>
        <v>193</v>
      </c>
      <c r="C214" s="374" t="str">
        <f t="shared" si="29"/>
        <v/>
      </c>
      <c r="D214" s="784" t="str">
        <f t="shared" si="30"/>
        <v/>
      </c>
      <c r="E214" s="784" t="str">
        <f t="shared" si="31"/>
        <v/>
      </c>
      <c r="F214" s="785" t="str">
        <f t="shared" si="32"/>
        <v/>
      </c>
      <c r="G214" s="784" t="str">
        <f t="shared" si="27"/>
        <v/>
      </c>
      <c r="L214" s="67"/>
      <c r="M214" s="67"/>
      <c r="N214" s="67"/>
      <c r="O214" s="67"/>
      <c r="P214" s="67"/>
      <c r="Q214" s="67"/>
      <c r="R214" s="67"/>
      <c r="S214" s="67"/>
      <c r="T214" s="67"/>
      <c r="U214" s="641"/>
      <c r="V214" s="643"/>
      <c r="W214" s="593"/>
      <c r="X214" s="67"/>
      <c r="Y214" s="663" t="str">
        <f>IF(C214="","",('transversal subsidence profile'!$L$5*EXP(-(C214^2)/(2*'transversal subsidence profile'!$J$5^2)))*100)</f>
        <v/>
      </c>
      <c r="Z214" s="664" t="str">
        <f>IF(C214="","",(+'transversal subsidence profile'!$L$6*EXP(-((C214+$G$10)^2)/(2*'transversal subsidence profile'!$J$6^2)))*100)</f>
        <v/>
      </c>
      <c r="AA214" s="751" t="str">
        <f>IF(C214="","",IF('IN-OUT'!$F$26=0,'Damage classification-Rankin'!Z214,IF('IN-OUT'!$F$35=0,Y214,'Damage classification-Rankin'!Y214+'Damage classification-Rankin'!Z214)))</f>
        <v/>
      </c>
      <c r="AB214" s="67"/>
      <c r="AC214" s="67"/>
      <c r="AJ214" s="67"/>
      <c r="AK214" s="67"/>
      <c r="AL214" s="67"/>
      <c r="AM214" s="67"/>
      <c r="AN214" s="67"/>
      <c r="AO214" s="67"/>
      <c r="AP214" s="67"/>
      <c r="AQ214" s="67"/>
      <c r="AR214" s="67"/>
      <c r="AS214" s="67"/>
      <c r="AT214" s="67"/>
      <c r="AU214" s="67"/>
      <c r="AV214" s="67"/>
      <c r="AW214" s="67"/>
      <c r="AX214" s="67"/>
      <c r="AY214" s="67"/>
      <c r="AZ214" s="67"/>
      <c r="BA214" s="67"/>
    </row>
    <row r="215" spans="1:53" ht="13.8" thickBot="1">
      <c r="A215" s="67"/>
      <c r="B215" s="655">
        <f t="shared" si="28"/>
        <v>194</v>
      </c>
      <c r="C215" s="374" t="str">
        <f t="shared" si="29"/>
        <v/>
      </c>
      <c r="D215" s="784" t="str">
        <f t="shared" si="30"/>
        <v/>
      </c>
      <c r="E215" s="784" t="str">
        <f t="shared" si="31"/>
        <v/>
      </c>
      <c r="F215" s="785" t="str">
        <f t="shared" si="32"/>
        <v/>
      </c>
      <c r="G215" s="784" t="str">
        <f t="shared" si="27"/>
        <v/>
      </c>
      <c r="L215" s="67"/>
      <c r="M215" s="67"/>
      <c r="N215" s="67"/>
      <c r="O215" s="67"/>
      <c r="P215" s="67"/>
      <c r="Q215" s="67"/>
      <c r="R215" s="67"/>
      <c r="S215" s="67"/>
      <c r="T215" s="67"/>
      <c r="U215" s="641"/>
      <c r="V215" s="643"/>
      <c r="W215" s="593"/>
      <c r="X215" s="67"/>
      <c r="Y215" s="663" t="str">
        <f>IF(C215="","",('transversal subsidence profile'!$L$5*EXP(-(C215^2)/(2*'transversal subsidence profile'!$J$5^2)))*100)</f>
        <v/>
      </c>
      <c r="Z215" s="664" t="str">
        <f>IF(C215="","",(+'transversal subsidence profile'!$L$6*EXP(-((C215+$G$10)^2)/(2*'transversal subsidence profile'!$J$6^2)))*100)</f>
        <v/>
      </c>
      <c r="AA215" s="751" t="str">
        <f>IF(C215="","",IF('IN-OUT'!$F$26=0,'Damage classification-Rankin'!Z215,IF('IN-OUT'!$F$35=0,Y215,'Damage classification-Rankin'!Y215+'Damage classification-Rankin'!Z215)))</f>
        <v/>
      </c>
      <c r="AB215" s="67"/>
      <c r="AC215" s="67"/>
      <c r="AJ215" s="67"/>
      <c r="AK215" s="67"/>
      <c r="AL215" s="67"/>
      <c r="AM215" s="67"/>
      <c r="AN215" s="67"/>
      <c r="AO215" s="67"/>
      <c r="AP215" s="67"/>
      <c r="AQ215" s="67"/>
      <c r="AR215" s="67"/>
      <c r="AS215" s="67"/>
      <c r="AT215" s="67"/>
      <c r="AU215" s="67"/>
      <c r="AV215" s="67"/>
      <c r="AW215" s="67"/>
      <c r="AX215" s="67"/>
      <c r="AY215" s="67"/>
      <c r="AZ215" s="67"/>
      <c r="BA215" s="67"/>
    </row>
    <row r="216" spans="1:53" ht="13.8" thickBot="1">
      <c r="A216" s="67"/>
      <c r="B216" s="655">
        <f t="shared" si="28"/>
        <v>195</v>
      </c>
      <c r="C216" s="374" t="str">
        <f t="shared" si="29"/>
        <v/>
      </c>
      <c r="D216" s="784" t="str">
        <f t="shared" si="30"/>
        <v/>
      </c>
      <c r="E216" s="784" t="str">
        <f t="shared" si="31"/>
        <v/>
      </c>
      <c r="F216" s="785" t="str">
        <f t="shared" si="32"/>
        <v/>
      </c>
      <c r="G216" s="784" t="str">
        <f t="shared" ref="G216:G279" si="33">IF(C216="","",IF(ABS(C215-C216)&lt;($C$19-0.0001),"",$C$20+E216))</f>
        <v/>
      </c>
      <c r="L216" s="67"/>
      <c r="M216" s="67"/>
      <c r="N216" s="92"/>
      <c r="O216" s="67"/>
      <c r="P216" s="67"/>
      <c r="Q216" s="67"/>
      <c r="R216" s="67"/>
      <c r="S216" s="67"/>
      <c r="T216" s="67"/>
      <c r="U216" s="641"/>
      <c r="V216" s="643"/>
      <c r="W216" s="593"/>
      <c r="X216" s="67"/>
      <c r="Y216" s="663" t="str">
        <f>IF(C216="","",('transversal subsidence profile'!$L$5*EXP(-(C216^2)/(2*'transversal subsidence profile'!$J$5^2)))*100)</f>
        <v/>
      </c>
      <c r="Z216" s="664" t="str">
        <f>IF(C216="","",(+'transversal subsidence profile'!$L$6*EXP(-((C216+$G$10)^2)/(2*'transversal subsidence profile'!$J$6^2)))*100)</f>
        <v/>
      </c>
      <c r="AA216" s="751" t="str">
        <f>IF(C216="","",IF('IN-OUT'!$F$26=0,'Damage classification-Rankin'!Z216,IF('IN-OUT'!$F$35=0,Y216,'Damage classification-Rankin'!Y216+'Damage classification-Rankin'!Z216)))</f>
        <v/>
      </c>
      <c r="AB216" s="67"/>
      <c r="AC216" s="67"/>
      <c r="AJ216" s="67"/>
      <c r="AK216" s="67"/>
      <c r="AL216" s="67"/>
      <c r="AM216" s="67"/>
      <c r="AN216" s="67"/>
      <c r="AO216" s="67"/>
      <c r="AP216" s="67"/>
      <c r="AQ216" s="67"/>
      <c r="AR216" s="67"/>
      <c r="AS216" s="67"/>
      <c r="AT216" s="67"/>
      <c r="AU216" s="67"/>
      <c r="AV216" s="67"/>
      <c r="AW216" s="67"/>
      <c r="AX216" s="67"/>
      <c r="AY216" s="67"/>
      <c r="AZ216" s="67"/>
      <c r="BA216" s="67"/>
    </row>
    <row r="217" spans="1:53" ht="13.8" thickBot="1">
      <c r="A217" s="67"/>
      <c r="B217" s="655">
        <f t="shared" si="28"/>
        <v>196</v>
      </c>
      <c r="C217" s="374" t="str">
        <f t="shared" si="29"/>
        <v/>
      </c>
      <c r="D217" s="784" t="str">
        <f t="shared" si="30"/>
        <v/>
      </c>
      <c r="E217" s="784" t="str">
        <f t="shared" si="31"/>
        <v/>
      </c>
      <c r="F217" s="785" t="str">
        <f t="shared" si="32"/>
        <v/>
      </c>
      <c r="G217" s="784" t="str">
        <f t="shared" si="33"/>
        <v/>
      </c>
      <c r="L217" s="67"/>
      <c r="M217" s="67"/>
      <c r="N217" s="67"/>
      <c r="O217" s="67"/>
      <c r="P217" s="67"/>
      <c r="Q217" s="67"/>
      <c r="R217" s="67"/>
      <c r="S217" s="67"/>
      <c r="T217" s="67"/>
      <c r="U217" s="641"/>
      <c r="V217" s="643"/>
      <c r="W217" s="593"/>
      <c r="X217" s="67"/>
      <c r="Y217" s="663" t="str">
        <f>IF(C217="","",('transversal subsidence profile'!$L$5*EXP(-(C217^2)/(2*'transversal subsidence profile'!$J$5^2)))*100)</f>
        <v/>
      </c>
      <c r="Z217" s="664" t="str">
        <f>IF(C217="","",(+'transversal subsidence profile'!$L$6*EXP(-((C217+$G$10)^2)/(2*'transversal subsidence profile'!$J$6^2)))*100)</f>
        <v/>
      </c>
      <c r="AA217" s="751" t="str">
        <f>IF(C217="","",IF('IN-OUT'!$F$26=0,'Damage classification-Rankin'!Z217,IF('IN-OUT'!$F$35=0,Y217,'Damage classification-Rankin'!Y217+'Damage classification-Rankin'!Z217)))</f>
        <v/>
      </c>
      <c r="AB217" s="67"/>
      <c r="AC217" s="67"/>
      <c r="AJ217" s="67"/>
      <c r="AK217" s="67"/>
      <c r="AL217" s="67"/>
      <c r="AM217" s="67"/>
      <c r="AN217" s="67"/>
      <c r="AO217" s="67"/>
      <c r="AP217" s="67"/>
      <c r="AQ217" s="67"/>
      <c r="AR217" s="67"/>
      <c r="AS217" s="67"/>
      <c r="AT217" s="67"/>
      <c r="AU217" s="67"/>
      <c r="AV217" s="67"/>
      <c r="AW217" s="67"/>
      <c r="AX217" s="67"/>
      <c r="AY217" s="67"/>
      <c r="AZ217" s="67"/>
      <c r="BA217" s="67"/>
    </row>
    <row r="218" spans="1:53" ht="13.8" thickBot="1">
      <c r="A218" s="67"/>
      <c r="B218" s="655">
        <f t="shared" si="28"/>
        <v>197</v>
      </c>
      <c r="C218" s="374" t="str">
        <f t="shared" si="29"/>
        <v/>
      </c>
      <c r="D218" s="784" t="str">
        <f t="shared" si="30"/>
        <v/>
      </c>
      <c r="E218" s="784" t="str">
        <f t="shared" si="31"/>
        <v/>
      </c>
      <c r="F218" s="785" t="str">
        <f t="shared" si="32"/>
        <v/>
      </c>
      <c r="G218" s="784" t="str">
        <f t="shared" si="33"/>
        <v/>
      </c>
      <c r="L218" s="67"/>
      <c r="M218" s="67"/>
      <c r="N218" s="67"/>
      <c r="O218" s="67"/>
      <c r="P218" s="67"/>
      <c r="Q218" s="67"/>
      <c r="R218" s="67"/>
      <c r="S218" s="67"/>
      <c r="T218" s="67"/>
      <c r="U218" s="641"/>
      <c r="V218" s="643"/>
      <c r="W218" s="593"/>
      <c r="X218" s="67"/>
      <c r="Y218" s="663" t="str">
        <f>IF(C218="","",('transversal subsidence profile'!$L$5*EXP(-(C218^2)/(2*'transversal subsidence profile'!$J$5^2)))*100)</f>
        <v/>
      </c>
      <c r="Z218" s="664" t="str">
        <f>IF(C218="","",(+'transversal subsidence profile'!$L$6*EXP(-((C218+$G$10)^2)/(2*'transversal subsidence profile'!$J$6^2)))*100)</f>
        <v/>
      </c>
      <c r="AA218" s="751" t="str">
        <f>IF(C218="","",IF('IN-OUT'!$F$26=0,'Damage classification-Rankin'!Z218,IF('IN-OUT'!$F$35=0,Y218,'Damage classification-Rankin'!Y218+'Damage classification-Rankin'!Z218)))</f>
        <v/>
      </c>
      <c r="AB218" s="67"/>
      <c r="AC218" s="67"/>
      <c r="AJ218" s="67"/>
      <c r="AK218" s="67"/>
      <c r="AL218" s="67"/>
      <c r="AM218" s="67"/>
      <c r="AN218" s="67"/>
      <c r="AO218" s="67"/>
      <c r="AP218" s="67"/>
      <c r="AQ218" s="67"/>
      <c r="AR218" s="67"/>
      <c r="AS218" s="67"/>
      <c r="AT218" s="67"/>
      <c r="AU218" s="67"/>
      <c r="AV218" s="67"/>
      <c r="AW218" s="67"/>
      <c r="AX218" s="67"/>
      <c r="AY218" s="67"/>
      <c r="AZ218" s="67"/>
      <c r="BA218" s="67"/>
    </row>
    <row r="219" spans="1:53" ht="13.8" thickBot="1">
      <c r="A219" s="67"/>
      <c r="B219" s="655">
        <f t="shared" si="28"/>
        <v>198</v>
      </c>
      <c r="C219" s="374" t="str">
        <f t="shared" si="29"/>
        <v/>
      </c>
      <c r="D219" s="784" t="str">
        <f t="shared" si="30"/>
        <v/>
      </c>
      <c r="E219" s="784" t="str">
        <f t="shared" si="31"/>
        <v/>
      </c>
      <c r="F219" s="785" t="str">
        <f t="shared" si="32"/>
        <v/>
      </c>
      <c r="G219" s="784" t="str">
        <f t="shared" si="33"/>
        <v/>
      </c>
      <c r="L219" s="67"/>
      <c r="M219" s="67"/>
      <c r="N219" s="67"/>
      <c r="O219" s="67"/>
      <c r="P219" s="67"/>
      <c r="Q219" s="67"/>
      <c r="R219" s="67"/>
      <c r="S219" s="67"/>
      <c r="T219" s="67"/>
      <c r="U219" s="641"/>
      <c r="V219" s="643"/>
      <c r="W219" s="593"/>
      <c r="X219" s="67"/>
      <c r="Y219" s="663" t="str">
        <f>IF(C219="","",('transversal subsidence profile'!$L$5*EXP(-(C219^2)/(2*'transversal subsidence profile'!$J$5^2)))*100)</f>
        <v/>
      </c>
      <c r="Z219" s="664" t="str">
        <f>IF(C219="","",(+'transversal subsidence profile'!$L$6*EXP(-((C219+$G$10)^2)/(2*'transversal subsidence profile'!$J$6^2)))*100)</f>
        <v/>
      </c>
      <c r="AA219" s="751" t="str">
        <f>IF(C219="","",IF('IN-OUT'!$F$26=0,'Damage classification-Rankin'!Z219,IF('IN-OUT'!$F$35=0,Y219,'Damage classification-Rankin'!Y219+'Damage classification-Rankin'!Z219)))</f>
        <v/>
      </c>
      <c r="AB219" s="67"/>
      <c r="AC219" s="67"/>
      <c r="AJ219" s="67"/>
      <c r="AK219" s="67"/>
      <c r="AL219" s="67"/>
      <c r="AM219" s="67"/>
      <c r="AN219" s="67"/>
      <c r="AO219" s="67"/>
      <c r="AP219" s="67"/>
      <c r="AQ219" s="67"/>
      <c r="AR219" s="67"/>
      <c r="AS219" s="67"/>
      <c r="AT219" s="67"/>
      <c r="AU219" s="67"/>
      <c r="AV219" s="67"/>
      <c r="AW219" s="67"/>
      <c r="AX219" s="67"/>
      <c r="AY219" s="67"/>
      <c r="AZ219" s="67"/>
      <c r="BA219" s="67"/>
    </row>
    <row r="220" spans="1:53" ht="13.8" thickBot="1">
      <c r="A220" s="67"/>
      <c r="B220" s="655">
        <f t="shared" si="28"/>
        <v>199</v>
      </c>
      <c r="C220" s="374" t="str">
        <f t="shared" si="29"/>
        <v/>
      </c>
      <c r="D220" s="784" t="str">
        <f t="shared" si="30"/>
        <v/>
      </c>
      <c r="E220" s="784" t="str">
        <f t="shared" si="31"/>
        <v/>
      </c>
      <c r="F220" s="785" t="str">
        <f t="shared" si="32"/>
        <v/>
      </c>
      <c r="G220" s="784" t="str">
        <f t="shared" si="33"/>
        <v/>
      </c>
      <c r="L220" s="67"/>
      <c r="M220" s="67"/>
      <c r="N220" s="67"/>
      <c r="O220" s="67"/>
      <c r="P220" s="67"/>
      <c r="Q220" s="67"/>
      <c r="R220" s="67"/>
      <c r="S220" s="67"/>
      <c r="T220" s="67"/>
      <c r="U220" s="641"/>
      <c r="V220" s="643"/>
      <c r="W220" s="593"/>
      <c r="X220" s="67"/>
      <c r="Y220" s="663" t="str">
        <f>IF(C220="","",('transversal subsidence profile'!$L$5*EXP(-(C220^2)/(2*'transversal subsidence profile'!$J$5^2)))*100)</f>
        <v/>
      </c>
      <c r="Z220" s="664" t="str">
        <f>IF(C220="","",(+'transversal subsidence profile'!$L$6*EXP(-((C220+$G$10)^2)/(2*'transversal subsidence profile'!$J$6^2)))*100)</f>
        <v/>
      </c>
      <c r="AA220" s="751" t="str">
        <f>IF(C220="","",IF('IN-OUT'!$F$26=0,'Damage classification-Rankin'!Z220,IF('IN-OUT'!$F$35=0,Y220,'Damage classification-Rankin'!Y220+'Damage classification-Rankin'!Z220)))</f>
        <v/>
      </c>
      <c r="AB220" s="67"/>
      <c r="AC220" s="67"/>
      <c r="AJ220" s="67"/>
      <c r="AK220" s="67"/>
      <c r="AL220" s="67"/>
      <c r="AM220" s="67"/>
      <c r="AN220" s="67"/>
      <c r="AO220" s="67"/>
      <c r="AP220" s="67"/>
      <c r="AQ220" s="67"/>
      <c r="AR220" s="67"/>
      <c r="AS220" s="67"/>
      <c r="AT220" s="67"/>
      <c r="AU220" s="67"/>
      <c r="AV220" s="67"/>
      <c r="AW220" s="67"/>
      <c r="AX220" s="67"/>
      <c r="AY220" s="67"/>
      <c r="AZ220" s="67"/>
      <c r="BA220" s="67"/>
    </row>
    <row r="221" spans="1:53" ht="13.8" thickBot="1">
      <c r="A221" s="67"/>
      <c r="B221" s="655">
        <f t="shared" si="28"/>
        <v>200</v>
      </c>
      <c r="C221" s="374" t="str">
        <f t="shared" si="29"/>
        <v/>
      </c>
      <c r="D221" s="784" t="str">
        <f t="shared" si="30"/>
        <v/>
      </c>
      <c r="E221" s="784" t="str">
        <f t="shared" si="31"/>
        <v/>
      </c>
      <c r="F221" s="785" t="str">
        <f t="shared" si="32"/>
        <v/>
      </c>
      <c r="G221" s="784" t="str">
        <f t="shared" si="33"/>
        <v/>
      </c>
      <c r="L221" s="67"/>
      <c r="M221" s="67"/>
      <c r="N221" s="67"/>
      <c r="O221" s="67"/>
      <c r="P221" s="67"/>
      <c r="Q221" s="67"/>
      <c r="R221" s="67"/>
      <c r="S221" s="67"/>
      <c r="T221" s="67"/>
      <c r="U221" s="641"/>
      <c r="V221" s="643"/>
      <c r="W221" s="593"/>
      <c r="X221" s="67"/>
      <c r="Y221" s="663" t="str">
        <f>IF(C221="","",('transversal subsidence profile'!$L$5*EXP(-(C221^2)/(2*'transversal subsidence profile'!$J$5^2)))*100)</f>
        <v/>
      </c>
      <c r="Z221" s="664" t="str">
        <f>IF(C221="","",(+'transversal subsidence profile'!$L$6*EXP(-((C221+$G$10)^2)/(2*'transversal subsidence profile'!$J$6^2)))*100)</f>
        <v/>
      </c>
      <c r="AA221" s="751" t="str">
        <f>IF(C221="","",IF('IN-OUT'!$F$26=0,'Damage classification-Rankin'!Z221,IF('IN-OUT'!$F$35=0,Y221,'Damage classification-Rankin'!Y221+'Damage classification-Rankin'!Z221)))</f>
        <v/>
      </c>
      <c r="AB221" s="67"/>
      <c r="AC221" s="67"/>
      <c r="AJ221" s="67"/>
      <c r="AK221" s="67"/>
      <c r="AL221" s="67"/>
      <c r="AM221" s="67"/>
      <c r="AN221" s="67"/>
      <c r="AO221" s="67"/>
      <c r="AP221" s="67"/>
      <c r="AQ221" s="67"/>
      <c r="AR221" s="67"/>
      <c r="AS221" s="67"/>
      <c r="AT221" s="67"/>
      <c r="AU221" s="67"/>
      <c r="AV221" s="67"/>
      <c r="AW221" s="67"/>
      <c r="AX221" s="67"/>
      <c r="AY221" s="67"/>
      <c r="AZ221" s="67"/>
      <c r="BA221" s="67"/>
    </row>
    <row r="222" spans="1:53" ht="13.8" thickBot="1">
      <c r="A222" s="67"/>
      <c r="B222" s="655">
        <f t="shared" si="28"/>
        <v>201</v>
      </c>
      <c r="C222" s="374" t="str">
        <f t="shared" si="29"/>
        <v/>
      </c>
      <c r="D222" s="784" t="str">
        <f t="shared" si="30"/>
        <v/>
      </c>
      <c r="E222" s="784" t="str">
        <f t="shared" si="31"/>
        <v/>
      </c>
      <c r="F222" s="785" t="str">
        <f t="shared" si="32"/>
        <v/>
      </c>
      <c r="G222" s="784" t="str">
        <f t="shared" si="33"/>
        <v/>
      </c>
      <c r="L222" s="67"/>
      <c r="M222" s="67"/>
      <c r="N222" s="67"/>
      <c r="O222" s="67"/>
      <c r="P222" s="67"/>
      <c r="Q222" s="67"/>
      <c r="R222" s="67"/>
      <c r="S222" s="67"/>
      <c r="T222" s="67"/>
      <c r="U222" s="641"/>
      <c r="V222" s="643"/>
      <c r="W222" s="593"/>
      <c r="X222" s="67"/>
      <c r="Y222" s="663" t="str">
        <f>IF(C222="","",('transversal subsidence profile'!$L$5*EXP(-(C222^2)/(2*'transversal subsidence profile'!$J$5^2)))*100)</f>
        <v/>
      </c>
      <c r="Z222" s="664" t="str">
        <f>IF(C222="","",(+'transversal subsidence profile'!$L$6*EXP(-((C222+$G$10)^2)/(2*'transversal subsidence profile'!$J$6^2)))*100)</f>
        <v/>
      </c>
      <c r="AA222" s="751" t="str">
        <f>IF(C222="","",IF('IN-OUT'!$F$26=0,'Damage classification-Rankin'!Z222,IF('IN-OUT'!$F$35=0,Y222,'Damage classification-Rankin'!Y222+'Damage classification-Rankin'!Z222)))</f>
        <v/>
      </c>
      <c r="AB222" s="67"/>
      <c r="AC222" s="67"/>
      <c r="AJ222" s="67"/>
      <c r="AK222" s="67"/>
      <c r="AL222" s="67"/>
      <c r="AM222" s="67"/>
      <c r="AN222" s="67"/>
      <c r="AO222" s="67"/>
      <c r="AP222" s="67"/>
      <c r="AQ222" s="67"/>
      <c r="AR222" s="67"/>
      <c r="AS222" s="67"/>
      <c r="AT222" s="67"/>
      <c r="AU222" s="67"/>
      <c r="AV222" s="67"/>
      <c r="AW222" s="67"/>
      <c r="AX222" s="67"/>
      <c r="AY222" s="67"/>
      <c r="AZ222" s="67"/>
      <c r="BA222" s="67"/>
    </row>
    <row r="223" spans="1:53" ht="13.8" thickBot="1">
      <c r="A223" s="67"/>
      <c r="B223" s="655">
        <f t="shared" si="28"/>
        <v>202</v>
      </c>
      <c r="C223" s="374" t="str">
        <f t="shared" si="29"/>
        <v/>
      </c>
      <c r="D223" s="784" t="str">
        <f t="shared" si="30"/>
        <v/>
      </c>
      <c r="E223" s="784" t="str">
        <f t="shared" si="31"/>
        <v/>
      </c>
      <c r="F223" s="785" t="str">
        <f t="shared" si="32"/>
        <v/>
      </c>
      <c r="G223" s="784" t="str">
        <f t="shared" si="33"/>
        <v/>
      </c>
      <c r="L223" s="67"/>
      <c r="M223" s="67"/>
      <c r="N223" s="67"/>
      <c r="O223" s="67"/>
      <c r="P223" s="67"/>
      <c r="Q223" s="67"/>
      <c r="R223" s="67"/>
      <c r="S223" s="67"/>
      <c r="T223" s="67"/>
      <c r="U223" s="641"/>
      <c r="V223" s="643"/>
      <c r="W223" s="593"/>
      <c r="X223" s="67"/>
      <c r="Y223" s="663" t="str">
        <f>IF(C223="","",('transversal subsidence profile'!$L$5*EXP(-(C223^2)/(2*'transversal subsidence profile'!$J$5^2)))*100)</f>
        <v/>
      </c>
      <c r="Z223" s="664" t="str">
        <f>IF(C223="","",(+'transversal subsidence profile'!$L$6*EXP(-((C223+$G$10)^2)/(2*'transversal subsidence profile'!$J$6^2)))*100)</f>
        <v/>
      </c>
      <c r="AA223" s="751" t="str">
        <f>IF(C223="","",IF('IN-OUT'!$F$26=0,'Damage classification-Rankin'!Z223,IF('IN-OUT'!$F$35=0,Y223,'Damage classification-Rankin'!Y223+'Damage classification-Rankin'!Z223)))</f>
        <v/>
      </c>
      <c r="AB223" s="67"/>
      <c r="AC223" s="67"/>
      <c r="AJ223" s="67"/>
      <c r="AK223" s="67"/>
      <c r="AL223" s="67"/>
      <c r="AM223" s="67"/>
      <c r="AN223" s="67"/>
      <c r="AO223" s="67"/>
      <c r="AP223" s="67"/>
      <c r="AQ223" s="67"/>
      <c r="AR223" s="67"/>
      <c r="AS223" s="67"/>
      <c r="AT223" s="67"/>
      <c r="AU223" s="67"/>
      <c r="AV223" s="67"/>
      <c r="AW223" s="67"/>
      <c r="AX223" s="67"/>
      <c r="AY223" s="67"/>
      <c r="AZ223" s="67"/>
      <c r="BA223" s="67"/>
    </row>
    <row r="224" spans="1:53" ht="13.8" thickBot="1">
      <c r="A224" s="67"/>
      <c r="B224" s="655">
        <f t="shared" si="28"/>
        <v>203</v>
      </c>
      <c r="C224" s="374" t="str">
        <f t="shared" si="29"/>
        <v/>
      </c>
      <c r="D224" s="784" t="str">
        <f t="shared" si="30"/>
        <v/>
      </c>
      <c r="E224" s="784" t="str">
        <f t="shared" si="31"/>
        <v/>
      </c>
      <c r="F224" s="785" t="str">
        <f t="shared" si="32"/>
        <v/>
      </c>
      <c r="G224" s="784" t="str">
        <f t="shared" si="33"/>
        <v/>
      </c>
      <c r="L224" s="67"/>
      <c r="M224" s="67"/>
      <c r="N224" s="67"/>
      <c r="O224" s="67"/>
      <c r="P224" s="67"/>
      <c r="Q224" s="67"/>
      <c r="R224" s="67"/>
      <c r="S224" s="67"/>
      <c r="T224" s="67"/>
      <c r="U224" s="641"/>
      <c r="V224" s="643"/>
      <c r="W224" s="593"/>
      <c r="X224" s="67"/>
      <c r="Y224" s="663" t="str">
        <f>IF(C224="","",('transversal subsidence profile'!$L$5*EXP(-(C224^2)/(2*'transversal subsidence profile'!$J$5^2)))*100)</f>
        <v/>
      </c>
      <c r="Z224" s="664" t="str">
        <f>IF(C224="","",(+'transversal subsidence profile'!$L$6*EXP(-((C224+$G$10)^2)/(2*'transversal subsidence profile'!$J$6^2)))*100)</f>
        <v/>
      </c>
      <c r="AA224" s="751" t="str">
        <f>IF(C224="","",IF('IN-OUT'!$F$26=0,'Damage classification-Rankin'!Z224,IF('IN-OUT'!$F$35=0,Y224,'Damage classification-Rankin'!Y224+'Damage classification-Rankin'!Z224)))</f>
        <v/>
      </c>
      <c r="AB224" s="67"/>
      <c r="AC224" s="67"/>
      <c r="AJ224" s="67"/>
      <c r="AK224" s="67"/>
      <c r="AL224" s="67"/>
      <c r="AM224" s="67"/>
      <c r="AN224" s="67"/>
      <c r="AO224" s="67"/>
      <c r="AP224" s="67"/>
      <c r="AQ224" s="67"/>
      <c r="AR224" s="67"/>
      <c r="AS224" s="67"/>
      <c r="AT224" s="67"/>
      <c r="AU224" s="67"/>
      <c r="AV224" s="67"/>
      <c r="AW224" s="67"/>
      <c r="AX224" s="67"/>
      <c r="AY224" s="67"/>
      <c r="AZ224" s="67"/>
      <c r="BA224" s="67"/>
    </row>
    <row r="225" spans="1:53" ht="13.8" thickBot="1">
      <c r="A225" s="67"/>
      <c r="B225" s="655">
        <f t="shared" si="28"/>
        <v>204</v>
      </c>
      <c r="C225" s="374" t="str">
        <f t="shared" si="29"/>
        <v/>
      </c>
      <c r="D225" s="784" t="str">
        <f t="shared" si="30"/>
        <v/>
      </c>
      <c r="E225" s="784" t="str">
        <f t="shared" si="31"/>
        <v/>
      </c>
      <c r="F225" s="785" t="str">
        <f t="shared" si="32"/>
        <v/>
      </c>
      <c r="G225" s="784" t="str">
        <f t="shared" si="33"/>
        <v/>
      </c>
      <c r="L225" s="67"/>
      <c r="M225" s="67"/>
      <c r="N225" s="67"/>
      <c r="O225" s="67"/>
      <c r="P225" s="67"/>
      <c r="Q225" s="67"/>
      <c r="R225" s="67"/>
      <c r="S225" s="67"/>
      <c r="T225" s="67"/>
      <c r="U225" s="641"/>
      <c r="V225" s="643"/>
      <c r="W225" s="593"/>
      <c r="X225" s="67"/>
      <c r="Y225" s="663" t="str">
        <f>IF(C225="","",('transversal subsidence profile'!$L$5*EXP(-(C225^2)/(2*'transversal subsidence profile'!$J$5^2)))*100)</f>
        <v/>
      </c>
      <c r="Z225" s="664" t="str">
        <f>IF(C225="","",(+'transversal subsidence profile'!$L$6*EXP(-((C225+$G$10)^2)/(2*'transversal subsidence profile'!$J$6^2)))*100)</f>
        <v/>
      </c>
      <c r="AA225" s="751" t="str">
        <f>IF(C225="","",IF('IN-OUT'!$F$26=0,'Damage classification-Rankin'!Z225,IF('IN-OUT'!$F$35=0,Y225,'Damage classification-Rankin'!Y225+'Damage classification-Rankin'!Z225)))</f>
        <v/>
      </c>
      <c r="AB225" s="67"/>
      <c r="AC225" s="67"/>
      <c r="AJ225" s="67"/>
      <c r="AK225" s="67"/>
      <c r="AL225" s="67"/>
      <c r="AM225" s="67"/>
      <c r="AN225" s="67"/>
      <c r="AO225" s="67"/>
      <c r="AP225" s="67"/>
      <c r="AQ225" s="67"/>
      <c r="AR225" s="67"/>
      <c r="AS225" s="67"/>
      <c r="AT225" s="67"/>
      <c r="AU225" s="67"/>
      <c r="AV225" s="67"/>
      <c r="AW225" s="67"/>
      <c r="AX225" s="67"/>
      <c r="AY225" s="67"/>
      <c r="AZ225" s="67"/>
      <c r="BA225" s="67"/>
    </row>
    <row r="226" spans="1:53" ht="13.8" thickBot="1">
      <c r="A226" s="67"/>
      <c r="B226" s="655">
        <f t="shared" ref="B226:B289" si="34">B225+1</f>
        <v>205</v>
      </c>
      <c r="C226" s="374" t="str">
        <f t="shared" ref="C226:C289" si="35">IF(OR(C225=$D$8,C225=""),"",IF((C225+$C$19)&gt;$D$8,$D$8,C225+$C$19))</f>
        <v/>
      </c>
      <c r="D226" s="784" t="str">
        <f t="shared" ref="D226:D289" si="36">AA226</f>
        <v/>
      </c>
      <c r="E226" s="784" t="str">
        <f t="shared" ref="E226:E289" si="37">IF(C226="","",IF(D226&gt;D225,ATAN(((D226-D225))/ABS((C226-C225)*100)),-ATAN(((D225-D226))/ABS((C226-C225)*100))))</f>
        <v/>
      </c>
      <c r="F226" s="785" t="str">
        <f t="shared" ref="F226:F289" si="38">IF(C226&lt;&gt;"",ABS(D225-D226),"")</f>
        <v/>
      </c>
      <c r="G226" s="784" t="str">
        <f t="shared" si="33"/>
        <v/>
      </c>
      <c r="L226" s="67"/>
      <c r="M226" s="67"/>
      <c r="N226" s="67"/>
      <c r="O226" s="67"/>
      <c r="P226" s="67"/>
      <c r="Q226" s="67"/>
      <c r="R226" s="67"/>
      <c r="S226" s="67"/>
      <c r="T226" s="67"/>
      <c r="U226" s="641"/>
      <c r="V226" s="643"/>
      <c r="W226" s="593"/>
      <c r="X226" s="67"/>
      <c r="Y226" s="663" t="str">
        <f>IF(C226="","",('transversal subsidence profile'!$L$5*EXP(-(C226^2)/(2*'transversal subsidence profile'!$J$5^2)))*100)</f>
        <v/>
      </c>
      <c r="Z226" s="664" t="str">
        <f>IF(C226="","",(+'transversal subsidence profile'!$L$6*EXP(-((C226+$G$10)^2)/(2*'transversal subsidence profile'!$J$6^2)))*100)</f>
        <v/>
      </c>
      <c r="AA226" s="751" t="str">
        <f>IF(C226="","",IF('IN-OUT'!$F$26=0,'Damage classification-Rankin'!Z226,IF('IN-OUT'!$F$35=0,Y226,'Damage classification-Rankin'!Y226+'Damage classification-Rankin'!Z226)))</f>
        <v/>
      </c>
      <c r="AB226" s="67"/>
      <c r="AC226" s="67"/>
      <c r="AJ226" s="67"/>
      <c r="AK226" s="67"/>
      <c r="AL226" s="67"/>
      <c r="AM226" s="67"/>
      <c r="AN226" s="67"/>
      <c r="AO226" s="67"/>
      <c r="AP226" s="67"/>
      <c r="AQ226" s="67"/>
      <c r="AR226" s="67"/>
      <c r="AS226" s="67"/>
      <c r="AT226" s="67"/>
      <c r="AU226" s="67"/>
      <c r="AV226" s="67"/>
      <c r="AW226" s="67"/>
      <c r="AX226" s="67"/>
      <c r="AY226" s="67"/>
      <c r="AZ226" s="67"/>
      <c r="BA226" s="67"/>
    </row>
    <row r="227" spans="1:53" ht="13.8" thickBot="1">
      <c r="A227" s="67"/>
      <c r="B227" s="655">
        <f t="shared" si="34"/>
        <v>206</v>
      </c>
      <c r="C227" s="374" t="str">
        <f t="shared" si="35"/>
        <v/>
      </c>
      <c r="D227" s="784" t="str">
        <f t="shared" si="36"/>
        <v/>
      </c>
      <c r="E227" s="784" t="str">
        <f t="shared" si="37"/>
        <v/>
      </c>
      <c r="F227" s="785" t="str">
        <f t="shared" si="38"/>
        <v/>
      </c>
      <c r="G227" s="784" t="str">
        <f t="shared" si="33"/>
        <v/>
      </c>
      <c r="L227" s="67"/>
      <c r="M227" s="67"/>
      <c r="N227" s="67"/>
      <c r="O227" s="67"/>
      <c r="P227" s="67"/>
      <c r="Q227" s="67"/>
      <c r="R227" s="67"/>
      <c r="S227" s="67"/>
      <c r="T227" s="67"/>
      <c r="U227" s="641"/>
      <c r="V227" s="643"/>
      <c r="W227" s="593"/>
      <c r="X227" s="67"/>
      <c r="Y227" s="663" t="str">
        <f>IF(C227="","",('transversal subsidence profile'!$L$5*EXP(-(C227^2)/(2*'transversal subsidence profile'!$J$5^2)))*100)</f>
        <v/>
      </c>
      <c r="Z227" s="664" t="str">
        <f>IF(C227="","",(+'transversal subsidence profile'!$L$6*EXP(-((C227+$G$10)^2)/(2*'transversal subsidence profile'!$J$6^2)))*100)</f>
        <v/>
      </c>
      <c r="AA227" s="751" t="str">
        <f>IF(C227="","",IF('IN-OUT'!$F$26=0,'Damage classification-Rankin'!Z227,IF('IN-OUT'!$F$35=0,Y227,'Damage classification-Rankin'!Y227+'Damage classification-Rankin'!Z227)))</f>
        <v/>
      </c>
      <c r="AB227" s="67"/>
      <c r="AC227" s="67"/>
      <c r="AJ227" s="67"/>
      <c r="AK227" s="67"/>
      <c r="AL227" s="67"/>
      <c r="AM227" s="67"/>
      <c r="AN227" s="67"/>
      <c r="AO227" s="67"/>
      <c r="AP227" s="67"/>
      <c r="AQ227" s="67"/>
      <c r="AR227" s="67"/>
      <c r="AS227" s="67"/>
      <c r="AT227" s="67"/>
      <c r="AU227" s="67"/>
      <c r="AV227" s="67"/>
      <c r="AW227" s="67"/>
      <c r="AX227" s="67"/>
      <c r="AY227" s="67"/>
      <c r="AZ227" s="67"/>
      <c r="BA227" s="67"/>
    </row>
    <row r="228" spans="1:53" ht="13.8" thickBot="1">
      <c r="A228" s="67"/>
      <c r="B228" s="655">
        <f t="shared" si="34"/>
        <v>207</v>
      </c>
      <c r="C228" s="374" t="str">
        <f t="shared" si="35"/>
        <v/>
      </c>
      <c r="D228" s="784" t="str">
        <f t="shared" si="36"/>
        <v/>
      </c>
      <c r="E228" s="784" t="str">
        <f t="shared" si="37"/>
        <v/>
      </c>
      <c r="F228" s="785" t="str">
        <f t="shared" si="38"/>
        <v/>
      </c>
      <c r="G228" s="784" t="str">
        <f t="shared" si="33"/>
        <v/>
      </c>
      <c r="L228" s="67"/>
      <c r="M228" s="67"/>
      <c r="N228" s="67"/>
      <c r="O228" s="67"/>
      <c r="P228" s="67"/>
      <c r="Q228" s="67"/>
      <c r="R228" s="67"/>
      <c r="S228" s="67"/>
      <c r="T228" s="67"/>
      <c r="U228" s="641"/>
      <c r="V228" s="643"/>
      <c r="W228" s="593"/>
      <c r="X228" s="67"/>
      <c r="Y228" s="663" t="str">
        <f>IF(C228="","",('transversal subsidence profile'!$L$5*EXP(-(C228^2)/(2*'transversal subsidence profile'!$J$5^2)))*100)</f>
        <v/>
      </c>
      <c r="Z228" s="664" t="str">
        <f>IF(C228="","",(+'transversal subsidence profile'!$L$6*EXP(-((C228+$G$10)^2)/(2*'transversal subsidence profile'!$J$6^2)))*100)</f>
        <v/>
      </c>
      <c r="AA228" s="751" t="str">
        <f>IF(C228="","",IF('IN-OUT'!$F$26=0,'Damage classification-Rankin'!Z228,IF('IN-OUT'!$F$35=0,Y228,'Damage classification-Rankin'!Y228+'Damage classification-Rankin'!Z228)))</f>
        <v/>
      </c>
      <c r="AB228" s="67"/>
      <c r="AC228" s="67"/>
      <c r="AJ228" s="67"/>
      <c r="AK228" s="67"/>
      <c r="AL228" s="67"/>
      <c r="AM228" s="67"/>
      <c r="AN228" s="67"/>
      <c r="AO228" s="67"/>
      <c r="AP228" s="67"/>
      <c r="AQ228" s="67"/>
      <c r="AR228" s="67"/>
      <c r="AS228" s="67"/>
      <c r="AT228" s="67"/>
      <c r="AU228" s="67"/>
      <c r="AV228" s="67"/>
      <c r="AW228" s="67"/>
      <c r="AX228" s="67"/>
      <c r="AY228" s="67"/>
      <c r="AZ228" s="67"/>
      <c r="BA228" s="67"/>
    </row>
    <row r="229" spans="1:53" ht="13.8" thickBot="1">
      <c r="A229" s="67"/>
      <c r="B229" s="655">
        <f t="shared" si="34"/>
        <v>208</v>
      </c>
      <c r="C229" s="374" t="str">
        <f t="shared" si="35"/>
        <v/>
      </c>
      <c r="D229" s="784" t="str">
        <f t="shared" si="36"/>
        <v/>
      </c>
      <c r="E229" s="784" t="str">
        <f t="shared" si="37"/>
        <v/>
      </c>
      <c r="F229" s="785" t="str">
        <f t="shared" si="38"/>
        <v/>
      </c>
      <c r="G229" s="784" t="str">
        <f t="shared" si="33"/>
        <v/>
      </c>
      <c r="L229" s="67"/>
      <c r="M229" s="67"/>
      <c r="N229" s="67"/>
      <c r="O229" s="67"/>
      <c r="P229" s="67"/>
      <c r="Q229" s="67"/>
      <c r="R229" s="67"/>
      <c r="S229" s="67"/>
      <c r="T229" s="67"/>
      <c r="U229" s="641"/>
      <c r="V229" s="643"/>
      <c r="W229" s="593"/>
      <c r="X229" s="67"/>
      <c r="Y229" s="663" t="str">
        <f>IF(C229="","",('transversal subsidence profile'!$L$5*EXP(-(C229^2)/(2*'transversal subsidence profile'!$J$5^2)))*100)</f>
        <v/>
      </c>
      <c r="Z229" s="664" t="str">
        <f>IF(C229="","",(+'transversal subsidence profile'!$L$6*EXP(-((C229+$G$10)^2)/(2*'transversal subsidence profile'!$J$6^2)))*100)</f>
        <v/>
      </c>
      <c r="AA229" s="751" t="str">
        <f>IF(C229="","",IF('IN-OUT'!$F$26=0,'Damage classification-Rankin'!Z229,IF('IN-OUT'!$F$35=0,Y229,'Damage classification-Rankin'!Y229+'Damage classification-Rankin'!Z229)))</f>
        <v/>
      </c>
      <c r="AB229" s="67"/>
      <c r="AC229" s="67"/>
      <c r="AJ229" s="67"/>
      <c r="AK229" s="67"/>
      <c r="AL229" s="67"/>
      <c r="AM229" s="67"/>
      <c r="AN229" s="67"/>
      <c r="AO229" s="67"/>
      <c r="AP229" s="67"/>
      <c r="AQ229" s="67"/>
      <c r="AR229" s="67"/>
      <c r="AS229" s="67"/>
      <c r="AT229" s="67"/>
      <c r="AU229" s="67"/>
      <c r="AV229" s="67"/>
      <c r="AW229" s="67"/>
      <c r="AX229" s="67"/>
      <c r="AY229" s="67"/>
      <c r="AZ229" s="67"/>
      <c r="BA229" s="67"/>
    </row>
    <row r="230" spans="1:53" ht="13.8" thickBot="1">
      <c r="A230" s="67"/>
      <c r="B230" s="655">
        <f t="shared" si="34"/>
        <v>209</v>
      </c>
      <c r="C230" s="374" t="str">
        <f t="shared" si="35"/>
        <v/>
      </c>
      <c r="D230" s="784" t="str">
        <f t="shared" si="36"/>
        <v/>
      </c>
      <c r="E230" s="784" t="str">
        <f t="shared" si="37"/>
        <v/>
      </c>
      <c r="F230" s="785" t="str">
        <f t="shared" si="38"/>
        <v/>
      </c>
      <c r="G230" s="784" t="str">
        <f t="shared" si="33"/>
        <v/>
      </c>
      <c r="L230" s="67"/>
      <c r="M230" s="67"/>
      <c r="N230" s="67"/>
      <c r="O230" s="67"/>
      <c r="P230" s="67"/>
      <c r="Q230" s="67"/>
      <c r="R230" s="67"/>
      <c r="S230" s="67"/>
      <c r="T230" s="67"/>
      <c r="U230" s="641"/>
      <c r="V230" s="643"/>
      <c r="W230" s="593"/>
      <c r="X230" s="67"/>
      <c r="Y230" s="663" t="str">
        <f>IF(C230="","",('transversal subsidence profile'!$L$5*EXP(-(C230^2)/(2*'transversal subsidence profile'!$J$5^2)))*100)</f>
        <v/>
      </c>
      <c r="Z230" s="664" t="str">
        <f>IF(C230="","",(+'transversal subsidence profile'!$L$6*EXP(-((C230+$G$10)^2)/(2*'transversal subsidence profile'!$J$6^2)))*100)</f>
        <v/>
      </c>
      <c r="AA230" s="751" t="str">
        <f>IF(C230="","",IF('IN-OUT'!$F$26=0,'Damage classification-Rankin'!Z230,IF('IN-OUT'!$F$35=0,Y230,'Damage classification-Rankin'!Y230+'Damage classification-Rankin'!Z230)))</f>
        <v/>
      </c>
      <c r="AB230" s="67"/>
      <c r="AC230" s="67"/>
      <c r="AJ230" s="67"/>
      <c r="AK230" s="67"/>
      <c r="AL230" s="67"/>
      <c r="AM230" s="67"/>
      <c r="AN230" s="67"/>
      <c r="AO230" s="67"/>
      <c r="AP230" s="67"/>
      <c r="AQ230" s="67"/>
      <c r="AR230" s="67"/>
      <c r="AS230" s="67"/>
      <c r="AT230" s="67"/>
      <c r="AU230" s="67"/>
      <c r="AV230" s="67"/>
      <c r="AW230" s="67"/>
      <c r="AX230" s="67"/>
      <c r="AY230" s="67"/>
      <c r="AZ230" s="67"/>
      <c r="BA230" s="67"/>
    </row>
    <row r="231" spans="1:53" ht="13.8" thickBot="1">
      <c r="A231" s="67"/>
      <c r="B231" s="655">
        <f t="shared" si="34"/>
        <v>210</v>
      </c>
      <c r="C231" s="374" t="str">
        <f t="shared" si="35"/>
        <v/>
      </c>
      <c r="D231" s="784" t="str">
        <f t="shared" si="36"/>
        <v/>
      </c>
      <c r="E231" s="784" t="str">
        <f t="shared" si="37"/>
        <v/>
      </c>
      <c r="F231" s="785" t="str">
        <f t="shared" si="38"/>
        <v/>
      </c>
      <c r="G231" s="784" t="str">
        <f t="shared" si="33"/>
        <v/>
      </c>
      <c r="L231" s="67"/>
      <c r="M231" s="67"/>
      <c r="N231" s="67"/>
      <c r="O231" s="67"/>
      <c r="P231" s="67"/>
      <c r="Q231" s="67"/>
      <c r="R231" s="67"/>
      <c r="S231" s="67"/>
      <c r="T231" s="67"/>
      <c r="U231" s="641"/>
      <c r="V231" s="643"/>
      <c r="W231" s="593"/>
      <c r="X231" s="67"/>
      <c r="Y231" s="663" t="str">
        <f>IF(C231="","",('transversal subsidence profile'!$L$5*EXP(-(C231^2)/(2*'transversal subsidence profile'!$J$5^2)))*100)</f>
        <v/>
      </c>
      <c r="Z231" s="664" t="str">
        <f>IF(C231="","",(+'transversal subsidence profile'!$L$6*EXP(-((C231+$G$10)^2)/(2*'transversal subsidence profile'!$J$6^2)))*100)</f>
        <v/>
      </c>
      <c r="AA231" s="751" t="str">
        <f>IF(C231="","",IF('IN-OUT'!$F$26=0,'Damage classification-Rankin'!Z231,IF('IN-OUT'!$F$35=0,Y231,'Damage classification-Rankin'!Y231+'Damage classification-Rankin'!Z231)))</f>
        <v/>
      </c>
      <c r="AB231" s="67"/>
      <c r="AC231" s="67"/>
      <c r="AJ231" s="67"/>
      <c r="AK231" s="67"/>
      <c r="AL231" s="67"/>
      <c r="AM231" s="67"/>
      <c r="AN231" s="67"/>
      <c r="AO231" s="67"/>
      <c r="AP231" s="67"/>
      <c r="AQ231" s="67"/>
      <c r="AR231" s="67"/>
      <c r="AS231" s="67"/>
      <c r="AT231" s="67"/>
      <c r="AU231" s="67"/>
      <c r="AV231" s="67"/>
      <c r="AW231" s="67"/>
      <c r="AX231" s="67"/>
      <c r="AY231" s="67"/>
      <c r="AZ231" s="67"/>
      <c r="BA231" s="67"/>
    </row>
    <row r="232" spans="1:53" ht="13.8" thickBot="1">
      <c r="A232" s="67"/>
      <c r="B232" s="655">
        <f t="shared" si="34"/>
        <v>211</v>
      </c>
      <c r="C232" s="374" t="str">
        <f t="shared" si="35"/>
        <v/>
      </c>
      <c r="D232" s="784" t="str">
        <f t="shared" si="36"/>
        <v/>
      </c>
      <c r="E232" s="784" t="str">
        <f t="shared" si="37"/>
        <v/>
      </c>
      <c r="F232" s="785" t="str">
        <f t="shared" si="38"/>
        <v/>
      </c>
      <c r="G232" s="784" t="str">
        <f t="shared" si="33"/>
        <v/>
      </c>
      <c r="L232" s="67"/>
      <c r="M232" s="67"/>
      <c r="N232" s="67"/>
      <c r="O232" s="67"/>
      <c r="P232" s="67"/>
      <c r="Q232" s="67"/>
      <c r="R232" s="67"/>
      <c r="S232" s="67"/>
      <c r="T232" s="67"/>
      <c r="U232" s="641"/>
      <c r="V232" s="643"/>
      <c r="W232" s="593"/>
      <c r="X232" s="67"/>
      <c r="Y232" s="663" t="str">
        <f>IF(C232="","",('transversal subsidence profile'!$L$5*EXP(-(C232^2)/(2*'transversal subsidence profile'!$J$5^2)))*100)</f>
        <v/>
      </c>
      <c r="Z232" s="664" t="str">
        <f>IF(C232="","",(+'transversal subsidence profile'!$L$6*EXP(-((C232+$G$10)^2)/(2*'transversal subsidence profile'!$J$6^2)))*100)</f>
        <v/>
      </c>
      <c r="AA232" s="751" t="str">
        <f>IF(C232="","",IF('IN-OUT'!$F$26=0,'Damage classification-Rankin'!Z232,IF('IN-OUT'!$F$35=0,Y232,'Damage classification-Rankin'!Y232+'Damage classification-Rankin'!Z232)))</f>
        <v/>
      </c>
      <c r="AB232" s="67"/>
      <c r="AC232" s="67"/>
      <c r="AJ232" s="67"/>
      <c r="AK232" s="67"/>
      <c r="AL232" s="67"/>
      <c r="AM232" s="67"/>
      <c r="AN232" s="67"/>
      <c r="AO232" s="67"/>
      <c r="AP232" s="67"/>
      <c r="AQ232" s="67"/>
      <c r="AR232" s="67"/>
      <c r="AS232" s="67"/>
      <c r="AT232" s="67"/>
      <c r="AU232" s="67"/>
      <c r="AV232" s="67"/>
      <c r="AW232" s="67"/>
      <c r="AX232" s="67"/>
      <c r="AY232" s="67"/>
      <c r="AZ232" s="67"/>
      <c r="BA232" s="67"/>
    </row>
    <row r="233" spans="1:53" ht="13.8" thickBot="1">
      <c r="A233" s="67"/>
      <c r="B233" s="655">
        <f t="shared" si="34"/>
        <v>212</v>
      </c>
      <c r="C233" s="374" t="str">
        <f t="shared" si="35"/>
        <v/>
      </c>
      <c r="D233" s="784" t="str">
        <f t="shared" si="36"/>
        <v/>
      </c>
      <c r="E233" s="784" t="str">
        <f t="shared" si="37"/>
        <v/>
      </c>
      <c r="F233" s="785" t="str">
        <f t="shared" si="38"/>
        <v/>
      </c>
      <c r="G233" s="784" t="str">
        <f t="shared" si="33"/>
        <v/>
      </c>
      <c r="L233" s="67"/>
      <c r="M233" s="67"/>
      <c r="N233" s="67"/>
      <c r="O233" s="67"/>
      <c r="P233" s="67"/>
      <c r="Q233" s="67"/>
      <c r="R233" s="67"/>
      <c r="S233" s="67"/>
      <c r="T233" s="67"/>
      <c r="U233" s="641"/>
      <c r="V233" s="643"/>
      <c r="W233" s="593"/>
      <c r="X233" s="67"/>
      <c r="Y233" s="663" t="str">
        <f>IF(C233="","",('transversal subsidence profile'!$L$5*EXP(-(C233^2)/(2*'transversal subsidence profile'!$J$5^2)))*100)</f>
        <v/>
      </c>
      <c r="Z233" s="664" t="str">
        <f>IF(C233="","",(+'transversal subsidence profile'!$L$6*EXP(-((C233+$G$10)^2)/(2*'transversal subsidence profile'!$J$6^2)))*100)</f>
        <v/>
      </c>
      <c r="AA233" s="751" t="str">
        <f>IF(C233="","",IF('IN-OUT'!$F$26=0,'Damage classification-Rankin'!Z233,IF('IN-OUT'!$F$35=0,Y233,'Damage classification-Rankin'!Y233+'Damage classification-Rankin'!Z233)))</f>
        <v/>
      </c>
      <c r="AB233" s="67"/>
      <c r="AC233" s="67"/>
      <c r="AJ233" s="67"/>
      <c r="AK233" s="67"/>
      <c r="AL233" s="67"/>
      <c r="AM233" s="67"/>
      <c r="AN233" s="67"/>
      <c r="AO233" s="67"/>
      <c r="AP233" s="67"/>
      <c r="AQ233" s="67"/>
      <c r="AR233" s="67"/>
      <c r="AS233" s="67"/>
      <c r="AT233" s="67"/>
      <c r="AU233" s="67"/>
      <c r="AV233" s="67"/>
      <c r="AW233" s="67"/>
      <c r="AX233" s="67"/>
      <c r="AY233" s="67"/>
      <c r="AZ233" s="67"/>
      <c r="BA233" s="67"/>
    </row>
    <row r="234" spans="1:53" ht="13.8" thickBot="1">
      <c r="A234" s="67"/>
      <c r="B234" s="655">
        <f t="shared" si="34"/>
        <v>213</v>
      </c>
      <c r="C234" s="374" t="str">
        <f t="shared" si="35"/>
        <v/>
      </c>
      <c r="D234" s="784" t="str">
        <f t="shared" si="36"/>
        <v/>
      </c>
      <c r="E234" s="784" t="str">
        <f t="shared" si="37"/>
        <v/>
      </c>
      <c r="F234" s="785" t="str">
        <f t="shared" si="38"/>
        <v/>
      </c>
      <c r="G234" s="784" t="str">
        <f t="shared" si="33"/>
        <v/>
      </c>
      <c r="L234" s="67"/>
      <c r="M234" s="67"/>
      <c r="N234" s="67"/>
      <c r="O234" s="67"/>
      <c r="P234" s="67"/>
      <c r="Q234" s="67"/>
      <c r="R234" s="67"/>
      <c r="S234" s="67"/>
      <c r="T234" s="67"/>
      <c r="U234" s="641"/>
      <c r="V234" s="643"/>
      <c r="W234" s="593"/>
      <c r="X234" s="67"/>
      <c r="Y234" s="663" t="str">
        <f>IF(C234="","",('transversal subsidence profile'!$L$5*EXP(-(C234^2)/(2*'transversal subsidence profile'!$J$5^2)))*100)</f>
        <v/>
      </c>
      <c r="Z234" s="664" t="str">
        <f>IF(C234="","",(+'transversal subsidence profile'!$L$6*EXP(-((C234+$G$10)^2)/(2*'transversal subsidence profile'!$J$6^2)))*100)</f>
        <v/>
      </c>
      <c r="AA234" s="751" t="str">
        <f>IF(C234="","",IF('IN-OUT'!$F$26=0,'Damage classification-Rankin'!Z234,IF('IN-OUT'!$F$35=0,Y234,'Damage classification-Rankin'!Y234+'Damage classification-Rankin'!Z234)))</f>
        <v/>
      </c>
      <c r="AB234" s="67"/>
      <c r="AC234" s="67"/>
      <c r="AJ234" s="67"/>
      <c r="AK234" s="67"/>
      <c r="AL234" s="67"/>
      <c r="AM234" s="67"/>
      <c r="AN234" s="67"/>
      <c r="AO234" s="67"/>
      <c r="AP234" s="67"/>
      <c r="AQ234" s="67"/>
      <c r="AR234" s="67"/>
      <c r="AS234" s="67"/>
      <c r="AT234" s="67"/>
      <c r="AU234" s="67"/>
      <c r="AV234" s="67"/>
      <c r="AW234" s="67"/>
      <c r="AX234" s="67"/>
      <c r="AY234" s="67"/>
      <c r="AZ234" s="67"/>
      <c r="BA234" s="67"/>
    </row>
    <row r="235" spans="1:53" ht="13.8" thickBot="1">
      <c r="A235" s="67"/>
      <c r="B235" s="655">
        <f t="shared" si="34"/>
        <v>214</v>
      </c>
      <c r="C235" s="374" t="str">
        <f t="shared" si="35"/>
        <v/>
      </c>
      <c r="D235" s="784" t="str">
        <f t="shared" si="36"/>
        <v/>
      </c>
      <c r="E235" s="784" t="str">
        <f t="shared" si="37"/>
        <v/>
      </c>
      <c r="F235" s="785" t="str">
        <f t="shared" si="38"/>
        <v/>
      </c>
      <c r="G235" s="784" t="str">
        <f t="shared" si="33"/>
        <v/>
      </c>
      <c r="L235" s="67"/>
      <c r="M235" s="67"/>
      <c r="N235" s="67"/>
      <c r="O235" s="67"/>
      <c r="P235" s="67"/>
      <c r="Q235" s="67"/>
      <c r="R235" s="67"/>
      <c r="S235" s="67"/>
      <c r="T235" s="67"/>
      <c r="U235" s="641"/>
      <c r="V235" s="643"/>
      <c r="W235" s="593"/>
      <c r="X235" s="67"/>
      <c r="Y235" s="663" t="str">
        <f>IF(C235="","",('transversal subsidence profile'!$L$5*EXP(-(C235^2)/(2*'transversal subsidence profile'!$J$5^2)))*100)</f>
        <v/>
      </c>
      <c r="Z235" s="664" t="str">
        <f>IF(C235="","",(+'transversal subsidence profile'!$L$6*EXP(-((C235+$G$10)^2)/(2*'transversal subsidence profile'!$J$6^2)))*100)</f>
        <v/>
      </c>
      <c r="AA235" s="751" t="str">
        <f>IF(C235="","",IF('IN-OUT'!$F$26=0,'Damage classification-Rankin'!Z235,IF('IN-OUT'!$F$35=0,Y235,'Damage classification-Rankin'!Y235+'Damage classification-Rankin'!Z235)))</f>
        <v/>
      </c>
      <c r="AB235" s="67"/>
      <c r="AC235" s="67"/>
      <c r="AJ235" s="67"/>
      <c r="AK235" s="67"/>
      <c r="AL235" s="67"/>
      <c r="AM235" s="67"/>
      <c r="AN235" s="67"/>
      <c r="AO235" s="67"/>
      <c r="AP235" s="67"/>
      <c r="AQ235" s="67"/>
      <c r="AR235" s="67"/>
      <c r="AS235" s="67"/>
      <c r="AT235" s="67"/>
      <c r="AU235" s="67"/>
      <c r="AV235" s="67"/>
      <c r="AW235" s="67"/>
      <c r="AX235" s="67"/>
      <c r="AY235" s="67"/>
      <c r="AZ235" s="67"/>
      <c r="BA235" s="67"/>
    </row>
    <row r="236" spans="1:53" ht="13.8" thickBot="1">
      <c r="A236" s="67"/>
      <c r="B236" s="655">
        <f t="shared" si="34"/>
        <v>215</v>
      </c>
      <c r="C236" s="374" t="str">
        <f t="shared" si="35"/>
        <v/>
      </c>
      <c r="D236" s="784" t="str">
        <f t="shared" si="36"/>
        <v/>
      </c>
      <c r="E236" s="784" t="str">
        <f t="shared" si="37"/>
        <v/>
      </c>
      <c r="F236" s="785" t="str">
        <f t="shared" si="38"/>
        <v/>
      </c>
      <c r="G236" s="784" t="str">
        <f t="shared" si="33"/>
        <v/>
      </c>
      <c r="L236" s="67"/>
      <c r="M236" s="67"/>
      <c r="N236" s="67"/>
      <c r="O236" s="67"/>
      <c r="P236" s="67"/>
      <c r="Q236" s="67"/>
      <c r="R236" s="67"/>
      <c r="S236" s="67"/>
      <c r="T236" s="67"/>
      <c r="U236" s="641"/>
      <c r="V236" s="643"/>
      <c r="W236" s="593"/>
      <c r="X236" s="67"/>
      <c r="Y236" s="663" t="str">
        <f>IF(C236="","",('transversal subsidence profile'!$L$5*EXP(-(C236^2)/(2*'transversal subsidence profile'!$J$5^2)))*100)</f>
        <v/>
      </c>
      <c r="Z236" s="664" t="str">
        <f>IF(C236="","",(+'transversal subsidence profile'!$L$6*EXP(-((C236+$G$10)^2)/(2*'transversal subsidence profile'!$J$6^2)))*100)</f>
        <v/>
      </c>
      <c r="AA236" s="751" t="str">
        <f>IF(C236="","",IF('IN-OUT'!$F$26=0,'Damage classification-Rankin'!Z236,IF('IN-OUT'!$F$35=0,Y236,'Damage classification-Rankin'!Y236+'Damage classification-Rankin'!Z236)))</f>
        <v/>
      </c>
      <c r="AB236" s="67"/>
      <c r="AC236" s="67"/>
      <c r="AJ236" s="67"/>
      <c r="AK236" s="67"/>
      <c r="AL236" s="67"/>
      <c r="AM236" s="67"/>
      <c r="AN236" s="67"/>
      <c r="AO236" s="67"/>
      <c r="AP236" s="67"/>
      <c r="AQ236" s="67"/>
      <c r="AR236" s="67"/>
      <c r="AS236" s="67"/>
      <c r="AT236" s="67"/>
      <c r="AU236" s="67"/>
      <c r="AV236" s="67"/>
      <c r="AW236" s="67"/>
      <c r="AX236" s="67"/>
      <c r="AY236" s="67"/>
      <c r="AZ236" s="67"/>
      <c r="BA236" s="67"/>
    </row>
    <row r="237" spans="1:53" ht="13.8" thickBot="1">
      <c r="A237" s="67"/>
      <c r="B237" s="655">
        <f t="shared" si="34"/>
        <v>216</v>
      </c>
      <c r="C237" s="374" t="str">
        <f t="shared" si="35"/>
        <v/>
      </c>
      <c r="D237" s="784" t="str">
        <f t="shared" si="36"/>
        <v/>
      </c>
      <c r="E237" s="784" t="str">
        <f t="shared" si="37"/>
        <v/>
      </c>
      <c r="F237" s="785" t="str">
        <f t="shared" si="38"/>
        <v/>
      </c>
      <c r="G237" s="784" t="str">
        <f t="shared" si="33"/>
        <v/>
      </c>
      <c r="L237" s="67"/>
      <c r="M237" s="67"/>
      <c r="N237" s="67"/>
      <c r="O237" s="67"/>
      <c r="P237" s="67"/>
      <c r="Q237" s="67"/>
      <c r="R237" s="67"/>
      <c r="S237" s="67"/>
      <c r="T237" s="67"/>
      <c r="U237" s="641"/>
      <c r="V237" s="643"/>
      <c r="W237" s="593"/>
      <c r="X237" s="67"/>
      <c r="Y237" s="663" t="str">
        <f>IF(C237="","",('transversal subsidence profile'!$L$5*EXP(-(C237^2)/(2*'transversal subsidence profile'!$J$5^2)))*100)</f>
        <v/>
      </c>
      <c r="Z237" s="664" t="str">
        <f>IF(C237="","",(+'transversal subsidence profile'!$L$6*EXP(-((C237+$G$10)^2)/(2*'transversal subsidence profile'!$J$6^2)))*100)</f>
        <v/>
      </c>
      <c r="AA237" s="751" t="str">
        <f>IF(C237="","",IF('IN-OUT'!$F$26=0,'Damage classification-Rankin'!Z237,IF('IN-OUT'!$F$35=0,Y237,'Damage classification-Rankin'!Y237+'Damage classification-Rankin'!Z237)))</f>
        <v/>
      </c>
      <c r="AB237" s="67"/>
      <c r="AC237" s="67"/>
      <c r="AJ237" s="67"/>
      <c r="AK237" s="67"/>
      <c r="AL237" s="67"/>
      <c r="AM237" s="67"/>
      <c r="AN237" s="67"/>
      <c r="AO237" s="67"/>
      <c r="AP237" s="67"/>
      <c r="AQ237" s="67"/>
      <c r="AR237" s="67"/>
      <c r="AS237" s="67"/>
      <c r="AT237" s="67"/>
      <c r="AU237" s="67"/>
      <c r="AV237" s="67"/>
      <c r="AW237" s="67"/>
      <c r="AX237" s="67"/>
      <c r="AY237" s="67"/>
      <c r="AZ237" s="67"/>
      <c r="BA237" s="67"/>
    </row>
    <row r="238" spans="1:53" ht="13.8" thickBot="1">
      <c r="A238" s="67"/>
      <c r="B238" s="655">
        <f t="shared" si="34"/>
        <v>217</v>
      </c>
      <c r="C238" s="374" t="str">
        <f t="shared" si="35"/>
        <v/>
      </c>
      <c r="D238" s="784" t="str">
        <f t="shared" si="36"/>
        <v/>
      </c>
      <c r="E238" s="784" t="str">
        <f t="shared" si="37"/>
        <v/>
      </c>
      <c r="F238" s="785" t="str">
        <f t="shared" si="38"/>
        <v/>
      </c>
      <c r="G238" s="784" t="str">
        <f t="shared" si="33"/>
        <v/>
      </c>
      <c r="L238" s="67"/>
      <c r="M238" s="67"/>
      <c r="N238" s="67"/>
      <c r="O238" s="67"/>
      <c r="P238" s="67"/>
      <c r="Q238" s="67"/>
      <c r="R238" s="67"/>
      <c r="S238" s="67"/>
      <c r="T238" s="67"/>
      <c r="U238" s="641"/>
      <c r="V238" s="643"/>
      <c r="W238" s="593"/>
      <c r="X238" s="67"/>
      <c r="Y238" s="663" t="str">
        <f>IF(C238="","",('transversal subsidence profile'!$L$5*EXP(-(C238^2)/(2*'transversal subsidence profile'!$J$5^2)))*100)</f>
        <v/>
      </c>
      <c r="Z238" s="664" t="str">
        <f>IF(C238="","",(+'transversal subsidence profile'!$L$6*EXP(-((C238+$G$10)^2)/(2*'transversal subsidence profile'!$J$6^2)))*100)</f>
        <v/>
      </c>
      <c r="AA238" s="751" t="str">
        <f>IF(C238="","",IF('IN-OUT'!$F$26=0,'Damage classification-Rankin'!Z238,IF('IN-OUT'!$F$35=0,Y238,'Damage classification-Rankin'!Y238+'Damage classification-Rankin'!Z238)))</f>
        <v/>
      </c>
      <c r="AB238" s="67"/>
      <c r="AC238" s="67"/>
      <c r="AJ238" s="67"/>
      <c r="AK238" s="67"/>
      <c r="AL238" s="67"/>
      <c r="AM238" s="67"/>
      <c r="AN238" s="67"/>
      <c r="AO238" s="67"/>
      <c r="AP238" s="67"/>
      <c r="AQ238" s="67"/>
      <c r="AR238" s="67"/>
      <c r="AS238" s="67"/>
      <c r="AT238" s="67"/>
      <c r="AU238" s="67"/>
      <c r="AV238" s="67"/>
      <c r="AW238" s="67"/>
      <c r="AX238" s="67"/>
      <c r="AY238" s="67"/>
      <c r="AZ238" s="67"/>
      <c r="BA238" s="67"/>
    </row>
    <row r="239" spans="1:53" ht="13.8" thickBot="1">
      <c r="A239" s="67"/>
      <c r="B239" s="655">
        <f t="shared" si="34"/>
        <v>218</v>
      </c>
      <c r="C239" s="374" t="str">
        <f t="shared" si="35"/>
        <v/>
      </c>
      <c r="D239" s="784" t="str">
        <f t="shared" si="36"/>
        <v/>
      </c>
      <c r="E239" s="784" t="str">
        <f t="shared" si="37"/>
        <v/>
      </c>
      <c r="F239" s="785" t="str">
        <f t="shared" si="38"/>
        <v/>
      </c>
      <c r="G239" s="784" t="str">
        <f t="shared" si="33"/>
        <v/>
      </c>
      <c r="L239" s="67"/>
      <c r="M239" s="67"/>
      <c r="N239" s="67"/>
      <c r="O239" s="67"/>
      <c r="P239" s="67"/>
      <c r="Q239" s="67"/>
      <c r="R239" s="67"/>
      <c r="S239" s="67"/>
      <c r="T239" s="67"/>
      <c r="U239" s="641"/>
      <c r="V239" s="643"/>
      <c r="W239" s="593"/>
      <c r="X239" s="67"/>
      <c r="Y239" s="663" t="str">
        <f>IF(C239="","",('transversal subsidence profile'!$L$5*EXP(-(C239^2)/(2*'transversal subsidence profile'!$J$5^2)))*100)</f>
        <v/>
      </c>
      <c r="Z239" s="664" t="str">
        <f>IF(C239="","",(+'transversal subsidence profile'!$L$6*EXP(-((C239+$G$10)^2)/(2*'transversal subsidence profile'!$J$6^2)))*100)</f>
        <v/>
      </c>
      <c r="AA239" s="751" t="str">
        <f>IF(C239="","",IF('IN-OUT'!$F$26=0,'Damage classification-Rankin'!Z239,IF('IN-OUT'!$F$35=0,Y239,'Damage classification-Rankin'!Y239+'Damage classification-Rankin'!Z239)))</f>
        <v/>
      </c>
      <c r="AB239" s="67"/>
      <c r="AC239" s="67"/>
      <c r="AJ239" s="67"/>
      <c r="AK239" s="67"/>
      <c r="AL239" s="67"/>
      <c r="AM239" s="67"/>
      <c r="AN239" s="67"/>
      <c r="AO239" s="67"/>
      <c r="AP239" s="67"/>
      <c r="AQ239" s="67"/>
      <c r="AR239" s="67"/>
      <c r="AS239" s="67"/>
      <c r="AT239" s="67"/>
      <c r="AU239" s="67"/>
      <c r="AV239" s="67"/>
      <c r="AW239" s="67"/>
      <c r="AX239" s="67"/>
      <c r="AY239" s="67"/>
      <c r="AZ239" s="67"/>
      <c r="BA239" s="67"/>
    </row>
    <row r="240" spans="1:53" ht="13.8" thickBot="1">
      <c r="A240" s="67"/>
      <c r="B240" s="655">
        <f t="shared" si="34"/>
        <v>219</v>
      </c>
      <c r="C240" s="374" t="str">
        <f t="shared" si="35"/>
        <v/>
      </c>
      <c r="D240" s="784" t="str">
        <f t="shared" si="36"/>
        <v/>
      </c>
      <c r="E240" s="784" t="str">
        <f t="shared" si="37"/>
        <v/>
      </c>
      <c r="F240" s="785" t="str">
        <f t="shared" si="38"/>
        <v/>
      </c>
      <c r="G240" s="784" t="str">
        <f t="shared" si="33"/>
        <v/>
      </c>
      <c r="L240" s="67"/>
      <c r="M240" s="67"/>
      <c r="N240" s="67"/>
      <c r="O240" s="67"/>
      <c r="P240" s="67"/>
      <c r="Q240" s="67"/>
      <c r="R240" s="67"/>
      <c r="S240" s="67"/>
      <c r="T240" s="67"/>
      <c r="U240" s="641"/>
      <c r="V240" s="643"/>
      <c r="W240" s="593"/>
      <c r="X240" s="67"/>
      <c r="Y240" s="663" t="str">
        <f>IF(C240="","",('transversal subsidence profile'!$L$5*EXP(-(C240^2)/(2*'transversal subsidence profile'!$J$5^2)))*100)</f>
        <v/>
      </c>
      <c r="Z240" s="664" t="str">
        <f>IF(C240="","",(+'transversal subsidence profile'!$L$6*EXP(-((C240+$G$10)^2)/(2*'transversal subsidence profile'!$J$6^2)))*100)</f>
        <v/>
      </c>
      <c r="AA240" s="751" t="str">
        <f>IF(C240="","",IF('IN-OUT'!$F$26=0,'Damage classification-Rankin'!Z240,IF('IN-OUT'!$F$35=0,Y240,'Damage classification-Rankin'!Y240+'Damage classification-Rankin'!Z240)))</f>
        <v/>
      </c>
      <c r="AB240" s="67"/>
      <c r="AC240" s="67"/>
      <c r="AJ240" s="67"/>
      <c r="AK240" s="67"/>
      <c r="AL240" s="67"/>
      <c r="AM240" s="67"/>
      <c r="AN240" s="67"/>
      <c r="AO240" s="67"/>
      <c r="AP240" s="67"/>
      <c r="AQ240" s="67"/>
      <c r="AR240" s="67"/>
      <c r="AS240" s="67"/>
      <c r="AT240" s="67"/>
      <c r="AU240" s="67"/>
      <c r="AV240" s="67"/>
      <c r="AW240" s="67"/>
      <c r="AX240" s="67"/>
      <c r="AY240" s="67"/>
      <c r="AZ240" s="67"/>
      <c r="BA240" s="67"/>
    </row>
    <row r="241" spans="1:53" ht="13.8" thickBot="1">
      <c r="A241" s="67"/>
      <c r="B241" s="655">
        <f t="shared" si="34"/>
        <v>220</v>
      </c>
      <c r="C241" s="374" t="str">
        <f t="shared" si="35"/>
        <v/>
      </c>
      <c r="D241" s="784" t="str">
        <f t="shared" si="36"/>
        <v/>
      </c>
      <c r="E241" s="784" t="str">
        <f t="shared" si="37"/>
        <v/>
      </c>
      <c r="F241" s="785" t="str">
        <f t="shared" si="38"/>
        <v/>
      </c>
      <c r="G241" s="784" t="str">
        <f t="shared" si="33"/>
        <v/>
      </c>
      <c r="L241" s="67"/>
      <c r="M241" s="67"/>
      <c r="N241" s="67"/>
      <c r="O241" s="67"/>
      <c r="P241" s="67"/>
      <c r="Q241" s="67"/>
      <c r="R241" s="67"/>
      <c r="S241" s="67"/>
      <c r="T241" s="67"/>
      <c r="U241" s="641"/>
      <c r="V241" s="643"/>
      <c r="W241" s="593"/>
      <c r="X241" s="67"/>
      <c r="Y241" s="663" t="str">
        <f>IF(C241="","",('transversal subsidence profile'!$L$5*EXP(-(C241^2)/(2*'transversal subsidence profile'!$J$5^2)))*100)</f>
        <v/>
      </c>
      <c r="Z241" s="664" t="str">
        <f>IF(C241="","",(+'transversal subsidence profile'!$L$6*EXP(-((C241+$G$10)^2)/(2*'transversal subsidence profile'!$J$6^2)))*100)</f>
        <v/>
      </c>
      <c r="AA241" s="751" t="str">
        <f>IF(C241="","",IF('IN-OUT'!$F$26=0,'Damage classification-Rankin'!Z241,IF('IN-OUT'!$F$35=0,Y241,'Damage classification-Rankin'!Y241+'Damage classification-Rankin'!Z241)))</f>
        <v/>
      </c>
      <c r="AB241" s="67"/>
      <c r="AC241" s="67"/>
      <c r="AJ241" s="67"/>
      <c r="AK241" s="67"/>
      <c r="AL241" s="67"/>
      <c r="AM241" s="67"/>
      <c r="AN241" s="67"/>
      <c r="AO241" s="67"/>
      <c r="AP241" s="67"/>
      <c r="AQ241" s="67"/>
      <c r="AR241" s="67"/>
      <c r="AS241" s="67"/>
      <c r="AT241" s="67"/>
      <c r="AU241" s="67"/>
      <c r="AV241" s="67"/>
      <c r="AW241" s="67"/>
      <c r="AX241" s="67"/>
      <c r="AY241" s="67"/>
      <c r="AZ241" s="67"/>
      <c r="BA241" s="67"/>
    </row>
    <row r="242" spans="1:53" ht="13.8" thickBot="1">
      <c r="A242" s="67"/>
      <c r="B242" s="655">
        <f t="shared" si="34"/>
        <v>221</v>
      </c>
      <c r="C242" s="374" t="str">
        <f t="shared" si="35"/>
        <v/>
      </c>
      <c r="D242" s="784" t="str">
        <f t="shared" si="36"/>
        <v/>
      </c>
      <c r="E242" s="784" t="str">
        <f t="shared" si="37"/>
        <v/>
      </c>
      <c r="F242" s="785" t="str">
        <f t="shared" si="38"/>
        <v/>
      </c>
      <c r="G242" s="784" t="str">
        <f t="shared" si="33"/>
        <v/>
      </c>
      <c r="L242" s="67"/>
      <c r="M242" s="67"/>
      <c r="N242" s="67"/>
      <c r="O242" s="67"/>
      <c r="P242" s="67"/>
      <c r="Q242" s="67"/>
      <c r="R242" s="67"/>
      <c r="S242" s="67"/>
      <c r="T242" s="67"/>
      <c r="U242" s="641"/>
      <c r="V242" s="643"/>
      <c r="W242" s="593"/>
      <c r="X242" s="67"/>
      <c r="Y242" s="663" t="str">
        <f>IF(C242="","",('transversal subsidence profile'!$L$5*EXP(-(C242^2)/(2*'transversal subsidence profile'!$J$5^2)))*100)</f>
        <v/>
      </c>
      <c r="Z242" s="664" t="str">
        <f>IF(C242="","",(+'transversal subsidence profile'!$L$6*EXP(-((C242+$G$10)^2)/(2*'transversal subsidence profile'!$J$6^2)))*100)</f>
        <v/>
      </c>
      <c r="AA242" s="751" t="str">
        <f>IF(C242="","",IF('IN-OUT'!$F$26=0,'Damage classification-Rankin'!Z242,IF('IN-OUT'!$F$35=0,Y242,'Damage classification-Rankin'!Y242+'Damage classification-Rankin'!Z242)))</f>
        <v/>
      </c>
      <c r="AB242" s="67"/>
      <c r="AC242" s="67"/>
      <c r="AJ242" s="67"/>
      <c r="AK242" s="67"/>
      <c r="AL242" s="67"/>
      <c r="AM242" s="67"/>
      <c r="AN242" s="67"/>
      <c r="AO242" s="67"/>
      <c r="AP242" s="67"/>
      <c r="AQ242" s="67"/>
      <c r="AR242" s="67"/>
      <c r="AS242" s="67"/>
      <c r="AT242" s="67"/>
      <c r="AU242" s="67"/>
      <c r="AV242" s="67"/>
      <c r="AW242" s="67"/>
      <c r="AX242" s="67"/>
      <c r="AY242" s="67"/>
      <c r="AZ242" s="67"/>
      <c r="BA242" s="67"/>
    </row>
    <row r="243" spans="1:53" ht="13.8" thickBot="1">
      <c r="A243" s="67"/>
      <c r="B243" s="655">
        <f t="shared" si="34"/>
        <v>222</v>
      </c>
      <c r="C243" s="374" t="str">
        <f t="shared" si="35"/>
        <v/>
      </c>
      <c r="D243" s="784" t="str">
        <f t="shared" si="36"/>
        <v/>
      </c>
      <c r="E243" s="784" t="str">
        <f t="shared" si="37"/>
        <v/>
      </c>
      <c r="F243" s="785" t="str">
        <f t="shared" si="38"/>
        <v/>
      </c>
      <c r="G243" s="784" t="str">
        <f t="shared" si="33"/>
        <v/>
      </c>
      <c r="L243" s="67"/>
      <c r="M243" s="67"/>
      <c r="N243" s="67"/>
      <c r="O243" s="67"/>
      <c r="P243" s="67"/>
      <c r="Q243" s="67"/>
      <c r="R243" s="67"/>
      <c r="S243" s="67"/>
      <c r="T243" s="67"/>
      <c r="U243" s="641"/>
      <c r="V243" s="643"/>
      <c r="W243" s="593"/>
      <c r="X243" s="67"/>
      <c r="Y243" s="663" t="str">
        <f>IF(C243="","",('transversal subsidence profile'!$L$5*EXP(-(C243^2)/(2*'transversal subsidence profile'!$J$5^2)))*100)</f>
        <v/>
      </c>
      <c r="Z243" s="664" t="str">
        <f>IF(C243="","",(+'transversal subsidence profile'!$L$6*EXP(-((C243+$G$10)^2)/(2*'transversal subsidence profile'!$J$6^2)))*100)</f>
        <v/>
      </c>
      <c r="AA243" s="751" t="str">
        <f>IF(C243="","",IF('IN-OUT'!$F$26=0,'Damage classification-Rankin'!Z243,IF('IN-OUT'!$F$35=0,Y243,'Damage classification-Rankin'!Y243+'Damage classification-Rankin'!Z243)))</f>
        <v/>
      </c>
      <c r="AB243" s="67"/>
      <c r="AC243" s="67"/>
      <c r="AJ243" s="67"/>
      <c r="AK243" s="67"/>
      <c r="AL243" s="67"/>
      <c r="AM243" s="67"/>
      <c r="AN243" s="67"/>
      <c r="AO243" s="67"/>
      <c r="AP243" s="67"/>
      <c r="AQ243" s="67"/>
      <c r="AR243" s="67"/>
      <c r="AS243" s="67"/>
      <c r="AT243" s="67"/>
      <c r="AU243" s="67"/>
      <c r="AV243" s="67"/>
      <c r="AW243" s="67"/>
      <c r="AX243" s="67"/>
      <c r="AY243" s="67"/>
      <c r="AZ243" s="67"/>
      <c r="BA243" s="67"/>
    </row>
    <row r="244" spans="1:53" ht="13.8" thickBot="1">
      <c r="A244" s="67"/>
      <c r="B244" s="655">
        <f t="shared" si="34"/>
        <v>223</v>
      </c>
      <c r="C244" s="374" t="str">
        <f t="shared" si="35"/>
        <v/>
      </c>
      <c r="D244" s="784" t="str">
        <f t="shared" si="36"/>
        <v/>
      </c>
      <c r="E244" s="784" t="str">
        <f t="shared" si="37"/>
        <v/>
      </c>
      <c r="F244" s="785" t="str">
        <f t="shared" si="38"/>
        <v/>
      </c>
      <c r="G244" s="784" t="str">
        <f t="shared" si="33"/>
        <v/>
      </c>
      <c r="L244" s="67"/>
      <c r="M244" s="67"/>
      <c r="N244" s="67"/>
      <c r="O244" s="67"/>
      <c r="P244" s="67"/>
      <c r="Q244" s="67"/>
      <c r="R244" s="67"/>
      <c r="S244" s="67"/>
      <c r="T244" s="67"/>
      <c r="U244" s="641"/>
      <c r="V244" s="643"/>
      <c r="W244" s="593"/>
      <c r="X244" s="67"/>
      <c r="Y244" s="663" t="str">
        <f>IF(C244="","",('transversal subsidence profile'!$L$5*EXP(-(C244^2)/(2*'transversal subsidence profile'!$J$5^2)))*100)</f>
        <v/>
      </c>
      <c r="Z244" s="664" t="str">
        <f>IF(C244="","",(+'transversal subsidence profile'!$L$6*EXP(-((C244+$G$10)^2)/(2*'transversal subsidence profile'!$J$6^2)))*100)</f>
        <v/>
      </c>
      <c r="AA244" s="751" t="str">
        <f>IF(C244="","",IF('IN-OUT'!$F$26=0,'Damage classification-Rankin'!Z244,IF('IN-OUT'!$F$35=0,Y244,'Damage classification-Rankin'!Y244+'Damage classification-Rankin'!Z244)))</f>
        <v/>
      </c>
      <c r="AB244" s="67"/>
      <c r="AC244" s="67"/>
      <c r="AJ244" s="67"/>
      <c r="AK244" s="67"/>
      <c r="AL244" s="67"/>
      <c r="AM244" s="67"/>
      <c r="AN244" s="67"/>
      <c r="AO244" s="67"/>
      <c r="AP244" s="67"/>
      <c r="AQ244" s="67"/>
      <c r="AR244" s="67"/>
      <c r="AS244" s="67"/>
      <c r="AT244" s="67"/>
      <c r="AU244" s="67"/>
      <c r="AV244" s="67"/>
      <c r="AW244" s="67"/>
      <c r="AX244" s="67"/>
      <c r="AY244" s="67"/>
      <c r="AZ244" s="67"/>
      <c r="BA244" s="67"/>
    </row>
    <row r="245" spans="1:53" ht="13.8" thickBot="1">
      <c r="A245" s="67"/>
      <c r="B245" s="655">
        <f t="shared" si="34"/>
        <v>224</v>
      </c>
      <c r="C245" s="374" t="str">
        <f t="shared" si="35"/>
        <v/>
      </c>
      <c r="D245" s="784" t="str">
        <f t="shared" si="36"/>
        <v/>
      </c>
      <c r="E245" s="784" t="str">
        <f t="shared" si="37"/>
        <v/>
      </c>
      <c r="F245" s="785" t="str">
        <f t="shared" si="38"/>
        <v/>
      </c>
      <c r="G245" s="784" t="str">
        <f t="shared" si="33"/>
        <v/>
      </c>
      <c r="L245" s="67"/>
      <c r="M245" s="67"/>
      <c r="N245" s="67"/>
      <c r="O245" s="67"/>
      <c r="P245" s="67"/>
      <c r="Q245" s="67"/>
      <c r="R245" s="67"/>
      <c r="S245" s="67"/>
      <c r="T245" s="67"/>
      <c r="U245" s="641"/>
      <c r="V245" s="643"/>
      <c r="W245" s="593"/>
      <c r="X245" s="67"/>
      <c r="Y245" s="663" t="str">
        <f>IF(C245="","",('transversal subsidence profile'!$L$5*EXP(-(C245^2)/(2*'transversal subsidence profile'!$J$5^2)))*100)</f>
        <v/>
      </c>
      <c r="Z245" s="664" t="str">
        <f>IF(C245="","",(+'transversal subsidence profile'!$L$6*EXP(-((C245+$G$10)^2)/(2*'transversal subsidence profile'!$J$6^2)))*100)</f>
        <v/>
      </c>
      <c r="AA245" s="751" t="str">
        <f>IF(C245="","",IF('IN-OUT'!$F$26=0,'Damage classification-Rankin'!Z245,IF('IN-OUT'!$F$35=0,Y245,'Damage classification-Rankin'!Y245+'Damage classification-Rankin'!Z245)))</f>
        <v/>
      </c>
      <c r="AB245" s="67"/>
      <c r="AC245" s="67"/>
      <c r="AJ245" s="67"/>
      <c r="AK245" s="67"/>
      <c r="AL245" s="67"/>
      <c r="AM245" s="67"/>
      <c r="AN245" s="67"/>
      <c r="AO245" s="67"/>
      <c r="AP245" s="67"/>
      <c r="AQ245" s="67"/>
      <c r="AR245" s="67"/>
      <c r="AS245" s="67"/>
      <c r="AT245" s="67"/>
      <c r="AU245" s="67"/>
      <c r="AV245" s="67"/>
      <c r="AW245" s="67"/>
      <c r="AX245" s="67"/>
      <c r="AY245" s="67"/>
      <c r="AZ245" s="67"/>
      <c r="BA245" s="67"/>
    </row>
    <row r="246" spans="1:53" ht="13.8" thickBot="1">
      <c r="A246" s="67"/>
      <c r="B246" s="655">
        <f t="shared" si="34"/>
        <v>225</v>
      </c>
      <c r="C246" s="374" t="str">
        <f t="shared" si="35"/>
        <v/>
      </c>
      <c r="D246" s="784" t="str">
        <f t="shared" si="36"/>
        <v/>
      </c>
      <c r="E246" s="784" t="str">
        <f t="shared" si="37"/>
        <v/>
      </c>
      <c r="F246" s="785" t="str">
        <f t="shared" si="38"/>
        <v/>
      </c>
      <c r="G246" s="784" t="str">
        <f t="shared" si="33"/>
        <v/>
      </c>
      <c r="L246" s="67"/>
      <c r="M246" s="67"/>
      <c r="N246" s="67"/>
      <c r="O246" s="67"/>
      <c r="P246" s="67"/>
      <c r="Q246" s="67"/>
      <c r="R246" s="67"/>
      <c r="S246" s="67"/>
      <c r="T246" s="67"/>
      <c r="U246" s="641"/>
      <c r="V246" s="643"/>
      <c r="W246" s="593"/>
      <c r="X246" s="67"/>
      <c r="Y246" s="663" t="str">
        <f>IF(C246="","",('transversal subsidence profile'!$L$5*EXP(-(C246^2)/(2*'transversal subsidence profile'!$J$5^2)))*100)</f>
        <v/>
      </c>
      <c r="Z246" s="664" t="str">
        <f>IF(C246="","",(+'transversal subsidence profile'!$L$6*EXP(-((C246+$G$10)^2)/(2*'transversal subsidence profile'!$J$6^2)))*100)</f>
        <v/>
      </c>
      <c r="AA246" s="751" t="str">
        <f>IF(C246="","",IF('IN-OUT'!$F$26=0,'Damage classification-Rankin'!Z246,IF('IN-OUT'!$F$35=0,Y246,'Damage classification-Rankin'!Y246+'Damage classification-Rankin'!Z246)))</f>
        <v/>
      </c>
      <c r="AB246" s="67"/>
      <c r="AC246" s="67"/>
      <c r="AJ246" s="67"/>
      <c r="AK246" s="67"/>
      <c r="AL246" s="67"/>
      <c r="AM246" s="67"/>
      <c r="AN246" s="67"/>
      <c r="AO246" s="67"/>
      <c r="AP246" s="67"/>
      <c r="AQ246" s="67"/>
      <c r="AR246" s="67"/>
      <c r="AS246" s="67"/>
      <c r="AT246" s="67"/>
      <c r="AU246" s="67"/>
      <c r="AV246" s="67"/>
      <c r="AW246" s="67"/>
      <c r="AX246" s="67"/>
      <c r="AY246" s="67"/>
      <c r="AZ246" s="67"/>
      <c r="BA246" s="67"/>
    </row>
    <row r="247" spans="1:53" ht="13.8" thickBot="1">
      <c r="A247" s="67"/>
      <c r="B247" s="655">
        <f t="shared" si="34"/>
        <v>226</v>
      </c>
      <c r="C247" s="374" t="str">
        <f t="shared" si="35"/>
        <v/>
      </c>
      <c r="D247" s="784" t="str">
        <f t="shared" si="36"/>
        <v/>
      </c>
      <c r="E247" s="784" t="str">
        <f t="shared" si="37"/>
        <v/>
      </c>
      <c r="F247" s="785" t="str">
        <f t="shared" si="38"/>
        <v/>
      </c>
      <c r="G247" s="784" t="str">
        <f t="shared" si="33"/>
        <v/>
      </c>
      <c r="L247" s="67"/>
      <c r="M247" s="67"/>
      <c r="N247" s="67"/>
      <c r="O247" s="67"/>
      <c r="P247" s="67"/>
      <c r="Q247" s="67"/>
      <c r="R247" s="67"/>
      <c r="S247" s="67"/>
      <c r="T247" s="67"/>
      <c r="U247" s="641"/>
      <c r="V247" s="643"/>
      <c r="W247" s="593"/>
      <c r="X247" s="67"/>
      <c r="Y247" s="663" t="str">
        <f>IF(C247="","",('transversal subsidence profile'!$L$5*EXP(-(C247^2)/(2*'transversal subsidence profile'!$J$5^2)))*100)</f>
        <v/>
      </c>
      <c r="Z247" s="664" t="str">
        <f>IF(C247="","",(+'transversal subsidence profile'!$L$6*EXP(-((C247+$G$10)^2)/(2*'transversal subsidence profile'!$J$6^2)))*100)</f>
        <v/>
      </c>
      <c r="AA247" s="751" t="str">
        <f>IF(C247="","",IF('IN-OUT'!$F$26=0,'Damage classification-Rankin'!Z247,IF('IN-OUT'!$F$35=0,Y247,'Damage classification-Rankin'!Y247+'Damage classification-Rankin'!Z247)))</f>
        <v/>
      </c>
      <c r="AB247" s="67"/>
      <c r="AC247" s="67"/>
      <c r="AJ247" s="67"/>
      <c r="AK247" s="67"/>
      <c r="AL247" s="67"/>
      <c r="AM247" s="67"/>
      <c r="AN247" s="67"/>
      <c r="AO247" s="67"/>
      <c r="AP247" s="67"/>
      <c r="AQ247" s="67"/>
      <c r="AR247" s="67"/>
      <c r="AS247" s="67"/>
      <c r="AT247" s="67"/>
      <c r="AU247" s="67"/>
      <c r="AV247" s="67"/>
      <c r="AW247" s="67"/>
      <c r="AX247" s="67"/>
      <c r="AY247" s="67"/>
      <c r="AZ247" s="67"/>
      <c r="BA247" s="67"/>
    </row>
    <row r="248" spans="1:53" ht="13.8" thickBot="1">
      <c r="A248" s="67"/>
      <c r="B248" s="655">
        <f t="shared" si="34"/>
        <v>227</v>
      </c>
      <c r="C248" s="374" t="str">
        <f t="shared" si="35"/>
        <v/>
      </c>
      <c r="D248" s="784" t="str">
        <f t="shared" si="36"/>
        <v/>
      </c>
      <c r="E248" s="784" t="str">
        <f t="shared" si="37"/>
        <v/>
      </c>
      <c r="F248" s="785" t="str">
        <f t="shared" si="38"/>
        <v/>
      </c>
      <c r="G248" s="784" t="str">
        <f t="shared" si="33"/>
        <v/>
      </c>
      <c r="L248" s="67"/>
      <c r="M248" s="67"/>
      <c r="N248" s="67"/>
      <c r="O248" s="67"/>
      <c r="P248" s="67"/>
      <c r="Q248" s="67"/>
      <c r="R248" s="67"/>
      <c r="S248" s="67"/>
      <c r="T248" s="67"/>
      <c r="U248" s="641"/>
      <c r="V248" s="643"/>
      <c r="W248" s="593"/>
      <c r="X248" s="67"/>
      <c r="Y248" s="663" t="str">
        <f>IF(C248="","",('transversal subsidence profile'!$L$5*EXP(-(C248^2)/(2*'transversal subsidence profile'!$J$5^2)))*100)</f>
        <v/>
      </c>
      <c r="Z248" s="664" t="str">
        <f>IF(C248="","",(+'transversal subsidence profile'!$L$6*EXP(-((C248+$G$10)^2)/(2*'transversal subsidence profile'!$J$6^2)))*100)</f>
        <v/>
      </c>
      <c r="AA248" s="751" t="str">
        <f>IF(C248="","",IF('IN-OUT'!$F$26=0,'Damage classification-Rankin'!Z248,IF('IN-OUT'!$F$35=0,Y248,'Damage classification-Rankin'!Y248+'Damage classification-Rankin'!Z248)))</f>
        <v/>
      </c>
      <c r="AB248" s="67"/>
      <c r="AC248" s="67"/>
      <c r="AJ248" s="67"/>
      <c r="AK248" s="67"/>
      <c r="AL248" s="67"/>
      <c r="AM248" s="67"/>
      <c r="AN248" s="67"/>
      <c r="AO248" s="67"/>
      <c r="AP248" s="67"/>
      <c r="AQ248" s="67"/>
      <c r="AR248" s="67"/>
      <c r="AS248" s="67"/>
      <c r="AT248" s="67"/>
      <c r="AU248" s="67"/>
      <c r="AV248" s="67"/>
      <c r="AW248" s="67"/>
      <c r="AX248" s="67"/>
      <c r="AY248" s="67"/>
      <c r="AZ248" s="67"/>
      <c r="BA248" s="67"/>
    </row>
    <row r="249" spans="1:53" ht="13.8" thickBot="1">
      <c r="A249" s="67"/>
      <c r="B249" s="655">
        <f t="shared" si="34"/>
        <v>228</v>
      </c>
      <c r="C249" s="374" t="str">
        <f t="shared" si="35"/>
        <v/>
      </c>
      <c r="D249" s="784" t="str">
        <f t="shared" si="36"/>
        <v/>
      </c>
      <c r="E249" s="784" t="str">
        <f t="shared" si="37"/>
        <v/>
      </c>
      <c r="F249" s="785" t="str">
        <f t="shared" si="38"/>
        <v/>
      </c>
      <c r="G249" s="784" t="str">
        <f t="shared" si="33"/>
        <v/>
      </c>
      <c r="L249" s="67"/>
      <c r="M249" s="67"/>
      <c r="N249" s="67"/>
      <c r="O249" s="67"/>
      <c r="P249" s="67"/>
      <c r="Q249" s="67"/>
      <c r="R249" s="67"/>
      <c r="S249" s="67"/>
      <c r="T249" s="67"/>
      <c r="U249" s="641"/>
      <c r="V249" s="643"/>
      <c r="W249" s="593"/>
      <c r="X249" s="67"/>
      <c r="Y249" s="663" t="str">
        <f>IF(C249="","",('transversal subsidence profile'!$L$5*EXP(-(C249^2)/(2*'transversal subsidence profile'!$J$5^2)))*100)</f>
        <v/>
      </c>
      <c r="Z249" s="664" t="str">
        <f>IF(C249="","",(+'transversal subsidence profile'!$L$6*EXP(-((C249+$G$10)^2)/(2*'transversal subsidence profile'!$J$6^2)))*100)</f>
        <v/>
      </c>
      <c r="AA249" s="751" t="str">
        <f>IF(C249="","",IF('IN-OUT'!$F$26=0,'Damage classification-Rankin'!Z249,IF('IN-OUT'!$F$35=0,Y249,'Damage classification-Rankin'!Y249+'Damage classification-Rankin'!Z249)))</f>
        <v/>
      </c>
      <c r="AB249" s="67"/>
      <c r="AC249" s="67"/>
      <c r="AJ249" s="67"/>
      <c r="AK249" s="67"/>
      <c r="AL249" s="67"/>
      <c r="AM249" s="67"/>
      <c r="AN249" s="67"/>
      <c r="AO249" s="67"/>
      <c r="AP249" s="67"/>
      <c r="AQ249" s="67"/>
      <c r="AR249" s="67"/>
      <c r="AS249" s="67"/>
      <c r="AT249" s="67"/>
      <c r="AU249" s="67"/>
      <c r="AV249" s="67"/>
      <c r="AW249" s="67"/>
      <c r="AX249" s="67"/>
      <c r="AY249" s="67"/>
      <c r="AZ249" s="67"/>
      <c r="BA249" s="67"/>
    </row>
    <row r="250" spans="1:53" ht="13.8" thickBot="1">
      <c r="A250" s="67"/>
      <c r="B250" s="655">
        <f t="shared" si="34"/>
        <v>229</v>
      </c>
      <c r="C250" s="374" t="str">
        <f t="shared" si="35"/>
        <v/>
      </c>
      <c r="D250" s="784" t="str">
        <f t="shared" si="36"/>
        <v/>
      </c>
      <c r="E250" s="784" t="str">
        <f t="shared" si="37"/>
        <v/>
      </c>
      <c r="F250" s="785" t="str">
        <f t="shared" si="38"/>
        <v/>
      </c>
      <c r="G250" s="784" t="str">
        <f t="shared" si="33"/>
        <v/>
      </c>
      <c r="L250" s="67"/>
      <c r="M250" s="67"/>
      <c r="N250" s="67"/>
      <c r="O250" s="67"/>
      <c r="P250" s="67"/>
      <c r="Q250" s="67"/>
      <c r="R250" s="67"/>
      <c r="S250" s="67"/>
      <c r="T250" s="67"/>
      <c r="U250" s="641"/>
      <c r="V250" s="643"/>
      <c r="W250" s="593"/>
      <c r="X250" s="67"/>
      <c r="Y250" s="663" t="str">
        <f>IF(C250="","",('transversal subsidence profile'!$L$5*EXP(-(C250^2)/(2*'transversal subsidence profile'!$J$5^2)))*100)</f>
        <v/>
      </c>
      <c r="Z250" s="664" t="str">
        <f>IF(C250="","",(+'transversal subsidence profile'!$L$6*EXP(-((C250+$G$10)^2)/(2*'transversal subsidence profile'!$J$6^2)))*100)</f>
        <v/>
      </c>
      <c r="AA250" s="751" t="str">
        <f>IF(C250="","",IF('IN-OUT'!$F$26=0,'Damage classification-Rankin'!Z250,IF('IN-OUT'!$F$35=0,Y250,'Damage classification-Rankin'!Y250+'Damage classification-Rankin'!Z250)))</f>
        <v/>
      </c>
      <c r="AB250" s="67"/>
      <c r="AC250" s="67"/>
      <c r="AJ250" s="67"/>
      <c r="AK250" s="67"/>
      <c r="AL250" s="67"/>
      <c r="AM250" s="67"/>
      <c r="AN250" s="67"/>
      <c r="AO250" s="67"/>
      <c r="AP250" s="67"/>
      <c r="AQ250" s="67"/>
      <c r="AR250" s="67"/>
      <c r="AS250" s="67"/>
      <c r="AT250" s="67"/>
      <c r="AU250" s="67"/>
      <c r="AV250" s="67"/>
      <c r="AW250" s="67"/>
      <c r="AX250" s="67"/>
      <c r="AY250" s="67"/>
      <c r="AZ250" s="67"/>
      <c r="BA250" s="67"/>
    </row>
    <row r="251" spans="1:53" ht="13.8" thickBot="1">
      <c r="A251" s="67"/>
      <c r="B251" s="655">
        <f t="shared" si="34"/>
        <v>230</v>
      </c>
      <c r="C251" s="374" t="str">
        <f t="shared" si="35"/>
        <v/>
      </c>
      <c r="D251" s="784" t="str">
        <f t="shared" si="36"/>
        <v/>
      </c>
      <c r="E251" s="784" t="str">
        <f t="shared" si="37"/>
        <v/>
      </c>
      <c r="F251" s="785" t="str">
        <f t="shared" si="38"/>
        <v/>
      </c>
      <c r="G251" s="784" t="str">
        <f t="shared" si="33"/>
        <v/>
      </c>
      <c r="L251" s="67"/>
      <c r="M251" s="67"/>
      <c r="N251" s="67"/>
      <c r="O251" s="67"/>
      <c r="P251" s="67"/>
      <c r="Q251" s="67"/>
      <c r="R251" s="67"/>
      <c r="S251" s="67"/>
      <c r="T251" s="67"/>
      <c r="U251" s="641"/>
      <c r="V251" s="643"/>
      <c r="W251" s="593"/>
      <c r="X251" s="67"/>
      <c r="Y251" s="663" t="str">
        <f>IF(C251="","",('transversal subsidence profile'!$L$5*EXP(-(C251^2)/(2*'transversal subsidence profile'!$J$5^2)))*100)</f>
        <v/>
      </c>
      <c r="Z251" s="664" t="str">
        <f>IF(C251="","",(+'transversal subsidence profile'!$L$6*EXP(-((C251+$G$10)^2)/(2*'transversal subsidence profile'!$J$6^2)))*100)</f>
        <v/>
      </c>
      <c r="AA251" s="751" t="str">
        <f>IF(C251="","",IF('IN-OUT'!$F$26=0,'Damage classification-Rankin'!Z251,IF('IN-OUT'!$F$35=0,Y251,'Damage classification-Rankin'!Y251+'Damage classification-Rankin'!Z251)))</f>
        <v/>
      </c>
      <c r="AB251" s="67"/>
      <c r="AC251" s="67"/>
      <c r="AJ251" s="67"/>
      <c r="AK251" s="67"/>
      <c r="AL251" s="67"/>
      <c r="AM251" s="67"/>
      <c r="AN251" s="67"/>
      <c r="AO251" s="67"/>
      <c r="AP251" s="67"/>
      <c r="AQ251" s="67"/>
      <c r="AR251" s="67"/>
      <c r="AS251" s="67"/>
      <c r="AT251" s="67"/>
      <c r="AU251" s="67"/>
      <c r="AV251" s="67"/>
      <c r="AW251" s="67"/>
      <c r="AX251" s="67"/>
      <c r="AY251" s="67"/>
      <c r="AZ251" s="67"/>
      <c r="BA251" s="67"/>
    </row>
    <row r="252" spans="1:53" ht="13.8" thickBot="1">
      <c r="A252" s="67"/>
      <c r="B252" s="655">
        <f t="shared" si="34"/>
        <v>231</v>
      </c>
      <c r="C252" s="374" t="str">
        <f t="shared" si="35"/>
        <v/>
      </c>
      <c r="D252" s="784" t="str">
        <f t="shared" si="36"/>
        <v/>
      </c>
      <c r="E252" s="784" t="str">
        <f t="shared" si="37"/>
        <v/>
      </c>
      <c r="F252" s="785" t="str">
        <f t="shared" si="38"/>
        <v/>
      </c>
      <c r="G252" s="784" t="str">
        <f t="shared" si="33"/>
        <v/>
      </c>
      <c r="L252" s="67"/>
      <c r="M252" s="67"/>
      <c r="N252" s="67"/>
      <c r="O252" s="67"/>
      <c r="P252" s="67"/>
      <c r="Q252" s="67"/>
      <c r="R252" s="67"/>
      <c r="S252" s="67"/>
      <c r="T252" s="67"/>
      <c r="U252" s="641"/>
      <c r="V252" s="643"/>
      <c r="W252" s="593"/>
      <c r="X252" s="67"/>
      <c r="Y252" s="663" t="str">
        <f>IF(C252="","",('transversal subsidence profile'!$L$5*EXP(-(C252^2)/(2*'transversal subsidence profile'!$J$5^2)))*100)</f>
        <v/>
      </c>
      <c r="Z252" s="664" t="str">
        <f>IF(C252="","",(+'transversal subsidence profile'!$L$6*EXP(-((C252+$G$10)^2)/(2*'transversal subsidence profile'!$J$6^2)))*100)</f>
        <v/>
      </c>
      <c r="AA252" s="751" t="str">
        <f>IF(C252="","",IF('IN-OUT'!$F$26=0,'Damage classification-Rankin'!Z252,IF('IN-OUT'!$F$35=0,Y252,'Damage classification-Rankin'!Y252+'Damage classification-Rankin'!Z252)))</f>
        <v/>
      </c>
      <c r="AB252" s="67"/>
      <c r="AC252" s="67"/>
      <c r="AJ252" s="67"/>
      <c r="AK252" s="67"/>
      <c r="AL252" s="67"/>
      <c r="AM252" s="67"/>
      <c r="AN252" s="67"/>
      <c r="AO252" s="67"/>
      <c r="AP252" s="67"/>
      <c r="AQ252" s="67"/>
      <c r="AR252" s="67"/>
      <c r="AS252" s="67"/>
      <c r="AT252" s="67"/>
      <c r="AU252" s="67"/>
      <c r="AV252" s="67"/>
      <c r="AW252" s="67"/>
      <c r="AX252" s="67"/>
      <c r="AY252" s="67"/>
      <c r="AZ252" s="67"/>
      <c r="BA252" s="67"/>
    </row>
    <row r="253" spans="1:53" ht="13.8" thickBot="1">
      <c r="A253" s="67"/>
      <c r="B253" s="655">
        <f t="shared" si="34"/>
        <v>232</v>
      </c>
      <c r="C253" s="374" t="str">
        <f t="shared" si="35"/>
        <v/>
      </c>
      <c r="D253" s="784" t="str">
        <f t="shared" si="36"/>
        <v/>
      </c>
      <c r="E253" s="784" t="str">
        <f t="shared" si="37"/>
        <v/>
      </c>
      <c r="F253" s="785" t="str">
        <f t="shared" si="38"/>
        <v/>
      </c>
      <c r="G253" s="784" t="str">
        <f t="shared" si="33"/>
        <v/>
      </c>
      <c r="L253" s="67"/>
      <c r="M253" s="67"/>
      <c r="N253" s="67"/>
      <c r="O253" s="67"/>
      <c r="P253" s="67"/>
      <c r="Q253" s="67"/>
      <c r="R253" s="67"/>
      <c r="S253" s="67"/>
      <c r="T253" s="67"/>
      <c r="U253" s="641"/>
      <c r="V253" s="643"/>
      <c r="W253" s="593"/>
      <c r="X253" s="67"/>
      <c r="Y253" s="663" t="str">
        <f>IF(C253="","",('transversal subsidence profile'!$L$5*EXP(-(C253^2)/(2*'transversal subsidence profile'!$J$5^2)))*100)</f>
        <v/>
      </c>
      <c r="Z253" s="664" t="str">
        <f>IF(C253="","",(+'transversal subsidence profile'!$L$6*EXP(-((C253+$G$10)^2)/(2*'transversal subsidence profile'!$J$6^2)))*100)</f>
        <v/>
      </c>
      <c r="AA253" s="751" t="str">
        <f>IF(C253="","",IF('IN-OUT'!$F$26=0,'Damage classification-Rankin'!Z253,IF('IN-OUT'!$F$35=0,Y253,'Damage classification-Rankin'!Y253+'Damage classification-Rankin'!Z253)))</f>
        <v/>
      </c>
      <c r="AB253" s="67"/>
      <c r="AC253" s="67"/>
      <c r="AJ253" s="67"/>
      <c r="AK253" s="67"/>
      <c r="AL253" s="67"/>
      <c r="AM253" s="67"/>
      <c r="AN253" s="67"/>
      <c r="AO253" s="67"/>
      <c r="AP253" s="67"/>
      <c r="AQ253" s="67"/>
      <c r="AR253" s="67"/>
      <c r="AS253" s="67"/>
      <c r="AT253" s="67"/>
      <c r="AU253" s="67"/>
      <c r="AV253" s="67"/>
      <c r="AW253" s="67"/>
      <c r="AX253" s="67"/>
      <c r="AY253" s="67"/>
      <c r="AZ253" s="67"/>
      <c r="BA253" s="67"/>
    </row>
    <row r="254" spans="1:53" ht="13.8" thickBot="1">
      <c r="A254" s="67"/>
      <c r="B254" s="655">
        <f t="shared" si="34"/>
        <v>233</v>
      </c>
      <c r="C254" s="374" t="str">
        <f t="shared" si="35"/>
        <v/>
      </c>
      <c r="D254" s="784" t="str">
        <f t="shared" si="36"/>
        <v/>
      </c>
      <c r="E254" s="784" t="str">
        <f t="shared" si="37"/>
        <v/>
      </c>
      <c r="F254" s="785" t="str">
        <f t="shared" si="38"/>
        <v/>
      </c>
      <c r="G254" s="784" t="str">
        <f t="shared" si="33"/>
        <v/>
      </c>
      <c r="L254" s="67"/>
      <c r="M254" s="67"/>
      <c r="N254" s="67"/>
      <c r="O254" s="67"/>
      <c r="P254" s="67"/>
      <c r="Q254" s="67"/>
      <c r="R254" s="67"/>
      <c r="S254" s="67"/>
      <c r="T254" s="67"/>
      <c r="U254" s="641"/>
      <c r="V254" s="643"/>
      <c r="W254" s="593"/>
      <c r="X254" s="67"/>
      <c r="Y254" s="663" t="str">
        <f>IF(C254="","",('transversal subsidence profile'!$L$5*EXP(-(C254^2)/(2*'transversal subsidence profile'!$J$5^2)))*100)</f>
        <v/>
      </c>
      <c r="Z254" s="664" t="str">
        <f>IF(C254="","",(+'transversal subsidence profile'!$L$6*EXP(-((C254+$G$10)^2)/(2*'transversal subsidence profile'!$J$6^2)))*100)</f>
        <v/>
      </c>
      <c r="AA254" s="751" t="str">
        <f>IF(C254="","",IF('IN-OUT'!$F$26=0,'Damage classification-Rankin'!Z254,IF('IN-OUT'!$F$35=0,Y254,'Damage classification-Rankin'!Y254+'Damage classification-Rankin'!Z254)))</f>
        <v/>
      </c>
      <c r="AB254" s="67"/>
      <c r="AC254" s="67"/>
      <c r="AJ254" s="67"/>
      <c r="AK254" s="67"/>
      <c r="AL254" s="67"/>
      <c r="AM254" s="67"/>
      <c r="AN254" s="67"/>
      <c r="AO254" s="67"/>
      <c r="AP254" s="67"/>
      <c r="AQ254" s="67"/>
      <c r="AR254" s="67"/>
      <c r="AS254" s="67"/>
      <c r="AT254" s="67"/>
      <c r="AU254" s="67"/>
      <c r="AV254" s="67"/>
      <c r="AW254" s="67"/>
      <c r="AX254" s="67"/>
      <c r="AY254" s="67"/>
      <c r="AZ254" s="67"/>
      <c r="BA254" s="67"/>
    </row>
    <row r="255" spans="1:53" ht="13.8" thickBot="1">
      <c r="A255" s="67"/>
      <c r="B255" s="655">
        <f t="shared" si="34"/>
        <v>234</v>
      </c>
      <c r="C255" s="374" t="str">
        <f t="shared" si="35"/>
        <v/>
      </c>
      <c r="D255" s="784" t="str">
        <f t="shared" si="36"/>
        <v/>
      </c>
      <c r="E255" s="784" t="str">
        <f t="shared" si="37"/>
        <v/>
      </c>
      <c r="F255" s="785" t="str">
        <f t="shared" si="38"/>
        <v/>
      </c>
      <c r="G255" s="784" t="str">
        <f t="shared" si="33"/>
        <v/>
      </c>
      <c r="L255" s="67"/>
      <c r="M255" s="67"/>
      <c r="N255" s="67"/>
      <c r="O255" s="67"/>
      <c r="P255" s="67"/>
      <c r="Q255" s="67"/>
      <c r="R255" s="67"/>
      <c r="S255" s="67"/>
      <c r="T255" s="67"/>
      <c r="U255" s="641"/>
      <c r="V255" s="643"/>
      <c r="W255" s="593"/>
      <c r="X255" s="67"/>
      <c r="Y255" s="663" t="str">
        <f>IF(C255="","",('transversal subsidence profile'!$L$5*EXP(-(C255^2)/(2*'transversal subsidence profile'!$J$5^2)))*100)</f>
        <v/>
      </c>
      <c r="Z255" s="664" t="str">
        <f>IF(C255="","",(+'transversal subsidence profile'!$L$6*EXP(-((C255+$G$10)^2)/(2*'transversal subsidence profile'!$J$6^2)))*100)</f>
        <v/>
      </c>
      <c r="AA255" s="751" t="str">
        <f>IF(C255="","",IF('IN-OUT'!$F$26=0,'Damage classification-Rankin'!Z255,IF('IN-OUT'!$F$35=0,Y255,'Damage classification-Rankin'!Y255+'Damage classification-Rankin'!Z255)))</f>
        <v/>
      </c>
      <c r="AB255" s="67"/>
      <c r="AC255" s="67"/>
      <c r="AJ255" s="67"/>
      <c r="AK255" s="67"/>
      <c r="AL255" s="67"/>
      <c r="AM255" s="67"/>
      <c r="AN255" s="67"/>
      <c r="AO255" s="67"/>
      <c r="AP255" s="67"/>
      <c r="AQ255" s="67"/>
      <c r="AR255" s="67"/>
      <c r="AS255" s="67"/>
      <c r="AT255" s="67"/>
      <c r="AU255" s="67"/>
      <c r="AV255" s="67"/>
      <c r="AW255" s="67"/>
      <c r="AX255" s="67"/>
      <c r="AY255" s="67"/>
      <c r="AZ255" s="67"/>
      <c r="BA255" s="67"/>
    </row>
    <row r="256" spans="1:53" ht="13.8" thickBot="1">
      <c r="A256" s="67"/>
      <c r="B256" s="655">
        <f t="shared" si="34"/>
        <v>235</v>
      </c>
      <c r="C256" s="374" t="str">
        <f t="shared" si="35"/>
        <v/>
      </c>
      <c r="D256" s="784" t="str">
        <f t="shared" si="36"/>
        <v/>
      </c>
      <c r="E256" s="784" t="str">
        <f t="shared" si="37"/>
        <v/>
      </c>
      <c r="F256" s="785" t="str">
        <f t="shared" si="38"/>
        <v/>
      </c>
      <c r="G256" s="784" t="str">
        <f t="shared" si="33"/>
        <v/>
      </c>
      <c r="L256" s="67"/>
      <c r="M256" s="67"/>
      <c r="N256" s="67"/>
      <c r="O256" s="67"/>
      <c r="P256" s="67"/>
      <c r="Q256" s="67"/>
      <c r="R256" s="67"/>
      <c r="S256" s="67"/>
      <c r="T256" s="67"/>
      <c r="U256" s="641"/>
      <c r="V256" s="643"/>
      <c r="W256" s="593"/>
      <c r="X256" s="67"/>
      <c r="Y256" s="663" t="str">
        <f>IF(C256="","",('transversal subsidence profile'!$L$5*EXP(-(C256^2)/(2*'transversal subsidence profile'!$J$5^2)))*100)</f>
        <v/>
      </c>
      <c r="Z256" s="664" t="str">
        <f>IF(C256="","",(+'transversal subsidence profile'!$L$6*EXP(-((C256+$G$10)^2)/(2*'transversal subsidence profile'!$J$6^2)))*100)</f>
        <v/>
      </c>
      <c r="AA256" s="751" t="str">
        <f>IF(C256="","",IF('IN-OUT'!$F$26=0,'Damage classification-Rankin'!Z256,IF('IN-OUT'!$F$35=0,Y256,'Damage classification-Rankin'!Y256+'Damage classification-Rankin'!Z256)))</f>
        <v/>
      </c>
      <c r="AB256" s="67"/>
      <c r="AC256" s="67"/>
      <c r="AJ256" s="67"/>
      <c r="AK256" s="67"/>
      <c r="AL256" s="67"/>
      <c r="AM256" s="67"/>
      <c r="AN256" s="67"/>
      <c r="AO256" s="67"/>
      <c r="AP256" s="67"/>
      <c r="AQ256" s="67"/>
      <c r="AR256" s="67"/>
      <c r="AS256" s="67"/>
      <c r="AT256" s="67"/>
      <c r="AU256" s="67"/>
      <c r="AV256" s="67"/>
      <c r="AW256" s="67"/>
      <c r="AX256" s="67"/>
      <c r="AY256" s="67"/>
      <c r="AZ256" s="67"/>
      <c r="BA256" s="67"/>
    </row>
    <row r="257" spans="1:53" ht="13.8" thickBot="1">
      <c r="A257" s="67"/>
      <c r="B257" s="655">
        <f t="shared" si="34"/>
        <v>236</v>
      </c>
      <c r="C257" s="374" t="str">
        <f t="shared" si="35"/>
        <v/>
      </c>
      <c r="D257" s="784" t="str">
        <f t="shared" si="36"/>
        <v/>
      </c>
      <c r="E257" s="784" t="str">
        <f t="shared" si="37"/>
        <v/>
      </c>
      <c r="F257" s="785" t="str">
        <f t="shared" si="38"/>
        <v/>
      </c>
      <c r="G257" s="784" t="str">
        <f t="shared" si="33"/>
        <v/>
      </c>
      <c r="L257" s="67"/>
      <c r="M257" s="67"/>
      <c r="N257" s="67"/>
      <c r="O257" s="67"/>
      <c r="P257" s="67"/>
      <c r="Q257" s="67"/>
      <c r="R257" s="67"/>
      <c r="S257" s="67"/>
      <c r="T257" s="67"/>
      <c r="U257" s="641"/>
      <c r="V257" s="643"/>
      <c r="W257" s="593"/>
      <c r="X257" s="67"/>
      <c r="Y257" s="663" t="str">
        <f>IF(C257="","",('transversal subsidence profile'!$L$5*EXP(-(C257^2)/(2*'transversal subsidence profile'!$J$5^2)))*100)</f>
        <v/>
      </c>
      <c r="Z257" s="664" t="str">
        <f>IF(C257="","",(+'transversal subsidence profile'!$L$6*EXP(-((C257+$G$10)^2)/(2*'transversal subsidence profile'!$J$6^2)))*100)</f>
        <v/>
      </c>
      <c r="AA257" s="751" t="str">
        <f>IF(C257="","",IF('IN-OUT'!$F$26=0,'Damage classification-Rankin'!Z257,IF('IN-OUT'!$F$35=0,Y257,'Damage classification-Rankin'!Y257+'Damage classification-Rankin'!Z257)))</f>
        <v/>
      </c>
      <c r="AB257" s="67"/>
      <c r="AC257" s="67"/>
      <c r="AJ257" s="67"/>
      <c r="AK257" s="67"/>
      <c r="AL257" s="67"/>
      <c r="AM257" s="67"/>
      <c r="AN257" s="67"/>
      <c r="AO257" s="67"/>
      <c r="AP257" s="67"/>
      <c r="AQ257" s="67"/>
      <c r="AR257" s="67"/>
      <c r="AS257" s="67"/>
      <c r="AT257" s="67"/>
      <c r="AU257" s="67"/>
      <c r="AV257" s="67"/>
      <c r="AW257" s="67"/>
      <c r="AX257" s="67"/>
      <c r="AY257" s="67"/>
      <c r="AZ257" s="67"/>
      <c r="BA257" s="67"/>
    </row>
    <row r="258" spans="1:53" ht="13.8" thickBot="1">
      <c r="A258" s="67"/>
      <c r="B258" s="655">
        <f t="shared" si="34"/>
        <v>237</v>
      </c>
      <c r="C258" s="374" t="str">
        <f t="shared" si="35"/>
        <v/>
      </c>
      <c r="D258" s="784" t="str">
        <f t="shared" si="36"/>
        <v/>
      </c>
      <c r="E258" s="784" t="str">
        <f t="shared" si="37"/>
        <v/>
      </c>
      <c r="F258" s="785" t="str">
        <f t="shared" si="38"/>
        <v/>
      </c>
      <c r="G258" s="784" t="str">
        <f t="shared" si="33"/>
        <v/>
      </c>
      <c r="J258" s="612"/>
      <c r="L258" s="67"/>
      <c r="M258" s="67"/>
      <c r="N258" s="67"/>
      <c r="O258" s="67"/>
      <c r="P258" s="67"/>
      <c r="Q258" s="67"/>
      <c r="R258" s="67"/>
      <c r="S258" s="67"/>
      <c r="T258" s="67"/>
      <c r="U258" s="641"/>
      <c r="V258" s="643"/>
      <c r="W258" s="593"/>
      <c r="X258" s="67"/>
      <c r="Y258" s="663" t="str">
        <f>IF(C258="","",('transversal subsidence profile'!$L$5*EXP(-(C258^2)/(2*'transversal subsidence profile'!$J$5^2)))*100)</f>
        <v/>
      </c>
      <c r="Z258" s="664" t="str">
        <f>IF(C258="","",(+'transversal subsidence profile'!$L$6*EXP(-((C258+$G$10)^2)/(2*'transversal subsidence profile'!$J$6^2)))*100)</f>
        <v/>
      </c>
      <c r="AA258" s="751" t="str">
        <f>IF(C258="","",IF('IN-OUT'!$F$26=0,'Damage classification-Rankin'!Z258,IF('IN-OUT'!$F$35=0,Y258,'Damage classification-Rankin'!Y258+'Damage classification-Rankin'!Z258)))</f>
        <v/>
      </c>
      <c r="AB258" s="67"/>
      <c r="AC258" s="67"/>
      <c r="AJ258" s="67"/>
      <c r="AK258" s="67"/>
      <c r="AL258" s="67"/>
      <c r="AM258" s="67"/>
      <c r="AN258" s="67"/>
      <c r="AO258" s="67"/>
      <c r="AP258" s="67"/>
      <c r="AQ258" s="67"/>
      <c r="AR258" s="67"/>
      <c r="AS258" s="67"/>
      <c r="AT258" s="67"/>
      <c r="AU258" s="67"/>
      <c r="AV258" s="67"/>
      <c r="AW258" s="67"/>
      <c r="AX258" s="67"/>
      <c r="AY258" s="67"/>
      <c r="AZ258" s="67"/>
      <c r="BA258" s="67"/>
    </row>
    <row r="259" spans="1:53" ht="13.8" thickBot="1">
      <c r="A259" s="67"/>
      <c r="B259" s="655">
        <f t="shared" si="34"/>
        <v>238</v>
      </c>
      <c r="C259" s="374" t="str">
        <f t="shared" si="35"/>
        <v/>
      </c>
      <c r="D259" s="784" t="str">
        <f t="shared" si="36"/>
        <v/>
      </c>
      <c r="E259" s="784" t="str">
        <f t="shared" si="37"/>
        <v/>
      </c>
      <c r="F259" s="785" t="str">
        <f t="shared" si="38"/>
        <v/>
      </c>
      <c r="G259" s="784" t="str">
        <f t="shared" si="33"/>
        <v/>
      </c>
      <c r="J259" s="612"/>
      <c r="L259" s="67"/>
      <c r="M259" s="67"/>
      <c r="N259" s="67"/>
      <c r="O259" s="67"/>
      <c r="P259" s="67"/>
      <c r="Q259" s="67"/>
      <c r="R259" s="67"/>
      <c r="S259" s="67"/>
      <c r="T259" s="67"/>
      <c r="U259" s="641"/>
      <c r="V259" s="643"/>
      <c r="W259" s="593"/>
      <c r="X259" s="67"/>
      <c r="Y259" s="663" t="str">
        <f>IF(C259="","",('transversal subsidence profile'!$L$5*EXP(-(C259^2)/(2*'transversal subsidence profile'!$J$5^2)))*100)</f>
        <v/>
      </c>
      <c r="Z259" s="664" t="str">
        <f>IF(C259="","",(+'transversal subsidence profile'!$L$6*EXP(-((C259+$G$10)^2)/(2*'transversal subsidence profile'!$J$6^2)))*100)</f>
        <v/>
      </c>
      <c r="AA259" s="751" t="str">
        <f>IF(C259="","",IF('IN-OUT'!$F$26=0,'Damage classification-Rankin'!Z259,IF('IN-OUT'!$F$35=0,Y259,'Damage classification-Rankin'!Y259+'Damage classification-Rankin'!Z259)))</f>
        <v/>
      </c>
      <c r="AB259" s="67"/>
      <c r="AC259" s="67"/>
      <c r="AJ259" s="67"/>
      <c r="AK259" s="67"/>
      <c r="AL259" s="67"/>
      <c r="AM259" s="67"/>
      <c r="AN259" s="67"/>
      <c r="AO259" s="67"/>
      <c r="AP259" s="67"/>
      <c r="AQ259" s="67"/>
      <c r="AR259" s="67"/>
      <c r="AS259" s="67"/>
      <c r="AT259" s="67"/>
      <c r="AU259" s="67"/>
      <c r="AV259" s="67"/>
      <c r="AW259" s="67"/>
      <c r="AX259" s="67"/>
      <c r="AY259" s="67"/>
      <c r="AZ259" s="67"/>
      <c r="BA259" s="67"/>
    </row>
    <row r="260" spans="1:53" ht="13.8" thickBot="1">
      <c r="A260" s="67"/>
      <c r="B260" s="655">
        <f t="shared" si="34"/>
        <v>239</v>
      </c>
      <c r="C260" s="374" t="str">
        <f t="shared" si="35"/>
        <v/>
      </c>
      <c r="D260" s="784" t="str">
        <f t="shared" si="36"/>
        <v/>
      </c>
      <c r="E260" s="784" t="str">
        <f t="shared" si="37"/>
        <v/>
      </c>
      <c r="F260" s="785" t="str">
        <f t="shared" si="38"/>
        <v/>
      </c>
      <c r="G260" s="784" t="str">
        <f t="shared" si="33"/>
        <v/>
      </c>
      <c r="J260" s="612"/>
      <c r="L260" s="67"/>
      <c r="M260" s="67"/>
      <c r="N260" s="67"/>
      <c r="O260" s="67"/>
      <c r="P260" s="67"/>
      <c r="Q260" s="67"/>
      <c r="R260" s="67"/>
      <c r="S260" s="67"/>
      <c r="T260" s="67"/>
      <c r="U260" s="641"/>
      <c r="V260" s="643"/>
      <c r="W260" s="593"/>
      <c r="X260" s="67"/>
      <c r="Y260" s="663" t="str">
        <f>IF(C260="","",('transversal subsidence profile'!$L$5*EXP(-(C260^2)/(2*'transversal subsidence profile'!$J$5^2)))*100)</f>
        <v/>
      </c>
      <c r="Z260" s="664" t="str">
        <f>IF(C260="","",(+'transversal subsidence profile'!$L$6*EXP(-((C260+$G$10)^2)/(2*'transversal subsidence profile'!$J$6^2)))*100)</f>
        <v/>
      </c>
      <c r="AA260" s="751" t="str">
        <f>IF(C260="","",IF('IN-OUT'!$F$26=0,'Damage classification-Rankin'!Z260,IF('IN-OUT'!$F$35=0,Y260,'Damage classification-Rankin'!Y260+'Damage classification-Rankin'!Z260)))</f>
        <v/>
      </c>
      <c r="AB260" s="67"/>
      <c r="AC260" s="67"/>
      <c r="AJ260" s="67"/>
      <c r="AK260" s="67"/>
      <c r="AL260" s="67"/>
      <c r="AM260" s="67"/>
      <c r="AN260" s="67"/>
      <c r="AO260" s="67"/>
      <c r="AP260" s="67"/>
      <c r="AQ260" s="67"/>
      <c r="AR260" s="67"/>
      <c r="AS260" s="67"/>
      <c r="AT260" s="67"/>
      <c r="AU260" s="67"/>
      <c r="AV260" s="67"/>
      <c r="AW260" s="67"/>
      <c r="AX260" s="67"/>
      <c r="AY260" s="67"/>
      <c r="AZ260" s="67"/>
      <c r="BA260" s="67"/>
    </row>
    <row r="261" spans="1:53" ht="13.8" thickBot="1">
      <c r="A261" s="67"/>
      <c r="B261" s="655">
        <f t="shared" si="34"/>
        <v>240</v>
      </c>
      <c r="C261" s="374" t="str">
        <f t="shared" si="35"/>
        <v/>
      </c>
      <c r="D261" s="784" t="str">
        <f t="shared" si="36"/>
        <v/>
      </c>
      <c r="E261" s="784" t="str">
        <f t="shared" si="37"/>
        <v/>
      </c>
      <c r="F261" s="785" t="str">
        <f t="shared" si="38"/>
        <v/>
      </c>
      <c r="G261" s="784" t="str">
        <f t="shared" si="33"/>
        <v/>
      </c>
      <c r="J261" s="612"/>
      <c r="L261" s="67"/>
      <c r="M261" s="67"/>
      <c r="N261" s="67"/>
      <c r="O261" s="67"/>
      <c r="P261" s="67"/>
      <c r="Q261" s="67"/>
      <c r="R261" s="67"/>
      <c r="S261" s="67"/>
      <c r="T261" s="67"/>
      <c r="U261" s="641"/>
      <c r="V261" s="643"/>
      <c r="W261" s="593"/>
      <c r="X261" s="67"/>
      <c r="Y261" s="663" t="str">
        <f>IF(C261="","",('transversal subsidence profile'!$L$5*EXP(-(C261^2)/(2*'transversal subsidence profile'!$J$5^2)))*100)</f>
        <v/>
      </c>
      <c r="Z261" s="664" t="str">
        <f>IF(C261="","",(+'transversal subsidence profile'!$L$6*EXP(-((C261+$G$10)^2)/(2*'transversal subsidence profile'!$J$6^2)))*100)</f>
        <v/>
      </c>
      <c r="AA261" s="751" t="str">
        <f>IF(C261="","",IF('IN-OUT'!$F$26=0,'Damage classification-Rankin'!Z261,IF('IN-OUT'!$F$35=0,Y261,'Damage classification-Rankin'!Y261+'Damage classification-Rankin'!Z261)))</f>
        <v/>
      </c>
      <c r="AB261" s="67"/>
      <c r="AC261" s="67"/>
      <c r="AJ261" s="67"/>
      <c r="AK261" s="67"/>
      <c r="AL261" s="67"/>
      <c r="AM261" s="67"/>
      <c r="AN261" s="67"/>
      <c r="AO261" s="67"/>
      <c r="AP261" s="67"/>
      <c r="AQ261" s="67"/>
      <c r="AR261" s="67"/>
      <c r="AS261" s="67"/>
      <c r="AT261" s="67"/>
      <c r="AU261" s="67"/>
      <c r="AV261" s="67"/>
      <c r="AW261" s="67"/>
      <c r="AX261" s="67"/>
      <c r="AY261" s="67"/>
      <c r="AZ261" s="67"/>
      <c r="BA261" s="67"/>
    </row>
    <row r="262" spans="1:53" ht="13.8" thickBot="1">
      <c r="A262" s="67"/>
      <c r="B262" s="655">
        <f t="shared" si="34"/>
        <v>241</v>
      </c>
      <c r="C262" s="374" t="str">
        <f t="shared" si="35"/>
        <v/>
      </c>
      <c r="D262" s="784" t="str">
        <f t="shared" si="36"/>
        <v/>
      </c>
      <c r="E262" s="784" t="str">
        <f t="shared" si="37"/>
        <v/>
      </c>
      <c r="F262" s="785" t="str">
        <f t="shared" si="38"/>
        <v/>
      </c>
      <c r="G262" s="784" t="str">
        <f t="shared" si="33"/>
        <v/>
      </c>
      <c r="J262" s="612"/>
      <c r="L262" s="67"/>
      <c r="M262" s="67"/>
      <c r="N262" s="67"/>
      <c r="O262" s="67"/>
      <c r="P262" s="67"/>
      <c r="Q262" s="67"/>
      <c r="R262" s="67"/>
      <c r="S262" s="67"/>
      <c r="T262" s="67"/>
      <c r="U262" s="641"/>
      <c r="V262" s="643"/>
      <c r="W262" s="593"/>
      <c r="X262" s="67"/>
      <c r="Y262" s="663" t="str">
        <f>IF(C262="","",('transversal subsidence profile'!$L$5*EXP(-(C262^2)/(2*'transversal subsidence profile'!$J$5^2)))*100)</f>
        <v/>
      </c>
      <c r="Z262" s="664" t="str">
        <f>IF(C262="","",(+'transversal subsidence profile'!$L$6*EXP(-((C262+$G$10)^2)/(2*'transversal subsidence profile'!$J$6^2)))*100)</f>
        <v/>
      </c>
      <c r="AA262" s="751" t="str">
        <f>IF(C262="","",IF('IN-OUT'!$F$26=0,'Damage classification-Rankin'!Z262,IF('IN-OUT'!$F$35=0,Y262,'Damage classification-Rankin'!Y262+'Damage classification-Rankin'!Z262)))</f>
        <v/>
      </c>
      <c r="AB262" s="67"/>
      <c r="AC262" s="67"/>
      <c r="AJ262" s="67"/>
      <c r="AK262" s="67"/>
      <c r="AL262" s="67"/>
      <c r="AM262" s="67"/>
      <c r="AN262" s="67"/>
      <c r="AO262" s="67"/>
      <c r="AP262" s="67"/>
      <c r="AQ262" s="67"/>
      <c r="AR262" s="67"/>
      <c r="AS262" s="67"/>
      <c r="AT262" s="67"/>
      <c r="AU262" s="67"/>
      <c r="AV262" s="67"/>
      <c r="AW262" s="67"/>
      <c r="AX262" s="67"/>
      <c r="AY262" s="67"/>
      <c r="AZ262" s="67"/>
      <c r="BA262" s="67"/>
    </row>
    <row r="263" spans="1:53" ht="13.8" thickBot="1">
      <c r="A263" s="67"/>
      <c r="B263" s="655">
        <f t="shared" si="34"/>
        <v>242</v>
      </c>
      <c r="C263" s="374" t="str">
        <f t="shared" si="35"/>
        <v/>
      </c>
      <c r="D263" s="784" t="str">
        <f t="shared" si="36"/>
        <v/>
      </c>
      <c r="E263" s="784" t="str">
        <f t="shared" si="37"/>
        <v/>
      </c>
      <c r="F263" s="785" t="str">
        <f t="shared" si="38"/>
        <v/>
      </c>
      <c r="G263" s="784" t="str">
        <f t="shared" si="33"/>
        <v/>
      </c>
      <c r="J263" s="612"/>
      <c r="L263" s="67"/>
      <c r="M263" s="67"/>
      <c r="N263" s="67"/>
      <c r="O263" s="67"/>
      <c r="P263" s="67"/>
      <c r="Q263" s="67"/>
      <c r="R263" s="67"/>
      <c r="S263" s="67"/>
      <c r="T263" s="67"/>
      <c r="U263" s="641"/>
      <c r="V263" s="643"/>
      <c r="W263" s="593"/>
      <c r="X263" s="67"/>
      <c r="Y263" s="663" t="str">
        <f>IF(C263="","",('transversal subsidence profile'!$L$5*EXP(-(C263^2)/(2*'transversal subsidence profile'!$J$5^2)))*100)</f>
        <v/>
      </c>
      <c r="Z263" s="664" t="str">
        <f>IF(C263="","",(+'transversal subsidence profile'!$L$6*EXP(-((C263+$G$10)^2)/(2*'transversal subsidence profile'!$J$6^2)))*100)</f>
        <v/>
      </c>
      <c r="AA263" s="751" t="str">
        <f>IF(C263="","",IF('IN-OUT'!$F$26=0,'Damage classification-Rankin'!Z263,IF('IN-OUT'!$F$35=0,Y263,'Damage classification-Rankin'!Y263+'Damage classification-Rankin'!Z263)))</f>
        <v/>
      </c>
      <c r="AB263" s="67"/>
      <c r="AC263" s="67"/>
      <c r="AJ263" s="67"/>
      <c r="AK263" s="67"/>
      <c r="AL263" s="67"/>
      <c r="AM263" s="67"/>
      <c r="AN263" s="67"/>
      <c r="AO263" s="67"/>
      <c r="AP263" s="67"/>
      <c r="AQ263" s="67"/>
      <c r="AR263" s="67"/>
      <c r="AS263" s="67"/>
      <c r="AT263" s="67"/>
      <c r="AU263" s="67"/>
      <c r="AV263" s="67"/>
      <c r="AW263" s="67"/>
      <c r="AX263" s="67"/>
      <c r="AY263" s="67"/>
      <c r="AZ263" s="67"/>
      <c r="BA263" s="67"/>
    </row>
    <row r="264" spans="1:53" ht="13.8" thickBot="1">
      <c r="A264" s="67"/>
      <c r="B264" s="655">
        <f t="shared" si="34"/>
        <v>243</v>
      </c>
      <c r="C264" s="374" t="str">
        <f t="shared" si="35"/>
        <v/>
      </c>
      <c r="D264" s="784" t="str">
        <f t="shared" si="36"/>
        <v/>
      </c>
      <c r="E264" s="784" t="str">
        <f t="shared" si="37"/>
        <v/>
      </c>
      <c r="F264" s="785" t="str">
        <f t="shared" si="38"/>
        <v/>
      </c>
      <c r="G264" s="784" t="str">
        <f t="shared" si="33"/>
        <v/>
      </c>
      <c r="J264" s="612"/>
      <c r="L264" s="67"/>
      <c r="M264" s="67"/>
      <c r="N264" s="67"/>
      <c r="O264" s="67"/>
      <c r="P264" s="67"/>
      <c r="Q264" s="67"/>
      <c r="R264" s="67"/>
      <c r="S264" s="67"/>
      <c r="T264" s="67"/>
      <c r="U264" s="641"/>
      <c r="V264" s="643"/>
      <c r="W264" s="593"/>
      <c r="X264" s="67"/>
      <c r="Y264" s="663" t="str">
        <f>IF(C264="","",('transversal subsidence profile'!$L$5*EXP(-(C264^2)/(2*'transversal subsidence profile'!$J$5^2)))*100)</f>
        <v/>
      </c>
      <c r="Z264" s="664" t="str">
        <f>IF(C264="","",(+'transversal subsidence profile'!$L$6*EXP(-((C264+$G$10)^2)/(2*'transversal subsidence profile'!$J$6^2)))*100)</f>
        <v/>
      </c>
      <c r="AA264" s="751" t="str">
        <f>IF(C264="","",IF('IN-OUT'!$F$26=0,'Damage classification-Rankin'!Z264,IF('IN-OUT'!$F$35=0,Y264,'Damage classification-Rankin'!Y264+'Damage classification-Rankin'!Z264)))</f>
        <v/>
      </c>
      <c r="AB264" s="67"/>
      <c r="AC264" s="67"/>
      <c r="AJ264" s="67"/>
      <c r="AK264" s="67"/>
      <c r="AL264" s="67"/>
      <c r="AM264" s="67"/>
      <c r="AN264" s="67"/>
      <c r="AO264" s="67"/>
      <c r="AP264" s="67"/>
      <c r="AQ264" s="67"/>
      <c r="AR264" s="67"/>
      <c r="AS264" s="67"/>
      <c r="AT264" s="67"/>
      <c r="AU264" s="67"/>
      <c r="AV264" s="67"/>
      <c r="AW264" s="67"/>
      <c r="AX264" s="67"/>
      <c r="AY264" s="67"/>
      <c r="AZ264" s="67"/>
      <c r="BA264" s="67"/>
    </row>
    <row r="265" spans="1:53" ht="13.8" thickBot="1">
      <c r="A265" s="67"/>
      <c r="B265" s="655">
        <f t="shared" si="34"/>
        <v>244</v>
      </c>
      <c r="C265" s="374" t="str">
        <f t="shared" si="35"/>
        <v/>
      </c>
      <c r="D265" s="784" t="str">
        <f t="shared" si="36"/>
        <v/>
      </c>
      <c r="E265" s="784" t="str">
        <f t="shared" si="37"/>
        <v/>
      </c>
      <c r="F265" s="785" t="str">
        <f t="shared" si="38"/>
        <v/>
      </c>
      <c r="G265" s="784" t="str">
        <f t="shared" si="33"/>
        <v/>
      </c>
      <c r="J265" s="612"/>
      <c r="L265" s="67"/>
      <c r="M265" s="67"/>
      <c r="N265" s="67"/>
      <c r="O265" s="67"/>
      <c r="P265" s="67"/>
      <c r="Q265" s="67"/>
      <c r="R265" s="67"/>
      <c r="S265" s="67"/>
      <c r="T265" s="67"/>
      <c r="U265" s="641"/>
      <c r="V265" s="643"/>
      <c r="W265" s="593"/>
      <c r="X265" s="67"/>
      <c r="Y265" s="663" t="str">
        <f>IF(C265="","",('transversal subsidence profile'!$L$5*EXP(-(C265^2)/(2*'transversal subsidence profile'!$J$5^2)))*100)</f>
        <v/>
      </c>
      <c r="Z265" s="664" t="str">
        <f>IF(C265="","",(+'transversal subsidence profile'!$L$6*EXP(-((C265+$G$10)^2)/(2*'transversal subsidence profile'!$J$6^2)))*100)</f>
        <v/>
      </c>
      <c r="AA265" s="751" t="str">
        <f>IF(C265="","",IF('IN-OUT'!$F$26=0,'Damage classification-Rankin'!Z265,IF('IN-OUT'!$F$35=0,Y265,'Damage classification-Rankin'!Y265+'Damage classification-Rankin'!Z265)))</f>
        <v/>
      </c>
      <c r="AB265" s="67"/>
      <c r="AC265" s="67"/>
      <c r="AJ265" s="67"/>
      <c r="AK265" s="67"/>
      <c r="AL265" s="67"/>
      <c r="AM265" s="67"/>
      <c r="AN265" s="67"/>
      <c r="AO265" s="67"/>
      <c r="AP265" s="67"/>
      <c r="AQ265" s="67"/>
      <c r="AR265" s="67"/>
      <c r="AS265" s="67"/>
      <c r="AT265" s="67"/>
      <c r="AU265" s="67"/>
      <c r="AV265" s="67"/>
      <c r="AW265" s="67"/>
      <c r="AX265" s="67"/>
      <c r="AY265" s="67"/>
      <c r="AZ265" s="67"/>
      <c r="BA265" s="67"/>
    </row>
    <row r="266" spans="1:53" ht="13.8" thickBot="1">
      <c r="A266" s="67"/>
      <c r="B266" s="655">
        <f t="shared" si="34"/>
        <v>245</v>
      </c>
      <c r="C266" s="374" t="str">
        <f t="shared" si="35"/>
        <v/>
      </c>
      <c r="D266" s="784" t="str">
        <f t="shared" si="36"/>
        <v/>
      </c>
      <c r="E266" s="784" t="str">
        <f t="shared" si="37"/>
        <v/>
      </c>
      <c r="F266" s="785" t="str">
        <f t="shared" si="38"/>
        <v/>
      </c>
      <c r="G266" s="784" t="str">
        <f t="shared" si="33"/>
        <v/>
      </c>
      <c r="J266" s="612"/>
      <c r="L266" s="67"/>
      <c r="M266" s="67"/>
      <c r="N266" s="67"/>
      <c r="O266" s="67"/>
      <c r="P266" s="67"/>
      <c r="Q266" s="67"/>
      <c r="R266" s="67"/>
      <c r="S266" s="67"/>
      <c r="T266" s="67"/>
      <c r="U266" s="641"/>
      <c r="V266" s="643"/>
      <c r="W266" s="593"/>
      <c r="X266" s="67"/>
      <c r="Y266" s="663" t="str">
        <f>IF(C266="","",('transversal subsidence profile'!$L$5*EXP(-(C266^2)/(2*'transversal subsidence profile'!$J$5^2)))*100)</f>
        <v/>
      </c>
      <c r="Z266" s="664" t="str">
        <f>IF(C266="","",(+'transversal subsidence profile'!$L$6*EXP(-((C266+$G$10)^2)/(2*'transversal subsidence profile'!$J$6^2)))*100)</f>
        <v/>
      </c>
      <c r="AA266" s="751" t="str">
        <f>IF(C266="","",IF('IN-OUT'!$F$26=0,'Damage classification-Rankin'!Z266,IF('IN-OUT'!$F$35=0,Y266,'Damage classification-Rankin'!Y266+'Damage classification-Rankin'!Z266)))</f>
        <v/>
      </c>
      <c r="AB266" s="67"/>
      <c r="AC266" s="67"/>
      <c r="AJ266" s="67"/>
      <c r="AK266" s="67"/>
      <c r="AL266" s="67"/>
      <c r="AM266" s="67"/>
      <c r="AN266" s="67"/>
      <c r="AO266" s="67"/>
      <c r="AP266" s="67"/>
      <c r="AQ266" s="67"/>
      <c r="AR266" s="67"/>
      <c r="AS266" s="67"/>
      <c r="AT266" s="67"/>
      <c r="AU266" s="67"/>
      <c r="AV266" s="67"/>
      <c r="AW266" s="67"/>
      <c r="AX266" s="67"/>
      <c r="AY266" s="67"/>
      <c r="AZ266" s="67"/>
      <c r="BA266" s="67"/>
    </row>
    <row r="267" spans="1:53" ht="13.8" thickBot="1">
      <c r="A267" s="67"/>
      <c r="B267" s="655">
        <f t="shared" si="34"/>
        <v>246</v>
      </c>
      <c r="C267" s="374" t="str">
        <f t="shared" si="35"/>
        <v/>
      </c>
      <c r="D267" s="784" t="str">
        <f t="shared" si="36"/>
        <v/>
      </c>
      <c r="E267" s="784" t="str">
        <f t="shared" si="37"/>
        <v/>
      </c>
      <c r="F267" s="785" t="str">
        <f t="shared" si="38"/>
        <v/>
      </c>
      <c r="G267" s="784" t="str">
        <f t="shared" si="33"/>
        <v/>
      </c>
      <c r="J267" s="612"/>
      <c r="L267" s="67"/>
      <c r="M267" s="67"/>
      <c r="N267" s="67"/>
      <c r="O267" s="67"/>
      <c r="P267" s="67"/>
      <c r="Q267" s="67"/>
      <c r="R267" s="67"/>
      <c r="S267" s="67"/>
      <c r="T267" s="67"/>
      <c r="U267" s="641"/>
      <c r="V267" s="643"/>
      <c r="W267" s="593"/>
      <c r="X267" s="67"/>
      <c r="Y267" s="663" t="str">
        <f>IF(C267="","",('transversal subsidence profile'!$L$5*EXP(-(C267^2)/(2*'transversal subsidence profile'!$J$5^2)))*100)</f>
        <v/>
      </c>
      <c r="Z267" s="664" t="str">
        <f>IF(C267="","",(+'transversal subsidence profile'!$L$6*EXP(-((C267+$G$10)^2)/(2*'transversal subsidence profile'!$J$6^2)))*100)</f>
        <v/>
      </c>
      <c r="AA267" s="751" t="str">
        <f>IF(C267="","",IF('IN-OUT'!$F$26=0,'Damage classification-Rankin'!Z267,IF('IN-OUT'!$F$35=0,Y267,'Damage classification-Rankin'!Y267+'Damage classification-Rankin'!Z267)))</f>
        <v/>
      </c>
      <c r="AB267" s="67"/>
      <c r="AC267" s="67"/>
      <c r="AJ267" s="67"/>
      <c r="AK267" s="67"/>
      <c r="AL267" s="67"/>
      <c r="AM267" s="67"/>
      <c r="AN267" s="67"/>
      <c r="AO267" s="67"/>
      <c r="AP267" s="67"/>
      <c r="AQ267" s="67"/>
      <c r="AR267" s="67"/>
      <c r="AS267" s="67"/>
      <c r="AT267" s="67"/>
      <c r="AU267" s="67"/>
      <c r="AV267" s="67"/>
      <c r="AW267" s="67"/>
      <c r="AX267" s="67"/>
      <c r="AY267" s="67"/>
      <c r="AZ267" s="67"/>
      <c r="BA267" s="67"/>
    </row>
    <row r="268" spans="1:53" ht="13.8" thickBot="1">
      <c r="A268" s="67"/>
      <c r="B268" s="655">
        <f t="shared" si="34"/>
        <v>247</v>
      </c>
      <c r="C268" s="374" t="str">
        <f t="shared" si="35"/>
        <v/>
      </c>
      <c r="D268" s="784" t="str">
        <f t="shared" si="36"/>
        <v/>
      </c>
      <c r="E268" s="784" t="str">
        <f t="shared" si="37"/>
        <v/>
      </c>
      <c r="F268" s="785" t="str">
        <f t="shared" si="38"/>
        <v/>
      </c>
      <c r="G268" s="784" t="str">
        <f t="shared" si="33"/>
        <v/>
      </c>
      <c r="J268" s="612"/>
      <c r="L268" s="67"/>
      <c r="M268" s="67"/>
      <c r="N268" s="67"/>
      <c r="O268" s="67"/>
      <c r="P268" s="67"/>
      <c r="Q268" s="67"/>
      <c r="R268" s="67"/>
      <c r="S268" s="67"/>
      <c r="T268" s="67"/>
      <c r="U268" s="641"/>
      <c r="V268" s="643"/>
      <c r="W268" s="593"/>
      <c r="X268" s="67"/>
      <c r="Y268" s="663" t="str">
        <f>IF(C268="","",('transversal subsidence profile'!$L$5*EXP(-(C268^2)/(2*'transversal subsidence profile'!$J$5^2)))*100)</f>
        <v/>
      </c>
      <c r="Z268" s="664" t="str">
        <f>IF(C268="","",(+'transversal subsidence profile'!$L$6*EXP(-((C268+$G$10)^2)/(2*'transversal subsidence profile'!$J$6^2)))*100)</f>
        <v/>
      </c>
      <c r="AA268" s="751" t="str">
        <f>IF(C268="","",IF('IN-OUT'!$F$26=0,'Damage classification-Rankin'!Z268,IF('IN-OUT'!$F$35=0,Y268,'Damage classification-Rankin'!Y268+'Damage classification-Rankin'!Z268)))</f>
        <v/>
      </c>
      <c r="AB268" s="67"/>
      <c r="AC268" s="67"/>
      <c r="AJ268" s="67"/>
      <c r="AK268" s="67"/>
      <c r="AL268" s="67"/>
      <c r="AM268" s="67"/>
      <c r="AN268" s="67"/>
      <c r="AO268" s="67"/>
      <c r="AP268" s="67"/>
      <c r="AQ268" s="67"/>
      <c r="AR268" s="67"/>
      <c r="AS268" s="67"/>
      <c r="AT268" s="67"/>
      <c r="AU268" s="67"/>
      <c r="AV268" s="67"/>
      <c r="AW268" s="67"/>
      <c r="AX268" s="67"/>
      <c r="AY268" s="67"/>
      <c r="AZ268" s="67"/>
      <c r="BA268" s="67"/>
    </row>
    <row r="269" spans="1:53" ht="13.8" thickBot="1">
      <c r="A269" s="67"/>
      <c r="B269" s="655">
        <f t="shared" si="34"/>
        <v>248</v>
      </c>
      <c r="C269" s="374" t="str">
        <f t="shared" si="35"/>
        <v/>
      </c>
      <c r="D269" s="784" t="str">
        <f t="shared" si="36"/>
        <v/>
      </c>
      <c r="E269" s="784" t="str">
        <f t="shared" si="37"/>
        <v/>
      </c>
      <c r="F269" s="785" t="str">
        <f t="shared" si="38"/>
        <v/>
      </c>
      <c r="G269" s="784" t="str">
        <f t="shared" si="33"/>
        <v/>
      </c>
      <c r="J269" s="612"/>
      <c r="L269" s="67"/>
      <c r="M269" s="67"/>
      <c r="N269" s="67"/>
      <c r="O269" s="67"/>
      <c r="P269" s="67"/>
      <c r="Q269" s="67"/>
      <c r="R269" s="67"/>
      <c r="S269" s="67"/>
      <c r="T269" s="67"/>
      <c r="U269" s="641"/>
      <c r="V269" s="643"/>
      <c r="W269" s="593"/>
      <c r="X269" s="67"/>
      <c r="Y269" s="663" t="str">
        <f>IF(C269="","",('transversal subsidence profile'!$L$5*EXP(-(C269^2)/(2*'transversal subsidence profile'!$J$5^2)))*100)</f>
        <v/>
      </c>
      <c r="Z269" s="664" t="str">
        <f>IF(C269="","",(+'transversal subsidence profile'!$L$6*EXP(-((C269+$G$10)^2)/(2*'transversal subsidence profile'!$J$6^2)))*100)</f>
        <v/>
      </c>
      <c r="AA269" s="751" t="str">
        <f>IF(C269="","",IF('IN-OUT'!$F$26=0,'Damage classification-Rankin'!Z269,IF('IN-OUT'!$F$35=0,Y269,'Damage classification-Rankin'!Y269+'Damage classification-Rankin'!Z269)))</f>
        <v/>
      </c>
      <c r="AB269" s="67"/>
      <c r="AC269" s="67"/>
      <c r="AJ269" s="67"/>
      <c r="AK269" s="67"/>
      <c r="AL269" s="67"/>
      <c r="AM269" s="67"/>
      <c r="AN269" s="67"/>
      <c r="AO269" s="67"/>
      <c r="AP269" s="67"/>
      <c r="AQ269" s="67"/>
      <c r="AR269" s="67"/>
      <c r="AS269" s="67"/>
      <c r="AT269" s="67"/>
      <c r="AU269" s="67"/>
      <c r="AV269" s="67"/>
      <c r="AW269" s="67"/>
      <c r="AX269" s="67"/>
      <c r="AY269" s="67"/>
      <c r="AZ269" s="67"/>
      <c r="BA269" s="67"/>
    </row>
    <row r="270" spans="1:53" ht="13.8" thickBot="1">
      <c r="A270" s="67"/>
      <c r="B270" s="655">
        <f t="shared" si="34"/>
        <v>249</v>
      </c>
      <c r="C270" s="374" t="str">
        <f t="shared" si="35"/>
        <v/>
      </c>
      <c r="D270" s="784" t="str">
        <f t="shared" si="36"/>
        <v/>
      </c>
      <c r="E270" s="784" t="str">
        <f t="shared" si="37"/>
        <v/>
      </c>
      <c r="F270" s="785" t="str">
        <f t="shared" si="38"/>
        <v/>
      </c>
      <c r="G270" s="784" t="str">
        <f t="shared" si="33"/>
        <v/>
      </c>
      <c r="J270" s="612"/>
      <c r="L270" s="67"/>
      <c r="M270" s="67"/>
      <c r="N270" s="67"/>
      <c r="O270" s="67"/>
      <c r="P270" s="67"/>
      <c r="Q270" s="67"/>
      <c r="R270" s="67"/>
      <c r="S270" s="67"/>
      <c r="T270" s="67"/>
      <c r="U270" s="641"/>
      <c r="V270" s="643"/>
      <c r="W270" s="593"/>
      <c r="X270" s="67"/>
      <c r="Y270" s="663" t="str">
        <f>IF(C270="","",('transversal subsidence profile'!$L$5*EXP(-(C270^2)/(2*'transversal subsidence profile'!$J$5^2)))*100)</f>
        <v/>
      </c>
      <c r="Z270" s="664" t="str">
        <f>IF(C270="","",(+'transversal subsidence profile'!$L$6*EXP(-((C270+$G$10)^2)/(2*'transversal subsidence profile'!$J$6^2)))*100)</f>
        <v/>
      </c>
      <c r="AA270" s="751" t="str">
        <f>IF(C270="","",IF('IN-OUT'!$F$26=0,'Damage classification-Rankin'!Z270,IF('IN-OUT'!$F$35=0,Y270,'Damage classification-Rankin'!Y270+'Damage classification-Rankin'!Z270)))</f>
        <v/>
      </c>
      <c r="AB270" s="67"/>
      <c r="AC270" s="67"/>
      <c r="AJ270" s="67"/>
      <c r="AK270" s="67"/>
      <c r="AL270" s="67"/>
      <c r="AM270" s="67"/>
      <c r="AN270" s="67"/>
      <c r="AO270" s="67"/>
      <c r="AP270" s="67"/>
      <c r="AQ270" s="67"/>
      <c r="AR270" s="67"/>
      <c r="AS270" s="67"/>
      <c r="AT270" s="67"/>
      <c r="AU270" s="67"/>
      <c r="AV270" s="67"/>
      <c r="AW270" s="67"/>
      <c r="AX270" s="67"/>
      <c r="AY270" s="67"/>
      <c r="AZ270" s="67"/>
      <c r="BA270" s="67"/>
    </row>
    <row r="271" spans="1:53" ht="13.8" thickBot="1">
      <c r="A271" s="67"/>
      <c r="B271" s="655">
        <f t="shared" si="34"/>
        <v>250</v>
      </c>
      <c r="C271" s="374" t="str">
        <f t="shared" si="35"/>
        <v/>
      </c>
      <c r="D271" s="784" t="str">
        <f t="shared" si="36"/>
        <v/>
      </c>
      <c r="E271" s="784" t="str">
        <f t="shared" si="37"/>
        <v/>
      </c>
      <c r="F271" s="785" t="str">
        <f t="shared" si="38"/>
        <v/>
      </c>
      <c r="G271" s="784" t="str">
        <f t="shared" si="33"/>
        <v/>
      </c>
      <c r="J271" s="612"/>
      <c r="L271" s="67"/>
      <c r="M271" s="67"/>
      <c r="N271" s="67"/>
      <c r="O271" s="67"/>
      <c r="P271" s="67"/>
      <c r="Q271" s="67"/>
      <c r="R271" s="67"/>
      <c r="S271" s="67"/>
      <c r="T271" s="67"/>
      <c r="U271" s="641"/>
      <c r="V271" s="643"/>
      <c r="W271" s="593"/>
      <c r="X271" s="67"/>
      <c r="Y271" s="663" t="str">
        <f>IF(C271="","",('transversal subsidence profile'!$L$5*EXP(-(C271^2)/(2*'transversal subsidence profile'!$J$5^2)))*100)</f>
        <v/>
      </c>
      <c r="Z271" s="664" t="str">
        <f>IF(C271="","",(+'transversal subsidence profile'!$L$6*EXP(-((C271+$G$10)^2)/(2*'transversal subsidence profile'!$J$6^2)))*100)</f>
        <v/>
      </c>
      <c r="AA271" s="751" t="str">
        <f>IF(C271="","",IF('IN-OUT'!$F$26=0,'Damage classification-Rankin'!Z271,IF('IN-OUT'!$F$35=0,Y271,'Damage classification-Rankin'!Y271+'Damage classification-Rankin'!Z271)))</f>
        <v/>
      </c>
      <c r="AB271" s="67"/>
      <c r="AC271" s="67"/>
      <c r="AJ271" s="67"/>
      <c r="AK271" s="67"/>
      <c r="AL271" s="67"/>
      <c r="AM271" s="67"/>
      <c r="AN271" s="67"/>
      <c r="AO271" s="67"/>
      <c r="AP271" s="67"/>
      <c r="AQ271" s="67"/>
      <c r="AR271" s="67"/>
      <c r="AS271" s="67"/>
      <c r="AT271" s="67"/>
      <c r="AU271" s="67"/>
      <c r="AV271" s="67"/>
      <c r="AW271" s="67"/>
      <c r="AX271" s="67"/>
      <c r="AY271" s="67"/>
      <c r="AZ271" s="67"/>
      <c r="BA271" s="67"/>
    </row>
    <row r="272" spans="1:53" ht="13.8" thickBot="1">
      <c r="A272" s="67"/>
      <c r="B272" s="655">
        <f t="shared" si="34"/>
        <v>251</v>
      </c>
      <c r="C272" s="374" t="str">
        <f t="shared" si="35"/>
        <v/>
      </c>
      <c r="D272" s="784" t="str">
        <f t="shared" si="36"/>
        <v/>
      </c>
      <c r="E272" s="784" t="str">
        <f t="shared" si="37"/>
        <v/>
      </c>
      <c r="F272" s="785" t="str">
        <f t="shared" si="38"/>
        <v/>
      </c>
      <c r="G272" s="784" t="str">
        <f t="shared" si="33"/>
        <v/>
      </c>
      <c r="J272" s="612"/>
      <c r="L272" s="67"/>
      <c r="M272" s="67"/>
      <c r="N272" s="67"/>
      <c r="O272" s="67"/>
      <c r="P272" s="67"/>
      <c r="Q272" s="67"/>
      <c r="R272" s="67"/>
      <c r="S272" s="67"/>
      <c r="T272" s="67"/>
      <c r="U272" s="641"/>
      <c r="V272" s="643"/>
      <c r="W272" s="593"/>
      <c r="X272" s="67"/>
      <c r="Y272" s="663" t="str">
        <f>IF(C272="","",('transversal subsidence profile'!$L$5*EXP(-(C272^2)/(2*'transversal subsidence profile'!$J$5^2)))*100)</f>
        <v/>
      </c>
      <c r="Z272" s="664" t="str">
        <f>IF(C272="","",(+'transversal subsidence profile'!$L$6*EXP(-((C272+$G$10)^2)/(2*'transversal subsidence profile'!$J$6^2)))*100)</f>
        <v/>
      </c>
      <c r="AA272" s="751" t="str">
        <f>IF(C272="","",IF('IN-OUT'!$F$26=0,'Damage classification-Rankin'!Z272,IF('IN-OUT'!$F$35=0,Y272,'Damage classification-Rankin'!Y272+'Damage classification-Rankin'!Z272)))</f>
        <v/>
      </c>
      <c r="AB272" s="67"/>
      <c r="AC272" s="67"/>
      <c r="AJ272" s="67"/>
      <c r="AK272" s="67"/>
      <c r="AL272" s="67"/>
      <c r="AM272" s="67"/>
      <c r="AN272" s="67"/>
      <c r="AO272" s="67"/>
      <c r="AP272" s="67"/>
      <c r="AQ272" s="67"/>
      <c r="AR272" s="67"/>
      <c r="AS272" s="67"/>
      <c r="AT272" s="67"/>
      <c r="AU272" s="67"/>
      <c r="AV272" s="67"/>
      <c r="AW272" s="67"/>
      <c r="AX272" s="67"/>
      <c r="AY272" s="67"/>
      <c r="AZ272" s="67"/>
      <c r="BA272" s="67"/>
    </row>
    <row r="273" spans="1:53" ht="13.8" thickBot="1">
      <c r="A273" s="67"/>
      <c r="B273" s="655">
        <f t="shared" si="34"/>
        <v>252</v>
      </c>
      <c r="C273" s="374" t="str">
        <f t="shared" si="35"/>
        <v/>
      </c>
      <c r="D273" s="784" t="str">
        <f t="shared" si="36"/>
        <v/>
      </c>
      <c r="E273" s="784" t="str">
        <f t="shared" si="37"/>
        <v/>
      </c>
      <c r="F273" s="785" t="str">
        <f t="shared" si="38"/>
        <v/>
      </c>
      <c r="G273" s="784" t="str">
        <f t="shared" si="33"/>
        <v/>
      </c>
      <c r="J273" s="612"/>
      <c r="L273" s="67"/>
      <c r="M273" s="67"/>
      <c r="N273" s="67"/>
      <c r="O273" s="67"/>
      <c r="P273" s="67"/>
      <c r="Q273" s="67"/>
      <c r="R273" s="67"/>
      <c r="S273" s="67"/>
      <c r="T273" s="67"/>
      <c r="U273" s="641"/>
      <c r="V273" s="643"/>
      <c r="W273" s="593"/>
      <c r="X273" s="67"/>
      <c r="Y273" s="663" t="str">
        <f>IF(C273="","",('transversal subsidence profile'!$L$5*EXP(-(C273^2)/(2*'transversal subsidence profile'!$J$5^2)))*100)</f>
        <v/>
      </c>
      <c r="Z273" s="664" t="str">
        <f>IF(C273="","",(+'transversal subsidence profile'!$L$6*EXP(-((C273+$G$10)^2)/(2*'transversal subsidence profile'!$J$6^2)))*100)</f>
        <v/>
      </c>
      <c r="AA273" s="751" t="str">
        <f>IF(C273="","",IF('IN-OUT'!$F$26=0,'Damage classification-Rankin'!Z273,IF('IN-OUT'!$F$35=0,Y273,'Damage classification-Rankin'!Y273+'Damage classification-Rankin'!Z273)))</f>
        <v/>
      </c>
      <c r="AB273" s="67"/>
      <c r="AC273" s="67"/>
      <c r="AJ273" s="67"/>
      <c r="AK273" s="67"/>
      <c r="AL273" s="67"/>
      <c r="AM273" s="67"/>
      <c r="AN273" s="67"/>
      <c r="AO273" s="67"/>
      <c r="AP273" s="67"/>
      <c r="AQ273" s="67"/>
      <c r="AR273" s="67"/>
      <c r="AS273" s="67"/>
      <c r="AT273" s="67"/>
      <c r="AU273" s="67"/>
      <c r="AV273" s="67"/>
      <c r="AW273" s="67"/>
      <c r="AX273" s="67"/>
      <c r="AY273" s="67"/>
      <c r="AZ273" s="67"/>
      <c r="BA273" s="67"/>
    </row>
    <row r="274" spans="1:53" ht="13.8" thickBot="1">
      <c r="A274" s="67"/>
      <c r="B274" s="655">
        <f t="shared" si="34"/>
        <v>253</v>
      </c>
      <c r="C274" s="374" t="str">
        <f t="shared" si="35"/>
        <v/>
      </c>
      <c r="D274" s="784" t="str">
        <f t="shared" si="36"/>
        <v/>
      </c>
      <c r="E274" s="784" t="str">
        <f t="shared" si="37"/>
        <v/>
      </c>
      <c r="F274" s="785" t="str">
        <f t="shared" si="38"/>
        <v/>
      </c>
      <c r="G274" s="784" t="str">
        <f t="shared" si="33"/>
        <v/>
      </c>
      <c r="J274" s="612"/>
      <c r="L274" s="67"/>
      <c r="M274" s="67"/>
      <c r="N274" s="67"/>
      <c r="O274" s="67"/>
      <c r="P274" s="67"/>
      <c r="Q274" s="67"/>
      <c r="R274" s="67"/>
      <c r="S274" s="67"/>
      <c r="T274" s="67"/>
      <c r="U274" s="641"/>
      <c r="V274" s="643"/>
      <c r="W274" s="593"/>
      <c r="X274" s="67"/>
      <c r="Y274" s="663" t="str">
        <f>IF(C274="","",('transversal subsidence profile'!$L$5*EXP(-(C274^2)/(2*'transversal subsidence profile'!$J$5^2)))*100)</f>
        <v/>
      </c>
      <c r="Z274" s="664" t="str">
        <f>IF(C274="","",(+'transversal subsidence profile'!$L$6*EXP(-((C274+$G$10)^2)/(2*'transversal subsidence profile'!$J$6^2)))*100)</f>
        <v/>
      </c>
      <c r="AA274" s="751" t="str">
        <f>IF(C274="","",IF('IN-OUT'!$F$26=0,'Damage classification-Rankin'!Z274,IF('IN-OUT'!$F$35=0,Y274,'Damage classification-Rankin'!Y274+'Damage classification-Rankin'!Z274)))</f>
        <v/>
      </c>
      <c r="AB274" s="67"/>
      <c r="AC274" s="67"/>
      <c r="AJ274" s="67"/>
      <c r="AK274" s="67"/>
      <c r="AL274" s="67"/>
      <c r="AM274" s="67"/>
      <c r="AN274" s="67"/>
      <c r="AO274" s="67"/>
      <c r="AP274" s="67"/>
      <c r="AQ274" s="67"/>
      <c r="AR274" s="67"/>
      <c r="AS274" s="67"/>
      <c r="AT274" s="67"/>
      <c r="AU274" s="67"/>
      <c r="AV274" s="67"/>
      <c r="AW274" s="67"/>
      <c r="AX274" s="67"/>
      <c r="AY274" s="67"/>
      <c r="AZ274" s="67"/>
      <c r="BA274" s="67"/>
    </row>
    <row r="275" spans="1:53" ht="13.8" thickBot="1">
      <c r="A275" s="67"/>
      <c r="B275" s="655">
        <f t="shared" si="34"/>
        <v>254</v>
      </c>
      <c r="C275" s="374" t="str">
        <f t="shared" si="35"/>
        <v/>
      </c>
      <c r="D275" s="784" t="str">
        <f t="shared" si="36"/>
        <v/>
      </c>
      <c r="E275" s="784" t="str">
        <f t="shared" si="37"/>
        <v/>
      </c>
      <c r="F275" s="785" t="str">
        <f t="shared" si="38"/>
        <v/>
      </c>
      <c r="G275" s="784" t="str">
        <f t="shared" si="33"/>
        <v/>
      </c>
      <c r="J275" s="612"/>
      <c r="L275" s="67"/>
      <c r="M275" s="67"/>
      <c r="N275" s="67"/>
      <c r="O275" s="67"/>
      <c r="P275" s="67"/>
      <c r="Q275" s="67"/>
      <c r="R275" s="67"/>
      <c r="S275" s="67"/>
      <c r="T275" s="67"/>
      <c r="U275" s="641"/>
      <c r="V275" s="643"/>
      <c r="W275" s="593"/>
      <c r="X275" s="67"/>
      <c r="Y275" s="663" t="str">
        <f>IF(C275="","",('transversal subsidence profile'!$L$5*EXP(-(C275^2)/(2*'transversal subsidence profile'!$J$5^2)))*100)</f>
        <v/>
      </c>
      <c r="Z275" s="664" t="str">
        <f>IF(C275="","",(+'transversal subsidence profile'!$L$6*EXP(-((C275+$G$10)^2)/(2*'transversal subsidence profile'!$J$6^2)))*100)</f>
        <v/>
      </c>
      <c r="AA275" s="751" t="str">
        <f>IF(C275="","",IF('IN-OUT'!$F$26=0,'Damage classification-Rankin'!Z275,IF('IN-OUT'!$F$35=0,Y275,'Damage classification-Rankin'!Y275+'Damage classification-Rankin'!Z275)))</f>
        <v/>
      </c>
      <c r="AB275" s="67"/>
      <c r="AC275" s="67"/>
      <c r="AJ275" s="67"/>
      <c r="AK275" s="67"/>
      <c r="AL275" s="67"/>
      <c r="AM275" s="67"/>
      <c r="AN275" s="67"/>
      <c r="AO275" s="67"/>
      <c r="AP275" s="67"/>
      <c r="AQ275" s="67"/>
      <c r="AR275" s="67"/>
      <c r="AS275" s="67"/>
      <c r="AT275" s="67"/>
      <c r="AU275" s="67"/>
      <c r="AV275" s="67"/>
      <c r="AW275" s="67"/>
      <c r="AX275" s="67"/>
      <c r="AY275" s="67"/>
      <c r="AZ275" s="67"/>
      <c r="BA275" s="67"/>
    </row>
    <row r="276" spans="1:53" ht="13.8" thickBot="1">
      <c r="A276" s="67"/>
      <c r="B276" s="655">
        <f t="shared" si="34"/>
        <v>255</v>
      </c>
      <c r="C276" s="374" t="str">
        <f t="shared" si="35"/>
        <v/>
      </c>
      <c r="D276" s="784" t="str">
        <f t="shared" si="36"/>
        <v/>
      </c>
      <c r="E276" s="784" t="str">
        <f t="shared" si="37"/>
        <v/>
      </c>
      <c r="F276" s="785" t="str">
        <f t="shared" si="38"/>
        <v/>
      </c>
      <c r="G276" s="784" t="str">
        <f t="shared" si="33"/>
        <v/>
      </c>
      <c r="J276" s="612"/>
      <c r="L276" s="67"/>
      <c r="M276" s="67"/>
      <c r="N276" s="67"/>
      <c r="O276" s="67"/>
      <c r="P276" s="67"/>
      <c r="Q276" s="67"/>
      <c r="R276" s="67"/>
      <c r="S276" s="67"/>
      <c r="T276" s="67"/>
      <c r="U276" s="641"/>
      <c r="V276" s="643"/>
      <c r="W276" s="593"/>
      <c r="X276" s="67"/>
      <c r="Y276" s="663" t="str">
        <f>IF(C276="","",('transversal subsidence profile'!$L$5*EXP(-(C276^2)/(2*'transversal subsidence profile'!$J$5^2)))*100)</f>
        <v/>
      </c>
      <c r="Z276" s="664" t="str">
        <f>IF(C276="","",(+'transversal subsidence profile'!$L$6*EXP(-((C276+$G$10)^2)/(2*'transversal subsidence profile'!$J$6^2)))*100)</f>
        <v/>
      </c>
      <c r="AA276" s="751" t="str">
        <f>IF(C276="","",IF('IN-OUT'!$F$26=0,'Damage classification-Rankin'!Z276,IF('IN-OUT'!$F$35=0,Y276,'Damage classification-Rankin'!Y276+'Damage classification-Rankin'!Z276)))</f>
        <v/>
      </c>
      <c r="AB276" s="67"/>
      <c r="AC276" s="67"/>
      <c r="AJ276" s="67"/>
      <c r="AK276" s="67"/>
      <c r="AL276" s="67"/>
      <c r="AM276" s="67"/>
      <c r="AN276" s="67"/>
      <c r="AO276" s="67"/>
      <c r="AP276" s="67"/>
      <c r="AQ276" s="67"/>
      <c r="AR276" s="67"/>
      <c r="AS276" s="67"/>
      <c r="AT276" s="67"/>
      <c r="AU276" s="67"/>
      <c r="AV276" s="67"/>
      <c r="AW276" s="67"/>
      <c r="AX276" s="67"/>
      <c r="AY276" s="67"/>
      <c r="AZ276" s="67"/>
      <c r="BA276" s="67"/>
    </row>
    <row r="277" spans="1:53" ht="13.8" thickBot="1">
      <c r="A277" s="67"/>
      <c r="B277" s="655">
        <f t="shared" si="34"/>
        <v>256</v>
      </c>
      <c r="C277" s="374" t="str">
        <f t="shared" si="35"/>
        <v/>
      </c>
      <c r="D277" s="784" t="str">
        <f t="shared" si="36"/>
        <v/>
      </c>
      <c r="E277" s="784" t="str">
        <f t="shared" si="37"/>
        <v/>
      </c>
      <c r="F277" s="785" t="str">
        <f t="shared" si="38"/>
        <v/>
      </c>
      <c r="G277" s="784" t="str">
        <f t="shared" si="33"/>
        <v/>
      </c>
      <c r="J277" s="612"/>
      <c r="L277" s="67"/>
      <c r="M277" s="67"/>
      <c r="N277" s="67"/>
      <c r="O277" s="67"/>
      <c r="P277" s="67"/>
      <c r="Q277" s="67"/>
      <c r="R277" s="67"/>
      <c r="S277" s="67"/>
      <c r="T277" s="67"/>
      <c r="U277" s="641"/>
      <c r="V277" s="643"/>
      <c r="W277" s="593"/>
      <c r="X277" s="67"/>
      <c r="Y277" s="663" t="str">
        <f>IF(C277="","",('transversal subsidence profile'!$L$5*EXP(-(C277^2)/(2*'transversal subsidence profile'!$J$5^2)))*100)</f>
        <v/>
      </c>
      <c r="Z277" s="664" t="str">
        <f>IF(C277="","",(+'transversal subsidence profile'!$L$6*EXP(-((C277+$G$10)^2)/(2*'transversal subsidence profile'!$J$6^2)))*100)</f>
        <v/>
      </c>
      <c r="AA277" s="751" t="str">
        <f>IF(C277="","",IF('IN-OUT'!$F$26=0,'Damage classification-Rankin'!Z277,IF('IN-OUT'!$F$35=0,Y277,'Damage classification-Rankin'!Y277+'Damage classification-Rankin'!Z277)))</f>
        <v/>
      </c>
      <c r="AB277" s="67"/>
      <c r="AC277" s="67"/>
      <c r="AJ277" s="67"/>
      <c r="AK277" s="67"/>
      <c r="AL277" s="67"/>
      <c r="AM277" s="67"/>
      <c r="AN277" s="67"/>
      <c r="AO277" s="67"/>
      <c r="AP277" s="67"/>
      <c r="AQ277" s="67"/>
      <c r="AR277" s="67"/>
      <c r="AS277" s="67"/>
      <c r="AT277" s="67"/>
      <c r="AU277" s="67"/>
      <c r="AV277" s="67"/>
      <c r="AW277" s="67"/>
      <c r="AX277" s="67"/>
      <c r="AY277" s="67"/>
      <c r="AZ277" s="67"/>
      <c r="BA277" s="67"/>
    </row>
    <row r="278" spans="1:53" ht="13.8" thickBot="1">
      <c r="A278" s="67"/>
      <c r="B278" s="655">
        <f t="shared" si="34"/>
        <v>257</v>
      </c>
      <c r="C278" s="374" t="str">
        <f t="shared" si="35"/>
        <v/>
      </c>
      <c r="D278" s="784" t="str">
        <f t="shared" si="36"/>
        <v/>
      </c>
      <c r="E278" s="784" t="str">
        <f t="shared" si="37"/>
        <v/>
      </c>
      <c r="F278" s="785" t="str">
        <f t="shared" si="38"/>
        <v/>
      </c>
      <c r="G278" s="784" t="str">
        <f t="shared" si="33"/>
        <v/>
      </c>
      <c r="J278" s="612"/>
      <c r="L278" s="67"/>
      <c r="M278" s="67"/>
      <c r="N278" s="67"/>
      <c r="O278" s="67"/>
      <c r="P278" s="67"/>
      <c r="Q278" s="67"/>
      <c r="R278" s="67"/>
      <c r="S278" s="67"/>
      <c r="T278" s="67"/>
      <c r="U278" s="641"/>
      <c r="V278" s="643"/>
      <c r="W278" s="593"/>
      <c r="X278" s="67"/>
      <c r="Y278" s="663" t="str">
        <f>IF(C278="","",('transversal subsidence profile'!$L$5*EXP(-(C278^2)/(2*'transversal subsidence profile'!$J$5^2)))*100)</f>
        <v/>
      </c>
      <c r="Z278" s="664" t="str">
        <f>IF(C278="","",(+'transversal subsidence profile'!$L$6*EXP(-((C278+$G$10)^2)/(2*'transversal subsidence profile'!$J$6^2)))*100)</f>
        <v/>
      </c>
      <c r="AA278" s="751" t="str">
        <f>IF(C278="","",IF('IN-OUT'!$F$26=0,'Damage classification-Rankin'!Z278,IF('IN-OUT'!$F$35=0,Y278,'Damage classification-Rankin'!Y278+'Damage classification-Rankin'!Z278)))</f>
        <v/>
      </c>
      <c r="AB278" s="67"/>
      <c r="AC278" s="67"/>
      <c r="AJ278" s="67"/>
      <c r="AK278" s="67"/>
      <c r="AL278" s="67"/>
      <c r="AM278" s="67"/>
      <c r="AN278" s="67"/>
      <c r="AO278" s="67"/>
      <c r="AP278" s="67"/>
      <c r="AQ278" s="67"/>
      <c r="AR278" s="67"/>
      <c r="AS278" s="67"/>
      <c r="AT278" s="67"/>
      <c r="AU278" s="67"/>
      <c r="AV278" s="67"/>
      <c r="AW278" s="67"/>
      <c r="AX278" s="67"/>
      <c r="AY278" s="67"/>
      <c r="AZ278" s="67"/>
      <c r="BA278" s="67"/>
    </row>
    <row r="279" spans="1:53" ht="13.8" thickBot="1">
      <c r="A279" s="67"/>
      <c r="B279" s="655">
        <f t="shared" si="34"/>
        <v>258</v>
      </c>
      <c r="C279" s="374" t="str">
        <f t="shared" si="35"/>
        <v/>
      </c>
      <c r="D279" s="784" t="str">
        <f t="shared" si="36"/>
        <v/>
      </c>
      <c r="E279" s="784" t="str">
        <f t="shared" si="37"/>
        <v/>
      </c>
      <c r="F279" s="785" t="str">
        <f t="shared" si="38"/>
        <v/>
      </c>
      <c r="G279" s="784" t="str">
        <f t="shared" si="33"/>
        <v/>
      </c>
      <c r="J279" s="612"/>
      <c r="L279" s="67"/>
      <c r="M279" s="67"/>
      <c r="N279" s="67"/>
      <c r="O279" s="67"/>
      <c r="P279" s="67"/>
      <c r="Q279" s="67"/>
      <c r="R279" s="67"/>
      <c r="S279" s="67"/>
      <c r="T279" s="67"/>
      <c r="U279" s="641"/>
      <c r="V279" s="643"/>
      <c r="W279" s="593"/>
      <c r="X279" s="67"/>
      <c r="Y279" s="663" t="str">
        <f>IF(C279="","",('transversal subsidence profile'!$L$5*EXP(-(C279^2)/(2*'transversal subsidence profile'!$J$5^2)))*100)</f>
        <v/>
      </c>
      <c r="Z279" s="664" t="str">
        <f>IF(C279="","",(+'transversal subsidence profile'!$L$6*EXP(-((C279+$G$10)^2)/(2*'transversal subsidence profile'!$J$6^2)))*100)</f>
        <v/>
      </c>
      <c r="AA279" s="751" t="str">
        <f>IF(C279="","",IF('IN-OUT'!$F$26=0,'Damage classification-Rankin'!Z279,IF('IN-OUT'!$F$35=0,Y279,'Damage classification-Rankin'!Y279+'Damage classification-Rankin'!Z279)))</f>
        <v/>
      </c>
      <c r="AB279" s="67"/>
      <c r="AC279" s="67"/>
      <c r="AJ279" s="67"/>
      <c r="AK279" s="67"/>
      <c r="AL279" s="67"/>
      <c r="AM279" s="67"/>
      <c r="AN279" s="67"/>
      <c r="AO279" s="67"/>
      <c r="AP279" s="67"/>
      <c r="AQ279" s="67"/>
      <c r="AR279" s="67"/>
      <c r="AS279" s="67"/>
      <c r="AT279" s="67"/>
      <c r="AU279" s="67"/>
      <c r="AV279" s="67"/>
      <c r="AW279" s="67"/>
      <c r="AX279" s="67"/>
      <c r="AY279" s="67"/>
      <c r="AZ279" s="67"/>
      <c r="BA279" s="67"/>
    </row>
    <row r="280" spans="1:53" ht="13.8" thickBot="1">
      <c r="A280" s="67"/>
      <c r="B280" s="655">
        <f t="shared" si="34"/>
        <v>259</v>
      </c>
      <c r="C280" s="374" t="str">
        <f t="shared" si="35"/>
        <v/>
      </c>
      <c r="D280" s="784" t="str">
        <f t="shared" si="36"/>
        <v/>
      </c>
      <c r="E280" s="784" t="str">
        <f t="shared" si="37"/>
        <v/>
      </c>
      <c r="F280" s="785" t="str">
        <f t="shared" si="38"/>
        <v/>
      </c>
      <c r="G280" s="784" t="str">
        <f t="shared" ref="G280:G343" si="39">IF(C280="","",IF(ABS(C279-C280)&lt;($C$19-0.0001),"",$C$20+E280))</f>
        <v/>
      </c>
      <c r="J280" s="612"/>
      <c r="L280" s="67"/>
      <c r="M280" s="67"/>
      <c r="N280" s="67"/>
      <c r="O280" s="67"/>
      <c r="P280" s="67"/>
      <c r="Q280" s="67"/>
      <c r="R280" s="67"/>
      <c r="S280" s="67"/>
      <c r="T280" s="67"/>
      <c r="U280" s="641"/>
      <c r="V280" s="643"/>
      <c r="W280" s="593"/>
      <c r="X280" s="67"/>
      <c r="Y280" s="663" t="str">
        <f>IF(C280="","",('transversal subsidence profile'!$L$5*EXP(-(C280^2)/(2*'transversal subsidence profile'!$J$5^2)))*100)</f>
        <v/>
      </c>
      <c r="Z280" s="664" t="str">
        <f>IF(C280="","",(+'transversal subsidence profile'!$L$6*EXP(-((C280+$G$10)^2)/(2*'transversal subsidence profile'!$J$6^2)))*100)</f>
        <v/>
      </c>
      <c r="AA280" s="751" t="str">
        <f>IF(C280="","",IF('IN-OUT'!$F$26=0,'Damage classification-Rankin'!Z280,IF('IN-OUT'!$F$35=0,Y280,'Damage classification-Rankin'!Y280+'Damage classification-Rankin'!Z280)))</f>
        <v/>
      </c>
      <c r="AB280" s="67"/>
      <c r="AC280" s="67"/>
      <c r="AJ280" s="67"/>
      <c r="AK280" s="67"/>
      <c r="AL280" s="67"/>
      <c r="AM280" s="67"/>
      <c r="AN280" s="67"/>
      <c r="AO280" s="67"/>
      <c r="AP280" s="67"/>
      <c r="AQ280" s="67"/>
      <c r="AR280" s="67"/>
      <c r="AS280" s="67"/>
      <c r="AT280" s="67"/>
      <c r="AU280" s="67"/>
      <c r="AV280" s="67"/>
      <c r="AW280" s="67"/>
      <c r="AX280" s="67"/>
      <c r="AY280" s="67"/>
      <c r="AZ280" s="67"/>
      <c r="BA280" s="67"/>
    </row>
    <row r="281" spans="1:53" ht="13.8" thickBot="1">
      <c r="A281" s="67"/>
      <c r="B281" s="655">
        <f t="shared" si="34"/>
        <v>260</v>
      </c>
      <c r="C281" s="374" t="str">
        <f t="shared" si="35"/>
        <v/>
      </c>
      <c r="D281" s="784" t="str">
        <f t="shared" si="36"/>
        <v/>
      </c>
      <c r="E281" s="784" t="str">
        <f t="shared" si="37"/>
        <v/>
      </c>
      <c r="F281" s="785" t="str">
        <f t="shared" si="38"/>
        <v/>
      </c>
      <c r="G281" s="784" t="str">
        <f t="shared" si="39"/>
        <v/>
      </c>
      <c r="J281" s="612"/>
      <c r="L281" s="67"/>
      <c r="M281" s="67"/>
      <c r="N281" s="67"/>
      <c r="O281" s="67"/>
      <c r="P281" s="67"/>
      <c r="Q281" s="67"/>
      <c r="R281" s="67"/>
      <c r="S281" s="67"/>
      <c r="T281" s="67"/>
      <c r="U281" s="641"/>
      <c r="V281" s="643"/>
      <c r="W281" s="593"/>
      <c r="X281" s="67"/>
      <c r="Y281" s="663" t="str">
        <f>IF(C281="","",('transversal subsidence profile'!$L$5*EXP(-(C281^2)/(2*'transversal subsidence profile'!$J$5^2)))*100)</f>
        <v/>
      </c>
      <c r="Z281" s="664" t="str">
        <f>IF(C281="","",(+'transversal subsidence profile'!$L$6*EXP(-((C281+$G$10)^2)/(2*'transversal subsidence profile'!$J$6^2)))*100)</f>
        <v/>
      </c>
      <c r="AA281" s="751" t="str">
        <f>IF(C281="","",IF('IN-OUT'!$F$26=0,'Damage classification-Rankin'!Z281,IF('IN-OUT'!$F$35=0,Y281,'Damage classification-Rankin'!Y281+'Damage classification-Rankin'!Z281)))</f>
        <v/>
      </c>
      <c r="AB281" s="67"/>
      <c r="AC281" s="67"/>
      <c r="AJ281" s="67"/>
      <c r="AK281" s="67"/>
      <c r="AL281" s="67"/>
      <c r="AM281" s="67"/>
      <c r="AN281" s="67"/>
      <c r="AO281" s="67"/>
      <c r="AP281" s="67"/>
      <c r="AQ281" s="67"/>
      <c r="AR281" s="67"/>
      <c r="AS281" s="67"/>
      <c r="AT281" s="67"/>
      <c r="AU281" s="67"/>
      <c r="AV281" s="67"/>
      <c r="AW281" s="67"/>
      <c r="AX281" s="67"/>
      <c r="AY281" s="67"/>
      <c r="AZ281" s="67"/>
      <c r="BA281" s="67"/>
    </row>
    <row r="282" spans="1:53" ht="13.8" thickBot="1">
      <c r="A282" s="67"/>
      <c r="B282" s="655">
        <f t="shared" si="34"/>
        <v>261</v>
      </c>
      <c r="C282" s="374" t="str">
        <f t="shared" si="35"/>
        <v/>
      </c>
      <c r="D282" s="784" t="str">
        <f t="shared" si="36"/>
        <v/>
      </c>
      <c r="E282" s="784" t="str">
        <f t="shared" si="37"/>
        <v/>
      </c>
      <c r="F282" s="785" t="str">
        <f t="shared" si="38"/>
        <v/>
      </c>
      <c r="G282" s="784" t="str">
        <f t="shared" si="39"/>
        <v/>
      </c>
      <c r="J282" s="612"/>
      <c r="L282" s="67"/>
      <c r="M282" s="67"/>
      <c r="N282" s="67"/>
      <c r="O282" s="67"/>
      <c r="P282" s="67"/>
      <c r="Q282" s="67"/>
      <c r="R282" s="67"/>
      <c r="S282" s="67"/>
      <c r="T282" s="67"/>
      <c r="U282" s="641"/>
      <c r="V282" s="643"/>
      <c r="W282" s="593"/>
      <c r="X282" s="67"/>
      <c r="Y282" s="663" t="str">
        <f>IF(C282="","",('transversal subsidence profile'!$L$5*EXP(-(C282^2)/(2*'transversal subsidence profile'!$J$5^2)))*100)</f>
        <v/>
      </c>
      <c r="Z282" s="664" t="str">
        <f>IF(C282="","",(+'transversal subsidence profile'!$L$6*EXP(-((C282+$G$10)^2)/(2*'transversal subsidence profile'!$J$6^2)))*100)</f>
        <v/>
      </c>
      <c r="AA282" s="751" t="str">
        <f>IF(C282="","",IF('IN-OUT'!$F$26=0,'Damage classification-Rankin'!Z282,IF('IN-OUT'!$F$35=0,Y282,'Damage classification-Rankin'!Y282+'Damage classification-Rankin'!Z282)))</f>
        <v/>
      </c>
      <c r="AB282" s="67"/>
      <c r="AC282" s="67"/>
      <c r="AJ282" s="67"/>
      <c r="AK282" s="67"/>
      <c r="AL282" s="67"/>
      <c r="AM282" s="67"/>
      <c r="AN282" s="67"/>
      <c r="AO282" s="67"/>
      <c r="AP282" s="67"/>
      <c r="AQ282" s="67"/>
      <c r="AR282" s="67"/>
      <c r="AS282" s="67"/>
      <c r="AT282" s="67"/>
      <c r="AU282" s="67"/>
      <c r="AV282" s="67"/>
      <c r="AW282" s="67"/>
      <c r="AX282" s="67"/>
      <c r="AY282" s="67"/>
      <c r="AZ282" s="67"/>
      <c r="BA282" s="67"/>
    </row>
    <row r="283" spans="1:53" ht="13.8" thickBot="1">
      <c r="A283" s="67"/>
      <c r="B283" s="655">
        <f t="shared" si="34"/>
        <v>262</v>
      </c>
      <c r="C283" s="374" t="str">
        <f t="shared" si="35"/>
        <v/>
      </c>
      <c r="D283" s="784" t="str">
        <f t="shared" si="36"/>
        <v/>
      </c>
      <c r="E283" s="784" t="str">
        <f t="shared" si="37"/>
        <v/>
      </c>
      <c r="F283" s="785" t="str">
        <f t="shared" si="38"/>
        <v/>
      </c>
      <c r="G283" s="784" t="str">
        <f t="shared" si="39"/>
        <v/>
      </c>
      <c r="J283" s="612"/>
      <c r="L283" s="67"/>
      <c r="M283" s="67"/>
      <c r="N283" s="67"/>
      <c r="O283" s="67"/>
      <c r="P283" s="67"/>
      <c r="Q283" s="67"/>
      <c r="R283" s="67"/>
      <c r="S283" s="67"/>
      <c r="T283" s="67"/>
      <c r="U283" s="641"/>
      <c r="V283" s="643"/>
      <c r="W283" s="593"/>
      <c r="X283" s="67"/>
      <c r="Y283" s="663" t="str">
        <f>IF(C283="","",('transversal subsidence profile'!$L$5*EXP(-(C283^2)/(2*'transversal subsidence profile'!$J$5^2)))*100)</f>
        <v/>
      </c>
      <c r="Z283" s="664" t="str">
        <f>IF(C283="","",(+'transversal subsidence profile'!$L$6*EXP(-((C283+$G$10)^2)/(2*'transversal subsidence profile'!$J$6^2)))*100)</f>
        <v/>
      </c>
      <c r="AA283" s="751" t="str">
        <f>IF(C283="","",IF('IN-OUT'!$F$26=0,'Damage classification-Rankin'!Z283,IF('IN-OUT'!$F$35=0,Y283,'Damage classification-Rankin'!Y283+'Damage classification-Rankin'!Z283)))</f>
        <v/>
      </c>
      <c r="AB283" s="67"/>
      <c r="AC283" s="67"/>
      <c r="AJ283" s="67"/>
      <c r="AK283" s="67"/>
      <c r="AL283" s="67"/>
      <c r="AM283" s="67"/>
      <c r="AN283" s="67"/>
      <c r="AO283" s="67"/>
      <c r="AP283" s="67"/>
      <c r="AQ283" s="67"/>
      <c r="AR283" s="67"/>
      <c r="AS283" s="67"/>
      <c r="AT283" s="67"/>
      <c r="AU283" s="67"/>
      <c r="AV283" s="67"/>
      <c r="AW283" s="67"/>
      <c r="AX283" s="67"/>
      <c r="AY283" s="67"/>
      <c r="AZ283" s="67"/>
      <c r="BA283" s="67"/>
    </row>
    <row r="284" spans="1:53" ht="13.8" thickBot="1">
      <c r="A284" s="67"/>
      <c r="B284" s="655">
        <f t="shared" si="34"/>
        <v>263</v>
      </c>
      <c r="C284" s="374" t="str">
        <f t="shared" si="35"/>
        <v/>
      </c>
      <c r="D284" s="784" t="str">
        <f t="shared" si="36"/>
        <v/>
      </c>
      <c r="E284" s="784" t="str">
        <f t="shared" si="37"/>
        <v/>
      </c>
      <c r="F284" s="785" t="str">
        <f t="shared" si="38"/>
        <v/>
      </c>
      <c r="G284" s="784" t="str">
        <f t="shared" si="39"/>
        <v/>
      </c>
      <c r="J284" s="612"/>
      <c r="L284" s="67"/>
      <c r="M284" s="67"/>
      <c r="N284" s="67"/>
      <c r="O284" s="67"/>
      <c r="P284" s="67"/>
      <c r="Q284" s="67"/>
      <c r="R284" s="67"/>
      <c r="S284" s="67"/>
      <c r="T284" s="67"/>
      <c r="U284" s="641"/>
      <c r="V284" s="643"/>
      <c r="W284" s="593"/>
      <c r="X284" s="67"/>
      <c r="Y284" s="663" t="str">
        <f>IF(C284="","",('transversal subsidence profile'!$L$5*EXP(-(C284^2)/(2*'transversal subsidence profile'!$J$5^2)))*100)</f>
        <v/>
      </c>
      <c r="Z284" s="664" t="str">
        <f>IF(C284="","",(+'transversal subsidence profile'!$L$6*EXP(-((C284+$G$10)^2)/(2*'transversal subsidence profile'!$J$6^2)))*100)</f>
        <v/>
      </c>
      <c r="AA284" s="751" t="str">
        <f>IF(C284="","",IF('IN-OUT'!$F$26=0,'Damage classification-Rankin'!Z284,IF('IN-OUT'!$F$35=0,Y284,'Damage classification-Rankin'!Y284+'Damage classification-Rankin'!Z284)))</f>
        <v/>
      </c>
      <c r="AB284" s="67"/>
      <c r="AC284" s="67"/>
      <c r="AJ284" s="67"/>
      <c r="AK284" s="67"/>
      <c r="AL284" s="67"/>
      <c r="AM284" s="67"/>
      <c r="AN284" s="67"/>
      <c r="AO284" s="67"/>
      <c r="AP284" s="67"/>
      <c r="AQ284" s="67"/>
      <c r="AR284" s="67"/>
      <c r="AS284" s="67"/>
      <c r="AT284" s="67"/>
      <c r="AU284" s="67"/>
      <c r="AV284" s="67"/>
      <c r="AW284" s="67"/>
      <c r="AX284" s="67"/>
      <c r="AY284" s="67"/>
      <c r="AZ284" s="67"/>
      <c r="BA284" s="67"/>
    </row>
    <row r="285" spans="1:53" ht="13.8" thickBot="1">
      <c r="A285" s="67"/>
      <c r="B285" s="655">
        <f t="shared" si="34"/>
        <v>264</v>
      </c>
      <c r="C285" s="374" t="str">
        <f t="shared" si="35"/>
        <v/>
      </c>
      <c r="D285" s="784" t="str">
        <f t="shared" si="36"/>
        <v/>
      </c>
      <c r="E285" s="784" t="str">
        <f t="shared" si="37"/>
        <v/>
      </c>
      <c r="F285" s="785" t="str">
        <f t="shared" si="38"/>
        <v/>
      </c>
      <c r="G285" s="784" t="str">
        <f t="shared" si="39"/>
        <v/>
      </c>
      <c r="J285" s="612"/>
      <c r="L285" s="67"/>
      <c r="M285" s="67"/>
      <c r="N285" s="67"/>
      <c r="O285" s="67"/>
      <c r="P285" s="67"/>
      <c r="Q285" s="67"/>
      <c r="R285" s="67"/>
      <c r="S285" s="67"/>
      <c r="T285" s="67"/>
      <c r="U285" s="641"/>
      <c r="V285" s="643"/>
      <c r="W285" s="593"/>
      <c r="X285" s="67"/>
      <c r="Y285" s="663" t="str">
        <f>IF(C285="","",('transversal subsidence profile'!$L$5*EXP(-(C285^2)/(2*'transversal subsidence profile'!$J$5^2)))*100)</f>
        <v/>
      </c>
      <c r="Z285" s="664" t="str">
        <f>IF(C285="","",(+'transversal subsidence profile'!$L$6*EXP(-((C285+$G$10)^2)/(2*'transversal subsidence profile'!$J$6^2)))*100)</f>
        <v/>
      </c>
      <c r="AA285" s="751" t="str">
        <f>IF(C285="","",IF('IN-OUT'!$F$26=0,'Damage classification-Rankin'!Z285,IF('IN-OUT'!$F$35=0,Y285,'Damage classification-Rankin'!Y285+'Damage classification-Rankin'!Z285)))</f>
        <v/>
      </c>
      <c r="AB285" s="67"/>
      <c r="AC285" s="67"/>
      <c r="AJ285" s="67"/>
      <c r="AK285" s="67"/>
      <c r="AL285" s="67"/>
      <c r="AM285" s="67"/>
      <c r="AN285" s="67"/>
      <c r="AO285" s="67"/>
      <c r="AP285" s="67"/>
      <c r="AQ285" s="67"/>
      <c r="AR285" s="67"/>
      <c r="AS285" s="67"/>
      <c r="AT285" s="67"/>
      <c r="AU285" s="67"/>
      <c r="AV285" s="67"/>
      <c r="AW285" s="67"/>
      <c r="AX285" s="67"/>
      <c r="AY285" s="67"/>
      <c r="AZ285" s="67"/>
      <c r="BA285" s="67"/>
    </row>
    <row r="286" spans="1:53" ht="13.8" thickBot="1">
      <c r="A286" s="67"/>
      <c r="B286" s="655">
        <f t="shared" si="34"/>
        <v>265</v>
      </c>
      <c r="C286" s="374" t="str">
        <f t="shared" si="35"/>
        <v/>
      </c>
      <c r="D286" s="784" t="str">
        <f t="shared" si="36"/>
        <v/>
      </c>
      <c r="E286" s="784" t="str">
        <f t="shared" si="37"/>
        <v/>
      </c>
      <c r="F286" s="785" t="str">
        <f t="shared" si="38"/>
        <v/>
      </c>
      <c r="G286" s="784" t="str">
        <f t="shared" si="39"/>
        <v/>
      </c>
      <c r="J286" s="612"/>
      <c r="L286" s="67"/>
      <c r="M286" s="67"/>
      <c r="N286" s="67"/>
      <c r="O286" s="67"/>
      <c r="P286" s="67"/>
      <c r="Q286" s="67"/>
      <c r="R286" s="67"/>
      <c r="S286" s="67"/>
      <c r="T286" s="67"/>
      <c r="U286" s="641"/>
      <c r="V286" s="643"/>
      <c r="W286" s="593"/>
      <c r="X286" s="67"/>
      <c r="Y286" s="663" t="str">
        <f>IF(C286="","",('transversal subsidence profile'!$L$5*EXP(-(C286^2)/(2*'transversal subsidence profile'!$J$5^2)))*100)</f>
        <v/>
      </c>
      <c r="Z286" s="664" t="str">
        <f>IF(C286="","",(+'transversal subsidence profile'!$L$6*EXP(-((C286+$G$10)^2)/(2*'transversal subsidence profile'!$J$6^2)))*100)</f>
        <v/>
      </c>
      <c r="AA286" s="751" t="str">
        <f>IF(C286="","",IF('IN-OUT'!$F$26=0,'Damage classification-Rankin'!Z286,IF('IN-OUT'!$F$35=0,Y286,'Damage classification-Rankin'!Y286+'Damage classification-Rankin'!Z286)))</f>
        <v/>
      </c>
      <c r="AB286" s="67"/>
      <c r="AC286" s="67"/>
      <c r="AJ286" s="67"/>
      <c r="AK286" s="67"/>
      <c r="AL286" s="67"/>
      <c r="AM286" s="67"/>
      <c r="AN286" s="67"/>
      <c r="AO286" s="67"/>
      <c r="AP286" s="67"/>
      <c r="AQ286" s="67"/>
      <c r="AR286" s="67"/>
      <c r="AS286" s="67"/>
      <c r="AT286" s="67"/>
      <c r="AU286" s="67"/>
      <c r="AV286" s="67"/>
      <c r="AW286" s="67"/>
      <c r="AX286" s="67"/>
      <c r="AY286" s="67"/>
      <c r="AZ286" s="67"/>
      <c r="BA286" s="67"/>
    </row>
    <row r="287" spans="1:53" ht="13.8" thickBot="1">
      <c r="A287" s="67"/>
      <c r="B287" s="655">
        <f t="shared" si="34"/>
        <v>266</v>
      </c>
      <c r="C287" s="374" t="str">
        <f t="shared" si="35"/>
        <v/>
      </c>
      <c r="D287" s="784" t="str">
        <f t="shared" si="36"/>
        <v/>
      </c>
      <c r="E287" s="784" t="str">
        <f t="shared" si="37"/>
        <v/>
      </c>
      <c r="F287" s="785" t="str">
        <f t="shared" si="38"/>
        <v/>
      </c>
      <c r="G287" s="784" t="str">
        <f t="shared" si="39"/>
        <v/>
      </c>
      <c r="J287" s="612"/>
      <c r="L287" s="67"/>
      <c r="M287" s="67"/>
      <c r="N287" s="67"/>
      <c r="O287" s="67"/>
      <c r="P287" s="67"/>
      <c r="Q287" s="67"/>
      <c r="R287" s="67"/>
      <c r="S287" s="67"/>
      <c r="T287" s="67"/>
      <c r="U287" s="641"/>
      <c r="V287" s="643"/>
      <c r="W287" s="593"/>
      <c r="X287" s="67"/>
      <c r="Y287" s="663" t="str">
        <f>IF(C287="","",('transversal subsidence profile'!$L$5*EXP(-(C287^2)/(2*'transversal subsidence profile'!$J$5^2)))*100)</f>
        <v/>
      </c>
      <c r="Z287" s="664" t="str">
        <f>IF(C287="","",(+'transversal subsidence profile'!$L$6*EXP(-((C287+$G$10)^2)/(2*'transversal subsidence profile'!$J$6^2)))*100)</f>
        <v/>
      </c>
      <c r="AA287" s="751" t="str">
        <f>IF(C287="","",IF('IN-OUT'!$F$26=0,'Damage classification-Rankin'!Z287,IF('IN-OUT'!$F$35=0,Y287,'Damage classification-Rankin'!Y287+'Damage classification-Rankin'!Z287)))</f>
        <v/>
      </c>
      <c r="AB287" s="67"/>
      <c r="AC287" s="67"/>
      <c r="AJ287" s="67"/>
      <c r="AK287" s="67"/>
      <c r="AL287" s="67"/>
      <c r="AM287" s="67"/>
      <c r="AN287" s="67"/>
      <c r="AO287" s="67"/>
      <c r="AP287" s="67"/>
      <c r="AQ287" s="67"/>
      <c r="AR287" s="67"/>
      <c r="AS287" s="67"/>
      <c r="AT287" s="67"/>
      <c r="AU287" s="67"/>
      <c r="AV287" s="67"/>
      <c r="AW287" s="67"/>
      <c r="AX287" s="67"/>
      <c r="AY287" s="67"/>
      <c r="AZ287" s="67"/>
      <c r="BA287" s="67"/>
    </row>
    <row r="288" spans="1:53" ht="13.8" thickBot="1">
      <c r="A288" s="67"/>
      <c r="B288" s="655">
        <f t="shared" si="34"/>
        <v>267</v>
      </c>
      <c r="C288" s="374" t="str">
        <f t="shared" si="35"/>
        <v/>
      </c>
      <c r="D288" s="784" t="str">
        <f t="shared" si="36"/>
        <v/>
      </c>
      <c r="E288" s="784" t="str">
        <f t="shared" si="37"/>
        <v/>
      </c>
      <c r="F288" s="785" t="str">
        <f t="shared" si="38"/>
        <v/>
      </c>
      <c r="G288" s="784" t="str">
        <f t="shared" si="39"/>
        <v/>
      </c>
      <c r="J288" s="612"/>
      <c r="L288" s="67"/>
      <c r="M288" s="67"/>
      <c r="N288" s="67"/>
      <c r="O288" s="67"/>
      <c r="P288" s="67"/>
      <c r="Q288" s="67"/>
      <c r="R288" s="67"/>
      <c r="S288" s="67"/>
      <c r="T288" s="67"/>
      <c r="U288" s="641"/>
      <c r="V288" s="643"/>
      <c r="W288" s="593"/>
      <c r="X288" s="67"/>
      <c r="Y288" s="663" t="str">
        <f>IF(C288="","",('transversal subsidence profile'!$L$5*EXP(-(C288^2)/(2*'transversal subsidence profile'!$J$5^2)))*100)</f>
        <v/>
      </c>
      <c r="Z288" s="664" t="str">
        <f>IF(C288="","",(+'transversal subsidence profile'!$L$6*EXP(-((C288+$G$10)^2)/(2*'transversal subsidence profile'!$J$6^2)))*100)</f>
        <v/>
      </c>
      <c r="AA288" s="751" t="str">
        <f>IF(C288="","",IF('IN-OUT'!$F$26=0,'Damage classification-Rankin'!Z288,IF('IN-OUT'!$F$35=0,Y288,'Damage classification-Rankin'!Y288+'Damage classification-Rankin'!Z288)))</f>
        <v/>
      </c>
      <c r="AB288" s="67"/>
      <c r="AC288" s="67"/>
      <c r="AJ288" s="67"/>
      <c r="AK288" s="67"/>
      <c r="AL288" s="67"/>
      <c r="AM288" s="67"/>
      <c r="AN288" s="67"/>
      <c r="AO288" s="67"/>
      <c r="AP288" s="67"/>
      <c r="AQ288" s="67"/>
      <c r="AR288" s="67"/>
      <c r="AS288" s="67"/>
      <c r="AT288" s="67"/>
      <c r="AU288" s="67"/>
      <c r="AV288" s="67"/>
      <c r="AW288" s="67"/>
      <c r="AX288" s="67"/>
      <c r="AY288" s="67"/>
      <c r="AZ288" s="67"/>
      <c r="BA288" s="67"/>
    </row>
    <row r="289" spans="1:53" ht="13.8" thickBot="1">
      <c r="A289" s="67"/>
      <c r="B289" s="655">
        <f t="shared" si="34"/>
        <v>268</v>
      </c>
      <c r="C289" s="374" t="str">
        <f t="shared" si="35"/>
        <v/>
      </c>
      <c r="D289" s="784" t="str">
        <f t="shared" si="36"/>
        <v/>
      </c>
      <c r="E289" s="784" t="str">
        <f t="shared" si="37"/>
        <v/>
      </c>
      <c r="F289" s="785" t="str">
        <f t="shared" si="38"/>
        <v/>
      </c>
      <c r="G289" s="784" t="str">
        <f t="shared" si="39"/>
        <v/>
      </c>
      <c r="J289" s="612"/>
      <c r="L289" s="67"/>
      <c r="M289" s="67"/>
      <c r="N289" s="67"/>
      <c r="O289" s="67"/>
      <c r="P289" s="67"/>
      <c r="Q289" s="67"/>
      <c r="R289" s="67"/>
      <c r="S289" s="67"/>
      <c r="T289" s="67"/>
      <c r="U289" s="641"/>
      <c r="V289" s="643"/>
      <c r="W289" s="593"/>
      <c r="X289" s="67"/>
      <c r="Y289" s="663" t="str">
        <f>IF(C289="","",('transversal subsidence profile'!$L$5*EXP(-(C289^2)/(2*'transversal subsidence profile'!$J$5^2)))*100)</f>
        <v/>
      </c>
      <c r="Z289" s="664" t="str">
        <f>IF(C289="","",(+'transversal subsidence profile'!$L$6*EXP(-((C289+$G$10)^2)/(2*'transversal subsidence profile'!$J$6^2)))*100)</f>
        <v/>
      </c>
      <c r="AA289" s="751" t="str">
        <f>IF(C289="","",IF('IN-OUT'!$F$26=0,'Damage classification-Rankin'!Z289,IF('IN-OUT'!$F$35=0,Y289,'Damage classification-Rankin'!Y289+'Damage classification-Rankin'!Z289)))</f>
        <v/>
      </c>
      <c r="AB289" s="67"/>
      <c r="AC289" s="67"/>
      <c r="AJ289" s="67"/>
      <c r="AK289" s="67"/>
      <c r="AL289" s="67"/>
      <c r="AM289" s="67"/>
      <c r="AN289" s="67"/>
      <c r="AO289" s="67"/>
      <c r="AP289" s="67"/>
      <c r="AQ289" s="67"/>
      <c r="AR289" s="67"/>
      <c r="AS289" s="67"/>
      <c r="AT289" s="67"/>
      <c r="AU289" s="67"/>
      <c r="AV289" s="67"/>
      <c r="AW289" s="67"/>
      <c r="AX289" s="67"/>
      <c r="AY289" s="67"/>
      <c r="AZ289" s="67"/>
      <c r="BA289" s="67"/>
    </row>
    <row r="290" spans="1:53" ht="13.8" thickBot="1">
      <c r="A290" s="67"/>
      <c r="B290" s="655">
        <f t="shared" ref="B290:B353" si="40">B289+1</f>
        <v>269</v>
      </c>
      <c r="C290" s="374" t="str">
        <f t="shared" ref="C290:C353" si="41">IF(OR(C289=$D$8,C289=""),"",IF((C289+$C$19)&gt;$D$8,$D$8,C289+$C$19))</f>
        <v/>
      </c>
      <c r="D290" s="784" t="str">
        <f t="shared" ref="D290:D353" si="42">AA290</f>
        <v/>
      </c>
      <c r="E290" s="784" t="str">
        <f t="shared" ref="E290:E353" si="43">IF(C290="","",IF(D290&gt;D289,ATAN(((D290-D289))/ABS((C290-C289)*100)),-ATAN(((D289-D290))/ABS((C290-C289)*100))))</f>
        <v/>
      </c>
      <c r="F290" s="785" t="str">
        <f t="shared" ref="F290:F353" si="44">IF(C290&lt;&gt;"",ABS(D289-D290),"")</f>
        <v/>
      </c>
      <c r="G290" s="784" t="str">
        <f t="shared" si="39"/>
        <v/>
      </c>
      <c r="J290" s="612"/>
      <c r="L290" s="67"/>
      <c r="M290" s="67"/>
      <c r="N290" s="67"/>
      <c r="O290" s="67"/>
      <c r="P290" s="67"/>
      <c r="Q290" s="67"/>
      <c r="R290" s="67"/>
      <c r="S290" s="67"/>
      <c r="T290" s="67"/>
      <c r="U290" s="641"/>
      <c r="V290" s="643"/>
      <c r="W290" s="593"/>
      <c r="X290" s="67"/>
      <c r="Y290" s="663" t="str">
        <f>IF(C290="","",('transversal subsidence profile'!$L$5*EXP(-(C290^2)/(2*'transversal subsidence profile'!$J$5^2)))*100)</f>
        <v/>
      </c>
      <c r="Z290" s="664" t="str">
        <f>IF(C290="","",(+'transversal subsidence profile'!$L$6*EXP(-((C290+$G$10)^2)/(2*'transversal subsidence profile'!$J$6^2)))*100)</f>
        <v/>
      </c>
      <c r="AA290" s="751" t="str">
        <f>IF(C290="","",IF('IN-OUT'!$F$26=0,'Damage classification-Rankin'!Z290,IF('IN-OUT'!$F$35=0,Y290,'Damage classification-Rankin'!Y290+'Damage classification-Rankin'!Z290)))</f>
        <v/>
      </c>
      <c r="AB290" s="67"/>
      <c r="AC290" s="67"/>
      <c r="AJ290" s="67"/>
      <c r="AK290" s="67"/>
      <c r="AL290" s="67"/>
      <c r="AM290" s="67"/>
      <c r="AN290" s="67"/>
      <c r="AO290" s="67"/>
      <c r="AP290" s="67"/>
      <c r="AQ290" s="67"/>
      <c r="AR290" s="67"/>
      <c r="AS290" s="67"/>
      <c r="AT290" s="67"/>
      <c r="AU290" s="67"/>
      <c r="AV290" s="67"/>
      <c r="AW290" s="67"/>
      <c r="AX290" s="67"/>
      <c r="AY290" s="67"/>
      <c r="AZ290" s="67"/>
      <c r="BA290" s="67"/>
    </row>
    <row r="291" spans="1:53" ht="13.8" thickBot="1">
      <c r="A291" s="67"/>
      <c r="B291" s="655">
        <f t="shared" si="40"/>
        <v>270</v>
      </c>
      <c r="C291" s="374" t="str">
        <f t="shared" si="41"/>
        <v/>
      </c>
      <c r="D291" s="784" t="str">
        <f t="shared" si="42"/>
        <v/>
      </c>
      <c r="E291" s="784" t="str">
        <f t="shared" si="43"/>
        <v/>
      </c>
      <c r="F291" s="785" t="str">
        <f t="shared" si="44"/>
        <v/>
      </c>
      <c r="G291" s="784" t="str">
        <f t="shared" si="39"/>
        <v/>
      </c>
      <c r="J291" s="612"/>
      <c r="L291" s="67"/>
      <c r="M291" s="67"/>
      <c r="N291" s="67"/>
      <c r="O291" s="67"/>
      <c r="P291" s="67"/>
      <c r="Q291" s="67"/>
      <c r="R291" s="67"/>
      <c r="S291" s="67"/>
      <c r="T291" s="67"/>
      <c r="U291" s="641"/>
      <c r="V291" s="643"/>
      <c r="W291" s="593"/>
      <c r="X291" s="67"/>
      <c r="Y291" s="663" t="str">
        <f>IF(C291="","",('transversal subsidence profile'!$L$5*EXP(-(C291^2)/(2*'transversal subsidence profile'!$J$5^2)))*100)</f>
        <v/>
      </c>
      <c r="Z291" s="664" t="str">
        <f>IF(C291="","",(+'transversal subsidence profile'!$L$6*EXP(-((C291+$G$10)^2)/(2*'transversal subsidence profile'!$J$6^2)))*100)</f>
        <v/>
      </c>
      <c r="AA291" s="751" t="str">
        <f>IF(C291="","",IF('IN-OUT'!$F$26=0,'Damage classification-Rankin'!Z291,IF('IN-OUT'!$F$35=0,Y291,'Damage classification-Rankin'!Y291+'Damage classification-Rankin'!Z291)))</f>
        <v/>
      </c>
      <c r="AB291" s="67"/>
      <c r="AC291" s="67"/>
      <c r="AJ291" s="67"/>
      <c r="AK291" s="67"/>
      <c r="AL291" s="67"/>
      <c r="AM291" s="67"/>
      <c r="AN291" s="67"/>
      <c r="AO291" s="67"/>
      <c r="AP291" s="67"/>
      <c r="AQ291" s="67"/>
      <c r="AR291" s="67"/>
      <c r="AS291" s="67"/>
      <c r="AT291" s="67"/>
      <c r="AU291" s="67"/>
      <c r="AV291" s="67"/>
      <c r="AW291" s="67"/>
      <c r="AX291" s="67"/>
      <c r="AY291" s="67"/>
      <c r="AZ291" s="67"/>
      <c r="BA291" s="67"/>
    </row>
    <row r="292" spans="1:53" ht="13.8" thickBot="1">
      <c r="A292" s="67"/>
      <c r="B292" s="655">
        <f t="shared" si="40"/>
        <v>271</v>
      </c>
      <c r="C292" s="374" t="str">
        <f t="shared" si="41"/>
        <v/>
      </c>
      <c r="D292" s="784" t="str">
        <f t="shared" si="42"/>
        <v/>
      </c>
      <c r="E292" s="784" t="str">
        <f t="shared" si="43"/>
        <v/>
      </c>
      <c r="F292" s="785" t="str">
        <f t="shared" si="44"/>
        <v/>
      </c>
      <c r="G292" s="784" t="str">
        <f t="shared" si="39"/>
        <v/>
      </c>
      <c r="J292" s="612"/>
      <c r="L292" s="67"/>
      <c r="M292" s="67"/>
      <c r="N292" s="67"/>
      <c r="O292" s="67"/>
      <c r="P292" s="67"/>
      <c r="Q292" s="67"/>
      <c r="R292" s="67"/>
      <c r="S292" s="67"/>
      <c r="T292" s="67"/>
      <c r="U292" s="641"/>
      <c r="V292" s="643"/>
      <c r="W292" s="593"/>
      <c r="X292" s="67"/>
      <c r="Y292" s="663" t="str">
        <f>IF(C292="","",('transversal subsidence profile'!$L$5*EXP(-(C292^2)/(2*'transversal subsidence profile'!$J$5^2)))*100)</f>
        <v/>
      </c>
      <c r="Z292" s="664" t="str">
        <f>IF(C292="","",(+'transversal subsidence profile'!$L$6*EXP(-((C292+$G$10)^2)/(2*'transversal subsidence profile'!$J$6^2)))*100)</f>
        <v/>
      </c>
      <c r="AA292" s="751" t="str">
        <f>IF(C292="","",IF('IN-OUT'!$F$26=0,'Damage classification-Rankin'!Z292,IF('IN-OUT'!$F$35=0,Y292,'Damage classification-Rankin'!Y292+'Damage classification-Rankin'!Z292)))</f>
        <v/>
      </c>
      <c r="AB292" s="67"/>
      <c r="AC292" s="67"/>
      <c r="AJ292" s="67"/>
      <c r="AK292" s="67"/>
      <c r="AL292" s="67"/>
      <c r="AM292" s="67"/>
      <c r="AN292" s="67"/>
      <c r="AO292" s="67"/>
      <c r="AP292" s="67"/>
      <c r="AQ292" s="67"/>
      <c r="AR292" s="67"/>
      <c r="AS292" s="67"/>
      <c r="AT292" s="67"/>
      <c r="AU292" s="67"/>
      <c r="AV292" s="67"/>
      <c r="AW292" s="67"/>
      <c r="AX292" s="67"/>
      <c r="AY292" s="67"/>
      <c r="AZ292" s="67"/>
      <c r="BA292" s="67"/>
    </row>
    <row r="293" spans="1:53" ht="13.8" thickBot="1">
      <c r="A293" s="67"/>
      <c r="B293" s="655">
        <f t="shared" si="40"/>
        <v>272</v>
      </c>
      <c r="C293" s="374" t="str">
        <f t="shared" si="41"/>
        <v/>
      </c>
      <c r="D293" s="784" t="str">
        <f t="shared" si="42"/>
        <v/>
      </c>
      <c r="E293" s="784" t="str">
        <f t="shared" si="43"/>
        <v/>
      </c>
      <c r="F293" s="785" t="str">
        <f t="shared" si="44"/>
        <v/>
      </c>
      <c r="G293" s="784" t="str">
        <f t="shared" si="39"/>
        <v/>
      </c>
      <c r="J293" s="612"/>
      <c r="L293" s="67"/>
      <c r="M293" s="67"/>
      <c r="N293" s="67"/>
      <c r="O293" s="67"/>
      <c r="P293" s="67"/>
      <c r="Q293" s="67"/>
      <c r="R293" s="67"/>
      <c r="S293" s="67"/>
      <c r="T293" s="67"/>
      <c r="U293" s="641"/>
      <c r="V293" s="643"/>
      <c r="W293" s="593"/>
      <c r="X293" s="67"/>
      <c r="Y293" s="663" t="str">
        <f>IF(C293="","",('transversal subsidence profile'!$L$5*EXP(-(C293^2)/(2*'transversal subsidence profile'!$J$5^2)))*100)</f>
        <v/>
      </c>
      <c r="Z293" s="664" t="str">
        <f>IF(C293="","",(+'transversal subsidence profile'!$L$6*EXP(-((C293+$G$10)^2)/(2*'transversal subsidence profile'!$J$6^2)))*100)</f>
        <v/>
      </c>
      <c r="AA293" s="751" t="str">
        <f>IF(C293="","",IF('IN-OUT'!$F$26=0,'Damage classification-Rankin'!Z293,IF('IN-OUT'!$F$35=0,Y293,'Damage classification-Rankin'!Y293+'Damage classification-Rankin'!Z293)))</f>
        <v/>
      </c>
      <c r="AB293" s="67"/>
      <c r="AC293" s="67"/>
      <c r="AJ293" s="67"/>
      <c r="AK293" s="67"/>
      <c r="AL293" s="67"/>
      <c r="AM293" s="67"/>
      <c r="AN293" s="67"/>
      <c r="AO293" s="67"/>
      <c r="AP293" s="67"/>
      <c r="AQ293" s="67"/>
      <c r="AR293" s="67"/>
      <c r="AS293" s="67"/>
      <c r="AT293" s="67"/>
      <c r="AU293" s="67"/>
      <c r="AV293" s="67"/>
      <c r="AW293" s="67"/>
      <c r="AX293" s="67"/>
      <c r="AY293" s="67"/>
      <c r="AZ293" s="67"/>
      <c r="BA293" s="67"/>
    </row>
    <row r="294" spans="1:53" ht="13.8" thickBot="1">
      <c r="A294" s="67"/>
      <c r="B294" s="655">
        <f t="shared" si="40"/>
        <v>273</v>
      </c>
      <c r="C294" s="374" t="str">
        <f t="shared" si="41"/>
        <v/>
      </c>
      <c r="D294" s="784" t="str">
        <f t="shared" si="42"/>
        <v/>
      </c>
      <c r="E294" s="784" t="str">
        <f t="shared" si="43"/>
        <v/>
      </c>
      <c r="F294" s="785" t="str">
        <f t="shared" si="44"/>
        <v/>
      </c>
      <c r="G294" s="784" t="str">
        <f t="shared" si="39"/>
        <v/>
      </c>
      <c r="J294" s="612"/>
      <c r="L294" s="67"/>
      <c r="M294" s="67"/>
      <c r="N294" s="67"/>
      <c r="O294" s="67"/>
      <c r="P294" s="67"/>
      <c r="Q294" s="67"/>
      <c r="R294" s="67"/>
      <c r="S294" s="67"/>
      <c r="T294" s="67"/>
      <c r="U294" s="641"/>
      <c r="V294" s="643"/>
      <c r="W294" s="593"/>
      <c r="X294" s="67"/>
      <c r="Y294" s="663" t="str">
        <f>IF(C294="","",('transversal subsidence profile'!$L$5*EXP(-(C294^2)/(2*'transversal subsidence profile'!$J$5^2)))*100)</f>
        <v/>
      </c>
      <c r="Z294" s="664" t="str">
        <f>IF(C294="","",(+'transversal subsidence profile'!$L$6*EXP(-((C294+$G$10)^2)/(2*'transversal subsidence profile'!$J$6^2)))*100)</f>
        <v/>
      </c>
      <c r="AA294" s="751" t="str">
        <f>IF(C294="","",IF('IN-OUT'!$F$26=0,'Damage classification-Rankin'!Z294,IF('IN-OUT'!$F$35=0,Y294,'Damage classification-Rankin'!Y294+'Damage classification-Rankin'!Z294)))</f>
        <v/>
      </c>
      <c r="AB294" s="67"/>
      <c r="AC294" s="67"/>
      <c r="AJ294" s="67"/>
      <c r="AK294" s="67"/>
      <c r="AL294" s="67"/>
      <c r="AM294" s="67"/>
      <c r="AN294" s="67"/>
      <c r="AO294" s="67"/>
      <c r="AP294" s="67"/>
      <c r="AQ294" s="67"/>
      <c r="AR294" s="67"/>
      <c r="AS294" s="67"/>
      <c r="AT294" s="67"/>
      <c r="AU294" s="67"/>
      <c r="AV294" s="67"/>
      <c r="AW294" s="67"/>
      <c r="AX294" s="67"/>
      <c r="AY294" s="67"/>
      <c r="AZ294" s="67"/>
      <c r="BA294" s="67"/>
    </row>
    <row r="295" spans="1:53" ht="13.8" thickBot="1">
      <c r="A295" s="67"/>
      <c r="B295" s="655">
        <f t="shared" si="40"/>
        <v>274</v>
      </c>
      <c r="C295" s="374" t="str">
        <f t="shared" si="41"/>
        <v/>
      </c>
      <c r="D295" s="784" t="str">
        <f t="shared" si="42"/>
        <v/>
      </c>
      <c r="E295" s="784" t="str">
        <f t="shared" si="43"/>
        <v/>
      </c>
      <c r="F295" s="785" t="str">
        <f t="shared" si="44"/>
        <v/>
      </c>
      <c r="G295" s="784" t="str">
        <f t="shared" si="39"/>
        <v/>
      </c>
      <c r="J295" s="612"/>
      <c r="L295" s="67"/>
      <c r="M295" s="67"/>
      <c r="N295" s="67"/>
      <c r="O295" s="67"/>
      <c r="P295" s="67"/>
      <c r="Q295" s="67"/>
      <c r="R295" s="67"/>
      <c r="S295" s="67"/>
      <c r="T295" s="67"/>
      <c r="U295" s="641"/>
      <c r="V295" s="643"/>
      <c r="W295" s="593"/>
      <c r="X295" s="67"/>
      <c r="Y295" s="663" t="str">
        <f>IF(C295="","",('transversal subsidence profile'!$L$5*EXP(-(C295^2)/(2*'transversal subsidence profile'!$J$5^2)))*100)</f>
        <v/>
      </c>
      <c r="Z295" s="664" t="str">
        <f>IF(C295="","",(+'transversal subsidence profile'!$L$6*EXP(-((C295+$G$10)^2)/(2*'transversal subsidence profile'!$J$6^2)))*100)</f>
        <v/>
      </c>
      <c r="AA295" s="751" t="str">
        <f>IF(C295="","",IF('IN-OUT'!$F$26=0,'Damage classification-Rankin'!Z295,IF('IN-OUT'!$F$35=0,Y295,'Damage classification-Rankin'!Y295+'Damage classification-Rankin'!Z295)))</f>
        <v/>
      </c>
      <c r="AB295" s="67"/>
      <c r="AC295" s="67"/>
    </row>
    <row r="296" spans="1:53" ht="13.8" thickBot="1">
      <c r="A296" s="67"/>
      <c r="B296" s="655">
        <f t="shared" si="40"/>
        <v>275</v>
      </c>
      <c r="C296" s="374" t="str">
        <f t="shared" si="41"/>
        <v/>
      </c>
      <c r="D296" s="784" t="str">
        <f t="shared" si="42"/>
        <v/>
      </c>
      <c r="E296" s="784" t="str">
        <f t="shared" si="43"/>
        <v/>
      </c>
      <c r="F296" s="785" t="str">
        <f t="shared" si="44"/>
        <v/>
      </c>
      <c r="G296" s="784" t="str">
        <f t="shared" si="39"/>
        <v/>
      </c>
      <c r="J296" s="612"/>
      <c r="L296" s="67"/>
      <c r="M296" s="67"/>
      <c r="N296" s="67"/>
      <c r="O296" s="67"/>
      <c r="P296" s="67"/>
      <c r="Q296" s="67"/>
      <c r="R296" s="67"/>
      <c r="S296" s="67"/>
      <c r="T296" s="67"/>
      <c r="U296" s="641"/>
      <c r="V296" s="643"/>
      <c r="W296" s="593"/>
      <c r="X296" s="67"/>
      <c r="Y296" s="663" t="str">
        <f>IF(C296="","",('transversal subsidence profile'!$L$5*EXP(-(C296^2)/(2*'transversal subsidence profile'!$J$5^2)))*100)</f>
        <v/>
      </c>
      <c r="Z296" s="664" t="str">
        <f>IF(C296="","",(+'transversal subsidence profile'!$L$6*EXP(-((C296+$G$10)^2)/(2*'transversal subsidence profile'!$J$6^2)))*100)</f>
        <v/>
      </c>
      <c r="AA296" s="751" t="str">
        <f>IF(C296="","",IF('IN-OUT'!$F$26=0,'Damage classification-Rankin'!Z296,IF('IN-OUT'!$F$35=0,Y296,'Damage classification-Rankin'!Y296+'Damage classification-Rankin'!Z296)))</f>
        <v/>
      </c>
      <c r="AB296" s="67"/>
      <c r="AC296" s="67"/>
    </row>
    <row r="297" spans="1:53" ht="13.8" thickBot="1">
      <c r="A297" s="67"/>
      <c r="B297" s="655">
        <f t="shared" si="40"/>
        <v>276</v>
      </c>
      <c r="C297" s="374" t="str">
        <f t="shared" si="41"/>
        <v/>
      </c>
      <c r="D297" s="784" t="str">
        <f t="shared" si="42"/>
        <v/>
      </c>
      <c r="E297" s="784" t="str">
        <f t="shared" si="43"/>
        <v/>
      </c>
      <c r="F297" s="785" t="str">
        <f t="shared" si="44"/>
        <v/>
      </c>
      <c r="G297" s="784" t="str">
        <f t="shared" si="39"/>
        <v/>
      </c>
      <c r="J297" s="612"/>
      <c r="L297" s="67"/>
      <c r="M297" s="67"/>
      <c r="N297" s="67"/>
      <c r="O297" s="67"/>
      <c r="P297" s="67"/>
      <c r="Q297" s="67"/>
      <c r="R297" s="67"/>
      <c r="S297" s="67"/>
      <c r="T297" s="67"/>
      <c r="U297" s="641"/>
      <c r="V297" s="643"/>
      <c r="W297" s="593"/>
      <c r="X297" s="67"/>
      <c r="Y297" s="663" t="str">
        <f>IF(C297="","",('transversal subsidence profile'!$L$5*EXP(-(C297^2)/(2*'transversal subsidence profile'!$J$5^2)))*100)</f>
        <v/>
      </c>
      <c r="Z297" s="664" t="str">
        <f>IF(C297="","",(+'transversal subsidence profile'!$L$6*EXP(-((C297+$G$10)^2)/(2*'transversal subsidence profile'!$J$6^2)))*100)</f>
        <v/>
      </c>
      <c r="AA297" s="751" t="str">
        <f>IF(C297="","",IF('IN-OUT'!$F$26=0,'Damage classification-Rankin'!Z297,IF('IN-OUT'!$F$35=0,Y297,'Damage classification-Rankin'!Y297+'Damage classification-Rankin'!Z297)))</f>
        <v/>
      </c>
      <c r="AB297" s="67"/>
      <c r="AC297" s="67"/>
    </row>
    <row r="298" spans="1:53" ht="13.8" thickBot="1">
      <c r="A298" s="67"/>
      <c r="B298" s="655">
        <f t="shared" si="40"/>
        <v>277</v>
      </c>
      <c r="C298" s="374" t="str">
        <f t="shared" si="41"/>
        <v/>
      </c>
      <c r="D298" s="784" t="str">
        <f t="shared" si="42"/>
        <v/>
      </c>
      <c r="E298" s="784" t="str">
        <f t="shared" si="43"/>
        <v/>
      </c>
      <c r="F298" s="785" t="str">
        <f t="shared" si="44"/>
        <v/>
      </c>
      <c r="G298" s="784" t="str">
        <f t="shared" si="39"/>
        <v/>
      </c>
      <c r="J298" s="612"/>
      <c r="L298" s="67"/>
      <c r="M298" s="67"/>
      <c r="N298" s="67"/>
      <c r="O298" s="67"/>
      <c r="P298" s="67"/>
      <c r="Q298" s="67"/>
      <c r="R298" s="67"/>
      <c r="S298" s="67"/>
      <c r="T298" s="67"/>
      <c r="U298" s="641"/>
      <c r="V298" s="643"/>
      <c r="W298" s="593"/>
      <c r="X298" s="67"/>
      <c r="Y298" s="663" t="str">
        <f>IF(C298="","",('transversal subsidence profile'!$L$5*EXP(-(C298^2)/(2*'transversal subsidence profile'!$J$5^2)))*100)</f>
        <v/>
      </c>
      <c r="Z298" s="664" t="str">
        <f>IF(C298="","",(+'transversal subsidence profile'!$L$6*EXP(-((C298+$G$10)^2)/(2*'transversal subsidence profile'!$J$6^2)))*100)</f>
        <v/>
      </c>
      <c r="AA298" s="751" t="str">
        <f>IF(C298="","",IF('IN-OUT'!$F$26=0,'Damage classification-Rankin'!Z298,IF('IN-OUT'!$F$35=0,Y298,'Damage classification-Rankin'!Y298+'Damage classification-Rankin'!Z298)))</f>
        <v/>
      </c>
      <c r="AB298" s="67"/>
      <c r="AC298" s="67"/>
    </row>
    <row r="299" spans="1:53" ht="13.8" thickBot="1">
      <c r="A299" s="67"/>
      <c r="B299" s="655">
        <f t="shared" si="40"/>
        <v>278</v>
      </c>
      <c r="C299" s="374" t="str">
        <f t="shared" si="41"/>
        <v/>
      </c>
      <c r="D299" s="784" t="str">
        <f t="shared" si="42"/>
        <v/>
      </c>
      <c r="E299" s="784" t="str">
        <f t="shared" si="43"/>
        <v/>
      </c>
      <c r="F299" s="785" t="str">
        <f t="shared" si="44"/>
        <v/>
      </c>
      <c r="G299" s="784" t="str">
        <f t="shared" si="39"/>
        <v/>
      </c>
      <c r="J299" s="612"/>
      <c r="L299" s="67"/>
      <c r="M299" s="67"/>
      <c r="N299" s="67"/>
      <c r="O299" s="67"/>
      <c r="P299" s="67"/>
      <c r="Q299" s="67"/>
      <c r="R299" s="67"/>
      <c r="S299" s="67"/>
      <c r="T299" s="67"/>
      <c r="U299" s="641"/>
      <c r="V299" s="643"/>
      <c r="W299" s="593"/>
      <c r="X299" s="67"/>
      <c r="Y299" s="663" t="str">
        <f>IF(C299="","",('transversal subsidence profile'!$L$5*EXP(-(C299^2)/(2*'transversal subsidence profile'!$J$5^2)))*100)</f>
        <v/>
      </c>
      <c r="Z299" s="664" t="str">
        <f>IF(C299="","",(+'transversal subsidence profile'!$L$6*EXP(-((C299+$G$10)^2)/(2*'transversal subsidence profile'!$J$6^2)))*100)</f>
        <v/>
      </c>
      <c r="AA299" s="751" t="str">
        <f>IF(C299="","",IF('IN-OUT'!$F$26=0,'Damage classification-Rankin'!Z299,IF('IN-OUT'!$F$35=0,Y299,'Damage classification-Rankin'!Y299+'Damage classification-Rankin'!Z299)))</f>
        <v/>
      </c>
      <c r="AB299" s="67"/>
      <c r="AC299" s="67"/>
    </row>
    <row r="300" spans="1:53" ht="13.8" thickBot="1">
      <c r="A300" s="67"/>
      <c r="B300" s="655">
        <f t="shared" si="40"/>
        <v>279</v>
      </c>
      <c r="C300" s="374" t="str">
        <f t="shared" si="41"/>
        <v/>
      </c>
      <c r="D300" s="784" t="str">
        <f t="shared" si="42"/>
        <v/>
      </c>
      <c r="E300" s="784" t="str">
        <f t="shared" si="43"/>
        <v/>
      </c>
      <c r="F300" s="785" t="str">
        <f t="shared" si="44"/>
        <v/>
      </c>
      <c r="G300" s="784" t="str">
        <f t="shared" si="39"/>
        <v/>
      </c>
      <c r="J300" s="612"/>
      <c r="L300" s="67"/>
      <c r="M300" s="67"/>
      <c r="N300" s="67"/>
      <c r="O300" s="67"/>
      <c r="P300" s="67"/>
      <c r="Q300" s="67"/>
      <c r="R300" s="67"/>
      <c r="S300" s="67"/>
      <c r="T300" s="67"/>
      <c r="U300" s="641"/>
      <c r="V300" s="643"/>
      <c r="W300" s="593"/>
      <c r="X300" s="67"/>
      <c r="Y300" s="663" t="str">
        <f>IF(C300="","",('transversal subsidence profile'!$L$5*EXP(-(C300^2)/(2*'transversal subsidence profile'!$J$5^2)))*100)</f>
        <v/>
      </c>
      <c r="Z300" s="664" t="str">
        <f>IF(C300="","",(+'transversal subsidence profile'!$L$6*EXP(-((C300+$G$10)^2)/(2*'transversal subsidence profile'!$J$6^2)))*100)</f>
        <v/>
      </c>
      <c r="AA300" s="751" t="str">
        <f>IF(C300="","",IF('IN-OUT'!$F$26=0,'Damage classification-Rankin'!Z300,IF('IN-OUT'!$F$35=0,Y300,'Damage classification-Rankin'!Y300+'Damage classification-Rankin'!Z300)))</f>
        <v/>
      </c>
      <c r="AB300" s="67"/>
      <c r="AC300" s="67"/>
    </row>
    <row r="301" spans="1:53" ht="13.8" thickBot="1">
      <c r="A301" s="67"/>
      <c r="B301" s="655">
        <f t="shared" si="40"/>
        <v>280</v>
      </c>
      <c r="C301" s="374" t="str">
        <f t="shared" si="41"/>
        <v/>
      </c>
      <c r="D301" s="784" t="str">
        <f t="shared" si="42"/>
        <v/>
      </c>
      <c r="E301" s="784" t="str">
        <f t="shared" si="43"/>
        <v/>
      </c>
      <c r="F301" s="785" t="str">
        <f t="shared" si="44"/>
        <v/>
      </c>
      <c r="G301" s="784" t="str">
        <f t="shared" si="39"/>
        <v/>
      </c>
      <c r="J301" s="612"/>
      <c r="L301" s="67"/>
      <c r="M301" s="67"/>
      <c r="N301" s="67"/>
      <c r="O301" s="67"/>
      <c r="P301" s="67"/>
      <c r="Q301" s="67"/>
      <c r="R301" s="67"/>
      <c r="S301" s="67"/>
      <c r="T301" s="67"/>
      <c r="U301" s="641"/>
      <c r="V301" s="643"/>
      <c r="W301" s="593"/>
      <c r="X301" s="67"/>
      <c r="Y301" s="663" t="str">
        <f>IF(C301="","",('transversal subsidence profile'!$L$5*EXP(-(C301^2)/(2*'transversal subsidence profile'!$J$5^2)))*100)</f>
        <v/>
      </c>
      <c r="Z301" s="664" t="str">
        <f>IF(C301="","",(+'transversal subsidence profile'!$L$6*EXP(-((C301+$G$10)^2)/(2*'transversal subsidence profile'!$J$6^2)))*100)</f>
        <v/>
      </c>
      <c r="AA301" s="751" t="str">
        <f>IF(C301="","",IF('IN-OUT'!$F$26=0,'Damage classification-Rankin'!Z301,IF('IN-OUT'!$F$35=0,Y301,'Damage classification-Rankin'!Y301+'Damage classification-Rankin'!Z301)))</f>
        <v/>
      </c>
      <c r="AB301" s="67"/>
      <c r="AC301" s="67"/>
    </row>
    <row r="302" spans="1:53" ht="13.8" thickBot="1">
      <c r="A302" s="67"/>
      <c r="B302" s="655">
        <f t="shared" si="40"/>
        <v>281</v>
      </c>
      <c r="C302" s="374" t="str">
        <f t="shared" si="41"/>
        <v/>
      </c>
      <c r="D302" s="784" t="str">
        <f t="shared" si="42"/>
        <v/>
      </c>
      <c r="E302" s="784" t="str">
        <f t="shared" si="43"/>
        <v/>
      </c>
      <c r="F302" s="785" t="str">
        <f t="shared" si="44"/>
        <v/>
      </c>
      <c r="G302" s="784" t="str">
        <f t="shared" si="39"/>
        <v/>
      </c>
      <c r="J302" s="612"/>
      <c r="L302" s="67"/>
      <c r="M302" s="67"/>
      <c r="N302" s="67"/>
      <c r="O302" s="67"/>
      <c r="P302" s="67"/>
      <c r="Q302" s="67"/>
      <c r="R302" s="67"/>
      <c r="S302" s="67"/>
      <c r="T302" s="67"/>
      <c r="U302" s="641"/>
      <c r="V302" s="643"/>
      <c r="W302" s="593"/>
      <c r="X302" s="67"/>
      <c r="Y302" s="663" t="str">
        <f>IF(C302="","",('transversal subsidence profile'!$L$5*EXP(-(C302^2)/(2*'transversal subsidence profile'!$J$5^2)))*100)</f>
        <v/>
      </c>
      <c r="Z302" s="664" t="str">
        <f>IF(C302="","",(+'transversal subsidence profile'!$L$6*EXP(-((C302+$G$10)^2)/(2*'transversal subsidence profile'!$J$6^2)))*100)</f>
        <v/>
      </c>
      <c r="AA302" s="751" t="str">
        <f>IF(C302="","",IF('IN-OUT'!$F$26=0,'Damage classification-Rankin'!Z302,IF('IN-OUT'!$F$35=0,Y302,'Damage classification-Rankin'!Y302+'Damage classification-Rankin'!Z302)))</f>
        <v/>
      </c>
      <c r="AB302" s="67"/>
      <c r="AC302" s="67"/>
    </row>
    <row r="303" spans="1:53" ht="13.8" thickBot="1">
      <c r="A303" s="67"/>
      <c r="B303" s="655">
        <f t="shared" si="40"/>
        <v>282</v>
      </c>
      <c r="C303" s="374" t="str">
        <f t="shared" si="41"/>
        <v/>
      </c>
      <c r="D303" s="784" t="str">
        <f t="shared" si="42"/>
        <v/>
      </c>
      <c r="E303" s="784" t="str">
        <f t="shared" si="43"/>
        <v/>
      </c>
      <c r="F303" s="785" t="str">
        <f t="shared" si="44"/>
        <v/>
      </c>
      <c r="G303" s="784" t="str">
        <f t="shared" si="39"/>
        <v/>
      </c>
      <c r="J303" s="612"/>
      <c r="L303" s="67"/>
      <c r="M303" s="67"/>
      <c r="N303" s="67"/>
      <c r="O303" s="67"/>
      <c r="P303" s="67"/>
      <c r="Q303" s="67"/>
      <c r="R303" s="67"/>
      <c r="S303" s="67"/>
      <c r="T303" s="67"/>
      <c r="U303" s="641"/>
      <c r="V303" s="643"/>
      <c r="W303" s="593"/>
      <c r="X303" s="67"/>
      <c r="Y303" s="663" t="str">
        <f>IF(C303="","",('transversal subsidence profile'!$L$5*EXP(-(C303^2)/(2*'transversal subsidence profile'!$J$5^2)))*100)</f>
        <v/>
      </c>
      <c r="Z303" s="664" t="str">
        <f>IF(C303="","",(+'transversal subsidence profile'!$L$6*EXP(-((C303+$G$10)^2)/(2*'transversal subsidence profile'!$J$6^2)))*100)</f>
        <v/>
      </c>
      <c r="AA303" s="751" t="str">
        <f>IF(C303="","",IF('IN-OUT'!$F$26=0,'Damage classification-Rankin'!Z303,IF('IN-OUT'!$F$35=0,Y303,'Damage classification-Rankin'!Y303+'Damage classification-Rankin'!Z303)))</f>
        <v/>
      </c>
      <c r="AB303" s="67"/>
      <c r="AC303" s="67"/>
    </row>
    <row r="304" spans="1:53" ht="13.8" thickBot="1">
      <c r="A304" s="67"/>
      <c r="B304" s="655">
        <f t="shared" si="40"/>
        <v>283</v>
      </c>
      <c r="C304" s="374" t="str">
        <f t="shared" si="41"/>
        <v/>
      </c>
      <c r="D304" s="784" t="str">
        <f t="shared" si="42"/>
        <v/>
      </c>
      <c r="E304" s="784" t="str">
        <f t="shared" si="43"/>
        <v/>
      </c>
      <c r="F304" s="785" t="str">
        <f t="shared" si="44"/>
        <v/>
      </c>
      <c r="G304" s="784" t="str">
        <f t="shared" si="39"/>
        <v/>
      </c>
      <c r="J304" s="612"/>
      <c r="L304" s="67"/>
      <c r="M304" s="67"/>
      <c r="N304" s="67"/>
      <c r="O304" s="67"/>
      <c r="P304" s="67"/>
      <c r="Q304" s="67"/>
      <c r="R304" s="67"/>
      <c r="S304" s="67"/>
      <c r="T304" s="67"/>
      <c r="U304" s="641"/>
      <c r="V304" s="643"/>
      <c r="W304" s="593"/>
      <c r="X304" s="67"/>
      <c r="Y304" s="663" t="str">
        <f>IF(C304="","",('transversal subsidence profile'!$L$5*EXP(-(C304^2)/(2*'transversal subsidence profile'!$J$5^2)))*100)</f>
        <v/>
      </c>
      <c r="Z304" s="664" t="str">
        <f>IF(C304="","",(+'transversal subsidence profile'!$L$6*EXP(-((C304+$G$10)^2)/(2*'transversal subsidence profile'!$J$6^2)))*100)</f>
        <v/>
      </c>
      <c r="AA304" s="751" t="str">
        <f>IF(C304="","",IF('IN-OUT'!$F$26=0,'Damage classification-Rankin'!Z304,IF('IN-OUT'!$F$35=0,Y304,'Damage classification-Rankin'!Y304+'Damage classification-Rankin'!Z304)))</f>
        <v/>
      </c>
      <c r="AB304" s="67"/>
      <c r="AC304" s="67"/>
    </row>
    <row r="305" spans="1:29" ht="13.8" thickBot="1">
      <c r="A305" s="67"/>
      <c r="B305" s="655">
        <f t="shared" si="40"/>
        <v>284</v>
      </c>
      <c r="C305" s="374" t="str">
        <f t="shared" si="41"/>
        <v/>
      </c>
      <c r="D305" s="784" t="str">
        <f t="shared" si="42"/>
        <v/>
      </c>
      <c r="E305" s="784" t="str">
        <f t="shared" si="43"/>
        <v/>
      </c>
      <c r="F305" s="785" t="str">
        <f t="shared" si="44"/>
        <v/>
      </c>
      <c r="G305" s="784" t="str">
        <f t="shared" si="39"/>
        <v/>
      </c>
      <c r="J305" s="612"/>
      <c r="L305" s="67"/>
      <c r="M305" s="67"/>
      <c r="N305" s="67"/>
      <c r="O305" s="67"/>
      <c r="P305" s="67"/>
      <c r="Q305" s="67"/>
      <c r="R305" s="67"/>
      <c r="S305" s="67"/>
      <c r="T305" s="67"/>
      <c r="U305" s="641"/>
      <c r="V305" s="643"/>
      <c r="W305" s="593"/>
      <c r="X305" s="67"/>
      <c r="Y305" s="663" t="str">
        <f>IF(C305="","",('transversal subsidence profile'!$L$5*EXP(-(C305^2)/(2*'transversal subsidence profile'!$J$5^2)))*100)</f>
        <v/>
      </c>
      <c r="Z305" s="664" t="str">
        <f>IF(C305="","",(+'transversal subsidence profile'!$L$6*EXP(-((C305+$G$10)^2)/(2*'transversal subsidence profile'!$J$6^2)))*100)</f>
        <v/>
      </c>
      <c r="AA305" s="751" t="str">
        <f>IF(C305="","",IF('IN-OUT'!$F$26=0,'Damage classification-Rankin'!Z305,IF('IN-OUT'!$F$35=0,Y305,'Damage classification-Rankin'!Y305+'Damage classification-Rankin'!Z305)))</f>
        <v/>
      </c>
      <c r="AB305" s="67"/>
      <c r="AC305" s="67"/>
    </row>
    <row r="306" spans="1:29" ht="13.8" thickBot="1">
      <c r="A306" s="67"/>
      <c r="B306" s="655">
        <f t="shared" si="40"/>
        <v>285</v>
      </c>
      <c r="C306" s="374" t="str">
        <f t="shared" si="41"/>
        <v/>
      </c>
      <c r="D306" s="784" t="str">
        <f t="shared" si="42"/>
        <v/>
      </c>
      <c r="E306" s="784" t="str">
        <f t="shared" si="43"/>
        <v/>
      </c>
      <c r="F306" s="785" t="str">
        <f t="shared" si="44"/>
        <v/>
      </c>
      <c r="G306" s="784" t="str">
        <f t="shared" si="39"/>
        <v/>
      </c>
      <c r="J306" s="612"/>
      <c r="L306" s="67"/>
      <c r="M306" s="67"/>
      <c r="N306" s="67"/>
      <c r="O306" s="67"/>
      <c r="P306" s="67"/>
      <c r="Q306" s="67"/>
      <c r="R306" s="67"/>
      <c r="S306" s="67"/>
      <c r="T306" s="67"/>
      <c r="U306" s="641"/>
      <c r="V306" s="643"/>
      <c r="W306" s="593"/>
      <c r="X306" s="67"/>
      <c r="Y306" s="663" t="str">
        <f>IF(C306="","",('transversal subsidence profile'!$L$5*EXP(-(C306^2)/(2*'transversal subsidence profile'!$J$5^2)))*100)</f>
        <v/>
      </c>
      <c r="Z306" s="664" t="str">
        <f>IF(C306="","",(+'transversal subsidence profile'!$L$6*EXP(-((C306+$G$10)^2)/(2*'transversal subsidence profile'!$J$6^2)))*100)</f>
        <v/>
      </c>
      <c r="AA306" s="751" t="str">
        <f>IF(C306="","",IF('IN-OUT'!$F$26=0,'Damage classification-Rankin'!Z306,IF('IN-OUT'!$F$35=0,Y306,'Damage classification-Rankin'!Y306+'Damage classification-Rankin'!Z306)))</f>
        <v/>
      </c>
      <c r="AB306" s="67"/>
      <c r="AC306" s="67"/>
    </row>
    <row r="307" spans="1:29" ht="13.8" thickBot="1">
      <c r="A307" s="67"/>
      <c r="B307" s="655">
        <f t="shared" si="40"/>
        <v>286</v>
      </c>
      <c r="C307" s="374" t="str">
        <f t="shared" si="41"/>
        <v/>
      </c>
      <c r="D307" s="784" t="str">
        <f t="shared" si="42"/>
        <v/>
      </c>
      <c r="E307" s="784" t="str">
        <f t="shared" si="43"/>
        <v/>
      </c>
      <c r="F307" s="785" t="str">
        <f t="shared" si="44"/>
        <v/>
      </c>
      <c r="G307" s="784" t="str">
        <f t="shared" si="39"/>
        <v/>
      </c>
      <c r="J307" s="612"/>
      <c r="L307" s="67"/>
      <c r="M307" s="67"/>
      <c r="N307" s="67"/>
      <c r="O307" s="67"/>
      <c r="P307" s="67"/>
      <c r="Q307" s="67"/>
      <c r="R307" s="67"/>
      <c r="S307" s="67"/>
      <c r="T307" s="67"/>
      <c r="U307" s="641"/>
      <c r="V307" s="643"/>
      <c r="W307" s="593"/>
      <c r="X307" s="67"/>
      <c r="Y307" s="663" t="str">
        <f>IF(C307="","",('transversal subsidence profile'!$L$5*EXP(-(C307^2)/(2*'transversal subsidence profile'!$J$5^2)))*100)</f>
        <v/>
      </c>
      <c r="Z307" s="664" t="str">
        <f>IF(C307="","",(+'transversal subsidence profile'!$L$6*EXP(-((C307+$G$10)^2)/(2*'transversal subsidence profile'!$J$6^2)))*100)</f>
        <v/>
      </c>
      <c r="AA307" s="751" t="str">
        <f>IF(C307="","",IF('IN-OUT'!$F$26=0,'Damage classification-Rankin'!Z307,IF('IN-OUT'!$F$35=0,Y307,'Damage classification-Rankin'!Y307+'Damage classification-Rankin'!Z307)))</f>
        <v/>
      </c>
      <c r="AB307" s="67"/>
      <c r="AC307" s="67"/>
    </row>
    <row r="308" spans="1:29" ht="13.8" thickBot="1">
      <c r="A308" s="67"/>
      <c r="B308" s="655">
        <f t="shared" si="40"/>
        <v>287</v>
      </c>
      <c r="C308" s="374" t="str">
        <f t="shared" si="41"/>
        <v/>
      </c>
      <c r="D308" s="784" t="str">
        <f t="shared" si="42"/>
        <v/>
      </c>
      <c r="E308" s="784" t="str">
        <f t="shared" si="43"/>
        <v/>
      </c>
      <c r="F308" s="785" t="str">
        <f t="shared" si="44"/>
        <v/>
      </c>
      <c r="G308" s="784" t="str">
        <f t="shared" si="39"/>
        <v/>
      </c>
      <c r="J308" s="612"/>
      <c r="L308" s="67"/>
      <c r="M308" s="67"/>
      <c r="N308" s="67"/>
      <c r="O308" s="67"/>
      <c r="P308" s="67"/>
      <c r="Q308" s="67"/>
      <c r="R308" s="67"/>
      <c r="S308" s="67"/>
      <c r="T308" s="67"/>
      <c r="U308" s="641"/>
      <c r="V308" s="643"/>
      <c r="W308" s="593"/>
      <c r="X308" s="67"/>
      <c r="Y308" s="663" t="str">
        <f>IF(C308="","",('transversal subsidence profile'!$L$5*EXP(-(C308^2)/(2*'transversal subsidence profile'!$J$5^2)))*100)</f>
        <v/>
      </c>
      <c r="Z308" s="664" t="str">
        <f>IF(C308="","",(+'transversal subsidence profile'!$L$6*EXP(-((C308+$G$10)^2)/(2*'transversal subsidence profile'!$J$6^2)))*100)</f>
        <v/>
      </c>
      <c r="AA308" s="751" t="str">
        <f>IF(C308="","",IF('IN-OUT'!$F$26=0,'Damage classification-Rankin'!Z308,IF('IN-OUT'!$F$35=0,Y308,'Damage classification-Rankin'!Y308+'Damage classification-Rankin'!Z308)))</f>
        <v/>
      </c>
      <c r="AB308" s="67"/>
      <c r="AC308" s="67"/>
    </row>
    <row r="309" spans="1:29" ht="13.8" thickBot="1">
      <c r="A309" s="67"/>
      <c r="B309" s="655">
        <f t="shared" si="40"/>
        <v>288</v>
      </c>
      <c r="C309" s="374" t="str">
        <f t="shared" si="41"/>
        <v/>
      </c>
      <c r="D309" s="784" t="str">
        <f t="shared" si="42"/>
        <v/>
      </c>
      <c r="E309" s="784" t="str">
        <f t="shared" si="43"/>
        <v/>
      </c>
      <c r="F309" s="785" t="str">
        <f t="shared" si="44"/>
        <v/>
      </c>
      <c r="G309" s="784" t="str">
        <f t="shared" si="39"/>
        <v/>
      </c>
      <c r="J309" s="612"/>
      <c r="L309" s="67"/>
      <c r="M309" s="67"/>
      <c r="N309" s="67"/>
      <c r="O309" s="67"/>
      <c r="P309" s="67"/>
      <c r="Q309" s="67"/>
      <c r="R309" s="67"/>
      <c r="S309" s="67"/>
      <c r="T309" s="67"/>
      <c r="U309" s="641"/>
      <c r="V309" s="643"/>
      <c r="W309" s="593"/>
      <c r="X309" s="67"/>
      <c r="Y309" s="663" t="str">
        <f>IF(C309="","",('transversal subsidence profile'!$L$5*EXP(-(C309^2)/(2*'transversal subsidence profile'!$J$5^2)))*100)</f>
        <v/>
      </c>
      <c r="Z309" s="664" t="str">
        <f>IF(C309="","",(+'transversal subsidence profile'!$L$6*EXP(-((C309+$G$10)^2)/(2*'transversal subsidence profile'!$J$6^2)))*100)</f>
        <v/>
      </c>
      <c r="AA309" s="751" t="str">
        <f>IF(C309="","",IF('IN-OUT'!$F$26=0,'Damage classification-Rankin'!Z309,IF('IN-OUT'!$F$35=0,Y309,'Damage classification-Rankin'!Y309+'Damage classification-Rankin'!Z309)))</f>
        <v/>
      </c>
      <c r="AB309" s="67"/>
      <c r="AC309" s="67"/>
    </row>
    <row r="310" spans="1:29" ht="13.8" thickBot="1">
      <c r="A310" s="67"/>
      <c r="B310" s="655">
        <f t="shared" si="40"/>
        <v>289</v>
      </c>
      <c r="C310" s="374" t="str">
        <f t="shared" si="41"/>
        <v/>
      </c>
      <c r="D310" s="784" t="str">
        <f t="shared" si="42"/>
        <v/>
      </c>
      <c r="E310" s="784" t="str">
        <f t="shared" si="43"/>
        <v/>
      </c>
      <c r="F310" s="785" t="str">
        <f t="shared" si="44"/>
        <v/>
      </c>
      <c r="G310" s="784" t="str">
        <f t="shared" si="39"/>
        <v/>
      </c>
      <c r="J310" s="612"/>
      <c r="L310" s="67"/>
      <c r="M310" s="67"/>
      <c r="N310" s="67"/>
      <c r="O310" s="67"/>
      <c r="P310" s="67"/>
      <c r="Q310" s="67"/>
      <c r="R310" s="67"/>
      <c r="S310" s="67"/>
      <c r="T310" s="67"/>
      <c r="U310" s="641"/>
      <c r="V310" s="643"/>
      <c r="W310" s="593"/>
      <c r="X310" s="67"/>
      <c r="Y310" s="663" t="str">
        <f>IF(C310="","",('transversal subsidence profile'!$L$5*EXP(-(C310^2)/(2*'transversal subsidence profile'!$J$5^2)))*100)</f>
        <v/>
      </c>
      <c r="Z310" s="664" t="str">
        <f>IF(C310="","",(+'transversal subsidence profile'!$L$6*EXP(-((C310+$G$10)^2)/(2*'transversal subsidence profile'!$J$6^2)))*100)</f>
        <v/>
      </c>
      <c r="AA310" s="751" t="str">
        <f>IF(C310="","",IF('IN-OUT'!$F$26=0,'Damage classification-Rankin'!Z310,IF('IN-OUT'!$F$35=0,Y310,'Damage classification-Rankin'!Y310+'Damage classification-Rankin'!Z310)))</f>
        <v/>
      </c>
      <c r="AB310" s="67"/>
      <c r="AC310" s="67"/>
    </row>
    <row r="311" spans="1:29" ht="13.8" thickBot="1">
      <c r="A311" s="67"/>
      <c r="B311" s="655">
        <f t="shared" si="40"/>
        <v>290</v>
      </c>
      <c r="C311" s="374" t="str">
        <f t="shared" si="41"/>
        <v/>
      </c>
      <c r="D311" s="784" t="str">
        <f t="shared" si="42"/>
        <v/>
      </c>
      <c r="E311" s="784" t="str">
        <f t="shared" si="43"/>
        <v/>
      </c>
      <c r="F311" s="785" t="str">
        <f t="shared" si="44"/>
        <v/>
      </c>
      <c r="G311" s="784" t="str">
        <f t="shared" si="39"/>
        <v/>
      </c>
      <c r="J311" s="612"/>
      <c r="L311" s="67"/>
      <c r="M311" s="67"/>
      <c r="N311" s="67"/>
      <c r="O311" s="67"/>
      <c r="P311" s="67"/>
      <c r="Q311" s="67"/>
      <c r="R311" s="67"/>
      <c r="S311" s="67"/>
      <c r="T311" s="67"/>
      <c r="U311" s="641"/>
      <c r="V311" s="643"/>
      <c r="W311" s="593"/>
      <c r="X311" s="67"/>
      <c r="Y311" s="663" t="str">
        <f>IF(C311="","",('transversal subsidence profile'!$L$5*EXP(-(C311^2)/(2*'transversal subsidence profile'!$J$5^2)))*100)</f>
        <v/>
      </c>
      <c r="Z311" s="664" t="str">
        <f>IF(C311="","",(+'transversal subsidence profile'!$L$6*EXP(-((C311+$G$10)^2)/(2*'transversal subsidence profile'!$J$6^2)))*100)</f>
        <v/>
      </c>
      <c r="AA311" s="751" t="str">
        <f>IF(C311="","",IF('IN-OUT'!$F$26=0,'Damage classification-Rankin'!Z311,IF('IN-OUT'!$F$35=0,Y311,'Damage classification-Rankin'!Y311+'Damage classification-Rankin'!Z311)))</f>
        <v/>
      </c>
      <c r="AB311" s="67"/>
      <c r="AC311" s="67"/>
    </row>
    <row r="312" spans="1:29" ht="13.8" thickBot="1">
      <c r="A312" s="67"/>
      <c r="B312" s="655">
        <f t="shared" si="40"/>
        <v>291</v>
      </c>
      <c r="C312" s="374" t="str">
        <f t="shared" si="41"/>
        <v/>
      </c>
      <c r="D312" s="784" t="str">
        <f t="shared" si="42"/>
        <v/>
      </c>
      <c r="E312" s="784" t="str">
        <f t="shared" si="43"/>
        <v/>
      </c>
      <c r="F312" s="785" t="str">
        <f t="shared" si="44"/>
        <v/>
      </c>
      <c r="G312" s="784" t="str">
        <f t="shared" si="39"/>
        <v/>
      </c>
      <c r="J312" s="612"/>
      <c r="L312" s="67"/>
      <c r="M312" s="67"/>
      <c r="N312" s="67"/>
      <c r="O312" s="67"/>
      <c r="P312" s="67"/>
      <c r="Q312" s="67"/>
      <c r="R312" s="67"/>
      <c r="S312" s="67"/>
      <c r="T312" s="67"/>
      <c r="U312" s="641"/>
      <c r="V312" s="643"/>
      <c r="W312" s="593"/>
      <c r="X312" s="67"/>
      <c r="Y312" s="663" t="str">
        <f>IF(C312="","",('transversal subsidence profile'!$L$5*EXP(-(C312^2)/(2*'transversal subsidence profile'!$J$5^2)))*100)</f>
        <v/>
      </c>
      <c r="Z312" s="664" t="str">
        <f>IF(C312="","",(+'transversal subsidence profile'!$L$6*EXP(-((C312+$G$10)^2)/(2*'transversal subsidence profile'!$J$6^2)))*100)</f>
        <v/>
      </c>
      <c r="AA312" s="751" t="str">
        <f>IF(C312="","",IF('IN-OUT'!$F$26=0,'Damage classification-Rankin'!Z312,IF('IN-OUT'!$F$35=0,Y312,'Damage classification-Rankin'!Y312+'Damage classification-Rankin'!Z312)))</f>
        <v/>
      </c>
      <c r="AB312" s="67"/>
      <c r="AC312" s="67"/>
    </row>
    <row r="313" spans="1:29" ht="13.8" thickBot="1">
      <c r="A313" s="67"/>
      <c r="B313" s="655">
        <f t="shared" si="40"/>
        <v>292</v>
      </c>
      <c r="C313" s="374" t="str">
        <f t="shared" si="41"/>
        <v/>
      </c>
      <c r="D313" s="784" t="str">
        <f t="shared" si="42"/>
        <v/>
      </c>
      <c r="E313" s="784" t="str">
        <f t="shared" si="43"/>
        <v/>
      </c>
      <c r="F313" s="785" t="str">
        <f t="shared" si="44"/>
        <v/>
      </c>
      <c r="G313" s="784" t="str">
        <f t="shared" si="39"/>
        <v/>
      </c>
      <c r="J313" s="612"/>
      <c r="L313" s="67"/>
      <c r="M313" s="67"/>
      <c r="N313" s="67"/>
      <c r="O313" s="67"/>
      <c r="P313" s="67"/>
      <c r="Q313" s="67"/>
      <c r="R313" s="67"/>
      <c r="S313" s="67"/>
      <c r="T313" s="67"/>
      <c r="U313" s="641"/>
      <c r="V313" s="643"/>
      <c r="W313" s="593"/>
      <c r="X313" s="67"/>
      <c r="Y313" s="663" t="str">
        <f>IF(C313="","",('transversal subsidence profile'!$L$5*EXP(-(C313^2)/(2*'transversal subsidence profile'!$J$5^2)))*100)</f>
        <v/>
      </c>
      <c r="Z313" s="664" t="str">
        <f>IF(C313="","",(+'transversal subsidence profile'!$L$6*EXP(-((C313+$G$10)^2)/(2*'transversal subsidence profile'!$J$6^2)))*100)</f>
        <v/>
      </c>
      <c r="AA313" s="751" t="str">
        <f>IF(C313="","",IF('IN-OUT'!$F$26=0,'Damage classification-Rankin'!Z313,IF('IN-OUT'!$F$35=0,Y313,'Damage classification-Rankin'!Y313+'Damage classification-Rankin'!Z313)))</f>
        <v/>
      </c>
      <c r="AB313" s="67"/>
      <c r="AC313" s="67"/>
    </row>
    <row r="314" spans="1:29" ht="13.8" thickBot="1">
      <c r="A314" s="67"/>
      <c r="B314" s="655">
        <f t="shared" si="40"/>
        <v>293</v>
      </c>
      <c r="C314" s="374" t="str">
        <f t="shared" si="41"/>
        <v/>
      </c>
      <c r="D314" s="784" t="str">
        <f t="shared" si="42"/>
        <v/>
      </c>
      <c r="E314" s="784" t="str">
        <f t="shared" si="43"/>
        <v/>
      </c>
      <c r="F314" s="785" t="str">
        <f t="shared" si="44"/>
        <v/>
      </c>
      <c r="G314" s="784" t="str">
        <f t="shared" si="39"/>
        <v/>
      </c>
      <c r="J314" s="612"/>
      <c r="L314" s="67"/>
      <c r="M314" s="67"/>
      <c r="N314" s="67"/>
      <c r="O314" s="67"/>
      <c r="P314" s="67"/>
      <c r="Q314" s="67"/>
      <c r="R314" s="67"/>
      <c r="S314" s="67"/>
      <c r="T314" s="67"/>
      <c r="U314" s="641"/>
      <c r="V314" s="643"/>
      <c r="W314" s="593"/>
      <c r="X314" s="67"/>
      <c r="Y314" s="663" t="str">
        <f>IF(C314="","",('transversal subsidence profile'!$L$5*EXP(-(C314^2)/(2*'transversal subsidence profile'!$J$5^2)))*100)</f>
        <v/>
      </c>
      <c r="Z314" s="664" t="str">
        <f>IF(C314="","",(+'transversal subsidence profile'!$L$6*EXP(-((C314+$G$10)^2)/(2*'transversal subsidence profile'!$J$6^2)))*100)</f>
        <v/>
      </c>
      <c r="AA314" s="751" t="str">
        <f>IF(C314="","",IF('IN-OUT'!$F$26=0,'Damage classification-Rankin'!Z314,IF('IN-OUT'!$F$35=0,Y314,'Damage classification-Rankin'!Y314+'Damage classification-Rankin'!Z314)))</f>
        <v/>
      </c>
      <c r="AB314" s="67"/>
      <c r="AC314" s="67"/>
    </row>
    <row r="315" spans="1:29" ht="13.8" thickBot="1">
      <c r="A315" s="67"/>
      <c r="B315" s="655">
        <f t="shared" si="40"/>
        <v>294</v>
      </c>
      <c r="C315" s="374" t="str">
        <f t="shared" si="41"/>
        <v/>
      </c>
      <c r="D315" s="784" t="str">
        <f t="shared" si="42"/>
        <v/>
      </c>
      <c r="E315" s="784" t="str">
        <f t="shared" si="43"/>
        <v/>
      </c>
      <c r="F315" s="785" t="str">
        <f t="shared" si="44"/>
        <v/>
      </c>
      <c r="G315" s="784" t="str">
        <f t="shared" si="39"/>
        <v/>
      </c>
      <c r="J315" s="612"/>
      <c r="L315" s="67"/>
      <c r="M315" s="67"/>
      <c r="N315" s="67"/>
      <c r="O315" s="67"/>
      <c r="P315" s="67"/>
      <c r="Q315" s="67"/>
      <c r="R315" s="67"/>
      <c r="S315" s="67"/>
      <c r="T315" s="67"/>
      <c r="U315" s="641"/>
      <c r="V315" s="643"/>
      <c r="W315" s="593"/>
      <c r="X315" s="67"/>
      <c r="Y315" s="663" t="str">
        <f>IF(C315="","",('transversal subsidence profile'!$L$5*EXP(-(C315^2)/(2*'transversal subsidence profile'!$J$5^2)))*100)</f>
        <v/>
      </c>
      <c r="Z315" s="664" t="str">
        <f>IF(C315="","",(+'transversal subsidence profile'!$L$6*EXP(-((C315+$G$10)^2)/(2*'transversal subsidence profile'!$J$6^2)))*100)</f>
        <v/>
      </c>
      <c r="AA315" s="751" t="str">
        <f>IF(C315="","",IF('IN-OUT'!$F$26=0,'Damage classification-Rankin'!Z315,IF('IN-OUT'!$F$35=0,Y315,'Damage classification-Rankin'!Y315+'Damage classification-Rankin'!Z315)))</f>
        <v/>
      </c>
      <c r="AB315" s="67"/>
      <c r="AC315" s="67"/>
    </row>
    <row r="316" spans="1:29" ht="13.8" thickBot="1">
      <c r="A316" s="67"/>
      <c r="B316" s="655">
        <f t="shared" si="40"/>
        <v>295</v>
      </c>
      <c r="C316" s="374" t="str">
        <f t="shared" si="41"/>
        <v/>
      </c>
      <c r="D316" s="784" t="str">
        <f t="shared" si="42"/>
        <v/>
      </c>
      <c r="E316" s="784" t="str">
        <f t="shared" si="43"/>
        <v/>
      </c>
      <c r="F316" s="785" t="str">
        <f t="shared" si="44"/>
        <v/>
      </c>
      <c r="G316" s="784" t="str">
        <f t="shared" si="39"/>
        <v/>
      </c>
      <c r="J316" s="612"/>
      <c r="L316" s="67"/>
      <c r="M316" s="67"/>
      <c r="N316" s="67"/>
      <c r="O316" s="67"/>
      <c r="P316" s="67"/>
      <c r="Q316" s="67"/>
      <c r="R316" s="67"/>
      <c r="S316" s="67"/>
      <c r="T316" s="67"/>
      <c r="U316" s="641"/>
      <c r="V316" s="643"/>
      <c r="W316" s="593"/>
      <c r="X316" s="67"/>
      <c r="Y316" s="663" t="str">
        <f>IF(C316="","",('transversal subsidence profile'!$L$5*EXP(-(C316^2)/(2*'transversal subsidence profile'!$J$5^2)))*100)</f>
        <v/>
      </c>
      <c r="Z316" s="664" t="str">
        <f>IF(C316="","",(+'transversal subsidence profile'!$L$6*EXP(-((C316+$G$10)^2)/(2*'transversal subsidence profile'!$J$6^2)))*100)</f>
        <v/>
      </c>
      <c r="AA316" s="751" t="str">
        <f>IF(C316="","",IF('IN-OUT'!$F$26=0,'Damage classification-Rankin'!Z316,IF('IN-OUT'!$F$35=0,Y316,'Damage classification-Rankin'!Y316+'Damage classification-Rankin'!Z316)))</f>
        <v/>
      </c>
      <c r="AB316" s="67"/>
      <c r="AC316" s="67"/>
    </row>
    <row r="317" spans="1:29" ht="13.8" thickBot="1">
      <c r="A317" s="67"/>
      <c r="B317" s="655">
        <f t="shared" si="40"/>
        <v>296</v>
      </c>
      <c r="C317" s="374" t="str">
        <f t="shared" si="41"/>
        <v/>
      </c>
      <c r="D317" s="784" t="str">
        <f t="shared" si="42"/>
        <v/>
      </c>
      <c r="E317" s="784" t="str">
        <f t="shared" si="43"/>
        <v/>
      </c>
      <c r="F317" s="785" t="str">
        <f t="shared" si="44"/>
        <v/>
      </c>
      <c r="G317" s="784" t="str">
        <f t="shared" si="39"/>
        <v/>
      </c>
      <c r="J317" s="612"/>
      <c r="L317" s="67"/>
      <c r="M317" s="67"/>
      <c r="N317" s="67"/>
      <c r="O317" s="67"/>
      <c r="P317" s="67"/>
      <c r="Q317" s="67"/>
      <c r="R317" s="67"/>
      <c r="S317" s="67"/>
      <c r="T317" s="67"/>
      <c r="U317" s="641"/>
      <c r="V317" s="643"/>
      <c r="W317" s="593"/>
      <c r="X317" s="67"/>
      <c r="Y317" s="663" t="str">
        <f>IF(C317="","",('transversal subsidence profile'!$L$5*EXP(-(C317^2)/(2*'transversal subsidence profile'!$J$5^2)))*100)</f>
        <v/>
      </c>
      <c r="Z317" s="664" t="str">
        <f>IF(C317="","",(+'transversal subsidence profile'!$L$6*EXP(-((C317+$G$10)^2)/(2*'transversal subsidence profile'!$J$6^2)))*100)</f>
        <v/>
      </c>
      <c r="AA317" s="751" t="str">
        <f>IF(C317="","",IF('IN-OUT'!$F$26=0,'Damage classification-Rankin'!Z317,IF('IN-OUT'!$F$35=0,Y317,'Damage classification-Rankin'!Y317+'Damage classification-Rankin'!Z317)))</f>
        <v/>
      </c>
      <c r="AB317" s="67"/>
      <c r="AC317" s="67"/>
    </row>
    <row r="318" spans="1:29" ht="13.8" thickBot="1">
      <c r="A318" s="67"/>
      <c r="B318" s="655">
        <f t="shared" si="40"/>
        <v>297</v>
      </c>
      <c r="C318" s="374" t="str">
        <f t="shared" si="41"/>
        <v/>
      </c>
      <c r="D318" s="784" t="str">
        <f t="shared" si="42"/>
        <v/>
      </c>
      <c r="E318" s="784" t="str">
        <f t="shared" si="43"/>
        <v/>
      </c>
      <c r="F318" s="785" t="str">
        <f t="shared" si="44"/>
        <v/>
      </c>
      <c r="G318" s="784" t="str">
        <f t="shared" si="39"/>
        <v/>
      </c>
      <c r="J318" s="612"/>
      <c r="L318" s="67"/>
      <c r="M318" s="67"/>
      <c r="N318" s="67"/>
      <c r="O318" s="67"/>
      <c r="P318" s="67"/>
      <c r="Q318" s="67"/>
      <c r="R318" s="67"/>
      <c r="S318" s="67"/>
      <c r="T318" s="67"/>
      <c r="U318" s="641"/>
      <c r="V318" s="643"/>
      <c r="W318" s="593"/>
      <c r="X318" s="67"/>
      <c r="Y318" s="663" t="str">
        <f>IF(C318="","",('transversal subsidence profile'!$L$5*EXP(-(C318^2)/(2*'transversal subsidence profile'!$J$5^2)))*100)</f>
        <v/>
      </c>
      <c r="Z318" s="664" t="str">
        <f>IF(C318="","",(+'transversal subsidence profile'!$L$6*EXP(-((C318+$G$10)^2)/(2*'transversal subsidence profile'!$J$6^2)))*100)</f>
        <v/>
      </c>
      <c r="AA318" s="751" t="str">
        <f>IF(C318="","",IF('IN-OUT'!$F$26=0,'Damage classification-Rankin'!Z318,IF('IN-OUT'!$F$35=0,Y318,'Damage classification-Rankin'!Y318+'Damage classification-Rankin'!Z318)))</f>
        <v/>
      </c>
      <c r="AB318" s="67"/>
      <c r="AC318" s="67"/>
    </row>
    <row r="319" spans="1:29" ht="13.8" thickBot="1">
      <c r="A319" s="67"/>
      <c r="B319" s="655">
        <f t="shared" si="40"/>
        <v>298</v>
      </c>
      <c r="C319" s="374" t="str">
        <f t="shared" si="41"/>
        <v/>
      </c>
      <c r="D319" s="784" t="str">
        <f t="shared" si="42"/>
        <v/>
      </c>
      <c r="E319" s="784" t="str">
        <f t="shared" si="43"/>
        <v/>
      </c>
      <c r="F319" s="785" t="str">
        <f t="shared" si="44"/>
        <v/>
      </c>
      <c r="G319" s="784" t="str">
        <f t="shared" si="39"/>
        <v/>
      </c>
      <c r="J319" s="612"/>
      <c r="L319" s="67"/>
      <c r="M319" s="67"/>
      <c r="N319" s="67"/>
      <c r="O319" s="67"/>
      <c r="P319" s="67"/>
      <c r="Q319" s="67"/>
      <c r="R319" s="67"/>
      <c r="S319" s="67"/>
      <c r="T319" s="67"/>
      <c r="U319" s="641"/>
      <c r="V319" s="643"/>
      <c r="W319" s="593"/>
      <c r="X319" s="67"/>
      <c r="Y319" s="663" t="str">
        <f>IF(C319="","",('transversal subsidence profile'!$L$5*EXP(-(C319^2)/(2*'transversal subsidence profile'!$J$5^2)))*100)</f>
        <v/>
      </c>
      <c r="Z319" s="664" t="str">
        <f>IF(C319="","",(+'transversal subsidence profile'!$L$6*EXP(-((C319+$G$10)^2)/(2*'transversal subsidence profile'!$J$6^2)))*100)</f>
        <v/>
      </c>
      <c r="AA319" s="751" t="str">
        <f>IF(C319="","",IF('IN-OUT'!$F$26=0,'Damage classification-Rankin'!Z319,IF('IN-OUT'!$F$35=0,Y319,'Damage classification-Rankin'!Y319+'Damage classification-Rankin'!Z319)))</f>
        <v/>
      </c>
      <c r="AB319" s="67"/>
      <c r="AC319" s="67"/>
    </row>
    <row r="320" spans="1:29" ht="13.8" thickBot="1">
      <c r="A320" s="67"/>
      <c r="B320" s="655">
        <f t="shared" si="40"/>
        <v>299</v>
      </c>
      <c r="C320" s="374" t="str">
        <f t="shared" si="41"/>
        <v/>
      </c>
      <c r="D320" s="784" t="str">
        <f t="shared" si="42"/>
        <v/>
      </c>
      <c r="E320" s="784" t="str">
        <f t="shared" si="43"/>
        <v/>
      </c>
      <c r="F320" s="785" t="str">
        <f t="shared" si="44"/>
        <v/>
      </c>
      <c r="G320" s="784" t="str">
        <f t="shared" si="39"/>
        <v/>
      </c>
      <c r="J320" s="612"/>
      <c r="L320" s="67"/>
      <c r="M320" s="67"/>
      <c r="N320" s="67"/>
      <c r="O320" s="67"/>
      <c r="P320" s="67"/>
      <c r="Q320" s="67"/>
      <c r="R320" s="67"/>
      <c r="S320" s="67"/>
      <c r="T320" s="67"/>
      <c r="U320" s="641"/>
      <c r="V320" s="643"/>
      <c r="W320" s="593"/>
      <c r="X320" s="67"/>
      <c r="Y320" s="663" t="str">
        <f>IF(C320="","",('transversal subsidence profile'!$L$5*EXP(-(C320^2)/(2*'transversal subsidence profile'!$J$5^2)))*100)</f>
        <v/>
      </c>
      <c r="Z320" s="664" t="str">
        <f>IF(C320="","",(+'transversal subsidence profile'!$L$6*EXP(-((C320+$G$10)^2)/(2*'transversal subsidence profile'!$J$6^2)))*100)</f>
        <v/>
      </c>
      <c r="AA320" s="751" t="str">
        <f>IF(C320="","",IF('IN-OUT'!$F$26=0,'Damage classification-Rankin'!Z320,IF('IN-OUT'!$F$35=0,Y320,'Damage classification-Rankin'!Y320+'Damage classification-Rankin'!Z320)))</f>
        <v/>
      </c>
      <c r="AB320" s="67"/>
      <c r="AC320" s="67"/>
    </row>
    <row r="321" spans="1:29" ht="13.8" thickBot="1">
      <c r="A321" s="67"/>
      <c r="B321" s="655">
        <f t="shared" si="40"/>
        <v>300</v>
      </c>
      <c r="C321" s="374" t="str">
        <f t="shared" si="41"/>
        <v/>
      </c>
      <c r="D321" s="784" t="str">
        <f t="shared" si="42"/>
        <v/>
      </c>
      <c r="E321" s="784" t="str">
        <f t="shared" si="43"/>
        <v/>
      </c>
      <c r="F321" s="785" t="str">
        <f t="shared" si="44"/>
        <v/>
      </c>
      <c r="G321" s="784" t="str">
        <f t="shared" si="39"/>
        <v/>
      </c>
      <c r="J321" s="612"/>
      <c r="L321" s="67"/>
      <c r="M321" s="67"/>
      <c r="N321" s="67"/>
      <c r="O321" s="67"/>
      <c r="P321" s="67"/>
      <c r="Q321" s="67"/>
      <c r="R321" s="67"/>
      <c r="S321" s="67"/>
      <c r="T321" s="67"/>
      <c r="U321" s="641"/>
      <c r="V321" s="643"/>
      <c r="W321" s="593"/>
      <c r="X321" s="67"/>
      <c r="Y321" s="663" t="str">
        <f>IF(C321="","",('transversal subsidence profile'!$L$5*EXP(-(C321^2)/(2*'transversal subsidence profile'!$J$5^2)))*100)</f>
        <v/>
      </c>
      <c r="Z321" s="664" t="str">
        <f>IF(C321="","",(+'transversal subsidence profile'!$L$6*EXP(-((C321+$G$10)^2)/(2*'transversal subsidence profile'!$J$6^2)))*100)</f>
        <v/>
      </c>
      <c r="AA321" s="751" t="str">
        <f>IF(C321="","",IF('IN-OUT'!$F$26=0,'Damage classification-Rankin'!Z321,IF('IN-OUT'!$F$35=0,Y321,'Damage classification-Rankin'!Y321+'Damage classification-Rankin'!Z321)))</f>
        <v/>
      </c>
      <c r="AB321" s="67"/>
      <c r="AC321" s="67"/>
    </row>
    <row r="322" spans="1:29" ht="13.8" thickBot="1">
      <c r="A322" s="67"/>
      <c r="B322" s="655">
        <f t="shared" si="40"/>
        <v>301</v>
      </c>
      <c r="C322" s="374" t="str">
        <f t="shared" si="41"/>
        <v/>
      </c>
      <c r="D322" s="784" t="str">
        <f t="shared" si="42"/>
        <v/>
      </c>
      <c r="E322" s="784" t="str">
        <f t="shared" si="43"/>
        <v/>
      </c>
      <c r="F322" s="785" t="str">
        <f t="shared" si="44"/>
        <v/>
      </c>
      <c r="G322" s="784" t="str">
        <f t="shared" si="39"/>
        <v/>
      </c>
      <c r="J322" s="612"/>
      <c r="L322" s="67"/>
      <c r="M322" s="67"/>
      <c r="N322" s="67"/>
      <c r="O322" s="67"/>
      <c r="P322" s="67"/>
      <c r="Q322" s="67"/>
      <c r="R322" s="67"/>
      <c r="S322" s="67"/>
      <c r="T322" s="67"/>
      <c r="U322" s="641"/>
      <c r="V322" s="643"/>
      <c r="W322" s="593"/>
      <c r="X322" s="67"/>
      <c r="Y322" s="663" t="str">
        <f>IF(C322="","",('transversal subsidence profile'!$L$5*EXP(-(C322^2)/(2*'transversal subsidence profile'!$J$5^2)))*100)</f>
        <v/>
      </c>
      <c r="Z322" s="664" t="str">
        <f>IF(C322="","",(+'transversal subsidence profile'!$L$6*EXP(-((C322+$G$10)^2)/(2*'transversal subsidence profile'!$J$6^2)))*100)</f>
        <v/>
      </c>
      <c r="AA322" s="751" t="str">
        <f>IF(C322="","",IF('IN-OUT'!$F$26=0,'Damage classification-Rankin'!Z322,IF('IN-OUT'!$F$35=0,Y322,'Damage classification-Rankin'!Y322+'Damage classification-Rankin'!Z322)))</f>
        <v/>
      </c>
      <c r="AB322" s="67"/>
      <c r="AC322" s="67"/>
    </row>
    <row r="323" spans="1:29" ht="13.8" thickBot="1">
      <c r="A323" s="67"/>
      <c r="B323" s="655">
        <f t="shared" si="40"/>
        <v>302</v>
      </c>
      <c r="C323" s="374" t="str">
        <f t="shared" si="41"/>
        <v/>
      </c>
      <c r="D323" s="784" t="str">
        <f t="shared" si="42"/>
        <v/>
      </c>
      <c r="E323" s="784" t="str">
        <f t="shared" si="43"/>
        <v/>
      </c>
      <c r="F323" s="785" t="str">
        <f t="shared" si="44"/>
        <v/>
      </c>
      <c r="G323" s="784" t="str">
        <f t="shared" si="39"/>
        <v/>
      </c>
      <c r="J323" s="612"/>
      <c r="L323" s="67"/>
      <c r="M323" s="67"/>
      <c r="N323" s="67"/>
      <c r="O323" s="67"/>
      <c r="P323" s="67"/>
      <c r="Q323" s="67"/>
      <c r="R323" s="67"/>
      <c r="S323" s="67"/>
      <c r="T323" s="67"/>
      <c r="U323" s="641"/>
      <c r="V323" s="643"/>
      <c r="W323" s="593"/>
      <c r="X323" s="67"/>
      <c r="Y323" s="663" t="str">
        <f>IF(C323="","",('transversal subsidence profile'!$L$5*EXP(-(C323^2)/(2*'transversal subsidence profile'!$J$5^2)))*100)</f>
        <v/>
      </c>
      <c r="Z323" s="664" t="str">
        <f>IF(C323="","",(+'transversal subsidence profile'!$L$6*EXP(-((C323+$G$10)^2)/(2*'transversal subsidence profile'!$J$6^2)))*100)</f>
        <v/>
      </c>
      <c r="AA323" s="751" t="str">
        <f>IF(C323="","",IF('IN-OUT'!$F$26=0,'Damage classification-Rankin'!Z323,IF('IN-OUT'!$F$35=0,Y323,'Damage classification-Rankin'!Y323+'Damage classification-Rankin'!Z323)))</f>
        <v/>
      </c>
      <c r="AB323" s="67"/>
      <c r="AC323" s="67"/>
    </row>
    <row r="324" spans="1:29" ht="13.8" thickBot="1">
      <c r="A324" s="67"/>
      <c r="B324" s="655">
        <f t="shared" si="40"/>
        <v>303</v>
      </c>
      <c r="C324" s="374" t="str">
        <f t="shared" si="41"/>
        <v/>
      </c>
      <c r="D324" s="784" t="str">
        <f t="shared" si="42"/>
        <v/>
      </c>
      <c r="E324" s="784" t="str">
        <f t="shared" si="43"/>
        <v/>
      </c>
      <c r="F324" s="785" t="str">
        <f t="shared" si="44"/>
        <v/>
      </c>
      <c r="G324" s="784" t="str">
        <f t="shared" si="39"/>
        <v/>
      </c>
      <c r="J324" s="612"/>
      <c r="L324" s="67"/>
      <c r="M324" s="67"/>
      <c r="N324" s="67"/>
      <c r="O324" s="67"/>
      <c r="P324" s="67"/>
      <c r="Q324" s="67"/>
      <c r="R324" s="67"/>
      <c r="S324" s="67"/>
      <c r="T324" s="67"/>
      <c r="U324" s="641"/>
      <c r="V324" s="643"/>
      <c r="W324" s="593"/>
      <c r="X324" s="67"/>
      <c r="Y324" s="663" t="str">
        <f>IF(C324="","",('transversal subsidence profile'!$L$5*EXP(-(C324^2)/(2*'transversal subsidence profile'!$J$5^2)))*100)</f>
        <v/>
      </c>
      <c r="Z324" s="664" t="str">
        <f>IF(C324="","",(+'transversal subsidence profile'!$L$6*EXP(-((C324+$G$10)^2)/(2*'transversal subsidence profile'!$J$6^2)))*100)</f>
        <v/>
      </c>
      <c r="AA324" s="751" t="str">
        <f>IF(C324="","",IF('IN-OUT'!$F$26=0,'Damage classification-Rankin'!Z324,IF('IN-OUT'!$F$35=0,Y324,'Damage classification-Rankin'!Y324+'Damage classification-Rankin'!Z324)))</f>
        <v/>
      </c>
      <c r="AB324" s="67"/>
      <c r="AC324" s="67"/>
    </row>
    <row r="325" spans="1:29" ht="13.8" thickBot="1">
      <c r="A325" s="67"/>
      <c r="B325" s="655">
        <f t="shared" si="40"/>
        <v>304</v>
      </c>
      <c r="C325" s="374" t="str">
        <f t="shared" si="41"/>
        <v/>
      </c>
      <c r="D325" s="784" t="str">
        <f t="shared" si="42"/>
        <v/>
      </c>
      <c r="E325" s="784" t="str">
        <f t="shared" si="43"/>
        <v/>
      </c>
      <c r="F325" s="785" t="str">
        <f t="shared" si="44"/>
        <v/>
      </c>
      <c r="G325" s="784" t="str">
        <f t="shared" si="39"/>
        <v/>
      </c>
      <c r="J325" s="612"/>
      <c r="L325" s="67"/>
      <c r="M325" s="67"/>
      <c r="N325" s="67"/>
      <c r="O325" s="67"/>
      <c r="P325" s="67"/>
      <c r="Q325" s="67"/>
      <c r="R325" s="67"/>
      <c r="S325" s="67"/>
      <c r="T325" s="67"/>
      <c r="U325" s="641"/>
      <c r="V325" s="643"/>
      <c r="W325" s="593"/>
      <c r="X325" s="67"/>
      <c r="Y325" s="663" t="str">
        <f>IF(C325="","",('transversal subsidence profile'!$L$5*EXP(-(C325^2)/(2*'transversal subsidence profile'!$J$5^2)))*100)</f>
        <v/>
      </c>
      <c r="Z325" s="664" t="str">
        <f>IF(C325="","",(+'transversal subsidence profile'!$L$6*EXP(-((C325+$G$10)^2)/(2*'transversal subsidence profile'!$J$6^2)))*100)</f>
        <v/>
      </c>
      <c r="AA325" s="751" t="str">
        <f>IF(C325="","",IF('IN-OUT'!$F$26=0,'Damage classification-Rankin'!Z325,IF('IN-OUT'!$F$35=0,Y325,'Damage classification-Rankin'!Y325+'Damage classification-Rankin'!Z325)))</f>
        <v/>
      </c>
      <c r="AB325" s="67"/>
      <c r="AC325" s="67"/>
    </row>
    <row r="326" spans="1:29" ht="13.8" thickBot="1">
      <c r="A326" s="67"/>
      <c r="B326" s="655">
        <f t="shared" si="40"/>
        <v>305</v>
      </c>
      <c r="C326" s="374" t="str">
        <f t="shared" si="41"/>
        <v/>
      </c>
      <c r="D326" s="784" t="str">
        <f t="shared" si="42"/>
        <v/>
      </c>
      <c r="E326" s="784" t="str">
        <f t="shared" si="43"/>
        <v/>
      </c>
      <c r="F326" s="785" t="str">
        <f t="shared" si="44"/>
        <v/>
      </c>
      <c r="G326" s="784" t="str">
        <f t="shared" si="39"/>
        <v/>
      </c>
      <c r="J326" s="612"/>
      <c r="L326" s="67"/>
      <c r="M326" s="67"/>
      <c r="N326" s="67"/>
      <c r="O326" s="67"/>
      <c r="P326" s="67"/>
      <c r="Q326" s="67"/>
      <c r="R326" s="67"/>
      <c r="S326" s="67"/>
      <c r="T326" s="67"/>
      <c r="U326" s="641"/>
      <c r="V326" s="643"/>
      <c r="W326" s="593"/>
      <c r="X326" s="67"/>
      <c r="Y326" s="663" t="str">
        <f>IF(C326="","",('transversal subsidence profile'!$L$5*EXP(-(C326^2)/(2*'transversal subsidence profile'!$J$5^2)))*100)</f>
        <v/>
      </c>
      <c r="Z326" s="664" t="str">
        <f>IF(C326="","",(+'transversal subsidence profile'!$L$6*EXP(-((C326+$G$10)^2)/(2*'transversal subsidence profile'!$J$6^2)))*100)</f>
        <v/>
      </c>
      <c r="AA326" s="751" t="str">
        <f>IF(C326="","",IF('IN-OUT'!$F$26=0,'Damage classification-Rankin'!Z326,IF('IN-OUT'!$F$35=0,Y326,'Damage classification-Rankin'!Y326+'Damage classification-Rankin'!Z326)))</f>
        <v/>
      </c>
      <c r="AB326" s="67"/>
      <c r="AC326" s="67"/>
    </row>
    <row r="327" spans="1:29" ht="13.8" thickBot="1">
      <c r="A327" s="67"/>
      <c r="B327" s="655">
        <f t="shared" si="40"/>
        <v>306</v>
      </c>
      <c r="C327" s="374" t="str">
        <f t="shared" si="41"/>
        <v/>
      </c>
      <c r="D327" s="784" t="str">
        <f t="shared" si="42"/>
        <v/>
      </c>
      <c r="E327" s="784" t="str">
        <f t="shared" si="43"/>
        <v/>
      </c>
      <c r="F327" s="785" t="str">
        <f t="shared" si="44"/>
        <v/>
      </c>
      <c r="G327" s="784" t="str">
        <f t="shared" si="39"/>
        <v/>
      </c>
      <c r="J327" s="612"/>
      <c r="L327" s="67"/>
      <c r="M327" s="67"/>
      <c r="N327" s="67"/>
      <c r="O327" s="67"/>
      <c r="P327" s="67"/>
      <c r="Q327" s="67"/>
      <c r="R327" s="67"/>
      <c r="S327" s="67"/>
      <c r="T327" s="67"/>
      <c r="U327" s="641"/>
      <c r="V327" s="643"/>
      <c r="W327" s="593"/>
      <c r="X327" s="67"/>
      <c r="Y327" s="663" t="str">
        <f>IF(C327="","",('transversal subsidence profile'!$L$5*EXP(-(C327^2)/(2*'transversal subsidence profile'!$J$5^2)))*100)</f>
        <v/>
      </c>
      <c r="Z327" s="664" t="str">
        <f>IF(C327="","",(+'transversal subsidence profile'!$L$6*EXP(-((C327+$G$10)^2)/(2*'transversal subsidence profile'!$J$6^2)))*100)</f>
        <v/>
      </c>
      <c r="AA327" s="751" t="str">
        <f>IF(C327="","",IF('IN-OUT'!$F$26=0,'Damage classification-Rankin'!Z327,IF('IN-OUT'!$F$35=0,Y327,'Damage classification-Rankin'!Y327+'Damage classification-Rankin'!Z327)))</f>
        <v/>
      </c>
      <c r="AB327" s="67"/>
      <c r="AC327" s="67"/>
    </row>
    <row r="328" spans="1:29" ht="13.8" thickBot="1">
      <c r="A328" s="67"/>
      <c r="B328" s="655">
        <f t="shared" si="40"/>
        <v>307</v>
      </c>
      <c r="C328" s="374" t="str">
        <f t="shared" si="41"/>
        <v/>
      </c>
      <c r="D328" s="784" t="str">
        <f t="shared" si="42"/>
        <v/>
      </c>
      <c r="E328" s="784" t="str">
        <f t="shared" si="43"/>
        <v/>
      </c>
      <c r="F328" s="785" t="str">
        <f t="shared" si="44"/>
        <v/>
      </c>
      <c r="G328" s="784" t="str">
        <f t="shared" si="39"/>
        <v/>
      </c>
      <c r="J328" s="612"/>
      <c r="L328" s="67"/>
      <c r="M328" s="67"/>
      <c r="N328" s="67"/>
      <c r="O328" s="67"/>
      <c r="P328" s="67"/>
      <c r="Q328" s="67"/>
      <c r="R328" s="67"/>
      <c r="S328" s="67"/>
      <c r="T328" s="67"/>
      <c r="U328" s="641"/>
      <c r="V328" s="641"/>
      <c r="W328" s="67"/>
      <c r="X328" s="67"/>
      <c r="Y328" s="663" t="str">
        <f>IF(C328="","",('transversal subsidence profile'!$L$5*EXP(-(C328^2)/(2*'transversal subsidence profile'!$J$5^2)))*100)</f>
        <v/>
      </c>
      <c r="Z328" s="664" t="str">
        <f>IF(C328="","",(+'transversal subsidence profile'!$L$6*EXP(-((C328+$G$10)^2)/(2*'transversal subsidence profile'!$J$6^2)))*100)</f>
        <v/>
      </c>
      <c r="AA328" s="751" t="str">
        <f>IF(C328="","",IF('IN-OUT'!$F$26=0,'Damage classification-Rankin'!Z328,IF('IN-OUT'!$F$35=0,Y328,'Damage classification-Rankin'!Y328+'Damage classification-Rankin'!Z328)))</f>
        <v/>
      </c>
      <c r="AB328" s="67"/>
      <c r="AC328" s="67"/>
    </row>
    <row r="329" spans="1:29" ht="13.8" thickBot="1">
      <c r="A329" s="67"/>
      <c r="B329" s="655">
        <f t="shared" si="40"/>
        <v>308</v>
      </c>
      <c r="C329" s="374" t="str">
        <f t="shared" si="41"/>
        <v/>
      </c>
      <c r="D329" s="784" t="str">
        <f t="shared" si="42"/>
        <v/>
      </c>
      <c r="E329" s="784" t="str">
        <f t="shared" si="43"/>
        <v/>
      </c>
      <c r="F329" s="785" t="str">
        <f t="shared" si="44"/>
        <v/>
      </c>
      <c r="G329" s="784" t="str">
        <f t="shared" si="39"/>
        <v/>
      </c>
      <c r="J329" s="612"/>
      <c r="L329" s="67"/>
      <c r="M329" s="67"/>
      <c r="N329" s="67"/>
      <c r="O329" s="67"/>
      <c r="P329" s="67"/>
      <c r="Q329" s="67"/>
      <c r="R329" s="67"/>
      <c r="S329" s="67"/>
      <c r="T329" s="67"/>
      <c r="U329" s="641"/>
      <c r="V329" s="641"/>
      <c r="W329" s="67"/>
      <c r="X329" s="67"/>
      <c r="Y329" s="663" t="str">
        <f>IF(C329="","",('transversal subsidence profile'!$L$5*EXP(-(C329^2)/(2*'transversal subsidence profile'!$J$5^2)))*100)</f>
        <v/>
      </c>
      <c r="Z329" s="664" t="str">
        <f>IF(C329="","",(+'transversal subsidence profile'!$L$6*EXP(-((C329+$G$10)^2)/(2*'transversal subsidence profile'!$J$6^2)))*100)</f>
        <v/>
      </c>
      <c r="AA329" s="751" t="str">
        <f>IF(C329="","",IF('IN-OUT'!$F$26=0,'Damage classification-Rankin'!Z329,IF('IN-OUT'!$F$35=0,Y329,'Damage classification-Rankin'!Y329+'Damage classification-Rankin'!Z329)))</f>
        <v/>
      </c>
      <c r="AB329" s="67"/>
      <c r="AC329" s="67"/>
    </row>
    <row r="330" spans="1:29" ht="13.8" thickBot="1">
      <c r="A330" s="67"/>
      <c r="B330" s="655">
        <f t="shared" si="40"/>
        <v>309</v>
      </c>
      <c r="C330" s="374" t="str">
        <f t="shared" si="41"/>
        <v/>
      </c>
      <c r="D330" s="784" t="str">
        <f t="shared" si="42"/>
        <v/>
      </c>
      <c r="E330" s="784" t="str">
        <f t="shared" si="43"/>
        <v/>
      </c>
      <c r="F330" s="785" t="str">
        <f t="shared" si="44"/>
        <v/>
      </c>
      <c r="G330" s="784" t="str">
        <f t="shared" si="39"/>
        <v/>
      </c>
      <c r="J330" s="612"/>
      <c r="L330" s="67"/>
      <c r="M330" s="67"/>
      <c r="N330" s="67"/>
      <c r="O330" s="67"/>
      <c r="P330" s="67"/>
      <c r="Q330" s="67"/>
      <c r="R330" s="67"/>
      <c r="S330" s="67"/>
      <c r="T330" s="67"/>
      <c r="U330" s="641"/>
      <c r="V330" s="641"/>
      <c r="W330" s="67"/>
      <c r="X330" s="67"/>
      <c r="Y330" s="663" t="str">
        <f>IF(C330="","",('transversal subsidence profile'!$L$5*EXP(-(C330^2)/(2*'transversal subsidence profile'!$J$5^2)))*100)</f>
        <v/>
      </c>
      <c r="Z330" s="664" t="str">
        <f>IF(C330="","",(+'transversal subsidence profile'!$L$6*EXP(-((C330+$G$10)^2)/(2*'transversal subsidence profile'!$J$6^2)))*100)</f>
        <v/>
      </c>
      <c r="AA330" s="751" t="str">
        <f>IF(C330="","",IF('IN-OUT'!$F$26=0,'Damage classification-Rankin'!Z330,IF('IN-OUT'!$F$35=0,Y330,'Damage classification-Rankin'!Y330+'Damage classification-Rankin'!Z330)))</f>
        <v/>
      </c>
      <c r="AB330" s="67"/>
      <c r="AC330" s="67"/>
    </row>
    <row r="331" spans="1:29" ht="13.8" thickBot="1">
      <c r="A331" s="67"/>
      <c r="B331" s="655">
        <f t="shared" si="40"/>
        <v>310</v>
      </c>
      <c r="C331" s="374" t="str">
        <f t="shared" si="41"/>
        <v/>
      </c>
      <c r="D331" s="784" t="str">
        <f t="shared" si="42"/>
        <v/>
      </c>
      <c r="E331" s="784" t="str">
        <f t="shared" si="43"/>
        <v/>
      </c>
      <c r="F331" s="785" t="str">
        <f t="shared" si="44"/>
        <v/>
      </c>
      <c r="G331" s="784" t="str">
        <f t="shared" si="39"/>
        <v/>
      </c>
      <c r="J331" s="612"/>
      <c r="L331" s="67"/>
      <c r="M331" s="67"/>
      <c r="N331" s="67"/>
      <c r="O331" s="67"/>
      <c r="P331" s="67"/>
      <c r="Q331" s="67"/>
      <c r="R331" s="67"/>
      <c r="S331" s="67"/>
      <c r="T331" s="67"/>
      <c r="U331" s="641"/>
      <c r="V331" s="641"/>
      <c r="W331" s="67"/>
      <c r="X331" s="67"/>
      <c r="Y331" s="663" t="str">
        <f>IF(C331="","",('transversal subsidence profile'!$L$5*EXP(-(C331^2)/(2*'transversal subsidence profile'!$J$5^2)))*100)</f>
        <v/>
      </c>
      <c r="Z331" s="664" t="str">
        <f>IF(C331="","",(+'transversal subsidence profile'!$L$6*EXP(-((C331+$G$10)^2)/(2*'transversal subsidence profile'!$J$6^2)))*100)</f>
        <v/>
      </c>
      <c r="AA331" s="751" t="str">
        <f>IF(C331="","",IF('IN-OUT'!$F$26=0,'Damage classification-Rankin'!Z331,IF('IN-OUT'!$F$35=0,Y331,'Damage classification-Rankin'!Y331+'Damage classification-Rankin'!Z331)))</f>
        <v/>
      </c>
      <c r="AB331" s="67"/>
      <c r="AC331" s="67"/>
    </row>
    <row r="332" spans="1:29" ht="13.8" thickBot="1">
      <c r="A332" s="67"/>
      <c r="B332" s="655">
        <f t="shared" si="40"/>
        <v>311</v>
      </c>
      <c r="C332" s="374" t="str">
        <f t="shared" si="41"/>
        <v/>
      </c>
      <c r="D332" s="784" t="str">
        <f t="shared" si="42"/>
        <v/>
      </c>
      <c r="E332" s="784" t="str">
        <f t="shared" si="43"/>
        <v/>
      </c>
      <c r="F332" s="785" t="str">
        <f t="shared" si="44"/>
        <v/>
      </c>
      <c r="G332" s="784" t="str">
        <f t="shared" si="39"/>
        <v/>
      </c>
      <c r="J332" s="612"/>
      <c r="L332" s="67"/>
      <c r="M332" s="67"/>
      <c r="N332" s="67"/>
      <c r="O332" s="67"/>
      <c r="P332" s="67"/>
      <c r="Q332" s="67"/>
      <c r="R332" s="67"/>
      <c r="S332" s="67"/>
      <c r="T332" s="67"/>
      <c r="U332" s="641"/>
      <c r="V332" s="641"/>
      <c r="W332" s="67"/>
      <c r="X332" s="67"/>
      <c r="Y332" s="663" t="str">
        <f>IF(C332="","",('transversal subsidence profile'!$L$5*EXP(-(C332^2)/(2*'transversal subsidence profile'!$J$5^2)))*100)</f>
        <v/>
      </c>
      <c r="Z332" s="664" t="str">
        <f>IF(C332="","",(+'transversal subsidence profile'!$L$6*EXP(-((C332+$G$10)^2)/(2*'transversal subsidence profile'!$J$6^2)))*100)</f>
        <v/>
      </c>
      <c r="AA332" s="751" t="str">
        <f>IF(C332="","",IF('IN-OUT'!$F$26=0,'Damage classification-Rankin'!Z332,IF('IN-OUT'!$F$35=0,Y332,'Damage classification-Rankin'!Y332+'Damage classification-Rankin'!Z332)))</f>
        <v/>
      </c>
      <c r="AB332" s="67"/>
      <c r="AC332" s="67"/>
    </row>
    <row r="333" spans="1:29" ht="13.8" thickBot="1">
      <c r="A333" s="67"/>
      <c r="B333" s="655">
        <f t="shared" si="40"/>
        <v>312</v>
      </c>
      <c r="C333" s="374" t="str">
        <f t="shared" si="41"/>
        <v/>
      </c>
      <c r="D333" s="784" t="str">
        <f t="shared" si="42"/>
        <v/>
      </c>
      <c r="E333" s="784" t="str">
        <f t="shared" si="43"/>
        <v/>
      </c>
      <c r="F333" s="785" t="str">
        <f t="shared" si="44"/>
        <v/>
      </c>
      <c r="G333" s="784" t="str">
        <f t="shared" si="39"/>
        <v/>
      </c>
      <c r="J333" s="612"/>
      <c r="L333" s="67"/>
      <c r="M333" s="67"/>
      <c r="N333" s="67"/>
      <c r="O333" s="67"/>
      <c r="P333" s="67"/>
      <c r="Q333" s="67"/>
      <c r="R333" s="67"/>
      <c r="S333" s="67"/>
      <c r="T333" s="67"/>
      <c r="U333" s="641"/>
      <c r="V333" s="641"/>
      <c r="W333" s="67"/>
      <c r="X333" s="67"/>
      <c r="Y333" s="663" t="str">
        <f>IF(C333="","",('transversal subsidence profile'!$L$5*EXP(-(C333^2)/(2*'transversal subsidence profile'!$J$5^2)))*100)</f>
        <v/>
      </c>
      <c r="Z333" s="664" t="str">
        <f>IF(C333="","",(+'transversal subsidence profile'!$L$6*EXP(-((C333+$G$10)^2)/(2*'transversal subsidence profile'!$J$6^2)))*100)</f>
        <v/>
      </c>
      <c r="AA333" s="751" t="str">
        <f>IF(C333="","",IF('IN-OUT'!$F$26=0,'Damage classification-Rankin'!Z333,IF('IN-OUT'!$F$35=0,Y333,'Damage classification-Rankin'!Y333+'Damage classification-Rankin'!Z333)))</f>
        <v/>
      </c>
      <c r="AB333" s="67"/>
      <c r="AC333" s="67"/>
    </row>
    <row r="334" spans="1:29" ht="13.8" thickBot="1">
      <c r="A334" s="67"/>
      <c r="B334" s="655">
        <f t="shared" si="40"/>
        <v>313</v>
      </c>
      <c r="C334" s="374" t="str">
        <f t="shared" si="41"/>
        <v/>
      </c>
      <c r="D334" s="784" t="str">
        <f t="shared" si="42"/>
        <v/>
      </c>
      <c r="E334" s="784" t="str">
        <f t="shared" si="43"/>
        <v/>
      </c>
      <c r="F334" s="785" t="str">
        <f t="shared" si="44"/>
        <v/>
      </c>
      <c r="G334" s="784" t="str">
        <f t="shared" si="39"/>
        <v/>
      </c>
      <c r="J334" s="612"/>
      <c r="L334" s="67"/>
      <c r="M334" s="67"/>
      <c r="N334" s="67"/>
      <c r="O334" s="67"/>
      <c r="P334" s="67"/>
      <c r="Q334" s="67"/>
      <c r="R334" s="67"/>
      <c r="S334" s="67"/>
      <c r="T334" s="67"/>
      <c r="U334" s="641"/>
      <c r="V334" s="641"/>
      <c r="W334" s="67"/>
      <c r="X334" s="67"/>
      <c r="Y334" s="663" t="str">
        <f>IF(C334="","",('transversal subsidence profile'!$L$5*EXP(-(C334^2)/(2*'transversal subsidence profile'!$J$5^2)))*100)</f>
        <v/>
      </c>
      <c r="Z334" s="664" t="str">
        <f>IF(C334="","",(+'transversal subsidence profile'!$L$6*EXP(-((C334+$G$10)^2)/(2*'transversal subsidence profile'!$J$6^2)))*100)</f>
        <v/>
      </c>
      <c r="AA334" s="751" t="str">
        <f>IF(C334="","",IF('IN-OUT'!$F$26=0,'Damage classification-Rankin'!Z334,IF('IN-OUT'!$F$35=0,Y334,'Damage classification-Rankin'!Y334+'Damage classification-Rankin'!Z334)))</f>
        <v/>
      </c>
      <c r="AB334" s="67"/>
      <c r="AC334" s="67"/>
    </row>
    <row r="335" spans="1:29" ht="13.8" thickBot="1">
      <c r="A335" s="67"/>
      <c r="B335" s="655">
        <f t="shared" si="40"/>
        <v>314</v>
      </c>
      <c r="C335" s="374" t="str">
        <f t="shared" si="41"/>
        <v/>
      </c>
      <c r="D335" s="784" t="str">
        <f t="shared" si="42"/>
        <v/>
      </c>
      <c r="E335" s="784" t="str">
        <f t="shared" si="43"/>
        <v/>
      </c>
      <c r="F335" s="785" t="str">
        <f t="shared" si="44"/>
        <v/>
      </c>
      <c r="G335" s="784" t="str">
        <f t="shared" si="39"/>
        <v/>
      </c>
      <c r="J335" s="612"/>
      <c r="L335" s="67"/>
      <c r="M335" s="67"/>
      <c r="N335" s="67"/>
      <c r="O335" s="67"/>
      <c r="P335" s="67"/>
      <c r="Q335" s="67"/>
      <c r="R335" s="67"/>
      <c r="S335" s="67"/>
      <c r="T335" s="67"/>
      <c r="U335" s="641"/>
      <c r="V335" s="641"/>
      <c r="W335" s="67"/>
      <c r="X335" s="67"/>
      <c r="Y335" s="663" t="str">
        <f>IF(C335="","",('transversal subsidence profile'!$L$5*EXP(-(C335^2)/(2*'transversal subsidence profile'!$J$5^2)))*100)</f>
        <v/>
      </c>
      <c r="Z335" s="664" t="str">
        <f>IF(C335="","",(+'transversal subsidence profile'!$L$6*EXP(-((C335+$G$10)^2)/(2*'transversal subsidence profile'!$J$6^2)))*100)</f>
        <v/>
      </c>
      <c r="AA335" s="751" t="str">
        <f>IF(C335="","",IF('IN-OUT'!$F$26=0,'Damage classification-Rankin'!Z335,IF('IN-OUT'!$F$35=0,Y335,'Damage classification-Rankin'!Y335+'Damage classification-Rankin'!Z335)))</f>
        <v/>
      </c>
      <c r="AB335" s="67"/>
      <c r="AC335" s="67"/>
    </row>
    <row r="336" spans="1:29" ht="13.8" thickBot="1">
      <c r="A336" s="67"/>
      <c r="B336" s="655">
        <f t="shared" si="40"/>
        <v>315</v>
      </c>
      <c r="C336" s="374" t="str">
        <f t="shared" si="41"/>
        <v/>
      </c>
      <c r="D336" s="784" t="str">
        <f t="shared" si="42"/>
        <v/>
      </c>
      <c r="E336" s="784" t="str">
        <f t="shared" si="43"/>
        <v/>
      </c>
      <c r="F336" s="785" t="str">
        <f t="shared" si="44"/>
        <v/>
      </c>
      <c r="G336" s="784" t="str">
        <f t="shared" si="39"/>
        <v/>
      </c>
      <c r="J336" s="612"/>
      <c r="L336" s="67"/>
      <c r="M336" s="67"/>
      <c r="N336" s="67"/>
      <c r="O336" s="67"/>
      <c r="P336" s="67"/>
      <c r="Q336" s="67"/>
      <c r="R336" s="67"/>
      <c r="S336" s="67"/>
      <c r="T336" s="67"/>
      <c r="U336" s="641"/>
      <c r="V336" s="641"/>
      <c r="W336" s="67"/>
      <c r="X336" s="67"/>
      <c r="Y336" s="663" t="str">
        <f>IF(C336="","",('transversal subsidence profile'!$L$5*EXP(-(C336^2)/(2*'transversal subsidence profile'!$J$5^2)))*100)</f>
        <v/>
      </c>
      <c r="Z336" s="664" t="str">
        <f>IF(C336="","",(+'transversal subsidence profile'!$L$6*EXP(-((C336+$G$10)^2)/(2*'transversal subsidence profile'!$J$6^2)))*100)</f>
        <v/>
      </c>
      <c r="AA336" s="751" t="str">
        <f>IF(C336="","",IF('IN-OUT'!$F$26=0,'Damage classification-Rankin'!Z336,IF('IN-OUT'!$F$35=0,Y336,'Damage classification-Rankin'!Y336+'Damage classification-Rankin'!Z336)))</f>
        <v/>
      </c>
      <c r="AB336" s="67"/>
      <c r="AC336" s="67"/>
    </row>
    <row r="337" spans="1:29" ht="13.8" thickBot="1">
      <c r="A337" s="67"/>
      <c r="B337" s="655">
        <f t="shared" si="40"/>
        <v>316</v>
      </c>
      <c r="C337" s="374" t="str">
        <f t="shared" si="41"/>
        <v/>
      </c>
      <c r="D337" s="784" t="str">
        <f t="shared" si="42"/>
        <v/>
      </c>
      <c r="E337" s="784" t="str">
        <f t="shared" si="43"/>
        <v/>
      </c>
      <c r="F337" s="785" t="str">
        <f t="shared" si="44"/>
        <v/>
      </c>
      <c r="G337" s="784" t="str">
        <f t="shared" si="39"/>
        <v/>
      </c>
      <c r="J337" s="612"/>
      <c r="L337" s="67"/>
      <c r="M337" s="67"/>
      <c r="N337" s="67"/>
      <c r="O337" s="67"/>
      <c r="P337" s="67"/>
      <c r="Q337" s="67"/>
      <c r="R337" s="67"/>
      <c r="S337" s="67"/>
      <c r="T337" s="67"/>
      <c r="U337" s="641"/>
      <c r="V337" s="641"/>
      <c r="W337" s="67"/>
      <c r="X337" s="67"/>
      <c r="Y337" s="663" t="str">
        <f>IF(C337="","",('transversal subsidence profile'!$L$5*EXP(-(C337^2)/(2*'transversal subsidence profile'!$J$5^2)))*100)</f>
        <v/>
      </c>
      <c r="Z337" s="664" t="str">
        <f>IF(C337="","",(+'transversal subsidence profile'!$L$6*EXP(-((C337+$G$10)^2)/(2*'transversal subsidence profile'!$J$6^2)))*100)</f>
        <v/>
      </c>
      <c r="AA337" s="751" t="str">
        <f>IF(C337="","",IF('IN-OUT'!$F$26=0,'Damage classification-Rankin'!Z337,IF('IN-OUT'!$F$35=0,Y337,'Damage classification-Rankin'!Y337+'Damage classification-Rankin'!Z337)))</f>
        <v/>
      </c>
      <c r="AB337" s="67"/>
      <c r="AC337" s="67"/>
    </row>
    <row r="338" spans="1:29" ht="13.8" thickBot="1">
      <c r="A338" s="67"/>
      <c r="B338" s="655">
        <f t="shared" si="40"/>
        <v>317</v>
      </c>
      <c r="C338" s="374" t="str">
        <f t="shared" si="41"/>
        <v/>
      </c>
      <c r="D338" s="784" t="str">
        <f t="shared" si="42"/>
        <v/>
      </c>
      <c r="E338" s="784" t="str">
        <f t="shared" si="43"/>
        <v/>
      </c>
      <c r="F338" s="785" t="str">
        <f t="shared" si="44"/>
        <v/>
      </c>
      <c r="G338" s="784" t="str">
        <f t="shared" si="39"/>
        <v/>
      </c>
      <c r="J338" s="612"/>
      <c r="L338" s="67"/>
      <c r="M338" s="67"/>
      <c r="N338" s="67"/>
      <c r="O338" s="67"/>
      <c r="P338" s="67"/>
      <c r="Q338" s="67"/>
      <c r="R338" s="67"/>
      <c r="S338" s="67"/>
      <c r="T338" s="67"/>
      <c r="U338" s="641"/>
      <c r="V338" s="641"/>
      <c r="W338" s="67"/>
      <c r="X338" s="67"/>
      <c r="Y338" s="663" t="str">
        <f>IF(C338="","",('transversal subsidence profile'!$L$5*EXP(-(C338^2)/(2*'transversal subsidence profile'!$J$5^2)))*100)</f>
        <v/>
      </c>
      <c r="Z338" s="664" t="str">
        <f>IF(C338="","",(+'transversal subsidence profile'!$L$6*EXP(-((C338+$G$10)^2)/(2*'transversal subsidence profile'!$J$6^2)))*100)</f>
        <v/>
      </c>
      <c r="AA338" s="751" t="str">
        <f>IF(C338="","",IF('IN-OUT'!$F$26=0,'Damage classification-Rankin'!Z338,IF('IN-OUT'!$F$35=0,Y338,'Damage classification-Rankin'!Y338+'Damage classification-Rankin'!Z338)))</f>
        <v/>
      </c>
      <c r="AB338" s="67"/>
      <c r="AC338" s="67"/>
    </row>
    <row r="339" spans="1:29" ht="13.8" thickBot="1">
      <c r="A339" s="67"/>
      <c r="B339" s="655">
        <f t="shared" si="40"/>
        <v>318</v>
      </c>
      <c r="C339" s="374" t="str">
        <f t="shared" si="41"/>
        <v/>
      </c>
      <c r="D339" s="784" t="str">
        <f t="shared" si="42"/>
        <v/>
      </c>
      <c r="E339" s="784" t="str">
        <f t="shared" si="43"/>
        <v/>
      </c>
      <c r="F339" s="785" t="str">
        <f t="shared" si="44"/>
        <v/>
      </c>
      <c r="G339" s="784" t="str">
        <f t="shared" si="39"/>
        <v/>
      </c>
      <c r="J339" s="612"/>
      <c r="L339" s="67"/>
      <c r="M339" s="67"/>
      <c r="N339" s="67"/>
      <c r="O339" s="67"/>
      <c r="P339" s="67"/>
      <c r="Q339" s="67"/>
      <c r="R339" s="67"/>
      <c r="S339" s="67"/>
      <c r="T339" s="67"/>
      <c r="U339" s="641"/>
      <c r="V339" s="641"/>
      <c r="W339" s="67"/>
      <c r="X339" s="67"/>
      <c r="Y339" s="663" t="str">
        <f>IF(C339="","",('transversal subsidence profile'!$L$5*EXP(-(C339^2)/(2*'transversal subsidence profile'!$J$5^2)))*100)</f>
        <v/>
      </c>
      <c r="Z339" s="664" t="str">
        <f>IF(C339="","",(+'transversal subsidence profile'!$L$6*EXP(-((C339+$G$10)^2)/(2*'transversal subsidence profile'!$J$6^2)))*100)</f>
        <v/>
      </c>
      <c r="AA339" s="751" t="str">
        <f>IF(C339="","",IF('IN-OUT'!$F$26=0,'Damage classification-Rankin'!Z339,IF('IN-OUT'!$F$35=0,Y339,'Damage classification-Rankin'!Y339+'Damage classification-Rankin'!Z339)))</f>
        <v/>
      </c>
      <c r="AB339" s="67"/>
      <c r="AC339" s="67"/>
    </row>
    <row r="340" spans="1:29" ht="13.8" thickBot="1">
      <c r="A340" s="67"/>
      <c r="B340" s="655">
        <f t="shared" si="40"/>
        <v>319</v>
      </c>
      <c r="C340" s="374" t="str">
        <f t="shared" si="41"/>
        <v/>
      </c>
      <c r="D340" s="784" t="str">
        <f t="shared" si="42"/>
        <v/>
      </c>
      <c r="E340" s="784" t="str">
        <f t="shared" si="43"/>
        <v/>
      </c>
      <c r="F340" s="785" t="str">
        <f t="shared" si="44"/>
        <v/>
      </c>
      <c r="G340" s="784" t="str">
        <f t="shared" si="39"/>
        <v/>
      </c>
      <c r="J340" s="612"/>
      <c r="L340" s="67"/>
      <c r="M340" s="67"/>
      <c r="N340" s="67"/>
      <c r="O340" s="67"/>
      <c r="P340" s="67"/>
      <c r="Q340" s="67"/>
      <c r="R340" s="67"/>
      <c r="S340" s="67"/>
      <c r="T340" s="67"/>
      <c r="U340" s="641"/>
      <c r="V340" s="641"/>
      <c r="W340" s="67"/>
      <c r="X340" s="67"/>
      <c r="Y340" s="663" t="str">
        <f>IF(C340="","",('transversal subsidence profile'!$L$5*EXP(-(C340^2)/(2*'transversal subsidence profile'!$J$5^2)))*100)</f>
        <v/>
      </c>
      <c r="Z340" s="664" t="str">
        <f>IF(C340="","",(+'transversal subsidence profile'!$L$6*EXP(-((C340+$G$10)^2)/(2*'transversal subsidence profile'!$J$6^2)))*100)</f>
        <v/>
      </c>
      <c r="AA340" s="751" t="str">
        <f>IF(C340="","",IF('IN-OUT'!$F$26=0,'Damage classification-Rankin'!Z340,IF('IN-OUT'!$F$35=0,Y340,'Damage classification-Rankin'!Y340+'Damage classification-Rankin'!Z340)))</f>
        <v/>
      </c>
      <c r="AB340" s="67"/>
      <c r="AC340" s="67"/>
    </row>
    <row r="341" spans="1:29" ht="13.8" thickBot="1">
      <c r="A341" s="67"/>
      <c r="B341" s="655">
        <f t="shared" si="40"/>
        <v>320</v>
      </c>
      <c r="C341" s="374" t="str">
        <f t="shared" si="41"/>
        <v/>
      </c>
      <c r="D341" s="784" t="str">
        <f t="shared" si="42"/>
        <v/>
      </c>
      <c r="E341" s="784" t="str">
        <f t="shared" si="43"/>
        <v/>
      </c>
      <c r="F341" s="785" t="str">
        <f t="shared" si="44"/>
        <v/>
      </c>
      <c r="G341" s="784" t="str">
        <f t="shared" si="39"/>
        <v/>
      </c>
      <c r="J341" s="612"/>
      <c r="L341" s="67"/>
      <c r="M341" s="67"/>
      <c r="N341" s="67"/>
      <c r="O341" s="67"/>
      <c r="P341" s="67"/>
      <c r="Q341" s="67"/>
      <c r="R341" s="67"/>
      <c r="S341" s="67"/>
      <c r="T341" s="67"/>
      <c r="U341" s="641"/>
      <c r="V341" s="641"/>
      <c r="W341" s="67"/>
      <c r="X341" s="67"/>
      <c r="Y341" s="663" t="str">
        <f>IF(C341="","",('transversal subsidence profile'!$L$5*EXP(-(C341^2)/(2*'transversal subsidence profile'!$J$5^2)))*100)</f>
        <v/>
      </c>
      <c r="Z341" s="664" t="str">
        <f>IF(C341="","",(+'transversal subsidence profile'!$L$6*EXP(-((C341+$G$10)^2)/(2*'transversal subsidence profile'!$J$6^2)))*100)</f>
        <v/>
      </c>
      <c r="AA341" s="751" t="str">
        <f>IF(C341="","",IF('IN-OUT'!$F$26=0,'Damage classification-Rankin'!Z341,IF('IN-OUT'!$F$35=0,Y341,'Damage classification-Rankin'!Y341+'Damage classification-Rankin'!Z341)))</f>
        <v/>
      </c>
      <c r="AB341" s="67"/>
      <c r="AC341" s="67"/>
    </row>
    <row r="342" spans="1:29" ht="13.8" thickBot="1">
      <c r="A342" s="67"/>
      <c r="B342" s="655">
        <f t="shared" si="40"/>
        <v>321</v>
      </c>
      <c r="C342" s="374" t="str">
        <f t="shared" si="41"/>
        <v/>
      </c>
      <c r="D342" s="784" t="str">
        <f t="shared" si="42"/>
        <v/>
      </c>
      <c r="E342" s="784" t="str">
        <f t="shared" si="43"/>
        <v/>
      </c>
      <c r="F342" s="785" t="str">
        <f t="shared" si="44"/>
        <v/>
      </c>
      <c r="G342" s="784" t="str">
        <f t="shared" si="39"/>
        <v/>
      </c>
      <c r="J342" s="612"/>
      <c r="L342" s="67"/>
      <c r="M342" s="67"/>
      <c r="N342" s="67"/>
      <c r="O342" s="67"/>
      <c r="P342" s="67"/>
      <c r="Q342" s="67"/>
      <c r="R342" s="67"/>
      <c r="S342" s="67"/>
      <c r="T342" s="67"/>
      <c r="U342" s="641"/>
      <c r="V342" s="641"/>
      <c r="W342" s="67"/>
      <c r="X342" s="67"/>
      <c r="Y342" s="663" t="str">
        <f>IF(C342="","",('transversal subsidence profile'!$L$5*EXP(-(C342^2)/(2*'transversal subsidence profile'!$J$5^2)))*100)</f>
        <v/>
      </c>
      <c r="Z342" s="664" t="str">
        <f>IF(C342="","",(+'transversal subsidence profile'!$L$6*EXP(-((C342+$G$10)^2)/(2*'transversal subsidence profile'!$J$6^2)))*100)</f>
        <v/>
      </c>
      <c r="AA342" s="751" t="str">
        <f>IF(C342="","",IF('IN-OUT'!$F$26=0,'Damage classification-Rankin'!Z342,IF('IN-OUT'!$F$35=0,Y342,'Damage classification-Rankin'!Y342+'Damage classification-Rankin'!Z342)))</f>
        <v/>
      </c>
      <c r="AB342" s="67"/>
      <c r="AC342" s="67"/>
    </row>
    <row r="343" spans="1:29" ht="13.8" thickBot="1">
      <c r="A343" s="67"/>
      <c r="B343" s="655">
        <f t="shared" si="40"/>
        <v>322</v>
      </c>
      <c r="C343" s="374" t="str">
        <f t="shared" si="41"/>
        <v/>
      </c>
      <c r="D343" s="784" t="str">
        <f t="shared" si="42"/>
        <v/>
      </c>
      <c r="E343" s="784" t="str">
        <f t="shared" si="43"/>
        <v/>
      </c>
      <c r="F343" s="785" t="str">
        <f t="shared" si="44"/>
        <v/>
      </c>
      <c r="G343" s="784" t="str">
        <f t="shared" si="39"/>
        <v/>
      </c>
      <c r="J343" s="612"/>
      <c r="L343" s="67"/>
      <c r="M343" s="67"/>
      <c r="N343" s="67"/>
      <c r="O343" s="67"/>
      <c r="P343" s="67"/>
      <c r="Q343" s="67"/>
      <c r="R343" s="67"/>
      <c r="S343" s="67"/>
      <c r="T343" s="67"/>
      <c r="U343" s="641"/>
      <c r="V343" s="641"/>
      <c r="W343" s="67"/>
      <c r="X343" s="67"/>
      <c r="Y343" s="663" t="str">
        <f>IF(C343="","",('transversal subsidence profile'!$L$5*EXP(-(C343^2)/(2*'transversal subsidence profile'!$J$5^2)))*100)</f>
        <v/>
      </c>
      <c r="Z343" s="664" t="str">
        <f>IF(C343="","",(+'transversal subsidence profile'!$L$6*EXP(-((C343+$G$10)^2)/(2*'transversal subsidence profile'!$J$6^2)))*100)</f>
        <v/>
      </c>
      <c r="AA343" s="751" t="str">
        <f>IF(C343="","",IF('IN-OUT'!$F$26=0,'Damage classification-Rankin'!Z343,IF('IN-OUT'!$F$35=0,Y343,'Damage classification-Rankin'!Y343+'Damage classification-Rankin'!Z343)))</f>
        <v/>
      </c>
      <c r="AB343" s="67"/>
      <c r="AC343" s="67"/>
    </row>
    <row r="344" spans="1:29" ht="13.8" thickBot="1">
      <c r="A344" s="67"/>
      <c r="B344" s="655">
        <f t="shared" si="40"/>
        <v>323</v>
      </c>
      <c r="C344" s="374" t="str">
        <f t="shared" si="41"/>
        <v/>
      </c>
      <c r="D344" s="784" t="str">
        <f t="shared" si="42"/>
        <v/>
      </c>
      <c r="E344" s="784" t="str">
        <f t="shared" si="43"/>
        <v/>
      </c>
      <c r="F344" s="785" t="str">
        <f t="shared" si="44"/>
        <v/>
      </c>
      <c r="G344" s="784" t="str">
        <f t="shared" ref="G344:G407" si="45">IF(C344="","",IF(ABS(C343-C344)&lt;($C$19-0.0001),"",$C$20+E344))</f>
        <v/>
      </c>
      <c r="J344" s="612"/>
      <c r="L344" s="67"/>
      <c r="M344" s="67"/>
      <c r="N344" s="67"/>
      <c r="O344" s="67"/>
      <c r="P344" s="67"/>
      <c r="Q344" s="67"/>
      <c r="R344" s="67"/>
      <c r="S344" s="67"/>
      <c r="T344" s="67"/>
      <c r="U344" s="641"/>
      <c r="V344" s="641"/>
      <c r="W344" s="67"/>
      <c r="X344" s="67"/>
      <c r="Y344" s="663" t="str">
        <f>IF(C344="","",('transversal subsidence profile'!$L$5*EXP(-(C344^2)/(2*'transversal subsidence profile'!$J$5^2)))*100)</f>
        <v/>
      </c>
      <c r="Z344" s="664" t="str">
        <f>IF(C344="","",(+'transversal subsidence profile'!$L$6*EXP(-((C344+$G$10)^2)/(2*'transversal subsidence profile'!$J$6^2)))*100)</f>
        <v/>
      </c>
      <c r="AA344" s="751" t="str">
        <f>IF(C344="","",IF('IN-OUT'!$F$26=0,'Damage classification-Rankin'!Z344,IF('IN-OUT'!$F$35=0,Y344,'Damage classification-Rankin'!Y344+'Damage classification-Rankin'!Z344)))</f>
        <v/>
      </c>
      <c r="AB344" s="67"/>
      <c r="AC344" s="67"/>
    </row>
    <row r="345" spans="1:29" ht="13.8" thickBot="1">
      <c r="A345" s="67"/>
      <c r="B345" s="655">
        <f t="shared" si="40"/>
        <v>324</v>
      </c>
      <c r="C345" s="374" t="str">
        <f t="shared" si="41"/>
        <v/>
      </c>
      <c r="D345" s="784" t="str">
        <f t="shared" si="42"/>
        <v/>
      </c>
      <c r="E345" s="784" t="str">
        <f t="shared" si="43"/>
        <v/>
      </c>
      <c r="F345" s="785" t="str">
        <f t="shared" si="44"/>
        <v/>
      </c>
      <c r="G345" s="784" t="str">
        <f t="shared" si="45"/>
        <v/>
      </c>
      <c r="J345" s="612"/>
      <c r="L345" s="67"/>
      <c r="M345" s="67"/>
      <c r="N345" s="67"/>
      <c r="O345" s="67"/>
      <c r="P345" s="67"/>
      <c r="Q345" s="67"/>
      <c r="R345" s="67"/>
      <c r="S345" s="67"/>
      <c r="T345" s="67"/>
      <c r="U345" s="641"/>
      <c r="V345" s="641"/>
      <c r="W345" s="67"/>
      <c r="X345" s="67"/>
      <c r="Y345" s="663" t="str">
        <f>IF(C345="","",('transversal subsidence profile'!$L$5*EXP(-(C345^2)/(2*'transversal subsidence profile'!$J$5^2)))*100)</f>
        <v/>
      </c>
      <c r="Z345" s="664" t="str">
        <f>IF(C345="","",(+'transversal subsidence profile'!$L$6*EXP(-((C345+$G$10)^2)/(2*'transversal subsidence profile'!$J$6^2)))*100)</f>
        <v/>
      </c>
      <c r="AA345" s="751" t="str">
        <f>IF(C345="","",IF('IN-OUT'!$F$26=0,'Damage classification-Rankin'!Z345,IF('IN-OUT'!$F$35=0,Y345,'Damage classification-Rankin'!Y345+'Damage classification-Rankin'!Z345)))</f>
        <v/>
      </c>
      <c r="AB345" s="67"/>
      <c r="AC345" s="67"/>
    </row>
    <row r="346" spans="1:29" ht="13.8" thickBot="1">
      <c r="A346" s="67"/>
      <c r="B346" s="655">
        <f t="shared" si="40"/>
        <v>325</v>
      </c>
      <c r="C346" s="374" t="str">
        <f t="shared" si="41"/>
        <v/>
      </c>
      <c r="D346" s="784" t="str">
        <f t="shared" si="42"/>
        <v/>
      </c>
      <c r="E346" s="784" t="str">
        <f t="shared" si="43"/>
        <v/>
      </c>
      <c r="F346" s="785" t="str">
        <f t="shared" si="44"/>
        <v/>
      </c>
      <c r="G346" s="784" t="str">
        <f t="shared" si="45"/>
        <v/>
      </c>
      <c r="J346" s="612"/>
      <c r="L346" s="67"/>
      <c r="M346" s="67"/>
      <c r="N346" s="67"/>
      <c r="O346" s="67"/>
      <c r="P346" s="67"/>
      <c r="Q346" s="67"/>
      <c r="R346" s="67"/>
      <c r="S346" s="67"/>
      <c r="T346" s="67"/>
      <c r="U346" s="641"/>
      <c r="V346" s="641"/>
      <c r="W346" s="67"/>
      <c r="X346" s="67"/>
      <c r="Y346" s="663" t="str">
        <f>IF(C346="","",('transversal subsidence profile'!$L$5*EXP(-(C346^2)/(2*'transversal subsidence profile'!$J$5^2)))*100)</f>
        <v/>
      </c>
      <c r="Z346" s="664" t="str">
        <f>IF(C346="","",(+'transversal subsidence profile'!$L$6*EXP(-((C346+$G$10)^2)/(2*'transversal subsidence profile'!$J$6^2)))*100)</f>
        <v/>
      </c>
      <c r="AA346" s="751" t="str">
        <f>IF(C346="","",IF('IN-OUT'!$F$26=0,'Damage classification-Rankin'!Z346,IF('IN-OUT'!$F$35=0,Y346,'Damage classification-Rankin'!Y346+'Damage classification-Rankin'!Z346)))</f>
        <v/>
      </c>
      <c r="AB346" s="67"/>
      <c r="AC346" s="67"/>
    </row>
    <row r="347" spans="1:29" ht="13.8" thickBot="1">
      <c r="A347" s="67"/>
      <c r="B347" s="655">
        <f t="shared" si="40"/>
        <v>326</v>
      </c>
      <c r="C347" s="374" t="str">
        <f t="shared" si="41"/>
        <v/>
      </c>
      <c r="D347" s="784" t="str">
        <f t="shared" si="42"/>
        <v/>
      </c>
      <c r="E347" s="784" t="str">
        <f t="shared" si="43"/>
        <v/>
      </c>
      <c r="F347" s="785" t="str">
        <f t="shared" si="44"/>
        <v/>
      </c>
      <c r="G347" s="784" t="str">
        <f t="shared" si="45"/>
        <v/>
      </c>
      <c r="J347" s="612"/>
      <c r="L347" s="67"/>
      <c r="M347" s="67"/>
      <c r="N347" s="67"/>
      <c r="O347" s="67"/>
      <c r="P347" s="67"/>
      <c r="Q347" s="67"/>
      <c r="R347" s="67"/>
      <c r="S347" s="67"/>
      <c r="T347" s="67"/>
      <c r="U347" s="641"/>
      <c r="V347" s="641"/>
      <c r="W347" s="67"/>
      <c r="X347" s="67"/>
      <c r="Y347" s="663" t="str">
        <f>IF(C347="","",('transversal subsidence profile'!$L$5*EXP(-(C347^2)/(2*'transversal subsidence profile'!$J$5^2)))*100)</f>
        <v/>
      </c>
      <c r="Z347" s="664" t="str">
        <f>IF(C347="","",(+'transversal subsidence profile'!$L$6*EXP(-((C347+$G$10)^2)/(2*'transversal subsidence profile'!$J$6^2)))*100)</f>
        <v/>
      </c>
      <c r="AA347" s="751" t="str">
        <f>IF(C347="","",IF('IN-OUT'!$F$26=0,'Damage classification-Rankin'!Z347,IF('IN-OUT'!$F$35=0,Y347,'Damage classification-Rankin'!Y347+'Damage classification-Rankin'!Z347)))</f>
        <v/>
      </c>
      <c r="AB347" s="67"/>
      <c r="AC347" s="67"/>
    </row>
    <row r="348" spans="1:29" ht="13.8" thickBot="1">
      <c r="A348" s="67"/>
      <c r="B348" s="655">
        <f t="shared" si="40"/>
        <v>327</v>
      </c>
      <c r="C348" s="374" t="str">
        <f t="shared" si="41"/>
        <v/>
      </c>
      <c r="D348" s="784" t="str">
        <f t="shared" si="42"/>
        <v/>
      </c>
      <c r="E348" s="784" t="str">
        <f t="shared" si="43"/>
        <v/>
      </c>
      <c r="F348" s="785" t="str">
        <f t="shared" si="44"/>
        <v/>
      </c>
      <c r="G348" s="784" t="str">
        <f t="shared" si="45"/>
        <v/>
      </c>
      <c r="J348" s="612"/>
      <c r="L348" s="67"/>
      <c r="M348" s="67"/>
      <c r="N348" s="67"/>
      <c r="O348" s="67"/>
      <c r="P348" s="67"/>
      <c r="Q348" s="67"/>
      <c r="R348" s="67"/>
      <c r="S348" s="67"/>
      <c r="T348" s="67"/>
      <c r="U348" s="641"/>
      <c r="V348" s="641"/>
      <c r="W348" s="67"/>
      <c r="X348" s="67"/>
      <c r="Y348" s="663" t="str">
        <f>IF(C348="","",('transversal subsidence profile'!$L$5*EXP(-(C348^2)/(2*'transversal subsidence profile'!$J$5^2)))*100)</f>
        <v/>
      </c>
      <c r="Z348" s="664" t="str">
        <f>IF(C348="","",(+'transversal subsidence profile'!$L$6*EXP(-((C348+$G$10)^2)/(2*'transversal subsidence profile'!$J$6^2)))*100)</f>
        <v/>
      </c>
      <c r="AA348" s="751" t="str">
        <f>IF(C348="","",IF('IN-OUT'!$F$26=0,'Damage classification-Rankin'!Z348,IF('IN-OUT'!$F$35=0,Y348,'Damage classification-Rankin'!Y348+'Damage classification-Rankin'!Z348)))</f>
        <v/>
      </c>
      <c r="AB348" s="67"/>
      <c r="AC348" s="67"/>
    </row>
    <row r="349" spans="1:29" ht="13.8" thickBot="1">
      <c r="A349" s="67"/>
      <c r="B349" s="655">
        <f t="shared" si="40"/>
        <v>328</v>
      </c>
      <c r="C349" s="374" t="str">
        <f t="shared" si="41"/>
        <v/>
      </c>
      <c r="D349" s="784" t="str">
        <f t="shared" si="42"/>
        <v/>
      </c>
      <c r="E349" s="784" t="str">
        <f t="shared" si="43"/>
        <v/>
      </c>
      <c r="F349" s="785" t="str">
        <f t="shared" si="44"/>
        <v/>
      </c>
      <c r="G349" s="784" t="str">
        <f t="shared" si="45"/>
        <v/>
      </c>
      <c r="J349" s="612"/>
      <c r="L349" s="67"/>
      <c r="M349" s="67"/>
      <c r="N349" s="67"/>
      <c r="O349" s="67"/>
      <c r="P349" s="67"/>
      <c r="Q349" s="67"/>
      <c r="R349" s="67"/>
      <c r="S349" s="67"/>
      <c r="T349" s="67"/>
      <c r="U349" s="641"/>
      <c r="V349" s="641"/>
      <c r="W349" s="67"/>
      <c r="X349" s="67"/>
      <c r="Y349" s="663" t="str">
        <f>IF(C349="","",('transversal subsidence profile'!$L$5*EXP(-(C349^2)/(2*'transversal subsidence profile'!$J$5^2)))*100)</f>
        <v/>
      </c>
      <c r="Z349" s="664" t="str">
        <f>IF(C349="","",(+'transversal subsidence profile'!$L$6*EXP(-((C349+$G$10)^2)/(2*'transversal subsidence profile'!$J$6^2)))*100)</f>
        <v/>
      </c>
      <c r="AA349" s="751" t="str">
        <f>IF(C349="","",IF('IN-OUT'!$F$26=0,'Damage classification-Rankin'!Z349,IF('IN-OUT'!$F$35=0,Y349,'Damage classification-Rankin'!Y349+'Damage classification-Rankin'!Z349)))</f>
        <v/>
      </c>
      <c r="AB349" s="67"/>
      <c r="AC349" s="67"/>
    </row>
    <row r="350" spans="1:29" ht="13.8" thickBot="1">
      <c r="A350" s="67"/>
      <c r="B350" s="655">
        <f t="shared" si="40"/>
        <v>329</v>
      </c>
      <c r="C350" s="374" t="str">
        <f t="shared" si="41"/>
        <v/>
      </c>
      <c r="D350" s="784" t="str">
        <f t="shared" si="42"/>
        <v/>
      </c>
      <c r="E350" s="784" t="str">
        <f t="shared" si="43"/>
        <v/>
      </c>
      <c r="F350" s="785" t="str">
        <f t="shared" si="44"/>
        <v/>
      </c>
      <c r="G350" s="784" t="str">
        <f t="shared" si="45"/>
        <v/>
      </c>
      <c r="J350" s="612"/>
      <c r="L350" s="67"/>
      <c r="M350" s="67"/>
      <c r="N350" s="67"/>
      <c r="O350" s="67"/>
      <c r="P350" s="67"/>
      <c r="Q350" s="67"/>
      <c r="R350" s="67"/>
      <c r="S350" s="67"/>
      <c r="T350" s="67"/>
      <c r="U350" s="641"/>
      <c r="V350" s="641"/>
      <c r="W350" s="67"/>
      <c r="X350" s="67"/>
      <c r="Y350" s="663" t="str">
        <f>IF(C350="","",('transversal subsidence profile'!$L$5*EXP(-(C350^2)/(2*'transversal subsidence profile'!$J$5^2)))*100)</f>
        <v/>
      </c>
      <c r="Z350" s="664" t="str">
        <f>IF(C350="","",(+'transversal subsidence profile'!$L$6*EXP(-((C350+$G$10)^2)/(2*'transversal subsidence profile'!$J$6^2)))*100)</f>
        <v/>
      </c>
      <c r="AA350" s="751" t="str">
        <f>IF(C350="","",IF('IN-OUT'!$F$26=0,'Damage classification-Rankin'!Z350,IF('IN-OUT'!$F$35=0,Y350,'Damage classification-Rankin'!Y350+'Damage classification-Rankin'!Z350)))</f>
        <v/>
      </c>
      <c r="AB350" s="67"/>
      <c r="AC350" s="67"/>
    </row>
    <row r="351" spans="1:29" ht="13.8" thickBot="1">
      <c r="A351" s="67"/>
      <c r="B351" s="655">
        <f t="shared" si="40"/>
        <v>330</v>
      </c>
      <c r="C351" s="374" t="str">
        <f t="shared" si="41"/>
        <v/>
      </c>
      <c r="D351" s="784" t="str">
        <f t="shared" si="42"/>
        <v/>
      </c>
      <c r="E351" s="784" t="str">
        <f t="shared" si="43"/>
        <v/>
      </c>
      <c r="F351" s="785" t="str">
        <f t="shared" si="44"/>
        <v/>
      </c>
      <c r="G351" s="784" t="str">
        <f t="shared" si="45"/>
        <v/>
      </c>
      <c r="J351" s="612"/>
      <c r="L351" s="67"/>
      <c r="M351" s="67"/>
      <c r="N351" s="67"/>
      <c r="O351" s="67"/>
      <c r="P351" s="67"/>
      <c r="Q351" s="67"/>
      <c r="R351" s="67"/>
      <c r="S351" s="67"/>
      <c r="T351" s="67"/>
      <c r="U351" s="641"/>
      <c r="V351" s="641"/>
      <c r="W351" s="67"/>
      <c r="X351" s="67"/>
      <c r="Y351" s="663" t="str">
        <f>IF(C351="","",('transversal subsidence profile'!$L$5*EXP(-(C351^2)/(2*'transversal subsidence profile'!$J$5^2)))*100)</f>
        <v/>
      </c>
      <c r="Z351" s="664" t="str">
        <f>IF(C351="","",(+'transversal subsidence profile'!$L$6*EXP(-((C351+$G$10)^2)/(2*'transversal subsidence profile'!$J$6^2)))*100)</f>
        <v/>
      </c>
      <c r="AA351" s="751" t="str">
        <f>IF(C351="","",IF('IN-OUT'!$F$26=0,'Damage classification-Rankin'!Z351,IF('IN-OUT'!$F$35=0,Y351,'Damage classification-Rankin'!Y351+'Damage classification-Rankin'!Z351)))</f>
        <v/>
      </c>
      <c r="AB351" s="67"/>
      <c r="AC351" s="67"/>
    </row>
    <row r="352" spans="1:29" ht="13.8" thickBot="1">
      <c r="A352" s="67"/>
      <c r="B352" s="655">
        <f t="shared" si="40"/>
        <v>331</v>
      </c>
      <c r="C352" s="374" t="str">
        <f t="shared" si="41"/>
        <v/>
      </c>
      <c r="D352" s="784" t="str">
        <f t="shared" si="42"/>
        <v/>
      </c>
      <c r="E352" s="784" t="str">
        <f t="shared" si="43"/>
        <v/>
      </c>
      <c r="F352" s="785" t="str">
        <f t="shared" si="44"/>
        <v/>
      </c>
      <c r="G352" s="784" t="str">
        <f t="shared" si="45"/>
        <v/>
      </c>
      <c r="J352" s="612"/>
      <c r="L352" s="67"/>
      <c r="M352" s="67"/>
      <c r="N352" s="67"/>
      <c r="O352" s="67"/>
      <c r="P352" s="67"/>
      <c r="Q352" s="67"/>
      <c r="R352" s="67"/>
      <c r="S352" s="67"/>
      <c r="T352" s="67"/>
      <c r="U352" s="641"/>
      <c r="V352" s="641"/>
      <c r="W352" s="67"/>
      <c r="X352" s="67"/>
      <c r="Y352" s="663" t="str">
        <f>IF(C352="","",('transversal subsidence profile'!$L$5*EXP(-(C352^2)/(2*'transversal subsidence profile'!$J$5^2)))*100)</f>
        <v/>
      </c>
      <c r="Z352" s="664" t="str">
        <f>IF(C352="","",(+'transversal subsidence profile'!$L$6*EXP(-((C352+$G$10)^2)/(2*'transversal subsidence profile'!$J$6^2)))*100)</f>
        <v/>
      </c>
      <c r="AA352" s="751" t="str">
        <f>IF(C352="","",IF('IN-OUT'!$F$26=0,'Damage classification-Rankin'!Z352,IF('IN-OUT'!$F$35=0,Y352,'Damage classification-Rankin'!Y352+'Damage classification-Rankin'!Z352)))</f>
        <v/>
      </c>
      <c r="AB352" s="67"/>
      <c r="AC352" s="67"/>
    </row>
    <row r="353" spans="1:29" ht="13.8" thickBot="1">
      <c r="A353" s="67"/>
      <c r="B353" s="655">
        <f t="shared" si="40"/>
        <v>332</v>
      </c>
      <c r="C353" s="374" t="str">
        <f t="shared" si="41"/>
        <v/>
      </c>
      <c r="D353" s="784" t="str">
        <f t="shared" si="42"/>
        <v/>
      </c>
      <c r="E353" s="784" t="str">
        <f t="shared" si="43"/>
        <v/>
      </c>
      <c r="F353" s="785" t="str">
        <f t="shared" si="44"/>
        <v/>
      </c>
      <c r="G353" s="784" t="str">
        <f t="shared" si="45"/>
        <v/>
      </c>
      <c r="J353" s="612"/>
      <c r="L353" s="67"/>
      <c r="M353" s="67"/>
      <c r="N353" s="67"/>
      <c r="O353" s="67"/>
      <c r="P353" s="67"/>
      <c r="Q353" s="67"/>
      <c r="R353" s="67"/>
      <c r="S353" s="67"/>
      <c r="T353" s="67"/>
      <c r="U353" s="641"/>
      <c r="V353" s="641"/>
      <c r="W353" s="67"/>
      <c r="X353" s="67"/>
      <c r="Y353" s="663" t="str">
        <f>IF(C353="","",('transversal subsidence profile'!$L$5*EXP(-(C353^2)/(2*'transversal subsidence profile'!$J$5^2)))*100)</f>
        <v/>
      </c>
      <c r="Z353" s="664" t="str">
        <f>IF(C353="","",(+'transversal subsidence profile'!$L$6*EXP(-((C353+$G$10)^2)/(2*'transversal subsidence profile'!$J$6^2)))*100)</f>
        <v/>
      </c>
      <c r="AA353" s="751" t="str">
        <f>IF(C353="","",IF('IN-OUT'!$F$26=0,'Damage classification-Rankin'!Z353,IF('IN-OUT'!$F$35=0,Y353,'Damage classification-Rankin'!Y353+'Damage classification-Rankin'!Z353)))</f>
        <v/>
      </c>
      <c r="AB353" s="67"/>
      <c r="AC353" s="67"/>
    </row>
    <row r="354" spans="1:29" ht="13.8" thickBot="1">
      <c r="A354" s="67"/>
      <c r="B354" s="655">
        <f t="shared" ref="B354:B417" si="46">B353+1</f>
        <v>333</v>
      </c>
      <c r="C354" s="374" t="str">
        <f t="shared" ref="C354:C417" si="47">IF(OR(C353=$D$8,C353=""),"",IF((C353+$C$19)&gt;$D$8,$D$8,C353+$C$19))</f>
        <v/>
      </c>
      <c r="D354" s="784" t="str">
        <f t="shared" ref="D354:D417" si="48">AA354</f>
        <v/>
      </c>
      <c r="E354" s="784" t="str">
        <f t="shared" ref="E354:E417" si="49">IF(C354="","",IF(D354&gt;D353,ATAN(((D354-D353))/ABS((C354-C353)*100)),-ATAN(((D353-D354))/ABS((C354-C353)*100))))</f>
        <v/>
      </c>
      <c r="F354" s="785" t="str">
        <f t="shared" ref="F354:F417" si="50">IF(C354&lt;&gt;"",ABS(D353-D354),"")</f>
        <v/>
      </c>
      <c r="G354" s="784" t="str">
        <f t="shared" si="45"/>
        <v/>
      </c>
      <c r="J354" s="612"/>
      <c r="Y354" s="663" t="str">
        <f>IF(C354="","",('transversal subsidence profile'!$L$5*EXP(-(C354^2)/(2*'transversal subsidence profile'!$J$5^2)))*100)</f>
        <v/>
      </c>
      <c r="Z354" s="664" t="str">
        <f>IF(C354="","",(+'transversal subsidence profile'!$L$6*EXP(-((C354+$G$10)^2)/(2*'transversal subsidence profile'!$J$6^2)))*100)</f>
        <v/>
      </c>
      <c r="AA354" s="751" t="str">
        <f>IF(C354="","",IF('IN-OUT'!$F$26=0,'Damage classification-Rankin'!Z354,IF('IN-OUT'!$F$35=0,Y354,'Damage classification-Rankin'!Y354+'Damage classification-Rankin'!Z354)))</f>
        <v/>
      </c>
    </row>
    <row r="355" spans="1:29" ht="13.8" thickBot="1">
      <c r="A355" s="67"/>
      <c r="B355" s="655">
        <f t="shared" si="46"/>
        <v>334</v>
      </c>
      <c r="C355" s="374" t="str">
        <f t="shared" si="47"/>
        <v/>
      </c>
      <c r="D355" s="784" t="str">
        <f t="shared" si="48"/>
        <v/>
      </c>
      <c r="E355" s="784" t="str">
        <f t="shared" si="49"/>
        <v/>
      </c>
      <c r="F355" s="785" t="str">
        <f t="shared" si="50"/>
        <v/>
      </c>
      <c r="G355" s="784" t="str">
        <f t="shared" si="45"/>
        <v/>
      </c>
      <c r="J355" s="612"/>
      <c r="Y355" s="663" t="str">
        <f>IF(C355="","",('transversal subsidence profile'!$L$5*EXP(-(C355^2)/(2*'transversal subsidence profile'!$J$5^2)))*100)</f>
        <v/>
      </c>
      <c r="Z355" s="664" t="str">
        <f>IF(C355="","",(+'transversal subsidence profile'!$L$6*EXP(-((C355+$G$10)^2)/(2*'transversal subsidence profile'!$J$6^2)))*100)</f>
        <v/>
      </c>
      <c r="AA355" s="751" t="str">
        <f>IF(C355="","",IF('IN-OUT'!$F$26=0,'Damage classification-Rankin'!Z355,IF('IN-OUT'!$F$35=0,Y355,'Damage classification-Rankin'!Y355+'Damage classification-Rankin'!Z355)))</f>
        <v/>
      </c>
    </row>
    <row r="356" spans="1:29" ht="13.8" thickBot="1">
      <c r="A356" s="67"/>
      <c r="B356" s="655">
        <f t="shared" si="46"/>
        <v>335</v>
      </c>
      <c r="C356" s="374" t="str">
        <f t="shared" si="47"/>
        <v/>
      </c>
      <c r="D356" s="784" t="str">
        <f t="shared" si="48"/>
        <v/>
      </c>
      <c r="E356" s="784" t="str">
        <f t="shared" si="49"/>
        <v/>
      </c>
      <c r="F356" s="785" t="str">
        <f t="shared" si="50"/>
        <v/>
      </c>
      <c r="G356" s="784" t="str">
        <f t="shared" si="45"/>
        <v/>
      </c>
      <c r="J356" s="612"/>
      <c r="Y356" s="663" t="str">
        <f>IF(C356="","",('transversal subsidence profile'!$L$5*EXP(-(C356^2)/(2*'transversal subsidence profile'!$J$5^2)))*100)</f>
        <v/>
      </c>
      <c r="Z356" s="664" t="str">
        <f>IF(C356="","",(+'transversal subsidence profile'!$L$6*EXP(-((C356+$G$10)^2)/(2*'transversal subsidence profile'!$J$6^2)))*100)</f>
        <v/>
      </c>
      <c r="AA356" s="751" t="str">
        <f>IF(C356="","",IF('IN-OUT'!$F$26=0,'Damage classification-Rankin'!Z356,IF('IN-OUT'!$F$35=0,Y356,'Damage classification-Rankin'!Y356+'Damage classification-Rankin'!Z356)))</f>
        <v/>
      </c>
    </row>
    <row r="357" spans="1:29" ht="13.8" thickBot="1">
      <c r="A357" s="67"/>
      <c r="B357" s="655">
        <f t="shared" si="46"/>
        <v>336</v>
      </c>
      <c r="C357" s="374" t="str">
        <f t="shared" si="47"/>
        <v/>
      </c>
      <c r="D357" s="784" t="str">
        <f t="shared" si="48"/>
        <v/>
      </c>
      <c r="E357" s="784" t="str">
        <f t="shared" si="49"/>
        <v/>
      </c>
      <c r="F357" s="785" t="str">
        <f t="shared" si="50"/>
        <v/>
      </c>
      <c r="G357" s="784" t="str">
        <f t="shared" si="45"/>
        <v/>
      </c>
      <c r="J357" s="612"/>
      <c r="Y357" s="663" t="str">
        <f>IF(C357="","",('transversal subsidence profile'!$L$5*EXP(-(C357^2)/(2*'transversal subsidence profile'!$J$5^2)))*100)</f>
        <v/>
      </c>
      <c r="Z357" s="664" t="str">
        <f>IF(C357="","",(+'transversal subsidence profile'!$L$6*EXP(-((C357+$G$10)^2)/(2*'transversal subsidence profile'!$J$6^2)))*100)</f>
        <v/>
      </c>
      <c r="AA357" s="751" t="str">
        <f>IF(C357="","",IF('IN-OUT'!$F$26=0,'Damage classification-Rankin'!Z357,IF('IN-OUT'!$F$35=0,Y357,'Damage classification-Rankin'!Y357+'Damage classification-Rankin'!Z357)))</f>
        <v/>
      </c>
    </row>
    <row r="358" spans="1:29" ht="13.8" thickBot="1">
      <c r="A358" s="67"/>
      <c r="B358" s="655">
        <f t="shared" si="46"/>
        <v>337</v>
      </c>
      <c r="C358" s="374" t="str">
        <f t="shared" si="47"/>
        <v/>
      </c>
      <c r="D358" s="784" t="str">
        <f t="shared" si="48"/>
        <v/>
      </c>
      <c r="E358" s="784" t="str">
        <f t="shared" si="49"/>
        <v/>
      </c>
      <c r="F358" s="785" t="str">
        <f t="shared" si="50"/>
        <v/>
      </c>
      <c r="G358" s="784" t="str">
        <f t="shared" si="45"/>
        <v/>
      </c>
      <c r="J358" s="612"/>
      <c r="Y358" s="663" t="str">
        <f>IF(C358="","",('transversal subsidence profile'!$L$5*EXP(-(C358^2)/(2*'transversal subsidence profile'!$J$5^2)))*100)</f>
        <v/>
      </c>
      <c r="Z358" s="664" t="str">
        <f>IF(C358="","",(+'transversal subsidence profile'!$L$6*EXP(-((C358+$G$10)^2)/(2*'transversal subsidence profile'!$J$6^2)))*100)</f>
        <v/>
      </c>
      <c r="AA358" s="751" t="str">
        <f>IF(C358="","",IF('IN-OUT'!$F$26=0,'Damage classification-Rankin'!Z358,IF('IN-OUT'!$F$35=0,Y358,'Damage classification-Rankin'!Y358+'Damage classification-Rankin'!Z358)))</f>
        <v/>
      </c>
    </row>
    <row r="359" spans="1:29" ht="13.8" thickBot="1">
      <c r="A359" s="67"/>
      <c r="B359" s="655">
        <f t="shared" si="46"/>
        <v>338</v>
      </c>
      <c r="C359" s="374" t="str">
        <f t="shared" si="47"/>
        <v/>
      </c>
      <c r="D359" s="784" t="str">
        <f t="shared" si="48"/>
        <v/>
      </c>
      <c r="E359" s="784" t="str">
        <f t="shared" si="49"/>
        <v/>
      </c>
      <c r="F359" s="785" t="str">
        <f t="shared" si="50"/>
        <v/>
      </c>
      <c r="G359" s="784" t="str">
        <f t="shared" si="45"/>
        <v/>
      </c>
      <c r="J359" s="612"/>
      <c r="Y359" s="663" t="str">
        <f>IF(C359="","",('transversal subsidence profile'!$L$5*EXP(-(C359^2)/(2*'transversal subsidence profile'!$J$5^2)))*100)</f>
        <v/>
      </c>
      <c r="Z359" s="664" t="str">
        <f>IF(C359="","",(+'transversal subsidence profile'!$L$6*EXP(-((C359+$G$10)^2)/(2*'transversal subsidence profile'!$J$6^2)))*100)</f>
        <v/>
      </c>
      <c r="AA359" s="751" t="str">
        <f>IF(C359="","",IF('IN-OUT'!$F$26=0,'Damage classification-Rankin'!Z359,IF('IN-OUT'!$F$35=0,Y359,'Damage classification-Rankin'!Y359+'Damage classification-Rankin'!Z359)))</f>
        <v/>
      </c>
    </row>
    <row r="360" spans="1:29" ht="13.8" thickBot="1">
      <c r="A360" s="67"/>
      <c r="B360" s="655">
        <f t="shared" si="46"/>
        <v>339</v>
      </c>
      <c r="C360" s="374" t="str">
        <f t="shared" si="47"/>
        <v/>
      </c>
      <c r="D360" s="784" t="str">
        <f t="shared" si="48"/>
        <v/>
      </c>
      <c r="E360" s="784" t="str">
        <f t="shared" si="49"/>
        <v/>
      </c>
      <c r="F360" s="785" t="str">
        <f t="shared" si="50"/>
        <v/>
      </c>
      <c r="G360" s="784" t="str">
        <f t="shared" si="45"/>
        <v/>
      </c>
      <c r="J360" s="612"/>
      <c r="Y360" s="663" t="str">
        <f>IF(C360="","",('transversal subsidence profile'!$L$5*EXP(-(C360^2)/(2*'transversal subsidence profile'!$J$5^2)))*100)</f>
        <v/>
      </c>
      <c r="Z360" s="664" t="str">
        <f>IF(C360="","",(+'transversal subsidence profile'!$L$6*EXP(-((C360+$G$10)^2)/(2*'transversal subsidence profile'!$J$6^2)))*100)</f>
        <v/>
      </c>
      <c r="AA360" s="751" t="str">
        <f>IF(C360="","",IF('IN-OUT'!$F$26=0,'Damage classification-Rankin'!Z360,IF('IN-OUT'!$F$35=0,Y360,'Damage classification-Rankin'!Y360+'Damage classification-Rankin'!Z360)))</f>
        <v/>
      </c>
    </row>
    <row r="361" spans="1:29" ht="13.8" thickBot="1">
      <c r="A361" s="67"/>
      <c r="B361" s="655">
        <f t="shared" si="46"/>
        <v>340</v>
      </c>
      <c r="C361" s="374" t="str">
        <f t="shared" si="47"/>
        <v/>
      </c>
      <c r="D361" s="784" t="str">
        <f t="shared" si="48"/>
        <v/>
      </c>
      <c r="E361" s="784" t="str">
        <f t="shared" si="49"/>
        <v/>
      </c>
      <c r="F361" s="785" t="str">
        <f t="shared" si="50"/>
        <v/>
      </c>
      <c r="G361" s="784" t="str">
        <f t="shared" si="45"/>
        <v/>
      </c>
      <c r="J361" s="612"/>
      <c r="Y361" s="663" t="str">
        <f>IF(C361="","",('transversal subsidence profile'!$L$5*EXP(-(C361^2)/(2*'transversal subsidence profile'!$J$5^2)))*100)</f>
        <v/>
      </c>
      <c r="Z361" s="664" t="str">
        <f>IF(C361="","",(+'transversal subsidence profile'!$L$6*EXP(-((C361+$G$10)^2)/(2*'transversal subsidence profile'!$J$6^2)))*100)</f>
        <v/>
      </c>
      <c r="AA361" s="751" t="str">
        <f>IF(C361="","",IF('IN-OUT'!$F$26=0,'Damage classification-Rankin'!Z361,IF('IN-OUT'!$F$35=0,Y361,'Damage classification-Rankin'!Y361+'Damage classification-Rankin'!Z361)))</f>
        <v/>
      </c>
    </row>
    <row r="362" spans="1:29" ht="13.8" thickBot="1">
      <c r="A362" s="67"/>
      <c r="B362" s="655">
        <f t="shared" si="46"/>
        <v>341</v>
      </c>
      <c r="C362" s="374" t="str">
        <f t="shared" si="47"/>
        <v/>
      </c>
      <c r="D362" s="784" t="str">
        <f t="shared" si="48"/>
        <v/>
      </c>
      <c r="E362" s="784" t="str">
        <f t="shared" si="49"/>
        <v/>
      </c>
      <c r="F362" s="785" t="str">
        <f t="shared" si="50"/>
        <v/>
      </c>
      <c r="G362" s="784" t="str">
        <f t="shared" si="45"/>
        <v/>
      </c>
      <c r="J362" s="612"/>
      <c r="Y362" s="663" t="str">
        <f>IF(C362="","",('transversal subsidence profile'!$L$5*EXP(-(C362^2)/(2*'transversal subsidence profile'!$J$5^2)))*100)</f>
        <v/>
      </c>
      <c r="Z362" s="664" t="str">
        <f>IF(C362="","",(+'transversal subsidence profile'!$L$6*EXP(-((C362+$G$10)^2)/(2*'transversal subsidence profile'!$J$6^2)))*100)</f>
        <v/>
      </c>
      <c r="AA362" s="751" t="str">
        <f>IF(C362="","",IF('IN-OUT'!$F$26=0,'Damage classification-Rankin'!Z362,IF('IN-OUT'!$F$35=0,Y362,'Damage classification-Rankin'!Y362+'Damage classification-Rankin'!Z362)))</f>
        <v/>
      </c>
    </row>
    <row r="363" spans="1:29" ht="13.8" thickBot="1">
      <c r="A363" s="67"/>
      <c r="B363" s="655">
        <f t="shared" si="46"/>
        <v>342</v>
      </c>
      <c r="C363" s="374" t="str">
        <f t="shared" si="47"/>
        <v/>
      </c>
      <c r="D363" s="784" t="str">
        <f t="shared" si="48"/>
        <v/>
      </c>
      <c r="E363" s="784" t="str">
        <f t="shared" si="49"/>
        <v/>
      </c>
      <c r="F363" s="785" t="str">
        <f t="shared" si="50"/>
        <v/>
      </c>
      <c r="G363" s="784" t="str">
        <f t="shared" si="45"/>
        <v/>
      </c>
      <c r="J363" s="612"/>
      <c r="Y363" s="663" t="str">
        <f>IF(C363="","",('transversal subsidence profile'!$L$5*EXP(-(C363^2)/(2*'transversal subsidence profile'!$J$5^2)))*100)</f>
        <v/>
      </c>
      <c r="Z363" s="664" t="str">
        <f>IF(C363="","",(+'transversal subsidence profile'!$L$6*EXP(-((C363+$G$10)^2)/(2*'transversal subsidence profile'!$J$6^2)))*100)</f>
        <v/>
      </c>
      <c r="AA363" s="751" t="str">
        <f>IF(C363="","",IF('IN-OUT'!$F$26=0,'Damage classification-Rankin'!Z363,IF('IN-OUT'!$F$35=0,Y363,'Damage classification-Rankin'!Y363+'Damage classification-Rankin'!Z363)))</f>
        <v/>
      </c>
    </row>
    <row r="364" spans="1:29" ht="13.8" thickBot="1">
      <c r="A364" s="67"/>
      <c r="B364" s="655">
        <f t="shared" si="46"/>
        <v>343</v>
      </c>
      <c r="C364" s="374" t="str">
        <f t="shared" si="47"/>
        <v/>
      </c>
      <c r="D364" s="784" t="str">
        <f t="shared" si="48"/>
        <v/>
      </c>
      <c r="E364" s="784" t="str">
        <f t="shared" si="49"/>
        <v/>
      </c>
      <c r="F364" s="785" t="str">
        <f t="shared" si="50"/>
        <v/>
      </c>
      <c r="G364" s="784" t="str">
        <f t="shared" si="45"/>
        <v/>
      </c>
      <c r="J364" s="612"/>
      <c r="Y364" s="663" t="str">
        <f>IF(C364="","",('transversal subsidence profile'!$L$5*EXP(-(C364^2)/(2*'transversal subsidence profile'!$J$5^2)))*100)</f>
        <v/>
      </c>
      <c r="Z364" s="664" t="str">
        <f>IF(C364="","",(+'transversal subsidence profile'!$L$6*EXP(-((C364+$G$10)^2)/(2*'transversal subsidence profile'!$J$6^2)))*100)</f>
        <v/>
      </c>
      <c r="AA364" s="751" t="str">
        <f>IF(C364="","",IF('IN-OUT'!$F$26=0,'Damage classification-Rankin'!Z364,IF('IN-OUT'!$F$35=0,Y364,'Damage classification-Rankin'!Y364+'Damage classification-Rankin'!Z364)))</f>
        <v/>
      </c>
    </row>
    <row r="365" spans="1:29" ht="13.8" thickBot="1">
      <c r="A365" s="67"/>
      <c r="B365" s="655">
        <f t="shared" si="46"/>
        <v>344</v>
      </c>
      <c r="C365" s="374" t="str">
        <f t="shared" si="47"/>
        <v/>
      </c>
      <c r="D365" s="784" t="str">
        <f t="shared" si="48"/>
        <v/>
      </c>
      <c r="E365" s="784" t="str">
        <f t="shared" si="49"/>
        <v/>
      </c>
      <c r="F365" s="785" t="str">
        <f t="shared" si="50"/>
        <v/>
      </c>
      <c r="G365" s="784" t="str">
        <f t="shared" si="45"/>
        <v/>
      </c>
      <c r="J365" s="612"/>
      <c r="Y365" s="663" t="str">
        <f>IF(C365="","",('transversal subsidence profile'!$L$5*EXP(-(C365^2)/(2*'transversal subsidence profile'!$J$5^2)))*100)</f>
        <v/>
      </c>
      <c r="Z365" s="664" t="str">
        <f>IF(C365="","",(+'transversal subsidence profile'!$L$6*EXP(-((C365+$G$10)^2)/(2*'transversal subsidence profile'!$J$6^2)))*100)</f>
        <v/>
      </c>
      <c r="AA365" s="751" t="str">
        <f>IF(C365="","",IF('IN-OUT'!$F$26=0,'Damage classification-Rankin'!Z365,IF('IN-OUT'!$F$35=0,Y365,'Damage classification-Rankin'!Y365+'Damage classification-Rankin'!Z365)))</f>
        <v/>
      </c>
    </row>
    <row r="366" spans="1:29" ht="13.8" thickBot="1">
      <c r="A366" s="67"/>
      <c r="B366" s="655">
        <f t="shared" si="46"/>
        <v>345</v>
      </c>
      <c r="C366" s="374" t="str">
        <f t="shared" si="47"/>
        <v/>
      </c>
      <c r="D366" s="784" t="str">
        <f t="shared" si="48"/>
        <v/>
      </c>
      <c r="E366" s="784" t="str">
        <f t="shared" si="49"/>
        <v/>
      </c>
      <c r="F366" s="785" t="str">
        <f t="shared" si="50"/>
        <v/>
      </c>
      <c r="G366" s="784" t="str">
        <f t="shared" si="45"/>
        <v/>
      </c>
      <c r="J366" s="612"/>
      <c r="Y366" s="663" t="str">
        <f>IF(C366="","",('transversal subsidence profile'!$L$5*EXP(-(C366^2)/(2*'transversal subsidence profile'!$J$5^2)))*100)</f>
        <v/>
      </c>
      <c r="Z366" s="664" t="str">
        <f>IF(C366="","",(+'transversal subsidence profile'!$L$6*EXP(-((C366+$G$10)^2)/(2*'transversal subsidence profile'!$J$6^2)))*100)</f>
        <v/>
      </c>
      <c r="AA366" s="751" t="str">
        <f>IF(C366="","",IF('IN-OUT'!$F$26=0,'Damage classification-Rankin'!Z366,IF('IN-OUT'!$F$35=0,Y366,'Damage classification-Rankin'!Y366+'Damage classification-Rankin'!Z366)))</f>
        <v/>
      </c>
    </row>
    <row r="367" spans="1:29" ht="13.8" thickBot="1">
      <c r="A367" s="67"/>
      <c r="B367" s="655">
        <f t="shared" si="46"/>
        <v>346</v>
      </c>
      <c r="C367" s="374" t="str">
        <f t="shared" si="47"/>
        <v/>
      </c>
      <c r="D367" s="784" t="str">
        <f t="shared" si="48"/>
        <v/>
      </c>
      <c r="E367" s="784" t="str">
        <f t="shared" si="49"/>
        <v/>
      </c>
      <c r="F367" s="785" t="str">
        <f t="shared" si="50"/>
        <v/>
      </c>
      <c r="G367" s="784" t="str">
        <f t="shared" si="45"/>
        <v/>
      </c>
      <c r="J367" s="612"/>
      <c r="Y367" s="663" t="str">
        <f>IF(C367="","",('transversal subsidence profile'!$L$5*EXP(-(C367^2)/(2*'transversal subsidence profile'!$J$5^2)))*100)</f>
        <v/>
      </c>
      <c r="Z367" s="664" t="str">
        <f>IF(C367="","",(+'transversal subsidence profile'!$L$6*EXP(-((C367+$G$10)^2)/(2*'transversal subsidence profile'!$J$6^2)))*100)</f>
        <v/>
      </c>
      <c r="AA367" s="751" t="str">
        <f>IF(C367="","",IF('IN-OUT'!$F$26=0,'Damage classification-Rankin'!Z367,IF('IN-OUT'!$F$35=0,Y367,'Damage classification-Rankin'!Y367+'Damage classification-Rankin'!Z367)))</f>
        <v/>
      </c>
    </row>
    <row r="368" spans="1:29" ht="13.8" thickBot="1">
      <c r="A368" s="67"/>
      <c r="B368" s="655">
        <f t="shared" si="46"/>
        <v>347</v>
      </c>
      <c r="C368" s="374" t="str">
        <f t="shared" si="47"/>
        <v/>
      </c>
      <c r="D368" s="784" t="str">
        <f t="shared" si="48"/>
        <v/>
      </c>
      <c r="E368" s="784" t="str">
        <f t="shared" si="49"/>
        <v/>
      </c>
      <c r="F368" s="785" t="str">
        <f t="shared" si="50"/>
        <v/>
      </c>
      <c r="G368" s="784" t="str">
        <f t="shared" si="45"/>
        <v/>
      </c>
      <c r="J368" s="612"/>
      <c r="Y368" s="663" t="str">
        <f>IF(C368="","",('transversal subsidence profile'!$L$5*EXP(-(C368^2)/(2*'transversal subsidence profile'!$J$5^2)))*100)</f>
        <v/>
      </c>
      <c r="Z368" s="664" t="str">
        <f>IF(C368="","",(+'transversal subsidence profile'!$L$6*EXP(-((C368+$G$10)^2)/(2*'transversal subsidence profile'!$J$6^2)))*100)</f>
        <v/>
      </c>
      <c r="AA368" s="751" t="str">
        <f>IF(C368="","",IF('IN-OUT'!$F$26=0,'Damage classification-Rankin'!Z368,IF('IN-OUT'!$F$35=0,Y368,'Damage classification-Rankin'!Y368+'Damage classification-Rankin'!Z368)))</f>
        <v/>
      </c>
    </row>
    <row r="369" spans="1:27" ht="13.8" thickBot="1">
      <c r="A369" s="67"/>
      <c r="B369" s="655">
        <f t="shared" si="46"/>
        <v>348</v>
      </c>
      <c r="C369" s="374" t="str">
        <f t="shared" si="47"/>
        <v/>
      </c>
      <c r="D369" s="784" t="str">
        <f t="shared" si="48"/>
        <v/>
      </c>
      <c r="E369" s="784" t="str">
        <f t="shared" si="49"/>
        <v/>
      </c>
      <c r="F369" s="785" t="str">
        <f t="shared" si="50"/>
        <v/>
      </c>
      <c r="G369" s="784" t="str">
        <f t="shared" si="45"/>
        <v/>
      </c>
      <c r="J369" s="612"/>
      <c r="Y369" s="663" t="str">
        <f>IF(C369="","",('transversal subsidence profile'!$L$5*EXP(-(C369^2)/(2*'transversal subsidence profile'!$J$5^2)))*100)</f>
        <v/>
      </c>
      <c r="Z369" s="664" t="str">
        <f>IF(C369="","",(+'transversal subsidence profile'!$L$6*EXP(-((C369+$G$10)^2)/(2*'transversal subsidence profile'!$J$6^2)))*100)</f>
        <v/>
      </c>
      <c r="AA369" s="751" t="str">
        <f>IF(C369="","",IF('IN-OUT'!$F$26=0,'Damage classification-Rankin'!Z369,IF('IN-OUT'!$F$35=0,Y369,'Damage classification-Rankin'!Y369+'Damage classification-Rankin'!Z369)))</f>
        <v/>
      </c>
    </row>
    <row r="370" spans="1:27" ht="13.8" thickBot="1">
      <c r="A370" s="67"/>
      <c r="B370" s="655">
        <f t="shared" si="46"/>
        <v>349</v>
      </c>
      <c r="C370" s="374" t="str">
        <f t="shared" si="47"/>
        <v/>
      </c>
      <c r="D370" s="784" t="str">
        <f t="shared" si="48"/>
        <v/>
      </c>
      <c r="E370" s="784" t="str">
        <f t="shared" si="49"/>
        <v/>
      </c>
      <c r="F370" s="785" t="str">
        <f t="shared" si="50"/>
        <v/>
      </c>
      <c r="G370" s="784" t="str">
        <f t="shared" si="45"/>
        <v/>
      </c>
      <c r="J370" s="612"/>
      <c r="Y370" s="663" t="str">
        <f>IF(C370="","",('transversal subsidence profile'!$L$5*EXP(-(C370^2)/(2*'transversal subsidence profile'!$J$5^2)))*100)</f>
        <v/>
      </c>
      <c r="Z370" s="664" t="str">
        <f>IF(C370="","",(+'transversal subsidence profile'!$L$6*EXP(-((C370+$G$10)^2)/(2*'transversal subsidence profile'!$J$6^2)))*100)</f>
        <v/>
      </c>
      <c r="AA370" s="751" t="str">
        <f>IF(C370="","",IF('IN-OUT'!$F$26=0,'Damage classification-Rankin'!Z370,IF('IN-OUT'!$F$35=0,Y370,'Damage classification-Rankin'!Y370+'Damage classification-Rankin'!Z370)))</f>
        <v/>
      </c>
    </row>
    <row r="371" spans="1:27" ht="13.8" thickBot="1">
      <c r="A371" s="67"/>
      <c r="B371" s="655">
        <f t="shared" si="46"/>
        <v>350</v>
      </c>
      <c r="C371" s="374" t="str">
        <f t="shared" si="47"/>
        <v/>
      </c>
      <c r="D371" s="784" t="str">
        <f t="shared" si="48"/>
        <v/>
      </c>
      <c r="E371" s="784" t="str">
        <f t="shared" si="49"/>
        <v/>
      </c>
      <c r="F371" s="785" t="str">
        <f t="shared" si="50"/>
        <v/>
      </c>
      <c r="G371" s="784" t="str">
        <f t="shared" si="45"/>
        <v/>
      </c>
      <c r="J371" s="612"/>
      <c r="Y371" s="663" t="str">
        <f>IF(C371="","",('transversal subsidence profile'!$L$5*EXP(-(C371^2)/(2*'transversal subsidence profile'!$J$5^2)))*100)</f>
        <v/>
      </c>
      <c r="Z371" s="664" t="str">
        <f>IF(C371="","",(+'transversal subsidence profile'!$L$6*EXP(-((C371+$G$10)^2)/(2*'transversal subsidence profile'!$J$6^2)))*100)</f>
        <v/>
      </c>
      <c r="AA371" s="751" t="str">
        <f>IF(C371="","",IF('IN-OUT'!$F$26=0,'Damage classification-Rankin'!Z371,IF('IN-OUT'!$F$35=0,Y371,'Damage classification-Rankin'!Y371+'Damage classification-Rankin'!Z371)))</f>
        <v/>
      </c>
    </row>
    <row r="372" spans="1:27" ht="13.8" thickBot="1">
      <c r="A372" s="67"/>
      <c r="B372" s="655">
        <f t="shared" si="46"/>
        <v>351</v>
      </c>
      <c r="C372" s="374" t="str">
        <f t="shared" si="47"/>
        <v/>
      </c>
      <c r="D372" s="784" t="str">
        <f t="shared" si="48"/>
        <v/>
      </c>
      <c r="E372" s="784" t="str">
        <f t="shared" si="49"/>
        <v/>
      </c>
      <c r="F372" s="785" t="str">
        <f t="shared" si="50"/>
        <v/>
      </c>
      <c r="G372" s="784" t="str">
        <f t="shared" si="45"/>
        <v/>
      </c>
      <c r="J372" s="612"/>
      <c r="Y372" s="663" t="str">
        <f>IF(C372="","",('transversal subsidence profile'!$L$5*EXP(-(C372^2)/(2*'transversal subsidence profile'!$J$5^2)))*100)</f>
        <v/>
      </c>
      <c r="Z372" s="664" t="str">
        <f>IF(C372="","",(+'transversal subsidence profile'!$L$6*EXP(-((C372+$G$10)^2)/(2*'transversal subsidence profile'!$J$6^2)))*100)</f>
        <v/>
      </c>
      <c r="AA372" s="751" t="str">
        <f>IF(C372="","",IF('IN-OUT'!$F$26=0,'Damage classification-Rankin'!Z372,IF('IN-OUT'!$F$35=0,Y372,'Damage classification-Rankin'!Y372+'Damage classification-Rankin'!Z372)))</f>
        <v/>
      </c>
    </row>
    <row r="373" spans="1:27" ht="13.8" thickBot="1">
      <c r="A373" s="67"/>
      <c r="B373" s="655">
        <f t="shared" si="46"/>
        <v>352</v>
      </c>
      <c r="C373" s="374" t="str">
        <f t="shared" si="47"/>
        <v/>
      </c>
      <c r="D373" s="784" t="str">
        <f t="shared" si="48"/>
        <v/>
      </c>
      <c r="E373" s="784" t="str">
        <f t="shared" si="49"/>
        <v/>
      </c>
      <c r="F373" s="785" t="str">
        <f t="shared" si="50"/>
        <v/>
      </c>
      <c r="G373" s="784" t="str">
        <f t="shared" si="45"/>
        <v/>
      </c>
      <c r="J373" s="612"/>
      <c r="Y373" s="663" t="str">
        <f>IF(C373="","",('transversal subsidence profile'!$L$5*EXP(-(C373^2)/(2*'transversal subsidence profile'!$J$5^2)))*100)</f>
        <v/>
      </c>
      <c r="Z373" s="664" t="str">
        <f>IF(C373="","",(+'transversal subsidence profile'!$L$6*EXP(-((C373+$G$10)^2)/(2*'transversal subsidence profile'!$J$6^2)))*100)</f>
        <v/>
      </c>
      <c r="AA373" s="751" t="str">
        <f>IF(C373="","",IF('IN-OUT'!$F$26=0,'Damage classification-Rankin'!Z373,IF('IN-OUT'!$F$35=0,Y373,'Damage classification-Rankin'!Y373+'Damage classification-Rankin'!Z373)))</f>
        <v/>
      </c>
    </row>
    <row r="374" spans="1:27" ht="13.8" thickBot="1">
      <c r="A374" s="67"/>
      <c r="B374" s="655">
        <f t="shared" si="46"/>
        <v>353</v>
      </c>
      <c r="C374" s="374" t="str">
        <f t="shared" si="47"/>
        <v/>
      </c>
      <c r="D374" s="784" t="str">
        <f t="shared" si="48"/>
        <v/>
      </c>
      <c r="E374" s="784" t="str">
        <f t="shared" si="49"/>
        <v/>
      </c>
      <c r="F374" s="785" t="str">
        <f t="shared" si="50"/>
        <v/>
      </c>
      <c r="G374" s="784" t="str">
        <f t="shared" si="45"/>
        <v/>
      </c>
      <c r="J374" s="612"/>
      <c r="Y374" s="663" t="str">
        <f>IF(C374="","",('transversal subsidence profile'!$L$5*EXP(-(C374^2)/(2*'transversal subsidence profile'!$J$5^2)))*100)</f>
        <v/>
      </c>
      <c r="Z374" s="664" t="str">
        <f>IF(C374="","",(+'transversal subsidence profile'!$L$6*EXP(-((C374+$G$10)^2)/(2*'transversal subsidence profile'!$J$6^2)))*100)</f>
        <v/>
      </c>
      <c r="AA374" s="751" t="str">
        <f>IF(C374="","",IF('IN-OUT'!$F$26=0,'Damage classification-Rankin'!Z374,IF('IN-OUT'!$F$35=0,Y374,'Damage classification-Rankin'!Y374+'Damage classification-Rankin'!Z374)))</f>
        <v/>
      </c>
    </row>
    <row r="375" spans="1:27" ht="13.8" thickBot="1">
      <c r="A375" s="67"/>
      <c r="B375" s="655">
        <f t="shared" si="46"/>
        <v>354</v>
      </c>
      <c r="C375" s="374" t="str">
        <f t="shared" si="47"/>
        <v/>
      </c>
      <c r="D375" s="784" t="str">
        <f t="shared" si="48"/>
        <v/>
      </c>
      <c r="E375" s="784" t="str">
        <f t="shared" si="49"/>
        <v/>
      </c>
      <c r="F375" s="785" t="str">
        <f t="shared" si="50"/>
        <v/>
      </c>
      <c r="G375" s="784" t="str">
        <f t="shared" si="45"/>
        <v/>
      </c>
      <c r="J375" s="612"/>
      <c r="Y375" s="663" t="str">
        <f>IF(C375="","",('transversal subsidence profile'!$L$5*EXP(-(C375^2)/(2*'transversal subsidence profile'!$J$5^2)))*100)</f>
        <v/>
      </c>
      <c r="Z375" s="664" t="str">
        <f>IF(C375="","",(+'transversal subsidence profile'!$L$6*EXP(-((C375+$G$10)^2)/(2*'transversal subsidence profile'!$J$6^2)))*100)</f>
        <v/>
      </c>
      <c r="AA375" s="751" t="str">
        <f>IF(C375="","",IF('IN-OUT'!$F$26=0,'Damage classification-Rankin'!Z375,IF('IN-OUT'!$F$35=0,Y375,'Damage classification-Rankin'!Y375+'Damage classification-Rankin'!Z375)))</f>
        <v/>
      </c>
    </row>
    <row r="376" spans="1:27" ht="13.8" thickBot="1">
      <c r="A376" s="67"/>
      <c r="B376" s="655">
        <f t="shared" si="46"/>
        <v>355</v>
      </c>
      <c r="C376" s="374" t="str">
        <f t="shared" si="47"/>
        <v/>
      </c>
      <c r="D376" s="784" t="str">
        <f t="shared" si="48"/>
        <v/>
      </c>
      <c r="E376" s="784" t="str">
        <f t="shared" si="49"/>
        <v/>
      </c>
      <c r="F376" s="785" t="str">
        <f t="shared" si="50"/>
        <v/>
      </c>
      <c r="G376" s="784" t="str">
        <f t="shared" si="45"/>
        <v/>
      </c>
      <c r="J376" s="612"/>
      <c r="Y376" s="663" t="str">
        <f>IF(C376="","",('transversal subsidence profile'!$L$5*EXP(-(C376^2)/(2*'transversal subsidence profile'!$J$5^2)))*100)</f>
        <v/>
      </c>
      <c r="Z376" s="664" t="str">
        <f>IF(C376="","",(+'transversal subsidence profile'!$L$6*EXP(-((C376+$G$10)^2)/(2*'transversal subsidence profile'!$J$6^2)))*100)</f>
        <v/>
      </c>
      <c r="AA376" s="751" t="str">
        <f>IF(C376="","",IF('IN-OUT'!$F$26=0,'Damage classification-Rankin'!Z376,IF('IN-OUT'!$F$35=0,Y376,'Damage classification-Rankin'!Y376+'Damage classification-Rankin'!Z376)))</f>
        <v/>
      </c>
    </row>
    <row r="377" spans="1:27" ht="13.8" thickBot="1">
      <c r="A377" s="67"/>
      <c r="B377" s="655">
        <f t="shared" si="46"/>
        <v>356</v>
      </c>
      <c r="C377" s="374" t="str">
        <f t="shared" si="47"/>
        <v/>
      </c>
      <c r="D377" s="784" t="str">
        <f t="shared" si="48"/>
        <v/>
      </c>
      <c r="E377" s="784" t="str">
        <f t="shared" si="49"/>
        <v/>
      </c>
      <c r="F377" s="785" t="str">
        <f t="shared" si="50"/>
        <v/>
      </c>
      <c r="G377" s="784" t="str">
        <f t="shared" si="45"/>
        <v/>
      </c>
      <c r="J377" s="612"/>
      <c r="Y377" s="663" t="str">
        <f>IF(C377="","",('transversal subsidence profile'!$L$5*EXP(-(C377^2)/(2*'transversal subsidence profile'!$J$5^2)))*100)</f>
        <v/>
      </c>
      <c r="Z377" s="664" t="str">
        <f>IF(C377="","",(+'transversal subsidence profile'!$L$6*EXP(-((C377+$G$10)^2)/(2*'transversal subsidence profile'!$J$6^2)))*100)</f>
        <v/>
      </c>
      <c r="AA377" s="751" t="str">
        <f>IF(C377="","",IF('IN-OUT'!$F$26=0,'Damage classification-Rankin'!Z377,IF('IN-OUT'!$F$35=0,Y377,'Damage classification-Rankin'!Y377+'Damage classification-Rankin'!Z377)))</f>
        <v/>
      </c>
    </row>
    <row r="378" spans="1:27" ht="13.8" thickBot="1">
      <c r="A378" s="67"/>
      <c r="B378" s="655">
        <f t="shared" si="46"/>
        <v>357</v>
      </c>
      <c r="C378" s="374" t="str">
        <f t="shared" si="47"/>
        <v/>
      </c>
      <c r="D378" s="784" t="str">
        <f t="shared" si="48"/>
        <v/>
      </c>
      <c r="E378" s="784" t="str">
        <f t="shared" si="49"/>
        <v/>
      </c>
      <c r="F378" s="785" t="str">
        <f t="shared" si="50"/>
        <v/>
      </c>
      <c r="G378" s="784" t="str">
        <f t="shared" si="45"/>
        <v/>
      </c>
      <c r="J378" s="612"/>
      <c r="Y378" s="663" t="str">
        <f>IF(C378="","",('transversal subsidence profile'!$L$5*EXP(-(C378^2)/(2*'transversal subsidence profile'!$J$5^2)))*100)</f>
        <v/>
      </c>
      <c r="Z378" s="664" t="str">
        <f>IF(C378="","",(+'transversal subsidence profile'!$L$6*EXP(-((C378+$G$10)^2)/(2*'transversal subsidence profile'!$J$6^2)))*100)</f>
        <v/>
      </c>
      <c r="AA378" s="751" t="str">
        <f>IF(C378="","",IF('IN-OUT'!$F$26=0,'Damage classification-Rankin'!Z378,IF('IN-OUT'!$F$35=0,Y378,'Damage classification-Rankin'!Y378+'Damage classification-Rankin'!Z378)))</f>
        <v/>
      </c>
    </row>
    <row r="379" spans="1:27" ht="13.8" thickBot="1">
      <c r="A379" s="67"/>
      <c r="B379" s="655">
        <f t="shared" si="46"/>
        <v>358</v>
      </c>
      <c r="C379" s="374" t="str">
        <f t="shared" si="47"/>
        <v/>
      </c>
      <c r="D379" s="784" t="str">
        <f t="shared" si="48"/>
        <v/>
      </c>
      <c r="E379" s="784" t="str">
        <f t="shared" si="49"/>
        <v/>
      </c>
      <c r="F379" s="785" t="str">
        <f t="shared" si="50"/>
        <v/>
      </c>
      <c r="G379" s="784" t="str">
        <f t="shared" si="45"/>
        <v/>
      </c>
      <c r="J379" s="612"/>
      <c r="Y379" s="663" t="str">
        <f>IF(C379="","",('transversal subsidence profile'!$L$5*EXP(-(C379^2)/(2*'transversal subsidence profile'!$J$5^2)))*100)</f>
        <v/>
      </c>
      <c r="Z379" s="664" t="str">
        <f>IF(C379="","",(+'transversal subsidence profile'!$L$6*EXP(-((C379+$G$10)^2)/(2*'transversal subsidence profile'!$J$6^2)))*100)</f>
        <v/>
      </c>
      <c r="AA379" s="751" t="str">
        <f>IF(C379="","",IF('IN-OUT'!$F$26=0,'Damage classification-Rankin'!Z379,IF('IN-OUT'!$F$35=0,Y379,'Damage classification-Rankin'!Y379+'Damage classification-Rankin'!Z379)))</f>
        <v/>
      </c>
    </row>
    <row r="380" spans="1:27" ht="13.8" thickBot="1">
      <c r="A380" s="67"/>
      <c r="B380" s="655">
        <f t="shared" si="46"/>
        <v>359</v>
      </c>
      <c r="C380" s="374" t="str">
        <f t="shared" si="47"/>
        <v/>
      </c>
      <c r="D380" s="784" t="str">
        <f t="shared" si="48"/>
        <v/>
      </c>
      <c r="E380" s="784" t="str">
        <f t="shared" si="49"/>
        <v/>
      </c>
      <c r="F380" s="785" t="str">
        <f t="shared" si="50"/>
        <v/>
      </c>
      <c r="G380" s="784" t="str">
        <f t="shared" si="45"/>
        <v/>
      </c>
      <c r="J380" s="612"/>
      <c r="Y380" s="663" t="str">
        <f>IF(C380="","",('transversal subsidence profile'!$L$5*EXP(-(C380^2)/(2*'transversal subsidence profile'!$J$5^2)))*100)</f>
        <v/>
      </c>
      <c r="Z380" s="664" t="str">
        <f>IF(C380="","",(+'transversal subsidence profile'!$L$6*EXP(-((C380+$G$10)^2)/(2*'transversal subsidence profile'!$J$6^2)))*100)</f>
        <v/>
      </c>
      <c r="AA380" s="751" t="str">
        <f>IF(C380="","",IF('IN-OUT'!$F$26=0,'Damage classification-Rankin'!Z380,IF('IN-OUT'!$F$35=0,Y380,'Damage classification-Rankin'!Y380+'Damage classification-Rankin'!Z380)))</f>
        <v/>
      </c>
    </row>
    <row r="381" spans="1:27" ht="13.8" thickBot="1">
      <c r="A381" s="67"/>
      <c r="B381" s="655">
        <f t="shared" si="46"/>
        <v>360</v>
      </c>
      <c r="C381" s="374" t="str">
        <f t="shared" si="47"/>
        <v/>
      </c>
      <c r="D381" s="784" t="str">
        <f t="shared" si="48"/>
        <v/>
      </c>
      <c r="E381" s="784" t="str">
        <f t="shared" si="49"/>
        <v/>
      </c>
      <c r="F381" s="785" t="str">
        <f t="shared" si="50"/>
        <v/>
      </c>
      <c r="G381" s="784" t="str">
        <f t="shared" si="45"/>
        <v/>
      </c>
      <c r="J381" s="612"/>
      <c r="Y381" s="663" t="str">
        <f>IF(C381="","",('transversal subsidence profile'!$L$5*EXP(-(C381^2)/(2*'transversal subsidence profile'!$J$5^2)))*100)</f>
        <v/>
      </c>
      <c r="Z381" s="664" t="str">
        <f>IF(C381="","",(+'transversal subsidence profile'!$L$6*EXP(-((C381+$G$10)^2)/(2*'transversal subsidence profile'!$J$6^2)))*100)</f>
        <v/>
      </c>
      <c r="AA381" s="751" t="str">
        <f>IF(C381="","",IF('IN-OUT'!$F$26=0,'Damage classification-Rankin'!Z381,IF('IN-OUT'!$F$35=0,Y381,'Damage classification-Rankin'!Y381+'Damage classification-Rankin'!Z381)))</f>
        <v/>
      </c>
    </row>
    <row r="382" spans="1:27" ht="13.8" thickBot="1">
      <c r="A382" s="67"/>
      <c r="B382" s="655">
        <f t="shared" si="46"/>
        <v>361</v>
      </c>
      <c r="C382" s="374" t="str">
        <f t="shared" si="47"/>
        <v/>
      </c>
      <c r="D382" s="784" t="str">
        <f t="shared" si="48"/>
        <v/>
      </c>
      <c r="E382" s="784" t="str">
        <f t="shared" si="49"/>
        <v/>
      </c>
      <c r="F382" s="785" t="str">
        <f t="shared" si="50"/>
        <v/>
      </c>
      <c r="G382" s="784" t="str">
        <f t="shared" si="45"/>
        <v/>
      </c>
      <c r="J382" s="612"/>
      <c r="Y382" s="663" t="str">
        <f>IF(C382="","",('transversal subsidence profile'!$L$5*EXP(-(C382^2)/(2*'transversal subsidence profile'!$J$5^2)))*100)</f>
        <v/>
      </c>
      <c r="Z382" s="664" t="str">
        <f>IF(C382="","",(+'transversal subsidence profile'!$L$6*EXP(-((C382+$G$10)^2)/(2*'transversal subsidence profile'!$J$6^2)))*100)</f>
        <v/>
      </c>
      <c r="AA382" s="751" t="str">
        <f>IF(C382="","",IF('IN-OUT'!$F$26=0,'Damage classification-Rankin'!Z382,IF('IN-OUT'!$F$35=0,Y382,'Damage classification-Rankin'!Y382+'Damage classification-Rankin'!Z382)))</f>
        <v/>
      </c>
    </row>
    <row r="383" spans="1:27" ht="13.8" thickBot="1">
      <c r="A383" s="67"/>
      <c r="B383" s="655">
        <f t="shared" si="46"/>
        <v>362</v>
      </c>
      <c r="C383" s="374" t="str">
        <f t="shared" si="47"/>
        <v/>
      </c>
      <c r="D383" s="784" t="str">
        <f t="shared" si="48"/>
        <v/>
      </c>
      <c r="E383" s="784" t="str">
        <f t="shared" si="49"/>
        <v/>
      </c>
      <c r="F383" s="785" t="str">
        <f t="shared" si="50"/>
        <v/>
      </c>
      <c r="G383" s="784" t="str">
        <f t="shared" si="45"/>
        <v/>
      </c>
      <c r="J383" s="612"/>
      <c r="Y383" s="663" t="str">
        <f>IF(C383="","",('transversal subsidence profile'!$L$5*EXP(-(C383^2)/(2*'transversal subsidence profile'!$J$5^2)))*100)</f>
        <v/>
      </c>
      <c r="Z383" s="664" t="str">
        <f>IF(C383="","",(+'transversal subsidence profile'!$L$6*EXP(-((C383+$G$10)^2)/(2*'transversal subsidence profile'!$J$6^2)))*100)</f>
        <v/>
      </c>
      <c r="AA383" s="751" t="str">
        <f>IF(C383="","",IF('IN-OUT'!$F$26=0,'Damage classification-Rankin'!Z383,IF('IN-OUT'!$F$35=0,Y383,'Damage classification-Rankin'!Y383+'Damage classification-Rankin'!Z383)))</f>
        <v/>
      </c>
    </row>
    <row r="384" spans="1:27" ht="13.8" thickBot="1">
      <c r="A384" s="67"/>
      <c r="B384" s="655">
        <f t="shared" si="46"/>
        <v>363</v>
      </c>
      <c r="C384" s="374" t="str">
        <f t="shared" si="47"/>
        <v/>
      </c>
      <c r="D384" s="784" t="str">
        <f t="shared" si="48"/>
        <v/>
      </c>
      <c r="E384" s="784" t="str">
        <f t="shared" si="49"/>
        <v/>
      </c>
      <c r="F384" s="785" t="str">
        <f t="shared" si="50"/>
        <v/>
      </c>
      <c r="G384" s="784" t="str">
        <f t="shared" si="45"/>
        <v/>
      </c>
      <c r="J384" s="612"/>
      <c r="Y384" s="663" t="str">
        <f>IF(C384="","",('transversal subsidence profile'!$L$5*EXP(-(C384^2)/(2*'transversal subsidence profile'!$J$5^2)))*100)</f>
        <v/>
      </c>
      <c r="Z384" s="664" t="str">
        <f>IF(C384="","",(+'transversal subsidence profile'!$L$6*EXP(-((C384+$G$10)^2)/(2*'transversal subsidence profile'!$J$6^2)))*100)</f>
        <v/>
      </c>
      <c r="AA384" s="751" t="str">
        <f>IF(C384="","",IF('IN-OUT'!$F$26=0,'Damage classification-Rankin'!Z384,IF('IN-OUT'!$F$35=0,Y384,'Damage classification-Rankin'!Y384+'Damage classification-Rankin'!Z384)))</f>
        <v/>
      </c>
    </row>
    <row r="385" spans="1:27" ht="13.8" thickBot="1">
      <c r="A385" s="67"/>
      <c r="B385" s="655">
        <f t="shared" si="46"/>
        <v>364</v>
      </c>
      <c r="C385" s="374" t="str">
        <f t="shared" si="47"/>
        <v/>
      </c>
      <c r="D385" s="784" t="str">
        <f t="shared" si="48"/>
        <v/>
      </c>
      <c r="E385" s="784" t="str">
        <f t="shared" si="49"/>
        <v/>
      </c>
      <c r="F385" s="785" t="str">
        <f t="shared" si="50"/>
        <v/>
      </c>
      <c r="G385" s="784" t="str">
        <f t="shared" si="45"/>
        <v/>
      </c>
      <c r="J385" s="612"/>
      <c r="Y385" s="663" t="str">
        <f>IF(C385="","",('transversal subsidence profile'!$L$5*EXP(-(C385^2)/(2*'transversal subsidence profile'!$J$5^2)))*100)</f>
        <v/>
      </c>
      <c r="Z385" s="664" t="str">
        <f>IF(C385="","",(+'transversal subsidence profile'!$L$6*EXP(-((C385+$G$10)^2)/(2*'transversal subsidence profile'!$J$6^2)))*100)</f>
        <v/>
      </c>
      <c r="AA385" s="751" t="str">
        <f>IF(C385="","",IF('IN-OUT'!$F$26=0,'Damage classification-Rankin'!Z385,IF('IN-OUT'!$F$35=0,Y385,'Damage classification-Rankin'!Y385+'Damage classification-Rankin'!Z385)))</f>
        <v/>
      </c>
    </row>
    <row r="386" spans="1:27" ht="13.8" thickBot="1">
      <c r="A386" s="67"/>
      <c r="B386" s="655">
        <f t="shared" si="46"/>
        <v>365</v>
      </c>
      <c r="C386" s="374" t="str">
        <f t="shared" si="47"/>
        <v/>
      </c>
      <c r="D386" s="784" t="str">
        <f t="shared" si="48"/>
        <v/>
      </c>
      <c r="E386" s="784" t="str">
        <f t="shared" si="49"/>
        <v/>
      </c>
      <c r="F386" s="785" t="str">
        <f t="shared" si="50"/>
        <v/>
      </c>
      <c r="G386" s="784" t="str">
        <f t="shared" si="45"/>
        <v/>
      </c>
      <c r="J386" s="612"/>
      <c r="Y386" s="663" t="str">
        <f>IF(C386="","",('transversal subsidence profile'!$L$5*EXP(-(C386^2)/(2*'transversal subsidence profile'!$J$5^2)))*100)</f>
        <v/>
      </c>
      <c r="Z386" s="664" t="str">
        <f>IF(C386="","",(+'transversal subsidence profile'!$L$6*EXP(-((C386+$G$10)^2)/(2*'transversal subsidence profile'!$J$6^2)))*100)</f>
        <v/>
      </c>
      <c r="AA386" s="751" t="str">
        <f>IF(C386="","",IF('IN-OUT'!$F$26=0,'Damage classification-Rankin'!Z386,IF('IN-OUT'!$F$35=0,Y386,'Damage classification-Rankin'!Y386+'Damage classification-Rankin'!Z386)))</f>
        <v/>
      </c>
    </row>
    <row r="387" spans="1:27" ht="13.8" thickBot="1">
      <c r="A387" s="67"/>
      <c r="B387" s="655">
        <f t="shared" si="46"/>
        <v>366</v>
      </c>
      <c r="C387" s="374" t="str">
        <f t="shared" si="47"/>
        <v/>
      </c>
      <c r="D387" s="784" t="str">
        <f t="shared" si="48"/>
        <v/>
      </c>
      <c r="E387" s="784" t="str">
        <f t="shared" si="49"/>
        <v/>
      </c>
      <c r="F387" s="785" t="str">
        <f t="shared" si="50"/>
        <v/>
      </c>
      <c r="G387" s="784" t="str">
        <f t="shared" si="45"/>
        <v/>
      </c>
      <c r="J387" s="612"/>
      <c r="Y387" s="663" t="str">
        <f>IF(C387="","",('transversal subsidence profile'!$L$5*EXP(-(C387^2)/(2*'transversal subsidence profile'!$J$5^2)))*100)</f>
        <v/>
      </c>
      <c r="Z387" s="664" t="str">
        <f>IF(C387="","",(+'transversal subsidence profile'!$L$6*EXP(-((C387+$G$10)^2)/(2*'transversal subsidence profile'!$J$6^2)))*100)</f>
        <v/>
      </c>
      <c r="AA387" s="751" t="str">
        <f>IF(C387="","",IF('IN-OUT'!$F$26=0,'Damage classification-Rankin'!Z387,IF('IN-OUT'!$F$35=0,Y387,'Damage classification-Rankin'!Y387+'Damage classification-Rankin'!Z387)))</f>
        <v/>
      </c>
    </row>
    <row r="388" spans="1:27" ht="13.8" thickBot="1">
      <c r="A388" s="67"/>
      <c r="B388" s="655">
        <f t="shared" si="46"/>
        <v>367</v>
      </c>
      <c r="C388" s="374" t="str">
        <f t="shared" si="47"/>
        <v/>
      </c>
      <c r="D388" s="784" t="str">
        <f t="shared" si="48"/>
        <v/>
      </c>
      <c r="E388" s="784" t="str">
        <f t="shared" si="49"/>
        <v/>
      </c>
      <c r="F388" s="785" t="str">
        <f t="shared" si="50"/>
        <v/>
      </c>
      <c r="G388" s="784" t="str">
        <f t="shared" si="45"/>
        <v/>
      </c>
      <c r="J388" s="612"/>
      <c r="Y388" s="663" t="str">
        <f>IF(C388="","",('transversal subsidence profile'!$L$5*EXP(-(C388^2)/(2*'transversal subsidence profile'!$J$5^2)))*100)</f>
        <v/>
      </c>
      <c r="Z388" s="664" t="str">
        <f>IF(C388="","",(+'transversal subsidence profile'!$L$6*EXP(-((C388+$G$10)^2)/(2*'transversal subsidence profile'!$J$6^2)))*100)</f>
        <v/>
      </c>
      <c r="AA388" s="751" t="str">
        <f>IF(C388="","",IF('IN-OUT'!$F$26=0,'Damage classification-Rankin'!Z388,IF('IN-OUT'!$F$35=0,Y388,'Damage classification-Rankin'!Y388+'Damage classification-Rankin'!Z388)))</f>
        <v/>
      </c>
    </row>
    <row r="389" spans="1:27" ht="13.8" thickBot="1">
      <c r="A389" s="67"/>
      <c r="B389" s="655">
        <f t="shared" si="46"/>
        <v>368</v>
      </c>
      <c r="C389" s="374" t="str">
        <f t="shared" si="47"/>
        <v/>
      </c>
      <c r="D389" s="784" t="str">
        <f t="shared" si="48"/>
        <v/>
      </c>
      <c r="E389" s="784" t="str">
        <f t="shared" si="49"/>
        <v/>
      </c>
      <c r="F389" s="785" t="str">
        <f t="shared" si="50"/>
        <v/>
      </c>
      <c r="G389" s="784" t="str">
        <f t="shared" si="45"/>
        <v/>
      </c>
      <c r="J389" s="612"/>
      <c r="Y389" s="663" t="str">
        <f>IF(C389="","",('transversal subsidence profile'!$L$5*EXP(-(C389^2)/(2*'transversal subsidence profile'!$J$5^2)))*100)</f>
        <v/>
      </c>
      <c r="Z389" s="664" t="str">
        <f>IF(C389="","",(+'transversal subsidence profile'!$L$6*EXP(-((C389+$G$10)^2)/(2*'transversal subsidence profile'!$J$6^2)))*100)</f>
        <v/>
      </c>
      <c r="AA389" s="751" t="str">
        <f>IF(C389="","",IF('IN-OUT'!$F$26=0,'Damage classification-Rankin'!Z389,IF('IN-OUT'!$F$35=0,Y389,'Damage classification-Rankin'!Y389+'Damage classification-Rankin'!Z389)))</f>
        <v/>
      </c>
    </row>
    <row r="390" spans="1:27" ht="13.8" thickBot="1">
      <c r="A390" s="67"/>
      <c r="B390" s="655">
        <f t="shared" si="46"/>
        <v>369</v>
      </c>
      <c r="C390" s="374" t="str">
        <f t="shared" si="47"/>
        <v/>
      </c>
      <c r="D390" s="784" t="str">
        <f t="shared" si="48"/>
        <v/>
      </c>
      <c r="E390" s="784" t="str">
        <f t="shared" si="49"/>
        <v/>
      </c>
      <c r="F390" s="785" t="str">
        <f t="shared" si="50"/>
        <v/>
      </c>
      <c r="G390" s="784" t="str">
        <f t="shared" si="45"/>
        <v/>
      </c>
      <c r="J390" s="612"/>
      <c r="Y390" s="663" t="str">
        <f>IF(C390="","",('transversal subsidence profile'!$L$5*EXP(-(C390^2)/(2*'transversal subsidence profile'!$J$5^2)))*100)</f>
        <v/>
      </c>
      <c r="Z390" s="664" t="str">
        <f>IF(C390="","",(+'transversal subsidence profile'!$L$6*EXP(-((C390+$G$10)^2)/(2*'transversal subsidence profile'!$J$6^2)))*100)</f>
        <v/>
      </c>
      <c r="AA390" s="751" t="str">
        <f>IF(C390="","",IF('IN-OUT'!$F$26=0,'Damage classification-Rankin'!Z390,IF('IN-OUT'!$F$35=0,Y390,'Damage classification-Rankin'!Y390+'Damage classification-Rankin'!Z390)))</f>
        <v/>
      </c>
    </row>
    <row r="391" spans="1:27" ht="13.8" thickBot="1">
      <c r="A391" s="67"/>
      <c r="B391" s="655">
        <f t="shared" si="46"/>
        <v>370</v>
      </c>
      <c r="C391" s="374" t="str">
        <f t="shared" si="47"/>
        <v/>
      </c>
      <c r="D391" s="784" t="str">
        <f t="shared" si="48"/>
        <v/>
      </c>
      <c r="E391" s="784" t="str">
        <f t="shared" si="49"/>
        <v/>
      </c>
      <c r="F391" s="785" t="str">
        <f t="shared" si="50"/>
        <v/>
      </c>
      <c r="G391" s="784" t="str">
        <f t="shared" si="45"/>
        <v/>
      </c>
      <c r="J391" s="612"/>
      <c r="Y391" s="663" t="str">
        <f>IF(C391="","",('transversal subsidence profile'!$L$5*EXP(-(C391^2)/(2*'transversal subsidence profile'!$J$5^2)))*100)</f>
        <v/>
      </c>
      <c r="Z391" s="664" t="str">
        <f>IF(C391="","",(+'transversal subsidence profile'!$L$6*EXP(-((C391+$G$10)^2)/(2*'transversal subsidence profile'!$J$6^2)))*100)</f>
        <v/>
      </c>
      <c r="AA391" s="751" t="str">
        <f>IF(C391="","",IF('IN-OUT'!$F$26=0,'Damage classification-Rankin'!Z391,IF('IN-OUT'!$F$35=0,Y391,'Damage classification-Rankin'!Y391+'Damage classification-Rankin'!Z391)))</f>
        <v/>
      </c>
    </row>
    <row r="392" spans="1:27" ht="13.8" thickBot="1">
      <c r="A392" s="67"/>
      <c r="B392" s="655">
        <f t="shared" si="46"/>
        <v>371</v>
      </c>
      <c r="C392" s="374" t="str">
        <f t="shared" si="47"/>
        <v/>
      </c>
      <c r="D392" s="784" t="str">
        <f t="shared" si="48"/>
        <v/>
      </c>
      <c r="E392" s="784" t="str">
        <f t="shared" si="49"/>
        <v/>
      </c>
      <c r="F392" s="785" t="str">
        <f t="shared" si="50"/>
        <v/>
      </c>
      <c r="G392" s="784" t="str">
        <f t="shared" si="45"/>
        <v/>
      </c>
      <c r="J392" s="612"/>
      <c r="Y392" s="663" t="str">
        <f>IF(C392="","",('transversal subsidence profile'!$L$5*EXP(-(C392^2)/(2*'transversal subsidence profile'!$J$5^2)))*100)</f>
        <v/>
      </c>
      <c r="Z392" s="664" t="str">
        <f>IF(C392="","",(+'transversal subsidence profile'!$L$6*EXP(-((C392+$G$10)^2)/(2*'transversal subsidence profile'!$J$6^2)))*100)</f>
        <v/>
      </c>
      <c r="AA392" s="751" t="str">
        <f>IF(C392="","",IF('IN-OUT'!$F$26=0,'Damage classification-Rankin'!Z392,IF('IN-OUT'!$F$35=0,Y392,'Damage classification-Rankin'!Y392+'Damage classification-Rankin'!Z392)))</f>
        <v/>
      </c>
    </row>
    <row r="393" spans="1:27" ht="13.8" thickBot="1">
      <c r="A393" s="67"/>
      <c r="B393" s="655">
        <f t="shared" si="46"/>
        <v>372</v>
      </c>
      <c r="C393" s="374" t="str">
        <f t="shared" si="47"/>
        <v/>
      </c>
      <c r="D393" s="784" t="str">
        <f t="shared" si="48"/>
        <v/>
      </c>
      <c r="E393" s="784" t="str">
        <f t="shared" si="49"/>
        <v/>
      </c>
      <c r="F393" s="785" t="str">
        <f t="shared" si="50"/>
        <v/>
      </c>
      <c r="G393" s="784" t="str">
        <f t="shared" si="45"/>
        <v/>
      </c>
      <c r="J393" s="612"/>
      <c r="Y393" s="663" t="str">
        <f>IF(C393="","",('transversal subsidence profile'!$L$5*EXP(-(C393^2)/(2*'transversal subsidence profile'!$J$5^2)))*100)</f>
        <v/>
      </c>
      <c r="Z393" s="664" t="str">
        <f>IF(C393="","",(+'transversal subsidence profile'!$L$6*EXP(-((C393+$G$10)^2)/(2*'transversal subsidence profile'!$J$6^2)))*100)</f>
        <v/>
      </c>
      <c r="AA393" s="751" t="str">
        <f>IF(C393="","",IF('IN-OUT'!$F$26=0,'Damage classification-Rankin'!Z393,IF('IN-OUT'!$F$35=0,Y393,'Damage classification-Rankin'!Y393+'Damage classification-Rankin'!Z393)))</f>
        <v/>
      </c>
    </row>
    <row r="394" spans="1:27" ht="13.8" thickBot="1">
      <c r="A394" s="67"/>
      <c r="B394" s="655">
        <f t="shared" si="46"/>
        <v>373</v>
      </c>
      <c r="C394" s="374" t="str">
        <f t="shared" si="47"/>
        <v/>
      </c>
      <c r="D394" s="784" t="str">
        <f t="shared" si="48"/>
        <v/>
      </c>
      <c r="E394" s="784" t="str">
        <f t="shared" si="49"/>
        <v/>
      </c>
      <c r="F394" s="785" t="str">
        <f t="shared" si="50"/>
        <v/>
      </c>
      <c r="G394" s="784" t="str">
        <f t="shared" si="45"/>
        <v/>
      </c>
      <c r="J394" s="612"/>
      <c r="Y394" s="663" t="str">
        <f>IF(C394="","",('transversal subsidence profile'!$L$5*EXP(-(C394^2)/(2*'transversal subsidence profile'!$J$5^2)))*100)</f>
        <v/>
      </c>
      <c r="Z394" s="664" t="str">
        <f>IF(C394="","",(+'transversal subsidence profile'!$L$6*EXP(-((C394+$G$10)^2)/(2*'transversal subsidence profile'!$J$6^2)))*100)</f>
        <v/>
      </c>
      <c r="AA394" s="751" t="str">
        <f>IF(C394="","",IF('IN-OUT'!$F$26=0,'Damage classification-Rankin'!Z394,IF('IN-OUT'!$F$35=0,Y394,'Damage classification-Rankin'!Y394+'Damage classification-Rankin'!Z394)))</f>
        <v/>
      </c>
    </row>
    <row r="395" spans="1:27" ht="13.8" thickBot="1">
      <c r="A395" s="67"/>
      <c r="B395" s="655">
        <f t="shared" si="46"/>
        <v>374</v>
      </c>
      <c r="C395" s="374" t="str">
        <f t="shared" si="47"/>
        <v/>
      </c>
      <c r="D395" s="784" t="str">
        <f t="shared" si="48"/>
        <v/>
      </c>
      <c r="E395" s="784" t="str">
        <f t="shared" si="49"/>
        <v/>
      </c>
      <c r="F395" s="785" t="str">
        <f t="shared" si="50"/>
        <v/>
      </c>
      <c r="G395" s="784" t="str">
        <f t="shared" si="45"/>
        <v/>
      </c>
      <c r="J395" s="612"/>
      <c r="Y395" s="663" t="str">
        <f>IF(C395="","",('transversal subsidence profile'!$L$5*EXP(-(C395^2)/(2*'transversal subsidence profile'!$J$5^2)))*100)</f>
        <v/>
      </c>
      <c r="Z395" s="664" t="str">
        <f>IF(C395="","",(+'transversal subsidence profile'!$L$6*EXP(-((C395+$G$10)^2)/(2*'transversal subsidence profile'!$J$6^2)))*100)</f>
        <v/>
      </c>
      <c r="AA395" s="751" t="str">
        <f>IF(C395="","",IF('IN-OUT'!$F$26=0,'Damage classification-Rankin'!Z395,IF('IN-OUT'!$F$35=0,Y395,'Damage classification-Rankin'!Y395+'Damage classification-Rankin'!Z395)))</f>
        <v/>
      </c>
    </row>
    <row r="396" spans="1:27" ht="13.8" thickBot="1">
      <c r="A396" s="67"/>
      <c r="B396" s="655">
        <f t="shared" si="46"/>
        <v>375</v>
      </c>
      <c r="C396" s="374" t="str">
        <f t="shared" si="47"/>
        <v/>
      </c>
      <c r="D396" s="784" t="str">
        <f t="shared" si="48"/>
        <v/>
      </c>
      <c r="E396" s="784" t="str">
        <f t="shared" si="49"/>
        <v/>
      </c>
      <c r="F396" s="785" t="str">
        <f t="shared" si="50"/>
        <v/>
      </c>
      <c r="G396" s="784" t="str">
        <f t="shared" si="45"/>
        <v/>
      </c>
      <c r="J396" s="612"/>
      <c r="Y396" s="663" t="str">
        <f>IF(C396="","",('transversal subsidence profile'!$L$5*EXP(-(C396^2)/(2*'transversal subsidence profile'!$J$5^2)))*100)</f>
        <v/>
      </c>
      <c r="Z396" s="664" t="str">
        <f>IF(C396="","",(+'transversal subsidence profile'!$L$6*EXP(-((C396+$G$10)^2)/(2*'transversal subsidence profile'!$J$6^2)))*100)</f>
        <v/>
      </c>
      <c r="AA396" s="751" t="str">
        <f>IF(C396="","",IF('IN-OUT'!$F$26=0,'Damage classification-Rankin'!Z396,IF('IN-OUT'!$F$35=0,Y396,'Damage classification-Rankin'!Y396+'Damage classification-Rankin'!Z396)))</f>
        <v/>
      </c>
    </row>
    <row r="397" spans="1:27" ht="13.8" thickBot="1">
      <c r="A397" s="67"/>
      <c r="B397" s="655">
        <f t="shared" si="46"/>
        <v>376</v>
      </c>
      <c r="C397" s="374" t="str">
        <f t="shared" si="47"/>
        <v/>
      </c>
      <c r="D397" s="784" t="str">
        <f t="shared" si="48"/>
        <v/>
      </c>
      <c r="E397" s="784" t="str">
        <f t="shared" si="49"/>
        <v/>
      </c>
      <c r="F397" s="785" t="str">
        <f t="shared" si="50"/>
        <v/>
      </c>
      <c r="G397" s="784" t="str">
        <f t="shared" si="45"/>
        <v/>
      </c>
      <c r="J397" s="612"/>
      <c r="Y397" s="663" t="str">
        <f>IF(C397="","",('transversal subsidence profile'!$L$5*EXP(-(C397^2)/(2*'transversal subsidence profile'!$J$5^2)))*100)</f>
        <v/>
      </c>
      <c r="Z397" s="664" t="str">
        <f>IF(C397="","",(+'transversal subsidence profile'!$L$6*EXP(-((C397+$G$10)^2)/(2*'transversal subsidence profile'!$J$6^2)))*100)</f>
        <v/>
      </c>
      <c r="AA397" s="751" t="str">
        <f>IF(C397="","",IF('IN-OUT'!$F$26=0,'Damage classification-Rankin'!Z397,IF('IN-OUT'!$F$35=0,Y397,'Damage classification-Rankin'!Y397+'Damage classification-Rankin'!Z397)))</f>
        <v/>
      </c>
    </row>
    <row r="398" spans="1:27" ht="13.8" thickBot="1">
      <c r="A398" s="67"/>
      <c r="B398" s="655">
        <f t="shared" si="46"/>
        <v>377</v>
      </c>
      <c r="C398" s="374" t="str">
        <f t="shared" si="47"/>
        <v/>
      </c>
      <c r="D398" s="784" t="str">
        <f t="shared" si="48"/>
        <v/>
      </c>
      <c r="E398" s="784" t="str">
        <f t="shared" si="49"/>
        <v/>
      </c>
      <c r="F398" s="785" t="str">
        <f t="shared" si="50"/>
        <v/>
      </c>
      <c r="G398" s="784" t="str">
        <f t="shared" si="45"/>
        <v/>
      </c>
      <c r="J398" s="612"/>
      <c r="Y398" s="663" t="str">
        <f>IF(C398="","",('transversal subsidence profile'!$L$5*EXP(-(C398^2)/(2*'transversal subsidence profile'!$J$5^2)))*100)</f>
        <v/>
      </c>
      <c r="Z398" s="664" t="str">
        <f>IF(C398="","",(+'transversal subsidence profile'!$L$6*EXP(-((C398+$G$10)^2)/(2*'transversal subsidence profile'!$J$6^2)))*100)</f>
        <v/>
      </c>
      <c r="AA398" s="751" t="str">
        <f>IF(C398="","",IF('IN-OUT'!$F$26=0,'Damage classification-Rankin'!Z398,IF('IN-OUT'!$F$35=0,Y398,'Damage classification-Rankin'!Y398+'Damage classification-Rankin'!Z398)))</f>
        <v/>
      </c>
    </row>
    <row r="399" spans="1:27" ht="13.8" thickBot="1">
      <c r="A399" s="67"/>
      <c r="B399" s="655">
        <f t="shared" si="46"/>
        <v>378</v>
      </c>
      <c r="C399" s="374" t="str">
        <f t="shared" si="47"/>
        <v/>
      </c>
      <c r="D399" s="784" t="str">
        <f t="shared" si="48"/>
        <v/>
      </c>
      <c r="E399" s="784" t="str">
        <f t="shared" si="49"/>
        <v/>
      </c>
      <c r="F399" s="785" t="str">
        <f t="shared" si="50"/>
        <v/>
      </c>
      <c r="G399" s="784" t="str">
        <f t="shared" si="45"/>
        <v/>
      </c>
      <c r="J399" s="612"/>
      <c r="Y399" s="663" t="str">
        <f>IF(C399="","",('transversal subsidence profile'!$L$5*EXP(-(C399^2)/(2*'transversal subsidence profile'!$J$5^2)))*100)</f>
        <v/>
      </c>
      <c r="Z399" s="664" t="str">
        <f>IF(C399="","",(+'transversal subsidence profile'!$L$6*EXP(-((C399+$G$10)^2)/(2*'transversal subsidence profile'!$J$6^2)))*100)</f>
        <v/>
      </c>
      <c r="AA399" s="751" t="str">
        <f>IF(C399="","",IF('IN-OUT'!$F$26=0,'Damage classification-Rankin'!Z399,IF('IN-OUT'!$F$35=0,Y399,'Damage classification-Rankin'!Y399+'Damage classification-Rankin'!Z399)))</f>
        <v/>
      </c>
    </row>
    <row r="400" spans="1:27" ht="13.8" thickBot="1">
      <c r="A400" s="67"/>
      <c r="B400" s="655">
        <f t="shared" si="46"/>
        <v>379</v>
      </c>
      <c r="C400" s="374" t="str">
        <f t="shared" si="47"/>
        <v/>
      </c>
      <c r="D400" s="784" t="str">
        <f t="shared" si="48"/>
        <v/>
      </c>
      <c r="E400" s="784" t="str">
        <f t="shared" si="49"/>
        <v/>
      </c>
      <c r="F400" s="785" t="str">
        <f t="shared" si="50"/>
        <v/>
      </c>
      <c r="G400" s="784" t="str">
        <f t="shared" si="45"/>
        <v/>
      </c>
      <c r="J400" s="612"/>
      <c r="Y400" s="663" t="str">
        <f>IF(C400="","",('transversal subsidence profile'!$L$5*EXP(-(C400^2)/(2*'transversal subsidence profile'!$J$5^2)))*100)</f>
        <v/>
      </c>
      <c r="Z400" s="664" t="str">
        <f>IF(C400="","",(+'transversal subsidence profile'!$L$6*EXP(-((C400+$G$10)^2)/(2*'transversal subsidence profile'!$J$6^2)))*100)</f>
        <v/>
      </c>
      <c r="AA400" s="751" t="str">
        <f>IF(C400="","",IF('IN-OUT'!$F$26=0,'Damage classification-Rankin'!Z400,IF('IN-OUT'!$F$35=0,Y400,'Damage classification-Rankin'!Y400+'Damage classification-Rankin'!Z400)))</f>
        <v/>
      </c>
    </row>
    <row r="401" spans="1:27" ht="13.8" thickBot="1">
      <c r="A401" s="67"/>
      <c r="B401" s="655">
        <f t="shared" si="46"/>
        <v>380</v>
      </c>
      <c r="C401" s="374" t="str">
        <f t="shared" si="47"/>
        <v/>
      </c>
      <c r="D401" s="784" t="str">
        <f t="shared" si="48"/>
        <v/>
      </c>
      <c r="E401" s="784" t="str">
        <f t="shared" si="49"/>
        <v/>
      </c>
      <c r="F401" s="785" t="str">
        <f t="shared" si="50"/>
        <v/>
      </c>
      <c r="G401" s="784" t="str">
        <f t="shared" si="45"/>
        <v/>
      </c>
      <c r="J401" s="612"/>
      <c r="Y401" s="663" t="str">
        <f>IF(C401="","",('transversal subsidence profile'!$L$5*EXP(-(C401^2)/(2*'transversal subsidence profile'!$J$5^2)))*100)</f>
        <v/>
      </c>
      <c r="Z401" s="664" t="str">
        <f>IF(C401="","",(+'transversal subsidence profile'!$L$6*EXP(-((C401+$G$10)^2)/(2*'transversal subsidence profile'!$J$6^2)))*100)</f>
        <v/>
      </c>
      <c r="AA401" s="751" t="str">
        <f>IF(C401="","",IF('IN-OUT'!$F$26=0,'Damage classification-Rankin'!Z401,IF('IN-OUT'!$F$35=0,Y401,'Damage classification-Rankin'!Y401+'Damage classification-Rankin'!Z401)))</f>
        <v/>
      </c>
    </row>
    <row r="402" spans="1:27" ht="13.8" thickBot="1">
      <c r="A402" s="67"/>
      <c r="B402" s="655">
        <f t="shared" si="46"/>
        <v>381</v>
      </c>
      <c r="C402" s="374" t="str">
        <f t="shared" si="47"/>
        <v/>
      </c>
      <c r="D402" s="784" t="str">
        <f t="shared" si="48"/>
        <v/>
      </c>
      <c r="E402" s="784" t="str">
        <f t="shared" si="49"/>
        <v/>
      </c>
      <c r="F402" s="785" t="str">
        <f t="shared" si="50"/>
        <v/>
      </c>
      <c r="G402" s="784" t="str">
        <f t="shared" si="45"/>
        <v/>
      </c>
      <c r="J402" s="612"/>
      <c r="Y402" s="663" t="str">
        <f>IF(C402="","",('transversal subsidence profile'!$L$5*EXP(-(C402^2)/(2*'transversal subsidence profile'!$J$5^2)))*100)</f>
        <v/>
      </c>
      <c r="Z402" s="664" t="str">
        <f>IF(C402="","",(+'transversal subsidence profile'!$L$6*EXP(-((C402+$G$10)^2)/(2*'transversal subsidence profile'!$J$6^2)))*100)</f>
        <v/>
      </c>
      <c r="AA402" s="751" t="str">
        <f>IF(C402="","",IF('IN-OUT'!$F$26=0,'Damage classification-Rankin'!Z402,IF('IN-OUT'!$F$35=0,Y402,'Damage classification-Rankin'!Y402+'Damage classification-Rankin'!Z402)))</f>
        <v/>
      </c>
    </row>
    <row r="403" spans="1:27" ht="13.8" thickBot="1">
      <c r="A403" s="67"/>
      <c r="B403" s="655">
        <f t="shared" si="46"/>
        <v>382</v>
      </c>
      <c r="C403" s="374" t="str">
        <f t="shared" si="47"/>
        <v/>
      </c>
      <c r="D403" s="784" t="str">
        <f t="shared" si="48"/>
        <v/>
      </c>
      <c r="E403" s="784" t="str">
        <f t="shared" si="49"/>
        <v/>
      </c>
      <c r="F403" s="785" t="str">
        <f t="shared" si="50"/>
        <v/>
      </c>
      <c r="G403" s="784" t="str">
        <f t="shared" si="45"/>
        <v/>
      </c>
      <c r="J403" s="612"/>
      <c r="Y403" s="663" t="str">
        <f>IF(C403="","",('transversal subsidence profile'!$L$5*EXP(-(C403^2)/(2*'transversal subsidence profile'!$J$5^2)))*100)</f>
        <v/>
      </c>
      <c r="Z403" s="664" t="str">
        <f>IF(C403="","",(+'transversal subsidence profile'!$L$6*EXP(-((C403+$G$10)^2)/(2*'transversal subsidence profile'!$J$6^2)))*100)</f>
        <v/>
      </c>
      <c r="AA403" s="751" t="str">
        <f>IF(C403="","",IF('IN-OUT'!$F$26=0,'Damage classification-Rankin'!Z403,IF('IN-OUT'!$F$35=0,Y403,'Damage classification-Rankin'!Y403+'Damage classification-Rankin'!Z403)))</f>
        <v/>
      </c>
    </row>
    <row r="404" spans="1:27" ht="13.8" thickBot="1">
      <c r="A404" s="67"/>
      <c r="B404" s="655">
        <f t="shared" si="46"/>
        <v>383</v>
      </c>
      <c r="C404" s="374" t="str">
        <f t="shared" si="47"/>
        <v/>
      </c>
      <c r="D404" s="784" t="str">
        <f t="shared" si="48"/>
        <v/>
      </c>
      <c r="E404" s="784" t="str">
        <f t="shared" si="49"/>
        <v/>
      </c>
      <c r="F404" s="785" t="str">
        <f t="shared" si="50"/>
        <v/>
      </c>
      <c r="G404" s="784" t="str">
        <f t="shared" si="45"/>
        <v/>
      </c>
      <c r="J404" s="612"/>
      <c r="Y404" s="663" t="str">
        <f>IF(C404="","",('transversal subsidence profile'!$L$5*EXP(-(C404^2)/(2*'transversal subsidence profile'!$J$5^2)))*100)</f>
        <v/>
      </c>
      <c r="Z404" s="664" t="str">
        <f>IF(C404="","",(+'transversal subsidence profile'!$L$6*EXP(-((C404+$G$10)^2)/(2*'transversal subsidence profile'!$J$6^2)))*100)</f>
        <v/>
      </c>
      <c r="AA404" s="751" t="str">
        <f>IF(C404="","",IF('IN-OUT'!$F$26=0,'Damage classification-Rankin'!Z404,IF('IN-OUT'!$F$35=0,Y404,'Damage classification-Rankin'!Y404+'Damage classification-Rankin'!Z404)))</f>
        <v/>
      </c>
    </row>
    <row r="405" spans="1:27" ht="13.8" thickBot="1">
      <c r="A405" s="67"/>
      <c r="B405" s="655">
        <f t="shared" si="46"/>
        <v>384</v>
      </c>
      <c r="C405" s="374" t="str">
        <f t="shared" si="47"/>
        <v/>
      </c>
      <c r="D405" s="784" t="str">
        <f t="shared" si="48"/>
        <v/>
      </c>
      <c r="E405" s="784" t="str">
        <f t="shared" si="49"/>
        <v/>
      </c>
      <c r="F405" s="785" t="str">
        <f t="shared" si="50"/>
        <v/>
      </c>
      <c r="G405" s="784" t="str">
        <f t="shared" si="45"/>
        <v/>
      </c>
      <c r="J405" s="612"/>
      <c r="Y405" s="663" t="str">
        <f>IF(C405="","",('transversal subsidence profile'!$L$5*EXP(-(C405^2)/(2*'transversal subsidence profile'!$J$5^2)))*100)</f>
        <v/>
      </c>
      <c r="Z405" s="664" t="str">
        <f>IF(C405="","",(+'transversal subsidence profile'!$L$6*EXP(-((C405+$G$10)^2)/(2*'transversal subsidence profile'!$J$6^2)))*100)</f>
        <v/>
      </c>
      <c r="AA405" s="751" t="str">
        <f>IF(C405="","",IF('IN-OUT'!$F$26=0,'Damage classification-Rankin'!Z405,IF('IN-OUT'!$F$35=0,Y405,'Damage classification-Rankin'!Y405+'Damage classification-Rankin'!Z405)))</f>
        <v/>
      </c>
    </row>
    <row r="406" spans="1:27" ht="13.8" thickBot="1">
      <c r="A406" s="67"/>
      <c r="B406" s="655">
        <f t="shared" si="46"/>
        <v>385</v>
      </c>
      <c r="C406" s="374" t="str">
        <f t="shared" si="47"/>
        <v/>
      </c>
      <c r="D406" s="784" t="str">
        <f t="shared" si="48"/>
        <v/>
      </c>
      <c r="E406" s="784" t="str">
        <f t="shared" si="49"/>
        <v/>
      </c>
      <c r="F406" s="785" t="str">
        <f t="shared" si="50"/>
        <v/>
      </c>
      <c r="G406" s="784" t="str">
        <f t="shared" si="45"/>
        <v/>
      </c>
      <c r="J406" s="612"/>
      <c r="Y406" s="663" t="str">
        <f>IF(C406="","",('transversal subsidence profile'!$L$5*EXP(-(C406^2)/(2*'transversal subsidence profile'!$J$5^2)))*100)</f>
        <v/>
      </c>
      <c r="Z406" s="664" t="str">
        <f>IF(C406="","",(+'transversal subsidence profile'!$L$6*EXP(-((C406+$G$10)^2)/(2*'transversal subsidence profile'!$J$6^2)))*100)</f>
        <v/>
      </c>
      <c r="AA406" s="751" t="str">
        <f>IF(C406="","",IF('IN-OUT'!$F$26=0,'Damage classification-Rankin'!Z406,IF('IN-OUT'!$F$35=0,Y406,'Damage classification-Rankin'!Y406+'Damage classification-Rankin'!Z406)))</f>
        <v/>
      </c>
    </row>
    <row r="407" spans="1:27" ht="13.8" thickBot="1">
      <c r="A407" s="67"/>
      <c r="B407" s="655">
        <f t="shared" si="46"/>
        <v>386</v>
      </c>
      <c r="C407" s="374" t="str">
        <f t="shared" si="47"/>
        <v/>
      </c>
      <c r="D407" s="784" t="str">
        <f t="shared" si="48"/>
        <v/>
      </c>
      <c r="E407" s="784" t="str">
        <f t="shared" si="49"/>
        <v/>
      </c>
      <c r="F407" s="785" t="str">
        <f t="shared" si="50"/>
        <v/>
      </c>
      <c r="G407" s="784" t="str">
        <f t="shared" si="45"/>
        <v/>
      </c>
      <c r="J407" s="612"/>
      <c r="Y407" s="663" t="str">
        <f>IF(C407="","",('transversal subsidence profile'!$L$5*EXP(-(C407^2)/(2*'transversal subsidence profile'!$J$5^2)))*100)</f>
        <v/>
      </c>
      <c r="Z407" s="664" t="str">
        <f>IF(C407="","",(+'transversal subsidence profile'!$L$6*EXP(-((C407+$G$10)^2)/(2*'transversal subsidence profile'!$J$6^2)))*100)</f>
        <v/>
      </c>
      <c r="AA407" s="751" t="str">
        <f>IF(C407="","",IF('IN-OUT'!$F$26=0,'Damage classification-Rankin'!Z407,IF('IN-OUT'!$F$35=0,Y407,'Damage classification-Rankin'!Y407+'Damage classification-Rankin'!Z407)))</f>
        <v/>
      </c>
    </row>
    <row r="408" spans="1:27" ht="13.8" thickBot="1">
      <c r="A408" s="67"/>
      <c r="B408" s="655">
        <f t="shared" si="46"/>
        <v>387</v>
      </c>
      <c r="C408" s="374" t="str">
        <f t="shared" si="47"/>
        <v/>
      </c>
      <c r="D408" s="784" t="str">
        <f t="shared" si="48"/>
        <v/>
      </c>
      <c r="E408" s="784" t="str">
        <f t="shared" si="49"/>
        <v/>
      </c>
      <c r="F408" s="785" t="str">
        <f t="shared" si="50"/>
        <v/>
      </c>
      <c r="G408" s="784" t="str">
        <f t="shared" ref="G408:G471" si="51">IF(C408="","",IF(ABS(C407-C408)&lt;($C$19-0.0001),"",$C$20+E408))</f>
        <v/>
      </c>
      <c r="J408" s="612"/>
      <c r="Y408" s="663" t="str">
        <f>IF(C408="","",('transversal subsidence profile'!$L$5*EXP(-(C408^2)/(2*'transversal subsidence profile'!$J$5^2)))*100)</f>
        <v/>
      </c>
      <c r="Z408" s="664" t="str">
        <f>IF(C408="","",(+'transversal subsidence profile'!$L$6*EXP(-((C408+$G$10)^2)/(2*'transversal subsidence profile'!$J$6^2)))*100)</f>
        <v/>
      </c>
      <c r="AA408" s="751" t="str">
        <f>IF(C408="","",IF('IN-OUT'!$F$26=0,'Damage classification-Rankin'!Z408,IF('IN-OUT'!$F$35=0,Y408,'Damage classification-Rankin'!Y408+'Damage classification-Rankin'!Z408)))</f>
        <v/>
      </c>
    </row>
    <row r="409" spans="1:27" ht="13.8" thickBot="1">
      <c r="A409" s="67"/>
      <c r="B409" s="655">
        <f t="shared" si="46"/>
        <v>388</v>
      </c>
      <c r="C409" s="374" t="str">
        <f t="shared" si="47"/>
        <v/>
      </c>
      <c r="D409" s="784" t="str">
        <f t="shared" si="48"/>
        <v/>
      </c>
      <c r="E409" s="784" t="str">
        <f t="shared" si="49"/>
        <v/>
      </c>
      <c r="F409" s="785" t="str">
        <f t="shared" si="50"/>
        <v/>
      </c>
      <c r="G409" s="784" t="str">
        <f t="shared" si="51"/>
        <v/>
      </c>
      <c r="J409" s="612"/>
      <c r="Y409" s="663" t="str">
        <f>IF(C409="","",('transversal subsidence profile'!$L$5*EXP(-(C409^2)/(2*'transversal subsidence profile'!$J$5^2)))*100)</f>
        <v/>
      </c>
      <c r="Z409" s="664" t="str">
        <f>IF(C409="","",(+'transversal subsidence profile'!$L$6*EXP(-((C409+$G$10)^2)/(2*'transversal subsidence profile'!$J$6^2)))*100)</f>
        <v/>
      </c>
      <c r="AA409" s="751" t="str">
        <f>IF(C409="","",IF('IN-OUT'!$F$26=0,'Damage classification-Rankin'!Z409,IF('IN-OUT'!$F$35=0,Y409,'Damage classification-Rankin'!Y409+'Damage classification-Rankin'!Z409)))</f>
        <v/>
      </c>
    </row>
    <row r="410" spans="1:27" ht="13.8" thickBot="1">
      <c r="A410" s="67"/>
      <c r="B410" s="655">
        <f t="shared" si="46"/>
        <v>389</v>
      </c>
      <c r="C410" s="374" t="str">
        <f t="shared" si="47"/>
        <v/>
      </c>
      <c r="D410" s="784" t="str">
        <f t="shared" si="48"/>
        <v/>
      </c>
      <c r="E410" s="784" t="str">
        <f t="shared" si="49"/>
        <v/>
      </c>
      <c r="F410" s="785" t="str">
        <f t="shared" si="50"/>
        <v/>
      </c>
      <c r="G410" s="784" t="str">
        <f t="shared" si="51"/>
        <v/>
      </c>
      <c r="J410" s="612"/>
      <c r="Y410" s="663" t="str">
        <f>IF(C410="","",('transversal subsidence profile'!$L$5*EXP(-(C410^2)/(2*'transversal subsidence profile'!$J$5^2)))*100)</f>
        <v/>
      </c>
      <c r="Z410" s="664" t="str">
        <f>IF(C410="","",(+'transversal subsidence profile'!$L$6*EXP(-((C410+$G$10)^2)/(2*'transversal subsidence profile'!$J$6^2)))*100)</f>
        <v/>
      </c>
      <c r="AA410" s="751" t="str">
        <f>IF(C410="","",IF('IN-OUT'!$F$26=0,'Damage classification-Rankin'!Z410,IF('IN-OUT'!$F$35=0,Y410,'Damage classification-Rankin'!Y410+'Damage classification-Rankin'!Z410)))</f>
        <v/>
      </c>
    </row>
    <row r="411" spans="1:27" ht="13.8" thickBot="1">
      <c r="A411" s="67"/>
      <c r="B411" s="655">
        <f t="shared" si="46"/>
        <v>390</v>
      </c>
      <c r="C411" s="374" t="str">
        <f t="shared" si="47"/>
        <v/>
      </c>
      <c r="D411" s="784" t="str">
        <f t="shared" si="48"/>
        <v/>
      </c>
      <c r="E411" s="784" t="str">
        <f t="shared" si="49"/>
        <v/>
      </c>
      <c r="F411" s="785" t="str">
        <f t="shared" si="50"/>
        <v/>
      </c>
      <c r="G411" s="784" t="str">
        <f t="shared" si="51"/>
        <v/>
      </c>
      <c r="J411" s="612"/>
      <c r="Y411" s="663" t="str">
        <f>IF(C411="","",('transversal subsidence profile'!$L$5*EXP(-(C411^2)/(2*'transversal subsidence profile'!$J$5^2)))*100)</f>
        <v/>
      </c>
      <c r="Z411" s="664" t="str">
        <f>IF(C411="","",(+'transversal subsidence profile'!$L$6*EXP(-((C411+$G$10)^2)/(2*'transversal subsidence profile'!$J$6^2)))*100)</f>
        <v/>
      </c>
      <c r="AA411" s="751" t="str">
        <f>IF(C411="","",IF('IN-OUT'!$F$26=0,'Damage classification-Rankin'!Z411,IF('IN-OUT'!$F$35=0,Y411,'Damage classification-Rankin'!Y411+'Damage classification-Rankin'!Z411)))</f>
        <v/>
      </c>
    </row>
    <row r="412" spans="1:27" ht="13.8" thickBot="1">
      <c r="A412" s="67"/>
      <c r="B412" s="655">
        <f t="shared" si="46"/>
        <v>391</v>
      </c>
      <c r="C412" s="374" t="str">
        <f t="shared" si="47"/>
        <v/>
      </c>
      <c r="D412" s="784" t="str">
        <f t="shared" si="48"/>
        <v/>
      </c>
      <c r="E412" s="784" t="str">
        <f t="shared" si="49"/>
        <v/>
      </c>
      <c r="F412" s="785" t="str">
        <f t="shared" si="50"/>
        <v/>
      </c>
      <c r="G412" s="784" t="str">
        <f t="shared" si="51"/>
        <v/>
      </c>
      <c r="J412" s="612"/>
      <c r="Y412" s="663" t="str">
        <f>IF(C412="","",('transversal subsidence profile'!$L$5*EXP(-(C412^2)/(2*'transversal subsidence profile'!$J$5^2)))*100)</f>
        <v/>
      </c>
      <c r="Z412" s="664" t="str">
        <f>IF(C412="","",(+'transversal subsidence profile'!$L$6*EXP(-((C412+$G$10)^2)/(2*'transversal subsidence profile'!$J$6^2)))*100)</f>
        <v/>
      </c>
      <c r="AA412" s="751" t="str">
        <f>IF(C412="","",IF('IN-OUT'!$F$26=0,'Damage classification-Rankin'!Z412,IF('IN-OUT'!$F$35=0,Y412,'Damage classification-Rankin'!Y412+'Damage classification-Rankin'!Z412)))</f>
        <v/>
      </c>
    </row>
    <row r="413" spans="1:27" ht="13.8" thickBot="1">
      <c r="A413" s="67"/>
      <c r="B413" s="655">
        <f t="shared" si="46"/>
        <v>392</v>
      </c>
      <c r="C413" s="374" t="str">
        <f t="shared" si="47"/>
        <v/>
      </c>
      <c r="D413" s="784" t="str">
        <f t="shared" si="48"/>
        <v/>
      </c>
      <c r="E413" s="784" t="str">
        <f t="shared" si="49"/>
        <v/>
      </c>
      <c r="F413" s="785" t="str">
        <f t="shared" si="50"/>
        <v/>
      </c>
      <c r="G413" s="784" t="str">
        <f t="shared" si="51"/>
        <v/>
      </c>
      <c r="J413" s="612"/>
      <c r="Y413" s="663" t="str">
        <f>IF(C413="","",('transversal subsidence profile'!$L$5*EXP(-(C413^2)/(2*'transversal subsidence profile'!$J$5^2)))*100)</f>
        <v/>
      </c>
      <c r="Z413" s="664" t="str">
        <f>IF(C413="","",(+'transversal subsidence profile'!$L$6*EXP(-((C413+$G$10)^2)/(2*'transversal subsidence profile'!$J$6^2)))*100)</f>
        <v/>
      </c>
      <c r="AA413" s="751" t="str">
        <f>IF(C413="","",IF('IN-OUT'!$F$26=0,'Damage classification-Rankin'!Z413,IF('IN-OUT'!$F$35=0,Y413,'Damage classification-Rankin'!Y413+'Damage classification-Rankin'!Z413)))</f>
        <v/>
      </c>
    </row>
    <row r="414" spans="1:27" ht="13.8" thickBot="1">
      <c r="A414" s="67"/>
      <c r="B414" s="655">
        <f t="shared" si="46"/>
        <v>393</v>
      </c>
      <c r="C414" s="374" t="str">
        <f t="shared" si="47"/>
        <v/>
      </c>
      <c r="D414" s="784" t="str">
        <f t="shared" si="48"/>
        <v/>
      </c>
      <c r="E414" s="784" t="str">
        <f t="shared" si="49"/>
        <v/>
      </c>
      <c r="F414" s="785" t="str">
        <f t="shared" si="50"/>
        <v/>
      </c>
      <c r="G414" s="784" t="str">
        <f t="shared" si="51"/>
        <v/>
      </c>
      <c r="J414" s="612"/>
      <c r="Y414" s="663" t="str">
        <f>IF(C414="","",('transversal subsidence profile'!$L$5*EXP(-(C414^2)/(2*'transversal subsidence profile'!$J$5^2)))*100)</f>
        <v/>
      </c>
      <c r="Z414" s="664" t="str">
        <f>IF(C414="","",(+'transversal subsidence profile'!$L$6*EXP(-((C414+$G$10)^2)/(2*'transversal subsidence profile'!$J$6^2)))*100)</f>
        <v/>
      </c>
      <c r="AA414" s="751" t="str">
        <f>IF(C414="","",IF('IN-OUT'!$F$26=0,'Damage classification-Rankin'!Z414,IF('IN-OUT'!$F$35=0,Y414,'Damage classification-Rankin'!Y414+'Damage classification-Rankin'!Z414)))</f>
        <v/>
      </c>
    </row>
    <row r="415" spans="1:27" ht="13.8" thickBot="1">
      <c r="A415" s="67"/>
      <c r="B415" s="655">
        <f t="shared" si="46"/>
        <v>394</v>
      </c>
      <c r="C415" s="374" t="str">
        <f t="shared" si="47"/>
        <v/>
      </c>
      <c r="D415" s="784" t="str">
        <f t="shared" si="48"/>
        <v/>
      </c>
      <c r="E415" s="784" t="str">
        <f t="shared" si="49"/>
        <v/>
      </c>
      <c r="F415" s="785" t="str">
        <f t="shared" si="50"/>
        <v/>
      </c>
      <c r="G415" s="784" t="str">
        <f t="shared" si="51"/>
        <v/>
      </c>
      <c r="J415" s="612"/>
      <c r="Y415" s="663" t="str">
        <f>IF(C415="","",('transversal subsidence profile'!$L$5*EXP(-(C415^2)/(2*'transversal subsidence profile'!$J$5^2)))*100)</f>
        <v/>
      </c>
      <c r="Z415" s="664" t="str">
        <f>IF(C415="","",(+'transversal subsidence profile'!$L$6*EXP(-((C415+$G$10)^2)/(2*'transversal subsidence profile'!$J$6^2)))*100)</f>
        <v/>
      </c>
      <c r="AA415" s="751" t="str">
        <f>IF(C415="","",IF('IN-OUT'!$F$26=0,'Damage classification-Rankin'!Z415,IF('IN-OUT'!$F$35=0,Y415,'Damage classification-Rankin'!Y415+'Damage classification-Rankin'!Z415)))</f>
        <v/>
      </c>
    </row>
    <row r="416" spans="1:27" ht="13.8" thickBot="1">
      <c r="A416" s="67"/>
      <c r="B416" s="655">
        <f t="shared" si="46"/>
        <v>395</v>
      </c>
      <c r="C416" s="374" t="str">
        <f t="shared" si="47"/>
        <v/>
      </c>
      <c r="D416" s="784" t="str">
        <f t="shared" si="48"/>
        <v/>
      </c>
      <c r="E416" s="784" t="str">
        <f t="shared" si="49"/>
        <v/>
      </c>
      <c r="F416" s="785" t="str">
        <f t="shared" si="50"/>
        <v/>
      </c>
      <c r="G416" s="784" t="str">
        <f t="shared" si="51"/>
        <v/>
      </c>
      <c r="J416" s="612"/>
      <c r="Y416" s="663" t="str">
        <f>IF(C416="","",('transversal subsidence profile'!$L$5*EXP(-(C416^2)/(2*'transversal subsidence profile'!$J$5^2)))*100)</f>
        <v/>
      </c>
      <c r="Z416" s="664" t="str">
        <f>IF(C416="","",(+'transversal subsidence profile'!$L$6*EXP(-((C416+$G$10)^2)/(2*'transversal subsidence profile'!$J$6^2)))*100)</f>
        <v/>
      </c>
      <c r="AA416" s="751" t="str">
        <f>IF(C416="","",IF('IN-OUT'!$F$26=0,'Damage classification-Rankin'!Z416,IF('IN-OUT'!$F$35=0,Y416,'Damage classification-Rankin'!Y416+'Damage classification-Rankin'!Z416)))</f>
        <v/>
      </c>
    </row>
    <row r="417" spans="1:27" ht="13.8" thickBot="1">
      <c r="A417" s="67"/>
      <c r="B417" s="655">
        <f t="shared" si="46"/>
        <v>396</v>
      </c>
      <c r="C417" s="374" t="str">
        <f t="shared" si="47"/>
        <v/>
      </c>
      <c r="D417" s="784" t="str">
        <f t="shared" si="48"/>
        <v/>
      </c>
      <c r="E417" s="784" t="str">
        <f t="shared" si="49"/>
        <v/>
      </c>
      <c r="F417" s="785" t="str">
        <f t="shared" si="50"/>
        <v/>
      </c>
      <c r="G417" s="784" t="str">
        <f t="shared" si="51"/>
        <v/>
      </c>
      <c r="J417" s="612"/>
      <c r="Y417" s="663" t="str">
        <f>IF(C417="","",('transversal subsidence profile'!$L$5*EXP(-(C417^2)/(2*'transversal subsidence profile'!$J$5^2)))*100)</f>
        <v/>
      </c>
      <c r="Z417" s="664" t="str">
        <f>IF(C417="","",(+'transversal subsidence profile'!$L$6*EXP(-((C417+$G$10)^2)/(2*'transversal subsidence profile'!$J$6^2)))*100)</f>
        <v/>
      </c>
      <c r="AA417" s="751" t="str">
        <f>IF(C417="","",IF('IN-OUT'!$F$26=0,'Damage classification-Rankin'!Z417,IF('IN-OUT'!$F$35=0,Y417,'Damage classification-Rankin'!Y417+'Damage classification-Rankin'!Z417)))</f>
        <v/>
      </c>
    </row>
    <row r="418" spans="1:27" ht="13.8" thickBot="1">
      <c r="A418" s="67"/>
      <c r="B418" s="655">
        <f t="shared" ref="B418:B481" si="52">B417+1</f>
        <v>397</v>
      </c>
      <c r="C418" s="374" t="str">
        <f t="shared" ref="C418:C481" si="53">IF(OR(C417=$D$8,C417=""),"",IF((C417+$C$19)&gt;$D$8,$D$8,C417+$C$19))</f>
        <v/>
      </c>
      <c r="D418" s="784" t="str">
        <f t="shared" ref="D418:D481" si="54">AA418</f>
        <v/>
      </c>
      <c r="E418" s="784" t="str">
        <f t="shared" ref="E418:E481" si="55">IF(C418="","",IF(D418&gt;D417,ATAN(((D418-D417))/ABS((C418-C417)*100)),-ATAN(((D417-D418))/ABS((C418-C417)*100))))</f>
        <v/>
      </c>
      <c r="F418" s="785" t="str">
        <f t="shared" ref="F418:F481" si="56">IF(C418&lt;&gt;"",ABS(D417-D418),"")</f>
        <v/>
      </c>
      <c r="G418" s="784" t="str">
        <f t="shared" si="51"/>
        <v/>
      </c>
      <c r="J418" s="612"/>
      <c r="Y418" s="663" t="str">
        <f>IF(C418="","",('transversal subsidence profile'!$L$5*EXP(-(C418^2)/(2*'transversal subsidence profile'!$J$5^2)))*100)</f>
        <v/>
      </c>
      <c r="Z418" s="664" t="str">
        <f>IF(C418="","",(+'transversal subsidence profile'!$L$6*EXP(-((C418+$G$10)^2)/(2*'transversal subsidence profile'!$J$6^2)))*100)</f>
        <v/>
      </c>
      <c r="AA418" s="751" t="str">
        <f>IF(C418="","",IF('IN-OUT'!$F$26=0,'Damage classification-Rankin'!Z418,IF('IN-OUT'!$F$35=0,Y418,'Damage classification-Rankin'!Y418+'Damage classification-Rankin'!Z418)))</f>
        <v/>
      </c>
    </row>
    <row r="419" spans="1:27" ht="13.8" thickBot="1">
      <c r="A419" s="67"/>
      <c r="B419" s="655">
        <f t="shared" si="52"/>
        <v>398</v>
      </c>
      <c r="C419" s="374" t="str">
        <f t="shared" si="53"/>
        <v/>
      </c>
      <c r="D419" s="784" t="str">
        <f t="shared" si="54"/>
        <v/>
      </c>
      <c r="E419" s="784" t="str">
        <f t="shared" si="55"/>
        <v/>
      </c>
      <c r="F419" s="785" t="str">
        <f t="shared" si="56"/>
        <v/>
      </c>
      <c r="G419" s="784" t="str">
        <f t="shared" si="51"/>
        <v/>
      </c>
      <c r="J419" s="612"/>
      <c r="Y419" s="663" t="str">
        <f>IF(C419="","",('transversal subsidence profile'!$L$5*EXP(-(C419^2)/(2*'transversal subsidence profile'!$J$5^2)))*100)</f>
        <v/>
      </c>
      <c r="Z419" s="664" t="str">
        <f>IF(C419="","",(+'transversal subsidence profile'!$L$6*EXP(-((C419+$G$10)^2)/(2*'transversal subsidence profile'!$J$6^2)))*100)</f>
        <v/>
      </c>
      <c r="AA419" s="751" t="str">
        <f>IF(C419="","",IF('IN-OUT'!$F$26=0,'Damage classification-Rankin'!Z419,IF('IN-OUT'!$F$35=0,Y419,'Damage classification-Rankin'!Y419+'Damage classification-Rankin'!Z419)))</f>
        <v/>
      </c>
    </row>
    <row r="420" spans="1:27" ht="13.8" thickBot="1">
      <c r="A420" s="67"/>
      <c r="B420" s="655">
        <f t="shared" si="52"/>
        <v>399</v>
      </c>
      <c r="C420" s="374" t="str">
        <f t="shared" si="53"/>
        <v/>
      </c>
      <c r="D420" s="784" t="str">
        <f t="shared" si="54"/>
        <v/>
      </c>
      <c r="E420" s="784" t="str">
        <f t="shared" si="55"/>
        <v/>
      </c>
      <c r="F420" s="785" t="str">
        <f t="shared" si="56"/>
        <v/>
      </c>
      <c r="G420" s="784" t="str">
        <f t="shared" si="51"/>
        <v/>
      </c>
      <c r="J420" s="612"/>
      <c r="Y420" s="663" t="str">
        <f>IF(C420="","",('transversal subsidence profile'!$L$5*EXP(-(C420^2)/(2*'transversal subsidence profile'!$J$5^2)))*100)</f>
        <v/>
      </c>
      <c r="Z420" s="664" t="str">
        <f>IF(C420="","",(+'transversal subsidence profile'!$L$6*EXP(-((C420+$G$10)^2)/(2*'transversal subsidence profile'!$J$6^2)))*100)</f>
        <v/>
      </c>
      <c r="AA420" s="751" t="str">
        <f>IF(C420="","",IF('IN-OUT'!$F$26=0,'Damage classification-Rankin'!Z420,IF('IN-OUT'!$F$35=0,Y420,'Damage classification-Rankin'!Y420+'Damage classification-Rankin'!Z420)))</f>
        <v/>
      </c>
    </row>
    <row r="421" spans="1:27" ht="13.8" thickBot="1">
      <c r="A421" s="67"/>
      <c r="B421" s="655">
        <f t="shared" si="52"/>
        <v>400</v>
      </c>
      <c r="C421" s="374" t="str">
        <f t="shared" si="53"/>
        <v/>
      </c>
      <c r="D421" s="784" t="str">
        <f t="shared" si="54"/>
        <v/>
      </c>
      <c r="E421" s="784" t="str">
        <f t="shared" si="55"/>
        <v/>
      </c>
      <c r="F421" s="785" t="str">
        <f t="shared" si="56"/>
        <v/>
      </c>
      <c r="G421" s="784" t="str">
        <f t="shared" si="51"/>
        <v/>
      </c>
      <c r="J421" s="612"/>
      <c r="Y421" s="663" t="str">
        <f>IF(C421="","",('transversal subsidence profile'!$L$5*EXP(-(C421^2)/(2*'transversal subsidence profile'!$J$5^2)))*100)</f>
        <v/>
      </c>
      <c r="Z421" s="664" t="str">
        <f>IF(C421="","",(+'transversal subsidence profile'!$L$6*EXP(-((C421+$G$10)^2)/(2*'transversal subsidence profile'!$J$6^2)))*100)</f>
        <v/>
      </c>
      <c r="AA421" s="751" t="str">
        <f>IF(C421="","",IF('IN-OUT'!$F$26=0,'Damage classification-Rankin'!Z421,IF('IN-OUT'!$F$35=0,Y421,'Damage classification-Rankin'!Y421+'Damage classification-Rankin'!Z421)))</f>
        <v/>
      </c>
    </row>
    <row r="422" spans="1:27" ht="13.8" thickBot="1">
      <c r="A422" s="67"/>
      <c r="B422" s="655">
        <f t="shared" si="52"/>
        <v>401</v>
      </c>
      <c r="C422" s="374" t="str">
        <f t="shared" si="53"/>
        <v/>
      </c>
      <c r="D422" s="784" t="str">
        <f t="shared" si="54"/>
        <v/>
      </c>
      <c r="E422" s="784" t="str">
        <f t="shared" si="55"/>
        <v/>
      </c>
      <c r="F422" s="785" t="str">
        <f t="shared" si="56"/>
        <v/>
      </c>
      <c r="G422" s="784" t="str">
        <f t="shared" si="51"/>
        <v/>
      </c>
      <c r="J422" s="612"/>
      <c r="Y422" s="663" t="str">
        <f>IF(C422="","",('transversal subsidence profile'!$L$5*EXP(-(C422^2)/(2*'transversal subsidence profile'!$J$5^2)))*100)</f>
        <v/>
      </c>
      <c r="Z422" s="664" t="str">
        <f>IF(C422="","",(+'transversal subsidence profile'!$L$6*EXP(-((C422+$G$10)^2)/(2*'transversal subsidence profile'!$J$6^2)))*100)</f>
        <v/>
      </c>
      <c r="AA422" s="751" t="str">
        <f>IF(C422="","",IF('IN-OUT'!$F$26=0,'Damage classification-Rankin'!Z422,IF('IN-OUT'!$F$35=0,Y422,'Damage classification-Rankin'!Y422+'Damage classification-Rankin'!Z422)))</f>
        <v/>
      </c>
    </row>
    <row r="423" spans="1:27" ht="13.8" thickBot="1">
      <c r="A423" s="67"/>
      <c r="B423" s="655">
        <f t="shared" si="52"/>
        <v>402</v>
      </c>
      <c r="C423" s="374" t="str">
        <f t="shared" si="53"/>
        <v/>
      </c>
      <c r="D423" s="784" t="str">
        <f t="shared" si="54"/>
        <v/>
      </c>
      <c r="E423" s="784" t="str">
        <f t="shared" si="55"/>
        <v/>
      </c>
      <c r="F423" s="785" t="str">
        <f t="shared" si="56"/>
        <v/>
      </c>
      <c r="G423" s="784" t="str">
        <f t="shared" si="51"/>
        <v/>
      </c>
      <c r="J423" s="612"/>
      <c r="Y423" s="663" t="str">
        <f>IF(C423="","",('transversal subsidence profile'!$L$5*EXP(-(C423^2)/(2*'transversal subsidence profile'!$J$5^2)))*100)</f>
        <v/>
      </c>
      <c r="Z423" s="664" t="str">
        <f>IF(C423="","",(+'transversal subsidence profile'!$L$6*EXP(-((C423+$G$10)^2)/(2*'transversal subsidence profile'!$J$6^2)))*100)</f>
        <v/>
      </c>
      <c r="AA423" s="751" t="str">
        <f>IF(C423="","",IF('IN-OUT'!$F$26=0,'Damage classification-Rankin'!Z423,IF('IN-OUT'!$F$35=0,Y423,'Damage classification-Rankin'!Y423+'Damage classification-Rankin'!Z423)))</f>
        <v/>
      </c>
    </row>
    <row r="424" spans="1:27" ht="13.8" thickBot="1">
      <c r="A424" s="67"/>
      <c r="B424" s="655">
        <f t="shared" si="52"/>
        <v>403</v>
      </c>
      <c r="C424" s="374" t="str">
        <f t="shared" si="53"/>
        <v/>
      </c>
      <c r="D424" s="784" t="str">
        <f t="shared" si="54"/>
        <v/>
      </c>
      <c r="E424" s="784" t="str">
        <f t="shared" si="55"/>
        <v/>
      </c>
      <c r="F424" s="785" t="str">
        <f t="shared" si="56"/>
        <v/>
      </c>
      <c r="G424" s="784" t="str">
        <f t="shared" si="51"/>
        <v/>
      </c>
      <c r="J424" s="612"/>
      <c r="Y424" s="663" t="str">
        <f>IF(C424="","",('transversal subsidence profile'!$L$5*EXP(-(C424^2)/(2*'transversal subsidence profile'!$J$5^2)))*100)</f>
        <v/>
      </c>
      <c r="Z424" s="664" t="str">
        <f>IF(C424="","",(+'transversal subsidence profile'!$L$6*EXP(-((C424+$G$10)^2)/(2*'transversal subsidence profile'!$J$6^2)))*100)</f>
        <v/>
      </c>
      <c r="AA424" s="751" t="str">
        <f>IF(C424="","",IF('IN-OUT'!$F$26=0,'Damage classification-Rankin'!Z424,IF('IN-OUT'!$F$35=0,Y424,'Damage classification-Rankin'!Y424+'Damage classification-Rankin'!Z424)))</f>
        <v/>
      </c>
    </row>
    <row r="425" spans="1:27" ht="13.8" thickBot="1">
      <c r="A425" s="67"/>
      <c r="B425" s="655">
        <f t="shared" si="52"/>
        <v>404</v>
      </c>
      <c r="C425" s="374" t="str">
        <f t="shared" si="53"/>
        <v/>
      </c>
      <c r="D425" s="784" t="str">
        <f t="shared" si="54"/>
        <v/>
      </c>
      <c r="E425" s="784" t="str">
        <f t="shared" si="55"/>
        <v/>
      </c>
      <c r="F425" s="785" t="str">
        <f t="shared" si="56"/>
        <v/>
      </c>
      <c r="G425" s="784" t="str">
        <f t="shared" si="51"/>
        <v/>
      </c>
      <c r="J425" s="612"/>
      <c r="Y425" s="663" t="str">
        <f>IF(C425="","",('transversal subsidence profile'!$L$5*EXP(-(C425^2)/(2*'transversal subsidence profile'!$J$5^2)))*100)</f>
        <v/>
      </c>
      <c r="Z425" s="664" t="str">
        <f>IF(C425="","",(+'transversal subsidence profile'!$L$6*EXP(-((C425+$G$10)^2)/(2*'transversal subsidence profile'!$J$6^2)))*100)</f>
        <v/>
      </c>
      <c r="AA425" s="751" t="str">
        <f>IF(C425="","",IF('IN-OUT'!$F$26=0,'Damage classification-Rankin'!Z425,IF('IN-OUT'!$F$35=0,Y425,'Damage classification-Rankin'!Y425+'Damage classification-Rankin'!Z425)))</f>
        <v/>
      </c>
    </row>
    <row r="426" spans="1:27" ht="13.8" thickBot="1">
      <c r="A426" s="67"/>
      <c r="B426" s="655">
        <f t="shared" si="52"/>
        <v>405</v>
      </c>
      <c r="C426" s="374" t="str">
        <f t="shared" si="53"/>
        <v/>
      </c>
      <c r="D426" s="784" t="str">
        <f t="shared" si="54"/>
        <v/>
      </c>
      <c r="E426" s="784" t="str">
        <f t="shared" si="55"/>
        <v/>
      </c>
      <c r="F426" s="785" t="str">
        <f t="shared" si="56"/>
        <v/>
      </c>
      <c r="G426" s="784" t="str">
        <f t="shared" si="51"/>
        <v/>
      </c>
      <c r="J426" s="612"/>
      <c r="Y426" s="663" t="str">
        <f>IF(C426="","",('transversal subsidence profile'!$L$5*EXP(-(C426^2)/(2*'transversal subsidence profile'!$J$5^2)))*100)</f>
        <v/>
      </c>
      <c r="Z426" s="664" t="str">
        <f>IF(C426="","",(+'transversal subsidence profile'!$L$6*EXP(-((C426+$G$10)^2)/(2*'transversal subsidence profile'!$J$6^2)))*100)</f>
        <v/>
      </c>
      <c r="AA426" s="751" t="str">
        <f>IF(C426="","",IF('IN-OUT'!$F$26=0,'Damage classification-Rankin'!Z426,IF('IN-OUT'!$F$35=0,Y426,'Damage classification-Rankin'!Y426+'Damage classification-Rankin'!Z426)))</f>
        <v/>
      </c>
    </row>
    <row r="427" spans="1:27" ht="13.8" thickBot="1">
      <c r="A427" s="67"/>
      <c r="B427" s="655">
        <f t="shared" si="52"/>
        <v>406</v>
      </c>
      <c r="C427" s="374" t="str">
        <f t="shared" si="53"/>
        <v/>
      </c>
      <c r="D427" s="784" t="str">
        <f t="shared" si="54"/>
        <v/>
      </c>
      <c r="E427" s="784" t="str">
        <f t="shared" si="55"/>
        <v/>
      </c>
      <c r="F427" s="785" t="str">
        <f t="shared" si="56"/>
        <v/>
      </c>
      <c r="G427" s="784" t="str">
        <f t="shared" si="51"/>
        <v/>
      </c>
      <c r="J427" s="612"/>
      <c r="Y427" s="663" t="str">
        <f>IF(C427="","",('transversal subsidence profile'!$L$5*EXP(-(C427^2)/(2*'transversal subsidence profile'!$J$5^2)))*100)</f>
        <v/>
      </c>
      <c r="Z427" s="664" t="str">
        <f>IF(C427="","",(+'transversal subsidence profile'!$L$6*EXP(-((C427+$G$10)^2)/(2*'transversal subsidence profile'!$J$6^2)))*100)</f>
        <v/>
      </c>
      <c r="AA427" s="751" t="str">
        <f>IF(C427="","",IF('IN-OUT'!$F$26=0,'Damage classification-Rankin'!Z427,IF('IN-OUT'!$F$35=0,Y427,'Damage classification-Rankin'!Y427+'Damage classification-Rankin'!Z427)))</f>
        <v/>
      </c>
    </row>
    <row r="428" spans="1:27" ht="13.8" thickBot="1">
      <c r="A428" s="67"/>
      <c r="B428" s="655">
        <f t="shared" si="52"/>
        <v>407</v>
      </c>
      <c r="C428" s="374" t="str">
        <f t="shared" si="53"/>
        <v/>
      </c>
      <c r="D428" s="784" t="str">
        <f t="shared" si="54"/>
        <v/>
      </c>
      <c r="E428" s="784" t="str">
        <f t="shared" si="55"/>
        <v/>
      </c>
      <c r="F428" s="785" t="str">
        <f t="shared" si="56"/>
        <v/>
      </c>
      <c r="G428" s="784" t="str">
        <f t="shared" si="51"/>
        <v/>
      </c>
      <c r="J428" s="612"/>
      <c r="Y428" s="663" t="str">
        <f>IF(C428="","",('transversal subsidence profile'!$L$5*EXP(-(C428^2)/(2*'transversal subsidence profile'!$J$5^2)))*100)</f>
        <v/>
      </c>
      <c r="Z428" s="664" t="str">
        <f>IF(C428="","",(+'transversal subsidence profile'!$L$6*EXP(-((C428+$G$10)^2)/(2*'transversal subsidence profile'!$J$6^2)))*100)</f>
        <v/>
      </c>
      <c r="AA428" s="751" t="str">
        <f>IF(C428="","",IF('IN-OUT'!$F$26=0,'Damage classification-Rankin'!Z428,IF('IN-OUT'!$F$35=0,Y428,'Damage classification-Rankin'!Y428+'Damage classification-Rankin'!Z428)))</f>
        <v/>
      </c>
    </row>
    <row r="429" spans="1:27" ht="13.8" thickBot="1">
      <c r="A429" s="67"/>
      <c r="B429" s="655">
        <f t="shared" si="52"/>
        <v>408</v>
      </c>
      <c r="C429" s="374" t="str">
        <f t="shared" si="53"/>
        <v/>
      </c>
      <c r="D429" s="784" t="str">
        <f t="shared" si="54"/>
        <v/>
      </c>
      <c r="E429" s="784" t="str">
        <f t="shared" si="55"/>
        <v/>
      </c>
      <c r="F429" s="785" t="str">
        <f t="shared" si="56"/>
        <v/>
      </c>
      <c r="G429" s="784" t="str">
        <f t="shared" si="51"/>
        <v/>
      </c>
      <c r="J429" s="612"/>
      <c r="Y429" s="663" t="str">
        <f>IF(C429="","",('transversal subsidence profile'!$L$5*EXP(-(C429^2)/(2*'transversal subsidence profile'!$J$5^2)))*100)</f>
        <v/>
      </c>
      <c r="Z429" s="664" t="str">
        <f>IF(C429="","",(+'transversal subsidence profile'!$L$6*EXP(-((C429+$G$10)^2)/(2*'transversal subsidence profile'!$J$6^2)))*100)</f>
        <v/>
      </c>
      <c r="AA429" s="751" t="str">
        <f>IF(C429="","",IF('IN-OUT'!$F$26=0,'Damage classification-Rankin'!Z429,IF('IN-OUT'!$F$35=0,Y429,'Damage classification-Rankin'!Y429+'Damage classification-Rankin'!Z429)))</f>
        <v/>
      </c>
    </row>
    <row r="430" spans="1:27" ht="13.8" thickBot="1">
      <c r="A430" s="67"/>
      <c r="B430" s="655">
        <f t="shared" si="52"/>
        <v>409</v>
      </c>
      <c r="C430" s="374" t="str">
        <f t="shared" si="53"/>
        <v/>
      </c>
      <c r="D430" s="784" t="str">
        <f t="shared" si="54"/>
        <v/>
      </c>
      <c r="E430" s="784" t="str">
        <f t="shared" si="55"/>
        <v/>
      </c>
      <c r="F430" s="785" t="str">
        <f t="shared" si="56"/>
        <v/>
      </c>
      <c r="G430" s="784" t="str">
        <f t="shared" si="51"/>
        <v/>
      </c>
      <c r="J430" s="612"/>
      <c r="Y430" s="663" t="str">
        <f>IF(C430="","",('transversal subsidence profile'!$L$5*EXP(-(C430^2)/(2*'transversal subsidence profile'!$J$5^2)))*100)</f>
        <v/>
      </c>
      <c r="Z430" s="664" t="str">
        <f>IF(C430="","",(+'transversal subsidence profile'!$L$6*EXP(-((C430+$G$10)^2)/(2*'transversal subsidence profile'!$J$6^2)))*100)</f>
        <v/>
      </c>
      <c r="AA430" s="751" t="str">
        <f>IF(C430="","",IF('IN-OUT'!$F$26=0,'Damage classification-Rankin'!Z430,IF('IN-OUT'!$F$35=0,Y430,'Damage classification-Rankin'!Y430+'Damage classification-Rankin'!Z430)))</f>
        <v/>
      </c>
    </row>
    <row r="431" spans="1:27" ht="13.8" thickBot="1">
      <c r="A431" s="67"/>
      <c r="B431" s="655">
        <f t="shared" si="52"/>
        <v>410</v>
      </c>
      <c r="C431" s="374" t="str">
        <f t="shared" si="53"/>
        <v/>
      </c>
      <c r="D431" s="784" t="str">
        <f t="shared" si="54"/>
        <v/>
      </c>
      <c r="E431" s="784" t="str">
        <f t="shared" si="55"/>
        <v/>
      </c>
      <c r="F431" s="785" t="str">
        <f t="shared" si="56"/>
        <v/>
      </c>
      <c r="G431" s="784" t="str">
        <f t="shared" si="51"/>
        <v/>
      </c>
      <c r="J431" s="612"/>
      <c r="Y431" s="663" t="str">
        <f>IF(C431="","",('transversal subsidence profile'!$L$5*EXP(-(C431^2)/(2*'transversal subsidence profile'!$J$5^2)))*100)</f>
        <v/>
      </c>
      <c r="Z431" s="664" t="str">
        <f>IF(C431="","",(+'transversal subsidence profile'!$L$6*EXP(-((C431+$G$10)^2)/(2*'transversal subsidence profile'!$J$6^2)))*100)</f>
        <v/>
      </c>
      <c r="AA431" s="751" t="str">
        <f>IF(C431="","",IF('IN-OUT'!$F$26=0,'Damage classification-Rankin'!Z431,IF('IN-OUT'!$F$35=0,Y431,'Damage classification-Rankin'!Y431+'Damage classification-Rankin'!Z431)))</f>
        <v/>
      </c>
    </row>
    <row r="432" spans="1:27" ht="13.8" thickBot="1">
      <c r="A432" s="67"/>
      <c r="B432" s="655">
        <f t="shared" si="52"/>
        <v>411</v>
      </c>
      <c r="C432" s="374" t="str">
        <f t="shared" si="53"/>
        <v/>
      </c>
      <c r="D432" s="784" t="str">
        <f t="shared" si="54"/>
        <v/>
      </c>
      <c r="E432" s="784" t="str">
        <f t="shared" si="55"/>
        <v/>
      </c>
      <c r="F432" s="785" t="str">
        <f t="shared" si="56"/>
        <v/>
      </c>
      <c r="G432" s="784" t="str">
        <f t="shared" si="51"/>
        <v/>
      </c>
      <c r="J432" s="612"/>
      <c r="Y432" s="663" t="str">
        <f>IF(C432="","",('transversal subsidence profile'!$L$5*EXP(-(C432^2)/(2*'transversal subsidence profile'!$J$5^2)))*100)</f>
        <v/>
      </c>
      <c r="Z432" s="664" t="str">
        <f>IF(C432="","",(+'transversal subsidence profile'!$L$6*EXP(-((C432+$G$10)^2)/(2*'transversal subsidence profile'!$J$6^2)))*100)</f>
        <v/>
      </c>
      <c r="AA432" s="751" t="str">
        <f>IF(C432="","",IF('IN-OUT'!$F$26=0,'Damage classification-Rankin'!Z432,IF('IN-OUT'!$F$35=0,Y432,'Damage classification-Rankin'!Y432+'Damage classification-Rankin'!Z432)))</f>
        <v/>
      </c>
    </row>
    <row r="433" spans="1:27" ht="13.8" thickBot="1">
      <c r="A433" s="67"/>
      <c r="B433" s="655">
        <f t="shared" si="52"/>
        <v>412</v>
      </c>
      <c r="C433" s="374" t="str">
        <f t="shared" si="53"/>
        <v/>
      </c>
      <c r="D433" s="784" t="str">
        <f t="shared" si="54"/>
        <v/>
      </c>
      <c r="E433" s="784" t="str">
        <f t="shared" si="55"/>
        <v/>
      </c>
      <c r="F433" s="785" t="str">
        <f t="shared" si="56"/>
        <v/>
      </c>
      <c r="G433" s="784" t="str">
        <f t="shared" si="51"/>
        <v/>
      </c>
      <c r="J433" s="612"/>
      <c r="Y433" s="663" t="str">
        <f>IF(C433="","",('transversal subsidence profile'!$L$5*EXP(-(C433^2)/(2*'transversal subsidence profile'!$J$5^2)))*100)</f>
        <v/>
      </c>
      <c r="Z433" s="664" t="str">
        <f>IF(C433="","",(+'transversal subsidence profile'!$L$6*EXP(-((C433+$G$10)^2)/(2*'transversal subsidence profile'!$J$6^2)))*100)</f>
        <v/>
      </c>
      <c r="AA433" s="751" t="str">
        <f>IF(C433="","",IF('IN-OUT'!$F$26=0,'Damage classification-Rankin'!Z433,IF('IN-OUT'!$F$35=0,Y433,'Damage classification-Rankin'!Y433+'Damage classification-Rankin'!Z433)))</f>
        <v/>
      </c>
    </row>
    <row r="434" spans="1:27" ht="13.8" thickBot="1">
      <c r="A434" s="67"/>
      <c r="B434" s="655">
        <f t="shared" si="52"/>
        <v>413</v>
      </c>
      <c r="C434" s="374" t="str">
        <f t="shared" si="53"/>
        <v/>
      </c>
      <c r="D434" s="784" t="str">
        <f t="shared" si="54"/>
        <v/>
      </c>
      <c r="E434" s="784" t="str">
        <f t="shared" si="55"/>
        <v/>
      </c>
      <c r="F434" s="785" t="str">
        <f t="shared" si="56"/>
        <v/>
      </c>
      <c r="G434" s="784" t="str">
        <f t="shared" si="51"/>
        <v/>
      </c>
      <c r="J434" s="612"/>
      <c r="Y434" s="663" t="str">
        <f>IF(C434="","",('transversal subsidence profile'!$L$5*EXP(-(C434^2)/(2*'transversal subsidence profile'!$J$5^2)))*100)</f>
        <v/>
      </c>
      <c r="Z434" s="664" t="str">
        <f>IF(C434="","",(+'transversal subsidence profile'!$L$6*EXP(-((C434+$G$10)^2)/(2*'transversal subsidence profile'!$J$6^2)))*100)</f>
        <v/>
      </c>
      <c r="AA434" s="751" t="str">
        <f>IF(C434="","",IF('IN-OUT'!$F$26=0,'Damage classification-Rankin'!Z434,IF('IN-OUT'!$F$35=0,Y434,'Damage classification-Rankin'!Y434+'Damage classification-Rankin'!Z434)))</f>
        <v/>
      </c>
    </row>
    <row r="435" spans="1:27" ht="13.8" thickBot="1">
      <c r="A435" s="67"/>
      <c r="B435" s="655">
        <f t="shared" si="52"/>
        <v>414</v>
      </c>
      <c r="C435" s="374" t="str">
        <f t="shared" si="53"/>
        <v/>
      </c>
      <c r="D435" s="784" t="str">
        <f t="shared" si="54"/>
        <v/>
      </c>
      <c r="E435" s="784" t="str">
        <f t="shared" si="55"/>
        <v/>
      </c>
      <c r="F435" s="785" t="str">
        <f t="shared" si="56"/>
        <v/>
      </c>
      <c r="G435" s="784" t="str">
        <f t="shared" si="51"/>
        <v/>
      </c>
      <c r="J435" s="612"/>
      <c r="Y435" s="663" t="str">
        <f>IF(C435="","",('transversal subsidence profile'!$L$5*EXP(-(C435^2)/(2*'transversal subsidence profile'!$J$5^2)))*100)</f>
        <v/>
      </c>
      <c r="Z435" s="664" t="str">
        <f>IF(C435="","",(+'transversal subsidence profile'!$L$6*EXP(-((C435+$G$10)^2)/(2*'transversal subsidence profile'!$J$6^2)))*100)</f>
        <v/>
      </c>
      <c r="AA435" s="751" t="str">
        <f>IF(C435="","",IF('IN-OUT'!$F$26=0,'Damage classification-Rankin'!Z435,IF('IN-OUT'!$F$35=0,Y435,'Damage classification-Rankin'!Y435+'Damage classification-Rankin'!Z435)))</f>
        <v/>
      </c>
    </row>
    <row r="436" spans="1:27" ht="13.8" thickBot="1">
      <c r="A436" s="67"/>
      <c r="B436" s="655">
        <f t="shared" si="52"/>
        <v>415</v>
      </c>
      <c r="C436" s="374" t="str">
        <f t="shared" si="53"/>
        <v/>
      </c>
      <c r="D436" s="784" t="str">
        <f t="shared" si="54"/>
        <v/>
      </c>
      <c r="E436" s="784" t="str">
        <f t="shared" si="55"/>
        <v/>
      </c>
      <c r="F436" s="785" t="str">
        <f t="shared" si="56"/>
        <v/>
      </c>
      <c r="G436" s="784" t="str">
        <f t="shared" si="51"/>
        <v/>
      </c>
      <c r="J436" s="612"/>
      <c r="Y436" s="663" t="str">
        <f>IF(C436="","",('transversal subsidence profile'!$L$5*EXP(-(C436^2)/(2*'transversal subsidence profile'!$J$5^2)))*100)</f>
        <v/>
      </c>
      <c r="Z436" s="664" t="str">
        <f>IF(C436="","",(+'transversal subsidence profile'!$L$6*EXP(-((C436+$G$10)^2)/(2*'transversal subsidence profile'!$J$6^2)))*100)</f>
        <v/>
      </c>
      <c r="AA436" s="751" t="str">
        <f>IF(C436="","",IF('IN-OUT'!$F$26=0,'Damage classification-Rankin'!Z436,IF('IN-OUT'!$F$35=0,Y436,'Damage classification-Rankin'!Y436+'Damage classification-Rankin'!Z436)))</f>
        <v/>
      </c>
    </row>
    <row r="437" spans="1:27" ht="13.8" thickBot="1">
      <c r="A437" s="67"/>
      <c r="B437" s="655">
        <f t="shared" si="52"/>
        <v>416</v>
      </c>
      <c r="C437" s="374" t="str">
        <f t="shared" si="53"/>
        <v/>
      </c>
      <c r="D437" s="784" t="str">
        <f t="shared" si="54"/>
        <v/>
      </c>
      <c r="E437" s="784" t="str">
        <f t="shared" si="55"/>
        <v/>
      </c>
      <c r="F437" s="785" t="str">
        <f t="shared" si="56"/>
        <v/>
      </c>
      <c r="G437" s="784" t="str">
        <f t="shared" si="51"/>
        <v/>
      </c>
      <c r="J437" s="612"/>
      <c r="Y437" s="663" t="str">
        <f>IF(C437="","",('transversal subsidence profile'!$L$5*EXP(-(C437^2)/(2*'transversal subsidence profile'!$J$5^2)))*100)</f>
        <v/>
      </c>
      <c r="Z437" s="664" t="str">
        <f>IF(C437="","",(+'transversal subsidence profile'!$L$6*EXP(-((C437+$G$10)^2)/(2*'transversal subsidence profile'!$J$6^2)))*100)</f>
        <v/>
      </c>
      <c r="AA437" s="751" t="str">
        <f>IF(C437="","",IF('IN-OUT'!$F$26=0,'Damage classification-Rankin'!Z437,IF('IN-OUT'!$F$35=0,Y437,'Damage classification-Rankin'!Y437+'Damage classification-Rankin'!Z437)))</f>
        <v/>
      </c>
    </row>
    <row r="438" spans="1:27" ht="13.8" thickBot="1">
      <c r="A438" s="67"/>
      <c r="B438" s="655">
        <f t="shared" si="52"/>
        <v>417</v>
      </c>
      <c r="C438" s="374" t="str">
        <f t="shared" si="53"/>
        <v/>
      </c>
      <c r="D438" s="784" t="str">
        <f t="shared" si="54"/>
        <v/>
      </c>
      <c r="E438" s="784" t="str">
        <f t="shared" si="55"/>
        <v/>
      </c>
      <c r="F438" s="785" t="str">
        <f t="shared" si="56"/>
        <v/>
      </c>
      <c r="G438" s="784" t="str">
        <f t="shared" si="51"/>
        <v/>
      </c>
      <c r="J438" s="612"/>
      <c r="Y438" s="663" t="str">
        <f>IF(C438="","",('transversal subsidence profile'!$L$5*EXP(-(C438^2)/(2*'transversal subsidence profile'!$J$5^2)))*100)</f>
        <v/>
      </c>
      <c r="Z438" s="664" t="str">
        <f>IF(C438="","",(+'transversal subsidence profile'!$L$6*EXP(-((C438+$G$10)^2)/(2*'transversal subsidence profile'!$J$6^2)))*100)</f>
        <v/>
      </c>
      <c r="AA438" s="751" t="str">
        <f>IF(C438="","",IF('IN-OUT'!$F$26=0,'Damage classification-Rankin'!Z438,IF('IN-OUT'!$F$35=0,Y438,'Damage classification-Rankin'!Y438+'Damage classification-Rankin'!Z438)))</f>
        <v/>
      </c>
    </row>
    <row r="439" spans="1:27" ht="13.8" thickBot="1">
      <c r="A439" s="67"/>
      <c r="B439" s="655">
        <f t="shared" si="52"/>
        <v>418</v>
      </c>
      <c r="C439" s="374" t="str">
        <f t="shared" si="53"/>
        <v/>
      </c>
      <c r="D439" s="784" t="str">
        <f t="shared" si="54"/>
        <v/>
      </c>
      <c r="E439" s="784" t="str">
        <f t="shared" si="55"/>
        <v/>
      </c>
      <c r="F439" s="785" t="str">
        <f t="shared" si="56"/>
        <v/>
      </c>
      <c r="G439" s="784" t="str">
        <f t="shared" si="51"/>
        <v/>
      </c>
      <c r="J439" s="612"/>
      <c r="Y439" s="663" t="str">
        <f>IF(C439="","",('transversal subsidence profile'!$L$5*EXP(-(C439^2)/(2*'transversal subsidence profile'!$J$5^2)))*100)</f>
        <v/>
      </c>
      <c r="Z439" s="664" t="str">
        <f>IF(C439="","",(+'transversal subsidence profile'!$L$6*EXP(-((C439+$G$10)^2)/(2*'transversal subsidence profile'!$J$6^2)))*100)</f>
        <v/>
      </c>
      <c r="AA439" s="751" t="str">
        <f>IF(C439="","",IF('IN-OUT'!$F$26=0,'Damage classification-Rankin'!Z439,IF('IN-OUT'!$F$35=0,Y439,'Damage classification-Rankin'!Y439+'Damage classification-Rankin'!Z439)))</f>
        <v/>
      </c>
    </row>
    <row r="440" spans="1:27" ht="13.8" thickBot="1">
      <c r="A440" s="67"/>
      <c r="B440" s="655">
        <f t="shared" si="52"/>
        <v>419</v>
      </c>
      <c r="C440" s="374" t="str">
        <f t="shared" si="53"/>
        <v/>
      </c>
      <c r="D440" s="784" t="str">
        <f t="shared" si="54"/>
        <v/>
      </c>
      <c r="E440" s="784" t="str">
        <f t="shared" si="55"/>
        <v/>
      </c>
      <c r="F440" s="785" t="str">
        <f t="shared" si="56"/>
        <v/>
      </c>
      <c r="G440" s="784" t="str">
        <f t="shared" si="51"/>
        <v/>
      </c>
      <c r="J440" s="612"/>
      <c r="Y440" s="663" t="str">
        <f>IF(C440="","",('transversal subsidence profile'!$L$5*EXP(-(C440^2)/(2*'transversal subsidence profile'!$J$5^2)))*100)</f>
        <v/>
      </c>
      <c r="Z440" s="664" t="str">
        <f>IF(C440="","",(+'transversal subsidence profile'!$L$6*EXP(-((C440+$G$10)^2)/(2*'transversal subsidence profile'!$J$6^2)))*100)</f>
        <v/>
      </c>
      <c r="AA440" s="751" t="str">
        <f>IF(C440="","",IF('IN-OUT'!$F$26=0,'Damage classification-Rankin'!Z440,IF('IN-OUT'!$F$35=0,Y440,'Damage classification-Rankin'!Y440+'Damage classification-Rankin'!Z440)))</f>
        <v/>
      </c>
    </row>
    <row r="441" spans="1:27" ht="13.8" thickBot="1">
      <c r="A441" s="67"/>
      <c r="B441" s="655">
        <f t="shared" si="52"/>
        <v>420</v>
      </c>
      <c r="C441" s="374" t="str">
        <f t="shared" si="53"/>
        <v/>
      </c>
      <c r="D441" s="784" t="str">
        <f t="shared" si="54"/>
        <v/>
      </c>
      <c r="E441" s="784" t="str">
        <f t="shared" si="55"/>
        <v/>
      </c>
      <c r="F441" s="785" t="str">
        <f t="shared" si="56"/>
        <v/>
      </c>
      <c r="G441" s="784" t="str">
        <f t="shared" si="51"/>
        <v/>
      </c>
      <c r="J441" s="612"/>
      <c r="Y441" s="663" t="str">
        <f>IF(C441="","",('transversal subsidence profile'!$L$5*EXP(-(C441^2)/(2*'transversal subsidence profile'!$J$5^2)))*100)</f>
        <v/>
      </c>
      <c r="Z441" s="664" t="str">
        <f>IF(C441="","",(+'transversal subsidence profile'!$L$6*EXP(-((C441+$G$10)^2)/(2*'transversal subsidence profile'!$J$6^2)))*100)</f>
        <v/>
      </c>
      <c r="AA441" s="751" t="str">
        <f>IF(C441="","",IF('IN-OUT'!$F$26=0,'Damage classification-Rankin'!Z441,IF('IN-OUT'!$F$35=0,Y441,'Damage classification-Rankin'!Y441+'Damage classification-Rankin'!Z441)))</f>
        <v/>
      </c>
    </row>
    <row r="442" spans="1:27" ht="13.8" thickBot="1">
      <c r="A442" s="67"/>
      <c r="B442" s="655">
        <f t="shared" si="52"/>
        <v>421</v>
      </c>
      <c r="C442" s="374" t="str">
        <f t="shared" si="53"/>
        <v/>
      </c>
      <c r="D442" s="784" t="str">
        <f t="shared" si="54"/>
        <v/>
      </c>
      <c r="E442" s="784" t="str">
        <f t="shared" si="55"/>
        <v/>
      </c>
      <c r="F442" s="785" t="str">
        <f t="shared" si="56"/>
        <v/>
      </c>
      <c r="G442" s="784" t="str">
        <f t="shared" si="51"/>
        <v/>
      </c>
      <c r="J442" s="612"/>
      <c r="Y442" s="663" t="str">
        <f>IF(C442="","",('transversal subsidence profile'!$L$5*EXP(-(C442^2)/(2*'transversal subsidence profile'!$J$5^2)))*100)</f>
        <v/>
      </c>
      <c r="Z442" s="664" t="str">
        <f>IF(C442="","",(+'transversal subsidence profile'!$L$6*EXP(-((C442+$G$10)^2)/(2*'transversal subsidence profile'!$J$6^2)))*100)</f>
        <v/>
      </c>
      <c r="AA442" s="751" t="str">
        <f>IF(C442="","",IF('IN-OUT'!$F$26=0,'Damage classification-Rankin'!Z442,IF('IN-OUT'!$F$35=0,Y442,'Damage classification-Rankin'!Y442+'Damage classification-Rankin'!Z442)))</f>
        <v/>
      </c>
    </row>
    <row r="443" spans="1:27" ht="13.8" thickBot="1">
      <c r="A443" s="67"/>
      <c r="B443" s="655">
        <f t="shared" si="52"/>
        <v>422</v>
      </c>
      <c r="C443" s="374" t="str">
        <f t="shared" si="53"/>
        <v/>
      </c>
      <c r="D443" s="784" t="str">
        <f t="shared" si="54"/>
        <v/>
      </c>
      <c r="E443" s="784" t="str">
        <f t="shared" si="55"/>
        <v/>
      </c>
      <c r="F443" s="785" t="str">
        <f t="shared" si="56"/>
        <v/>
      </c>
      <c r="G443" s="784" t="str">
        <f t="shared" si="51"/>
        <v/>
      </c>
      <c r="J443" s="612"/>
      <c r="Y443" s="663" t="str">
        <f>IF(C443="","",('transversal subsidence profile'!$L$5*EXP(-(C443^2)/(2*'transversal subsidence profile'!$J$5^2)))*100)</f>
        <v/>
      </c>
      <c r="Z443" s="664" t="str">
        <f>IF(C443="","",(+'transversal subsidence profile'!$L$6*EXP(-((C443+$G$10)^2)/(2*'transversal subsidence profile'!$J$6^2)))*100)</f>
        <v/>
      </c>
      <c r="AA443" s="751" t="str">
        <f>IF(C443="","",IF('IN-OUT'!$F$26=0,'Damage classification-Rankin'!Z443,IF('IN-OUT'!$F$35=0,Y443,'Damage classification-Rankin'!Y443+'Damage classification-Rankin'!Z443)))</f>
        <v/>
      </c>
    </row>
    <row r="444" spans="1:27" ht="13.8" thickBot="1">
      <c r="A444" s="67"/>
      <c r="B444" s="655">
        <f t="shared" si="52"/>
        <v>423</v>
      </c>
      <c r="C444" s="374" t="str">
        <f t="shared" si="53"/>
        <v/>
      </c>
      <c r="D444" s="784" t="str">
        <f t="shared" si="54"/>
        <v/>
      </c>
      <c r="E444" s="784" t="str">
        <f t="shared" si="55"/>
        <v/>
      </c>
      <c r="F444" s="785" t="str">
        <f t="shared" si="56"/>
        <v/>
      </c>
      <c r="G444" s="784" t="str">
        <f t="shared" si="51"/>
        <v/>
      </c>
      <c r="J444" s="612"/>
      <c r="Y444" s="663" t="str">
        <f>IF(C444="","",('transversal subsidence profile'!$L$5*EXP(-(C444^2)/(2*'transversal subsidence profile'!$J$5^2)))*100)</f>
        <v/>
      </c>
      <c r="Z444" s="664" t="str">
        <f>IF(C444="","",(+'transversal subsidence profile'!$L$6*EXP(-((C444+$G$10)^2)/(2*'transversal subsidence profile'!$J$6^2)))*100)</f>
        <v/>
      </c>
      <c r="AA444" s="751" t="str">
        <f>IF(C444="","",IF('IN-OUT'!$F$26=0,'Damage classification-Rankin'!Z444,IF('IN-OUT'!$F$35=0,Y444,'Damage classification-Rankin'!Y444+'Damage classification-Rankin'!Z444)))</f>
        <v/>
      </c>
    </row>
    <row r="445" spans="1:27" ht="13.8" thickBot="1">
      <c r="A445" s="67"/>
      <c r="B445" s="655">
        <f t="shared" si="52"/>
        <v>424</v>
      </c>
      <c r="C445" s="374" t="str">
        <f t="shared" si="53"/>
        <v/>
      </c>
      <c r="D445" s="784" t="str">
        <f t="shared" si="54"/>
        <v/>
      </c>
      <c r="E445" s="784" t="str">
        <f t="shared" si="55"/>
        <v/>
      </c>
      <c r="F445" s="785" t="str">
        <f t="shared" si="56"/>
        <v/>
      </c>
      <c r="G445" s="784" t="str">
        <f t="shared" si="51"/>
        <v/>
      </c>
      <c r="J445" s="612"/>
      <c r="Y445" s="663" t="str">
        <f>IF(C445="","",('transversal subsidence profile'!$L$5*EXP(-(C445^2)/(2*'transversal subsidence profile'!$J$5^2)))*100)</f>
        <v/>
      </c>
      <c r="Z445" s="664" t="str">
        <f>IF(C445="","",(+'transversal subsidence profile'!$L$6*EXP(-((C445+$G$10)^2)/(2*'transversal subsidence profile'!$J$6^2)))*100)</f>
        <v/>
      </c>
      <c r="AA445" s="751" t="str">
        <f>IF(C445="","",IF('IN-OUT'!$F$26=0,'Damage classification-Rankin'!Z445,IF('IN-OUT'!$F$35=0,Y445,'Damage classification-Rankin'!Y445+'Damage classification-Rankin'!Z445)))</f>
        <v/>
      </c>
    </row>
    <row r="446" spans="1:27" ht="13.8" thickBot="1">
      <c r="A446" s="67"/>
      <c r="B446" s="655">
        <f t="shared" si="52"/>
        <v>425</v>
      </c>
      <c r="C446" s="374" t="str">
        <f t="shared" si="53"/>
        <v/>
      </c>
      <c r="D446" s="784" t="str">
        <f t="shared" si="54"/>
        <v/>
      </c>
      <c r="E446" s="784" t="str">
        <f t="shared" si="55"/>
        <v/>
      </c>
      <c r="F446" s="785" t="str">
        <f t="shared" si="56"/>
        <v/>
      </c>
      <c r="G446" s="784" t="str">
        <f t="shared" si="51"/>
        <v/>
      </c>
      <c r="J446" s="612"/>
      <c r="Y446" s="663" t="str">
        <f>IF(C446="","",('transversal subsidence profile'!$L$5*EXP(-(C446^2)/(2*'transversal subsidence profile'!$J$5^2)))*100)</f>
        <v/>
      </c>
      <c r="Z446" s="664" t="str">
        <f>IF(C446="","",(+'transversal subsidence profile'!$L$6*EXP(-((C446+$G$10)^2)/(2*'transversal subsidence profile'!$J$6^2)))*100)</f>
        <v/>
      </c>
      <c r="AA446" s="751" t="str">
        <f>IF(C446="","",IF('IN-OUT'!$F$26=0,'Damage classification-Rankin'!Z446,IF('IN-OUT'!$F$35=0,Y446,'Damage classification-Rankin'!Y446+'Damage classification-Rankin'!Z446)))</f>
        <v/>
      </c>
    </row>
    <row r="447" spans="1:27" ht="13.8" thickBot="1">
      <c r="A447" s="67"/>
      <c r="B447" s="655">
        <f t="shared" si="52"/>
        <v>426</v>
      </c>
      <c r="C447" s="374" t="str">
        <f t="shared" si="53"/>
        <v/>
      </c>
      <c r="D447" s="784" t="str">
        <f t="shared" si="54"/>
        <v/>
      </c>
      <c r="E447" s="784" t="str">
        <f t="shared" si="55"/>
        <v/>
      </c>
      <c r="F447" s="785" t="str">
        <f t="shared" si="56"/>
        <v/>
      </c>
      <c r="G447" s="784" t="str">
        <f t="shared" si="51"/>
        <v/>
      </c>
      <c r="J447" s="612"/>
      <c r="Y447" s="663" t="str">
        <f>IF(C447="","",('transversal subsidence profile'!$L$5*EXP(-(C447^2)/(2*'transversal subsidence profile'!$J$5^2)))*100)</f>
        <v/>
      </c>
      <c r="Z447" s="664" t="str">
        <f>IF(C447="","",(+'transversal subsidence profile'!$L$6*EXP(-((C447+$G$10)^2)/(2*'transversal subsidence profile'!$J$6^2)))*100)</f>
        <v/>
      </c>
      <c r="AA447" s="751" t="str">
        <f>IF(C447="","",IF('IN-OUT'!$F$26=0,'Damage classification-Rankin'!Z447,IF('IN-OUT'!$F$35=0,Y447,'Damage classification-Rankin'!Y447+'Damage classification-Rankin'!Z447)))</f>
        <v/>
      </c>
    </row>
    <row r="448" spans="1:27" ht="13.8" thickBot="1">
      <c r="A448" s="67"/>
      <c r="B448" s="655">
        <f t="shared" si="52"/>
        <v>427</v>
      </c>
      <c r="C448" s="374" t="str">
        <f t="shared" si="53"/>
        <v/>
      </c>
      <c r="D448" s="784" t="str">
        <f t="shared" si="54"/>
        <v/>
      </c>
      <c r="E448" s="784" t="str">
        <f t="shared" si="55"/>
        <v/>
      </c>
      <c r="F448" s="785" t="str">
        <f t="shared" si="56"/>
        <v/>
      </c>
      <c r="G448" s="784" t="str">
        <f t="shared" si="51"/>
        <v/>
      </c>
      <c r="J448" s="612"/>
      <c r="Y448" s="663" t="str">
        <f>IF(C448="","",('transversal subsidence profile'!$L$5*EXP(-(C448^2)/(2*'transversal subsidence profile'!$J$5^2)))*100)</f>
        <v/>
      </c>
      <c r="Z448" s="664" t="str">
        <f>IF(C448="","",(+'transversal subsidence profile'!$L$6*EXP(-((C448+$G$10)^2)/(2*'transversal subsidence profile'!$J$6^2)))*100)</f>
        <v/>
      </c>
      <c r="AA448" s="751" t="str">
        <f>IF(C448="","",IF('IN-OUT'!$F$26=0,'Damage classification-Rankin'!Z448,IF('IN-OUT'!$F$35=0,Y448,'Damage classification-Rankin'!Y448+'Damage classification-Rankin'!Z448)))</f>
        <v/>
      </c>
    </row>
    <row r="449" spans="1:27" ht="13.8" thickBot="1">
      <c r="A449" s="67"/>
      <c r="B449" s="655">
        <f t="shared" si="52"/>
        <v>428</v>
      </c>
      <c r="C449" s="374" t="str">
        <f t="shared" si="53"/>
        <v/>
      </c>
      <c r="D449" s="784" t="str">
        <f t="shared" si="54"/>
        <v/>
      </c>
      <c r="E449" s="784" t="str">
        <f t="shared" si="55"/>
        <v/>
      </c>
      <c r="F449" s="785" t="str">
        <f t="shared" si="56"/>
        <v/>
      </c>
      <c r="G449" s="784" t="str">
        <f t="shared" si="51"/>
        <v/>
      </c>
      <c r="J449" s="612"/>
      <c r="Y449" s="663" t="str">
        <f>IF(C449="","",('transversal subsidence profile'!$L$5*EXP(-(C449^2)/(2*'transversal subsidence profile'!$J$5^2)))*100)</f>
        <v/>
      </c>
      <c r="Z449" s="664" t="str">
        <f>IF(C449="","",(+'transversal subsidence profile'!$L$6*EXP(-((C449+$G$10)^2)/(2*'transversal subsidence profile'!$J$6^2)))*100)</f>
        <v/>
      </c>
      <c r="AA449" s="751" t="str">
        <f>IF(C449="","",IF('IN-OUT'!$F$26=0,'Damage classification-Rankin'!Z449,IF('IN-OUT'!$F$35=0,Y449,'Damage classification-Rankin'!Y449+'Damage classification-Rankin'!Z449)))</f>
        <v/>
      </c>
    </row>
    <row r="450" spans="1:27" ht="13.8" thickBot="1">
      <c r="A450" s="67"/>
      <c r="B450" s="655">
        <f t="shared" si="52"/>
        <v>429</v>
      </c>
      <c r="C450" s="374" t="str">
        <f t="shared" si="53"/>
        <v/>
      </c>
      <c r="D450" s="784" t="str">
        <f t="shared" si="54"/>
        <v/>
      </c>
      <c r="E450" s="784" t="str">
        <f t="shared" si="55"/>
        <v/>
      </c>
      <c r="F450" s="785" t="str">
        <f t="shared" si="56"/>
        <v/>
      </c>
      <c r="G450" s="784" t="str">
        <f t="shared" si="51"/>
        <v/>
      </c>
      <c r="J450" s="612"/>
      <c r="Y450" s="663" t="str">
        <f>IF(C450="","",('transversal subsidence profile'!$L$5*EXP(-(C450^2)/(2*'transversal subsidence profile'!$J$5^2)))*100)</f>
        <v/>
      </c>
      <c r="Z450" s="664" t="str">
        <f>IF(C450="","",(+'transversal subsidence profile'!$L$6*EXP(-((C450+$G$10)^2)/(2*'transversal subsidence profile'!$J$6^2)))*100)</f>
        <v/>
      </c>
      <c r="AA450" s="751" t="str">
        <f>IF(C450="","",IF('IN-OUT'!$F$26=0,'Damage classification-Rankin'!Z450,IF('IN-OUT'!$F$35=0,Y450,'Damage classification-Rankin'!Y450+'Damage classification-Rankin'!Z450)))</f>
        <v/>
      </c>
    </row>
    <row r="451" spans="1:27" ht="13.8" thickBot="1">
      <c r="A451" s="67"/>
      <c r="B451" s="655">
        <f t="shared" si="52"/>
        <v>430</v>
      </c>
      <c r="C451" s="374" t="str">
        <f t="shared" si="53"/>
        <v/>
      </c>
      <c r="D451" s="784" t="str">
        <f t="shared" si="54"/>
        <v/>
      </c>
      <c r="E451" s="784" t="str">
        <f t="shared" si="55"/>
        <v/>
      </c>
      <c r="F451" s="785" t="str">
        <f t="shared" si="56"/>
        <v/>
      </c>
      <c r="G451" s="784" t="str">
        <f t="shared" si="51"/>
        <v/>
      </c>
      <c r="J451" s="612"/>
      <c r="Y451" s="663" t="str">
        <f>IF(C451="","",('transversal subsidence profile'!$L$5*EXP(-(C451^2)/(2*'transversal subsidence profile'!$J$5^2)))*100)</f>
        <v/>
      </c>
      <c r="Z451" s="664" t="str">
        <f>IF(C451="","",(+'transversal subsidence profile'!$L$6*EXP(-((C451+$G$10)^2)/(2*'transversal subsidence profile'!$J$6^2)))*100)</f>
        <v/>
      </c>
      <c r="AA451" s="751" t="str">
        <f>IF(C451="","",IF('IN-OUT'!$F$26=0,'Damage classification-Rankin'!Z451,IF('IN-OUT'!$F$35=0,Y451,'Damage classification-Rankin'!Y451+'Damage classification-Rankin'!Z451)))</f>
        <v/>
      </c>
    </row>
    <row r="452" spans="1:27" ht="13.8" thickBot="1">
      <c r="A452" s="67"/>
      <c r="B452" s="655">
        <f t="shared" si="52"/>
        <v>431</v>
      </c>
      <c r="C452" s="374" t="str">
        <f t="shared" si="53"/>
        <v/>
      </c>
      <c r="D452" s="784" t="str">
        <f t="shared" si="54"/>
        <v/>
      </c>
      <c r="E452" s="784" t="str">
        <f t="shared" si="55"/>
        <v/>
      </c>
      <c r="F452" s="785" t="str">
        <f t="shared" si="56"/>
        <v/>
      </c>
      <c r="G452" s="784" t="str">
        <f t="shared" si="51"/>
        <v/>
      </c>
      <c r="J452" s="612"/>
      <c r="Y452" s="663" t="str">
        <f>IF(C452="","",('transversal subsidence profile'!$L$5*EXP(-(C452^2)/(2*'transversal subsidence profile'!$J$5^2)))*100)</f>
        <v/>
      </c>
      <c r="Z452" s="664" t="str">
        <f>IF(C452="","",(+'transversal subsidence profile'!$L$6*EXP(-((C452+$G$10)^2)/(2*'transversal subsidence profile'!$J$6^2)))*100)</f>
        <v/>
      </c>
      <c r="AA452" s="751" t="str">
        <f>IF(C452="","",IF('IN-OUT'!$F$26=0,'Damage classification-Rankin'!Z452,IF('IN-OUT'!$F$35=0,Y452,'Damage classification-Rankin'!Y452+'Damage classification-Rankin'!Z452)))</f>
        <v/>
      </c>
    </row>
    <row r="453" spans="1:27" ht="13.8" thickBot="1">
      <c r="A453" s="67"/>
      <c r="B453" s="655">
        <f t="shared" si="52"/>
        <v>432</v>
      </c>
      <c r="C453" s="374" t="str">
        <f t="shared" si="53"/>
        <v/>
      </c>
      <c r="D453" s="784" t="str">
        <f t="shared" si="54"/>
        <v/>
      </c>
      <c r="E453" s="784" t="str">
        <f t="shared" si="55"/>
        <v/>
      </c>
      <c r="F453" s="785" t="str">
        <f t="shared" si="56"/>
        <v/>
      </c>
      <c r="G453" s="784" t="str">
        <f t="shared" si="51"/>
        <v/>
      </c>
      <c r="J453" s="612"/>
      <c r="Y453" s="663" t="str">
        <f>IF(C453="","",('transversal subsidence profile'!$L$5*EXP(-(C453^2)/(2*'transversal subsidence profile'!$J$5^2)))*100)</f>
        <v/>
      </c>
      <c r="Z453" s="664" t="str">
        <f>IF(C453="","",(+'transversal subsidence profile'!$L$6*EXP(-((C453+$G$10)^2)/(2*'transversal subsidence profile'!$J$6^2)))*100)</f>
        <v/>
      </c>
      <c r="AA453" s="751" t="str">
        <f>IF(C453="","",IF('IN-OUT'!$F$26=0,'Damage classification-Rankin'!Z453,IF('IN-OUT'!$F$35=0,Y453,'Damage classification-Rankin'!Y453+'Damage classification-Rankin'!Z453)))</f>
        <v/>
      </c>
    </row>
    <row r="454" spans="1:27" ht="13.8" thickBot="1">
      <c r="A454" s="67"/>
      <c r="B454" s="655">
        <f t="shared" si="52"/>
        <v>433</v>
      </c>
      <c r="C454" s="374" t="str">
        <f t="shared" si="53"/>
        <v/>
      </c>
      <c r="D454" s="784" t="str">
        <f t="shared" si="54"/>
        <v/>
      </c>
      <c r="E454" s="784" t="str">
        <f t="shared" si="55"/>
        <v/>
      </c>
      <c r="F454" s="785" t="str">
        <f t="shared" si="56"/>
        <v/>
      </c>
      <c r="G454" s="784" t="str">
        <f t="shared" si="51"/>
        <v/>
      </c>
      <c r="J454" s="612"/>
      <c r="Y454" s="663" t="str">
        <f>IF(C454="","",('transversal subsidence profile'!$L$5*EXP(-(C454^2)/(2*'transversal subsidence profile'!$J$5^2)))*100)</f>
        <v/>
      </c>
      <c r="Z454" s="664" t="str">
        <f>IF(C454="","",(+'transversal subsidence profile'!$L$6*EXP(-((C454+$G$10)^2)/(2*'transversal subsidence profile'!$J$6^2)))*100)</f>
        <v/>
      </c>
      <c r="AA454" s="751" t="str">
        <f>IF(C454="","",IF('IN-OUT'!$F$26=0,'Damage classification-Rankin'!Z454,IF('IN-OUT'!$F$35=0,Y454,'Damage classification-Rankin'!Y454+'Damage classification-Rankin'!Z454)))</f>
        <v/>
      </c>
    </row>
    <row r="455" spans="1:27" ht="13.8" thickBot="1">
      <c r="A455" s="67"/>
      <c r="B455" s="655">
        <f t="shared" si="52"/>
        <v>434</v>
      </c>
      <c r="C455" s="374" t="str">
        <f t="shared" si="53"/>
        <v/>
      </c>
      <c r="D455" s="784" t="str">
        <f t="shared" si="54"/>
        <v/>
      </c>
      <c r="E455" s="784" t="str">
        <f t="shared" si="55"/>
        <v/>
      </c>
      <c r="F455" s="785" t="str">
        <f t="shared" si="56"/>
        <v/>
      </c>
      <c r="G455" s="784" t="str">
        <f t="shared" si="51"/>
        <v/>
      </c>
      <c r="J455" s="612"/>
      <c r="Y455" s="663" t="str">
        <f>IF(C455="","",('transversal subsidence profile'!$L$5*EXP(-(C455^2)/(2*'transversal subsidence profile'!$J$5^2)))*100)</f>
        <v/>
      </c>
      <c r="Z455" s="664" t="str">
        <f>IF(C455="","",(+'transversal subsidence profile'!$L$6*EXP(-((C455+$G$10)^2)/(2*'transversal subsidence profile'!$J$6^2)))*100)</f>
        <v/>
      </c>
      <c r="AA455" s="751" t="str">
        <f>IF(C455="","",IF('IN-OUT'!$F$26=0,'Damage classification-Rankin'!Z455,IF('IN-OUT'!$F$35=0,Y455,'Damage classification-Rankin'!Y455+'Damage classification-Rankin'!Z455)))</f>
        <v/>
      </c>
    </row>
    <row r="456" spans="1:27" ht="13.8" thickBot="1">
      <c r="A456" s="67"/>
      <c r="B456" s="655">
        <f t="shared" si="52"/>
        <v>435</v>
      </c>
      <c r="C456" s="374" t="str">
        <f t="shared" si="53"/>
        <v/>
      </c>
      <c r="D456" s="784" t="str">
        <f t="shared" si="54"/>
        <v/>
      </c>
      <c r="E456" s="784" t="str">
        <f t="shared" si="55"/>
        <v/>
      </c>
      <c r="F456" s="785" t="str">
        <f t="shared" si="56"/>
        <v/>
      </c>
      <c r="G456" s="784" t="str">
        <f t="shared" si="51"/>
        <v/>
      </c>
      <c r="J456" s="612"/>
      <c r="Y456" s="663" t="str">
        <f>IF(C456="","",('transversal subsidence profile'!$L$5*EXP(-(C456^2)/(2*'transversal subsidence profile'!$J$5^2)))*100)</f>
        <v/>
      </c>
      <c r="Z456" s="664" t="str">
        <f>IF(C456="","",(+'transversal subsidence profile'!$L$6*EXP(-((C456+$G$10)^2)/(2*'transversal subsidence profile'!$J$6^2)))*100)</f>
        <v/>
      </c>
      <c r="AA456" s="751" t="str">
        <f>IF(C456="","",IF('IN-OUT'!$F$26=0,'Damage classification-Rankin'!Z456,IF('IN-OUT'!$F$35=0,Y456,'Damage classification-Rankin'!Y456+'Damage classification-Rankin'!Z456)))</f>
        <v/>
      </c>
    </row>
    <row r="457" spans="1:27" ht="13.8" thickBot="1">
      <c r="A457" s="67"/>
      <c r="B457" s="655">
        <f t="shared" si="52"/>
        <v>436</v>
      </c>
      <c r="C457" s="374" t="str">
        <f t="shared" si="53"/>
        <v/>
      </c>
      <c r="D457" s="784" t="str">
        <f t="shared" si="54"/>
        <v/>
      </c>
      <c r="E457" s="784" t="str">
        <f t="shared" si="55"/>
        <v/>
      </c>
      <c r="F457" s="785" t="str">
        <f t="shared" si="56"/>
        <v/>
      </c>
      <c r="G457" s="784" t="str">
        <f t="shared" si="51"/>
        <v/>
      </c>
      <c r="J457" s="612"/>
      <c r="Y457" s="663" t="str">
        <f>IF(C457="","",('transversal subsidence profile'!$L$5*EXP(-(C457^2)/(2*'transversal subsidence profile'!$J$5^2)))*100)</f>
        <v/>
      </c>
      <c r="Z457" s="664" t="str">
        <f>IF(C457="","",(+'transversal subsidence profile'!$L$6*EXP(-((C457+$G$10)^2)/(2*'transversal subsidence profile'!$J$6^2)))*100)</f>
        <v/>
      </c>
      <c r="AA457" s="751" t="str">
        <f>IF(C457="","",IF('IN-OUT'!$F$26=0,'Damage classification-Rankin'!Z457,IF('IN-OUT'!$F$35=0,Y457,'Damage classification-Rankin'!Y457+'Damage classification-Rankin'!Z457)))</f>
        <v/>
      </c>
    </row>
    <row r="458" spans="1:27" ht="13.8" thickBot="1">
      <c r="A458" s="67"/>
      <c r="B458" s="655">
        <f t="shared" si="52"/>
        <v>437</v>
      </c>
      <c r="C458" s="374" t="str">
        <f t="shared" si="53"/>
        <v/>
      </c>
      <c r="D458" s="784" t="str">
        <f t="shared" si="54"/>
        <v/>
      </c>
      <c r="E458" s="784" t="str">
        <f t="shared" si="55"/>
        <v/>
      </c>
      <c r="F458" s="785" t="str">
        <f t="shared" si="56"/>
        <v/>
      </c>
      <c r="G458" s="784" t="str">
        <f t="shared" si="51"/>
        <v/>
      </c>
      <c r="J458" s="612"/>
      <c r="Y458" s="663" t="str">
        <f>IF(C458="","",('transversal subsidence profile'!$L$5*EXP(-(C458^2)/(2*'transversal subsidence profile'!$J$5^2)))*100)</f>
        <v/>
      </c>
      <c r="Z458" s="664" t="str">
        <f>IF(C458="","",(+'transversal subsidence profile'!$L$6*EXP(-((C458+$G$10)^2)/(2*'transversal subsidence profile'!$J$6^2)))*100)</f>
        <v/>
      </c>
      <c r="AA458" s="751" t="str">
        <f>IF(C458="","",IF('IN-OUT'!$F$26=0,'Damage classification-Rankin'!Z458,IF('IN-OUT'!$F$35=0,Y458,'Damage classification-Rankin'!Y458+'Damage classification-Rankin'!Z458)))</f>
        <v/>
      </c>
    </row>
    <row r="459" spans="1:27" ht="13.8" thickBot="1">
      <c r="A459" s="67"/>
      <c r="B459" s="655">
        <f t="shared" si="52"/>
        <v>438</v>
      </c>
      <c r="C459" s="374" t="str">
        <f t="shared" si="53"/>
        <v/>
      </c>
      <c r="D459" s="784" t="str">
        <f t="shared" si="54"/>
        <v/>
      </c>
      <c r="E459" s="784" t="str">
        <f t="shared" si="55"/>
        <v/>
      </c>
      <c r="F459" s="785" t="str">
        <f t="shared" si="56"/>
        <v/>
      </c>
      <c r="G459" s="784" t="str">
        <f t="shared" si="51"/>
        <v/>
      </c>
      <c r="J459" s="612"/>
      <c r="Y459" s="663" t="str">
        <f>IF(C459="","",('transversal subsidence profile'!$L$5*EXP(-(C459^2)/(2*'transversal subsidence profile'!$J$5^2)))*100)</f>
        <v/>
      </c>
      <c r="Z459" s="664" t="str">
        <f>IF(C459="","",(+'transversal subsidence profile'!$L$6*EXP(-((C459+$G$10)^2)/(2*'transversal subsidence profile'!$J$6^2)))*100)</f>
        <v/>
      </c>
      <c r="AA459" s="751" t="str">
        <f>IF(C459="","",IF('IN-OUT'!$F$26=0,'Damage classification-Rankin'!Z459,IF('IN-OUT'!$F$35=0,Y459,'Damage classification-Rankin'!Y459+'Damage classification-Rankin'!Z459)))</f>
        <v/>
      </c>
    </row>
    <row r="460" spans="1:27" ht="13.8" thickBot="1">
      <c r="A460" s="67"/>
      <c r="B460" s="655">
        <f t="shared" si="52"/>
        <v>439</v>
      </c>
      <c r="C460" s="374" t="str">
        <f t="shared" si="53"/>
        <v/>
      </c>
      <c r="D460" s="784" t="str">
        <f t="shared" si="54"/>
        <v/>
      </c>
      <c r="E460" s="784" t="str">
        <f t="shared" si="55"/>
        <v/>
      </c>
      <c r="F460" s="785" t="str">
        <f t="shared" si="56"/>
        <v/>
      </c>
      <c r="G460" s="784" t="str">
        <f t="shared" si="51"/>
        <v/>
      </c>
      <c r="J460" s="612"/>
      <c r="Y460" s="663" t="str">
        <f>IF(C460="","",('transversal subsidence profile'!$L$5*EXP(-(C460^2)/(2*'transversal subsidence profile'!$J$5^2)))*100)</f>
        <v/>
      </c>
      <c r="Z460" s="664" t="str">
        <f>IF(C460="","",(+'transversal subsidence profile'!$L$6*EXP(-((C460+$G$10)^2)/(2*'transversal subsidence profile'!$J$6^2)))*100)</f>
        <v/>
      </c>
      <c r="AA460" s="751" t="str">
        <f>IF(C460="","",IF('IN-OUT'!$F$26=0,'Damage classification-Rankin'!Z460,IF('IN-OUT'!$F$35=0,Y460,'Damage classification-Rankin'!Y460+'Damage classification-Rankin'!Z460)))</f>
        <v/>
      </c>
    </row>
    <row r="461" spans="1:27" ht="13.8" thickBot="1">
      <c r="A461" s="67"/>
      <c r="B461" s="655">
        <f t="shared" si="52"/>
        <v>440</v>
      </c>
      <c r="C461" s="374" t="str">
        <f t="shared" si="53"/>
        <v/>
      </c>
      <c r="D461" s="784" t="str">
        <f t="shared" si="54"/>
        <v/>
      </c>
      <c r="E461" s="784" t="str">
        <f t="shared" si="55"/>
        <v/>
      </c>
      <c r="F461" s="785" t="str">
        <f t="shared" si="56"/>
        <v/>
      </c>
      <c r="G461" s="784" t="str">
        <f t="shared" si="51"/>
        <v/>
      </c>
      <c r="J461" s="612"/>
      <c r="Y461" s="663" t="str">
        <f>IF(C461="","",('transversal subsidence profile'!$L$5*EXP(-(C461^2)/(2*'transversal subsidence profile'!$J$5^2)))*100)</f>
        <v/>
      </c>
      <c r="Z461" s="664" t="str">
        <f>IF(C461="","",(+'transversal subsidence profile'!$L$6*EXP(-((C461+$G$10)^2)/(2*'transversal subsidence profile'!$J$6^2)))*100)</f>
        <v/>
      </c>
      <c r="AA461" s="751" t="str">
        <f>IF(C461="","",IF('IN-OUT'!$F$26=0,'Damage classification-Rankin'!Z461,IF('IN-OUT'!$F$35=0,Y461,'Damage classification-Rankin'!Y461+'Damage classification-Rankin'!Z461)))</f>
        <v/>
      </c>
    </row>
    <row r="462" spans="1:27" ht="13.8" thickBot="1">
      <c r="A462" s="67"/>
      <c r="B462" s="655">
        <f t="shared" si="52"/>
        <v>441</v>
      </c>
      <c r="C462" s="374" t="str">
        <f t="shared" si="53"/>
        <v/>
      </c>
      <c r="D462" s="784" t="str">
        <f t="shared" si="54"/>
        <v/>
      </c>
      <c r="E462" s="784" t="str">
        <f t="shared" si="55"/>
        <v/>
      </c>
      <c r="F462" s="785" t="str">
        <f t="shared" si="56"/>
        <v/>
      </c>
      <c r="G462" s="784" t="str">
        <f t="shared" si="51"/>
        <v/>
      </c>
      <c r="J462" s="612"/>
      <c r="Y462" s="663" t="str">
        <f>IF(C462="","",('transversal subsidence profile'!$L$5*EXP(-(C462^2)/(2*'transversal subsidence profile'!$J$5^2)))*100)</f>
        <v/>
      </c>
      <c r="Z462" s="664" t="str">
        <f>IF(C462="","",(+'transversal subsidence profile'!$L$6*EXP(-((C462+$G$10)^2)/(2*'transversal subsidence profile'!$J$6^2)))*100)</f>
        <v/>
      </c>
      <c r="AA462" s="751" t="str">
        <f>IF(C462="","",IF('IN-OUT'!$F$26=0,'Damage classification-Rankin'!Z462,IF('IN-OUT'!$F$35=0,Y462,'Damage classification-Rankin'!Y462+'Damage classification-Rankin'!Z462)))</f>
        <v/>
      </c>
    </row>
    <row r="463" spans="1:27" ht="13.8" thickBot="1">
      <c r="A463" s="67"/>
      <c r="B463" s="655">
        <f t="shared" si="52"/>
        <v>442</v>
      </c>
      <c r="C463" s="374" t="str">
        <f t="shared" si="53"/>
        <v/>
      </c>
      <c r="D463" s="784" t="str">
        <f t="shared" si="54"/>
        <v/>
      </c>
      <c r="E463" s="784" t="str">
        <f t="shared" si="55"/>
        <v/>
      </c>
      <c r="F463" s="785" t="str">
        <f t="shared" si="56"/>
        <v/>
      </c>
      <c r="G463" s="784" t="str">
        <f t="shared" si="51"/>
        <v/>
      </c>
      <c r="J463" s="612"/>
      <c r="Y463" s="663" t="str">
        <f>IF(C463="","",('transversal subsidence profile'!$L$5*EXP(-(C463^2)/(2*'transversal subsidence profile'!$J$5^2)))*100)</f>
        <v/>
      </c>
      <c r="Z463" s="664" t="str">
        <f>IF(C463="","",(+'transversal subsidence profile'!$L$6*EXP(-((C463+$G$10)^2)/(2*'transversal subsidence profile'!$J$6^2)))*100)</f>
        <v/>
      </c>
      <c r="AA463" s="751" t="str">
        <f>IF(C463="","",IF('IN-OUT'!$F$26=0,'Damage classification-Rankin'!Z463,IF('IN-OUT'!$F$35=0,Y463,'Damage classification-Rankin'!Y463+'Damage classification-Rankin'!Z463)))</f>
        <v/>
      </c>
    </row>
    <row r="464" spans="1:27" ht="13.8" thickBot="1">
      <c r="A464" s="67"/>
      <c r="B464" s="655">
        <f t="shared" si="52"/>
        <v>443</v>
      </c>
      <c r="C464" s="374" t="str">
        <f t="shared" si="53"/>
        <v/>
      </c>
      <c r="D464" s="784" t="str">
        <f t="shared" si="54"/>
        <v/>
      </c>
      <c r="E464" s="784" t="str">
        <f t="shared" si="55"/>
        <v/>
      </c>
      <c r="F464" s="785" t="str">
        <f t="shared" si="56"/>
        <v/>
      </c>
      <c r="G464" s="784" t="str">
        <f t="shared" si="51"/>
        <v/>
      </c>
      <c r="J464" s="612"/>
      <c r="Y464" s="663" t="str">
        <f>IF(C464="","",('transversal subsidence profile'!$L$5*EXP(-(C464^2)/(2*'transversal subsidence profile'!$J$5^2)))*100)</f>
        <v/>
      </c>
      <c r="Z464" s="664" t="str">
        <f>IF(C464="","",(+'transversal subsidence profile'!$L$6*EXP(-((C464+$G$10)^2)/(2*'transversal subsidence profile'!$J$6^2)))*100)</f>
        <v/>
      </c>
      <c r="AA464" s="751" t="str">
        <f>IF(C464="","",IF('IN-OUT'!$F$26=0,'Damage classification-Rankin'!Z464,IF('IN-OUT'!$F$35=0,Y464,'Damage classification-Rankin'!Y464+'Damage classification-Rankin'!Z464)))</f>
        <v/>
      </c>
    </row>
    <row r="465" spans="1:27" ht="13.8" thickBot="1">
      <c r="A465" s="67"/>
      <c r="B465" s="655">
        <f t="shared" si="52"/>
        <v>444</v>
      </c>
      <c r="C465" s="374" t="str">
        <f t="shared" si="53"/>
        <v/>
      </c>
      <c r="D465" s="784" t="str">
        <f t="shared" si="54"/>
        <v/>
      </c>
      <c r="E465" s="784" t="str">
        <f t="shared" si="55"/>
        <v/>
      </c>
      <c r="F465" s="785" t="str">
        <f t="shared" si="56"/>
        <v/>
      </c>
      <c r="G465" s="784" t="str">
        <f t="shared" si="51"/>
        <v/>
      </c>
      <c r="J465" s="612"/>
      <c r="Y465" s="663" t="str">
        <f>IF(C465="","",('transversal subsidence profile'!$L$5*EXP(-(C465^2)/(2*'transversal subsidence profile'!$J$5^2)))*100)</f>
        <v/>
      </c>
      <c r="Z465" s="664" t="str">
        <f>IF(C465="","",(+'transversal subsidence profile'!$L$6*EXP(-((C465+$G$10)^2)/(2*'transversal subsidence profile'!$J$6^2)))*100)</f>
        <v/>
      </c>
      <c r="AA465" s="751" t="str">
        <f>IF(C465="","",IF('IN-OUT'!$F$26=0,'Damage classification-Rankin'!Z465,IF('IN-OUT'!$F$35=0,Y465,'Damage classification-Rankin'!Y465+'Damage classification-Rankin'!Z465)))</f>
        <v/>
      </c>
    </row>
    <row r="466" spans="1:27" ht="13.8" thickBot="1">
      <c r="A466" s="67"/>
      <c r="B466" s="655">
        <f t="shared" si="52"/>
        <v>445</v>
      </c>
      <c r="C466" s="374" t="str">
        <f t="shared" si="53"/>
        <v/>
      </c>
      <c r="D466" s="784" t="str">
        <f t="shared" si="54"/>
        <v/>
      </c>
      <c r="E466" s="784" t="str">
        <f t="shared" si="55"/>
        <v/>
      </c>
      <c r="F466" s="785" t="str">
        <f t="shared" si="56"/>
        <v/>
      </c>
      <c r="G466" s="784" t="str">
        <f t="shared" si="51"/>
        <v/>
      </c>
      <c r="J466" s="612"/>
      <c r="Y466" s="663" t="str">
        <f>IF(C466="","",('transversal subsidence profile'!$L$5*EXP(-(C466^2)/(2*'transversal subsidence profile'!$J$5^2)))*100)</f>
        <v/>
      </c>
      <c r="Z466" s="664" t="str">
        <f>IF(C466="","",(+'transversal subsidence profile'!$L$6*EXP(-((C466+$G$10)^2)/(2*'transversal subsidence profile'!$J$6^2)))*100)</f>
        <v/>
      </c>
      <c r="AA466" s="751" t="str">
        <f>IF(C466="","",IF('IN-OUT'!$F$26=0,'Damage classification-Rankin'!Z466,IF('IN-OUT'!$F$35=0,Y466,'Damage classification-Rankin'!Y466+'Damage classification-Rankin'!Z466)))</f>
        <v/>
      </c>
    </row>
    <row r="467" spans="1:27" ht="13.8" thickBot="1">
      <c r="A467" s="67"/>
      <c r="B467" s="655">
        <f t="shared" si="52"/>
        <v>446</v>
      </c>
      <c r="C467" s="374" t="str">
        <f t="shared" si="53"/>
        <v/>
      </c>
      <c r="D467" s="784" t="str">
        <f t="shared" si="54"/>
        <v/>
      </c>
      <c r="E467" s="784" t="str">
        <f t="shared" si="55"/>
        <v/>
      </c>
      <c r="F467" s="785" t="str">
        <f t="shared" si="56"/>
        <v/>
      </c>
      <c r="G467" s="784" t="str">
        <f t="shared" si="51"/>
        <v/>
      </c>
      <c r="J467" s="612"/>
      <c r="Y467" s="663" t="str">
        <f>IF(C467="","",('transversal subsidence profile'!$L$5*EXP(-(C467^2)/(2*'transversal subsidence profile'!$J$5^2)))*100)</f>
        <v/>
      </c>
      <c r="Z467" s="664" t="str">
        <f>IF(C467="","",(+'transversal subsidence profile'!$L$6*EXP(-((C467+$G$10)^2)/(2*'transversal subsidence profile'!$J$6^2)))*100)</f>
        <v/>
      </c>
      <c r="AA467" s="751" t="str">
        <f>IF(C467="","",IF('IN-OUT'!$F$26=0,'Damage classification-Rankin'!Z467,IF('IN-OUT'!$F$35=0,Y467,'Damage classification-Rankin'!Y467+'Damage classification-Rankin'!Z467)))</f>
        <v/>
      </c>
    </row>
    <row r="468" spans="1:27" ht="13.8" thickBot="1">
      <c r="A468" s="67"/>
      <c r="B468" s="655">
        <f t="shared" si="52"/>
        <v>447</v>
      </c>
      <c r="C468" s="374" t="str">
        <f t="shared" si="53"/>
        <v/>
      </c>
      <c r="D468" s="784" t="str">
        <f t="shared" si="54"/>
        <v/>
      </c>
      <c r="E468" s="784" t="str">
        <f t="shared" si="55"/>
        <v/>
      </c>
      <c r="F468" s="785" t="str">
        <f t="shared" si="56"/>
        <v/>
      </c>
      <c r="G468" s="784" t="str">
        <f t="shared" si="51"/>
        <v/>
      </c>
      <c r="J468" s="612"/>
      <c r="Y468" s="663" t="str">
        <f>IF(C468="","",('transversal subsidence profile'!$L$5*EXP(-(C468^2)/(2*'transversal subsidence profile'!$J$5^2)))*100)</f>
        <v/>
      </c>
      <c r="Z468" s="664" t="str">
        <f>IF(C468="","",(+'transversal subsidence profile'!$L$6*EXP(-((C468+$G$10)^2)/(2*'transversal subsidence profile'!$J$6^2)))*100)</f>
        <v/>
      </c>
      <c r="AA468" s="751" t="str">
        <f>IF(C468="","",IF('IN-OUT'!$F$26=0,'Damage classification-Rankin'!Z468,IF('IN-OUT'!$F$35=0,Y468,'Damage classification-Rankin'!Y468+'Damage classification-Rankin'!Z468)))</f>
        <v/>
      </c>
    </row>
    <row r="469" spans="1:27" ht="13.8" thickBot="1">
      <c r="A469" s="67"/>
      <c r="B469" s="655">
        <f t="shared" si="52"/>
        <v>448</v>
      </c>
      <c r="C469" s="374" t="str">
        <f t="shared" si="53"/>
        <v/>
      </c>
      <c r="D469" s="784" t="str">
        <f t="shared" si="54"/>
        <v/>
      </c>
      <c r="E469" s="784" t="str">
        <f t="shared" si="55"/>
        <v/>
      </c>
      <c r="F469" s="785" t="str">
        <f t="shared" si="56"/>
        <v/>
      </c>
      <c r="G469" s="784" t="str">
        <f t="shared" si="51"/>
        <v/>
      </c>
      <c r="J469" s="612"/>
      <c r="Y469" s="663" t="str">
        <f>IF(C469="","",('transversal subsidence profile'!$L$5*EXP(-(C469^2)/(2*'transversal subsidence profile'!$J$5^2)))*100)</f>
        <v/>
      </c>
      <c r="Z469" s="664" t="str">
        <f>IF(C469="","",(+'transversal subsidence profile'!$L$6*EXP(-((C469+$G$10)^2)/(2*'transversal subsidence profile'!$J$6^2)))*100)</f>
        <v/>
      </c>
      <c r="AA469" s="751" t="str">
        <f>IF(C469="","",IF('IN-OUT'!$F$26=0,'Damage classification-Rankin'!Z469,IF('IN-OUT'!$F$35=0,Y469,'Damage classification-Rankin'!Y469+'Damage classification-Rankin'!Z469)))</f>
        <v/>
      </c>
    </row>
    <row r="470" spans="1:27" ht="13.8" thickBot="1">
      <c r="A470" s="67"/>
      <c r="B470" s="655">
        <f t="shared" si="52"/>
        <v>449</v>
      </c>
      <c r="C470" s="374" t="str">
        <f t="shared" si="53"/>
        <v/>
      </c>
      <c r="D470" s="784" t="str">
        <f t="shared" si="54"/>
        <v/>
      </c>
      <c r="E470" s="784" t="str">
        <f t="shared" si="55"/>
        <v/>
      </c>
      <c r="F470" s="785" t="str">
        <f t="shared" si="56"/>
        <v/>
      </c>
      <c r="G470" s="784" t="str">
        <f t="shared" si="51"/>
        <v/>
      </c>
      <c r="J470" s="612"/>
      <c r="Y470" s="663" t="str">
        <f>IF(C470="","",('transversal subsidence profile'!$L$5*EXP(-(C470^2)/(2*'transversal subsidence profile'!$J$5^2)))*100)</f>
        <v/>
      </c>
      <c r="Z470" s="664" t="str">
        <f>IF(C470="","",(+'transversal subsidence profile'!$L$6*EXP(-((C470+$G$10)^2)/(2*'transversal subsidence profile'!$J$6^2)))*100)</f>
        <v/>
      </c>
      <c r="AA470" s="751" t="str">
        <f>IF(C470="","",IF('IN-OUT'!$F$26=0,'Damage classification-Rankin'!Z470,IF('IN-OUT'!$F$35=0,Y470,'Damage classification-Rankin'!Y470+'Damage classification-Rankin'!Z470)))</f>
        <v/>
      </c>
    </row>
    <row r="471" spans="1:27" ht="13.8" thickBot="1">
      <c r="A471" s="67"/>
      <c r="B471" s="655">
        <f t="shared" si="52"/>
        <v>450</v>
      </c>
      <c r="C471" s="374" t="str">
        <f t="shared" si="53"/>
        <v/>
      </c>
      <c r="D471" s="784" t="str">
        <f t="shared" si="54"/>
        <v/>
      </c>
      <c r="E471" s="784" t="str">
        <f t="shared" si="55"/>
        <v/>
      </c>
      <c r="F471" s="785" t="str">
        <f t="shared" si="56"/>
        <v/>
      </c>
      <c r="G471" s="784" t="str">
        <f t="shared" si="51"/>
        <v/>
      </c>
      <c r="J471" s="612"/>
      <c r="Y471" s="663" t="str">
        <f>IF(C471="","",('transversal subsidence profile'!$L$5*EXP(-(C471^2)/(2*'transversal subsidence profile'!$J$5^2)))*100)</f>
        <v/>
      </c>
      <c r="Z471" s="664" t="str">
        <f>IF(C471="","",(+'transversal subsidence profile'!$L$6*EXP(-((C471+$G$10)^2)/(2*'transversal subsidence profile'!$J$6^2)))*100)</f>
        <v/>
      </c>
      <c r="AA471" s="751" t="str">
        <f>IF(C471="","",IF('IN-OUT'!$F$26=0,'Damage classification-Rankin'!Z471,IF('IN-OUT'!$F$35=0,Y471,'Damage classification-Rankin'!Y471+'Damage classification-Rankin'!Z471)))</f>
        <v/>
      </c>
    </row>
    <row r="472" spans="1:27" ht="13.8" thickBot="1">
      <c r="A472" s="67"/>
      <c r="B472" s="655">
        <f t="shared" si="52"/>
        <v>451</v>
      </c>
      <c r="C472" s="374" t="str">
        <f t="shared" si="53"/>
        <v/>
      </c>
      <c r="D472" s="784" t="str">
        <f t="shared" si="54"/>
        <v/>
      </c>
      <c r="E472" s="784" t="str">
        <f t="shared" si="55"/>
        <v/>
      </c>
      <c r="F472" s="785" t="str">
        <f t="shared" si="56"/>
        <v/>
      </c>
      <c r="G472" s="784" t="str">
        <f t="shared" ref="G472:G535" si="57">IF(C472="","",IF(ABS(C471-C472)&lt;($C$19-0.0001),"",$C$20+E472))</f>
        <v/>
      </c>
      <c r="J472" s="612"/>
      <c r="Y472" s="663" t="str">
        <f>IF(C472="","",('transversal subsidence profile'!$L$5*EXP(-(C472^2)/(2*'transversal subsidence profile'!$J$5^2)))*100)</f>
        <v/>
      </c>
      <c r="Z472" s="664" t="str">
        <f>IF(C472="","",(+'transversal subsidence profile'!$L$6*EXP(-((C472+$G$10)^2)/(2*'transversal subsidence profile'!$J$6^2)))*100)</f>
        <v/>
      </c>
      <c r="AA472" s="751" t="str">
        <f>IF(C472="","",IF('IN-OUT'!$F$26=0,'Damage classification-Rankin'!Z472,IF('IN-OUT'!$F$35=0,Y472,'Damage classification-Rankin'!Y472+'Damage classification-Rankin'!Z472)))</f>
        <v/>
      </c>
    </row>
    <row r="473" spans="1:27" ht="13.8" thickBot="1">
      <c r="A473" s="67"/>
      <c r="B473" s="655">
        <f t="shared" si="52"/>
        <v>452</v>
      </c>
      <c r="C473" s="374" t="str">
        <f t="shared" si="53"/>
        <v/>
      </c>
      <c r="D473" s="784" t="str">
        <f t="shared" si="54"/>
        <v/>
      </c>
      <c r="E473" s="784" t="str">
        <f t="shared" si="55"/>
        <v/>
      </c>
      <c r="F473" s="785" t="str">
        <f t="shared" si="56"/>
        <v/>
      </c>
      <c r="G473" s="784" t="str">
        <f t="shared" si="57"/>
        <v/>
      </c>
      <c r="J473" s="612"/>
      <c r="Y473" s="663" t="str">
        <f>IF(C473="","",('transversal subsidence profile'!$L$5*EXP(-(C473^2)/(2*'transversal subsidence profile'!$J$5^2)))*100)</f>
        <v/>
      </c>
      <c r="Z473" s="664" t="str">
        <f>IF(C473="","",(+'transversal subsidence profile'!$L$6*EXP(-((C473+$G$10)^2)/(2*'transversal subsidence profile'!$J$6^2)))*100)</f>
        <v/>
      </c>
      <c r="AA473" s="751" t="str">
        <f>IF(C473="","",IF('IN-OUT'!$F$26=0,'Damage classification-Rankin'!Z473,IF('IN-OUT'!$F$35=0,Y473,'Damage classification-Rankin'!Y473+'Damage classification-Rankin'!Z473)))</f>
        <v/>
      </c>
    </row>
    <row r="474" spans="1:27" ht="13.8" thickBot="1">
      <c r="A474" s="67"/>
      <c r="B474" s="655">
        <f t="shared" si="52"/>
        <v>453</v>
      </c>
      <c r="C474" s="374" t="str">
        <f t="shared" si="53"/>
        <v/>
      </c>
      <c r="D474" s="784" t="str">
        <f t="shared" si="54"/>
        <v/>
      </c>
      <c r="E474" s="784" t="str">
        <f t="shared" si="55"/>
        <v/>
      </c>
      <c r="F474" s="785" t="str">
        <f t="shared" si="56"/>
        <v/>
      </c>
      <c r="G474" s="784" t="str">
        <f t="shared" si="57"/>
        <v/>
      </c>
      <c r="J474" s="612"/>
      <c r="Y474" s="663" t="str">
        <f>IF(C474="","",('transversal subsidence profile'!$L$5*EXP(-(C474^2)/(2*'transversal subsidence profile'!$J$5^2)))*100)</f>
        <v/>
      </c>
      <c r="Z474" s="664" t="str">
        <f>IF(C474="","",(+'transversal subsidence profile'!$L$6*EXP(-((C474+$G$10)^2)/(2*'transversal subsidence profile'!$J$6^2)))*100)</f>
        <v/>
      </c>
      <c r="AA474" s="751" t="str">
        <f>IF(C474="","",IF('IN-OUT'!$F$26=0,'Damage classification-Rankin'!Z474,IF('IN-OUT'!$F$35=0,Y474,'Damage classification-Rankin'!Y474+'Damage classification-Rankin'!Z474)))</f>
        <v/>
      </c>
    </row>
    <row r="475" spans="1:27" ht="13.8" thickBot="1">
      <c r="A475" s="67"/>
      <c r="B475" s="655">
        <f t="shared" si="52"/>
        <v>454</v>
      </c>
      <c r="C475" s="374" t="str">
        <f t="shared" si="53"/>
        <v/>
      </c>
      <c r="D475" s="784" t="str">
        <f t="shared" si="54"/>
        <v/>
      </c>
      <c r="E475" s="784" t="str">
        <f t="shared" si="55"/>
        <v/>
      </c>
      <c r="F475" s="785" t="str">
        <f t="shared" si="56"/>
        <v/>
      </c>
      <c r="G475" s="784" t="str">
        <f t="shared" si="57"/>
        <v/>
      </c>
      <c r="J475" s="612"/>
      <c r="Y475" s="663" t="str">
        <f>IF(C475="","",('transversal subsidence profile'!$L$5*EXP(-(C475^2)/(2*'transversal subsidence profile'!$J$5^2)))*100)</f>
        <v/>
      </c>
      <c r="Z475" s="664" t="str">
        <f>IF(C475="","",(+'transversal subsidence profile'!$L$6*EXP(-((C475+$G$10)^2)/(2*'transversal subsidence profile'!$J$6^2)))*100)</f>
        <v/>
      </c>
      <c r="AA475" s="751" t="str">
        <f>IF(C475="","",IF('IN-OUT'!$F$26=0,'Damage classification-Rankin'!Z475,IF('IN-OUT'!$F$35=0,Y475,'Damage classification-Rankin'!Y475+'Damage classification-Rankin'!Z475)))</f>
        <v/>
      </c>
    </row>
    <row r="476" spans="1:27" ht="13.8" thickBot="1">
      <c r="A476" s="67"/>
      <c r="B476" s="655">
        <f t="shared" si="52"/>
        <v>455</v>
      </c>
      <c r="C476" s="374" t="str">
        <f t="shared" si="53"/>
        <v/>
      </c>
      <c r="D476" s="784" t="str">
        <f t="shared" si="54"/>
        <v/>
      </c>
      <c r="E476" s="784" t="str">
        <f t="shared" si="55"/>
        <v/>
      </c>
      <c r="F476" s="785" t="str">
        <f t="shared" si="56"/>
        <v/>
      </c>
      <c r="G476" s="784" t="str">
        <f t="shared" si="57"/>
        <v/>
      </c>
      <c r="J476" s="612"/>
      <c r="Y476" s="663" t="str">
        <f>IF(C476="","",('transversal subsidence profile'!$L$5*EXP(-(C476^2)/(2*'transversal subsidence profile'!$J$5^2)))*100)</f>
        <v/>
      </c>
      <c r="Z476" s="664" t="str">
        <f>IF(C476="","",(+'transversal subsidence profile'!$L$6*EXP(-((C476+$G$10)^2)/(2*'transversal subsidence profile'!$J$6^2)))*100)</f>
        <v/>
      </c>
      <c r="AA476" s="751" t="str">
        <f>IF(C476="","",IF('IN-OUT'!$F$26=0,'Damage classification-Rankin'!Z476,IF('IN-OUT'!$F$35=0,Y476,'Damage classification-Rankin'!Y476+'Damage classification-Rankin'!Z476)))</f>
        <v/>
      </c>
    </row>
    <row r="477" spans="1:27" ht="13.8" thickBot="1">
      <c r="A477" s="67"/>
      <c r="B477" s="655">
        <f t="shared" si="52"/>
        <v>456</v>
      </c>
      <c r="C477" s="374" t="str">
        <f t="shared" si="53"/>
        <v/>
      </c>
      <c r="D477" s="784" t="str">
        <f t="shared" si="54"/>
        <v/>
      </c>
      <c r="E477" s="784" t="str">
        <f t="shared" si="55"/>
        <v/>
      </c>
      <c r="F477" s="785" t="str">
        <f t="shared" si="56"/>
        <v/>
      </c>
      <c r="G477" s="784" t="str">
        <f t="shared" si="57"/>
        <v/>
      </c>
      <c r="J477" s="612"/>
      <c r="Y477" s="663" t="str">
        <f>IF(C477="","",('transversal subsidence profile'!$L$5*EXP(-(C477^2)/(2*'transversal subsidence profile'!$J$5^2)))*100)</f>
        <v/>
      </c>
      <c r="Z477" s="664" t="str">
        <f>IF(C477="","",(+'transversal subsidence profile'!$L$6*EXP(-((C477+$G$10)^2)/(2*'transversal subsidence profile'!$J$6^2)))*100)</f>
        <v/>
      </c>
      <c r="AA477" s="751" t="str">
        <f>IF(C477="","",IF('IN-OUT'!$F$26=0,'Damage classification-Rankin'!Z477,IF('IN-OUT'!$F$35=0,Y477,'Damage classification-Rankin'!Y477+'Damage classification-Rankin'!Z477)))</f>
        <v/>
      </c>
    </row>
    <row r="478" spans="1:27" ht="13.8" thickBot="1">
      <c r="A478" s="67"/>
      <c r="B478" s="655">
        <f t="shared" si="52"/>
        <v>457</v>
      </c>
      <c r="C478" s="374" t="str">
        <f t="shared" si="53"/>
        <v/>
      </c>
      <c r="D478" s="784" t="str">
        <f t="shared" si="54"/>
        <v/>
      </c>
      <c r="E478" s="784" t="str">
        <f t="shared" si="55"/>
        <v/>
      </c>
      <c r="F478" s="785" t="str">
        <f t="shared" si="56"/>
        <v/>
      </c>
      <c r="G478" s="784" t="str">
        <f t="shared" si="57"/>
        <v/>
      </c>
      <c r="J478" s="612"/>
      <c r="Y478" s="663" t="str">
        <f>IF(C478="","",('transversal subsidence profile'!$L$5*EXP(-(C478^2)/(2*'transversal subsidence profile'!$J$5^2)))*100)</f>
        <v/>
      </c>
      <c r="Z478" s="664" t="str">
        <f>IF(C478="","",(+'transversal subsidence profile'!$L$6*EXP(-((C478+$G$10)^2)/(2*'transversal subsidence profile'!$J$6^2)))*100)</f>
        <v/>
      </c>
      <c r="AA478" s="751" t="str">
        <f>IF(C478="","",IF('IN-OUT'!$F$26=0,'Damage classification-Rankin'!Z478,IF('IN-OUT'!$F$35=0,Y478,'Damage classification-Rankin'!Y478+'Damage classification-Rankin'!Z478)))</f>
        <v/>
      </c>
    </row>
    <row r="479" spans="1:27" ht="13.8" thickBot="1">
      <c r="A479" s="67"/>
      <c r="B479" s="655">
        <f t="shared" si="52"/>
        <v>458</v>
      </c>
      <c r="C479" s="374" t="str">
        <f t="shared" si="53"/>
        <v/>
      </c>
      <c r="D479" s="784" t="str">
        <f t="shared" si="54"/>
        <v/>
      </c>
      <c r="E479" s="784" t="str">
        <f t="shared" si="55"/>
        <v/>
      </c>
      <c r="F479" s="785" t="str">
        <f t="shared" si="56"/>
        <v/>
      </c>
      <c r="G479" s="784" t="str">
        <f t="shared" si="57"/>
        <v/>
      </c>
      <c r="J479" s="612"/>
      <c r="Y479" s="663" t="str">
        <f>IF(C479="","",('transversal subsidence profile'!$L$5*EXP(-(C479^2)/(2*'transversal subsidence profile'!$J$5^2)))*100)</f>
        <v/>
      </c>
      <c r="Z479" s="664" t="str">
        <f>IF(C479="","",(+'transversal subsidence profile'!$L$6*EXP(-((C479+$G$10)^2)/(2*'transversal subsidence profile'!$J$6^2)))*100)</f>
        <v/>
      </c>
      <c r="AA479" s="751" t="str">
        <f>IF(C479="","",IF('IN-OUT'!$F$26=0,'Damage classification-Rankin'!Z479,IF('IN-OUT'!$F$35=0,Y479,'Damage classification-Rankin'!Y479+'Damage classification-Rankin'!Z479)))</f>
        <v/>
      </c>
    </row>
    <row r="480" spans="1:27" ht="13.8" thickBot="1">
      <c r="A480" s="67"/>
      <c r="B480" s="655">
        <f t="shared" si="52"/>
        <v>459</v>
      </c>
      <c r="C480" s="374" t="str">
        <f t="shared" si="53"/>
        <v/>
      </c>
      <c r="D480" s="784" t="str">
        <f t="shared" si="54"/>
        <v/>
      </c>
      <c r="E480" s="784" t="str">
        <f t="shared" si="55"/>
        <v/>
      </c>
      <c r="F480" s="785" t="str">
        <f t="shared" si="56"/>
        <v/>
      </c>
      <c r="G480" s="784" t="str">
        <f t="shared" si="57"/>
        <v/>
      </c>
      <c r="J480" s="612"/>
      <c r="Y480" s="663" t="str">
        <f>IF(C480="","",('transversal subsidence profile'!$L$5*EXP(-(C480^2)/(2*'transversal subsidence profile'!$J$5^2)))*100)</f>
        <v/>
      </c>
      <c r="Z480" s="664" t="str">
        <f>IF(C480="","",(+'transversal subsidence profile'!$L$6*EXP(-((C480+$G$10)^2)/(2*'transversal subsidence profile'!$J$6^2)))*100)</f>
        <v/>
      </c>
      <c r="AA480" s="751" t="str">
        <f>IF(C480="","",IF('IN-OUT'!$F$26=0,'Damage classification-Rankin'!Z480,IF('IN-OUT'!$F$35=0,Y480,'Damage classification-Rankin'!Y480+'Damage classification-Rankin'!Z480)))</f>
        <v/>
      </c>
    </row>
    <row r="481" spans="1:27" ht="13.8" thickBot="1">
      <c r="A481" s="67"/>
      <c r="B481" s="655">
        <f t="shared" si="52"/>
        <v>460</v>
      </c>
      <c r="C481" s="374" t="str">
        <f t="shared" si="53"/>
        <v/>
      </c>
      <c r="D481" s="784" t="str">
        <f t="shared" si="54"/>
        <v/>
      </c>
      <c r="E481" s="784" t="str">
        <f t="shared" si="55"/>
        <v/>
      </c>
      <c r="F481" s="785" t="str">
        <f t="shared" si="56"/>
        <v/>
      </c>
      <c r="G481" s="784" t="str">
        <f t="shared" si="57"/>
        <v/>
      </c>
      <c r="J481" s="612"/>
      <c r="Y481" s="663" t="str">
        <f>IF(C481="","",('transversal subsidence profile'!$L$5*EXP(-(C481^2)/(2*'transversal subsidence profile'!$J$5^2)))*100)</f>
        <v/>
      </c>
      <c r="Z481" s="664" t="str">
        <f>IF(C481="","",(+'transversal subsidence profile'!$L$6*EXP(-((C481+$G$10)^2)/(2*'transversal subsidence profile'!$J$6^2)))*100)</f>
        <v/>
      </c>
      <c r="AA481" s="751" t="str">
        <f>IF(C481="","",IF('IN-OUT'!$F$26=0,'Damage classification-Rankin'!Z481,IF('IN-OUT'!$F$35=0,Y481,'Damage classification-Rankin'!Y481+'Damage classification-Rankin'!Z481)))</f>
        <v/>
      </c>
    </row>
    <row r="482" spans="1:27" ht="13.8" thickBot="1">
      <c r="A482" s="67"/>
      <c r="B482" s="655">
        <f t="shared" ref="B482:B521" si="58">B481+1</f>
        <v>461</v>
      </c>
      <c r="C482" s="374" t="str">
        <f t="shared" ref="C482:C521" si="59">IF(OR(C481=$D$8,C481=""),"",IF((C481+$C$19)&gt;$D$8,$D$8,C481+$C$19))</f>
        <v/>
      </c>
      <c r="D482" s="784" t="str">
        <f t="shared" ref="D482:D521" si="60">AA482</f>
        <v/>
      </c>
      <c r="E482" s="784" t="str">
        <f t="shared" ref="E482:E521" si="61">IF(C482="","",IF(D482&gt;D481,ATAN(((D482-D481))/ABS((C482-C481)*100)),-ATAN(((D481-D482))/ABS((C482-C481)*100))))</f>
        <v/>
      </c>
      <c r="F482" s="785" t="str">
        <f t="shared" ref="F482:F521" si="62">IF(C482&lt;&gt;"",ABS(D481-D482),"")</f>
        <v/>
      </c>
      <c r="G482" s="784" t="str">
        <f t="shared" si="57"/>
        <v/>
      </c>
      <c r="J482" s="612"/>
      <c r="Y482" s="663" t="str">
        <f>IF(C482="","",('transversal subsidence profile'!$L$5*EXP(-(C482^2)/(2*'transversal subsidence profile'!$J$5^2)))*100)</f>
        <v/>
      </c>
      <c r="Z482" s="664" t="str">
        <f>IF(C482="","",(+'transversal subsidence profile'!$L$6*EXP(-((C482+$G$10)^2)/(2*'transversal subsidence profile'!$J$6^2)))*100)</f>
        <v/>
      </c>
      <c r="AA482" s="751" t="str">
        <f>IF(C482="","",IF('IN-OUT'!$F$26=0,'Damage classification-Rankin'!Z482,IF('IN-OUT'!$F$35=0,Y482,'Damage classification-Rankin'!Y482+'Damage classification-Rankin'!Z482)))</f>
        <v/>
      </c>
    </row>
    <row r="483" spans="1:27" ht="13.8" thickBot="1">
      <c r="A483" s="67"/>
      <c r="B483" s="655">
        <f t="shared" si="58"/>
        <v>462</v>
      </c>
      <c r="C483" s="374" t="str">
        <f t="shared" si="59"/>
        <v/>
      </c>
      <c r="D483" s="784" t="str">
        <f t="shared" si="60"/>
        <v/>
      </c>
      <c r="E483" s="784" t="str">
        <f t="shared" si="61"/>
        <v/>
      </c>
      <c r="F483" s="785" t="str">
        <f t="shared" si="62"/>
        <v/>
      </c>
      <c r="G483" s="784" t="str">
        <f t="shared" si="57"/>
        <v/>
      </c>
      <c r="J483" s="612"/>
      <c r="Y483" s="663" t="str">
        <f>IF(C483="","",('transversal subsidence profile'!$L$5*EXP(-(C483^2)/(2*'transversal subsidence profile'!$J$5^2)))*100)</f>
        <v/>
      </c>
      <c r="Z483" s="664" t="str">
        <f>IF(C483="","",(+'transversal subsidence profile'!$L$6*EXP(-((C483+$G$10)^2)/(2*'transversal subsidence profile'!$J$6^2)))*100)</f>
        <v/>
      </c>
      <c r="AA483" s="751" t="str">
        <f>IF(C483="","",IF('IN-OUT'!$F$26=0,'Damage classification-Rankin'!Z483,IF('IN-OUT'!$F$35=0,Y483,'Damage classification-Rankin'!Y483+'Damage classification-Rankin'!Z483)))</f>
        <v/>
      </c>
    </row>
    <row r="484" spans="1:27" ht="13.8" thickBot="1">
      <c r="A484" s="67"/>
      <c r="B484" s="655">
        <f t="shared" si="58"/>
        <v>463</v>
      </c>
      <c r="C484" s="374" t="str">
        <f t="shared" si="59"/>
        <v/>
      </c>
      <c r="D484" s="784" t="str">
        <f t="shared" si="60"/>
        <v/>
      </c>
      <c r="E484" s="784" t="str">
        <f t="shared" si="61"/>
        <v/>
      </c>
      <c r="F484" s="785" t="str">
        <f t="shared" si="62"/>
        <v/>
      </c>
      <c r="G484" s="784" t="str">
        <f t="shared" si="57"/>
        <v/>
      </c>
      <c r="J484" s="612"/>
      <c r="Y484" s="663" t="str">
        <f>IF(C484="","",('transversal subsidence profile'!$L$5*EXP(-(C484^2)/(2*'transversal subsidence profile'!$J$5^2)))*100)</f>
        <v/>
      </c>
      <c r="Z484" s="664" t="str">
        <f>IF(C484="","",(+'transversal subsidence profile'!$L$6*EXP(-((C484+$G$10)^2)/(2*'transversal subsidence profile'!$J$6^2)))*100)</f>
        <v/>
      </c>
      <c r="AA484" s="751" t="str">
        <f>IF(C484="","",IF('IN-OUT'!$F$26=0,'Damage classification-Rankin'!Z484,IF('IN-OUT'!$F$35=0,Y484,'Damage classification-Rankin'!Y484+'Damage classification-Rankin'!Z484)))</f>
        <v/>
      </c>
    </row>
    <row r="485" spans="1:27" ht="13.8" thickBot="1">
      <c r="A485" s="67"/>
      <c r="B485" s="655">
        <f t="shared" si="58"/>
        <v>464</v>
      </c>
      <c r="C485" s="374" t="str">
        <f t="shared" si="59"/>
        <v/>
      </c>
      <c r="D485" s="784" t="str">
        <f t="shared" si="60"/>
        <v/>
      </c>
      <c r="E485" s="784" t="str">
        <f t="shared" si="61"/>
        <v/>
      </c>
      <c r="F485" s="785" t="str">
        <f t="shared" si="62"/>
        <v/>
      </c>
      <c r="G485" s="784" t="str">
        <f t="shared" si="57"/>
        <v/>
      </c>
      <c r="J485" s="612"/>
      <c r="Y485" s="663" t="str">
        <f>IF(C485="","",('transversal subsidence profile'!$L$5*EXP(-(C485^2)/(2*'transversal subsidence profile'!$J$5^2)))*100)</f>
        <v/>
      </c>
      <c r="Z485" s="664" t="str">
        <f>IF(C485="","",(+'transversal subsidence profile'!$L$6*EXP(-((C485+$G$10)^2)/(2*'transversal subsidence profile'!$J$6^2)))*100)</f>
        <v/>
      </c>
      <c r="AA485" s="751" t="str">
        <f>IF(C485="","",IF('IN-OUT'!$F$26=0,'Damage classification-Rankin'!Z485,IF('IN-OUT'!$F$35=0,Y485,'Damage classification-Rankin'!Y485+'Damage classification-Rankin'!Z485)))</f>
        <v/>
      </c>
    </row>
    <row r="486" spans="1:27" ht="13.8" thickBot="1">
      <c r="A486" s="67"/>
      <c r="B486" s="655">
        <f t="shared" si="58"/>
        <v>465</v>
      </c>
      <c r="C486" s="374" t="str">
        <f t="shared" si="59"/>
        <v/>
      </c>
      <c r="D486" s="784" t="str">
        <f t="shared" si="60"/>
        <v/>
      </c>
      <c r="E486" s="784" t="str">
        <f t="shared" si="61"/>
        <v/>
      </c>
      <c r="F486" s="785" t="str">
        <f t="shared" si="62"/>
        <v/>
      </c>
      <c r="G486" s="784" t="str">
        <f t="shared" si="57"/>
        <v/>
      </c>
      <c r="J486" s="612"/>
      <c r="Y486" s="663" t="str">
        <f>IF(C486="","",('transversal subsidence profile'!$L$5*EXP(-(C486^2)/(2*'transversal subsidence profile'!$J$5^2)))*100)</f>
        <v/>
      </c>
      <c r="Z486" s="664" t="str">
        <f>IF(C486="","",(+'transversal subsidence profile'!$L$6*EXP(-((C486+$G$10)^2)/(2*'transversal subsidence profile'!$J$6^2)))*100)</f>
        <v/>
      </c>
      <c r="AA486" s="751" t="str">
        <f>IF(C486="","",IF('IN-OUT'!$F$26=0,'Damage classification-Rankin'!Z486,IF('IN-OUT'!$F$35=0,Y486,'Damage classification-Rankin'!Y486+'Damage classification-Rankin'!Z486)))</f>
        <v/>
      </c>
    </row>
    <row r="487" spans="1:27" ht="13.8" thickBot="1">
      <c r="A487" s="67"/>
      <c r="B487" s="655">
        <f t="shared" si="58"/>
        <v>466</v>
      </c>
      <c r="C487" s="374" t="str">
        <f t="shared" si="59"/>
        <v/>
      </c>
      <c r="D487" s="784" t="str">
        <f t="shared" si="60"/>
        <v/>
      </c>
      <c r="E487" s="784" t="str">
        <f t="shared" si="61"/>
        <v/>
      </c>
      <c r="F487" s="785" t="str">
        <f t="shared" si="62"/>
        <v/>
      </c>
      <c r="G487" s="784" t="str">
        <f t="shared" si="57"/>
        <v/>
      </c>
      <c r="J487" s="612"/>
      <c r="Y487" s="663" t="str">
        <f>IF(C487="","",('transversal subsidence profile'!$L$5*EXP(-(C487^2)/(2*'transversal subsidence profile'!$J$5^2)))*100)</f>
        <v/>
      </c>
      <c r="Z487" s="664" t="str">
        <f>IF(C487="","",(+'transversal subsidence profile'!$L$6*EXP(-((C487+$G$10)^2)/(2*'transversal subsidence profile'!$J$6^2)))*100)</f>
        <v/>
      </c>
      <c r="AA487" s="751" t="str">
        <f>IF(C487="","",IF('IN-OUT'!$F$26=0,'Damage classification-Rankin'!Z487,IF('IN-OUT'!$F$35=0,Y487,'Damage classification-Rankin'!Y487+'Damage classification-Rankin'!Z487)))</f>
        <v/>
      </c>
    </row>
    <row r="488" spans="1:27" ht="13.8" thickBot="1">
      <c r="A488" s="67"/>
      <c r="B488" s="655">
        <f t="shared" si="58"/>
        <v>467</v>
      </c>
      <c r="C488" s="374" t="str">
        <f t="shared" si="59"/>
        <v/>
      </c>
      <c r="D488" s="784" t="str">
        <f t="shared" si="60"/>
        <v/>
      </c>
      <c r="E488" s="784" t="str">
        <f t="shared" si="61"/>
        <v/>
      </c>
      <c r="F488" s="785" t="str">
        <f t="shared" si="62"/>
        <v/>
      </c>
      <c r="G488" s="784" t="str">
        <f t="shared" si="57"/>
        <v/>
      </c>
      <c r="J488" s="612"/>
      <c r="Y488" s="663" t="str">
        <f>IF(C488="","",('transversal subsidence profile'!$L$5*EXP(-(C488^2)/(2*'transversal subsidence profile'!$J$5^2)))*100)</f>
        <v/>
      </c>
      <c r="Z488" s="664" t="str">
        <f>IF(C488="","",(+'transversal subsidence profile'!$L$6*EXP(-((C488+$G$10)^2)/(2*'transversal subsidence profile'!$J$6^2)))*100)</f>
        <v/>
      </c>
      <c r="AA488" s="751" t="str">
        <f>IF(C488="","",IF('IN-OUT'!$F$26=0,'Damage classification-Rankin'!Z488,IF('IN-OUT'!$F$35=0,Y488,'Damage classification-Rankin'!Y488+'Damage classification-Rankin'!Z488)))</f>
        <v/>
      </c>
    </row>
    <row r="489" spans="1:27" ht="13.8" thickBot="1">
      <c r="A489" s="67"/>
      <c r="B489" s="655">
        <f t="shared" si="58"/>
        <v>468</v>
      </c>
      <c r="C489" s="374" t="str">
        <f t="shared" si="59"/>
        <v/>
      </c>
      <c r="D489" s="784" t="str">
        <f t="shared" si="60"/>
        <v/>
      </c>
      <c r="E489" s="784" t="str">
        <f t="shared" si="61"/>
        <v/>
      </c>
      <c r="F489" s="785" t="str">
        <f t="shared" si="62"/>
        <v/>
      </c>
      <c r="G489" s="784" t="str">
        <f t="shared" si="57"/>
        <v/>
      </c>
      <c r="J489" s="612"/>
      <c r="Y489" s="663" t="str">
        <f>IF(C489="","",('transversal subsidence profile'!$L$5*EXP(-(C489^2)/(2*'transversal subsidence profile'!$J$5^2)))*100)</f>
        <v/>
      </c>
      <c r="Z489" s="664" t="str">
        <f>IF(C489="","",(+'transversal subsidence profile'!$L$6*EXP(-((C489+$G$10)^2)/(2*'transversal subsidence profile'!$J$6^2)))*100)</f>
        <v/>
      </c>
      <c r="AA489" s="751" t="str">
        <f>IF(C489="","",IF('IN-OUT'!$F$26=0,'Damage classification-Rankin'!Z489,IF('IN-OUT'!$F$35=0,Y489,'Damage classification-Rankin'!Y489+'Damage classification-Rankin'!Z489)))</f>
        <v/>
      </c>
    </row>
    <row r="490" spans="1:27" ht="13.8" thickBot="1">
      <c r="A490" s="67"/>
      <c r="B490" s="655">
        <f t="shared" si="58"/>
        <v>469</v>
      </c>
      <c r="C490" s="374" t="str">
        <f t="shared" si="59"/>
        <v/>
      </c>
      <c r="D490" s="784" t="str">
        <f t="shared" si="60"/>
        <v/>
      </c>
      <c r="E490" s="784" t="str">
        <f t="shared" si="61"/>
        <v/>
      </c>
      <c r="F490" s="785" t="str">
        <f t="shared" si="62"/>
        <v/>
      </c>
      <c r="G490" s="784" t="str">
        <f t="shared" si="57"/>
        <v/>
      </c>
      <c r="J490" s="612"/>
      <c r="Y490" s="663" t="str">
        <f>IF(C490="","",('transversal subsidence profile'!$L$5*EXP(-(C490^2)/(2*'transversal subsidence profile'!$J$5^2)))*100)</f>
        <v/>
      </c>
      <c r="Z490" s="664" t="str">
        <f>IF(C490="","",(+'transversal subsidence profile'!$L$6*EXP(-((C490+$G$10)^2)/(2*'transversal subsidence profile'!$J$6^2)))*100)</f>
        <v/>
      </c>
      <c r="AA490" s="751" t="str">
        <f>IF(C490="","",IF('IN-OUT'!$F$26=0,'Damage classification-Rankin'!Z490,IF('IN-OUT'!$F$35=0,Y490,'Damage classification-Rankin'!Y490+'Damage classification-Rankin'!Z490)))</f>
        <v/>
      </c>
    </row>
    <row r="491" spans="1:27" ht="13.8" thickBot="1">
      <c r="A491" s="67"/>
      <c r="B491" s="655">
        <f t="shared" si="58"/>
        <v>470</v>
      </c>
      <c r="C491" s="374" t="str">
        <f t="shared" si="59"/>
        <v/>
      </c>
      <c r="D491" s="784" t="str">
        <f t="shared" si="60"/>
        <v/>
      </c>
      <c r="E491" s="784" t="str">
        <f t="shared" si="61"/>
        <v/>
      </c>
      <c r="F491" s="785" t="str">
        <f t="shared" si="62"/>
        <v/>
      </c>
      <c r="G491" s="784" t="str">
        <f t="shared" si="57"/>
        <v/>
      </c>
      <c r="J491" s="612"/>
      <c r="Y491" s="663" t="str">
        <f>IF(C491="","",('transversal subsidence profile'!$L$5*EXP(-(C491^2)/(2*'transversal subsidence profile'!$J$5^2)))*100)</f>
        <v/>
      </c>
      <c r="Z491" s="664" t="str">
        <f>IF(C491="","",(+'transversal subsidence profile'!$L$6*EXP(-((C491+$G$10)^2)/(2*'transversal subsidence profile'!$J$6^2)))*100)</f>
        <v/>
      </c>
      <c r="AA491" s="751" t="str">
        <f>IF(C491="","",IF('IN-OUT'!$F$26=0,'Damage classification-Rankin'!Z491,IF('IN-OUT'!$F$35=0,Y491,'Damage classification-Rankin'!Y491+'Damage classification-Rankin'!Z491)))</f>
        <v/>
      </c>
    </row>
    <row r="492" spans="1:27" ht="13.8" thickBot="1">
      <c r="A492" s="67"/>
      <c r="B492" s="655">
        <f t="shared" si="58"/>
        <v>471</v>
      </c>
      <c r="C492" s="374" t="str">
        <f t="shared" si="59"/>
        <v/>
      </c>
      <c r="D492" s="784" t="str">
        <f t="shared" si="60"/>
        <v/>
      </c>
      <c r="E492" s="784" t="str">
        <f t="shared" si="61"/>
        <v/>
      </c>
      <c r="F492" s="785" t="str">
        <f t="shared" si="62"/>
        <v/>
      </c>
      <c r="G492" s="784" t="str">
        <f t="shared" si="57"/>
        <v/>
      </c>
      <c r="J492" s="612"/>
      <c r="Y492" s="663" t="str">
        <f>IF(C492="","",('transversal subsidence profile'!$L$5*EXP(-(C492^2)/(2*'transversal subsidence profile'!$J$5^2)))*100)</f>
        <v/>
      </c>
      <c r="Z492" s="664" t="str">
        <f>IF(C492="","",(+'transversal subsidence profile'!$L$6*EXP(-((C492+$G$10)^2)/(2*'transversal subsidence profile'!$J$6^2)))*100)</f>
        <v/>
      </c>
      <c r="AA492" s="751" t="str">
        <f>IF(C492="","",IF('IN-OUT'!$F$26=0,'Damage classification-Rankin'!Z492,IF('IN-OUT'!$F$35=0,Y492,'Damage classification-Rankin'!Y492+'Damage classification-Rankin'!Z492)))</f>
        <v/>
      </c>
    </row>
    <row r="493" spans="1:27" ht="13.8" thickBot="1">
      <c r="A493" s="67"/>
      <c r="B493" s="655">
        <f t="shared" si="58"/>
        <v>472</v>
      </c>
      <c r="C493" s="374" t="str">
        <f t="shared" si="59"/>
        <v/>
      </c>
      <c r="D493" s="784" t="str">
        <f t="shared" si="60"/>
        <v/>
      </c>
      <c r="E493" s="784" t="str">
        <f t="shared" si="61"/>
        <v/>
      </c>
      <c r="F493" s="785" t="str">
        <f t="shared" si="62"/>
        <v/>
      </c>
      <c r="G493" s="784" t="str">
        <f t="shared" si="57"/>
        <v/>
      </c>
      <c r="J493" s="612"/>
      <c r="Y493" s="663" t="str">
        <f>IF(C493="","",('transversal subsidence profile'!$L$5*EXP(-(C493^2)/(2*'transversal subsidence profile'!$J$5^2)))*100)</f>
        <v/>
      </c>
      <c r="Z493" s="664" t="str">
        <f>IF(C493="","",(+'transversal subsidence profile'!$L$6*EXP(-((C493+$G$10)^2)/(2*'transversal subsidence profile'!$J$6^2)))*100)</f>
        <v/>
      </c>
      <c r="AA493" s="751" t="str">
        <f>IF(C493="","",IF('IN-OUT'!$F$26=0,'Damage classification-Rankin'!Z493,IF('IN-OUT'!$F$35=0,Y493,'Damage classification-Rankin'!Y493+'Damage classification-Rankin'!Z493)))</f>
        <v/>
      </c>
    </row>
    <row r="494" spans="1:27" ht="13.8" thickBot="1">
      <c r="A494" s="67"/>
      <c r="B494" s="655">
        <f t="shared" si="58"/>
        <v>473</v>
      </c>
      <c r="C494" s="374" t="str">
        <f t="shared" si="59"/>
        <v/>
      </c>
      <c r="D494" s="784" t="str">
        <f t="shared" si="60"/>
        <v/>
      </c>
      <c r="E494" s="784" t="str">
        <f t="shared" si="61"/>
        <v/>
      </c>
      <c r="F494" s="785" t="str">
        <f t="shared" si="62"/>
        <v/>
      </c>
      <c r="G494" s="784" t="str">
        <f t="shared" si="57"/>
        <v/>
      </c>
      <c r="J494" s="612"/>
      <c r="Y494" s="663" t="str">
        <f>IF(C494="","",('transversal subsidence profile'!$L$5*EXP(-(C494^2)/(2*'transversal subsidence profile'!$J$5^2)))*100)</f>
        <v/>
      </c>
      <c r="Z494" s="664" t="str">
        <f>IF(C494="","",(+'transversal subsidence profile'!$L$6*EXP(-((C494+$G$10)^2)/(2*'transversal subsidence profile'!$J$6^2)))*100)</f>
        <v/>
      </c>
      <c r="AA494" s="751" t="str">
        <f>IF(C494="","",IF('IN-OUT'!$F$26=0,'Damage classification-Rankin'!Z494,IF('IN-OUT'!$F$35=0,Y494,'Damage classification-Rankin'!Y494+'Damage classification-Rankin'!Z494)))</f>
        <v/>
      </c>
    </row>
    <row r="495" spans="1:27" ht="13.8" thickBot="1">
      <c r="A495" s="67"/>
      <c r="B495" s="655">
        <f t="shared" si="58"/>
        <v>474</v>
      </c>
      <c r="C495" s="374" t="str">
        <f t="shared" si="59"/>
        <v/>
      </c>
      <c r="D495" s="784" t="str">
        <f t="shared" si="60"/>
        <v/>
      </c>
      <c r="E495" s="784" t="str">
        <f t="shared" si="61"/>
        <v/>
      </c>
      <c r="F495" s="785" t="str">
        <f t="shared" si="62"/>
        <v/>
      </c>
      <c r="G495" s="784" t="str">
        <f t="shared" si="57"/>
        <v/>
      </c>
      <c r="J495" s="612"/>
      <c r="Y495" s="663" t="str">
        <f>IF(C495="","",('transversal subsidence profile'!$L$5*EXP(-(C495^2)/(2*'transversal subsidence profile'!$J$5^2)))*100)</f>
        <v/>
      </c>
      <c r="Z495" s="664" t="str">
        <f>IF(C495="","",(+'transversal subsidence profile'!$L$6*EXP(-((C495+$G$10)^2)/(2*'transversal subsidence profile'!$J$6^2)))*100)</f>
        <v/>
      </c>
      <c r="AA495" s="751" t="str">
        <f>IF(C495="","",IF('IN-OUT'!$F$26=0,'Damage classification-Rankin'!Z495,IF('IN-OUT'!$F$35=0,Y495,'Damage classification-Rankin'!Y495+'Damage classification-Rankin'!Z495)))</f>
        <v/>
      </c>
    </row>
    <row r="496" spans="1:27" ht="13.8" thickBot="1">
      <c r="A496" s="67"/>
      <c r="B496" s="655">
        <f t="shared" si="58"/>
        <v>475</v>
      </c>
      <c r="C496" s="374" t="str">
        <f t="shared" si="59"/>
        <v/>
      </c>
      <c r="D496" s="784" t="str">
        <f t="shared" si="60"/>
        <v/>
      </c>
      <c r="E496" s="784" t="str">
        <f t="shared" si="61"/>
        <v/>
      </c>
      <c r="F496" s="785" t="str">
        <f t="shared" si="62"/>
        <v/>
      </c>
      <c r="G496" s="784" t="str">
        <f t="shared" si="57"/>
        <v/>
      </c>
      <c r="J496" s="612"/>
      <c r="Y496" s="663" t="str">
        <f>IF(C496="","",('transversal subsidence profile'!$L$5*EXP(-(C496^2)/(2*'transversal subsidence profile'!$J$5^2)))*100)</f>
        <v/>
      </c>
      <c r="Z496" s="664" t="str">
        <f>IF(C496="","",(+'transversal subsidence profile'!$L$6*EXP(-((C496+$G$10)^2)/(2*'transversal subsidence profile'!$J$6^2)))*100)</f>
        <v/>
      </c>
      <c r="AA496" s="751" t="str">
        <f>IF(C496="","",IF('IN-OUT'!$F$26=0,'Damage classification-Rankin'!Z496,IF('IN-OUT'!$F$35=0,Y496,'Damage classification-Rankin'!Y496+'Damage classification-Rankin'!Z496)))</f>
        <v/>
      </c>
    </row>
    <row r="497" spans="1:27" ht="13.8" thickBot="1">
      <c r="A497" s="67"/>
      <c r="B497" s="655">
        <f t="shared" si="58"/>
        <v>476</v>
      </c>
      <c r="C497" s="374" t="str">
        <f t="shared" si="59"/>
        <v/>
      </c>
      <c r="D497" s="784" t="str">
        <f t="shared" si="60"/>
        <v/>
      </c>
      <c r="E497" s="784" t="str">
        <f t="shared" si="61"/>
        <v/>
      </c>
      <c r="F497" s="785" t="str">
        <f t="shared" si="62"/>
        <v/>
      </c>
      <c r="G497" s="784" t="str">
        <f t="shared" si="57"/>
        <v/>
      </c>
      <c r="J497" s="612"/>
      <c r="Y497" s="663" t="str">
        <f>IF(C497="","",('transversal subsidence profile'!$L$5*EXP(-(C497^2)/(2*'transversal subsidence profile'!$J$5^2)))*100)</f>
        <v/>
      </c>
      <c r="Z497" s="664" t="str">
        <f>IF(C497="","",(+'transversal subsidence profile'!$L$6*EXP(-((C497+$G$10)^2)/(2*'transversal subsidence profile'!$J$6^2)))*100)</f>
        <v/>
      </c>
      <c r="AA497" s="751" t="str">
        <f>IF(C497="","",IF('IN-OUT'!$F$26=0,'Damage classification-Rankin'!Z497,IF('IN-OUT'!$F$35=0,Y497,'Damage classification-Rankin'!Y497+'Damage classification-Rankin'!Z497)))</f>
        <v/>
      </c>
    </row>
    <row r="498" spans="1:27" ht="13.8" thickBot="1">
      <c r="A498" s="67"/>
      <c r="B498" s="655">
        <f t="shared" si="58"/>
        <v>477</v>
      </c>
      <c r="C498" s="374" t="str">
        <f t="shared" si="59"/>
        <v/>
      </c>
      <c r="D498" s="784" t="str">
        <f t="shared" si="60"/>
        <v/>
      </c>
      <c r="E498" s="784" t="str">
        <f t="shared" si="61"/>
        <v/>
      </c>
      <c r="F498" s="785" t="str">
        <f t="shared" si="62"/>
        <v/>
      </c>
      <c r="G498" s="784" t="str">
        <f t="shared" si="57"/>
        <v/>
      </c>
      <c r="J498" s="612"/>
      <c r="Y498" s="663" t="str">
        <f>IF(C498="","",('transversal subsidence profile'!$L$5*EXP(-(C498^2)/(2*'transversal subsidence profile'!$J$5^2)))*100)</f>
        <v/>
      </c>
      <c r="Z498" s="664" t="str">
        <f>IF(C498="","",(+'transversal subsidence profile'!$L$6*EXP(-((C498+$G$10)^2)/(2*'transversal subsidence profile'!$J$6^2)))*100)</f>
        <v/>
      </c>
      <c r="AA498" s="751" t="str">
        <f>IF(C498="","",IF('IN-OUT'!$F$26=0,'Damage classification-Rankin'!Z498,IF('IN-OUT'!$F$35=0,Y498,'Damage classification-Rankin'!Y498+'Damage classification-Rankin'!Z498)))</f>
        <v/>
      </c>
    </row>
    <row r="499" spans="1:27" ht="13.8" thickBot="1">
      <c r="A499" s="67"/>
      <c r="B499" s="655">
        <f t="shared" si="58"/>
        <v>478</v>
      </c>
      <c r="C499" s="374" t="str">
        <f t="shared" si="59"/>
        <v/>
      </c>
      <c r="D499" s="784" t="str">
        <f t="shared" si="60"/>
        <v/>
      </c>
      <c r="E499" s="784" t="str">
        <f t="shared" si="61"/>
        <v/>
      </c>
      <c r="F499" s="785" t="str">
        <f t="shared" si="62"/>
        <v/>
      </c>
      <c r="G499" s="784" t="str">
        <f t="shared" si="57"/>
        <v/>
      </c>
      <c r="J499" s="612"/>
      <c r="Y499" s="663" t="str">
        <f>IF(C499="","",('transversal subsidence profile'!$L$5*EXP(-(C499^2)/(2*'transversal subsidence profile'!$J$5^2)))*100)</f>
        <v/>
      </c>
      <c r="Z499" s="664" t="str">
        <f>IF(C499="","",(+'transversal subsidence profile'!$L$6*EXP(-((C499+$G$10)^2)/(2*'transversal subsidence profile'!$J$6^2)))*100)</f>
        <v/>
      </c>
      <c r="AA499" s="751" t="str">
        <f>IF(C499="","",IF('IN-OUT'!$F$26=0,'Damage classification-Rankin'!Z499,IF('IN-OUT'!$F$35=0,Y499,'Damage classification-Rankin'!Y499+'Damage classification-Rankin'!Z499)))</f>
        <v/>
      </c>
    </row>
    <row r="500" spans="1:27" ht="13.8" thickBot="1">
      <c r="A500" s="67"/>
      <c r="B500" s="655">
        <f t="shared" si="58"/>
        <v>479</v>
      </c>
      <c r="C500" s="374" t="str">
        <f t="shared" si="59"/>
        <v/>
      </c>
      <c r="D500" s="784" t="str">
        <f t="shared" si="60"/>
        <v/>
      </c>
      <c r="E500" s="784" t="str">
        <f t="shared" si="61"/>
        <v/>
      </c>
      <c r="F500" s="785" t="str">
        <f t="shared" si="62"/>
        <v/>
      </c>
      <c r="G500" s="784" t="str">
        <f t="shared" si="57"/>
        <v/>
      </c>
      <c r="J500" s="612"/>
      <c r="Y500" s="663" t="str">
        <f>IF(C500="","",('transversal subsidence profile'!$L$5*EXP(-(C500^2)/(2*'transversal subsidence profile'!$J$5^2)))*100)</f>
        <v/>
      </c>
      <c r="Z500" s="664" t="str">
        <f>IF(C500="","",(+'transversal subsidence profile'!$L$6*EXP(-((C500+$G$10)^2)/(2*'transversal subsidence profile'!$J$6^2)))*100)</f>
        <v/>
      </c>
      <c r="AA500" s="751" t="str">
        <f>IF(C500="","",IF('IN-OUT'!$F$26=0,'Damage classification-Rankin'!Z500,IF('IN-OUT'!$F$35=0,Y500,'Damage classification-Rankin'!Y500+'Damage classification-Rankin'!Z500)))</f>
        <v/>
      </c>
    </row>
    <row r="501" spans="1:27" ht="13.8" thickBot="1">
      <c r="A501" s="67"/>
      <c r="B501" s="655">
        <f t="shared" si="58"/>
        <v>480</v>
      </c>
      <c r="C501" s="374" t="str">
        <f t="shared" si="59"/>
        <v/>
      </c>
      <c r="D501" s="784" t="str">
        <f t="shared" si="60"/>
        <v/>
      </c>
      <c r="E501" s="784" t="str">
        <f t="shared" si="61"/>
        <v/>
      </c>
      <c r="F501" s="785" t="str">
        <f t="shared" si="62"/>
        <v/>
      </c>
      <c r="G501" s="784" t="str">
        <f t="shared" si="57"/>
        <v/>
      </c>
      <c r="J501" s="612"/>
      <c r="Y501" s="663" t="str">
        <f>IF(C501="","",('transversal subsidence profile'!$L$5*EXP(-(C501^2)/(2*'transversal subsidence profile'!$J$5^2)))*100)</f>
        <v/>
      </c>
      <c r="Z501" s="664" t="str">
        <f>IF(C501="","",(+'transversal subsidence profile'!$L$6*EXP(-((C501+$G$10)^2)/(2*'transversal subsidence profile'!$J$6^2)))*100)</f>
        <v/>
      </c>
      <c r="AA501" s="751" t="str">
        <f>IF(C501="","",IF('IN-OUT'!$F$26=0,'Damage classification-Rankin'!Z501,IF('IN-OUT'!$F$35=0,Y501,'Damage classification-Rankin'!Y501+'Damage classification-Rankin'!Z501)))</f>
        <v/>
      </c>
    </row>
    <row r="502" spans="1:27" ht="13.8" thickBot="1">
      <c r="A502" s="67"/>
      <c r="B502" s="655">
        <f t="shared" si="58"/>
        <v>481</v>
      </c>
      <c r="C502" s="374" t="str">
        <f t="shared" si="59"/>
        <v/>
      </c>
      <c r="D502" s="784" t="str">
        <f t="shared" si="60"/>
        <v/>
      </c>
      <c r="E502" s="784" t="str">
        <f t="shared" si="61"/>
        <v/>
      </c>
      <c r="F502" s="785" t="str">
        <f t="shared" si="62"/>
        <v/>
      </c>
      <c r="G502" s="784" t="str">
        <f t="shared" si="57"/>
        <v/>
      </c>
      <c r="J502" s="612"/>
      <c r="Y502" s="663" t="str">
        <f>IF(C502="","",('transversal subsidence profile'!$L$5*EXP(-(C502^2)/(2*'transversal subsidence profile'!$J$5^2)))*100)</f>
        <v/>
      </c>
      <c r="Z502" s="664" t="str">
        <f>IF(C502="","",(+'transversal subsidence profile'!$L$6*EXP(-((C502+$G$10)^2)/(2*'transversal subsidence profile'!$J$6^2)))*100)</f>
        <v/>
      </c>
      <c r="AA502" s="751" t="str">
        <f>IF(C502="","",IF('IN-OUT'!$F$26=0,'Damage classification-Rankin'!Z502,IF('IN-OUT'!$F$35=0,Y502,'Damage classification-Rankin'!Y502+'Damage classification-Rankin'!Z502)))</f>
        <v/>
      </c>
    </row>
    <row r="503" spans="1:27" ht="13.8" thickBot="1">
      <c r="A503" s="67"/>
      <c r="B503" s="655">
        <f t="shared" si="58"/>
        <v>482</v>
      </c>
      <c r="C503" s="374" t="str">
        <f t="shared" si="59"/>
        <v/>
      </c>
      <c r="D503" s="784" t="str">
        <f t="shared" si="60"/>
        <v/>
      </c>
      <c r="E503" s="784" t="str">
        <f t="shared" si="61"/>
        <v/>
      </c>
      <c r="F503" s="785" t="str">
        <f t="shared" si="62"/>
        <v/>
      </c>
      <c r="G503" s="784" t="str">
        <f t="shared" si="57"/>
        <v/>
      </c>
      <c r="J503" s="612"/>
      <c r="Y503" s="663" t="str">
        <f>IF(C503="","",('transversal subsidence profile'!$L$5*EXP(-(C503^2)/(2*'transversal subsidence profile'!$J$5^2)))*100)</f>
        <v/>
      </c>
      <c r="Z503" s="664" t="str">
        <f>IF(C503="","",(+'transversal subsidence profile'!$L$6*EXP(-((C503+$G$10)^2)/(2*'transversal subsidence profile'!$J$6^2)))*100)</f>
        <v/>
      </c>
      <c r="AA503" s="751" t="str">
        <f>IF(C503="","",IF('IN-OUT'!$F$26=0,'Damage classification-Rankin'!Z503,IF('IN-OUT'!$F$35=0,Y503,'Damage classification-Rankin'!Y503+'Damage classification-Rankin'!Z503)))</f>
        <v/>
      </c>
    </row>
    <row r="504" spans="1:27" ht="13.8" thickBot="1">
      <c r="A504" s="67"/>
      <c r="B504" s="655">
        <f t="shared" si="58"/>
        <v>483</v>
      </c>
      <c r="C504" s="374" t="str">
        <f t="shared" si="59"/>
        <v/>
      </c>
      <c r="D504" s="784" t="str">
        <f t="shared" si="60"/>
        <v/>
      </c>
      <c r="E504" s="784" t="str">
        <f t="shared" si="61"/>
        <v/>
      </c>
      <c r="F504" s="785" t="str">
        <f t="shared" si="62"/>
        <v/>
      </c>
      <c r="G504" s="784" t="str">
        <f t="shared" si="57"/>
        <v/>
      </c>
      <c r="J504" s="612"/>
      <c r="Y504" s="663" t="str">
        <f>IF(C504="","",('transversal subsidence profile'!$L$5*EXP(-(C504^2)/(2*'transversal subsidence profile'!$J$5^2)))*100)</f>
        <v/>
      </c>
      <c r="Z504" s="664" t="str">
        <f>IF(C504="","",(+'transversal subsidence profile'!$L$6*EXP(-((C504+$G$10)^2)/(2*'transversal subsidence profile'!$J$6^2)))*100)</f>
        <v/>
      </c>
      <c r="AA504" s="751" t="str">
        <f>IF(C504="","",IF('IN-OUT'!$F$26=0,'Damage classification-Rankin'!Z504,IF('IN-OUT'!$F$35=0,Y504,'Damage classification-Rankin'!Y504+'Damage classification-Rankin'!Z504)))</f>
        <v/>
      </c>
    </row>
    <row r="505" spans="1:27" ht="13.8" thickBot="1">
      <c r="A505" s="67"/>
      <c r="B505" s="655">
        <f t="shared" si="58"/>
        <v>484</v>
      </c>
      <c r="C505" s="374" t="str">
        <f t="shared" si="59"/>
        <v/>
      </c>
      <c r="D505" s="784" t="str">
        <f t="shared" si="60"/>
        <v/>
      </c>
      <c r="E505" s="784" t="str">
        <f t="shared" si="61"/>
        <v/>
      </c>
      <c r="F505" s="785" t="str">
        <f t="shared" si="62"/>
        <v/>
      </c>
      <c r="G505" s="784" t="str">
        <f t="shared" si="57"/>
        <v/>
      </c>
      <c r="J505" s="612"/>
      <c r="Y505" s="663" t="str">
        <f>IF(C505="","",('transversal subsidence profile'!$L$5*EXP(-(C505^2)/(2*'transversal subsidence profile'!$J$5^2)))*100)</f>
        <v/>
      </c>
      <c r="Z505" s="664" t="str">
        <f>IF(C505="","",(+'transversal subsidence profile'!$L$6*EXP(-((C505+$G$10)^2)/(2*'transversal subsidence profile'!$J$6^2)))*100)</f>
        <v/>
      </c>
      <c r="AA505" s="751" t="str">
        <f>IF(C505="","",IF('IN-OUT'!$F$26=0,'Damage classification-Rankin'!Z505,IF('IN-OUT'!$F$35=0,Y505,'Damage classification-Rankin'!Y505+'Damage classification-Rankin'!Z505)))</f>
        <v/>
      </c>
    </row>
    <row r="506" spans="1:27" ht="13.8" thickBot="1">
      <c r="A506" s="67"/>
      <c r="B506" s="655">
        <f t="shared" si="58"/>
        <v>485</v>
      </c>
      <c r="C506" s="374" t="str">
        <f t="shared" si="59"/>
        <v/>
      </c>
      <c r="D506" s="784" t="str">
        <f t="shared" si="60"/>
        <v/>
      </c>
      <c r="E506" s="784" t="str">
        <f t="shared" si="61"/>
        <v/>
      </c>
      <c r="F506" s="785" t="str">
        <f t="shared" si="62"/>
        <v/>
      </c>
      <c r="G506" s="784" t="str">
        <f t="shared" si="57"/>
        <v/>
      </c>
      <c r="J506" s="612"/>
      <c r="Y506" s="663" t="str">
        <f>IF(C506="","",('transversal subsidence profile'!$L$5*EXP(-(C506^2)/(2*'transversal subsidence profile'!$J$5^2)))*100)</f>
        <v/>
      </c>
      <c r="Z506" s="664" t="str">
        <f>IF(C506="","",(+'transversal subsidence profile'!$L$6*EXP(-((C506+$G$10)^2)/(2*'transversal subsidence profile'!$J$6^2)))*100)</f>
        <v/>
      </c>
      <c r="AA506" s="751" t="str">
        <f>IF(C506="","",IF('IN-OUT'!$F$26=0,'Damage classification-Rankin'!Z506,IF('IN-OUT'!$F$35=0,Y506,'Damage classification-Rankin'!Y506+'Damage classification-Rankin'!Z506)))</f>
        <v/>
      </c>
    </row>
    <row r="507" spans="1:27" ht="13.8" thickBot="1">
      <c r="A507" s="67"/>
      <c r="B507" s="655">
        <f t="shared" si="58"/>
        <v>486</v>
      </c>
      <c r="C507" s="374" t="str">
        <f t="shared" si="59"/>
        <v/>
      </c>
      <c r="D507" s="784" t="str">
        <f t="shared" si="60"/>
        <v/>
      </c>
      <c r="E507" s="784" t="str">
        <f t="shared" si="61"/>
        <v/>
      </c>
      <c r="F507" s="785" t="str">
        <f t="shared" si="62"/>
        <v/>
      </c>
      <c r="G507" s="784" t="str">
        <f t="shared" si="57"/>
        <v/>
      </c>
      <c r="J507" s="612"/>
      <c r="Y507" s="663" t="str">
        <f>IF(C507="","",('transversal subsidence profile'!$L$5*EXP(-(C507^2)/(2*'transversal subsidence profile'!$J$5^2)))*100)</f>
        <v/>
      </c>
      <c r="Z507" s="664" t="str">
        <f>IF(C507="","",(+'transversal subsidence profile'!$L$6*EXP(-((C507+$G$10)^2)/(2*'transversal subsidence profile'!$J$6^2)))*100)</f>
        <v/>
      </c>
      <c r="AA507" s="751" t="str">
        <f>IF(C507="","",IF('IN-OUT'!$F$26=0,'Damage classification-Rankin'!Z507,IF('IN-OUT'!$F$35=0,Y507,'Damage classification-Rankin'!Y507+'Damage classification-Rankin'!Z507)))</f>
        <v/>
      </c>
    </row>
    <row r="508" spans="1:27" ht="13.8" thickBot="1">
      <c r="A508" s="67"/>
      <c r="B508" s="655">
        <f t="shared" si="58"/>
        <v>487</v>
      </c>
      <c r="C508" s="374" t="str">
        <f t="shared" si="59"/>
        <v/>
      </c>
      <c r="D508" s="784" t="str">
        <f t="shared" si="60"/>
        <v/>
      </c>
      <c r="E508" s="784" t="str">
        <f t="shared" si="61"/>
        <v/>
      </c>
      <c r="F508" s="785" t="str">
        <f t="shared" si="62"/>
        <v/>
      </c>
      <c r="G508" s="784" t="str">
        <f t="shared" si="57"/>
        <v/>
      </c>
      <c r="J508" s="612"/>
      <c r="Y508" s="663" t="str">
        <f>IF(C508="","",('transversal subsidence profile'!$L$5*EXP(-(C508^2)/(2*'transversal subsidence profile'!$J$5^2)))*100)</f>
        <v/>
      </c>
      <c r="Z508" s="664" t="str">
        <f>IF(C508="","",(+'transversal subsidence profile'!$L$6*EXP(-((C508+$G$10)^2)/(2*'transversal subsidence profile'!$J$6^2)))*100)</f>
        <v/>
      </c>
      <c r="AA508" s="751" t="str">
        <f>IF(C508="","",IF('IN-OUT'!$F$26=0,'Damage classification-Rankin'!Z508,IF('IN-OUT'!$F$35=0,Y508,'Damage classification-Rankin'!Y508+'Damage classification-Rankin'!Z508)))</f>
        <v/>
      </c>
    </row>
    <row r="509" spans="1:27" ht="13.8" thickBot="1">
      <c r="A509" s="67"/>
      <c r="B509" s="655">
        <f t="shared" si="58"/>
        <v>488</v>
      </c>
      <c r="C509" s="374" t="str">
        <f t="shared" si="59"/>
        <v/>
      </c>
      <c r="D509" s="784" t="str">
        <f t="shared" si="60"/>
        <v/>
      </c>
      <c r="E509" s="784" t="str">
        <f t="shared" si="61"/>
        <v/>
      </c>
      <c r="F509" s="785" t="str">
        <f t="shared" si="62"/>
        <v/>
      </c>
      <c r="G509" s="784" t="str">
        <f t="shared" si="57"/>
        <v/>
      </c>
      <c r="J509" s="612"/>
      <c r="Y509" s="663" t="str">
        <f>IF(C509="","",('transversal subsidence profile'!$L$5*EXP(-(C509^2)/(2*'transversal subsidence profile'!$J$5^2)))*100)</f>
        <v/>
      </c>
      <c r="Z509" s="664" t="str">
        <f>IF(C509="","",(+'transversal subsidence profile'!$L$6*EXP(-((C509+$G$10)^2)/(2*'transversal subsidence profile'!$J$6^2)))*100)</f>
        <v/>
      </c>
      <c r="AA509" s="751" t="str">
        <f>IF(C509="","",IF('IN-OUT'!$F$26=0,'Damage classification-Rankin'!Z509,IF('IN-OUT'!$F$35=0,Y509,'Damage classification-Rankin'!Y509+'Damage classification-Rankin'!Z509)))</f>
        <v/>
      </c>
    </row>
    <row r="510" spans="1:27" ht="13.8" thickBot="1">
      <c r="A510" s="67"/>
      <c r="B510" s="655">
        <f t="shared" si="58"/>
        <v>489</v>
      </c>
      <c r="C510" s="374" t="str">
        <f t="shared" si="59"/>
        <v/>
      </c>
      <c r="D510" s="784" t="str">
        <f t="shared" si="60"/>
        <v/>
      </c>
      <c r="E510" s="784" t="str">
        <f t="shared" si="61"/>
        <v/>
      </c>
      <c r="F510" s="785" t="str">
        <f t="shared" si="62"/>
        <v/>
      </c>
      <c r="G510" s="784" t="str">
        <f t="shared" si="57"/>
        <v/>
      </c>
      <c r="J510" s="612"/>
      <c r="Y510" s="663" t="str">
        <f>IF(C510="","",('transversal subsidence profile'!$L$5*EXP(-(C510^2)/(2*'transversal subsidence profile'!$J$5^2)))*100)</f>
        <v/>
      </c>
      <c r="Z510" s="664" t="str">
        <f>IF(C510="","",(+'transversal subsidence profile'!$L$6*EXP(-((C510+$G$10)^2)/(2*'transversal subsidence profile'!$J$6^2)))*100)</f>
        <v/>
      </c>
      <c r="AA510" s="751" t="str">
        <f>IF(C510="","",IF('IN-OUT'!$F$26=0,'Damage classification-Rankin'!Z510,IF('IN-OUT'!$F$35=0,Y510,'Damage classification-Rankin'!Y510+'Damage classification-Rankin'!Z510)))</f>
        <v/>
      </c>
    </row>
    <row r="511" spans="1:27" ht="13.8" thickBot="1">
      <c r="A511" s="67"/>
      <c r="B511" s="655">
        <f t="shared" si="58"/>
        <v>490</v>
      </c>
      <c r="C511" s="374" t="str">
        <f t="shared" si="59"/>
        <v/>
      </c>
      <c r="D511" s="784" t="str">
        <f t="shared" si="60"/>
        <v/>
      </c>
      <c r="E511" s="784" t="str">
        <f t="shared" si="61"/>
        <v/>
      </c>
      <c r="F511" s="785" t="str">
        <f t="shared" si="62"/>
        <v/>
      </c>
      <c r="G511" s="784" t="str">
        <f t="shared" si="57"/>
        <v/>
      </c>
      <c r="J511" s="612"/>
      <c r="Y511" s="663" t="str">
        <f>IF(C511="","",('transversal subsidence profile'!$L$5*EXP(-(C511^2)/(2*'transversal subsidence profile'!$J$5^2)))*100)</f>
        <v/>
      </c>
      <c r="Z511" s="664" t="str">
        <f>IF(C511="","",(+'transversal subsidence profile'!$L$6*EXP(-((C511+$G$10)^2)/(2*'transversal subsidence profile'!$J$6^2)))*100)</f>
        <v/>
      </c>
      <c r="AA511" s="751" t="str">
        <f>IF(C511="","",IF('IN-OUT'!$F$26=0,'Damage classification-Rankin'!Z511,IF('IN-OUT'!$F$35=0,Y511,'Damage classification-Rankin'!Y511+'Damage classification-Rankin'!Z511)))</f>
        <v/>
      </c>
    </row>
    <row r="512" spans="1:27" ht="13.8" thickBot="1">
      <c r="A512" s="67"/>
      <c r="B512" s="655">
        <f t="shared" si="58"/>
        <v>491</v>
      </c>
      <c r="C512" s="374" t="str">
        <f t="shared" si="59"/>
        <v/>
      </c>
      <c r="D512" s="784" t="str">
        <f t="shared" si="60"/>
        <v/>
      </c>
      <c r="E512" s="784" t="str">
        <f t="shared" si="61"/>
        <v/>
      </c>
      <c r="F512" s="785" t="str">
        <f t="shared" si="62"/>
        <v/>
      </c>
      <c r="G512" s="784" t="str">
        <f t="shared" si="57"/>
        <v/>
      </c>
      <c r="J512" s="612"/>
      <c r="Y512" s="663" t="str">
        <f>IF(C512="","",('transversal subsidence profile'!$L$5*EXP(-(C512^2)/(2*'transversal subsidence profile'!$J$5^2)))*100)</f>
        <v/>
      </c>
      <c r="Z512" s="664" t="str">
        <f>IF(C512="","",(+'transversal subsidence profile'!$L$6*EXP(-((C512+$G$10)^2)/(2*'transversal subsidence profile'!$J$6^2)))*100)</f>
        <v/>
      </c>
      <c r="AA512" s="751" t="str">
        <f>IF(C512="","",IF('IN-OUT'!$F$26=0,'Damage classification-Rankin'!Z512,IF('IN-OUT'!$F$35=0,Y512,'Damage classification-Rankin'!Y512+'Damage classification-Rankin'!Z512)))</f>
        <v/>
      </c>
    </row>
    <row r="513" spans="1:27" ht="13.8" thickBot="1">
      <c r="A513" s="67"/>
      <c r="B513" s="655">
        <f t="shared" si="58"/>
        <v>492</v>
      </c>
      <c r="C513" s="374" t="str">
        <f t="shared" si="59"/>
        <v/>
      </c>
      <c r="D513" s="784" t="str">
        <f t="shared" si="60"/>
        <v/>
      </c>
      <c r="E513" s="784" t="str">
        <f t="shared" si="61"/>
        <v/>
      </c>
      <c r="F513" s="785" t="str">
        <f t="shared" si="62"/>
        <v/>
      </c>
      <c r="G513" s="784" t="str">
        <f t="shared" si="57"/>
        <v/>
      </c>
      <c r="J513" s="612"/>
      <c r="Y513" s="663" t="str">
        <f>IF(C513="","",('transversal subsidence profile'!$L$5*EXP(-(C513^2)/(2*'transversal subsidence profile'!$J$5^2)))*100)</f>
        <v/>
      </c>
      <c r="Z513" s="664" t="str">
        <f>IF(C513="","",(+'transversal subsidence profile'!$L$6*EXP(-((C513+$G$10)^2)/(2*'transversal subsidence profile'!$J$6^2)))*100)</f>
        <v/>
      </c>
      <c r="AA513" s="751" t="str">
        <f>IF(C513="","",IF('IN-OUT'!$F$26=0,'Damage classification-Rankin'!Z513,IF('IN-OUT'!$F$35=0,Y513,'Damage classification-Rankin'!Y513+'Damage classification-Rankin'!Z513)))</f>
        <v/>
      </c>
    </row>
    <row r="514" spans="1:27" ht="13.8" thickBot="1">
      <c r="A514" s="67"/>
      <c r="B514" s="655">
        <f t="shared" si="58"/>
        <v>493</v>
      </c>
      <c r="C514" s="374" t="str">
        <f t="shared" si="59"/>
        <v/>
      </c>
      <c r="D514" s="784" t="str">
        <f t="shared" si="60"/>
        <v/>
      </c>
      <c r="E514" s="784" t="str">
        <f t="shared" si="61"/>
        <v/>
      </c>
      <c r="F514" s="785" t="str">
        <f t="shared" si="62"/>
        <v/>
      </c>
      <c r="G514" s="784" t="str">
        <f t="shared" si="57"/>
        <v/>
      </c>
      <c r="J514" s="612"/>
      <c r="Y514" s="663" t="str">
        <f>IF(C514="","",('transversal subsidence profile'!$L$5*EXP(-(C514^2)/(2*'transversal subsidence profile'!$J$5^2)))*100)</f>
        <v/>
      </c>
      <c r="Z514" s="664" t="str">
        <f>IF(C514="","",(+'transversal subsidence profile'!$L$6*EXP(-((C514+$G$10)^2)/(2*'transversal subsidence profile'!$J$6^2)))*100)</f>
        <v/>
      </c>
      <c r="AA514" s="751" t="str">
        <f>IF(C514="","",IF('IN-OUT'!$F$26=0,'Damage classification-Rankin'!Z514,IF('IN-OUT'!$F$35=0,Y514,'Damage classification-Rankin'!Y514+'Damage classification-Rankin'!Z514)))</f>
        <v/>
      </c>
    </row>
    <row r="515" spans="1:27" ht="13.8" thickBot="1">
      <c r="A515" s="67"/>
      <c r="B515" s="655">
        <f t="shared" si="58"/>
        <v>494</v>
      </c>
      <c r="C515" s="374" t="str">
        <f t="shared" si="59"/>
        <v/>
      </c>
      <c r="D515" s="784" t="str">
        <f t="shared" si="60"/>
        <v/>
      </c>
      <c r="E515" s="784" t="str">
        <f t="shared" si="61"/>
        <v/>
      </c>
      <c r="F515" s="785" t="str">
        <f t="shared" si="62"/>
        <v/>
      </c>
      <c r="G515" s="784" t="str">
        <f t="shared" si="57"/>
        <v/>
      </c>
      <c r="J515" s="612"/>
      <c r="Y515" s="663" t="str">
        <f>IF(C515="","",('transversal subsidence profile'!$L$5*EXP(-(C515^2)/(2*'transversal subsidence profile'!$J$5^2)))*100)</f>
        <v/>
      </c>
      <c r="Z515" s="664" t="str">
        <f>IF(C515="","",(+'transversal subsidence profile'!$L$6*EXP(-((C515+$G$10)^2)/(2*'transversal subsidence profile'!$J$6^2)))*100)</f>
        <v/>
      </c>
      <c r="AA515" s="751" t="str">
        <f>IF(C515="","",IF('IN-OUT'!$F$26=0,'Damage classification-Rankin'!Z515,IF('IN-OUT'!$F$35=0,Y515,'Damage classification-Rankin'!Y515+'Damage classification-Rankin'!Z515)))</f>
        <v/>
      </c>
    </row>
    <row r="516" spans="1:27" ht="13.8" thickBot="1">
      <c r="A516" s="67"/>
      <c r="B516" s="655">
        <f t="shared" si="58"/>
        <v>495</v>
      </c>
      <c r="C516" s="374" t="str">
        <f t="shared" si="59"/>
        <v/>
      </c>
      <c r="D516" s="784" t="str">
        <f t="shared" si="60"/>
        <v/>
      </c>
      <c r="E516" s="784" t="str">
        <f t="shared" si="61"/>
        <v/>
      </c>
      <c r="F516" s="785" t="str">
        <f t="shared" si="62"/>
        <v/>
      </c>
      <c r="G516" s="784" t="str">
        <f t="shared" si="57"/>
        <v/>
      </c>
      <c r="J516" s="612"/>
      <c r="Y516" s="663" t="str">
        <f>IF(C516="","",('transversal subsidence profile'!$L$5*EXP(-(C516^2)/(2*'transversal subsidence profile'!$J$5^2)))*100)</f>
        <v/>
      </c>
      <c r="Z516" s="664" t="str">
        <f>IF(C516="","",(+'transversal subsidence profile'!$L$6*EXP(-((C516+$G$10)^2)/(2*'transversal subsidence profile'!$J$6^2)))*100)</f>
        <v/>
      </c>
      <c r="AA516" s="751" t="str">
        <f>IF(C516="","",IF('IN-OUT'!$F$26=0,'Damage classification-Rankin'!Z516,IF('IN-OUT'!$F$35=0,Y516,'Damage classification-Rankin'!Y516+'Damage classification-Rankin'!Z516)))</f>
        <v/>
      </c>
    </row>
    <row r="517" spans="1:27" ht="13.8" thickBot="1">
      <c r="A517" s="67"/>
      <c r="B517" s="655">
        <f t="shared" si="58"/>
        <v>496</v>
      </c>
      <c r="C517" s="374" t="str">
        <f t="shared" si="59"/>
        <v/>
      </c>
      <c r="D517" s="784" t="str">
        <f t="shared" si="60"/>
        <v/>
      </c>
      <c r="E517" s="784" t="str">
        <f t="shared" si="61"/>
        <v/>
      </c>
      <c r="F517" s="785" t="str">
        <f t="shared" si="62"/>
        <v/>
      </c>
      <c r="G517" s="784" t="str">
        <f t="shared" si="57"/>
        <v/>
      </c>
      <c r="J517" s="612"/>
      <c r="Y517" s="663" t="str">
        <f>IF(C517="","",('transversal subsidence profile'!$L$5*EXP(-(C517^2)/(2*'transversal subsidence profile'!$J$5^2)))*100)</f>
        <v/>
      </c>
      <c r="Z517" s="664" t="str">
        <f>IF(C517="","",(+'transversal subsidence profile'!$L$6*EXP(-((C517+$G$10)^2)/(2*'transversal subsidence profile'!$J$6^2)))*100)</f>
        <v/>
      </c>
      <c r="AA517" s="751" t="str">
        <f>IF(C517="","",IF('IN-OUT'!$F$26=0,'Damage classification-Rankin'!Z517,IF('IN-OUT'!$F$35=0,Y517,'Damage classification-Rankin'!Y517+'Damage classification-Rankin'!Z517)))</f>
        <v/>
      </c>
    </row>
    <row r="518" spans="1:27" ht="13.8" thickBot="1">
      <c r="A518" s="67"/>
      <c r="B518" s="655">
        <f t="shared" si="58"/>
        <v>497</v>
      </c>
      <c r="C518" s="374" t="str">
        <f t="shared" si="59"/>
        <v/>
      </c>
      <c r="D518" s="784" t="str">
        <f t="shared" si="60"/>
        <v/>
      </c>
      <c r="E518" s="784" t="str">
        <f t="shared" si="61"/>
        <v/>
      </c>
      <c r="F518" s="785" t="str">
        <f t="shared" si="62"/>
        <v/>
      </c>
      <c r="G518" s="784" t="str">
        <f t="shared" si="57"/>
        <v/>
      </c>
      <c r="J518" s="612"/>
      <c r="Y518" s="663" t="str">
        <f>IF(C518="","",('transversal subsidence profile'!$L$5*EXP(-(C518^2)/(2*'transversal subsidence profile'!$J$5^2)))*100)</f>
        <v/>
      </c>
      <c r="Z518" s="664" t="str">
        <f>IF(C518="","",(+'transversal subsidence profile'!$L$6*EXP(-((C518+$G$10)^2)/(2*'transversal subsidence profile'!$J$6^2)))*100)</f>
        <v/>
      </c>
      <c r="AA518" s="751" t="str">
        <f>IF(C518="","",IF('IN-OUT'!$F$26=0,'Damage classification-Rankin'!Z518,IF('IN-OUT'!$F$35=0,Y518,'Damage classification-Rankin'!Y518+'Damage classification-Rankin'!Z518)))</f>
        <v/>
      </c>
    </row>
    <row r="519" spans="1:27" ht="13.8" thickBot="1">
      <c r="A519" s="67"/>
      <c r="B519" s="655">
        <f t="shared" si="58"/>
        <v>498</v>
      </c>
      <c r="C519" s="374" t="str">
        <f t="shared" si="59"/>
        <v/>
      </c>
      <c r="D519" s="784" t="str">
        <f t="shared" si="60"/>
        <v/>
      </c>
      <c r="E519" s="784" t="str">
        <f t="shared" si="61"/>
        <v/>
      </c>
      <c r="F519" s="785" t="str">
        <f t="shared" si="62"/>
        <v/>
      </c>
      <c r="G519" s="784" t="str">
        <f t="shared" si="57"/>
        <v/>
      </c>
      <c r="J519" s="612"/>
      <c r="Y519" s="663" t="str">
        <f>IF(C519="","",('transversal subsidence profile'!$L$5*EXP(-(C519^2)/(2*'transversal subsidence profile'!$J$5^2)))*100)</f>
        <v/>
      </c>
      <c r="Z519" s="664" t="str">
        <f>IF(C519="","",(+'transversal subsidence profile'!$L$6*EXP(-((C519+$G$10)^2)/(2*'transversal subsidence profile'!$J$6^2)))*100)</f>
        <v/>
      </c>
      <c r="AA519" s="751" t="str">
        <f>IF(C519="","",IF('IN-OUT'!$F$26=0,'Damage classification-Rankin'!Z519,IF('IN-OUT'!$F$35=0,Y519,'Damage classification-Rankin'!Y519+'Damage classification-Rankin'!Z519)))</f>
        <v/>
      </c>
    </row>
    <row r="520" spans="1:27" ht="13.8" thickBot="1">
      <c r="A520" s="67"/>
      <c r="B520" s="655">
        <f t="shared" si="58"/>
        <v>499</v>
      </c>
      <c r="C520" s="374" t="str">
        <f t="shared" si="59"/>
        <v/>
      </c>
      <c r="D520" s="784" t="str">
        <f t="shared" si="60"/>
        <v/>
      </c>
      <c r="E520" s="784" t="str">
        <f t="shared" si="61"/>
        <v/>
      </c>
      <c r="F520" s="785" t="str">
        <f t="shared" si="62"/>
        <v/>
      </c>
      <c r="G520" s="784" t="str">
        <f t="shared" si="57"/>
        <v/>
      </c>
      <c r="J520" s="612"/>
      <c r="Y520" s="663" t="str">
        <f>IF(C520="","",('transversal subsidence profile'!$L$5*EXP(-(C520^2)/(2*'transversal subsidence profile'!$J$5^2)))*100)</f>
        <v/>
      </c>
      <c r="Z520" s="664" t="str">
        <f>IF(C520="","",(+'transversal subsidence profile'!$L$6*EXP(-((C520+$G$10)^2)/(2*'transversal subsidence profile'!$J$6^2)))*100)</f>
        <v/>
      </c>
      <c r="AA520" s="751" t="str">
        <f>IF(C520="","",IF('IN-OUT'!$F$26=0,'Damage classification-Rankin'!Z520,IF('IN-OUT'!$F$35=0,Y520,'Damage classification-Rankin'!Y520+'Damage classification-Rankin'!Z520)))</f>
        <v/>
      </c>
    </row>
    <row r="521" spans="1:27" s="654" customFormat="1" ht="13.8" thickBot="1">
      <c r="A521" s="656"/>
      <c r="B521" s="655">
        <f t="shared" si="58"/>
        <v>500</v>
      </c>
      <c r="C521" s="374" t="str">
        <f t="shared" si="59"/>
        <v/>
      </c>
      <c r="D521" s="784" t="str">
        <f t="shared" si="60"/>
        <v/>
      </c>
      <c r="E521" s="784" t="str">
        <f t="shared" si="61"/>
        <v/>
      </c>
      <c r="F521" s="785" t="str">
        <f t="shared" si="62"/>
        <v/>
      </c>
      <c r="G521" s="784" t="str">
        <f t="shared" si="57"/>
        <v/>
      </c>
      <c r="J521" s="503"/>
      <c r="U521" s="749"/>
      <c r="V521" s="749"/>
      <c r="Y521" s="748" t="str">
        <f>IF(C521="","",('transversal subsidence profile'!$L$5*EXP(-(C521^2)/(2*'transversal subsidence profile'!$J$5^2)))*100)</f>
        <v/>
      </c>
      <c r="Z521" s="750" t="str">
        <f>IF(C521="","",(+'transversal subsidence profile'!$L$6*EXP(-((C521+$G$10)^2)/(2*'transversal subsidence profile'!$J$6^2)))*100)</f>
        <v/>
      </c>
      <c r="AA521" s="751" t="str">
        <f>IF(C521="","",IF('IN-OUT'!$F$26=0,'Damage classification-Rankin'!Z521,IF('IN-OUT'!$F$35=0,Y521,'Damage classification-Rankin'!Y521+'Damage classification-Rankin'!Z521)))</f>
        <v/>
      </c>
    </row>
    <row r="522" spans="1:27" ht="13.8" thickBot="1">
      <c r="A522" s="67"/>
      <c r="B522" s="655">
        <f t="shared" ref="B522:B585" si="63">B521+1</f>
        <v>501</v>
      </c>
      <c r="C522" s="374" t="str">
        <f t="shared" ref="C522:C585" si="64">IF(OR(C521=$D$8,C521=""),"",IF((C521+$C$19)&gt;$D$8,$D$8,C521+$C$19))</f>
        <v/>
      </c>
      <c r="D522" s="784" t="str">
        <f t="shared" ref="D522:D585" si="65">AA522</f>
        <v/>
      </c>
      <c r="E522" s="784" t="str">
        <f t="shared" ref="E522:E585" si="66">IF(C522="","",IF(D522&gt;D521,ATAN(((D522-D521))/ABS((C522-C521)*100)),-ATAN(((D521-D522))/ABS((C522-C521)*100))))</f>
        <v/>
      </c>
      <c r="F522" s="785" t="str">
        <f t="shared" ref="F522:F585" si="67">IF(C522&lt;&gt;"",ABS(D521-D522),"")</f>
        <v/>
      </c>
      <c r="G522" s="784" t="str">
        <f t="shared" si="57"/>
        <v/>
      </c>
      <c r="Y522" s="663" t="str">
        <f>IF(C522="","",('transversal subsidence profile'!$L$5*EXP(-(C522^2)/(2*'transversal subsidence profile'!$J$5^2)))*100)</f>
        <v/>
      </c>
      <c r="Z522" s="664" t="str">
        <f>IF(C522="","",(+'transversal subsidence profile'!$L$6*EXP(-((C522+$G$10)^2)/(2*'transversal subsidence profile'!$J$6^2)))*100)</f>
        <v/>
      </c>
      <c r="AA522" s="751" t="str">
        <f>IF(C522="","",IF('IN-OUT'!$F$26=0,'Damage classification-Rankin'!Z522,IF('IN-OUT'!$F$35=0,Y522,'Damage classification-Rankin'!Y522+'Damage classification-Rankin'!Z522)))</f>
        <v/>
      </c>
    </row>
    <row r="523" spans="1:27" ht="13.8" thickBot="1">
      <c r="A523" s="67"/>
      <c r="B523" s="655">
        <f t="shared" si="63"/>
        <v>502</v>
      </c>
      <c r="C523" s="374" t="str">
        <f t="shared" si="64"/>
        <v/>
      </c>
      <c r="D523" s="784" t="str">
        <f t="shared" si="65"/>
        <v/>
      </c>
      <c r="E523" s="784" t="str">
        <f t="shared" si="66"/>
        <v/>
      </c>
      <c r="F523" s="785" t="str">
        <f t="shared" si="67"/>
        <v/>
      </c>
      <c r="G523" s="784" t="str">
        <f t="shared" si="57"/>
        <v/>
      </c>
      <c r="Y523" s="663" t="str">
        <f>IF(C523="","",('transversal subsidence profile'!$L$5*EXP(-(C523^2)/(2*'transversal subsidence profile'!$J$5^2)))*100)</f>
        <v/>
      </c>
      <c r="Z523" s="664" t="str">
        <f>IF(C523="","",(+'transversal subsidence profile'!$L$6*EXP(-((C523+$G$10)^2)/(2*'transversal subsidence profile'!$J$6^2)))*100)</f>
        <v/>
      </c>
      <c r="AA523" s="751" t="str">
        <f>IF(C523="","",IF('IN-OUT'!$F$26=0,'Damage classification-Rankin'!Z523,IF('IN-OUT'!$F$35=0,Y523,'Damage classification-Rankin'!Y523+'Damage classification-Rankin'!Z523)))</f>
        <v/>
      </c>
    </row>
    <row r="524" spans="1:27" ht="13.8" thickBot="1">
      <c r="A524" s="67"/>
      <c r="B524" s="655">
        <f t="shared" si="63"/>
        <v>503</v>
      </c>
      <c r="C524" s="374" t="str">
        <f t="shared" si="64"/>
        <v/>
      </c>
      <c r="D524" s="784" t="str">
        <f t="shared" si="65"/>
        <v/>
      </c>
      <c r="E524" s="784" t="str">
        <f t="shared" si="66"/>
        <v/>
      </c>
      <c r="F524" s="785" t="str">
        <f t="shared" si="67"/>
        <v/>
      </c>
      <c r="G524" s="784" t="str">
        <f t="shared" si="57"/>
        <v/>
      </c>
      <c r="Y524" s="663" t="str">
        <f>IF(C524="","",('transversal subsidence profile'!$L$5*EXP(-(C524^2)/(2*'transversal subsidence profile'!$J$5^2)))*100)</f>
        <v/>
      </c>
      <c r="Z524" s="664" t="str">
        <f>IF(C524="","",(+'transversal subsidence profile'!$L$6*EXP(-((C524+$G$10)^2)/(2*'transversal subsidence profile'!$J$6^2)))*100)</f>
        <v/>
      </c>
      <c r="AA524" s="751" t="str">
        <f>IF(C524="","",IF('IN-OUT'!$F$26=0,'Damage classification-Rankin'!Z524,IF('IN-OUT'!$F$35=0,Y524,'Damage classification-Rankin'!Y524+'Damage classification-Rankin'!Z524)))</f>
        <v/>
      </c>
    </row>
    <row r="525" spans="1:27" ht="13.8" thickBot="1">
      <c r="A525" s="67"/>
      <c r="B525" s="655">
        <f t="shared" si="63"/>
        <v>504</v>
      </c>
      <c r="C525" s="374" t="str">
        <f t="shared" si="64"/>
        <v/>
      </c>
      <c r="D525" s="784" t="str">
        <f t="shared" si="65"/>
        <v/>
      </c>
      <c r="E525" s="784" t="str">
        <f t="shared" si="66"/>
        <v/>
      </c>
      <c r="F525" s="785" t="str">
        <f t="shared" si="67"/>
        <v/>
      </c>
      <c r="G525" s="784" t="str">
        <f t="shared" si="57"/>
        <v/>
      </c>
      <c r="Y525" s="663" t="str">
        <f>IF(C525="","",('transversal subsidence profile'!$L$5*EXP(-(C525^2)/(2*'transversal subsidence profile'!$J$5^2)))*100)</f>
        <v/>
      </c>
      <c r="Z525" s="664" t="str">
        <f>IF(C525="","",(+'transversal subsidence profile'!$L$6*EXP(-((C525+$G$10)^2)/(2*'transversal subsidence profile'!$J$6^2)))*100)</f>
        <v/>
      </c>
      <c r="AA525" s="751" t="str">
        <f>IF(C525="","",IF('IN-OUT'!$F$26=0,'Damage classification-Rankin'!Z525,IF('IN-OUT'!$F$35=0,Y525,'Damage classification-Rankin'!Y525+'Damage classification-Rankin'!Z525)))</f>
        <v/>
      </c>
    </row>
    <row r="526" spans="1:27" ht="13.8" thickBot="1">
      <c r="A526" s="67"/>
      <c r="B526" s="655">
        <f t="shared" si="63"/>
        <v>505</v>
      </c>
      <c r="C526" s="374" t="str">
        <f t="shared" si="64"/>
        <v/>
      </c>
      <c r="D526" s="784" t="str">
        <f t="shared" si="65"/>
        <v/>
      </c>
      <c r="E526" s="784" t="str">
        <f t="shared" si="66"/>
        <v/>
      </c>
      <c r="F526" s="785" t="str">
        <f t="shared" si="67"/>
        <v/>
      </c>
      <c r="G526" s="784" t="str">
        <f t="shared" si="57"/>
        <v/>
      </c>
      <c r="Y526" s="663" t="str">
        <f>IF(C526="","",('transversal subsidence profile'!$L$5*EXP(-(C526^2)/(2*'transversal subsidence profile'!$J$5^2)))*100)</f>
        <v/>
      </c>
      <c r="Z526" s="664" t="str">
        <f>IF(C526="","",(+'transversal subsidence profile'!$L$6*EXP(-((C526+$G$10)^2)/(2*'transversal subsidence profile'!$J$6^2)))*100)</f>
        <v/>
      </c>
      <c r="AA526" s="751" t="str">
        <f>IF(C526="","",IF('IN-OUT'!$F$26=0,'Damage classification-Rankin'!Z526,IF('IN-OUT'!$F$35=0,Y526,'Damage classification-Rankin'!Y526+'Damage classification-Rankin'!Z526)))</f>
        <v/>
      </c>
    </row>
    <row r="527" spans="1:27" ht="13.8" thickBot="1">
      <c r="A527" s="67"/>
      <c r="B527" s="655">
        <f t="shared" si="63"/>
        <v>506</v>
      </c>
      <c r="C527" s="374" t="str">
        <f t="shared" si="64"/>
        <v/>
      </c>
      <c r="D527" s="784" t="str">
        <f t="shared" si="65"/>
        <v/>
      </c>
      <c r="E527" s="784" t="str">
        <f t="shared" si="66"/>
        <v/>
      </c>
      <c r="F527" s="785" t="str">
        <f t="shared" si="67"/>
        <v/>
      </c>
      <c r="G527" s="784" t="str">
        <f t="shared" si="57"/>
        <v/>
      </c>
      <c r="Y527" s="663" t="str">
        <f>IF(C527="","",('transversal subsidence profile'!$L$5*EXP(-(C527^2)/(2*'transversal subsidence profile'!$J$5^2)))*100)</f>
        <v/>
      </c>
      <c r="Z527" s="664" t="str">
        <f>IF(C527="","",(+'transversal subsidence profile'!$L$6*EXP(-((C527+$G$10)^2)/(2*'transversal subsidence profile'!$J$6^2)))*100)</f>
        <v/>
      </c>
      <c r="AA527" s="751" t="str">
        <f>IF(C527="","",IF('IN-OUT'!$F$26=0,'Damage classification-Rankin'!Z527,IF('IN-OUT'!$F$35=0,Y527,'Damage classification-Rankin'!Y527+'Damage classification-Rankin'!Z527)))</f>
        <v/>
      </c>
    </row>
    <row r="528" spans="1:27" ht="13.8" thickBot="1">
      <c r="A528" s="67"/>
      <c r="B528" s="655">
        <f t="shared" si="63"/>
        <v>507</v>
      </c>
      <c r="C528" s="374" t="str">
        <f t="shared" si="64"/>
        <v/>
      </c>
      <c r="D528" s="784" t="str">
        <f t="shared" si="65"/>
        <v/>
      </c>
      <c r="E528" s="784" t="str">
        <f t="shared" si="66"/>
        <v/>
      </c>
      <c r="F528" s="785" t="str">
        <f t="shared" si="67"/>
        <v/>
      </c>
      <c r="G528" s="784" t="str">
        <f t="shared" si="57"/>
        <v/>
      </c>
      <c r="Y528" s="663" t="str">
        <f>IF(C528="","",('transversal subsidence profile'!$L$5*EXP(-(C528^2)/(2*'transversal subsidence profile'!$J$5^2)))*100)</f>
        <v/>
      </c>
      <c r="Z528" s="664" t="str">
        <f>IF(C528="","",(+'transversal subsidence profile'!$L$6*EXP(-((C528+$G$10)^2)/(2*'transversal subsidence profile'!$J$6^2)))*100)</f>
        <v/>
      </c>
      <c r="AA528" s="751" t="str">
        <f>IF(C528="","",IF('IN-OUT'!$F$26=0,'Damage classification-Rankin'!Z528,IF('IN-OUT'!$F$35=0,Y528,'Damage classification-Rankin'!Y528+'Damage classification-Rankin'!Z528)))</f>
        <v/>
      </c>
    </row>
    <row r="529" spans="1:27" ht="13.8" thickBot="1">
      <c r="A529" s="67"/>
      <c r="B529" s="655">
        <f t="shared" si="63"/>
        <v>508</v>
      </c>
      <c r="C529" s="374" t="str">
        <f t="shared" si="64"/>
        <v/>
      </c>
      <c r="D529" s="784" t="str">
        <f t="shared" si="65"/>
        <v/>
      </c>
      <c r="E529" s="784" t="str">
        <f t="shared" si="66"/>
        <v/>
      </c>
      <c r="F529" s="785" t="str">
        <f t="shared" si="67"/>
        <v/>
      </c>
      <c r="G529" s="784" t="str">
        <f t="shared" si="57"/>
        <v/>
      </c>
      <c r="Y529" s="663" t="str">
        <f>IF(C529="","",('transversal subsidence profile'!$L$5*EXP(-(C529^2)/(2*'transversal subsidence profile'!$J$5^2)))*100)</f>
        <v/>
      </c>
      <c r="Z529" s="664" t="str">
        <f>IF(C529="","",(+'transversal subsidence profile'!$L$6*EXP(-((C529+$G$10)^2)/(2*'transversal subsidence profile'!$J$6^2)))*100)</f>
        <v/>
      </c>
      <c r="AA529" s="751" t="str">
        <f>IF(C529="","",IF('IN-OUT'!$F$26=0,'Damage classification-Rankin'!Z529,IF('IN-OUT'!$F$35=0,Y529,'Damage classification-Rankin'!Y529+'Damage classification-Rankin'!Z529)))</f>
        <v/>
      </c>
    </row>
    <row r="530" spans="1:27" ht="13.8" thickBot="1">
      <c r="A530" s="67"/>
      <c r="B530" s="655">
        <f t="shared" si="63"/>
        <v>509</v>
      </c>
      <c r="C530" s="374" t="str">
        <f t="shared" si="64"/>
        <v/>
      </c>
      <c r="D530" s="784" t="str">
        <f t="shared" si="65"/>
        <v/>
      </c>
      <c r="E530" s="784" t="str">
        <f t="shared" si="66"/>
        <v/>
      </c>
      <c r="F530" s="785" t="str">
        <f t="shared" si="67"/>
        <v/>
      </c>
      <c r="G530" s="784" t="str">
        <f t="shared" si="57"/>
        <v/>
      </c>
      <c r="Y530" s="663" t="str">
        <f>IF(C530="","",('transversal subsidence profile'!$L$5*EXP(-(C530^2)/(2*'transversal subsidence profile'!$J$5^2)))*100)</f>
        <v/>
      </c>
      <c r="Z530" s="664" t="str">
        <f>IF(C530="","",(+'transversal subsidence profile'!$L$6*EXP(-((C530+$G$10)^2)/(2*'transversal subsidence profile'!$J$6^2)))*100)</f>
        <v/>
      </c>
      <c r="AA530" s="751" t="str">
        <f>IF(C530="","",IF('IN-OUT'!$F$26=0,'Damage classification-Rankin'!Z530,IF('IN-OUT'!$F$35=0,Y530,'Damage classification-Rankin'!Y530+'Damage classification-Rankin'!Z530)))</f>
        <v/>
      </c>
    </row>
    <row r="531" spans="1:27" ht="13.8" thickBot="1">
      <c r="A531" s="67"/>
      <c r="B531" s="655">
        <f t="shared" si="63"/>
        <v>510</v>
      </c>
      <c r="C531" s="374" t="str">
        <f t="shared" si="64"/>
        <v/>
      </c>
      <c r="D531" s="784" t="str">
        <f t="shared" si="65"/>
        <v/>
      </c>
      <c r="E531" s="784" t="str">
        <f t="shared" si="66"/>
        <v/>
      </c>
      <c r="F531" s="785" t="str">
        <f t="shared" si="67"/>
        <v/>
      </c>
      <c r="G531" s="784" t="str">
        <f t="shared" si="57"/>
        <v/>
      </c>
      <c r="Y531" s="663" t="str">
        <f>IF(C531="","",('transversal subsidence profile'!$L$5*EXP(-(C531^2)/(2*'transversal subsidence profile'!$J$5^2)))*100)</f>
        <v/>
      </c>
      <c r="Z531" s="664" t="str">
        <f>IF(C531="","",(+'transversal subsidence profile'!$L$6*EXP(-((C531+$G$10)^2)/(2*'transversal subsidence profile'!$J$6^2)))*100)</f>
        <v/>
      </c>
      <c r="AA531" s="751" t="str">
        <f>IF(C531="","",IF('IN-OUT'!$F$26=0,'Damage classification-Rankin'!Z531,IF('IN-OUT'!$F$35=0,Y531,'Damage classification-Rankin'!Y531+'Damage classification-Rankin'!Z531)))</f>
        <v/>
      </c>
    </row>
    <row r="532" spans="1:27" ht="13.8" thickBot="1">
      <c r="A532" s="67"/>
      <c r="B532" s="655">
        <f t="shared" si="63"/>
        <v>511</v>
      </c>
      <c r="C532" s="374" t="str">
        <f t="shared" si="64"/>
        <v/>
      </c>
      <c r="D532" s="784" t="str">
        <f t="shared" si="65"/>
        <v/>
      </c>
      <c r="E532" s="784" t="str">
        <f t="shared" si="66"/>
        <v/>
      </c>
      <c r="F532" s="785" t="str">
        <f t="shared" si="67"/>
        <v/>
      </c>
      <c r="G532" s="784" t="str">
        <f t="shared" si="57"/>
        <v/>
      </c>
      <c r="Y532" s="663" t="str">
        <f>IF(C532="","",('transversal subsidence profile'!$L$5*EXP(-(C532^2)/(2*'transversal subsidence profile'!$J$5^2)))*100)</f>
        <v/>
      </c>
      <c r="Z532" s="664" t="str">
        <f>IF(C532="","",(+'transversal subsidence profile'!$L$6*EXP(-((C532+$G$10)^2)/(2*'transversal subsidence profile'!$J$6^2)))*100)</f>
        <v/>
      </c>
      <c r="AA532" s="751" t="str">
        <f>IF(C532="","",IF('IN-OUT'!$F$26=0,'Damage classification-Rankin'!Z532,IF('IN-OUT'!$F$35=0,Y532,'Damage classification-Rankin'!Y532+'Damage classification-Rankin'!Z532)))</f>
        <v/>
      </c>
    </row>
    <row r="533" spans="1:27" ht="13.8" thickBot="1">
      <c r="A533" s="67"/>
      <c r="B533" s="655">
        <f t="shared" si="63"/>
        <v>512</v>
      </c>
      <c r="C533" s="374" t="str">
        <f t="shared" si="64"/>
        <v/>
      </c>
      <c r="D533" s="784" t="str">
        <f t="shared" si="65"/>
        <v/>
      </c>
      <c r="E533" s="784" t="str">
        <f t="shared" si="66"/>
        <v/>
      </c>
      <c r="F533" s="785" t="str">
        <f t="shared" si="67"/>
        <v/>
      </c>
      <c r="G533" s="784" t="str">
        <f t="shared" si="57"/>
        <v/>
      </c>
      <c r="Y533" s="663" t="str">
        <f>IF(C533="","",('transversal subsidence profile'!$L$5*EXP(-(C533^2)/(2*'transversal subsidence profile'!$J$5^2)))*100)</f>
        <v/>
      </c>
      <c r="Z533" s="664" t="str">
        <f>IF(C533="","",(+'transversal subsidence profile'!$L$6*EXP(-((C533+$G$10)^2)/(2*'transversal subsidence profile'!$J$6^2)))*100)</f>
        <v/>
      </c>
      <c r="AA533" s="751" t="str">
        <f>IF(C533="","",IF('IN-OUT'!$F$26=0,'Damage classification-Rankin'!Z533,IF('IN-OUT'!$F$35=0,Y533,'Damage classification-Rankin'!Y533+'Damage classification-Rankin'!Z533)))</f>
        <v/>
      </c>
    </row>
    <row r="534" spans="1:27" ht="13.8" thickBot="1">
      <c r="A534" s="67"/>
      <c r="B534" s="655">
        <f t="shared" si="63"/>
        <v>513</v>
      </c>
      <c r="C534" s="374" t="str">
        <f t="shared" si="64"/>
        <v/>
      </c>
      <c r="D534" s="784" t="str">
        <f t="shared" si="65"/>
        <v/>
      </c>
      <c r="E534" s="784" t="str">
        <f t="shared" si="66"/>
        <v/>
      </c>
      <c r="F534" s="785" t="str">
        <f t="shared" si="67"/>
        <v/>
      </c>
      <c r="G534" s="784" t="str">
        <f t="shared" si="57"/>
        <v/>
      </c>
      <c r="Y534" s="663" t="str">
        <f>IF(C534="","",('transversal subsidence profile'!$L$5*EXP(-(C534^2)/(2*'transversal subsidence profile'!$J$5^2)))*100)</f>
        <v/>
      </c>
      <c r="Z534" s="664" t="str">
        <f>IF(C534="","",(+'transversal subsidence profile'!$L$6*EXP(-((C534+$G$10)^2)/(2*'transversal subsidence profile'!$J$6^2)))*100)</f>
        <v/>
      </c>
      <c r="AA534" s="751" t="str">
        <f>IF(C534="","",IF('IN-OUT'!$F$26=0,'Damage classification-Rankin'!Z534,IF('IN-OUT'!$F$35=0,Y534,'Damage classification-Rankin'!Y534+'Damage classification-Rankin'!Z534)))</f>
        <v/>
      </c>
    </row>
    <row r="535" spans="1:27" ht="13.8" thickBot="1">
      <c r="A535" s="67"/>
      <c r="B535" s="655">
        <f t="shared" si="63"/>
        <v>514</v>
      </c>
      <c r="C535" s="374" t="str">
        <f t="shared" si="64"/>
        <v/>
      </c>
      <c r="D535" s="784" t="str">
        <f t="shared" si="65"/>
        <v/>
      </c>
      <c r="E535" s="784" t="str">
        <f t="shared" si="66"/>
        <v/>
      </c>
      <c r="F535" s="785" t="str">
        <f t="shared" si="67"/>
        <v/>
      </c>
      <c r="G535" s="784" t="str">
        <f t="shared" si="57"/>
        <v/>
      </c>
      <c r="Y535" s="663" t="str">
        <f>IF(C535="","",('transversal subsidence profile'!$L$5*EXP(-(C535^2)/(2*'transversal subsidence profile'!$J$5^2)))*100)</f>
        <v/>
      </c>
      <c r="Z535" s="664" t="str">
        <f>IF(C535="","",(+'transversal subsidence profile'!$L$6*EXP(-((C535+$G$10)^2)/(2*'transversal subsidence profile'!$J$6^2)))*100)</f>
        <v/>
      </c>
      <c r="AA535" s="751" t="str">
        <f>IF(C535="","",IF('IN-OUT'!$F$26=0,'Damage classification-Rankin'!Z535,IF('IN-OUT'!$F$35=0,Y535,'Damage classification-Rankin'!Y535+'Damage classification-Rankin'!Z535)))</f>
        <v/>
      </c>
    </row>
    <row r="536" spans="1:27" ht="13.8" thickBot="1">
      <c r="A536" s="67"/>
      <c r="B536" s="655">
        <f t="shared" si="63"/>
        <v>515</v>
      </c>
      <c r="C536" s="374" t="str">
        <f t="shared" si="64"/>
        <v/>
      </c>
      <c r="D536" s="784" t="str">
        <f t="shared" si="65"/>
        <v/>
      </c>
      <c r="E536" s="784" t="str">
        <f t="shared" si="66"/>
        <v/>
      </c>
      <c r="F536" s="785" t="str">
        <f t="shared" si="67"/>
        <v/>
      </c>
      <c r="G536" s="784" t="str">
        <f t="shared" ref="G536:G599" si="68">IF(C536="","",IF(ABS(C535-C536)&lt;($C$19-0.0001),"",$C$20+E536))</f>
        <v/>
      </c>
      <c r="Y536" s="663" t="str">
        <f>IF(C536="","",('transversal subsidence profile'!$L$5*EXP(-(C536^2)/(2*'transversal subsidence profile'!$J$5^2)))*100)</f>
        <v/>
      </c>
      <c r="Z536" s="664" t="str">
        <f>IF(C536="","",(+'transversal subsidence profile'!$L$6*EXP(-((C536+$G$10)^2)/(2*'transversal subsidence profile'!$J$6^2)))*100)</f>
        <v/>
      </c>
      <c r="AA536" s="751" t="str">
        <f>IF(C536="","",IF('IN-OUT'!$F$26=0,'Damage classification-Rankin'!Z536,IF('IN-OUT'!$F$35=0,Y536,'Damage classification-Rankin'!Y536+'Damage classification-Rankin'!Z536)))</f>
        <v/>
      </c>
    </row>
    <row r="537" spans="1:27" ht="13.8" thickBot="1">
      <c r="A537" s="67"/>
      <c r="B537" s="655">
        <f t="shared" si="63"/>
        <v>516</v>
      </c>
      <c r="C537" s="374" t="str">
        <f t="shared" si="64"/>
        <v/>
      </c>
      <c r="D537" s="784" t="str">
        <f t="shared" si="65"/>
        <v/>
      </c>
      <c r="E537" s="784" t="str">
        <f t="shared" si="66"/>
        <v/>
      </c>
      <c r="F537" s="785" t="str">
        <f t="shared" si="67"/>
        <v/>
      </c>
      <c r="G537" s="784" t="str">
        <f t="shared" si="68"/>
        <v/>
      </c>
      <c r="Y537" s="663" t="str">
        <f>IF(C537="","",('transversal subsidence profile'!$L$5*EXP(-(C537^2)/(2*'transversal subsidence profile'!$J$5^2)))*100)</f>
        <v/>
      </c>
      <c r="Z537" s="664" t="str">
        <f>IF(C537="","",(+'transversal subsidence profile'!$L$6*EXP(-((C537+$G$10)^2)/(2*'transversal subsidence profile'!$J$6^2)))*100)</f>
        <v/>
      </c>
      <c r="AA537" s="751" t="str">
        <f>IF(C537="","",IF('IN-OUT'!$F$26=0,'Damage classification-Rankin'!Z537,IF('IN-OUT'!$F$35=0,Y537,'Damage classification-Rankin'!Y537+'Damage classification-Rankin'!Z537)))</f>
        <v/>
      </c>
    </row>
    <row r="538" spans="1:27" ht="13.8" thickBot="1">
      <c r="A538" s="67"/>
      <c r="B538" s="655">
        <f t="shared" si="63"/>
        <v>517</v>
      </c>
      <c r="C538" s="374" t="str">
        <f t="shared" si="64"/>
        <v/>
      </c>
      <c r="D538" s="784" t="str">
        <f t="shared" si="65"/>
        <v/>
      </c>
      <c r="E538" s="784" t="str">
        <f t="shared" si="66"/>
        <v/>
      </c>
      <c r="F538" s="785" t="str">
        <f t="shared" si="67"/>
        <v/>
      </c>
      <c r="G538" s="784" t="str">
        <f t="shared" si="68"/>
        <v/>
      </c>
      <c r="Y538" s="663" t="str">
        <f>IF(C538="","",('transversal subsidence profile'!$L$5*EXP(-(C538^2)/(2*'transversal subsidence profile'!$J$5^2)))*100)</f>
        <v/>
      </c>
      <c r="Z538" s="664" t="str">
        <f>IF(C538="","",(+'transversal subsidence profile'!$L$6*EXP(-((C538+$G$10)^2)/(2*'transversal subsidence profile'!$J$6^2)))*100)</f>
        <v/>
      </c>
      <c r="AA538" s="751" t="str">
        <f>IF(C538="","",IF('IN-OUT'!$F$26=0,'Damage classification-Rankin'!Z538,IF('IN-OUT'!$F$35=0,Y538,'Damage classification-Rankin'!Y538+'Damage classification-Rankin'!Z538)))</f>
        <v/>
      </c>
    </row>
    <row r="539" spans="1:27" ht="13.8" thickBot="1">
      <c r="A539" s="67"/>
      <c r="B539" s="655">
        <f t="shared" si="63"/>
        <v>518</v>
      </c>
      <c r="C539" s="374" t="str">
        <f t="shared" si="64"/>
        <v/>
      </c>
      <c r="D539" s="784" t="str">
        <f t="shared" si="65"/>
        <v/>
      </c>
      <c r="E539" s="784" t="str">
        <f t="shared" si="66"/>
        <v/>
      </c>
      <c r="F539" s="785" t="str">
        <f t="shared" si="67"/>
        <v/>
      </c>
      <c r="G539" s="784" t="str">
        <f t="shared" si="68"/>
        <v/>
      </c>
      <c r="Y539" s="663" t="str">
        <f>IF(C539="","",('transversal subsidence profile'!$L$5*EXP(-(C539^2)/(2*'transversal subsidence profile'!$J$5^2)))*100)</f>
        <v/>
      </c>
      <c r="Z539" s="664" t="str">
        <f>IF(C539="","",(+'transversal subsidence profile'!$L$6*EXP(-((C539+$G$10)^2)/(2*'transversal subsidence profile'!$J$6^2)))*100)</f>
        <v/>
      </c>
      <c r="AA539" s="751" t="str">
        <f>IF(C539="","",IF('IN-OUT'!$F$26=0,'Damage classification-Rankin'!Z539,IF('IN-OUT'!$F$35=0,Y539,'Damage classification-Rankin'!Y539+'Damage classification-Rankin'!Z539)))</f>
        <v/>
      </c>
    </row>
    <row r="540" spans="1:27" ht="13.8" thickBot="1">
      <c r="A540" s="67"/>
      <c r="B540" s="655">
        <f t="shared" si="63"/>
        <v>519</v>
      </c>
      <c r="C540" s="374" t="str">
        <f t="shared" si="64"/>
        <v/>
      </c>
      <c r="D540" s="784" t="str">
        <f t="shared" si="65"/>
        <v/>
      </c>
      <c r="E540" s="784" t="str">
        <f t="shared" si="66"/>
        <v/>
      </c>
      <c r="F540" s="785" t="str">
        <f t="shared" si="67"/>
        <v/>
      </c>
      <c r="G540" s="784" t="str">
        <f t="shared" si="68"/>
        <v/>
      </c>
      <c r="Y540" s="663" t="str">
        <f>IF(C540="","",('transversal subsidence profile'!$L$5*EXP(-(C540^2)/(2*'transversal subsidence profile'!$J$5^2)))*100)</f>
        <v/>
      </c>
      <c r="Z540" s="664" t="str">
        <f>IF(C540="","",(+'transversal subsidence profile'!$L$6*EXP(-((C540+$G$10)^2)/(2*'transversal subsidence profile'!$J$6^2)))*100)</f>
        <v/>
      </c>
      <c r="AA540" s="751" t="str">
        <f>IF(C540="","",IF('IN-OUT'!$F$26=0,'Damage classification-Rankin'!Z540,IF('IN-OUT'!$F$35=0,Y540,'Damage classification-Rankin'!Y540+'Damage classification-Rankin'!Z540)))</f>
        <v/>
      </c>
    </row>
    <row r="541" spans="1:27" ht="13.8" thickBot="1">
      <c r="A541" s="67"/>
      <c r="B541" s="655">
        <f t="shared" si="63"/>
        <v>520</v>
      </c>
      <c r="C541" s="374" t="str">
        <f t="shared" si="64"/>
        <v/>
      </c>
      <c r="D541" s="784" t="str">
        <f t="shared" si="65"/>
        <v/>
      </c>
      <c r="E541" s="784" t="str">
        <f t="shared" si="66"/>
        <v/>
      </c>
      <c r="F541" s="785" t="str">
        <f t="shared" si="67"/>
        <v/>
      </c>
      <c r="G541" s="784" t="str">
        <f t="shared" si="68"/>
        <v/>
      </c>
      <c r="Y541" s="663" t="str">
        <f>IF(C541="","",('transversal subsidence profile'!$L$5*EXP(-(C541^2)/(2*'transversal subsidence profile'!$J$5^2)))*100)</f>
        <v/>
      </c>
      <c r="Z541" s="664" t="str">
        <f>IF(C541="","",(+'transversal subsidence profile'!$L$6*EXP(-((C541+$G$10)^2)/(2*'transversal subsidence profile'!$J$6^2)))*100)</f>
        <v/>
      </c>
      <c r="AA541" s="751" t="str">
        <f>IF(C541="","",IF('IN-OUT'!$F$26=0,'Damage classification-Rankin'!Z541,IF('IN-OUT'!$F$35=0,Y541,'Damage classification-Rankin'!Y541+'Damage classification-Rankin'!Z541)))</f>
        <v/>
      </c>
    </row>
    <row r="542" spans="1:27" ht="13.8" thickBot="1">
      <c r="A542" s="67"/>
      <c r="B542" s="655">
        <f t="shared" si="63"/>
        <v>521</v>
      </c>
      <c r="C542" s="374" t="str">
        <f t="shared" si="64"/>
        <v/>
      </c>
      <c r="D542" s="784" t="str">
        <f t="shared" si="65"/>
        <v/>
      </c>
      <c r="E542" s="784" t="str">
        <f t="shared" si="66"/>
        <v/>
      </c>
      <c r="F542" s="785" t="str">
        <f t="shared" si="67"/>
        <v/>
      </c>
      <c r="G542" s="784" t="str">
        <f t="shared" si="68"/>
        <v/>
      </c>
      <c r="Y542" s="663" t="str">
        <f>IF(C542="","",('transversal subsidence profile'!$L$5*EXP(-(C542^2)/(2*'transversal subsidence profile'!$J$5^2)))*100)</f>
        <v/>
      </c>
      <c r="Z542" s="664" t="str">
        <f>IF(C542="","",(+'transversal subsidence profile'!$L$6*EXP(-((C542+$G$10)^2)/(2*'transversal subsidence profile'!$J$6^2)))*100)</f>
        <v/>
      </c>
      <c r="AA542" s="751" t="str">
        <f>IF(C542="","",IF('IN-OUT'!$F$26=0,'Damage classification-Rankin'!Z542,IF('IN-OUT'!$F$35=0,Y542,'Damage classification-Rankin'!Y542+'Damage classification-Rankin'!Z542)))</f>
        <v/>
      </c>
    </row>
    <row r="543" spans="1:27" ht="13.8" thickBot="1">
      <c r="A543" s="67"/>
      <c r="B543" s="655">
        <f t="shared" si="63"/>
        <v>522</v>
      </c>
      <c r="C543" s="374" t="str">
        <f t="shared" si="64"/>
        <v/>
      </c>
      <c r="D543" s="784" t="str">
        <f t="shared" si="65"/>
        <v/>
      </c>
      <c r="E543" s="784" t="str">
        <f t="shared" si="66"/>
        <v/>
      </c>
      <c r="F543" s="785" t="str">
        <f t="shared" si="67"/>
        <v/>
      </c>
      <c r="G543" s="784" t="str">
        <f t="shared" si="68"/>
        <v/>
      </c>
      <c r="Y543" s="663" t="str">
        <f>IF(C543="","",('transversal subsidence profile'!$L$5*EXP(-(C543^2)/(2*'transversal subsidence profile'!$J$5^2)))*100)</f>
        <v/>
      </c>
      <c r="Z543" s="664" t="str">
        <f>IF(C543="","",(+'transversal subsidence profile'!$L$6*EXP(-((C543+$G$10)^2)/(2*'transversal subsidence profile'!$J$6^2)))*100)</f>
        <v/>
      </c>
      <c r="AA543" s="751" t="str">
        <f>IF(C543="","",IF('IN-OUT'!$F$26=0,'Damage classification-Rankin'!Z543,IF('IN-OUT'!$F$35=0,Y543,'Damage classification-Rankin'!Y543+'Damage classification-Rankin'!Z543)))</f>
        <v/>
      </c>
    </row>
    <row r="544" spans="1:27" ht="13.8" thickBot="1">
      <c r="A544" s="67"/>
      <c r="B544" s="655">
        <f t="shared" si="63"/>
        <v>523</v>
      </c>
      <c r="C544" s="374" t="str">
        <f t="shared" si="64"/>
        <v/>
      </c>
      <c r="D544" s="784" t="str">
        <f t="shared" si="65"/>
        <v/>
      </c>
      <c r="E544" s="784" t="str">
        <f t="shared" si="66"/>
        <v/>
      </c>
      <c r="F544" s="785" t="str">
        <f t="shared" si="67"/>
        <v/>
      </c>
      <c r="G544" s="784" t="str">
        <f t="shared" si="68"/>
        <v/>
      </c>
      <c r="Y544" s="663" t="str">
        <f>IF(C544="","",('transversal subsidence profile'!$L$5*EXP(-(C544^2)/(2*'transversal subsidence profile'!$J$5^2)))*100)</f>
        <v/>
      </c>
      <c r="Z544" s="664" t="str">
        <f>IF(C544="","",(+'transversal subsidence profile'!$L$6*EXP(-((C544+$G$10)^2)/(2*'transversal subsidence profile'!$J$6^2)))*100)</f>
        <v/>
      </c>
      <c r="AA544" s="751" t="str">
        <f>IF(C544="","",IF('IN-OUT'!$F$26=0,'Damage classification-Rankin'!Z544,IF('IN-OUT'!$F$35=0,Y544,'Damage classification-Rankin'!Y544+'Damage classification-Rankin'!Z544)))</f>
        <v/>
      </c>
    </row>
    <row r="545" spans="1:27" ht="13.8" thickBot="1">
      <c r="A545" s="67"/>
      <c r="B545" s="655">
        <f t="shared" si="63"/>
        <v>524</v>
      </c>
      <c r="C545" s="374" t="str">
        <f t="shared" si="64"/>
        <v/>
      </c>
      <c r="D545" s="784" t="str">
        <f t="shared" si="65"/>
        <v/>
      </c>
      <c r="E545" s="784" t="str">
        <f t="shared" si="66"/>
        <v/>
      </c>
      <c r="F545" s="785" t="str">
        <f t="shared" si="67"/>
        <v/>
      </c>
      <c r="G545" s="784" t="str">
        <f t="shared" si="68"/>
        <v/>
      </c>
      <c r="Y545" s="663" t="str">
        <f>IF(C545="","",('transversal subsidence profile'!$L$5*EXP(-(C545^2)/(2*'transversal subsidence profile'!$J$5^2)))*100)</f>
        <v/>
      </c>
      <c r="Z545" s="664" t="str">
        <f>IF(C545="","",(+'transversal subsidence profile'!$L$6*EXP(-((C545+$G$10)^2)/(2*'transversal subsidence profile'!$J$6^2)))*100)</f>
        <v/>
      </c>
      <c r="AA545" s="751" t="str">
        <f>IF(C545="","",IF('IN-OUT'!$F$26=0,'Damage classification-Rankin'!Z545,IF('IN-OUT'!$F$35=0,Y545,'Damage classification-Rankin'!Y545+'Damage classification-Rankin'!Z545)))</f>
        <v/>
      </c>
    </row>
    <row r="546" spans="1:27" ht="13.8" thickBot="1">
      <c r="A546" s="67"/>
      <c r="B546" s="655">
        <f t="shared" si="63"/>
        <v>525</v>
      </c>
      <c r="C546" s="374" t="str">
        <f t="shared" si="64"/>
        <v/>
      </c>
      <c r="D546" s="784" t="str">
        <f t="shared" si="65"/>
        <v/>
      </c>
      <c r="E546" s="784" t="str">
        <f t="shared" si="66"/>
        <v/>
      </c>
      <c r="F546" s="785" t="str">
        <f t="shared" si="67"/>
        <v/>
      </c>
      <c r="G546" s="784" t="str">
        <f t="shared" si="68"/>
        <v/>
      </c>
      <c r="Y546" s="663" t="str">
        <f>IF(C546="","",('transversal subsidence profile'!$L$5*EXP(-(C546^2)/(2*'transversal subsidence profile'!$J$5^2)))*100)</f>
        <v/>
      </c>
      <c r="Z546" s="664" t="str">
        <f>IF(C546="","",(+'transversal subsidence profile'!$L$6*EXP(-((C546+$G$10)^2)/(2*'transversal subsidence profile'!$J$6^2)))*100)</f>
        <v/>
      </c>
      <c r="AA546" s="751" t="str">
        <f>IF(C546="","",IF('IN-OUT'!$F$26=0,'Damage classification-Rankin'!Z546,IF('IN-OUT'!$F$35=0,Y546,'Damage classification-Rankin'!Y546+'Damage classification-Rankin'!Z546)))</f>
        <v/>
      </c>
    </row>
    <row r="547" spans="1:27" ht="13.8" thickBot="1">
      <c r="A547" s="67"/>
      <c r="B547" s="655">
        <f t="shared" si="63"/>
        <v>526</v>
      </c>
      <c r="C547" s="374" t="str">
        <f t="shared" si="64"/>
        <v/>
      </c>
      <c r="D547" s="784" t="str">
        <f t="shared" si="65"/>
        <v/>
      </c>
      <c r="E547" s="784" t="str">
        <f t="shared" si="66"/>
        <v/>
      </c>
      <c r="F547" s="785" t="str">
        <f t="shared" si="67"/>
        <v/>
      </c>
      <c r="G547" s="784" t="str">
        <f t="shared" si="68"/>
        <v/>
      </c>
      <c r="Y547" s="663" t="str">
        <f>IF(C547="","",('transversal subsidence profile'!$L$5*EXP(-(C547^2)/(2*'transversal subsidence profile'!$J$5^2)))*100)</f>
        <v/>
      </c>
      <c r="Z547" s="664" t="str">
        <f>IF(C547="","",(+'transversal subsidence profile'!$L$6*EXP(-((C547+$G$10)^2)/(2*'transversal subsidence profile'!$J$6^2)))*100)</f>
        <v/>
      </c>
      <c r="AA547" s="751" t="str">
        <f>IF(C547="","",IF('IN-OUT'!$F$26=0,'Damage classification-Rankin'!Z547,IF('IN-OUT'!$F$35=0,Y547,'Damage classification-Rankin'!Y547+'Damage classification-Rankin'!Z547)))</f>
        <v/>
      </c>
    </row>
    <row r="548" spans="1:27" ht="13.8" thickBot="1">
      <c r="A548" s="67"/>
      <c r="B548" s="655">
        <f t="shared" si="63"/>
        <v>527</v>
      </c>
      <c r="C548" s="374" t="str">
        <f t="shared" si="64"/>
        <v/>
      </c>
      <c r="D548" s="784" t="str">
        <f t="shared" si="65"/>
        <v/>
      </c>
      <c r="E548" s="784" t="str">
        <f t="shared" si="66"/>
        <v/>
      </c>
      <c r="F548" s="785" t="str">
        <f t="shared" si="67"/>
        <v/>
      </c>
      <c r="G548" s="784" t="str">
        <f t="shared" si="68"/>
        <v/>
      </c>
      <c r="Y548" s="663" t="str">
        <f>IF(C548="","",('transversal subsidence profile'!$L$5*EXP(-(C548^2)/(2*'transversal subsidence profile'!$J$5^2)))*100)</f>
        <v/>
      </c>
      <c r="Z548" s="664" t="str">
        <f>IF(C548="","",(+'transversal subsidence profile'!$L$6*EXP(-((C548+$G$10)^2)/(2*'transversal subsidence profile'!$J$6^2)))*100)</f>
        <v/>
      </c>
      <c r="AA548" s="751" t="str">
        <f>IF(C548="","",IF('IN-OUT'!$F$26=0,'Damage classification-Rankin'!Z548,IF('IN-OUT'!$F$35=0,Y548,'Damage classification-Rankin'!Y548+'Damage classification-Rankin'!Z548)))</f>
        <v/>
      </c>
    </row>
    <row r="549" spans="1:27" ht="13.8" thickBot="1">
      <c r="A549" s="67"/>
      <c r="B549" s="655">
        <f t="shared" si="63"/>
        <v>528</v>
      </c>
      <c r="C549" s="374" t="str">
        <f t="shared" si="64"/>
        <v/>
      </c>
      <c r="D549" s="784" t="str">
        <f t="shared" si="65"/>
        <v/>
      </c>
      <c r="E549" s="784" t="str">
        <f t="shared" si="66"/>
        <v/>
      </c>
      <c r="F549" s="785" t="str">
        <f t="shared" si="67"/>
        <v/>
      </c>
      <c r="G549" s="784" t="str">
        <f t="shared" si="68"/>
        <v/>
      </c>
      <c r="Y549" s="663" t="str">
        <f>IF(C549="","",('transversal subsidence profile'!$L$5*EXP(-(C549^2)/(2*'transversal subsidence profile'!$J$5^2)))*100)</f>
        <v/>
      </c>
      <c r="Z549" s="664" t="str">
        <f>IF(C549="","",(+'transversal subsidence profile'!$L$6*EXP(-((C549+$G$10)^2)/(2*'transversal subsidence profile'!$J$6^2)))*100)</f>
        <v/>
      </c>
      <c r="AA549" s="751" t="str">
        <f>IF(C549="","",IF('IN-OUT'!$F$26=0,'Damage classification-Rankin'!Z549,IF('IN-OUT'!$F$35=0,Y549,'Damage classification-Rankin'!Y549+'Damage classification-Rankin'!Z549)))</f>
        <v/>
      </c>
    </row>
    <row r="550" spans="1:27" ht="13.8" thickBot="1">
      <c r="A550" s="67"/>
      <c r="B550" s="655">
        <f t="shared" si="63"/>
        <v>529</v>
      </c>
      <c r="C550" s="374" t="str">
        <f t="shared" si="64"/>
        <v/>
      </c>
      <c r="D550" s="784" t="str">
        <f t="shared" si="65"/>
        <v/>
      </c>
      <c r="E550" s="784" t="str">
        <f t="shared" si="66"/>
        <v/>
      </c>
      <c r="F550" s="785" t="str">
        <f t="shared" si="67"/>
        <v/>
      </c>
      <c r="G550" s="784" t="str">
        <f t="shared" si="68"/>
        <v/>
      </c>
      <c r="Y550" s="663" t="str">
        <f>IF(C550="","",('transversal subsidence profile'!$L$5*EXP(-(C550^2)/(2*'transversal subsidence profile'!$J$5^2)))*100)</f>
        <v/>
      </c>
      <c r="Z550" s="664" t="str">
        <f>IF(C550="","",(+'transversal subsidence profile'!$L$6*EXP(-((C550+$G$10)^2)/(2*'transversal subsidence profile'!$J$6^2)))*100)</f>
        <v/>
      </c>
      <c r="AA550" s="751" t="str">
        <f>IF(C550="","",IF('IN-OUT'!$F$26=0,'Damage classification-Rankin'!Z550,IF('IN-OUT'!$F$35=0,Y550,'Damage classification-Rankin'!Y550+'Damage classification-Rankin'!Z550)))</f>
        <v/>
      </c>
    </row>
    <row r="551" spans="1:27" ht="13.8" thickBot="1">
      <c r="A551" s="67"/>
      <c r="B551" s="655">
        <f t="shared" si="63"/>
        <v>530</v>
      </c>
      <c r="C551" s="374" t="str">
        <f t="shared" si="64"/>
        <v/>
      </c>
      <c r="D551" s="784" t="str">
        <f t="shared" si="65"/>
        <v/>
      </c>
      <c r="E551" s="784" t="str">
        <f t="shared" si="66"/>
        <v/>
      </c>
      <c r="F551" s="785" t="str">
        <f t="shared" si="67"/>
        <v/>
      </c>
      <c r="G551" s="784" t="str">
        <f t="shared" si="68"/>
        <v/>
      </c>
      <c r="Y551" s="663" t="str">
        <f>IF(C551="","",('transversal subsidence profile'!$L$5*EXP(-(C551^2)/(2*'transversal subsidence profile'!$J$5^2)))*100)</f>
        <v/>
      </c>
      <c r="Z551" s="664" t="str">
        <f>IF(C551="","",(+'transversal subsidence profile'!$L$6*EXP(-((C551+$G$10)^2)/(2*'transversal subsidence profile'!$J$6^2)))*100)</f>
        <v/>
      </c>
      <c r="AA551" s="751" t="str">
        <f>IF(C551="","",IF('IN-OUT'!$F$26=0,'Damage classification-Rankin'!Z551,IF('IN-OUT'!$F$35=0,Y551,'Damage classification-Rankin'!Y551+'Damage classification-Rankin'!Z551)))</f>
        <v/>
      </c>
    </row>
    <row r="552" spans="1:27" ht="13.8" thickBot="1">
      <c r="A552" s="67"/>
      <c r="B552" s="655">
        <f t="shared" si="63"/>
        <v>531</v>
      </c>
      <c r="C552" s="374" t="str">
        <f t="shared" si="64"/>
        <v/>
      </c>
      <c r="D552" s="784" t="str">
        <f t="shared" si="65"/>
        <v/>
      </c>
      <c r="E552" s="784" t="str">
        <f t="shared" si="66"/>
        <v/>
      </c>
      <c r="F552" s="785" t="str">
        <f t="shared" si="67"/>
        <v/>
      </c>
      <c r="G552" s="784" t="str">
        <f t="shared" si="68"/>
        <v/>
      </c>
      <c r="Y552" s="663" t="str">
        <f>IF(C552="","",('transversal subsidence profile'!$L$5*EXP(-(C552^2)/(2*'transversal subsidence profile'!$J$5^2)))*100)</f>
        <v/>
      </c>
      <c r="Z552" s="664" t="str">
        <f>IF(C552="","",(+'transversal subsidence profile'!$L$6*EXP(-((C552+$G$10)^2)/(2*'transversal subsidence profile'!$J$6^2)))*100)</f>
        <v/>
      </c>
      <c r="AA552" s="751" t="str">
        <f>IF(C552="","",IF('IN-OUT'!$F$26=0,'Damage classification-Rankin'!Z552,IF('IN-OUT'!$F$35=0,Y552,'Damage classification-Rankin'!Y552+'Damage classification-Rankin'!Z552)))</f>
        <v/>
      </c>
    </row>
    <row r="553" spans="1:27" ht="13.8" thickBot="1">
      <c r="A553" s="67"/>
      <c r="B553" s="655">
        <f t="shared" si="63"/>
        <v>532</v>
      </c>
      <c r="C553" s="374" t="str">
        <f t="shared" si="64"/>
        <v/>
      </c>
      <c r="D553" s="784" t="str">
        <f t="shared" si="65"/>
        <v/>
      </c>
      <c r="E553" s="784" t="str">
        <f t="shared" si="66"/>
        <v/>
      </c>
      <c r="F553" s="785" t="str">
        <f t="shared" si="67"/>
        <v/>
      </c>
      <c r="G553" s="784" t="str">
        <f t="shared" si="68"/>
        <v/>
      </c>
      <c r="Y553" s="663" t="str">
        <f>IF(C553="","",('transversal subsidence profile'!$L$5*EXP(-(C553^2)/(2*'transversal subsidence profile'!$J$5^2)))*100)</f>
        <v/>
      </c>
      <c r="Z553" s="664" t="str">
        <f>IF(C553="","",(+'transversal subsidence profile'!$L$6*EXP(-((C553+$G$10)^2)/(2*'transversal subsidence profile'!$J$6^2)))*100)</f>
        <v/>
      </c>
      <c r="AA553" s="751" t="str">
        <f>IF(C553="","",IF('IN-OUT'!$F$26=0,'Damage classification-Rankin'!Z553,IF('IN-OUT'!$F$35=0,Y553,'Damage classification-Rankin'!Y553+'Damage classification-Rankin'!Z553)))</f>
        <v/>
      </c>
    </row>
    <row r="554" spans="1:27" ht="13.8" thickBot="1">
      <c r="A554" s="67"/>
      <c r="B554" s="655">
        <f t="shared" si="63"/>
        <v>533</v>
      </c>
      <c r="C554" s="374" t="str">
        <f t="shared" si="64"/>
        <v/>
      </c>
      <c r="D554" s="784" t="str">
        <f t="shared" si="65"/>
        <v/>
      </c>
      <c r="E554" s="784" t="str">
        <f t="shared" si="66"/>
        <v/>
      </c>
      <c r="F554" s="785" t="str">
        <f t="shared" si="67"/>
        <v/>
      </c>
      <c r="G554" s="784" t="str">
        <f t="shared" si="68"/>
        <v/>
      </c>
      <c r="Y554" s="663" t="str">
        <f>IF(C554="","",('transversal subsidence profile'!$L$5*EXP(-(C554^2)/(2*'transversal subsidence profile'!$J$5^2)))*100)</f>
        <v/>
      </c>
      <c r="Z554" s="664" t="str">
        <f>IF(C554="","",(+'transversal subsidence profile'!$L$6*EXP(-((C554+$G$10)^2)/(2*'transversal subsidence profile'!$J$6^2)))*100)</f>
        <v/>
      </c>
      <c r="AA554" s="751" t="str">
        <f>IF(C554="","",IF('IN-OUT'!$F$26=0,'Damage classification-Rankin'!Z554,IF('IN-OUT'!$F$35=0,Y554,'Damage classification-Rankin'!Y554+'Damage classification-Rankin'!Z554)))</f>
        <v/>
      </c>
    </row>
    <row r="555" spans="1:27" ht="13.8" thickBot="1">
      <c r="A555" s="67"/>
      <c r="B555" s="655">
        <f t="shared" si="63"/>
        <v>534</v>
      </c>
      <c r="C555" s="374" t="str">
        <f t="shared" si="64"/>
        <v/>
      </c>
      <c r="D555" s="784" t="str">
        <f t="shared" si="65"/>
        <v/>
      </c>
      <c r="E555" s="784" t="str">
        <f t="shared" si="66"/>
        <v/>
      </c>
      <c r="F555" s="785" t="str">
        <f t="shared" si="67"/>
        <v/>
      </c>
      <c r="G555" s="784" t="str">
        <f t="shared" si="68"/>
        <v/>
      </c>
      <c r="Y555" s="663" t="str">
        <f>IF(C555="","",('transversal subsidence profile'!$L$5*EXP(-(C555^2)/(2*'transversal subsidence profile'!$J$5^2)))*100)</f>
        <v/>
      </c>
      <c r="Z555" s="664" t="str">
        <f>IF(C555="","",(+'transversal subsidence profile'!$L$6*EXP(-((C555+$G$10)^2)/(2*'transversal subsidence profile'!$J$6^2)))*100)</f>
        <v/>
      </c>
      <c r="AA555" s="751" t="str">
        <f>IF(C555="","",IF('IN-OUT'!$F$26=0,'Damage classification-Rankin'!Z555,IF('IN-OUT'!$F$35=0,Y555,'Damage classification-Rankin'!Y555+'Damage classification-Rankin'!Z555)))</f>
        <v/>
      </c>
    </row>
    <row r="556" spans="1:27" ht="13.8" thickBot="1">
      <c r="A556" s="67"/>
      <c r="B556" s="655">
        <f t="shared" si="63"/>
        <v>535</v>
      </c>
      <c r="C556" s="374" t="str">
        <f t="shared" si="64"/>
        <v/>
      </c>
      <c r="D556" s="784" t="str">
        <f t="shared" si="65"/>
        <v/>
      </c>
      <c r="E556" s="784" t="str">
        <f t="shared" si="66"/>
        <v/>
      </c>
      <c r="F556" s="785" t="str">
        <f t="shared" si="67"/>
        <v/>
      </c>
      <c r="G556" s="784" t="str">
        <f t="shared" si="68"/>
        <v/>
      </c>
      <c r="Y556" s="663" t="str">
        <f>IF(C556="","",('transversal subsidence profile'!$L$5*EXP(-(C556^2)/(2*'transversal subsidence profile'!$J$5^2)))*100)</f>
        <v/>
      </c>
      <c r="Z556" s="664" t="str">
        <f>IF(C556="","",(+'transversal subsidence profile'!$L$6*EXP(-((C556+$G$10)^2)/(2*'transversal subsidence profile'!$J$6^2)))*100)</f>
        <v/>
      </c>
      <c r="AA556" s="751" t="str">
        <f>IF(C556="","",IF('IN-OUT'!$F$26=0,'Damage classification-Rankin'!Z556,IF('IN-OUT'!$F$35=0,Y556,'Damage classification-Rankin'!Y556+'Damage classification-Rankin'!Z556)))</f>
        <v/>
      </c>
    </row>
    <row r="557" spans="1:27" ht="13.8" thickBot="1">
      <c r="A557" s="67"/>
      <c r="B557" s="655">
        <f t="shared" si="63"/>
        <v>536</v>
      </c>
      <c r="C557" s="374" t="str">
        <f t="shared" si="64"/>
        <v/>
      </c>
      <c r="D557" s="784" t="str">
        <f t="shared" si="65"/>
        <v/>
      </c>
      <c r="E557" s="784" t="str">
        <f t="shared" si="66"/>
        <v/>
      </c>
      <c r="F557" s="785" t="str">
        <f t="shared" si="67"/>
        <v/>
      </c>
      <c r="G557" s="784" t="str">
        <f t="shared" si="68"/>
        <v/>
      </c>
      <c r="Y557" s="663" t="str">
        <f>IF(C557="","",('transversal subsidence profile'!$L$5*EXP(-(C557^2)/(2*'transversal subsidence profile'!$J$5^2)))*100)</f>
        <v/>
      </c>
      <c r="Z557" s="664" t="str">
        <f>IF(C557="","",(+'transversal subsidence profile'!$L$6*EXP(-((C557+$G$10)^2)/(2*'transversal subsidence profile'!$J$6^2)))*100)</f>
        <v/>
      </c>
      <c r="AA557" s="751" t="str">
        <f>IF(C557="","",IF('IN-OUT'!$F$26=0,'Damage classification-Rankin'!Z557,IF('IN-OUT'!$F$35=0,Y557,'Damage classification-Rankin'!Y557+'Damage classification-Rankin'!Z557)))</f>
        <v/>
      </c>
    </row>
    <row r="558" spans="1:27" ht="13.8" thickBot="1">
      <c r="A558" s="67"/>
      <c r="B558" s="655">
        <f t="shared" si="63"/>
        <v>537</v>
      </c>
      <c r="C558" s="374" t="str">
        <f t="shared" si="64"/>
        <v/>
      </c>
      <c r="D558" s="784" t="str">
        <f t="shared" si="65"/>
        <v/>
      </c>
      <c r="E558" s="784" t="str">
        <f t="shared" si="66"/>
        <v/>
      </c>
      <c r="F558" s="785" t="str">
        <f t="shared" si="67"/>
        <v/>
      </c>
      <c r="G558" s="784" t="str">
        <f t="shared" si="68"/>
        <v/>
      </c>
      <c r="Y558" s="663" t="str">
        <f>IF(C558="","",('transversal subsidence profile'!$L$5*EXP(-(C558^2)/(2*'transversal subsidence profile'!$J$5^2)))*100)</f>
        <v/>
      </c>
      <c r="Z558" s="664" t="str">
        <f>IF(C558="","",(+'transversal subsidence profile'!$L$6*EXP(-((C558+$G$10)^2)/(2*'transversal subsidence profile'!$J$6^2)))*100)</f>
        <v/>
      </c>
      <c r="AA558" s="751" t="str">
        <f>IF(C558="","",IF('IN-OUT'!$F$26=0,'Damage classification-Rankin'!Z558,IF('IN-OUT'!$F$35=0,Y558,'Damage classification-Rankin'!Y558+'Damage classification-Rankin'!Z558)))</f>
        <v/>
      </c>
    </row>
    <row r="559" spans="1:27" ht="13.8" thickBot="1">
      <c r="A559" s="67"/>
      <c r="B559" s="655">
        <f t="shared" si="63"/>
        <v>538</v>
      </c>
      <c r="C559" s="374" t="str">
        <f t="shared" si="64"/>
        <v/>
      </c>
      <c r="D559" s="784" t="str">
        <f t="shared" si="65"/>
        <v/>
      </c>
      <c r="E559" s="784" t="str">
        <f t="shared" si="66"/>
        <v/>
      </c>
      <c r="F559" s="785" t="str">
        <f t="shared" si="67"/>
        <v/>
      </c>
      <c r="G559" s="784" t="str">
        <f t="shared" si="68"/>
        <v/>
      </c>
      <c r="Y559" s="663" t="str">
        <f>IF(C559="","",('transversal subsidence profile'!$L$5*EXP(-(C559^2)/(2*'transversal subsidence profile'!$J$5^2)))*100)</f>
        <v/>
      </c>
      <c r="Z559" s="664" t="str">
        <f>IF(C559="","",(+'transversal subsidence profile'!$L$6*EXP(-((C559+$G$10)^2)/(2*'transversal subsidence profile'!$J$6^2)))*100)</f>
        <v/>
      </c>
      <c r="AA559" s="751" t="str">
        <f>IF(C559="","",IF('IN-OUT'!$F$26=0,'Damage classification-Rankin'!Z559,IF('IN-OUT'!$F$35=0,Y559,'Damage classification-Rankin'!Y559+'Damage classification-Rankin'!Z559)))</f>
        <v/>
      </c>
    </row>
    <row r="560" spans="1:27" ht="13.8" thickBot="1">
      <c r="A560" s="67"/>
      <c r="B560" s="655">
        <f t="shared" si="63"/>
        <v>539</v>
      </c>
      <c r="C560" s="374" t="str">
        <f t="shared" si="64"/>
        <v/>
      </c>
      <c r="D560" s="784" t="str">
        <f t="shared" si="65"/>
        <v/>
      </c>
      <c r="E560" s="784" t="str">
        <f t="shared" si="66"/>
        <v/>
      </c>
      <c r="F560" s="785" t="str">
        <f t="shared" si="67"/>
        <v/>
      </c>
      <c r="G560" s="784" t="str">
        <f t="shared" si="68"/>
        <v/>
      </c>
      <c r="Y560" s="663" t="str">
        <f>IF(C560="","",('transversal subsidence profile'!$L$5*EXP(-(C560^2)/(2*'transversal subsidence profile'!$J$5^2)))*100)</f>
        <v/>
      </c>
      <c r="Z560" s="664" t="str">
        <f>IF(C560="","",(+'transversal subsidence profile'!$L$6*EXP(-((C560+$G$10)^2)/(2*'transversal subsidence profile'!$J$6^2)))*100)</f>
        <v/>
      </c>
      <c r="AA560" s="751" t="str">
        <f>IF(C560="","",IF('IN-OUT'!$F$26=0,'Damage classification-Rankin'!Z560,IF('IN-OUT'!$F$35=0,Y560,'Damage classification-Rankin'!Y560+'Damage classification-Rankin'!Z560)))</f>
        <v/>
      </c>
    </row>
    <row r="561" spans="1:27" ht="13.8" thickBot="1">
      <c r="A561" s="67"/>
      <c r="B561" s="655">
        <f t="shared" si="63"/>
        <v>540</v>
      </c>
      <c r="C561" s="374" t="str">
        <f t="shared" si="64"/>
        <v/>
      </c>
      <c r="D561" s="784" t="str">
        <f t="shared" si="65"/>
        <v/>
      </c>
      <c r="E561" s="784" t="str">
        <f t="shared" si="66"/>
        <v/>
      </c>
      <c r="F561" s="785" t="str">
        <f t="shared" si="67"/>
        <v/>
      </c>
      <c r="G561" s="784" t="str">
        <f t="shared" si="68"/>
        <v/>
      </c>
      <c r="Y561" s="663" t="str">
        <f>IF(C561="","",('transversal subsidence profile'!$L$5*EXP(-(C561^2)/(2*'transversal subsidence profile'!$J$5^2)))*100)</f>
        <v/>
      </c>
      <c r="Z561" s="664" t="str">
        <f>IF(C561="","",(+'transversal subsidence profile'!$L$6*EXP(-((C561+$G$10)^2)/(2*'transversal subsidence profile'!$J$6^2)))*100)</f>
        <v/>
      </c>
      <c r="AA561" s="751" t="str">
        <f>IF(C561="","",IF('IN-OUT'!$F$26=0,'Damage classification-Rankin'!Z561,IF('IN-OUT'!$F$35=0,Y561,'Damage classification-Rankin'!Y561+'Damage classification-Rankin'!Z561)))</f>
        <v/>
      </c>
    </row>
    <row r="562" spans="1:27" ht="13.8" thickBot="1">
      <c r="A562" s="67"/>
      <c r="B562" s="655">
        <f t="shared" si="63"/>
        <v>541</v>
      </c>
      <c r="C562" s="374" t="str">
        <f t="shared" si="64"/>
        <v/>
      </c>
      <c r="D562" s="784" t="str">
        <f t="shared" si="65"/>
        <v/>
      </c>
      <c r="E562" s="784" t="str">
        <f t="shared" si="66"/>
        <v/>
      </c>
      <c r="F562" s="785" t="str">
        <f t="shared" si="67"/>
        <v/>
      </c>
      <c r="G562" s="784" t="str">
        <f t="shared" si="68"/>
        <v/>
      </c>
      <c r="Y562" s="663" t="str">
        <f>IF(C562="","",('transversal subsidence profile'!$L$5*EXP(-(C562^2)/(2*'transversal subsidence profile'!$J$5^2)))*100)</f>
        <v/>
      </c>
      <c r="Z562" s="664" t="str">
        <f>IF(C562="","",(+'transversal subsidence profile'!$L$6*EXP(-((C562+$G$10)^2)/(2*'transversal subsidence profile'!$J$6^2)))*100)</f>
        <v/>
      </c>
      <c r="AA562" s="751" t="str">
        <f>IF(C562="","",IF('IN-OUT'!$F$26=0,'Damage classification-Rankin'!Z562,IF('IN-OUT'!$F$35=0,Y562,'Damage classification-Rankin'!Y562+'Damage classification-Rankin'!Z562)))</f>
        <v/>
      </c>
    </row>
    <row r="563" spans="1:27" ht="13.8" thickBot="1">
      <c r="A563" s="67"/>
      <c r="B563" s="655">
        <f t="shared" si="63"/>
        <v>542</v>
      </c>
      <c r="C563" s="374" t="str">
        <f t="shared" si="64"/>
        <v/>
      </c>
      <c r="D563" s="784" t="str">
        <f t="shared" si="65"/>
        <v/>
      </c>
      <c r="E563" s="784" t="str">
        <f t="shared" si="66"/>
        <v/>
      </c>
      <c r="F563" s="785" t="str">
        <f t="shared" si="67"/>
        <v/>
      </c>
      <c r="G563" s="784" t="str">
        <f t="shared" si="68"/>
        <v/>
      </c>
      <c r="Y563" s="663" t="str">
        <f>IF(C563="","",('transversal subsidence profile'!$L$5*EXP(-(C563^2)/(2*'transversal subsidence profile'!$J$5^2)))*100)</f>
        <v/>
      </c>
      <c r="Z563" s="664" t="str">
        <f>IF(C563="","",(+'transversal subsidence profile'!$L$6*EXP(-((C563+$G$10)^2)/(2*'transversal subsidence profile'!$J$6^2)))*100)</f>
        <v/>
      </c>
      <c r="AA563" s="751" t="str">
        <f>IF(C563="","",IF('IN-OUT'!$F$26=0,'Damage classification-Rankin'!Z563,IF('IN-OUT'!$F$35=0,Y563,'Damage classification-Rankin'!Y563+'Damage classification-Rankin'!Z563)))</f>
        <v/>
      </c>
    </row>
    <row r="564" spans="1:27" ht="13.8" thickBot="1">
      <c r="A564" s="67"/>
      <c r="B564" s="655">
        <f t="shared" si="63"/>
        <v>543</v>
      </c>
      <c r="C564" s="374" t="str">
        <f t="shared" si="64"/>
        <v/>
      </c>
      <c r="D564" s="784" t="str">
        <f t="shared" si="65"/>
        <v/>
      </c>
      <c r="E564" s="784" t="str">
        <f t="shared" si="66"/>
        <v/>
      </c>
      <c r="F564" s="785" t="str">
        <f t="shared" si="67"/>
        <v/>
      </c>
      <c r="G564" s="784" t="str">
        <f t="shared" si="68"/>
        <v/>
      </c>
      <c r="Y564" s="663" t="str">
        <f>IF(C564="","",('transversal subsidence profile'!$L$5*EXP(-(C564^2)/(2*'transversal subsidence profile'!$J$5^2)))*100)</f>
        <v/>
      </c>
      <c r="Z564" s="664" t="str">
        <f>IF(C564="","",(+'transversal subsidence profile'!$L$6*EXP(-((C564+$G$10)^2)/(2*'transversal subsidence profile'!$J$6^2)))*100)</f>
        <v/>
      </c>
      <c r="AA564" s="751" t="str">
        <f>IF(C564="","",IF('IN-OUT'!$F$26=0,'Damage classification-Rankin'!Z564,IF('IN-OUT'!$F$35=0,Y564,'Damage classification-Rankin'!Y564+'Damage classification-Rankin'!Z564)))</f>
        <v/>
      </c>
    </row>
    <row r="565" spans="1:27" ht="13.8" thickBot="1">
      <c r="A565" s="67"/>
      <c r="B565" s="655">
        <f t="shared" si="63"/>
        <v>544</v>
      </c>
      <c r="C565" s="374" t="str">
        <f t="shared" si="64"/>
        <v/>
      </c>
      <c r="D565" s="784" t="str">
        <f t="shared" si="65"/>
        <v/>
      </c>
      <c r="E565" s="784" t="str">
        <f t="shared" si="66"/>
        <v/>
      </c>
      <c r="F565" s="785" t="str">
        <f t="shared" si="67"/>
        <v/>
      </c>
      <c r="G565" s="784" t="str">
        <f t="shared" si="68"/>
        <v/>
      </c>
      <c r="Y565" s="663" t="str">
        <f>IF(C565="","",('transversal subsidence profile'!$L$5*EXP(-(C565^2)/(2*'transversal subsidence profile'!$J$5^2)))*100)</f>
        <v/>
      </c>
      <c r="Z565" s="664" t="str">
        <f>IF(C565="","",(+'transversal subsidence profile'!$L$6*EXP(-((C565+$G$10)^2)/(2*'transversal subsidence profile'!$J$6^2)))*100)</f>
        <v/>
      </c>
      <c r="AA565" s="751" t="str">
        <f>IF(C565="","",IF('IN-OUT'!$F$26=0,'Damage classification-Rankin'!Z565,IF('IN-OUT'!$F$35=0,Y565,'Damage classification-Rankin'!Y565+'Damage classification-Rankin'!Z565)))</f>
        <v/>
      </c>
    </row>
    <row r="566" spans="1:27" ht="13.8" thickBot="1">
      <c r="A566" s="67"/>
      <c r="B566" s="655">
        <f t="shared" si="63"/>
        <v>545</v>
      </c>
      <c r="C566" s="374" t="str">
        <f t="shared" si="64"/>
        <v/>
      </c>
      <c r="D566" s="784" t="str">
        <f t="shared" si="65"/>
        <v/>
      </c>
      <c r="E566" s="784" t="str">
        <f t="shared" si="66"/>
        <v/>
      </c>
      <c r="F566" s="785" t="str">
        <f t="shared" si="67"/>
        <v/>
      </c>
      <c r="G566" s="784" t="str">
        <f t="shared" si="68"/>
        <v/>
      </c>
      <c r="Y566" s="663" t="str">
        <f>IF(C566="","",('transversal subsidence profile'!$L$5*EXP(-(C566^2)/(2*'transversal subsidence profile'!$J$5^2)))*100)</f>
        <v/>
      </c>
      <c r="Z566" s="664" t="str">
        <f>IF(C566="","",(+'transversal subsidence profile'!$L$6*EXP(-((C566+$G$10)^2)/(2*'transversal subsidence profile'!$J$6^2)))*100)</f>
        <v/>
      </c>
      <c r="AA566" s="751" t="str">
        <f>IF(C566="","",IF('IN-OUT'!$F$26=0,'Damage classification-Rankin'!Z566,IF('IN-OUT'!$F$35=0,Y566,'Damage classification-Rankin'!Y566+'Damage classification-Rankin'!Z566)))</f>
        <v/>
      </c>
    </row>
    <row r="567" spans="1:27" ht="13.8" thickBot="1">
      <c r="A567" s="67"/>
      <c r="B567" s="655">
        <f t="shared" si="63"/>
        <v>546</v>
      </c>
      <c r="C567" s="374" t="str">
        <f t="shared" si="64"/>
        <v/>
      </c>
      <c r="D567" s="784" t="str">
        <f t="shared" si="65"/>
        <v/>
      </c>
      <c r="E567" s="784" t="str">
        <f t="shared" si="66"/>
        <v/>
      </c>
      <c r="F567" s="785" t="str">
        <f t="shared" si="67"/>
        <v/>
      </c>
      <c r="G567" s="784" t="str">
        <f t="shared" si="68"/>
        <v/>
      </c>
      <c r="Y567" s="663" t="str">
        <f>IF(C567="","",('transversal subsidence profile'!$L$5*EXP(-(C567^2)/(2*'transversal subsidence profile'!$J$5^2)))*100)</f>
        <v/>
      </c>
      <c r="Z567" s="664" t="str">
        <f>IF(C567="","",(+'transversal subsidence profile'!$L$6*EXP(-((C567+$G$10)^2)/(2*'transversal subsidence profile'!$J$6^2)))*100)</f>
        <v/>
      </c>
      <c r="AA567" s="751" t="str">
        <f>IF(C567="","",IF('IN-OUT'!$F$26=0,'Damage classification-Rankin'!Z567,IF('IN-OUT'!$F$35=0,Y567,'Damage classification-Rankin'!Y567+'Damage classification-Rankin'!Z567)))</f>
        <v/>
      </c>
    </row>
    <row r="568" spans="1:27" ht="13.8" thickBot="1">
      <c r="A568" s="67"/>
      <c r="B568" s="655">
        <f t="shared" si="63"/>
        <v>547</v>
      </c>
      <c r="C568" s="374" t="str">
        <f t="shared" si="64"/>
        <v/>
      </c>
      <c r="D568" s="784" t="str">
        <f t="shared" si="65"/>
        <v/>
      </c>
      <c r="E568" s="784" t="str">
        <f t="shared" si="66"/>
        <v/>
      </c>
      <c r="F568" s="785" t="str">
        <f t="shared" si="67"/>
        <v/>
      </c>
      <c r="G568" s="784" t="str">
        <f t="shared" si="68"/>
        <v/>
      </c>
      <c r="Y568" s="663" t="str">
        <f>IF(C568="","",('transversal subsidence profile'!$L$5*EXP(-(C568^2)/(2*'transversal subsidence profile'!$J$5^2)))*100)</f>
        <v/>
      </c>
      <c r="Z568" s="664" t="str">
        <f>IF(C568="","",(+'transversal subsidence profile'!$L$6*EXP(-((C568+$G$10)^2)/(2*'transversal subsidence profile'!$J$6^2)))*100)</f>
        <v/>
      </c>
      <c r="AA568" s="751" t="str">
        <f>IF(C568="","",IF('IN-OUT'!$F$26=0,'Damage classification-Rankin'!Z568,IF('IN-OUT'!$F$35=0,Y568,'Damage classification-Rankin'!Y568+'Damage classification-Rankin'!Z568)))</f>
        <v/>
      </c>
    </row>
    <row r="569" spans="1:27" ht="13.8" thickBot="1">
      <c r="A569" s="67"/>
      <c r="B569" s="655">
        <f t="shared" si="63"/>
        <v>548</v>
      </c>
      <c r="C569" s="374" t="str">
        <f t="shared" si="64"/>
        <v/>
      </c>
      <c r="D569" s="784" t="str">
        <f t="shared" si="65"/>
        <v/>
      </c>
      <c r="E569" s="784" t="str">
        <f t="shared" si="66"/>
        <v/>
      </c>
      <c r="F569" s="785" t="str">
        <f t="shared" si="67"/>
        <v/>
      </c>
      <c r="G569" s="784" t="str">
        <f t="shared" si="68"/>
        <v/>
      </c>
      <c r="Y569" s="663" t="str">
        <f>IF(C569="","",('transversal subsidence profile'!$L$5*EXP(-(C569^2)/(2*'transversal subsidence profile'!$J$5^2)))*100)</f>
        <v/>
      </c>
      <c r="Z569" s="664" t="str">
        <f>IF(C569="","",(+'transversal subsidence profile'!$L$6*EXP(-((C569+$G$10)^2)/(2*'transversal subsidence profile'!$J$6^2)))*100)</f>
        <v/>
      </c>
      <c r="AA569" s="751" t="str">
        <f>IF(C569="","",IF('IN-OUT'!$F$26=0,'Damage classification-Rankin'!Z569,IF('IN-OUT'!$F$35=0,Y569,'Damage classification-Rankin'!Y569+'Damage classification-Rankin'!Z569)))</f>
        <v/>
      </c>
    </row>
    <row r="570" spans="1:27" ht="13.8" thickBot="1">
      <c r="A570" s="67"/>
      <c r="B570" s="655">
        <f t="shared" si="63"/>
        <v>549</v>
      </c>
      <c r="C570" s="374" t="str">
        <f t="shared" si="64"/>
        <v/>
      </c>
      <c r="D570" s="784" t="str">
        <f t="shared" si="65"/>
        <v/>
      </c>
      <c r="E570" s="784" t="str">
        <f t="shared" si="66"/>
        <v/>
      </c>
      <c r="F570" s="785" t="str">
        <f t="shared" si="67"/>
        <v/>
      </c>
      <c r="G570" s="784" t="str">
        <f t="shared" si="68"/>
        <v/>
      </c>
      <c r="Y570" s="663" t="str">
        <f>IF(C570="","",('transversal subsidence profile'!$L$5*EXP(-(C570^2)/(2*'transversal subsidence profile'!$J$5^2)))*100)</f>
        <v/>
      </c>
      <c r="Z570" s="664" t="str">
        <f>IF(C570="","",(+'transversal subsidence profile'!$L$6*EXP(-((C570+$G$10)^2)/(2*'transversal subsidence profile'!$J$6^2)))*100)</f>
        <v/>
      </c>
      <c r="AA570" s="751" t="str">
        <f>IF(C570="","",IF('IN-OUT'!$F$26=0,'Damage classification-Rankin'!Z570,IF('IN-OUT'!$F$35=0,Y570,'Damage classification-Rankin'!Y570+'Damage classification-Rankin'!Z570)))</f>
        <v/>
      </c>
    </row>
    <row r="571" spans="1:27" ht="13.8" thickBot="1">
      <c r="A571" s="67"/>
      <c r="B571" s="655">
        <f t="shared" si="63"/>
        <v>550</v>
      </c>
      <c r="C571" s="374" t="str">
        <f t="shared" si="64"/>
        <v/>
      </c>
      <c r="D571" s="784" t="str">
        <f t="shared" si="65"/>
        <v/>
      </c>
      <c r="E571" s="784" t="str">
        <f t="shared" si="66"/>
        <v/>
      </c>
      <c r="F571" s="785" t="str">
        <f t="shared" si="67"/>
        <v/>
      </c>
      <c r="G571" s="784" t="str">
        <f t="shared" si="68"/>
        <v/>
      </c>
      <c r="Y571" s="663" t="str">
        <f>IF(C571="","",('transversal subsidence profile'!$L$5*EXP(-(C571^2)/(2*'transversal subsidence profile'!$J$5^2)))*100)</f>
        <v/>
      </c>
      <c r="Z571" s="664" t="str">
        <f>IF(C571="","",(+'transversal subsidence profile'!$L$6*EXP(-((C571+$G$10)^2)/(2*'transversal subsidence profile'!$J$6^2)))*100)</f>
        <v/>
      </c>
      <c r="AA571" s="751" t="str">
        <f>IF(C571="","",IF('IN-OUT'!$F$26=0,'Damage classification-Rankin'!Z571,IF('IN-OUT'!$F$35=0,Y571,'Damage classification-Rankin'!Y571+'Damage classification-Rankin'!Z571)))</f>
        <v/>
      </c>
    </row>
    <row r="572" spans="1:27" ht="13.8" thickBot="1">
      <c r="A572" s="67"/>
      <c r="B572" s="655">
        <f t="shared" si="63"/>
        <v>551</v>
      </c>
      <c r="C572" s="374" t="str">
        <f t="shared" si="64"/>
        <v/>
      </c>
      <c r="D572" s="784" t="str">
        <f t="shared" si="65"/>
        <v/>
      </c>
      <c r="E572" s="784" t="str">
        <f t="shared" si="66"/>
        <v/>
      </c>
      <c r="F572" s="785" t="str">
        <f t="shared" si="67"/>
        <v/>
      </c>
      <c r="G572" s="784" t="str">
        <f t="shared" si="68"/>
        <v/>
      </c>
      <c r="Y572" s="663" t="str">
        <f>IF(C572="","",('transversal subsidence profile'!$L$5*EXP(-(C572^2)/(2*'transversal subsidence profile'!$J$5^2)))*100)</f>
        <v/>
      </c>
      <c r="Z572" s="664" t="str">
        <f>IF(C572="","",(+'transversal subsidence profile'!$L$6*EXP(-((C572+$G$10)^2)/(2*'transversal subsidence profile'!$J$6^2)))*100)</f>
        <v/>
      </c>
      <c r="AA572" s="751" t="str">
        <f>IF(C572="","",IF('IN-OUT'!$F$26=0,'Damage classification-Rankin'!Z572,IF('IN-OUT'!$F$35=0,Y572,'Damage classification-Rankin'!Y572+'Damage classification-Rankin'!Z572)))</f>
        <v/>
      </c>
    </row>
    <row r="573" spans="1:27" ht="13.8" thickBot="1">
      <c r="A573" s="67"/>
      <c r="B573" s="655">
        <f t="shared" si="63"/>
        <v>552</v>
      </c>
      <c r="C573" s="374" t="str">
        <f t="shared" si="64"/>
        <v/>
      </c>
      <c r="D573" s="784" t="str">
        <f t="shared" si="65"/>
        <v/>
      </c>
      <c r="E573" s="784" t="str">
        <f t="shared" si="66"/>
        <v/>
      </c>
      <c r="F573" s="785" t="str">
        <f t="shared" si="67"/>
        <v/>
      </c>
      <c r="G573" s="784" t="str">
        <f t="shared" si="68"/>
        <v/>
      </c>
      <c r="Y573" s="663" t="str">
        <f>IF(C573="","",('transversal subsidence profile'!$L$5*EXP(-(C573^2)/(2*'transversal subsidence profile'!$J$5^2)))*100)</f>
        <v/>
      </c>
      <c r="Z573" s="664" t="str">
        <f>IF(C573="","",(+'transversal subsidence profile'!$L$6*EXP(-((C573+$G$10)^2)/(2*'transversal subsidence profile'!$J$6^2)))*100)</f>
        <v/>
      </c>
      <c r="AA573" s="751" t="str">
        <f>IF(C573="","",IF('IN-OUT'!$F$26=0,'Damage classification-Rankin'!Z573,IF('IN-OUT'!$F$35=0,Y573,'Damage classification-Rankin'!Y573+'Damage classification-Rankin'!Z573)))</f>
        <v/>
      </c>
    </row>
    <row r="574" spans="1:27" ht="13.8" thickBot="1">
      <c r="A574" s="67"/>
      <c r="B574" s="655">
        <f t="shared" si="63"/>
        <v>553</v>
      </c>
      <c r="C574" s="374" t="str">
        <f t="shared" si="64"/>
        <v/>
      </c>
      <c r="D574" s="784" t="str">
        <f t="shared" si="65"/>
        <v/>
      </c>
      <c r="E574" s="784" t="str">
        <f t="shared" si="66"/>
        <v/>
      </c>
      <c r="F574" s="785" t="str">
        <f t="shared" si="67"/>
        <v/>
      </c>
      <c r="G574" s="784" t="str">
        <f t="shared" si="68"/>
        <v/>
      </c>
      <c r="Y574" s="663" t="str">
        <f>IF(C574="","",('transversal subsidence profile'!$L$5*EXP(-(C574^2)/(2*'transversal subsidence profile'!$J$5^2)))*100)</f>
        <v/>
      </c>
      <c r="Z574" s="664" t="str">
        <f>IF(C574="","",(+'transversal subsidence profile'!$L$6*EXP(-((C574+$G$10)^2)/(2*'transversal subsidence profile'!$J$6^2)))*100)</f>
        <v/>
      </c>
      <c r="AA574" s="751" t="str">
        <f>IF(C574="","",IF('IN-OUT'!$F$26=0,'Damage classification-Rankin'!Z574,IF('IN-OUT'!$F$35=0,Y574,'Damage classification-Rankin'!Y574+'Damage classification-Rankin'!Z574)))</f>
        <v/>
      </c>
    </row>
    <row r="575" spans="1:27" ht="13.8" thickBot="1">
      <c r="A575" s="67"/>
      <c r="B575" s="655">
        <f t="shared" si="63"/>
        <v>554</v>
      </c>
      <c r="C575" s="374" t="str">
        <f t="shared" si="64"/>
        <v/>
      </c>
      <c r="D575" s="784" t="str">
        <f t="shared" si="65"/>
        <v/>
      </c>
      <c r="E575" s="784" t="str">
        <f t="shared" si="66"/>
        <v/>
      </c>
      <c r="F575" s="785" t="str">
        <f t="shared" si="67"/>
        <v/>
      </c>
      <c r="G575" s="784" t="str">
        <f t="shared" si="68"/>
        <v/>
      </c>
      <c r="Y575" s="663" t="str">
        <f>IF(C575="","",('transversal subsidence profile'!$L$5*EXP(-(C575^2)/(2*'transversal subsidence profile'!$J$5^2)))*100)</f>
        <v/>
      </c>
      <c r="Z575" s="664" t="str">
        <f>IF(C575="","",(+'transversal subsidence profile'!$L$6*EXP(-((C575+$G$10)^2)/(2*'transversal subsidence profile'!$J$6^2)))*100)</f>
        <v/>
      </c>
      <c r="AA575" s="751" t="str">
        <f>IF(C575="","",IF('IN-OUT'!$F$26=0,'Damage classification-Rankin'!Z575,IF('IN-OUT'!$F$35=0,Y575,'Damage classification-Rankin'!Y575+'Damage classification-Rankin'!Z575)))</f>
        <v/>
      </c>
    </row>
    <row r="576" spans="1:27" ht="13.8" thickBot="1">
      <c r="A576" s="67"/>
      <c r="B576" s="655">
        <f t="shared" si="63"/>
        <v>555</v>
      </c>
      <c r="C576" s="374" t="str">
        <f t="shared" si="64"/>
        <v/>
      </c>
      <c r="D576" s="784" t="str">
        <f t="shared" si="65"/>
        <v/>
      </c>
      <c r="E576" s="784" t="str">
        <f t="shared" si="66"/>
        <v/>
      </c>
      <c r="F576" s="785" t="str">
        <f t="shared" si="67"/>
        <v/>
      </c>
      <c r="G576" s="784" t="str">
        <f t="shared" si="68"/>
        <v/>
      </c>
      <c r="Y576" s="663" t="str">
        <f>IF(C576="","",('transversal subsidence profile'!$L$5*EXP(-(C576^2)/(2*'transversal subsidence profile'!$J$5^2)))*100)</f>
        <v/>
      </c>
      <c r="Z576" s="664" t="str">
        <f>IF(C576="","",(+'transversal subsidence profile'!$L$6*EXP(-((C576+$G$10)^2)/(2*'transversal subsidence profile'!$J$6^2)))*100)</f>
        <v/>
      </c>
      <c r="AA576" s="751" t="str">
        <f>IF(C576="","",IF('IN-OUT'!$F$26=0,'Damage classification-Rankin'!Z576,IF('IN-OUT'!$F$35=0,Y576,'Damage classification-Rankin'!Y576+'Damage classification-Rankin'!Z576)))</f>
        <v/>
      </c>
    </row>
    <row r="577" spans="1:27" ht="13.8" thickBot="1">
      <c r="A577" s="67"/>
      <c r="B577" s="655">
        <f t="shared" si="63"/>
        <v>556</v>
      </c>
      <c r="C577" s="374" t="str">
        <f t="shared" si="64"/>
        <v/>
      </c>
      <c r="D577" s="784" t="str">
        <f t="shared" si="65"/>
        <v/>
      </c>
      <c r="E577" s="784" t="str">
        <f t="shared" si="66"/>
        <v/>
      </c>
      <c r="F577" s="785" t="str">
        <f t="shared" si="67"/>
        <v/>
      </c>
      <c r="G577" s="784" t="str">
        <f t="shared" si="68"/>
        <v/>
      </c>
      <c r="Y577" s="663" t="str">
        <f>IF(C577="","",('transversal subsidence profile'!$L$5*EXP(-(C577^2)/(2*'transversal subsidence profile'!$J$5^2)))*100)</f>
        <v/>
      </c>
      <c r="Z577" s="664" t="str">
        <f>IF(C577="","",(+'transversal subsidence profile'!$L$6*EXP(-((C577+$G$10)^2)/(2*'transversal subsidence profile'!$J$6^2)))*100)</f>
        <v/>
      </c>
      <c r="AA577" s="751" t="str">
        <f>IF(C577="","",IF('IN-OUT'!$F$26=0,'Damage classification-Rankin'!Z577,IF('IN-OUT'!$F$35=0,Y577,'Damage classification-Rankin'!Y577+'Damage classification-Rankin'!Z577)))</f>
        <v/>
      </c>
    </row>
    <row r="578" spans="1:27" ht="13.8" thickBot="1">
      <c r="A578" s="67"/>
      <c r="B578" s="655">
        <f t="shared" si="63"/>
        <v>557</v>
      </c>
      <c r="C578" s="374" t="str">
        <f t="shared" si="64"/>
        <v/>
      </c>
      <c r="D578" s="784" t="str">
        <f t="shared" si="65"/>
        <v/>
      </c>
      <c r="E578" s="784" t="str">
        <f t="shared" si="66"/>
        <v/>
      </c>
      <c r="F578" s="785" t="str">
        <f t="shared" si="67"/>
        <v/>
      </c>
      <c r="G578" s="784" t="str">
        <f t="shared" si="68"/>
        <v/>
      </c>
      <c r="Y578" s="663" t="str">
        <f>IF(C578="","",('transversal subsidence profile'!$L$5*EXP(-(C578^2)/(2*'transversal subsidence profile'!$J$5^2)))*100)</f>
        <v/>
      </c>
      <c r="Z578" s="664" t="str">
        <f>IF(C578="","",(+'transversal subsidence profile'!$L$6*EXP(-((C578+$G$10)^2)/(2*'transversal subsidence profile'!$J$6^2)))*100)</f>
        <v/>
      </c>
      <c r="AA578" s="751" t="str">
        <f>IF(C578="","",IF('IN-OUT'!$F$26=0,'Damage classification-Rankin'!Z578,IF('IN-OUT'!$F$35=0,Y578,'Damage classification-Rankin'!Y578+'Damage classification-Rankin'!Z578)))</f>
        <v/>
      </c>
    </row>
    <row r="579" spans="1:27" ht="13.8" thickBot="1">
      <c r="A579" s="67"/>
      <c r="B579" s="655">
        <f t="shared" si="63"/>
        <v>558</v>
      </c>
      <c r="C579" s="374" t="str">
        <f t="shared" si="64"/>
        <v/>
      </c>
      <c r="D579" s="784" t="str">
        <f t="shared" si="65"/>
        <v/>
      </c>
      <c r="E579" s="784" t="str">
        <f t="shared" si="66"/>
        <v/>
      </c>
      <c r="F579" s="785" t="str">
        <f t="shared" si="67"/>
        <v/>
      </c>
      <c r="G579" s="784" t="str">
        <f t="shared" si="68"/>
        <v/>
      </c>
      <c r="Y579" s="663" t="str">
        <f>IF(C579="","",('transversal subsidence profile'!$L$5*EXP(-(C579^2)/(2*'transversal subsidence profile'!$J$5^2)))*100)</f>
        <v/>
      </c>
      <c r="Z579" s="664" t="str">
        <f>IF(C579="","",(+'transversal subsidence profile'!$L$6*EXP(-((C579+$G$10)^2)/(2*'transversal subsidence profile'!$J$6^2)))*100)</f>
        <v/>
      </c>
      <c r="AA579" s="751" t="str">
        <f>IF(C579="","",IF('IN-OUT'!$F$26=0,'Damage classification-Rankin'!Z579,IF('IN-OUT'!$F$35=0,Y579,'Damage classification-Rankin'!Y579+'Damage classification-Rankin'!Z579)))</f>
        <v/>
      </c>
    </row>
    <row r="580" spans="1:27" ht="13.8" thickBot="1">
      <c r="A580" s="67"/>
      <c r="B580" s="655">
        <f t="shared" si="63"/>
        <v>559</v>
      </c>
      <c r="C580" s="374" t="str">
        <f t="shared" si="64"/>
        <v/>
      </c>
      <c r="D580" s="784" t="str">
        <f t="shared" si="65"/>
        <v/>
      </c>
      <c r="E580" s="784" t="str">
        <f t="shared" si="66"/>
        <v/>
      </c>
      <c r="F580" s="785" t="str">
        <f t="shared" si="67"/>
        <v/>
      </c>
      <c r="G580" s="784" t="str">
        <f t="shared" si="68"/>
        <v/>
      </c>
      <c r="Y580" s="663" t="str">
        <f>IF(C580="","",('transversal subsidence profile'!$L$5*EXP(-(C580^2)/(2*'transversal subsidence profile'!$J$5^2)))*100)</f>
        <v/>
      </c>
      <c r="Z580" s="664" t="str">
        <f>IF(C580="","",(+'transversal subsidence profile'!$L$6*EXP(-((C580+$G$10)^2)/(2*'transversal subsidence profile'!$J$6^2)))*100)</f>
        <v/>
      </c>
      <c r="AA580" s="751" t="str">
        <f>IF(C580="","",IF('IN-OUT'!$F$26=0,'Damage classification-Rankin'!Z580,IF('IN-OUT'!$F$35=0,Y580,'Damage classification-Rankin'!Y580+'Damage classification-Rankin'!Z580)))</f>
        <v/>
      </c>
    </row>
    <row r="581" spans="1:27" ht="13.8" thickBot="1">
      <c r="A581" s="67"/>
      <c r="B581" s="655">
        <f t="shared" si="63"/>
        <v>560</v>
      </c>
      <c r="C581" s="374" t="str">
        <f t="shared" si="64"/>
        <v/>
      </c>
      <c r="D581" s="784" t="str">
        <f t="shared" si="65"/>
        <v/>
      </c>
      <c r="E581" s="784" t="str">
        <f t="shared" si="66"/>
        <v/>
      </c>
      <c r="F581" s="785" t="str">
        <f t="shared" si="67"/>
        <v/>
      </c>
      <c r="G581" s="784" t="str">
        <f t="shared" si="68"/>
        <v/>
      </c>
      <c r="Y581" s="663" t="str">
        <f>IF(C581="","",('transversal subsidence profile'!$L$5*EXP(-(C581^2)/(2*'transversal subsidence profile'!$J$5^2)))*100)</f>
        <v/>
      </c>
      <c r="Z581" s="664" t="str">
        <f>IF(C581="","",(+'transversal subsidence profile'!$L$6*EXP(-((C581+$G$10)^2)/(2*'transversal subsidence profile'!$J$6^2)))*100)</f>
        <v/>
      </c>
      <c r="AA581" s="751" t="str">
        <f>IF(C581="","",IF('IN-OUT'!$F$26=0,'Damage classification-Rankin'!Z581,IF('IN-OUT'!$F$35=0,Y581,'Damage classification-Rankin'!Y581+'Damage classification-Rankin'!Z581)))</f>
        <v/>
      </c>
    </row>
    <row r="582" spans="1:27" ht="13.8" thickBot="1">
      <c r="A582" s="67"/>
      <c r="B582" s="655">
        <f t="shared" si="63"/>
        <v>561</v>
      </c>
      <c r="C582" s="374" t="str">
        <f t="shared" si="64"/>
        <v/>
      </c>
      <c r="D582" s="784" t="str">
        <f t="shared" si="65"/>
        <v/>
      </c>
      <c r="E582" s="784" t="str">
        <f t="shared" si="66"/>
        <v/>
      </c>
      <c r="F582" s="785" t="str">
        <f t="shared" si="67"/>
        <v/>
      </c>
      <c r="G582" s="784" t="str">
        <f t="shared" si="68"/>
        <v/>
      </c>
      <c r="Y582" s="663" t="str">
        <f>IF(C582="","",('transversal subsidence profile'!$L$5*EXP(-(C582^2)/(2*'transversal subsidence profile'!$J$5^2)))*100)</f>
        <v/>
      </c>
      <c r="Z582" s="664" t="str">
        <f>IF(C582="","",(+'transversal subsidence profile'!$L$6*EXP(-((C582+$G$10)^2)/(2*'transversal subsidence profile'!$J$6^2)))*100)</f>
        <v/>
      </c>
      <c r="AA582" s="751" t="str">
        <f>IF(C582="","",IF('IN-OUT'!$F$26=0,'Damage classification-Rankin'!Z582,IF('IN-OUT'!$F$35=0,Y582,'Damage classification-Rankin'!Y582+'Damage classification-Rankin'!Z582)))</f>
        <v/>
      </c>
    </row>
    <row r="583" spans="1:27" ht="13.8" thickBot="1">
      <c r="A583" s="67"/>
      <c r="B583" s="655">
        <f t="shared" si="63"/>
        <v>562</v>
      </c>
      <c r="C583" s="374" t="str">
        <f t="shared" si="64"/>
        <v/>
      </c>
      <c r="D583" s="784" t="str">
        <f t="shared" si="65"/>
        <v/>
      </c>
      <c r="E583" s="784" t="str">
        <f t="shared" si="66"/>
        <v/>
      </c>
      <c r="F583" s="785" t="str">
        <f t="shared" si="67"/>
        <v/>
      </c>
      <c r="G583" s="784" t="str">
        <f t="shared" si="68"/>
        <v/>
      </c>
      <c r="Y583" s="663" t="str">
        <f>IF(C583="","",('transversal subsidence profile'!$L$5*EXP(-(C583^2)/(2*'transversal subsidence profile'!$J$5^2)))*100)</f>
        <v/>
      </c>
      <c r="Z583" s="664" t="str">
        <f>IF(C583="","",(+'transversal subsidence profile'!$L$6*EXP(-((C583+$G$10)^2)/(2*'transversal subsidence profile'!$J$6^2)))*100)</f>
        <v/>
      </c>
      <c r="AA583" s="751" t="str">
        <f>IF(C583="","",IF('IN-OUT'!$F$26=0,'Damage classification-Rankin'!Z583,IF('IN-OUT'!$F$35=0,Y583,'Damage classification-Rankin'!Y583+'Damage classification-Rankin'!Z583)))</f>
        <v/>
      </c>
    </row>
    <row r="584" spans="1:27" ht="13.8" thickBot="1">
      <c r="A584" s="67"/>
      <c r="B584" s="655">
        <f t="shared" si="63"/>
        <v>563</v>
      </c>
      <c r="C584" s="374" t="str">
        <f t="shared" si="64"/>
        <v/>
      </c>
      <c r="D584" s="784" t="str">
        <f t="shared" si="65"/>
        <v/>
      </c>
      <c r="E584" s="784" t="str">
        <f t="shared" si="66"/>
        <v/>
      </c>
      <c r="F584" s="785" t="str">
        <f t="shared" si="67"/>
        <v/>
      </c>
      <c r="G584" s="784" t="str">
        <f t="shared" si="68"/>
        <v/>
      </c>
      <c r="Y584" s="663" t="str">
        <f>IF(C584="","",('transversal subsidence profile'!$L$5*EXP(-(C584^2)/(2*'transversal subsidence profile'!$J$5^2)))*100)</f>
        <v/>
      </c>
      <c r="Z584" s="664" t="str">
        <f>IF(C584="","",(+'transversal subsidence profile'!$L$6*EXP(-((C584+$G$10)^2)/(2*'transversal subsidence profile'!$J$6^2)))*100)</f>
        <v/>
      </c>
      <c r="AA584" s="751" t="str">
        <f>IF(C584="","",IF('IN-OUT'!$F$26=0,'Damage classification-Rankin'!Z584,IF('IN-OUT'!$F$35=0,Y584,'Damage classification-Rankin'!Y584+'Damage classification-Rankin'!Z584)))</f>
        <v/>
      </c>
    </row>
    <row r="585" spans="1:27" ht="13.8" thickBot="1">
      <c r="A585" s="67"/>
      <c r="B585" s="655">
        <f t="shared" si="63"/>
        <v>564</v>
      </c>
      <c r="C585" s="374" t="str">
        <f t="shared" si="64"/>
        <v/>
      </c>
      <c r="D585" s="784" t="str">
        <f t="shared" si="65"/>
        <v/>
      </c>
      <c r="E585" s="784" t="str">
        <f t="shared" si="66"/>
        <v/>
      </c>
      <c r="F585" s="785" t="str">
        <f t="shared" si="67"/>
        <v/>
      </c>
      <c r="G585" s="784" t="str">
        <f t="shared" si="68"/>
        <v/>
      </c>
      <c r="Y585" s="663" t="str">
        <f>IF(C585="","",('transversal subsidence profile'!$L$5*EXP(-(C585^2)/(2*'transversal subsidence profile'!$J$5^2)))*100)</f>
        <v/>
      </c>
      <c r="Z585" s="664" t="str">
        <f>IF(C585="","",(+'transversal subsidence profile'!$L$6*EXP(-((C585+$G$10)^2)/(2*'transversal subsidence profile'!$J$6^2)))*100)</f>
        <v/>
      </c>
      <c r="AA585" s="751" t="str">
        <f>IF(C585="","",IF('IN-OUT'!$F$26=0,'Damage classification-Rankin'!Z585,IF('IN-OUT'!$F$35=0,Y585,'Damage classification-Rankin'!Y585+'Damage classification-Rankin'!Z585)))</f>
        <v/>
      </c>
    </row>
    <row r="586" spans="1:27" ht="13.8" thickBot="1">
      <c r="A586" s="67"/>
      <c r="B586" s="655">
        <f t="shared" ref="B586:B649" si="69">B585+1</f>
        <v>565</v>
      </c>
      <c r="C586" s="374" t="str">
        <f t="shared" ref="C586:C649" si="70">IF(OR(C585=$D$8,C585=""),"",IF((C585+$C$19)&gt;$D$8,$D$8,C585+$C$19))</f>
        <v/>
      </c>
      <c r="D586" s="784" t="str">
        <f t="shared" ref="D586:D649" si="71">AA586</f>
        <v/>
      </c>
      <c r="E586" s="784" t="str">
        <f t="shared" ref="E586:E649" si="72">IF(C586="","",IF(D586&gt;D585,ATAN(((D586-D585))/ABS((C586-C585)*100)),-ATAN(((D585-D586))/ABS((C586-C585)*100))))</f>
        <v/>
      </c>
      <c r="F586" s="785" t="str">
        <f t="shared" ref="F586:F649" si="73">IF(C586&lt;&gt;"",ABS(D585-D586),"")</f>
        <v/>
      </c>
      <c r="G586" s="784" t="str">
        <f t="shared" si="68"/>
        <v/>
      </c>
      <c r="Y586" s="663" t="str">
        <f>IF(C586="","",('transversal subsidence profile'!$L$5*EXP(-(C586^2)/(2*'transversal subsidence profile'!$J$5^2)))*100)</f>
        <v/>
      </c>
      <c r="Z586" s="664" t="str">
        <f>IF(C586="","",(+'transversal subsidence profile'!$L$6*EXP(-((C586+$G$10)^2)/(2*'transversal subsidence profile'!$J$6^2)))*100)</f>
        <v/>
      </c>
      <c r="AA586" s="751" t="str">
        <f>IF(C586="","",IF('IN-OUT'!$F$26=0,'Damage classification-Rankin'!Z586,IF('IN-OUT'!$F$35=0,Y586,'Damage classification-Rankin'!Y586+'Damage classification-Rankin'!Z586)))</f>
        <v/>
      </c>
    </row>
    <row r="587" spans="1:27" ht="13.8" thickBot="1">
      <c r="A587" s="67"/>
      <c r="B587" s="655">
        <f t="shared" si="69"/>
        <v>566</v>
      </c>
      <c r="C587" s="374" t="str">
        <f t="shared" si="70"/>
        <v/>
      </c>
      <c r="D587" s="784" t="str">
        <f t="shared" si="71"/>
        <v/>
      </c>
      <c r="E587" s="784" t="str">
        <f t="shared" si="72"/>
        <v/>
      </c>
      <c r="F587" s="785" t="str">
        <f t="shared" si="73"/>
        <v/>
      </c>
      <c r="G587" s="784" t="str">
        <f t="shared" si="68"/>
        <v/>
      </c>
      <c r="Y587" s="663" t="str">
        <f>IF(C587="","",('transversal subsidence profile'!$L$5*EXP(-(C587^2)/(2*'transversal subsidence profile'!$J$5^2)))*100)</f>
        <v/>
      </c>
      <c r="Z587" s="664" t="str">
        <f>IF(C587="","",(+'transversal subsidence profile'!$L$6*EXP(-((C587+$G$10)^2)/(2*'transversal subsidence profile'!$J$6^2)))*100)</f>
        <v/>
      </c>
      <c r="AA587" s="751" t="str">
        <f>IF(C587="","",IF('IN-OUT'!$F$26=0,'Damage classification-Rankin'!Z587,IF('IN-OUT'!$F$35=0,Y587,'Damage classification-Rankin'!Y587+'Damage classification-Rankin'!Z587)))</f>
        <v/>
      </c>
    </row>
    <row r="588" spans="1:27" ht="13.8" thickBot="1">
      <c r="A588" s="67"/>
      <c r="B588" s="655">
        <f t="shared" si="69"/>
        <v>567</v>
      </c>
      <c r="C588" s="374" t="str">
        <f t="shared" si="70"/>
        <v/>
      </c>
      <c r="D588" s="784" t="str">
        <f t="shared" si="71"/>
        <v/>
      </c>
      <c r="E588" s="784" t="str">
        <f t="shared" si="72"/>
        <v/>
      </c>
      <c r="F588" s="785" t="str">
        <f t="shared" si="73"/>
        <v/>
      </c>
      <c r="G588" s="784" t="str">
        <f t="shared" si="68"/>
        <v/>
      </c>
      <c r="Y588" s="663" t="str">
        <f>IF(C588="","",('transversal subsidence profile'!$L$5*EXP(-(C588^2)/(2*'transversal subsidence profile'!$J$5^2)))*100)</f>
        <v/>
      </c>
      <c r="Z588" s="664" t="str">
        <f>IF(C588="","",(+'transversal subsidence profile'!$L$6*EXP(-((C588+$G$10)^2)/(2*'transversal subsidence profile'!$J$6^2)))*100)</f>
        <v/>
      </c>
      <c r="AA588" s="751" t="str">
        <f>IF(C588="","",IF('IN-OUT'!$F$26=0,'Damage classification-Rankin'!Z588,IF('IN-OUT'!$F$35=0,Y588,'Damage classification-Rankin'!Y588+'Damage classification-Rankin'!Z588)))</f>
        <v/>
      </c>
    </row>
    <row r="589" spans="1:27" ht="13.8" thickBot="1">
      <c r="A589" s="67"/>
      <c r="B589" s="655">
        <f t="shared" si="69"/>
        <v>568</v>
      </c>
      <c r="C589" s="374" t="str">
        <f t="shared" si="70"/>
        <v/>
      </c>
      <c r="D589" s="784" t="str">
        <f t="shared" si="71"/>
        <v/>
      </c>
      <c r="E589" s="784" t="str">
        <f t="shared" si="72"/>
        <v/>
      </c>
      <c r="F589" s="785" t="str">
        <f t="shared" si="73"/>
        <v/>
      </c>
      <c r="G589" s="784" t="str">
        <f t="shared" si="68"/>
        <v/>
      </c>
      <c r="Y589" s="663" t="str">
        <f>IF(C589="","",('transversal subsidence profile'!$L$5*EXP(-(C589^2)/(2*'transversal subsidence profile'!$J$5^2)))*100)</f>
        <v/>
      </c>
      <c r="Z589" s="664" t="str">
        <f>IF(C589="","",(+'transversal subsidence profile'!$L$6*EXP(-((C589+$G$10)^2)/(2*'transversal subsidence profile'!$J$6^2)))*100)</f>
        <v/>
      </c>
      <c r="AA589" s="751" t="str">
        <f>IF(C589="","",IF('IN-OUT'!$F$26=0,'Damage classification-Rankin'!Z589,IF('IN-OUT'!$F$35=0,Y589,'Damage classification-Rankin'!Y589+'Damage classification-Rankin'!Z589)))</f>
        <v/>
      </c>
    </row>
    <row r="590" spans="1:27" ht="13.8" thickBot="1">
      <c r="A590" s="67"/>
      <c r="B590" s="655">
        <f t="shared" si="69"/>
        <v>569</v>
      </c>
      <c r="C590" s="374" t="str">
        <f t="shared" si="70"/>
        <v/>
      </c>
      <c r="D590" s="784" t="str">
        <f t="shared" si="71"/>
        <v/>
      </c>
      <c r="E590" s="784" t="str">
        <f t="shared" si="72"/>
        <v/>
      </c>
      <c r="F590" s="785" t="str">
        <f t="shared" si="73"/>
        <v/>
      </c>
      <c r="G590" s="784" t="str">
        <f t="shared" si="68"/>
        <v/>
      </c>
      <c r="Y590" s="663" t="str">
        <f>IF(C590="","",('transversal subsidence profile'!$L$5*EXP(-(C590^2)/(2*'transversal subsidence profile'!$J$5^2)))*100)</f>
        <v/>
      </c>
      <c r="Z590" s="664" t="str">
        <f>IF(C590="","",(+'transversal subsidence profile'!$L$6*EXP(-((C590+$G$10)^2)/(2*'transversal subsidence profile'!$J$6^2)))*100)</f>
        <v/>
      </c>
      <c r="AA590" s="751" t="str">
        <f>IF(C590="","",IF('IN-OUT'!$F$26=0,'Damage classification-Rankin'!Z590,IF('IN-OUT'!$F$35=0,Y590,'Damage classification-Rankin'!Y590+'Damage classification-Rankin'!Z590)))</f>
        <v/>
      </c>
    </row>
    <row r="591" spans="1:27" ht="13.8" thickBot="1">
      <c r="A591" s="67"/>
      <c r="B591" s="655">
        <f t="shared" si="69"/>
        <v>570</v>
      </c>
      <c r="C591" s="374" t="str">
        <f t="shared" si="70"/>
        <v/>
      </c>
      <c r="D591" s="784" t="str">
        <f t="shared" si="71"/>
        <v/>
      </c>
      <c r="E591" s="784" t="str">
        <f t="shared" si="72"/>
        <v/>
      </c>
      <c r="F591" s="785" t="str">
        <f t="shared" si="73"/>
        <v/>
      </c>
      <c r="G591" s="784" t="str">
        <f t="shared" si="68"/>
        <v/>
      </c>
      <c r="Y591" s="663" t="str">
        <f>IF(C591="","",('transversal subsidence profile'!$L$5*EXP(-(C591^2)/(2*'transversal subsidence profile'!$J$5^2)))*100)</f>
        <v/>
      </c>
      <c r="Z591" s="664" t="str">
        <f>IF(C591="","",(+'transversal subsidence profile'!$L$6*EXP(-((C591+$G$10)^2)/(2*'transversal subsidence profile'!$J$6^2)))*100)</f>
        <v/>
      </c>
      <c r="AA591" s="751" t="str">
        <f>IF(C591="","",IF('IN-OUT'!$F$26=0,'Damage classification-Rankin'!Z591,IF('IN-OUT'!$F$35=0,Y591,'Damage classification-Rankin'!Y591+'Damage classification-Rankin'!Z591)))</f>
        <v/>
      </c>
    </row>
    <row r="592" spans="1:27" ht="13.8" thickBot="1">
      <c r="A592" s="67"/>
      <c r="B592" s="655">
        <f t="shared" si="69"/>
        <v>571</v>
      </c>
      <c r="C592" s="374" t="str">
        <f t="shared" si="70"/>
        <v/>
      </c>
      <c r="D592" s="784" t="str">
        <f t="shared" si="71"/>
        <v/>
      </c>
      <c r="E592" s="784" t="str">
        <f t="shared" si="72"/>
        <v/>
      </c>
      <c r="F592" s="785" t="str">
        <f t="shared" si="73"/>
        <v/>
      </c>
      <c r="G592" s="784" t="str">
        <f t="shared" si="68"/>
        <v/>
      </c>
      <c r="Y592" s="663" t="str">
        <f>IF(C592="","",('transversal subsidence profile'!$L$5*EXP(-(C592^2)/(2*'transversal subsidence profile'!$J$5^2)))*100)</f>
        <v/>
      </c>
      <c r="Z592" s="664" t="str">
        <f>IF(C592="","",(+'transversal subsidence profile'!$L$6*EXP(-((C592+$G$10)^2)/(2*'transversal subsidence profile'!$J$6^2)))*100)</f>
        <v/>
      </c>
      <c r="AA592" s="751" t="str">
        <f>IF(C592="","",IF('IN-OUT'!$F$26=0,'Damage classification-Rankin'!Z592,IF('IN-OUT'!$F$35=0,Y592,'Damage classification-Rankin'!Y592+'Damage classification-Rankin'!Z592)))</f>
        <v/>
      </c>
    </row>
    <row r="593" spans="1:27" ht="13.8" thickBot="1">
      <c r="A593" s="67"/>
      <c r="B593" s="655">
        <f t="shared" si="69"/>
        <v>572</v>
      </c>
      <c r="C593" s="374" t="str">
        <f t="shared" si="70"/>
        <v/>
      </c>
      <c r="D593" s="784" t="str">
        <f t="shared" si="71"/>
        <v/>
      </c>
      <c r="E593" s="784" t="str">
        <f t="shared" si="72"/>
        <v/>
      </c>
      <c r="F593" s="785" t="str">
        <f t="shared" si="73"/>
        <v/>
      </c>
      <c r="G593" s="784" t="str">
        <f t="shared" si="68"/>
        <v/>
      </c>
      <c r="Y593" s="663" t="str">
        <f>IF(C593="","",('transversal subsidence profile'!$L$5*EXP(-(C593^2)/(2*'transversal subsidence profile'!$J$5^2)))*100)</f>
        <v/>
      </c>
      <c r="Z593" s="664" t="str">
        <f>IF(C593="","",(+'transversal subsidence profile'!$L$6*EXP(-((C593+$G$10)^2)/(2*'transversal subsidence profile'!$J$6^2)))*100)</f>
        <v/>
      </c>
      <c r="AA593" s="751" t="str">
        <f>IF(C593="","",IF('IN-OUT'!$F$26=0,'Damage classification-Rankin'!Z593,IF('IN-OUT'!$F$35=0,Y593,'Damage classification-Rankin'!Y593+'Damage classification-Rankin'!Z593)))</f>
        <v/>
      </c>
    </row>
    <row r="594" spans="1:27" ht="13.8" thickBot="1">
      <c r="A594" s="67"/>
      <c r="B594" s="655">
        <f t="shared" si="69"/>
        <v>573</v>
      </c>
      <c r="C594" s="374" t="str">
        <f t="shared" si="70"/>
        <v/>
      </c>
      <c r="D594" s="784" t="str">
        <f t="shared" si="71"/>
        <v/>
      </c>
      <c r="E594" s="784" t="str">
        <f t="shared" si="72"/>
        <v/>
      </c>
      <c r="F594" s="785" t="str">
        <f t="shared" si="73"/>
        <v/>
      </c>
      <c r="G594" s="784" t="str">
        <f t="shared" si="68"/>
        <v/>
      </c>
      <c r="Y594" s="663" t="str">
        <f>IF(C594="","",('transversal subsidence profile'!$L$5*EXP(-(C594^2)/(2*'transversal subsidence profile'!$J$5^2)))*100)</f>
        <v/>
      </c>
      <c r="Z594" s="664" t="str">
        <f>IF(C594="","",(+'transversal subsidence profile'!$L$6*EXP(-((C594+$G$10)^2)/(2*'transversal subsidence profile'!$J$6^2)))*100)</f>
        <v/>
      </c>
      <c r="AA594" s="751" t="str">
        <f>IF(C594="","",IF('IN-OUT'!$F$26=0,'Damage classification-Rankin'!Z594,IF('IN-OUT'!$F$35=0,Y594,'Damage classification-Rankin'!Y594+'Damage classification-Rankin'!Z594)))</f>
        <v/>
      </c>
    </row>
    <row r="595" spans="1:27" ht="13.8" thickBot="1">
      <c r="A595" s="67"/>
      <c r="B595" s="655">
        <f t="shared" si="69"/>
        <v>574</v>
      </c>
      <c r="C595" s="374" t="str">
        <f t="shared" si="70"/>
        <v/>
      </c>
      <c r="D595" s="784" t="str">
        <f t="shared" si="71"/>
        <v/>
      </c>
      <c r="E595" s="784" t="str">
        <f t="shared" si="72"/>
        <v/>
      </c>
      <c r="F595" s="785" t="str">
        <f t="shared" si="73"/>
        <v/>
      </c>
      <c r="G595" s="784" t="str">
        <f t="shared" si="68"/>
        <v/>
      </c>
      <c r="Y595" s="663" t="str">
        <f>IF(C595="","",('transversal subsidence profile'!$L$5*EXP(-(C595^2)/(2*'transversal subsidence profile'!$J$5^2)))*100)</f>
        <v/>
      </c>
      <c r="Z595" s="664" t="str">
        <f>IF(C595="","",(+'transversal subsidence profile'!$L$6*EXP(-((C595+$G$10)^2)/(2*'transversal subsidence profile'!$J$6^2)))*100)</f>
        <v/>
      </c>
      <c r="AA595" s="751" t="str">
        <f>IF(C595="","",IF('IN-OUT'!$F$26=0,'Damage classification-Rankin'!Z595,IF('IN-OUT'!$F$35=0,Y595,'Damage classification-Rankin'!Y595+'Damage classification-Rankin'!Z595)))</f>
        <v/>
      </c>
    </row>
    <row r="596" spans="1:27" ht="13.8" thickBot="1">
      <c r="A596" s="67"/>
      <c r="B596" s="655">
        <f t="shared" si="69"/>
        <v>575</v>
      </c>
      <c r="C596" s="374" t="str">
        <f t="shared" si="70"/>
        <v/>
      </c>
      <c r="D596" s="784" t="str">
        <f t="shared" si="71"/>
        <v/>
      </c>
      <c r="E596" s="784" t="str">
        <f t="shared" si="72"/>
        <v/>
      </c>
      <c r="F596" s="785" t="str">
        <f t="shared" si="73"/>
        <v/>
      </c>
      <c r="G596" s="784" t="str">
        <f t="shared" si="68"/>
        <v/>
      </c>
      <c r="Y596" s="663" t="str">
        <f>IF(C596="","",('transversal subsidence profile'!$L$5*EXP(-(C596^2)/(2*'transversal subsidence profile'!$J$5^2)))*100)</f>
        <v/>
      </c>
      <c r="Z596" s="664" t="str">
        <f>IF(C596="","",(+'transversal subsidence profile'!$L$6*EXP(-((C596+$G$10)^2)/(2*'transversal subsidence profile'!$J$6^2)))*100)</f>
        <v/>
      </c>
      <c r="AA596" s="751" t="str">
        <f>IF(C596="","",IF('IN-OUT'!$F$26=0,'Damage classification-Rankin'!Z596,IF('IN-OUT'!$F$35=0,Y596,'Damage classification-Rankin'!Y596+'Damage classification-Rankin'!Z596)))</f>
        <v/>
      </c>
    </row>
    <row r="597" spans="1:27" ht="13.8" thickBot="1">
      <c r="A597" s="67"/>
      <c r="B597" s="655">
        <f t="shared" si="69"/>
        <v>576</v>
      </c>
      <c r="C597" s="374" t="str">
        <f t="shared" si="70"/>
        <v/>
      </c>
      <c r="D597" s="784" t="str">
        <f t="shared" si="71"/>
        <v/>
      </c>
      <c r="E597" s="784" t="str">
        <f t="shared" si="72"/>
        <v/>
      </c>
      <c r="F597" s="785" t="str">
        <f t="shared" si="73"/>
        <v/>
      </c>
      <c r="G597" s="784" t="str">
        <f t="shared" si="68"/>
        <v/>
      </c>
      <c r="Y597" s="663" t="str">
        <f>IF(C597="","",('transversal subsidence profile'!$L$5*EXP(-(C597^2)/(2*'transversal subsidence profile'!$J$5^2)))*100)</f>
        <v/>
      </c>
      <c r="Z597" s="664" t="str">
        <f>IF(C597="","",(+'transversal subsidence profile'!$L$6*EXP(-((C597+$G$10)^2)/(2*'transversal subsidence profile'!$J$6^2)))*100)</f>
        <v/>
      </c>
      <c r="AA597" s="751" t="str">
        <f>IF(C597="","",IF('IN-OUT'!$F$26=0,'Damage classification-Rankin'!Z597,IF('IN-OUT'!$F$35=0,Y597,'Damage classification-Rankin'!Y597+'Damage classification-Rankin'!Z597)))</f>
        <v/>
      </c>
    </row>
    <row r="598" spans="1:27" ht="13.8" thickBot="1">
      <c r="A598" s="67"/>
      <c r="B598" s="655">
        <f t="shared" si="69"/>
        <v>577</v>
      </c>
      <c r="C598" s="374" t="str">
        <f t="shared" si="70"/>
        <v/>
      </c>
      <c r="D598" s="784" t="str">
        <f t="shared" si="71"/>
        <v/>
      </c>
      <c r="E598" s="784" t="str">
        <f t="shared" si="72"/>
        <v/>
      </c>
      <c r="F598" s="785" t="str">
        <f t="shared" si="73"/>
        <v/>
      </c>
      <c r="G598" s="784" t="str">
        <f t="shared" si="68"/>
        <v/>
      </c>
      <c r="Y598" s="663" t="str">
        <f>IF(C598="","",('transversal subsidence profile'!$L$5*EXP(-(C598^2)/(2*'transversal subsidence profile'!$J$5^2)))*100)</f>
        <v/>
      </c>
      <c r="Z598" s="664" t="str">
        <f>IF(C598="","",(+'transversal subsidence profile'!$L$6*EXP(-((C598+$G$10)^2)/(2*'transversal subsidence profile'!$J$6^2)))*100)</f>
        <v/>
      </c>
      <c r="AA598" s="751" t="str">
        <f>IF(C598="","",IF('IN-OUT'!$F$26=0,'Damage classification-Rankin'!Z598,IF('IN-OUT'!$F$35=0,Y598,'Damage classification-Rankin'!Y598+'Damage classification-Rankin'!Z598)))</f>
        <v/>
      </c>
    </row>
    <row r="599" spans="1:27" ht="13.8" thickBot="1">
      <c r="A599" s="67"/>
      <c r="B599" s="655">
        <f t="shared" si="69"/>
        <v>578</v>
      </c>
      <c r="C599" s="374" t="str">
        <f t="shared" si="70"/>
        <v/>
      </c>
      <c r="D599" s="784" t="str">
        <f t="shared" si="71"/>
        <v/>
      </c>
      <c r="E599" s="784" t="str">
        <f t="shared" si="72"/>
        <v/>
      </c>
      <c r="F599" s="785" t="str">
        <f t="shared" si="73"/>
        <v/>
      </c>
      <c r="G599" s="784" t="str">
        <f t="shared" si="68"/>
        <v/>
      </c>
      <c r="Y599" s="663" t="str">
        <f>IF(C599="","",('transversal subsidence profile'!$L$5*EXP(-(C599^2)/(2*'transversal subsidence profile'!$J$5^2)))*100)</f>
        <v/>
      </c>
      <c r="Z599" s="664" t="str">
        <f>IF(C599="","",(+'transversal subsidence profile'!$L$6*EXP(-((C599+$G$10)^2)/(2*'transversal subsidence profile'!$J$6^2)))*100)</f>
        <v/>
      </c>
      <c r="AA599" s="751" t="str">
        <f>IF(C599="","",IF('IN-OUT'!$F$26=0,'Damage classification-Rankin'!Z599,IF('IN-OUT'!$F$35=0,Y599,'Damage classification-Rankin'!Y599+'Damage classification-Rankin'!Z599)))</f>
        <v/>
      </c>
    </row>
    <row r="600" spans="1:27" ht="13.8" thickBot="1">
      <c r="A600" s="67"/>
      <c r="B600" s="655">
        <f t="shared" si="69"/>
        <v>579</v>
      </c>
      <c r="C600" s="374" t="str">
        <f t="shared" si="70"/>
        <v/>
      </c>
      <c r="D600" s="784" t="str">
        <f t="shared" si="71"/>
        <v/>
      </c>
      <c r="E600" s="784" t="str">
        <f t="shared" si="72"/>
        <v/>
      </c>
      <c r="F600" s="785" t="str">
        <f t="shared" si="73"/>
        <v/>
      </c>
      <c r="G600" s="784" t="str">
        <f t="shared" ref="G600:G663" si="74">IF(C600="","",IF(ABS(C599-C600)&lt;($C$19-0.0001),"",$C$20+E600))</f>
        <v/>
      </c>
      <c r="Y600" s="663" t="str">
        <f>IF(C600="","",('transversal subsidence profile'!$L$5*EXP(-(C600^2)/(2*'transversal subsidence profile'!$J$5^2)))*100)</f>
        <v/>
      </c>
      <c r="Z600" s="664" t="str">
        <f>IF(C600="","",(+'transversal subsidence profile'!$L$6*EXP(-((C600+$G$10)^2)/(2*'transversal subsidence profile'!$J$6^2)))*100)</f>
        <v/>
      </c>
      <c r="AA600" s="751" t="str">
        <f>IF(C600="","",IF('IN-OUT'!$F$26=0,'Damage classification-Rankin'!Z600,IF('IN-OUT'!$F$35=0,Y600,'Damage classification-Rankin'!Y600+'Damage classification-Rankin'!Z600)))</f>
        <v/>
      </c>
    </row>
    <row r="601" spans="1:27" ht="13.8" thickBot="1">
      <c r="A601" s="67"/>
      <c r="B601" s="655">
        <f t="shared" si="69"/>
        <v>580</v>
      </c>
      <c r="C601" s="374" t="str">
        <f t="shared" si="70"/>
        <v/>
      </c>
      <c r="D601" s="784" t="str">
        <f t="shared" si="71"/>
        <v/>
      </c>
      <c r="E601" s="784" t="str">
        <f t="shared" si="72"/>
        <v/>
      </c>
      <c r="F601" s="785" t="str">
        <f t="shared" si="73"/>
        <v/>
      </c>
      <c r="G601" s="784" t="str">
        <f t="shared" si="74"/>
        <v/>
      </c>
      <c r="Y601" s="663" t="str">
        <f>IF(C601="","",('transversal subsidence profile'!$L$5*EXP(-(C601^2)/(2*'transversal subsidence profile'!$J$5^2)))*100)</f>
        <v/>
      </c>
      <c r="Z601" s="664" t="str">
        <f>IF(C601="","",(+'transversal subsidence profile'!$L$6*EXP(-((C601+$G$10)^2)/(2*'transversal subsidence profile'!$J$6^2)))*100)</f>
        <v/>
      </c>
      <c r="AA601" s="751" t="str">
        <f>IF(C601="","",IF('IN-OUT'!$F$26=0,'Damage classification-Rankin'!Z601,IF('IN-OUT'!$F$35=0,Y601,'Damage classification-Rankin'!Y601+'Damage classification-Rankin'!Z601)))</f>
        <v/>
      </c>
    </row>
    <row r="602" spans="1:27" ht="13.8" thickBot="1">
      <c r="A602" s="67"/>
      <c r="B602" s="655">
        <f t="shared" si="69"/>
        <v>581</v>
      </c>
      <c r="C602" s="374" t="str">
        <f t="shared" si="70"/>
        <v/>
      </c>
      <c r="D602" s="784" t="str">
        <f t="shared" si="71"/>
        <v/>
      </c>
      <c r="E602" s="784" t="str">
        <f t="shared" si="72"/>
        <v/>
      </c>
      <c r="F602" s="785" t="str">
        <f t="shared" si="73"/>
        <v/>
      </c>
      <c r="G602" s="784" t="str">
        <f t="shared" si="74"/>
        <v/>
      </c>
      <c r="Y602" s="663" t="str">
        <f>IF(C602="","",('transversal subsidence profile'!$L$5*EXP(-(C602^2)/(2*'transversal subsidence profile'!$J$5^2)))*100)</f>
        <v/>
      </c>
      <c r="Z602" s="664" t="str">
        <f>IF(C602="","",(+'transversal subsidence profile'!$L$6*EXP(-((C602+$G$10)^2)/(2*'transversal subsidence profile'!$J$6^2)))*100)</f>
        <v/>
      </c>
      <c r="AA602" s="751" t="str">
        <f>IF(C602="","",IF('IN-OUT'!$F$26=0,'Damage classification-Rankin'!Z602,IF('IN-OUT'!$F$35=0,Y602,'Damage classification-Rankin'!Y602+'Damage classification-Rankin'!Z602)))</f>
        <v/>
      </c>
    </row>
    <row r="603" spans="1:27" ht="13.8" thickBot="1">
      <c r="A603" s="67"/>
      <c r="B603" s="655">
        <f t="shared" si="69"/>
        <v>582</v>
      </c>
      <c r="C603" s="374" t="str">
        <f t="shared" si="70"/>
        <v/>
      </c>
      <c r="D603" s="784" t="str">
        <f t="shared" si="71"/>
        <v/>
      </c>
      <c r="E603" s="784" t="str">
        <f t="shared" si="72"/>
        <v/>
      </c>
      <c r="F603" s="785" t="str">
        <f t="shared" si="73"/>
        <v/>
      </c>
      <c r="G603" s="784" t="str">
        <f t="shared" si="74"/>
        <v/>
      </c>
      <c r="Y603" s="663" t="str">
        <f>IF(C603="","",('transversal subsidence profile'!$L$5*EXP(-(C603^2)/(2*'transversal subsidence profile'!$J$5^2)))*100)</f>
        <v/>
      </c>
      <c r="Z603" s="664" t="str">
        <f>IF(C603="","",(+'transversal subsidence profile'!$L$6*EXP(-((C603+$G$10)^2)/(2*'transversal subsidence profile'!$J$6^2)))*100)</f>
        <v/>
      </c>
      <c r="AA603" s="751" t="str">
        <f>IF(C603="","",IF('IN-OUT'!$F$26=0,'Damage classification-Rankin'!Z603,IF('IN-OUT'!$F$35=0,Y603,'Damage classification-Rankin'!Y603+'Damage classification-Rankin'!Z603)))</f>
        <v/>
      </c>
    </row>
    <row r="604" spans="1:27" ht="13.8" thickBot="1">
      <c r="A604" s="67"/>
      <c r="B604" s="655">
        <f t="shared" si="69"/>
        <v>583</v>
      </c>
      <c r="C604" s="374" t="str">
        <f t="shared" si="70"/>
        <v/>
      </c>
      <c r="D604" s="784" t="str">
        <f t="shared" si="71"/>
        <v/>
      </c>
      <c r="E604" s="784" t="str">
        <f t="shared" si="72"/>
        <v/>
      </c>
      <c r="F604" s="785" t="str">
        <f t="shared" si="73"/>
        <v/>
      </c>
      <c r="G604" s="784" t="str">
        <f t="shared" si="74"/>
        <v/>
      </c>
      <c r="Y604" s="663" t="str">
        <f>IF(C604="","",('transversal subsidence profile'!$L$5*EXP(-(C604^2)/(2*'transversal subsidence profile'!$J$5^2)))*100)</f>
        <v/>
      </c>
      <c r="Z604" s="664" t="str">
        <f>IF(C604="","",(+'transversal subsidence profile'!$L$6*EXP(-((C604+$G$10)^2)/(2*'transversal subsidence profile'!$J$6^2)))*100)</f>
        <v/>
      </c>
      <c r="AA604" s="751" t="str">
        <f>IF(C604="","",IF('IN-OUT'!$F$26=0,'Damage classification-Rankin'!Z604,IF('IN-OUT'!$F$35=0,Y604,'Damage classification-Rankin'!Y604+'Damage classification-Rankin'!Z604)))</f>
        <v/>
      </c>
    </row>
    <row r="605" spans="1:27" ht="13.8" thickBot="1">
      <c r="A605" s="67"/>
      <c r="B605" s="655">
        <f t="shared" si="69"/>
        <v>584</v>
      </c>
      <c r="C605" s="374" t="str">
        <f t="shared" si="70"/>
        <v/>
      </c>
      <c r="D605" s="784" t="str">
        <f t="shared" si="71"/>
        <v/>
      </c>
      <c r="E605" s="784" t="str">
        <f t="shared" si="72"/>
        <v/>
      </c>
      <c r="F605" s="785" t="str">
        <f t="shared" si="73"/>
        <v/>
      </c>
      <c r="G605" s="784" t="str">
        <f t="shared" si="74"/>
        <v/>
      </c>
      <c r="Y605" s="663" t="str">
        <f>IF(C605="","",('transversal subsidence profile'!$L$5*EXP(-(C605^2)/(2*'transversal subsidence profile'!$J$5^2)))*100)</f>
        <v/>
      </c>
      <c r="Z605" s="664" t="str">
        <f>IF(C605="","",(+'transversal subsidence profile'!$L$6*EXP(-((C605+$G$10)^2)/(2*'transversal subsidence profile'!$J$6^2)))*100)</f>
        <v/>
      </c>
      <c r="AA605" s="751" t="str">
        <f>IF(C605="","",IF('IN-OUT'!$F$26=0,'Damage classification-Rankin'!Z605,IF('IN-OUT'!$F$35=0,Y605,'Damage classification-Rankin'!Y605+'Damage classification-Rankin'!Z605)))</f>
        <v/>
      </c>
    </row>
    <row r="606" spans="1:27" ht="13.8" thickBot="1">
      <c r="A606" s="67"/>
      <c r="B606" s="655">
        <f t="shared" si="69"/>
        <v>585</v>
      </c>
      <c r="C606" s="374" t="str">
        <f t="shared" si="70"/>
        <v/>
      </c>
      <c r="D606" s="784" t="str">
        <f t="shared" si="71"/>
        <v/>
      </c>
      <c r="E606" s="784" t="str">
        <f t="shared" si="72"/>
        <v/>
      </c>
      <c r="F606" s="785" t="str">
        <f t="shared" si="73"/>
        <v/>
      </c>
      <c r="G606" s="784" t="str">
        <f t="shared" si="74"/>
        <v/>
      </c>
      <c r="Y606" s="663" t="str">
        <f>IF(C606="","",('transversal subsidence profile'!$L$5*EXP(-(C606^2)/(2*'transversal subsidence profile'!$J$5^2)))*100)</f>
        <v/>
      </c>
      <c r="Z606" s="664" t="str">
        <f>IF(C606="","",(+'transversal subsidence profile'!$L$6*EXP(-((C606+$G$10)^2)/(2*'transversal subsidence profile'!$J$6^2)))*100)</f>
        <v/>
      </c>
      <c r="AA606" s="751" t="str">
        <f>IF(C606="","",IF('IN-OUT'!$F$26=0,'Damage classification-Rankin'!Z606,IF('IN-OUT'!$F$35=0,Y606,'Damage classification-Rankin'!Y606+'Damage classification-Rankin'!Z606)))</f>
        <v/>
      </c>
    </row>
    <row r="607" spans="1:27" ht="13.8" thickBot="1">
      <c r="A607" s="67"/>
      <c r="B607" s="655">
        <f t="shared" si="69"/>
        <v>586</v>
      </c>
      <c r="C607" s="374" t="str">
        <f t="shared" si="70"/>
        <v/>
      </c>
      <c r="D607" s="784" t="str">
        <f t="shared" si="71"/>
        <v/>
      </c>
      <c r="E607" s="784" t="str">
        <f t="shared" si="72"/>
        <v/>
      </c>
      <c r="F607" s="785" t="str">
        <f t="shared" si="73"/>
        <v/>
      </c>
      <c r="G607" s="784" t="str">
        <f t="shared" si="74"/>
        <v/>
      </c>
      <c r="Y607" s="663" t="str">
        <f>IF(C607="","",('transversal subsidence profile'!$L$5*EXP(-(C607^2)/(2*'transversal subsidence profile'!$J$5^2)))*100)</f>
        <v/>
      </c>
      <c r="Z607" s="664" t="str">
        <f>IF(C607="","",(+'transversal subsidence profile'!$L$6*EXP(-((C607+$G$10)^2)/(2*'transversal subsidence profile'!$J$6^2)))*100)</f>
        <v/>
      </c>
      <c r="AA607" s="751" t="str">
        <f>IF(C607="","",IF('IN-OUT'!$F$26=0,'Damage classification-Rankin'!Z607,IF('IN-OUT'!$F$35=0,Y607,'Damage classification-Rankin'!Y607+'Damage classification-Rankin'!Z607)))</f>
        <v/>
      </c>
    </row>
    <row r="608" spans="1:27" ht="13.8" thickBot="1">
      <c r="A608" s="67"/>
      <c r="B608" s="655">
        <f t="shared" si="69"/>
        <v>587</v>
      </c>
      <c r="C608" s="374" t="str">
        <f t="shared" si="70"/>
        <v/>
      </c>
      <c r="D608" s="784" t="str">
        <f t="shared" si="71"/>
        <v/>
      </c>
      <c r="E608" s="784" t="str">
        <f t="shared" si="72"/>
        <v/>
      </c>
      <c r="F608" s="785" t="str">
        <f t="shared" si="73"/>
        <v/>
      </c>
      <c r="G608" s="784" t="str">
        <f t="shared" si="74"/>
        <v/>
      </c>
      <c r="Y608" s="663" t="str">
        <f>IF(C608="","",('transversal subsidence profile'!$L$5*EXP(-(C608^2)/(2*'transversal subsidence profile'!$J$5^2)))*100)</f>
        <v/>
      </c>
      <c r="Z608" s="664" t="str">
        <f>IF(C608="","",(+'transversal subsidence profile'!$L$6*EXP(-((C608+$G$10)^2)/(2*'transversal subsidence profile'!$J$6^2)))*100)</f>
        <v/>
      </c>
      <c r="AA608" s="751" t="str">
        <f>IF(C608="","",IF('IN-OUT'!$F$26=0,'Damage classification-Rankin'!Z608,IF('IN-OUT'!$F$35=0,Y608,'Damage classification-Rankin'!Y608+'Damage classification-Rankin'!Z608)))</f>
        <v/>
      </c>
    </row>
    <row r="609" spans="1:27" ht="13.8" thickBot="1">
      <c r="A609" s="67"/>
      <c r="B609" s="655">
        <f t="shared" si="69"/>
        <v>588</v>
      </c>
      <c r="C609" s="374" t="str">
        <f t="shared" si="70"/>
        <v/>
      </c>
      <c r="D609" s="784" t="str">
        <f t="shared" si="71"/>
        <v/>
      </c>
      <c r="E609" s="784" t="str">
        <f t="shared" si="72"/>
        <v/>
      </c>
      <c r="F609" s="785" t="str">
        <f t="shared" si="73"/>
        <v/>
      </c>
      <c r="G609" s="784" t="str">
        <f t="shared" si="74"/>
        <v/>
      </c>
      <c r="Y609" s="663" t="str">
        <f>IF(C609="","",('transversal subsidence profile'!$L$5*EXP(-(C609^2)/(2*'transversal subsidence profile'!$J$5^2)))*100)</f>
        <v/>
      </c>
      <c r="Z609" s="664" t="str">
        <f>IF(C609="","",(+'transversal subsidence profile'!$L$6*EXP(-((C609+$G$10)^2)/(2*'transversal subsidence profile'!$J$6^2)))*100)</f>
        <v/>
      </c>
      <c r="AA609" s="751" t="str">
        <f>IF(C609="","",IF('IN-OUT'!$F$26=0,'Damage classification-Rankin'!Z609,IF('IN-OUT'!$F$35=0,Y609,'Damage classification-Rankin'!Y609+'Damage classification-Rankin'!Z609)))</f>
        <v/>
      </c>
    </row>
    <row r="610" spans="1:27" ht="13.8" thickBot="1">
      <c r="A610" s="67"/>
      <c r="B610" s="655">
        <f t="shared" si="69"/>
        <v>589</v>
      </c>
      <c r="C610" s="374" t="str">
        <f t="shared" si="70"/>
        <v/>
      </c>
      <c r="D610" s="784" t="str">
        <f t="shared" si="71"/>
        <v/>
      </c>
      <c r="E610" s="784" t="str">
        <f t="shared" si="72"/>
        <v/>
      </c>
      <c r="F610" s="785" t="str">
        <f t="shared" si="73"/>
        <v/>
      </c>
      <c r="G610" s="784" t="str">
        <f t="shared" si="74"/>
        <v/>
      </c>
      <c r="Y610" s="663" t="str">
        <f>IF(C610="","",('transversal subsidence profile'!$L$5*EXP(-(C610^2)/(2*'transversal subsidence profile'!$J$5^2)))*100)</f>
        <v/>
      </c>
      <c r="Z610" s="664" t="str">
        <f>IF(C610="","",(+'transversal subsidence profile'!$L$6*EXP(-((C610+$G$10)^2)/(2*'transversal subsidence profile'!$J$6^2)))*100)</f>
        <v/>
      </c>
      <c r="AA610" s="751" t="str">
        <f>IF(C610="","",IF('IN-OUT'!$F$26=0,'Damage classification-Rankin'!Z610,IF('IN-OUT'!$F$35=0,Y610,'Damage classification-Rankin'!Y610+'Damage classification-Rankin'!Z610)))</f>
        <v/>
      </c>
    </row>
    <row r="611" spans="1:27" ht="13.8" thickBot="1">
      <c r="A611" s="67"/>
      <c r="B611" s="655">
        <f t="shared" si="69"/>
        <v>590</v>
      </c>
      <c r="C611" s="374" t="str">
        <f t="shared" si="70"/>
        <v/>
      </c>
      <c r="D611" s="784" t="str">
        <f t="shared" si="71"/>
        <v/>
      </c>
      <c r="E611" s="784" t="str">
        <f t="shared" si="72"/>
        <v/>
      </c>
      <c r="F611" s="785" t="str">
        <f t="shared" si="73"/>
        <v/>
      </c>
      <c r="G611" s="784" t="str">
        <f t="shared" si="74"/>
        <v/>
      </c>
      <c r="Y611" s="663" t="str">
        <f>IF(C611="","",('transversal subsidence profile'!$L$5*EXP(-(C611^2)/(2*'transversal subsidence profile'!$J$5^2)))*100)</f>
        <v/>
      </c>
      <c r="Z611" s="664" t="str">
        <f>IF(C611="","",(+'transversal subsidence profile'!$L$6*EXP(-((C611+$G$10)^2)/(2*'transversal subsidence profile'!$J$6^2)))*100)</f>
        <v/>
      </c>
      <c r="AA611" s="751" t="str">
        <f>IF(C611="","",IF('IN-OUT'!$F$26=0,'Damage classification-Rankin'!Z611,IF('IN-OUT'!$F$35=0,Y611,'Damage classification-Rankin'!Y611+'Damage classification-Rankin'!Z611)))</f>
        <v/>
      </c>
    </row>
    <row r="612" spans="1:27" ht="13.8" thickBot="1">
      <c r="A612" s="67"/>
      <c r="B612" s="655">
        <f t="shared" si="69"/>
        <v>591</v>
      </c>
      <c r="C612" s="374" t="str">
        <f t="shared" si="70"/>
        <v/>
      </c>
      <c r="D612" s="784" t="str">
        <f t="shared" si="71"/>
        <v/>
      </c>
      <c r="E612" s="784" t="str">
        <f t="shared" si="72"/>
        <v/>
      </c>
      <c r="F612" s="785" t="str">
        <f t="shared" si="73"/>
        <v/>
      </c>
      <c r="G612" s="784" t="str">
        <f t="shared" si="74"/>
        <v/>
      </c>
      <c r="H612" s="67"/>
      <c r="Y612" s="663" t="str">
        <f>IF(C612="","",('transversal subsidence profile'!$L$5*EXP(-(C612^2)/(2*'transversal subsidence profile'!$J$5^2)))*100)</f>
        <v/>
      </c>
      <c r="Z612" s="664" t="str">
        <f>IF(C612="","",(+'transversal subsidence profile'!$L$6*EXP(-((C612+$G$10)^2)/(2*'transversal subsidence profile'!$J$6^2)))*100)</f>
        <v/>
      </c>
      <c r="AA612" s="751" t="str">
        <f>IF(C612="","",IF('IN-OUT'!$F$26=0,'Damage classification-Rankin'!Z612,IF('IN-OUT'!$F$35=0,Y612,'Damage classification-Rankin'!Y612+'Damage classification-Rankin'!Z612)))</f>
        <v/>
      </c>
    </row>
    <row r="613" spans="1:27" ht="13.8" thickBot="1">
      <c r="A613" s="67"/>
      <c r="B613" s="655">
        <f t="shared" si="69"/>
        <v>592</v>
      </c>
      <c r="C613" s="374" t="str">
        <f t="shared" si="70"/>
        <v/>
      </c>
      <c r="D613" s="784" t="str">
        <f t="shared" si="71"/>
        <v/>
      </c>
      <c r="E613" s="784" t="str">
        <f t="shared" si="72"/>
        <v/>
      </c>
      <c r="F613" s="785" t="str">
        <f t="shared" si="73"/>
        <v/>
      </c>
      <c r="G613" s="784" t="str">
        <f t="shared" si="74"/>
        <v/>
      </c>
      <c r="H613" s="67"/>
      <c r="I613" s="67"/>
      <c r="J613" s="67"/>
      <c r="K613" s="67"/>
      <c r="Y613" s="663" t="str">
        <f>IF(C613="","",('transversal subsidence profile'!$L$5*EXP(-(C613^2)/(2*'transversal subsidence profile'!$J$5^2)))*100)</f>
        <v/>
      </c>
      <c r="Z613" s="664" t="str">
        <f>IF(C613="","",(+'transversal subsidence profile'!$L$6*EXP(-((C613+$G$10)^2)/(2*'transversal subsidence profile'!$J$6^2)))*100)</f>
        <v/>
      </c>
      <c r="AA613" s="751" t="str">
        <f>IF(C613="","",IF('IN-OUT'!$F$26=0,'Damage classification-Rankin'!Z613,IF('IN-OUT'!$F$35=0,Y613,'Damage classification-Rankin'!Y613+'Damage classification-Rankin'!Z613)))</f>
        <v/>
      </c>
    </row>
    <row r="614" spans="1:27" ht="13.8" thickBot="1">
      <c r="A614" s="67"/>
      <c r="B614" s="655">
        <f t="shared" si="69"/>
        <v>593</v>
      </c>
      <c r="C614" s="374" t="str">
        <f t="shared" si="70"/>
        <v/>
      </c>
      <c r="D614" s="784" t="str">
        <f t="shared" si="71"/>
        <v/>
      </c>
      <c r="E614" s="784" t="str">
        <f t="shared" si="72"/>
        <v/>
      </c>
      <c r="F614" s="785" t="str">
        <f t="shared" si="73"/>
        <v/>
      </c>
      <c r="G614" s="784" t="str">
        <f t="shared" si="74"/>
        <v/>
      </c>
      <c r="H614" s="67"/>
      <c r="I614" s="67"/>
      <c r="J614" s="67"/>
      <c r="K614" s="67"/>
      <c r="Y614" s="663" t="str">
        <f>IF(C614="","",('transversal subsidence profile'!$L$5*EXP(-(C614^2)/(2*'transversal subsidence profile'!$J$5^2)))*100)</f>
        <v/>
      </c>
      <c r="Z614" s="664" t="str">
        <f>IF(C614="","",(+'transversal subsidence profile'!$L$6*EXP(-((C614+$G$10)^2)/(2*'transversal subsidence profile'!$J$6^2)))*100)</f>
        <v/>
      </c>
      <c r="AA614" s="751" t="str">
        <f>IF(C614="","",IF('IN-OUT'!$F$26=0,'Damage classification-Rankin'!Z614,IF('IN-OUT'!$F$35=0,Y614,'Damage classification-Rankin'!Y614+'Damage classification-Rankin'!Z614)))</f>
        <v/>
      </c>
    </row>
    <row r="615" spans="1:27" ht="13.8" thickBot="1">
      <c r="A615" s="67"/>
      <c r="B615" s="655">
        <f t="shared" si="69"/>
        <v>594</v>
      </c>
      <c r="C615" s="374" t="str">
        <f t="shared" si="70"/>
        <v/>
      </c>
      <c r="D615" s="784" t="str">
        <f t="shared" si="71"/>
        <v/>
      </c>
      <c r="E615" s="784" t="str">
        <f t="shared" si="72"/>
        <v/>
      </c>
      <c r="F615" s="785" t="str">
        <f t="shared" si="73"/>
        <v/>
      </c>
      <c r="G615" s="784" t="str">
        <f t="shared" si="74"/>
        <v/>
      </c>
      <c r="H615" s="67"/>
      <c r="I615" s="67"/>
      <c r="J615" s="67"/>
      <c r="K615" s="67"/>
      <c r="Y615" s="663" t="str">
        <f>IF(C615="","",('transversal subsidence profile'!$L$5*EXP(-(C615^2)/(2*'transversal subsidence profile'!$J$5^2)))*100)</f>
        <v/>
      </c>
      <c r="Z615" s="664" t="str">
        <f>IF(C615="","",(+'transversal subsidence profile'!$L$6*EXP(-((C615+$G$10)^2)/(2*'transversal subsidence profile'!$J$6^2)))*100)</f>
        <v/>
      </c>
      <c r="AA615" s="751" t="str">
        <f>IF(C615="","",IF('IN-OUT'!$F$26=0,'Damage classification-Rankin'!Z615,IF('IN-OUT'!$F$35=0,Y615,'Damage classification-Rankin'!Y615+'Damage classification-Rankin'!Z615)))</f>
        <v/>
      </c>
    </row>
    <row r="616" spans="1:27" ht="13.8" thickBot="1">
      <c r="A616" s="67"/>
      <c r="B616" s="655">
        <f t="shared" si="69"/>
        <v>595</v>
      </c>
      <c r="C616" s="374" t="str">
        <f t="shared" si="70"/>
        <v/>
      </c>
      <c r="D616" s="784" t="str">
        <f t="shared" si="71"/>
        <v/>
      </c>
      <c r="E616" s="784" t="str">
        <f t="shared" si="72"/>
        <v/>
      </c>
      <c r="F616" s="785" t="str">
        <f t="shared" si="73"/>
        <v/>
      </c>
      <c r="G616" s="784" t="str">
        <f t="shared" si="74"/>
        <v/>
      </c>
      <c r="Y616" s="663" t="str">
        <f>IF(C616="","",('transversal subsidence profile'!$L$5*EXP(-(C616^2)/(2*'transversal subsidence profile'!$J$5^2)))*100)</f>
        <v/>
      </c>
      <c r="Z616" s="664" t="str">
        <f>IF(C616="","",(+'transversal subsidence profile'!$L$6*EXP(-((C616+$G$10)^2)/(2*'transversal subsidence profile'!$J$6^2)))*100)</f>
        <v/>
      </c>
      <c r="AA616" s="751" t="str">
        <f>IF(C616="","",IF('IN-OUT'!$F$26=0,'Damage classification-Rankin'!Z616,IF('IN-OUT'!$F$35=0,Y616,'Damage classification-Rankin'!Y616+'Damage classification-Rankin'!Z616)))</f>
        <v/>
      </c>
    </row>
    <row r="617" spans="1:27" ht="13.8" thickBot="1">
      <c r="A617" s="67"/>
      <c r="B617" s="655">
        <f t="shared" si="69"/>
        <v>596</v>
      </c>
      <c r="C617" s="374" t="str">
        <f t="shared" si="70"/>
        <v/>
      </c>
      <c r="D617" s="784" t="str">
        <f t="shared" si="71"/>
        <v/>
      </c>
      <c r="E617" s="784" t="str">
        <f t="shared" si="72"/>
        <v/>
      </c>
      <c r="F617" s="785" t="str">
        <f t="shared" si="73"/>
        <v/>
      </c>
      <c r="G617" s="784" t="str">
        <f t="shared" si="74"/>
        <v/>
      </c>
      <c r="Y617" s="663" t="str">
        <f>IF(C617="","",('transversal subsidence profile'!$L$5*EXP(-(C617^2)/(2*'transversal subsidence profile'!$J$5^2)))*100)</f>
        <v/>
      </c>
      <c r="Z617" s="664" t="str">
        <f>IF(C617="","",(+'transversal subsidence profile'!$L$6*EXP(-((C617+$G$10)^2)/(2*'transversal subsidence profile'!$J$6^2)))*100)</f>
        <v/>
      </c>
      <c r="AA617" s="751" t="str">
        <f>IF(C617="","",IF('IN-OUT'!$F$26=0,'Damage classification-Rankin'!Z617,IF('IN-OUT'!$F$35=0,Y617,'Damage classification-Rankin'!Y617+'Damage classification-Rankin'!Z617)))</f>
        <v/>
      </c>
    </row>
    <row r="618" spans="1:27" ht="13.8" thickBot="1">
      <c r="A618" s="67"/>
      <c r="B618" s="655">
        <f t="shared" si="69"/>
        <v>597</v>
      </c>
      <c r="C618" s="374" t="str">
        <f t="shared" si="70"/>
        <v/>
      </c>
      <c r="D618" s="784" t="str">
        <f t="shared" si="71"/>
        <v/>
      </c>
      <c r="E618" s="784" t="str">
        <f t="shared" si="72"/>
        <v/>
      </c>
      <c r="F618" s="785" t="str">
        <f t="shared" si="73"/>
        <v/>
      </c>
      <c r="G618" s="784" t="str">
        <f t="shared" si="74"/>
        <v/>
      </c>
      <c r="Y618" s="663" t="str">
        <f>IF(C618="","",('transversal subsidence profile'!$L$5*EXP(-(C618^2)/(2*'transversal subsidence profile'!$J$5^2)))*100)</f>
        <v/>
      </c>
      <c r="Z618" s="664" t="str">
        <f>IF(C618="","",(+'transversal subsidence profile'!$L$6*EXP(-((C618+$G$10)^2)/(2*'transversal subsidence profile'!$J$6^2)))*100)</f>
        <v/>
      </c>
      <c r="AA618" s="751" t="str">
        <f>IF(C618="","",IF('IN-OUT'!$F$26=0,'Damage classification-Rankin'!Z618,IF('IN-OUT'!$F$35=0,Y618,'Damage classification-Rankin'!Y618+'Damage classification-Rankin'!Z618)))</f>
        <v/>
      </c>
    </row>
    <row r="619" spans="1:27" ht="13.8" thickBot="1">
      <c r="A619" s="67"/>
      <c r="B619" s="655">
        <f t="shared" si="69"/>
        <v>598</v>
      </c>
      <c r="C619" s="374" t="str">
        <f t="shared" si="70"/>
        <v/>
      </c>
      <c r="D619" s="784" t="str">
        <f t="shared" si="71"/>
        <v/>
      </c>
      <c r="E619" s="784" t="str">
        <f t="shared" si="72"/>
        <v/>
      </c>
      <c r="F619" s="785" t="str">
        <f t="shared" si="73"/>
        <v/>
      </c>
      <c r="G619" s="784" t="str">
        <f t="shared" si="74"/>
        <v/>
      </c>
      <c r="Y619" s="663" t="str">
        <f>IF(C619="","",('transversal subsidence profile'!$L$5*EXP(-(C619^2)/(2*'transversal subsidence profile'!$J$5^2)))*100)</f>
        <v/>
      </c>
      <c r="Z619" s="664" t="str">
        <f>IF(C619="","",(+'transversal subsidence profile'!$L$6*EXP(-((C619+$G$10)^2)/(2*'transversal subsidence profile'!$J$6^2)))*100)</f>
        <v/>
      </c>
      <c r="AA619" s="751" t="str">
        <f>IF(C619="","",IF('IN-OUT'!$F$26=0,'Damage classification-Rankin'!Z619,IF('IN-OUT'!$F$35=0,Y619,'Damage classification-Rankin'!Y619+'Damage classification-Rankin'!Z619)))</f>
        <v/>
      </c>
    </row>
    <row r="620" spans="1:27" ht="13.8" thickBot="1">
      <c r="A620" s="67"/>
      <c r="B620" s="655">
        <f t="shared" si="69"/>
        <v>599</v>
      </c>
      <c r="C620" s="374" t="str">
        <f t="shared" si="70"/>
        <v/>
      </c>
      <c r="D620" s="784" t="str">
        <f t="shared" si="71"/>
        <v/>
      </c>
      <c r="E620" s="784" t="str">
        <f t="shared" si="72"/>
        <v/>
      </c>
      <c r="F620" s="785" t="str">
        <f t="shared" si="73"/>
        <v/>
      </c>
      <c r="G620" s="784" t="str">
        <f t="shared" si="74"/>
        <v/>
      </c>
      <c r="Y620" s="663" t="str">
        <f>IF(C620="","",('transversal subsidence profile'!$L$5*EXP(-(C620^2)/(2*'transversal subsidence profile'!$J$5^2)))*100)</f>
        <v/>
      </c>
      <c r="Z620" s="664" t="str">
        <f>IF(C620="","",(+'transversal subsidence profile'!$L$6*EXP(-((C620+$G$10)^2)/(2*'transversal subsidence profile'!$J$6^2)))*100)</f>
        <v/>
      </c>
      <c r="AA620" s="751" t="str">
        <f>IF(C620="","",IF('IN-OUT'!$F$26=0,'Damage classification-Rankin'!Z620,IF('IN-OUT'!$F$35=0,Y620,'Damage classification-Rankin'!Y620+'Damage classification-Rankin'!Z620)))</f>
        <v/>
      </c>
    </row>
    <row r="621" spans="1:27" ht="13.8" thickBot="1">
      <c r="A621" s="67"/>
      <c r="B621" s="655">
        <f t="shared" si="69"/>
        <v>600</v>
      </c>
      <c r="C621" s="374" t="str">
        <f t="shared" si="70"/>
        <v/>
      </c>
      <c r="D621" s="784" t="str">
        <f t="shared" si="71"/>
        <v/>
      </c>
      <c r="E621" s="784" t="str">
        <f t="shared" si="72"/>
        <v/>
      </c>
      <c r="F621" s="785" t="str">
        <f t="shared" si="73"/>
        <v/>
      </c>
      <c r="G621" s="784" t="str">
        <f t="shared" si="74"/>
        <v/>
      </c>
      <c r="Y621" s="663" t="str">
        <f>IF(C621="","",('transversal subsidence profile'!$L$5*EXP(-(C621^2)/(2*'transversal subsidence profile'!$J$5^2)))*100)</f>
        <v/>
      </c>
      <c r="Z621" s="664" t="str">
        <f>IF(C621="","",(+'transversal subsidence profile'!$L$6*EXP(-((C621+$G$10)^2)/(2*'transversal subsidence profile'!$J$6^2)))*100)</f>
        <v/>
      </c>
      <c r="AA621" s="751" t="str">
        <f>IF(C621="","",IF('IN-OUT'!$F$26=0,'Damage classification-Rankin'!Z621,IF('IN-OUT'!$F$35=0,Y621,'Damage classification-Rankin'!Y621+'Damage classification-Rankin'!Z621)))</f>
        <v/>
      </c>
    </row>
    <row r="622" spans="1:27" ht="13.8" thickBot="1">
      <c r="A622" s="67"/>
      <c r="B622" s="655">
        <f t="shared" si="69"/>
        <v>601</v>
      </c>
      <c r="C622" s="374" t="str">
        <f t="shared" si="70"/>
        <v/>
      </c>
      <c r="D622" s="784" t="str">
        <f t="shared" si="71"/>
        <v/>
      </c>
      <c r="E622" s="784" t="str">
        <f t="shared" si="72"/>
        <v/>
      </c>
      <c r="F622" s="785" t="str">
        <f t="shared" si="73"/>
        <v/>
      </c>
      <c r="G622" s="784" t="str">
        <f t="shared" si="74"/>
        <v/>
      </c>
      <c r="Y622" s="663" t="str">
        <f>IF(C622="","",('transversal subsidence profile'!$L$5*EXP(-(C622^2)/(2*'transversal subsidence profile'!$J$5^2)))*100)</f>
        <v/>
      </c>
      <c r="Z622" s="664" t="str">
        <f>IF(C622="","",(+'transversal subsidence profile'!$L$6*EXP(-((C622+$G$10)^2)/(2*'transversal subsidence profile'!$J$6^2)))*100)</f>
        <v/>
      </c>
      <c r="AA622" s="751" t="str">
        <f>IF(C622="","",IF('IN-OUT'!$F$26=0,'Damage classification-Rankin'!Z622,IF('IN-OUT'!$F$35=0,Y622,'Damage classification-Rankin'!Y622+'Damage classification-Rankin'!Z622)))</f>
        <v/>
      </c>
    </row>
    <row r="623" spans="1:27" ht="13.8" thickBot="1">
      <c r="A623" s="67"/>
      <c r="B623" s="655">
        <f t="shared" si="69"/>
        <v>602</v>
      </c>
      <c r="C623" s="374" t="str">
        <f t="shared" si="70"/>
        <v/>
      </c>
      <c r="D623" s="784" t="str">
        <f t="shared" si="71"/>
        <v/>
      </c>
      <c r="E623" s="784" t="str">
        <f t="shared" si="72"/>
        <v/>
      </c>
      <c r="F623" s="785" t="str">
        <f t="shared" si="73"/>
        <v/>
      </c>
      <c r="G623" s="784" t="str">
        <f t="shared" si="74"/>
        <v/>
      </c>
      <c r="Y623" s="663" t="str">
        <f>IF(C623="","",('transversal subsidence profile'!$L$5*EXP(-(C623^2)/(2*'transversal subsidence profile'!$J$5^2)))*100)</f>
        <v/>
      </c>
      <c r="Z623" s="664" t="str">
        <f>IF(C623="","",(+'transversal subsidence profile'!$L$6*EXP(-((C623+$G$10)^2)/(2*'transversal subsidence profile'!$J$6^2)))*100)</f>
        <v/>
      </c>
      <c r="AA623" s="751" t="str">
        <f>IF(C623="","",IF('IN-OUT'!$F$26=0,'Damage classification-Rankin'!Z623,IF('IN-OUT'!$F$35=0,Y623,'Damage classification-Rankin'!Y623+'Damage classification-Rankin'!Z623)))</f>
        <v/>
      </c>
    </row>
    <row r="624" spans="1:27" ht="13.8" thickBot="1">
      <c r="A624" s="67"/>
      <c r="B624" s="655">
        <f t="shared" si="69"/>
        <v>603</v>
      </c>
      <c r="C624" s="374" t="str">
        <f t="shared" si="70"/>
        <v/>
      </c>
      <c r="D624" s="784" t="str">
        <f t="shared" si="71"/>
        <v/>
      </c>
      <c r="E624" s="784" t="str">
        <f t="shared" si="72"/>
        <v/>
      </c>
      <c r="F624" s="785" t="str">
        <f t="shared" si="73"/>
        <v/>
      </c>
      <c r="G624" s="784" t="str">
        <f t="shared" si="74"/>
        <v/>
      </c>
      <c r="Y624" s="663" t="str">
        <f>IF(C624="","",('transversal subsidence profile'!$L$5*EXP(-(C624^2)/(2*'transversal subsidence profile'!$J$5^2)))*100)</f>
        <v/>
      </c>
      <c r="Z624" s="664" t="str">
        <f>IF(C624="","",(+'transversal subsidence profile'!$L$6*EXP(-((C624+$G$10)^2)/(2*'transversal subsidence profile'!$J$6^2)))*100)</f>
        <v/>
      </c>
      <c r="AA624" s="751" t="str">
        <f>IF(C624="","",IF('IN-OUT'!$F$26=0,'Damage classification-Rankin'!Z624,IF('IN-OUT'!$F$35=0,Y624,'Damage classification-Rankin'!Y624+'Damage classification-Rankin'!Z624)))</f>
        <v/>
      </c>
    </row>
    <row r="625" spans="1:27" ht="13.8" thickBot="1">
      <c r="A625" s="67"/>
      <c r="B625" s="655">
        <f t="shared" si="69"/>
        <v>604</v>
      </c>
      <c r="C625" s="374" t="str">
        <f t="shared" si="70"/>
        <v/>
      </c>
      <c r="D625" s="784" t="str">
        <f t="shared" si="71"/>
        <v/>
      </c>
      <c r="E625" s="784" t="str">
        <f t="shared" si="72"/>
        <v/>
      </c>
      <c r="F625" s="785" t="str">
        <f t="shared" si="73"/>
        <v/>
      </c>
      <c r="G625" s="784" t="str">
        <f t="shared" si="74"/>
        <v/>
      </c>
      <c r="Y625" s="663" t="str">
        <f>IF(C625="","",('transversal subsidence profile'!$L$5*EXP(-(C625^2)/(2*'transversal subsidence profile'!$J$5^2)))*100)</f>
        <v/>
      </c>
      <c r="Z625" s="664" t="str">
        <f>IF(C625="","",(+'transversal subsidence profile'!$L$6*EXP(-((C625+$G$10)^2)/(2*'transversal subsidence profile'!$J$6^2)))*100)</f>
        <v/>
      </c>
      <c r="AA625" s="751" t="str">
        <f>IF(C625="","",IF('IN-OUT'!$F$26=0,'Damage classification-Rankin'!Z625,IF('IN-OUT'!$F$35=0,Y625,'Damage classification-Rankin'!Y625+'Damage classification-Rankin'!Z625)))</f>
        <v/>
      </c>
    </row>
    <row r="626" spans="1:27" ht="13.8" thickBot="1">
      <c r="A626" s="67"/>
      <c r="B626" s="655">
        <f t="shared" si="69"/>
        <v>605</v>
      </c>
      <c r="C626" s="374" t="str">
        <f t="shared" si="70"/>
        <v/>
      </c>
      <c r="D626" s="784" t="str">
        <f t="shared" si="71"/>
        <v/>
      </c>
      <c r="E626" s="784" t="str">
        <f t="shared" si="72"/>
        <v/>
      </c>
      <c r="F626" s="785" t="str">
        <f t="shared" si="73"/>
        <v/>
      </c>
      <c r="G626" s="784" t="str">
        <f t="shared" si="74"/>
        <v/>
      </c>
      <c r="Y626" s="663" t="str">
        <f>IF(C626="","",('transversal subsidence profile'!$L$5*EXP(-(C626^2)/(2*'transversal subsidence profile'!$J$5^2)))*100)</f>
        <v/>
      </c>
      <c r="Z626" s="664" t="str">
        <f>IF(C626="","",(+'transversal subsidence profile'!$L$6*EXP(-((C626+$G$10)^2)/(2*'transversal subsidence profile'!$J$6^2)))*100)</f>
        <v/>
      </c>
      <c r="AA626" s="751" t="str">
        <f>IF(C626="","",IF('IN-OUT'!$F$26=0,'Damage classification-Rankin'!Z626,IF('IN-OUT'!$F$35=0,Y626,'Damage classification-Rankin'!Y626+'Damage classification-Rankin'!Z626)))</f>
        <v/>
      </c>
    </row>
    <row r="627" spans="1:27" ht="13.8" thickBot="1">
      <c r="A627" s="67"/>
      <c r="B627" s="655">
        <f t="shared" si="69"/>
        <v>606</v>
      </c>
      <c r="C627" s="374" t="str">
        <f t="shared" si="70"/>
        <v/>
      </c>
      <c r="D627" s="784" t="str">
        <f t="shared" si="71"/>
        <v/>
      </c>
      <c r="E627" s="784" t="str">
        <f t="shared" si="72"/>
        <v/>
      </c>
      <c r="F627" s="785" t="str">
        <f t="shared" si="73"/>
        <v/>
      </c>
      <c r="G627" s="784" t="str">
        <f t="shared" si="74"/>
        <v/>
      </c>
      <c r="Y627" s="663" t="str">
        <f>IF(C627="","",('transversal subsidence profile'!$L$5*EXP(-(C627^2)/(2*'transversal subsidence profile'!$J$5^2)))*100)</f>
        <v/>
      </c>
      <c r="Z627" s="664" t="str">
        <f>IF(C627="","",(+'transversal subsidence profile'!$L$6*EXP(-((C627+$G$10)^2)/(2*'transversal subsidence profile'!$J$6^2)))*100)</f>
        <v/>
      </c>
      <c r="AA627" s="751" t="str">
        <f>IF(C627="","",IF('IN-OUT'!$F$26=0,'Damage classification-Rankin'!Z627,IF('IN-OUT'!$F$35=0,Y627,'Damage classification-Rankin'!Y627+'Damage classification-Rankin'!Z627)))</f>
        <v/>
      </c>
    </row>
    <row r="628" spans="1:27" ht="13.8" thickBot="1">
      <c r="A628" s="67"/>
      <c r="B628" s="655">
        <f t="shared" si="69"/>
        <v>607</v>
      </c>
      <c r="C628" s="374" t="str">
        <f t="shared" si="70"/>
        <v/>
      </c>
      <c r="D628" s="784" t="str">
        <f t="shared" si="71"/>
        <v/>
      </c>
      <c r="E628" s="784" t="str">
        <f t="shared" si="72"/>
        <v/>
      </c>
      <c r="F628" s="785" t="str">
        <f t="shared" si="73"/>
        <v/>
      </c>
      <c r="G628" s="784" t="str">
        <f t="shared" si="74"/>
        <v/>
      </c>
      <c r="Y628" s="663" t="str">
        <f>IF(C628="","",('transversal subsidence profile'!$L$5*EXP(-(C628^2)/(2*'transversal subsidence profile'!$J$5^2)))*100)</f>
        <v/>
      </c>
      <c r="Z628" s="664" t="str">
        <f>IF(C628="","",(+'transversal subsidence profile'!$L$6*EXP(-((C628+$G$10)^2)/(2*'transversal subsidence profile'!$J$6^2)))*100)</f>
        <v/>
      </c>
      <c r="AA628" s="751" t="str">
        <f>IF(C628="","",IF('IN-OUT'!$F$26=0,'Damage classification-Rankin'!Z628,IF('IN-OUT'!$F$35=0,Y628,'Damage classification-Rankin'!Y628+'Damage classification-Rankin'!Z628)))</f>
        <v/>
      </c>
    </row>
    <row r="629" spans="1:27" ht="13.8" thickBot="1">
      <c r="A629" s="67"/>
      <c r="B629" s="655">
        <f t="shared" si="69"/>
        <v>608</v>
      </c>
      <c r="C629" s="374" t="str">
        <f t="shared" si="70"/>
        <v/>
      </c>
      <c r="D629" s="784" t="str">
        <f t="shared" si="71"/>
        <v/>
      </c>
      <c r="E629" s="784" t="str">
        <f t="shared" si="72"/>
        <v/>
      </c>
      <c r="F629" s="785" t="str">
        <f t="shared" si="73"/>
        <v/>
      </c>
      <c r="G629" s="784" t="str">
        <f t="shared" si="74"/>
        <v/>
      </c>
      <c r="Y629" s="663" t="str">
        <f>IF(C629="","",('transversal subsidence profile'!$L$5*EXP(-(C629^2)/(2*'transversal subsidence profile'!$J$5^2)))*100)</f>
        <v/>
      </c>
      <c r="Z629" s="664" t="str">
        <f>IF(C629="","",(+'transversal subsidence profile'!$L$6*EXP(-((C629+$G$10)^2)/(2*'transversal subsidence profile'!$J$6^2)))*100)</f>
        <v/>
      </c>
      <c r="AA629" s="751" t="str">
        <f>IF(C629="","",IF('IN-OUT'!$F$26=0,'Damage classification-Rankin'!Z629,IF('IN-OUT'!$F$35=0,Y629,'Damage classification-Rankin'!Y629+'Damage classification-Rankin'!Z629)))</f>
        <v/>
      </c>
    </row>
    <row r="630" spans="1:27" ht="13.8" thickBot="1">
      <c r="A630" s="67"/>
      <c r="B630" s="655">
        <f t="shared" si="69"/>
        <v>609</v>
      </c>
      <c r="C630" s="374" t="str">
        <f t="shared" si="70"/>
        <v/>
      </c>
      <c r="D630" s="784" t="str">
        <f t="shared" si="71"/>
        <v/>
      </c>
      <c r="E630" s="784" t="str">
        <f t="shared" si="72"/>
        <v/>
      </c>
      <c r="F630" s="785" t="str">
        <f t="shared" si="73"/>
        <v/>
      </c>
      <c r="G630" s="784" t="str">
        <f t="shared" si="74"/>
        <v/>
      </c>
      <c r="Y630" s="663" t="str">
        <f>IF(C630="","",('transversal subsidence profile'!$L$5*EXP(-(C630^2)/(2*'transversal subsidence profile'!$J$5^2)))*100)</f>
        <v/>
      </c>
      <c r="Z630" s="664" t="str">
        <f>IF(C630="","",(+'transversal subsidence profile'!$L$6*EXP(-((C630+$G$10)^2)/(2*'transversal subsidence profile'!$J$6^2)))*100)</f>
        <v/>
      </c>
      <c r="AA630" s="751" t="str">
        <f>IF(C630="","",IF('IN-OUT'!$F$26=0,'Damage classification-Rankin'!Z630,IF('IN-OUT'!$F$35=0,Y630,'Damage classification-Rankin'!Y630+'Damage classification-Rankin'!Z630)))</f>
        <v/>
      </c>
    </row>
    <row r="631" spans="1:27" ht="13.8" thickBot="1">
      <c r="A631" s="67"/>
      <c r="B631" s="655">
        <f t="shared" si="69"/>
        <v>610</v>
      </c>
      <c r="C631" s="374" t="str">
        <f t="shared" si="70"/>
        <v/>
      </c>
      <c r="D631" s="784" t="str">
        <f t="shared" si="71"/>
        <v/>
      </c>
      <c r="E631" s="784" t="str">
        <f t="shared" si="72"/>
        <v/>
      </c>
      <c r="F631" s="785" t="str">
        <f t="shared" si="73"/>
        <v/>
      </c>
      <c r="G631" s="784" t="str">
        <f t="shared" si="74"/>
        <v/>
      </c>
      <c r="Y631" s="663" t="str">
        <f>IF(C631="","",('transversal subsidence profile'!$L$5*EXP(-(C631^2)/(2*'transversal subsidence profile'!$J$5^2)))*100)</f>
        <v/>
      </c>
      <c r="Z631" s="664" t="str">
        <f>IF(C631="","",(+'transversal subsidence profile'!$L$6*EXP(-((C631+$G$10)^2)/(2*'transversal subsidence profile'!$J$6^2)))*100)</f>
        <v/>
      </c>
      <c r="AA631" s="751" t="str">
        <f>IF(C631="","",IF('IN-OUT'!$F$26=0,'Damage classification-Rankin'!Z631,IF('IN-OUT'!$F$35=0,Y631,'Damage classification-Rankin'!Y631+'Damage classification-Rankin'!Z631)))</f>
        <v/>
      </c>
    </row>
    <row r="632" spans="1:27" ht="13.8" thickBot="1">
      <c r="A632" s="67"/>
      <c r="B632" s="655">
        <f t="shared" si="69"/>
        <v>611</v>
      </c>
      <c r="C632" s="374" t="str">
        <f t="shared" si="70"/>
        <v/>
      </c>
      <c r="D632" s="784" t="str">
        <f t="shared" si="71"/>
        <v/>
      </c>
      <c r="E632" s="784" t="str">
        <f t="shared" si="72"/>
        <v/>
      </c>
      <c r="F632" s="785" t="str">
        <f t="shared" si="73"/>
        <v/>
      </c>
      <c r="G632" s="784" t="str">
        <f t="shared" si="74"/>
        <v/>
      </c>
      <c r="Y632" s="663" t="str">
        <f>IF(C632="","",('transversal subsidence profile'!$L$5*EXP(-(C632^2)/(2*'transversal subsidence profile'!$J$5^2)))*100)</f>
        <v/>
      </c>
      <c r="Z632" s="664" t="str">
        <f>IF(C632="","",(+'transversal subsidence profile'!$L$6*EXP(-((C632+$G$10)^2)/(2*'transversal subsidence profile'!$J$6^2)))*100)</f>
        <v/>
      </c>
      <c r="AA632" s="751" t="str">
        <f>IF(C632="","",IF('IN-OUT'!$F$26=0,'Damage classification-Rankin'!Z632,IF('IN-OUT'!$F$35=0,Y632,'Damage classification-Rankin'!Y632+'Damage classification-Rankin'!Z632)))</f>
        <v/>
      </c>
    </row>
    <row r="633" spans="1:27" ht="13.8" thickBot="1">
      <c r="A633" s="67"/>
      <c r="B633" s="655">
        <f t="shared" si="69"/>
        <v>612</v>
      </c>
      <c r="C633" s="374" t="str">
        <f t="shared" si="70"/>
        <v/>
      </c>
      <c r="D633" s="784" t="str">
        <f t="shared" si="71"/>
        <v/>
      </c>
      <c r="E633" s="784" t="str">
        <f t="shared" si="72"/>
        <v/>
      </c>
      <c r="F633" s="785" t="str">
        <f t="shared" si="73"/>
        <v/>
      </c>
      <c r="G633" s="784" t="str">
        <f t="shared" si="74"/>
        <v/>
      </c>
      <c r="Y633" s="663" t="str">
        <f>IF(C633="","",('transversal subsidence profile'!$L$5*EXP(-(C633^2)/(2*'transversal subsidence profile'!$J$5^2)))*100)</f>
        <v/>
      </c>
      <c r="Z633" s="664" t="str">
        <f>IF(C633="","",(+'transversal subsidence profile'!$L$6*EXP(-((C633+$G$10)^2)/(2*'transversal subsidence profile'!$J$6^2)))*100)</f>
        <v/>
      </c>
      <c r="AA633" s="751" t="str">
        <f>IF(C633="","",IF('IN-OUT'!$F$26=0,'Damage classification-Rankin'!Z633,IF('IN-OUT'!$F$35=0,Y633,'Damage classification-Rankin'!Y633+'Damage classification-Rankin'!Z633)))</f>
        <v/>
      </c>
    </row>
    <row r="634" spans="1:27" ht="13.8" thickBot="1">
      <c r="A634" s="67"/>
      <c r="B634" s="655">
        <f t="shared" si="69"/>
        <v>613</v>
      </c>
      <c r="C634" s="374" t="str">
        <f t="shared" si="70"/>
        <v/>
      </c>
      <c r="D634" s="784" t="str">
        <f t="shared" si="71"/>
        <v/>
      </c>
      <c r="E634" s="784" t="str">
        <f t="shared" si="72"/>
        <v/>
      </c>
      <c r="F634" s="785" t="str">
        <f t="shared" si="73"/>
        <v/>
      </c>
      <c r="G634" s="784" t="str">
        <f t="shared" si="74"/>
        <v/>
      </c>
      <c r="Y634" s="663" t="str">
        <f>IF(C634="","",('transversal subsidence profile'!$L$5*EXP(-(C634^2)/(2*'transversal subsidence profile'!$J$5^2)))*100)</f>
        <v/>
      </c>
      <c r="Z634" s="664" t="str">
        <f>IF(C634="","",(+'transversal subsidence profile'!$L$6*EXP(-((C634+$G$10)^2)/(2*'transversal subsidence profile'!$J$6^2)))*100)</f>
        <v/>
      </c>
      <c r="AA634" s="751" t="str">
        <f>IF(C634="","",IF('IN-OUT'!$F$26=0,'Damage classification-Rankin'!Z634,IF('IN-OUT'!$F$35=0,Y634,'Damage classification-Rankin'!Y634+'Damage classification-Rankin'!Z634)))</f>
        <v/>
      </c>
    </row>
    <row r="635" spans="1:27" ht="13.8" thickBot="1">
      <c r="A635" s="67"/>
      <c r="B635" s="655">
        <f t="shared" si="69"/>
        <v>614</v>
      </c>
      <c r="C635" s="374" t="str">
        <f t="shared" si="70"/>
        <v/>
      </c>
      <c r="D635" s="784" t="str">
        <f t="shared" si="71"/>
        <v/>
      </c>
      <c r="E635" s="784" t="str">
        <f t="shared" si="72"/>
        <v/>
      </c>
      <c r="F635" s="785" t="str">
        <f t="shared" si="73"/>
        <v/>
      </c>
      <c r="G635" s="784" t="str">
        <f t="shared" si="74"/>
        <v/>
      </c>
      <c r="Y635" s="663" t="str">
        <f>IF(C635="","",('transversal subsidence profile'!$L$5*EXP(-(C635^2)/(2*'transversal subsidence profile'!$J$5^2)))*100)</f>
        <v/>
      </c>
      <c r="Z635" s="664" t="str">
        <f>IF(C635="","",(+'transversal subsidence profile'!$L$6*EXP(-((C635+$G$10)^2)/(2*'transversal subsidence profile'!$J$6^2)))*100)</f>
        <v/>
      </c>
      <c r="AA635" s="751" t="str">
        <f>IF(C635="","",IF('IN-OUT'!$F$26=0,'Damage classification-Rankin'!Z635,IF('IN-OUT'!$F$35=0,Y635,'Damage classification-Rankin'!Y635+'Damage classification-Rankin'!Z635)))</f>
        <v/>
      </c>
    </row>
    <row r="636" spans="1:27" ht="13.8" thickBot="1">
      <c r="A636" s="67"/>
      <c r="B636" s="655">
        <f t="shared" si="69"/>
        <v>615</v>
      </c>
      <c r="C636" s="374" t="str">
        <f t="shared" si="70"/>
        <v/>
      </c>
      <c r="D636" s="784" t="str">
        <f t="shared" si="71"/>
        <v/>
      </c>
      <c r="E636" s="784" t="str">
        <f t="shared" si="72"/>
        <v/>
      </c>
      <c r="F636" s="785" t="str">
        <f t="shared" si="73"/>
        <v/>
      </c>
      <c r="G636" s="784" t="str">
        <f t="shared" si="74"/>
        <v/>
      </c>
      <c r="Y636" s="663" t="str">
        <f>IF(C636="","",('transversal subsidence profile'!$L$5*EXP(-(C636^2)/(2*'transversal subsidence profile'!$J$5^2)))*100)</f>
        <v/>
      </c>
      <c r="Z636" s="664" t="str">
        <f>IF(C636="","",(+'transversal subsidence profile'!$L$6*EXP(-((C636+$G$10)^2)/(2*'transversal subsidence profile'!$J$6^2)))*100)</f>
        <v/>
      </c>
      <c r="AA636" s="751" t="str">
        <f>IF(C636="","",IF('IN-OUT'!$F$26=0,'Damage classification-Rankin'!Z636,IF('IN-OUT'!$F$35=0,Y636,'Damage classification-Rankin'!Y636+'Damage classification-Rankin'!Z636)))</f>
        <v/>
      </c>
    </row>
    <row r="637" spans="1:27" ht="13.8" thickBot="1">
      <c r="A637" s="67"/>
      <c r="B637" s="655">
        <f t="shared" si="69"/>
        <v>616</v>
      </c>
      <c r="C637" s="374" t="str">
        <f t="shared" si="70"/>
        <v/>
      </c>
      <c r="D637" s="784" t="str">
        <f t="shared" si="71"/>
        <v/>
      </c>
      <c r="E637" s="784" t="str">
        <f t="shared" si="72"/>
        <v/>
      </c>
      <c r="F637" s="785" t="str">
        <f t="shared" si="73"/>
        <v/>
      </c>
      <c r="G637" s="784" t="str">
        <f t="shared" si="74"/>
        <v/>
      </c>
      <c r="Y637" s="663" t="str">
        <f>IF(C637="","",('transversal subsidence profile'!$L$5*EXP(-(C637^2)/(2*'transversal subsidence profile'!$J$5^2)))*100)</f>
        <v/>
      </c>
      <c r="Z637" s="664" t="str">
        <f>IF(C637="","",(+'transversal subsidence profile'!$L$6*EXP(-((C637+$G$10)^2)/(2*'transversal subsidence profile'!$J$6^2)))*100)</f>
        <v/>
      </c>
      <c r="AA637" s="751" t="str">
        <f>IF(C637="","",IF('IN-OUT'!$F$26=0,'Damage classification-Rankin'!Z637,IF('IN-OUT'!$F$35=0,Y637,'Damage classification-Rankin'!Y637+'Damage classification-Rankin'!Z637)))</f>
        <v/>
      </c>
    </row>
    <row r="638" spans="1:27" ht="13.8" thickBot="1">
      <c r="A638" s="67"/>
      <c r="B638" s="655">
        <f t="shared" si="69"/>
        <v>617</v>
      </c>
      <c r="C638" s="374" t="str">
        <f t="shared" si="70"/>
        <v/>
      </c>
      <c r="D638" s="784" t="str">
        <f t="shared" si="71"/>
        <v/>
      </c>
      <c r="E638" s="784" t="str">
        <f t="shared" si="72"/>
        <v/>
      </c>
      <c r="F638" s="785" t="str">
        <f t="shared" si="73"/>
        <v/>
      </c>
      <c r="G638" s="784" t="str">
        <f t="shared" si="74"/>
        <v/>
      </c>
      <c r="Y638" s="663" t="str">
        <f>IF(C638="","",('transversal subsidence profile'!$L$5*EXP(-(C638^2)/(2*'transversal subsidence profile'!$J$5^2)))*100)</f>
        <v/>
      </c>
      <c r="Z638" s="664" t="str">
        <f>IF(C638="","",(+'transversal subsidence profile'!$L$6*EXP(-((C638+$G$10)^2)/(2*'transversal subsidence profile'!$J$6^2)))*100)</f>
        <v/>
      </c>
      <c r="AA638" s="751" t="str">
        <f>IF(C638="","",IF('IN-OUT'!$F$26=0,'Damage classification-Rankin'!Z638,IF('IN-OUT'!$F$35=0,Y638,'Damage classification-Rankin'!Y638+'Damage classification-Rankin'!Z638)))</f>
        <v/>
      </c>
    </row>
    <row r="639" spans="1:27" ht="13.8" thickBot="1">
      <c r="A639" s="67"/>
      <c r="B639" s="655">
        <f t="shared" si="69"/>
        <v>618</v>
      </c>
      <c r="C639" s="374" t="str">
        <f t="shared" si="70"/>
        <v/>
      </c>
      <c r="D639" s="784" t="str">
        <f t="shared" si="71"/>
        <v/>
      </c>
      <c r="E639" s="784" t="str">
        <f t="shared" si="72"/>
        <v/>
      </c>
      <c r="F639" s="785" t="str">
        <f t="shared" si="73"/>
        <v/>
      </c>
      <c r="G639" s="784" t="str">
        <f t="shared" si="74"/>
        <v/>
      </c>
      <c r="Y639" s="663" t="str">
        <f>IF(C639="","",('transversal subsidence profile'!$L$5*EXP(-(C639^2)/(2*'transversal subsidence profile'!$J$5^2)))*100)</f>
        <v/>
      </c>
      <c r="Z639" s="664" t="str">
        <f>IF(C639="","",(+'transversal subsidence profile'!$L$6*EXP(-((C639+$G$10)^2)/(2*'transversal subsidence profile'!$J$6^2)))*100)</f>
        <v/>
      </c>
      <c r="AA639" s="751" t="str">
        <f>IF(C639="","",IF('IN-OUT'!$F$26=0,'Damage classification-Rankin'!Z639,IF('IN-OUT'!$F$35=0,Y639,'Damage classification-Rankin'!Y639+'Damage classification-Rankin'!Z639)))</f>
        <v/>
      </c>
    </row>
    <row r="640" spans="1:27" ht="13.8" thickBot="1">
      <c r="A640" s="67"/>
      <c r="B640" s="655">
        <f t="shared" si="69"/>
        <v>619</v>
      </c>
      <c r="C640" s="374" t="str">
        <f t="shared" si="70"/>
        <v/>
      </c>
      <c r="D640" s="784" t="str">
        <f t="shared" si="71"/>
        <v/>
      </c>
      <c r="E640" s="784" t="str">
        <f t="shared" si="72"/>
        <v/>
      </c>
      <c r="F640" s="785" t="str">
        <f t="shared" si="73"/>
        <v/>
      </c>
      <c r="G640" s="784" t="str">
        <f t="shared" si="74"/>
        <v/>
      </c>
      <c r="Y640" s="663" t="str">
        <f>IF(C640="","",('transversal subsidence profile'!$L$5*EXP(-(C640^2)/(2*'transversal subsidence profile'!$J$5^2)))*100)</f>
        <v/>
      </c>
      <c r="Z640" s="664" t="str">
        <f>IF(C640="","",(+'transversal subsidence profile'!$L$6*EXP(-((C640+$G$10)^2)/(2*'transversal subsidence profile'!$J$6^2)))*100)</f>
        <v/>
      </c>
      <c r="AA640" s="751" t="str">
        <f>IF(C640="","",IF('IN-OUT'!$F$26=0,'Damage classification-Rankin'!Z640,IF('IN-OUT'!$F$35=0,Y640,'Damage classification-Rankin'!Y640+'Damage classification-Rankin'!Z640)))</f>
        <v/>
      </c>
    </row>
    <row r="641" spans="1:27" ht="13.8" thickBot="1">
      <c r="A641" s="67"/>
      <c r="B641" s="655">
        <f t="shared" si="69"/>
        <v>620</v>
      </c>
      <c r="C641" s="374" t="str">
        <f t="shared" si="70"/>
        <v/>
      </c>
      <c r="D641" s="784" t="str">
        <f t="shared" si="71"/>
        <v/>
      </c>
      <c r="E641" s="784" t="str">
        <f t="shared" si="72"/>
        <v/>
      </c>
      <c r="F641" s="785" t="str">
        <f t="shared" si="73"/>
        <v/>
      </c>
      <c r="G641" s="784" t="str">
        <f t="shared" si="74"/>
        <v/>
      </c>
      <c r="Y641" s="663" t="str">
        <f>IF(C641="","",('transversal subsidence profile'!$L$5*EXP(-(C641^2)/(2*'transversal subsidence profile'!$J$5^2)))*100)</f>
        <v/>
      </c>
      <c r="Z641" s="664" t="str">
        <f>IF(C641="","",(+'transversal subsidence profile'!$L$6*EXP(-((C641+$G$10)^2)/(2*'transversal subsidence profile'!$J$6^2)))*100)</f>
        <v/>
      </c>
      <c r="AA641" s="751" t="str">
        <f>IF(C641="","",IF('IN-OUT'!$F$26=0,'Damage classification-Rankin'!Z641,IF('IN-OUT'!$F$35=0,Y641,'Damage classification-Rankin'!Y641+'Damage classification-Rankin'!Z641)))</f>
        <v/>
      </c>
    </row>
    <row r="642" spans="1:27" ht="13.8" thickBot="1">
      <c r="A642" s="67"/>
      <c r="B642" s="655">
        <f t="shared" si="69"/>
        <v>621</v>
      </c>
      <c r="C642" s="374" t="str">
        <f t="shared" si="70"/>
        <v/>
      </c>
      <c r="D642" s="784" t="str">
        <f t="shared" si="71"/>
        <v/>
      </c>
      <c r="E642" s="784" t="str">
        <f t="shared" si="72"/>
        <v/>
      </c>
      <c r="F642" s="785" t="str">
        <f t="shared" si="73"/>
        <v/>
      </c>
      <c r="G642" s="784" t="str">
        <f t="shared" si="74"/>
        <v/>
      </c>
      <c r="Y642" s="663" t="str">
        <f>IF(C642="","",('transversal subsidence profile'!$L$5*EXP(-(C642^2)/(2*'transversal subsidence profile'!$J$5^2)))*100)</f>
        <v/>
      </c>
      <c r="Z642" s="664" t="str">
        <f>IF(C642="","",(+'transversal subsidence profile'!$L$6*EXP(-((C642+$G$10)^2)/(2*'transversal subsidence profile'!$J$6^2)))*100)</f>
        <v/>
      </c>
      <c r="AA642" s="751" t="str">
        <f>IF(C642="","",IF('IN-OUT'!$F$26=0,'Damage classification-Rankin'!Z642,IF('IN-OUT'!$F$35=0,Y642,'Damage classification-Rankin'!Y642+'Damage classification-Rankin'!Z642)))</f>
        <v/>
      </c>
    </row>
    <row r="643" spans="1:27" ht="13.8" thickBot="1">
      <c r="A643" s="67"/>
      <c r="B643" s="655">
        <f t="shared" si="69"/>
        <v>622</v>
      </c>
      <c r="C643" s="374" t="str">
        <f t="shared" si="70"/>
        <v/>
      </c>
      <c r="D643" s="784" t="str">
        <f t="shared" si="71"/>
        <v/>
      </c>
      <c r="E643" s="784" t="str">
        <f t="shared" si="72"/>
        <v/>
      </c>
      <c r="F643" s="785" t="str">
        <f t="shared" si="73"/>
        <v/>
      </c>
      <c r="G643" s="784" t="str">
        <f t="shared" si="74"/>
        <v/>
      </c>
      <c r="Y643" s="663" t="str">
        <f>IF(C643="","",('transversal subsidence profile'!$L$5*EXP(-(C643^2)/(2*'transversal subsidence profile'!$J$5^2)))*100)</f>
        <v/>
      </c>
      <c r="Z643" s="664" t="str">
        <f>IF(C643="","",(+'transversal subsidence profile'!$L$6*EXP(-((C643+$G$10)^2)/(2*'transversal subsidence profile'!$J$6^2)))*100)</f>
        <v/>
      </c>
      <c r="AA643" s="751" t="str">
        <f>IF(C643="","",IF('IN-OUT'!$F$26=0,'Damage classification-Rankin'!Z643,IF('IN-OUT'!$F$35=0,Y643,'Damage classification-Rankin'!Y643+'Damage classification-Rankin'!Z643)))</f>
        <v/>
      </c>
    </row>
    <row r="644" spans="1:27" ht="13.8" thickBot="1">
      <c r="A644" s="67"/>
      <c r="B644" s="655">
        <f t="shared" si="69"/>
        <v>623</v>
      </c>
      <c r="C644" s="374" t="str">
        <f t="shared" si="70"/>
        <v/>
      </c>
      <c r="D644" s="784" t="str">
        <f t="shared" si="71"/>
        <v/>
      </c>
      <c r="E644" s="784" t="str">
        <f t="shared" si="72"/>
        <v/>
      </c>
      <c r="F644" s="785" t="str">
        <f t="shared" si="73"/>
        <v/>
      </c>
      <c r="G644" s="784" t="str">
        <f t="shared" si="74"/>
        <v/>
      </c>
      <c r="Y644" s="663" t="str">
        <f>IF(C644="","",('transversal subsidence profile'!$L$5*EXP(-(C644^2)/(2*'transversal subsidence profile'!$J$5^2)))*100)</f>
        <v/>
      </c>
      <c r="Z644" s="664" t="str">
        <f>IF(C644="","",(+'transversal subsidence profile'!$L$6*EXP(-((C644+$G$10)^2)/(2*'transversal subsidence profile'!$J$6^2)))*100)</f>
        <v/>
      </c>
      <c r="AA644" s="751" t="str">
        <f>IF(C644="","",IF('IN-OUT'!$F$26=0,'Damage classification-Rankin'!Z644,IF('IN-OUT'!$F$35=0,Y644,'Damage classification-Rankin'!Y644+'Damage classification-Rankin'!Z644)))</f>
        <v/>
      </c>
    </row>
    <row r="645" spans="1:27" ht="13.8" thickBot="1">
      <c r="A645" s="67"/>
      <c r="B645" s="655">
        <f t="shared" si="69"/>
        <v>624</v>
      </c>
      <c r="C645" s="374" t="str">
        <f t="shared" si="70"/>
        <v/>
      </c>
      <c r="D645" s="784" t="str">
        <f t="shared" si="71"/>
        <v/>
      </c>
      <c r="E645" s="784" t="str">
        <f t="shared" si="72"/>
        <v/>
      </c>
      <c r="F645" s="785" t="str">
        <f t="shared" si="73"/>
        <v/>
      </c>
      <c r="G645" s="784" t="str">
        <f t="shared" si="74"/>
        <v/>
      </c>
      <c r="Y645" s="663" t="str">
        <f>IF(C645="","",('transversal subsidence profile'!$L$5*EXP(-(C645^2)/(2*'transversal subsidence profile'!$J$5^2)))*100)</f>
        <v/>
      </c>
      <c r="Z645" s="664" t="str">
        <f>IF(C645="","",(+'transversal subsidence profile'!$L$6*EXP(-((C645+$G$10)^2)/(2*'transversal subsidence profile'!$J$6^2)))*100)</f>
        <v/>
      </c>
      <c r="AA645" s="751" t="str">
        <f>IF(C645="","",IF('IN-OUT'!$F$26=0,'Damage classification-Rankin'!Z645,IF('IN-OUT'!$F$35=0,Y645,'Damage classification-Rankin'!Y645+'Damage classification-Rankin'!Z645)))</f>
        <v/>
      </c>
    </row>
    <row r="646" spans="1:27" ht="13.8" thickBot="1">
      <c r="A646" s="67"/>
      <c r="B646" s="655">
        <f t="shared" si="69"/>
        <v>625</v>
      </c>
      <c r="C646" s="374" t="str">
        <f t="shared" si="70"/>
        <v/>
      </c>
      <c r="D646" s="784" t="str">
        <f t="shared" si="71"/>
        <v/>
      </c>
      <c r="E646" s="784" t="str">
        <f t="shared" si="72"/>
        <v/>
      </c>
      <c r="F646" s="785" t="str">
        <f t="shared" si="73"/>
        <v/>
      </c>
      <c r="G646" s="784" t="str">
        <f t="shared" si="74"/>
        <v/>
      </c>
      <c r="Y646" s="663" t="str">
        <f>IF(C646="","",('transversal subsidence profile'!$L$5*EXP(-(C646^2)/(2*'transversal subsidence profile'!$J$5^2)))*100)</f>
        <v/>
      </c>
      <c r="Z646" s="664" t="str">
        <f>IF(C646="","",(+'transversal subsidence profile'!$L$6*EXP(-((C646+$G$10)^2)/(2*'transversal subsidence profile'!$J$6^2)))*100)</f>
        <v/>
      </c>
      <c r="AA646" s="751" t="str">
        <f>IF(C646="","",IF('IN-OUT'!$F$26=0,'Damage classification-Rankin'!Z646,IF('IN-OUT'!$F$35=0,Y646,'Damage classification-Rankin'!Y646+'Damage classification-Rankin'!Z646)))</f>
        <v/>
      </c>
    </row>
    <row r="647" spans="1:27" ht="13.8" thickBot="1">
      <c r="A647" s="67"/>
      <c r="B647" s="655">
        <f t="shared" si="69"/>
        <v>626</v>
      </c>
      <c r="C647" s="374" t="str">
        <f t="shared" si="70"/>
        <v/>
      </c>
      <c r="D647" s="784" t="str">
        <f t="shared" si="71"/>
        <v/>
      </c>
      <c r="E647" s="784" t="str">
        <f t="shared" si="72"/>
        <v/>
      </c>
      <c r="F647" s="785" t="str">
        <f t="shared" si="73"/>
        <v/>
      </c>
      <c r="G647" s="784" t="str">
        <f t="shared" si="74"/>
        <v/>
      </c>
      <c r="Y647" s="663" t="str">
        <f>IF(C647="","",('transversal subsidence profile'!$L$5*EXP(-(C647^2)/(2*'transversal subsidence profile'!$J$5^2)))*100)</f>
        <v/>
      </c>
      <c r="Z647" s="664" t="str">
        <f>IF(C647="","",(+'transversal subsidence profile'!$L$6*EXP(-((C647+$G$10)^2)/(2*'transversal subsidence profile'!$J$6^2)))*100)</f>
        <v/>
      </c>
      <c r="AA647" s="751" t="str">
        <f>IF(C647="","",IF('IN-OUT'!$F$26=0,'Damage classification-Rankin'!Z647,IF('IN-OUT'!$F$35=0,Y647,'Damage classification-Rankin'!Y647+'Damage classification-Rankin'!Z647)))</f>
        <v/>
      </c>
    </row>
    <row r="648" spans="1:27" ht="13.8" thickBot="1">
      <c r="A648" s="67"/>
      <c r="B648" s="655">
        <f t="shared" si="69"/>
        <v>627</v>
      </c>
      <c r="C648" s="374" t="str">
        <f t="shared" si="70"/>
        <v/>
      </c>
      <c r="D648" s="784" t="str">
        <f t="shared" si="71"/>
        <v/>
      </c>
      <c r="E648" s="784" t="str">
        <f t="shared" si="72"/>
        <v/>
      </c>
      <c r="F648" s="785" t="str">
        <f t="shared" si="73"/>
        <v/>
      </c>
      <c r="G648" s="784" t="str">
        <f t="shared" si="74"/>
        <v/>
      </c>
      <c r="Y648" s="663" t="str">
        <f>IF(C648="","",('transversal subsidence profile'!$L$5*EXP(-(C648^2)/(2*'transversal subsidence profile'!$J$5^2)))*100)</f>
        <v/>
      </c>
      <c r="Z648" s="664" t="str">
        <f>IF(C648="","",(+'transversal subsidence profile'!$L$6*EXP(-((C648+$G$10)^2)/(2*'transversal subsidence profile'!$J$6^2)))*100)</f>
        <v/>
      </c>
      <c r="AA648" s="751" t="str">
        <f>IF(C648="","",IF('IN-OUT'!$F$26=0,'Damage classification-Rankin'!Z648,IF('IN-OUT'!$F$35=0,Y648,'Damage classification-Rankin'!Y648+'Damage classification-Rankin'!Z648)))</f>
        <v/>
      </c>
    </row>
    <row r="649" spans="1:27" ht="13.8" thickBot="1">
      <c r="A649" s="67"/>
      <c r="B649" s="655">
        <f t="shared" si="69"/>
        <v>628</v>
      </c>
      <c r="C649" s="374" t="str">
        <f t="shared" si="70"/>
        <v/>
      </c>
      <c r="D649" s="784" t="str">
        <f t="shared" si="71"/>
        <v/>
      </c>
      <c r="E649" s="784" t="str">
        <f t="shared" si="72"/>
        <v/>
      </c>
      <c r="F649" s="785" t="str">
        <f t="shared" si="73"/>
        <v/>
      </c>
      <c r="G649" s="784" t="str">
        <f t="shared" si="74"/>
        <v/>
      </c>
      <c r="Y649" s="663" t="str">
        <f>IF(C649="","",('transversal subsidence profile'!$L$5*EXP(-(C649^2)/(2*'transversal subsidence profile'!$J$5^2)))*100)</f>
        <v/>
      </c>
      <c r="Z649" s="664" t="str">
        <f>IF(C649="","",(+'transversal subsidence profile'!$L$6*EXP(-((C649+$G$10)^2)/(2*'transversal subsidence profile'!$J$6^2)))*100)</f>
        <v/>
      </c>
      <c r="AA649" s="751" t="str">
        <f>IF(C649="","",IF('IN-OUT'!$F$26=0,'Damage classification-Rankin'!Z649,IF('IN-OUT'!$F$35=0,Y649,'Damage classification-Rankin'!Y649+'Damage classification-Rankin'!Z649)))</f>
        <v/>
      </c>
    </row>
    <row r="650" spans="1:27" ht="13.8" thickBot="1">
      <c r="A650" s="67"/>
      <c r="B650" s="655">
        <f t="shared" ref="B650:B713" si="75">B649+1</f>
        <v>629</v>
      </c>
      <c r="C650" s="374" t="str">
        <f t="shared" ref="C650:C713" si="76">IF(OR(C649=$D$8,C649=""),"",IF((C649+$C$19)&gt;$D$8,$D$8,C649+$C$19))</f>
        <v/>
      </c>
      <c r="D650" s="784" t="str">
        <f t="shared" ref="D650:D713" si="77">AA650</f>
        <v/>
      </c>
      <c r="E650" s="784" t="str">
        <f t="shared" ref="E650:E713" si="78">IF(C650="","",IF(D650&gt;D649,ATAN(((D650-D649))/ABS((C650-C649)*100)),-ATAN(((D649-D650))/ABS((C650-C649)*100))))</f>
        <v/>
      </c>
      <c r="F650" s="785" t="str">
        <f t="shared" ref="F650:F713" si="79">IF(C650&lt;&gt;"",ABS(D649-D650),"")</f>
        <v/>
      </c>
      <c r="G650" s="784" t="str">
        <f t="shared" si="74"/>
        <v/>
      </c>
      <c r="Y650" s="663" t="str">
        <f>IF(C650="","",('transversal subsidence profile'!$L$5*EXP(-(C650^2)/(2*'transversal subsidence profile'!$J$5^2)))*100)</f>
        <v/>
      </c>
      <c r="Z650" s="664" t="str">
        <f>IF(C650="","",(+'transversal subsidence profile'!$L$6*EXP(-((C650+$G$10)^2)/(2*'transversal subsidence profile'!$J$6^2)))*100)</f>
        <v/>
      </c>
      <c r="AA650" s="751" t="str">
        <f>IF(C650="","",IF('IN-OUT'!$F$26=0,'Damage classification-Rankin'!Z650,IF('IN-OUT'!$F$35=0,Y650,'Damage classification-Rankin'!Y650+'Damage classification-Rankin'!Z650)))</f>
        <v/>
      </c>
    </row>
    <row r="651" spans="1:27" ht="13.8" thickBot="1">
      <c r="A651" s="67"/>
      <c r="B651" s="655">
        <f t="shared" si="75"/>
        <v>630</v>
      </c>
      <c r="C651" s="374" t="str">
        <f t="shared" si="76"/>
        <v/>
      </c>
      <c r="D651" s="784" t="str">
        <f t="shared" si="77"/>
        <v/>
      </c>
      <c r="E651" s="784" t="str">
        <f t="shared" si="78"/>
        <v/>
      </c>
      <c r="F651" s="785" t="str">
        <f t="shared" si="79"/>
        <v/>
      </c>
      <c r="G651" s="784" t="str">
        <f t="shared" si="74"/>
        <v/>
      </c>
      <c r="Y651" s="663" t="str">
        <f>IF(C651="","",('transversal subsidence profile'!$L$5*EXP(-(C651^2)/(2*'transversal subsidence profile'!$J$5^2)))*100)</f>
        <v/>
      </c>
      <c r="Z651" s="664" t="str">
        <f>IF(C651="","",(+'transversal subsidence profile'!$L$6*EXP(-((C651+$G$10)^2)/(2*'transversal subsidence profile'!$J$6^2)))*100)</f>
        <v/>
      </c>
      <c r="AA651" s="751" t="str">
        <f>IF(C651="","",IF('IN-OUT'!$F$26=0,'Damage classification-Rankin'!Z651,IF('IN-OUT'!$F$35=0,Y651,'Damage classification-Rankin'!Y651+'Damage classification-Rankin'!Z651)))</f>
        <v/>
      </c>
    </row>
    <row r="652" spans="1:27" ht="13.8" thickBot="1">
      <c r="A652" s="67"/>
      <c r="B652" s="655">
        <f t="shared" si="75"/>
        <v>631</v>
      </c>
      <c r="C652" s="374" t="str">
        <f t="shared" si="76"/>
        <v/>
      </c>
      <c r="D652" s="784" t="str">
        <f t="shared" si="77"/>
        <v/>
      </c>
      <c r="E652" s="784" t="str">
        <f t="shared" si="78"/>
        <v/>
      </c>
      <c r="F652" s="785" t="str">
        <f t="shared" si="79"/>
        <v/>
      </c>
      <c r="G652" s="784" t="str">
        <f t="shared" si="74"/>
        <v/>
      </c>
      <c r="Y652" s="663" t="str">
        <f>IF(C652="","",('transversal subsidence profile'!$L$5*EXP(-(C652^2)/(2*'transversal subsidence profile'!$J$5^2)))*100)</f>
        <v/>
      </c>
      <c r="Z652" s="664" t="str">
        <f>IF(C652="","",(+'transversal subsidence profile'!$L$6*EXP(-((C652+$G$10)^2)/(2*'transversal subsidence profile'!$J$6^2)))*100)</f>
        <v/>
      </c>
      <c r="AA652" s="751" t="str">
        <f>IF(C652="","",IF('IN-OUT'!$F$26=0,'Damage classification-Rankin'!Z652,IF('IN-OUT'!$F$35=0,Y652,'Damage classification-Rankin'!Y652+'Damage classification-Rankin'!Z652)))</f>
        <v/>
      </c>
    </row>
    <row r="653" spans="1:27" ht="13.8" thickBot="1">
      <c r="A653" s="67"/>
      <c r="B653" s="655">
        <f t="shared" si="75"/>
        <v>632</v>
      </c>
      <c r="C653" s="374" t="str">
        <f t="shared" si="76"/>
        <v/>
      </c>
      <c r="D653" s="784" t="str">
        <f t="shared" si="77"/>
        <v/>
      </c>
      <c r="E653" s="784" t="str">
        <f t="shared" si="78"/>
        <v/>
      </c>
      <c r="F653" s="785" t="str">
        <f t="shared" si="79"/>
        <v/>
      </c>
      <c r="G653" s="784" t="str">
        <f t="shared" si="74"/>
        <v/>
      </c>
      <c r="Y653" s="663" t="str">
        <f>IF(C653="","",('transversal subsidence profile'!$L$5*EXP(-(C653^2)/(2*'transversal subsidence profile'!$J$5^2)))*100)</f>
        <v/>
      </c>
      <c r="Z653" s="664" t="str">
        <f>IF(C653="","",(+'transversal subsidence profile'!$L$6*EXP(-((C653+$G$10)^2)/(2*'transversal subsidence profile'!$J$6^2)))*100)</f>
        <v/>
      </c>
      <c r="AA653" s="751" t="str">
        <f>IF(C653="","",IF('IN-OUT'!$F$26=0,'Damage classification-Rankin'!Z653,IF('IN-OUT'!$F$35=0,Y653,'Damage classification-Rankin'!Y653+'Damage classification-Rankin'!Z653)))</f>
        <v/>
      </c>
    </row>
    <row r="654" spans="1:27" ht="13.8" thickBot="1">
      <c r="A654" s="67"/>
      <c r="B654" s="655">
        <f t="shared" si="75"/>
        <v>633</v>
      </c>
      <c r="C654" s="374" t="str">
        <f t="shared" si="76"/>
        <v/>
      </c>
      <c r="D654" s="784" t="str">
        <f t="shared" si="77"/>
        <v/>
      </c>
      <c r="E654" s="784" t="str">
        <f t="shared" si="78"/>
        <v/>
      </c>
      <c r="F654" s="785" t="str">
        <f t="shared" si="79"/>
        <v/>
      </c>
      <c r="G654" s="784" t="str">
        <f t="shared" si="74"/>
        <v/>
      </c>
      <c r="Y654" s="663" t="str">
        <f>IF(C654="","",('transversal subsidence profile'!$L$5*EXP(-(C654^2)/(2*'transversal subsidence profile'!$J$5^2)))*100)</f>
        <v/>
      </c>
      <c r="Z654" s="664" t="str">
        <f>IF(C654="","",(+'transversal subsidence profile'!$L$6*EXP(-((C654+$G$10)^2)/(2*'transversal subsidence profile'!$J$6^2)))*100)</f>
        <v/>
      </c>
      <c r="AA654" s="751" t="str">
        <f>IF(C654="","",IF('IN-OUT'!$F$26=0,'Damage classification-Rankin'!Z654,IF('IN-OUT'!$F$35=0,Y654,'Damage classification-Rankin'!Y654+'Damage classification-Rankin'!Z654)))</f>
        <v/>
      </c>
    </row>
    <row r="655" spans="1:27" ht="13.8" thickBot="1">
      <c r="A655" s="67"/>
      <c r="B655" s="655">
        <f t="shared" si="75"/>
        <v>634</v>
      </c>
      <c r="C655" s="374" t="str">
        <f t="shared" si="76"/>
        <v/>
      </c>
      <c r="D655" s="784" t="str">
        <f t="shared" si="77"/>
        <v/>
      </c>
      <c r="E655" s="784" t="str">
        <f t="shared" si="78"/>
        <v/>
      </c>
      <c r="F655" s="785" t="str">
        <f t="shared" si="79"/>
        <v/>
      </c>
      <c r="G655" s="784" t="str">
        <f t="shared" si="74"/>
        <v/>
      </c>
      <c r="Y655" s="663" t="str">
        <f>IF(C655="","",('transversal subsidence profile'!$L$5*EXP(-(C655^2)/(2*'transversal subsidence profile'!$J$5^2)))*100)</f>
        <v/>
      </c>
      <c r="Z655" s="664" t="str">
        <f>IF(C655="","",(+'transversal subsidence profile'!$L$6*EXP(-((C655+$G$10)^2)/(2*'transversal subsidence profile'!$J$6^2)))*100)</f>
        <v/>
      </c>
      <c r="AA655" s="751" t="str">
        <f>IF(C655="","",IF('IN-OUT'!$F$26=0,'Damage classification-Rankin'!Z655,IF('IN-OUT'!$F$35=0,Y655,'Damage classification-Rankin'!Y655+'Damage classification-Rankin'!Z655)))</f>
        <v/>
      </c>
    </row>
    <row r="656" spans="1:27" ht="13.8" thickBot="1">
      <c r="A656" s="67"/>
      <c r="B656" s="655">
        <f t="shared" si="75"/>
        <v>635</v>
      </c>
      <c r="C656" s="374" t="str">
        <f t="shared" si="76"/>
        <v/>
      </c>
      <c r="D656" s="784" t="str">
        <f t="shared" si="77"/>
        <v/>
      </c>
      <c r="E656" s="784" t="str">
        <f t="shared" si="78"/>
        <v/>
      </c>
      <c r="F656" s="785" t="str">
        <f t="shared" si="79"/>
        <v/>
      </c>
      <c r="G656" s="784" t="str">
        <f t="shared" si="74"/>
        <v/>
      </c>
      <c r="Y656" s="663" t="str">
        <f>IF(C656="","",('transversal subsidence profile'!$L$5*EXP(-(C656^2)/(2*'transversal subsidence profile'!$J$5^2)))*100)</f>
        <v/>
      </c>
      <c r="Z656" s="664" t="str">
        <f>IF(C656="","",(+'transversal subsidence profile'!$L$6*EXP(-((C656+$G$10)^2)/(2*'transversal subsidence profile'!$J$6^2)))*100)</f>
        <v/>
      </c>
      <c r="AA656" s="751" t="str">
        <f>IF(C656="","",IF('IN-OUT'!$F$26=0,'Damage classification-Rankin'!Z656,IF('IN-OUT'!$F$35=0,Y656,'Damage classification-Rankin'!Y656+'Damage classification-Rankin'!Z656)))</f>
        <v/>
      </c>
    </row>
    <row r="657" spans="1:27" ht="13.8" thickBot="1">
      <c r="A657" s="67"/>
      <c r="B657" s="655">
        <f t="shared" si="75"/>
        <v>636</v>
      </c>
      <c r="C657" s="374" t="str">
        <f t="shared" si="76"/>
        <v/>
      </c>
      <c r="D657" s="784" t="str">
        <f t="shared" si="77"/>
        <v/>
      </c>
      <c r="E657" s="784" t="str">
        <f t="shared" si="78"/>
        <v/>
      </c>
      <c r="F657" s="785" t="str">
        <f t="shared" si="79"/>
        <v/>
      </c>
      <c r="G657" s="784" t="str">
        <f t="shared" si="74"/>
        <v/>
      </c>
      <c r="Y657" s="663" t="str">
        <f>IF(C657="","",('transversal subsidence profile'!$L$5*EXP(-(C657^2)/(2*'transversal subsidence profile'!$J$5^2)))*100)</f>
        <v/>
      </c>
      <c r="Z657" s="664" t="str">
        <f>IF(C657="","",(+'transversal subsidence profile'!$L$6*EXP(-((C657+$G$10)^2)/(2*'transversal subsidence profile'!$J$6^2)))*100)</f>
        <v/>
      </c>
      <c r="AA657" s="751" t="str">
        <f>IF(C657="","",IF('IN-OUT'!$F$26=0,'Damage classification-Rankin'!Z657,IF('IN-OUT'!$F$35=0,Y657,'Damage classification-Rankin'!Y657+'Damage classification-Rankin'!Z657)))</f>
        <v/>
      </c>
    </row>
    <row r="658" spans="1:27" ht="13.8" thickBot="1">
      <c r="A658" s="67"/>
      <c r="B658" s="655">
        <f t="shared" si="75"/>
        <v>637</v>
      </c>
      <c r="C658" s="374" t="str">
        <f t="shared" si="76"/>
        <v/>
      </c>
      <c r="D658" s="784" t="str">
        <f t="shared" si="77"/>
        <v/>
      </c>
      <c r="E658" s="784" t="str">
        <f t="shared" si="78"/>
        <v/>
      </c>
      <c r="F658" s="785" t="str">
        <f t="shared" si="79"/>
        <v/>
      </c>
      <c r="G658" s="784" t="str">
        <f t="shared" si="74"/>
        <v/>
      </c>
      <c r="Y658" s="663" t="str">
        <f>IF(C658="","",('transversal subsidence profile'!$L$5*EXP(-(C658^2)/(2*'transversal subsidence profile'!$J$5^2)))*100)</f>
        <v/>
      </c>
      <c r="Z658" s="664" t="str">
        <f>IF(C658="","",(+'transversal subsidence profile'!$L$6*EXP(-((C658+$G$10)^2)/(2*'transversal subsidence profile'!$J$6^2)))*100)</f>
        <v/>
      </c>
      <c r="AA658" s="751" t="str">
        <f>IF(C658="","",IF('IN-OUT'!$F$26=0,'Damage classification-Rankin'!Z658,IF('IN-OUT'!$F$35=0,Y658,'Damage classification-Rankin'!Y658+'Damage classification-Rankin'!Z658)))</f>
        <v/>
      </c>
    </row>
    <row r="659" spans="1:27" ht="13.8" thickBot="1">
      <c r="A659" s="67"/>
      <c r="B659" s="655">
        <f t="shared" si="75"/>
        <v>638</v>
      </c>
      <c r="C659" s="374" t="str">
        <f t="shared" si="76"/>
        <v/>
      </c>
      <c r="D659" s="784" t="str">
        <f t="shared" si="77"/>
        <v/>
      </c>
      <c r="E659" s="784" t="str">
        <f t="shared" si="78"/>
        <v/>
      </c>
      <c r="F659" s="785" t="str">
        <f t="shared" si="79"/>
        <v/>
      </c>
      <c r="G659" s="784" t="str">
        <f t="shared" si="74"/>
        <v/>
      </c>
      <c r="Y659" s="663" t="str">
        <f>IF(C659="","",('transversal subsidence profile'!$L$5*EXP(-(C659^2)/(2*'transversal subsidence profile'!$J$5^2)))*100)</f>
        <v/>
      </c>
      <c r="Z659" s="664" t="str">
        <f>IF(C659="","",(+'transversal subsidence profile'!$L$6*EXP(-((C659+$G$10)^2)/(2*'transversal subsidence profile'!$J$6^2)))*100)</f>
        <v/>
      </c>
      <c r="AA659" s="751" t="str">
        <f>IF(C659="","",IF('IN-OUT'!$F$26=0,'Damage classification-Rankin'!Z659,IF('IN-OUT'!$F$35=0,Y659,'Damage classification-Rankin'!Y659+'Damage classification-Rankin'!Z659)))</f>
        <v/>
      </c>
    </row>
    <row r="660" spans="1:27" ht="13.8" thickBot="1">
      <c r="A660" s="67"/>
      <c r="B660" s="655">
        <f t="shared" si="75"/>
        <v>639</v>
      </c>
      <c r="C660" s="374" t="str">
        <f t="shared" si="76"/>
        <v/>
      </c>
      <c r="D660" s="784" t="str">
        <f t="shared" si="77"/>
        <v/>
      </c>
      <c r="E660" s="784" t="str">
        <f t="shared" si="78"/>
        <v/>
      </c>
      <c r="F660" s="785" t="str">
        <f t="shared" si="79"/>
        <v/>
      </c>
      <c r="G660" s="784" t="str">
        <f t="shared" si="74"/>
        <v/>
      </c>
      <c r="Y660" s="663" t="str">
        <f>IF(C660="","",('transversal subsidence profile'!$L$5*EXP(-(C660^2)/(2*'transversal subsidence profile'!$J$5^2)))*100)</f>
        <v/>
      </c>
      <c r="Z660" s="664" t="str">
        <f>IF(C660="","",(+'transversal subsidence profile'!$L$6*EXP(-((C660+$G$10)^2)/(2*'transversal subsidence profile'!$J$6^2)))*100)</f>
        <v/>
      </c>
      <c r="AA660" s="751" t="str">
        <f>IF(C660="","",IF('IN-OUT'!$F$26=0,'Damage classification-Rankin'!Z660,IF('IN-OUT'!$F$35=0,Y660,'Damage classification-Rankin'!Y660+'Damage classification-Rankin'!Z660)))</f>
        <v/>
      </c>
    </row>
    <row r="661" spans="1:27" ht="13.8" thickBot="1">
      <c r="A661" s="67"/>
      <c r="B661" s="655">
        <f t="shared" si="75"/>
        <v>640</v>
      </c>
      <c r="C661" s="374" t="str">
        <f t="shared" si="76"/>
        <v/>
      </c>
      <c r="D661" s="784" t="str">
        <f t="shared" si="77"/>
        <v/>
      </c>
      <c r="E661" s="784" t="str">
        <f t="shared" si="78"/>
        <v/>
      </c>
      <c r="F661" s="785" t="str">
        <f t="shared" si="79"/>
        <v/>
      </c>
      <c r="G661" s="784" t="str">
        <f t="shared" si="74"/>
        <v/>
      </c>
      <c r="Y661" s="663" t="str">
        <f>IF(C661="","",('transversal subsidence profile'!$L$5*EXP(-(C661^2)/(2*'transversal subsidence profile'!$J$5^2)))*100)</f>
        <v/>
      </c>
      <c r="Z661" s="664" t="str">
        <f>IF(C661="","",(+'transversal subsidence profile'!$L$6*EXP(-((C661+$G$10)^2)/(2*'transversal subsidence profile'!$J$6^2)))*100)</f>
        <v/>
      </c>
      <c r="AA661" s="751" t="str">
        <f>IF(C661="","",IF('IN-OUT'!$F$26=0,'Damage classification-Rankin'!Z661,IF('IN-OUT'!$F$35=0,Y661,'Damage classification-Rankin'!Y661+'Damage classification-Rankin'!Z661)))</f>
        <v/>
      </c>
    </row>
    <row r="662" spans="1:27" ht="13.8" thickBot="1">
      <c r="A662" s="67"/>
      <c r="B662" s="655">
        <f t="shared" si="75"/>
        <v>641</v>
      </c>
      <c r="C662" s="374" t="str">
        <f t="shared" si="76"/>
        <v/>
      </c>
      <c r="D662" s="784" t="str">
        <f t="shared" si="77"/>
        <v/>
      </c>
      <c r="E662" s="784" t="str">
        <f t="shared" si="78"/>
        <v/>
      </c>
      <c r="F662" s="785" t="str">
        <f t="shared" si="79"/>
        <v/>
      </c>
      <c r="G662" s="784" t="str">
        <f t="shared" si="74"/>
        <v/>
      </c>
      <c r="Y662" s="663" t="str">
        <f>IF(C662="","",('transversal subsidence profile'!$L$5*EXP(-(C662^2)/(2*'transversal subsidence profile'!$J$5^2)))*100)</f>
        <v/>
      </c>
      <c r="Z662" s="664" t="str">
        <f>IF(C662="","",(+'transversal subsidence profile'!$L$6*EXP(-((C662+$G$10)^2)/(2*'transversal subsidence profile'!$J$6^2)))*100)</f>
        <v/>
      </c>
      <c r="AA662" s="751" t="str">
        <f>IF(C662="","",IF('IN-OUT'!$F$26=0,'Damage classification-Rankin'!Z662,IF('IN-OUT'!$F$35=0,Y662,'Damage classification-Rankin'!Y662+'Damage classification-Rankin'!Z662)))</f>
        <v/>
      </c>
    </row>
    <row r="663" spans="1:27" ht="13.8" thickBot="1">
      <c r="A663" s="67"/>
      <c r="B663" s="655">
        <f t="shared" si="75"/>
        <v>642</v>
      </c>
      <c r="C663" s="374" t="str">
        <f t="shared" si="76"/>
        <v/>
      </c>
      <c r="D663" s="784" t="str">
        <f t="shared" si="77"/>
        <v/>
      </c>
      <c r="E663" s="784" t="str">
        <f t="shared" si="78"/>
        <v/>
      </c>
      <c r="F663" s="785" t="str">
        <f t="shared" si="79"/>
        <v/>
      </c>
      <c r="G663" s="784" t="str">
        <f t="shared" si="74"/>
        <v/>
      </c>
      <c r="Y663" s="663" t="str">
        <f>IF(C663="","",('transversal subsidence profile'!$L$5*EXP(-(C663^2)/(2*'transversal subsidence profile'!$J$5^2)))*100)</f>
        <v/>
      </c>
      <c r="Z663" s="664" t="str">
        <f>IF(C663="","",(+'transversal subsidence profile'!$L$6*EXP(-((C663+$G$10)^2)/(2*'transversal subsidence profile'!$J$6^2)))*100)</f>
        <v/>
      </c>
      <c r="AA663" s="751" t="str">
        <f>IF(C663="","",IF('IN-OUT'!$F$26=0,'Damage classification-Rankin'!Z663,IF('IN-OUT'!$F$35=0,Y663,'Damage classification-Rankin'!Y663+'Damage classification-Rankin'!Z663)))</f>
        <v/>
      </c>
    </row>
    <row r="664" spans="1:27" ht="13.8" thickBot="1">
      <c r="A664" s="67"/>
      <c r="B664" s="655">
        <f t="shared" si="75"/>
        <v>643</v>
      </c>
      <c r="C664" s="374" t="str">
        <f t="shared" si="76"/>
        <v/>
      </c>
      <c r="D664" s="784" t="str">
        <f t="shared" si="77"/>
        <v/>
      </c>
      <c r="E664" s="784" t="str">
        <f t="shared" si="78"/>
        <v/>
      </c>
      <c r="F664" s="785" t="str">
        <f t="shared" si="79"/>
        <v/>
      </c>
      <c r="G664" s="784" t="str">
        <f t="shared" ref="G664:G727" si="80">IF(C664="","",IF(ABS(C663-C664)&lt;($C$19-0.0001),"",$C$20+E664))</f>
        <v/>
      </c>
      <c r="Y664" s="663" t="str">
        <f>IF(C664="","",('transversal subsidence profile'!$L$5*EXP(-(C664^2)/(2*'transversal subsidence profile'!$J$5^2)))*100)</f>
        <v/>
      </c>
      <c r="Z664" s="664" t="str">
        <f>IF(C664="","",(+'transversal subsidence profile'!$L$6*EXP(-((C664+$G$10)^2)/(2*'transversal subsidence profile'!$J$6^2)))*100)</f>
        <v/>
      </c>
      <c r="AA664" s="751" t="str">
        <f>IF(C664="","",IF('IN-OUT'!$F$26=0,'Damage classification-Rankin'!Z664,IF('IN-OUT'!$F$35=0,Y664,'Damage classification-Rankin'!Y664+'Damage classification-Rankin'!Z664)))</f>
        <v/>
      </c>
    </row>
    <row r="665" spans="1:27" ht="13.8" thickBot="1">
      <c r="A665" s="67"/>
      <c r="B665" s="655">
        <f t="shared" si="75"/>
        <v>644</v>
      </c>
      <c r="C665" s="374" t="str">
        <f t="shared" si="76"/>
        <v/>
      </c>
      <c r="D665" s="784" t="str">
        <f t="shared" si="77"/>
        <v/>
      </c>
      <c r="E665" s="784" t="str">
        <f t="shared" si="78"/>
        <v/>
      </c>
      <c r="F665" s="785" t="str">
        <f t="shared" si="79"/>
        <v/>
      </c>
      <c r="G665" s="784" t="str">
        <f t="shared" si="80"/>
        <v/>
      </c>
      <c r="Y665" s="663" t="str">
        <f>IF(C665="","",('transversal subsidence profile'!$L$5*EXP(-(C665^2)/(2*'transversal subsidence profile'!$J$5^2)))*100)</f>
        <v/>
      </c>
      <c r="Z665" s="664" t="str">
        <f>IF(C665="","",(+'transversal subsidence profile'!$L$6*EXP(-((C665+$G$10)^2)/(2*'transversal subsidence profile'!$J$6^2)))*100)</f>
        <v/>
      </c>
      <c r="AA665" s="751" t="str">
        <f>IF(C665="","",IF('IN-OUT'!$F$26=0,'Damage classification-Rankin'!Z665,IF('IN-OUT'!$F$35=0,Y665,'Damage classification-Rankin'!Y665+'Damage classification-Rankin'!Z665)))</f>
        <v/>
      </c>
    </row>
    <row r="666" spans="1:27" ht="13.8" thickBot="1">
      <c r="A666" s="67"/>
      <c r="B666" s="655">
        <f t="shared" si="75"/>
        <v>645</v>
      </c>
      <c r="C666" s="374" t="str">
        <f t="shared" si="76"/>
        <v/>
      </c>
      <c r="D666" s="784" t="str">
        <f t="shared" si="77"/>
        <v/>
      </c>
      <c r="E666" s="784" t="str">
        <f t="shared" si="78"/>
        <v/>
      </c>
      <c r="F666" s="785" t="str">
        <f t="shared" si="79"/>
        <v/>
      </c>
      <c r="G666" s="784" t="str">
        <f t="shared" si="80"/>
        <v/>
      </c>
      <c r="Y666" s="663" t="str">
        <f>IF(C666="","",('transversal subsidence profile'!$L$5*EXP(-(C666^2)/(2*'transversal subsidence profile'!$J$5^2)))*100)</f>
        <v/>
      </c>
      <c r="Z666" s="664" t="str">
        <f>IF(C666="","",(+'transversal subsidence profile'!$L$6*EXP(-((C666+$G$10)^2)/(2*'transversal subsidence profile'!$J$6^2)))*100)</f>
        <v/>
      </c>
      <c r="AA666" s="751" t="str">
        <f>IF(C666="","",IF('IN-OUT'!$F$26=0,'Damage classification-Rankin'!Z666,IF('IN-OUT'!$F$35=0,Y666,'Damage classification-Rankin'!Y666+'Damage classification-Rankin'!Z666)))</f>
        <v/>
      </c>
    </row>
    <row r="667" spans="1:27" ht="13.8" thickBot="1">
      <c r="A667" s="67"/>
      <c r="B667" s="655">
        <f t="shared" si="75"/>
        <v>646</v>
      </c>
      <c r="C667" s="374" t="str">
        <f t="shared" si="76"/>
        <v/>
      </c>
      <c r="D667" s="784" t="str">
        <f t="shared" si="77"/>
        <v/>
      </c>
      <c r="E667" s="784" t="str">
        <f t="shared" si="78"/>
        <v/>
      </c>
      <c r="F667" s="785" t="str">
        <f t="shared" si="79"/>
        <v/>
      </c>
      <c r="G667" s="784" t="str">
        <f t="shared" si="80"/>
        <v/>
      </c>
      <c r="Y667" s="663" t="str">
        <f>IF(C667="","",('transversal subsidence profile'!$L$5*EXP(-(C667^2)/(2*'transversal subsidence profile'!$J$5^2)))*100)</f>
        <v/>
      </c>
      <c r="Z667" s="664" t="str">
        <f>IF(C667="","",(+'transversal subsidence profile'!$L$6*EXP(-((C667+$G$10)^2)/(2*'transversal subsidence profile'!$J$6^2)))*100)</f>
        <v/>
      </c>
      <c r="AA667" s="751" t="str">
        <f>IF(C667="","",IF('IN-OUT'!$F$26=0,'Damage classification-Rankin'!Z667,IF('IN-OUT'!$F$35=0,Y667,'Damage classification-Rankin'!Y667+'Damage classification-Rankin'!Z667)))</f>
        <v/>
      </c>
    </row>
    <row r="668" spans="1:27" ht="13.8" thickBot="1">
      <c r="A668" s="67"/>
      <c r="B668" s="655">
        <f t="shared" si="75"/>
        <v>647</v>
      </c>
      <c r="C668" s="374" t="str">
        <f t="shared" si="76"/>
        <v/>
      </c>
      <c r="D668" s="784" t="str">
        <f t="shared" si="77"/>
        <v/>
      </c>
      <c r="E668" s="784" t="str">
        <f t="shared" si="78"/>
        <v/>
      </c>
      <c r="F668" s="785" t="str">
        <f t="shared" si="79"/>
        <v/>
      </c>
      <c r="G668" s="784" t="str">
        <f t="shared" si="80"/>
        <v/>
      </c>
      <c r="Y668" s="663" t="str">
        <f>IF(C668="","",('transversal subsidence profile'!$L$5*EXP(-(C668^2)/(2*'transversal subsidence profile'!$J$5^2)))*100)</f>
        <v/>
      </c>
      <c r="Z668" s="664" t="str">
        <f>IF(C668="","",(+'transversal subsidence profile'!$L$6*EXP(-((C668+$G$10)^2)/(2*'transversal subsidence profile'!$J$6^2)))*100)</f>
        <v/>
      </c>
      <c r="AA668" s="751" t="str">
        <f>IF(C668="","",IF('IN-OUT'!$F$26=0,'Damage classification-Rankin'!Z668,IF('IN-OUT'!$F$35=0,Y668,'Damage classification-Rankin'!Y668+'Damage classification-Rankin'!Z668)))</f>
        <v/>
      </c>
    </row>
    <row r="669" spans="1:27" ht="13.8" thickBot="1">
      <c r="A669" s="67"/>
      <c r="B669" s="655">
        <f t="shared" si="75"/>
        <v>648</v>
      </c>
      <c r="C669" s="374" t="str">
        <f t="shared" si="76"/>
        <v/>
      </c>
      <c r="D669" s="784" t="str">
        <f t="shared" si="77"/>
        <v/>
      </c>
      <c r="E669" s="784" t="str">
        <f t="shared" si="78"/>
        <v/>
      </c>
      <c r="F669" s="785" t="str">
        <f t="shared" si="79"/>
        <v/>
      </c>
      <c r="G669" s="784" t="str">
        <f t="shared" si="80"/>
        <v/>
      </c>
      <c r="Y669" s="663" t="str">
        <f>IF(C669="","",('transversal subsidence profile'!$L$5*EXP(-(C669^2)/(2*'transversal subsidence profile'!$J$5^2)))*100)</f>
        <v/>
      </c>
      <c r="Z669" s="664" t="str">
        <f>IF(C669="","",(+'transversal subsidence profile'!$L$6*EXP(-((C669+$G$10)^2)/(2*'transversal subsidence profile'!$J$6^2)))*100)</f>
        <v/>
      </c>
      <c r="AA669" s="751" t="str">
        <f>IF(C669="","",IF('IN-OUT'!$F$26=0,'Damage classification-Rankin'!Z669,IF('IN-OUT'!$F$35=0,Y669,'Damage classification-Rankin'!Y669+'Damage classification-Rankin'!Z669)))</f>
        <v/>
      </c>
    </row>
    <row r="670" spans="1:27" ht="13.8" thickBot="1">
      <c r="A670" s="67"/>
      <c r="B670" s="655">
        <f t="shared" si="75"/>
        <v>649</v>
      </c>
      <c r="C670" s="374" t="str">
        <f t="shared" si="76"/>
        <v/>
      </c>
      <c r="D670" s="784" t="str">
        <f t="shared" si="77"/>
        <v/>
      </c>
      <c r="E670" s="784" t="str">
        <f t="shared" si="78"/>
        <v/>
      </c>
      <c r="F670" s="785" t="str">
        <f t="shared" si="79"/>
        <v/>
      </c>
      <c r="G670" s="784" t="str">
        <f t="shared" si="80"/>
        <v/>
      </c>
      <c r="Y670" s="663" t="str">
        <f>IF(C670="","",('transversal subsidence profile'!$L$5*EXP(-(C670^2)/(2*'transversal subsidence profile'!$J$5^2)))*100)</f>
        <v/>
      </c>
      <c r="Z670" s="664" t="str">
        <f>IF(C670="","",(+'transversal subsidence profile'!$L$6*EXP(-((C670+$G$10)^2)/(2*'transversal subsidence profile'!$J$6^2)))*100)</f>
        <v/>
      </c>
      <c r="AA670" s="751" t="str">
        <f>IF(C670="","",IF('IN-OUT'!$F$26=0,'Damage classification-Rankin'!Z670,IF('IN-OUT'!$F$35=0,Y670,'Damage classification-Rankin'!Y670+'Damage classification-Rankin'!Z670)))</f>
        <v/>
      </c>
    </row>
    <row r="671" spans="1:27" ht="13.8" thickBot="1">
      <c r="A671" s="67"/>
      <c r="B671" s="655">
        <f t="shared" si="75"/>
        <v>650</v>
      </c>
      <c r="C671" s="374" t="str">
        <f t="shared" si="76"/>
        <v/>
      </c>
      <c r="D671" s="784" t="str">
        <f t="shared" si="77"/>
        <v/>
      </c>
      <c r="E671" s="784" t="str">
        <f t="shared" si="78"/>
        <v/>
      </c>
      <c r="F671" s="785" t="str">
        <f t="shared" si="79"/>
        <v/>
      </c>
      <c r="G671" s="784" t="str">
        <f t="shared" si="80"/>
        <v/>
      </c>
      <c r="Y671" s="663" t="str">
        <f>IF(C671="","",('transversal subsidence profile'!$L$5*EXP(-(C671^2)/(2*'transversal subsidence profile'!$J$5^2)))*100)</f>
        <v/>
      </c>
      <c r="Z671" s="664" t="str">
        <f>IF(C671="","",(+'transversal subsidence profile'!$L$6*EXP(-((C671+$G$10)^2)/(2*'transversal subsidence profile'!$J$6^2)))*100)</f>
        <v/>
      </c>
      <c r="AA671" s="751" t="str">
        <f>IF(C671="","",IF('IN-OUT'!$F$26=0,'Damage classification-Rankin'!Z671,IF('IN-OUT'!$F$35=0,Y671,'Damage classification-Rankin'!Y671+'Damage classification-Rankin'!Z671)))</f>
        <v/>
      </c>
    </row>
    <row r="672" spans="1:27" ht="13.8" thickBot="1">
      <c r="A672" s="67"/>
      <c r="B672" s="655">
        <f t="shared" si="75"/>
        <v>651</v>
      </c>
      <c r="C672" s="374" t="str">
        <f t="shared" si="76"/>
        <v/>
      </c>
      <c r="D672" s="784" t="str">
        <f t="shared" si="77"/>
        <v/>
      </c>
      <c r="E672" s="784" t="str">
        <f t="shared" si="78"/>
        <v/>
      </c>
      <c r="F672" s="785" t="str">
        <f t="shared" si="79"/>
        <v/>
      </c>
      <c r="G672" s="784" t="str">
        <f t="shared" si="80"/>
        <v/>
      </c>
      <c r="Y672" s="663" t="str">
        <f>IF(C672="","",('transversal subsidence profile'!$L$5*EXP(-(C672^2)/(2*'transversal subsidence profile'!$J$5^2)))*100)</f>
        <v/>
      </c>
      <c r="Z672" s="664" t="str">
        <f>IF(C672="","",(+'transversal subsidence profile'!$L$6*EXP(-((C672+$G$10)^2)/(2*'transversal subsidence profile'!$J$6^2)))*100)</f>
        <v/>
      </c>
      <c r="AA672" s="751" t="str">
        <f>IF(C672="","",IF('IN-OUT'!$F$26=0,'Damage classification-Rankin'!Z672,IF('IN-OUT'!$F$35=0,Y672,'Damage classification-Rankin'!Y672+'Damage classification-Rankin'!Z672)))</f>
        <v/>
      </c>
    </row>
    <row r="673" spans="1:27" ht="13.8" thickBot="1">
      <c r="A673" s="67"/>
      <c r="B673" s="655">
        <f t="shared" si="75"/>
        <v>652</v>
      </c>
      <c r="C673" s="374" t="str">
        <f t="shared" si="76"/>
        <v/>
      </c>
      <c r="D673" s="784" t="str">
        <f t="shared" si="77"/>
        <v/>
      </c>
      <c r="E673" s="784" t="str">
        <f t="shared" si="78"/>
        <v/>
      </c>
      <c r="F673" s="785" t="str">
        <f t="shared" si="79"/>
        <v/>
      </c>
      <c r="G673" s="784" t="str">
        <f t="shared" si="80"/>
        <v/>
      </c>
      <c r="Y673" s="663" t="str">
        <f>IF(C673="","",('transversal subsidence profile'!$L$5*EXP(-(C673^2)/(2*'transversal subsidence profile'!$J$5^2)))*100)</f>
        <v/>
      </c>
      <c r="Z673" s="664" t="str">
        <f>IF(C673="","",(+'transversal subsidence profile'!$L$6*EXP(-((C673+$G$10)^2)/(2*'transversal subsidence profile'!$J$6^2)))*100)</f>
        <v/>
      </c>
      <c r="AA673" s="751" t="str">
        <f>IF(C673="","",IF('IN-OUT'!$F$26=0,'Damage classification-Rankin'!Z673,IF('IN-OUT'!$F$35=0,Y673,'Damage classification-Rankin'!Y673+'Damage classification-Rankin'!Z673)))</f>
        <v/>
      </c>
    </row>
    <row r="674" spans="1:27" ht="13.8" thickBot="1">
      <c r="A674" s="67"/>
      <c r="B674" s="655">
        <f t="shared" si="75"/>
        <v>653</v>
      </c>
      <c r="C674" s="374" t="str">
        <f t="shared" si="76"/>
        <v/>
      </c>
      <c r="D674" s="784" t="str">
        <f t="shared" si="77"/>
        <v/>
      </c>
      <c r="E674" s="784" t="str">
        <f t="shared" si="78"/>
        <v/>
      </c>
      <c r="F674" s="785" t="str">
        <f t="shared" si="79"/>
        <v/>
      </c>
      <c r="G674" s="784" t="str">
        <f t="shared" si="80"/>
        <v/>
      </c>
      <c r="Y674" s="663" t="str">
        <f>IF(C674="","",('transversal subsidence profile'!$L$5*EXP(-(C674^2)/(2*'transversal subsidence profile'!$J$5^2)))*100)</f>
        <v/>
      </c>
      <c r="Z674" s="664" t="str">
        <f>IF(C674="","",(+'transversal subsidence profile'!$L$6*EXP(-((C674+$G$10)^2)/(2*'transversal subsidence profile'!$J$6^2)))*100)</f>
        <v/>
      </c>
      <c r="AA674" s="751" t="str">
        <f>IF(C674="","",IF('IN-OUT'!$F$26=0,'Damage classification-Rankin'!Z674,IF('IN-OUT'!$F$35=0,Y674,'Damage classification-Rankin'!Y674+'Damage classification-Rankin'!Z674)))</f>
        <v/>
      </c>
    </row>
    <row r="675" spans="1:27" ht="13.8" thickBot="1">
      <c r="A675" s="67"/>
      <c r="B675" s="655">
        <f t="shared" si="75"/>
        <v>654</v>
      </c>
      <c r="C675" s="374" t="str">
        <f t="shared" si="76"/>
        <v/>
      </c>
      <c r="D675" s="784" t="str">
        <f t="shared" si="77"/>
        <v/>
      </c>
      <c r="E675" s="784" t="str">
        <f t="shared" si="78"/>
        <v/>
      </c>
      <c r="F675" s="785" t="str">
        <f t="shared" si="79"/>
        <v/>
      </c>
      <c r="G675" s="784" t="str">
        <f t="shared" si="80"/>
        <v/>
      </c>
      <c r="Y675" s="663" t="str">
        <f>IF(C675="","",('transversal subsidence profile'!$L$5*EXP(-(C675^2)/(2*'transversal subsidence profile'!$J$5^2)))*100)</f>
        <v/>
      </c>
      <c r="Z675" s="664" t="str">
        <f>IF(C675="","",(+'transversal subsidence profile'!$L$6*EXP(-((C675+$G$10)^2)/(2*'transversal subsidence profile'!$J$6^2)))*100)</f>
        <v/>
      </c>
      <c r="AA675" s="751" t="str">
        <f>IF(C675="","",IF('IN-OUT'!$F$26=0,'Damage classification-Rankin'!Z675,IF('IN-OUT'!$F$35=0,Y675,'Damage classification-Rankin'!Y675+'Damage classification-Rankin'!Z675)))</f>
        <v/>
      </c>
    </row>
    <row r="676" spans="1:27" ht="13.8" thickBot="1">
      <c r="A676" s="67"/>
      <c r="B676" s="655">
        <f t="shared" si="75"/>
        <v>655</v>
      </c>
      <c r="C676" s="374" t="str">
        <f t="shared" si="76"/>
        <v/>
      </c>
      <c r="D676" s="784" t="str">
        <f t="shared" si="77"/>
        <v/>
      </c>
      <c r="E676" s="784" t="str">
        <f t="shared" si="78"/>
        <v/>
      </c>
      <c r="F676" s="785" t="str">
        <f t="shared" si="79"/>
        <v/>
      </c>
      <c r="G676" s="784" t="str">
        <f t="shared" si="80"/>
        <v/>
      </c>
      <c r="Y676" s="663" t="str">
        <f>IF(C676="","",('transversal subsidence profile'!$L$5*EXP(-(C676^2)/(2*'transversal subsidence profile'!$J$5^2)))*100)</f>
        <v/>
      </c>
      <c r="Z676" s="664" t="str">
        <f>IF(C676="","",(+'transversal subsidence profile'!$L$6*EXP(-((C676+$G$10)^2)/(2*'transversal subsidence profile'!$J$6^2)))*100)</f>
        <v/>
      </c>
      <c r="AA676" s="751" t="str">
        <f>IF(C676="","",IF('IN-OUT'!$F$26=0,'Damage classification-Rankin'!Z676,IF('IN-OUT'!$F$35=0,Y676,'Damage classification-Rankin'!Y676+'Damage classification-Rankin'!Z676)))</f>
        <v/>
      </c>
    </row>
    <row r="677" spans="1:27" ht="13.8" thickBot="1">
      <c r="A677" s="67"/>
      <c r="B677" s="655">
        <f t="shared" si="75"/>
        <v>656</v>
      </c>
      <c r="C677" s="374" t="str">
        <f t="shared" si="76"/>
        <v/>
      </c>
      <c r="D677" s="784" t="str">
        <f t="shared" si="77"/>
        <v/>
      </c>
      <c r="E677" s="784" t="str">
        <f t="shared" si="78"/>
        <v/>
      </c>
      <c r="F677" s="785" t="str">
        <f t="shared" si="79"/>
        <v/>
      </c>
      <c r="G677" s="784" t="str">
        <f t="shared" si="80"/>
        <v/>
      </c>
      <c r="Y677" s="663" t="str">
        <f>IF(C677="","",('transversal subsidence profile'!$L$5*EXP(-(C677^2)/(2*'transversal subsidence profile'!$J$5^2)))*100)</f>
        <v/>
      </c>
      <c r="Z677" s="664" t="str">
        <f>IF(C677="","",(+'transversal subsidence profile'!$L$6*EXP(-((C677+$G$10)^2)/(2*'transversal subsidence profile'!$J$6^2)))*100)</f>
        <v/>
      </c>
      <c r="AA677" s="751" t="str">
        <f>IF(C677="","",IF('IN-OUT'!$F$26=0,'Damage classification-Rankin'!Z677,IF('IN-OUT'!$F$35=0,Y677,'Damage classification-Rankin'!Y677+'Damage classification-Rankin'!Z677)))</f>
        <v/>
      </c>
    </row>
    <row r="678" spans="1:27" ht="13.8" thickBot="1">
      <c r="A678" s="67"/>
      <c r="B678" s="655">
        <f t="shared" si="75"/>
        <v>657</v>
      </c>
      <c r="C678" s="374" t="str">
        <f t="shared" si="76"/>
        <v/>
      </c>
      <c r="D678" s="784" t="str">
        <f t="shared" si="77"/>
        <v/>
      </c>
      <c r="E678" s="784" t="str">
        <f t="shared" si="78"/>
        <v/>
      </c>
      <c r="F678" s="785" t="str">
        <f t="shared" si="79"/>
        <v/>
      </c>
      <c r="G678" s="784" t="str">
        <f t="shared" si="80"/>
        <v/>
      </c>
      <c r="Y678" s="663" t="str">
        <f>IF(C678="","",('transversal subsidence profile'!$L$5*EXP(-(C678^2)/(2*'transversal subsidence profile'!$J$5^2)))*100)</f>
        <v/>
      </c>
      <c r="Z678" s="664" t="str">
        <f>IF(C678="","",(+'transversal subsidence profile'!$L$6*EXP(-((C678+$G$10)^2)/(2*'transversal subsidence profile'!$J$6^2)))*100)</f>
        <v/>
      </c>
      <c r="AA678" s="751" t="str">
        <f>IF(C678="","",IF('IN-OUT'!$F$26=0,'Damage classification-Rankin'!Z678,IF('IN-OUT'!$F$35=0,Y678,'Damage classification-Rankin'!Y678+'Damage classification-Rankin'!Z678)))</f>
        <v/>
      </c>
    </row>
    <row r="679" spans="1:27" ht="13.8" thickBot="1">
      <c r="A679" s="67"/>
      <c r="B679" s="655">
        <f t="shared" si="75"/>
        <v>658</v>
      </c>
      <c r="C679" s="374" t="str">
        <f t="shared" si="76"/>
        <v/>
      </c>
      <c r="D679" s="784" t="str">
        <f t="shared" si="77"/>
        <v/>
      </c>
      <c r="E679" s="784" t="str">
        <f t="shared" si="78"/>
        <v/>
      </c>
      <c r="F679" s="785" t="str">
        <f t="shared" si="79"/>
        <v/>
      </c>
      <c r="G679" s="784" t="str">
        <f t="shared" si="80"/>
        <v/>
      </c>
      <c r="Y679" s="663" t="str">
        <f>IF(C679="","",('transversal subsidence profile'!$L$5*EXP(-(C679^2)/(2*'transversal subsidence profile'!$J$5^2)))*100)</f>
        <v/>
      </c>
      <c r="Z679" s="664" t="str">
        <f>IF(C679="","",(+'transversal subsidence profile'!$L$6*EXP(-((C679+$G$10)^2)/(2*'transversal subsidence profile'!$J$6^2)))*100)</f>
        <v/>
      </c>
      <c r="AA679" s="751" t="str">
        <f>IF(C679="","",IF('IN-OUT'!$F$26=0,'Damage classification-Rankin'!Z679,IF('IN-OUT'!$F$35=0,Y679,'Damage classification-Rankin'!Y679+'Damage classification-Rankin'!Z679)))</f>
        <v/>
      </c>
    </row>
    <row r="680" spans="1:27" ht="13.8" thickBot="1">
      <c r="A680" s="67"/>
      <c r="B680" s="655">
        <f t="shared" si="75"/>
        <v>659</v>
      </c>
      <c r="C680" s="374" t="str">
        <f t="shared" si="76"/>
        <v/>
      </c>
      <c r="D680" s="784" t="str">
        <f t="shared" si="77"/>
        <v/>
      </c>
      <c r="E680" s="784" t="str">
        <f t="shared" si="78"/>
        <v/>
      </c>
      <c r="F680" s="785" t="str">
        <f t="shared" si="79"/>
        <v/>
      </c>
      <c r="G680" s="784" t="str">
        <f t="shared" si="80"/>
        <v/>
      </c>
      <c r="Y680" s="663" t="str">
        <f>IF(C680="","",('transversal subsidence profile'!$L$5*EXP(-(C680^2)/(2*'transversal subsidence profile'!$J$5^2)))*100)</f>
        <v/>
      </c>
      <c r="Z680" s="664" t="str">
        <f>IF(C680="","",(+'transversal subsidence profile'!$L$6*EXP(-((C680+$G$10)^2)/(2*'transversal subsidence profile'!$J$6^2)))*100)</f>
        <v/>
      </c>
      <c r="AA680" s="751" t="str">
        <f>IF(C680="","",IF('IN-OUT'!$F$26=0,'Damage classification-Rankin'!Z680,IF('IN-OUT'!$F$35=0,Y680,'Damage classification-Rankin'!Y680+'Damage classification-Rankin'!Z680)))</f>
        <v/>
      </c>
    </row>
    <row r="681" spans="1:27" ht="13.8" thickBot="1">
      <c r="A681" s="67"/>
      <c r="B681" s="655">
        <f t="shared" si="75"/>
        <v>660</v>
      </c>
      <c r="C681" s="374" t="str">
        <f t="shared" si="76"/>
        <v/>
      </c>
      <c r="D681" s="784" t="str">
        <f t="shared" si="77"/>
        <v/>
      </c>
      <c r="E681" s="784" t="str">
        <f t="shared" si="78"/>
        <v/>
      </c>
      <c r="F681" s="785" t="str">
        <f t="shared" si="79"/>
        <v/>
      </c>
      <c r="G681" s="784" t="str">
        <f t="shared" si="80"/>
        <v/>
      </c>
      <c r="Y681" s="663" t="str">
        <f>IF(C681="","",('transversal subsidence profile'!$L$5*EXP(-(C681^2)/(2*'transversal subsidence profile'!$J$5^2)))*100)</f>
        <v/>
      </c>
      <c r="Z681" s="664" t="str">
        <f>IF(C681="","",(+'transversal subsidence profile'!$L$6*EXP(-((C681+$G$10)^2)/(2*'transversal subsidence profile'!$J$6^2)))*100)</f>
        <v/>
      </c>
      <c r="AA681" s="751" t="str">
        <f>IF(C681="","",IF('IN-OUT'!$F$26=0,'Damage classification-Rankin'!Z681,IF('IN-OUT'!$F$35=0,Y681,'Damage classification-Rankin'!Y681+'Damage classification-Rankin'!Z681)))</f>
        <v/>
      </c>
    </row>
    <row r="682" spans="1:27" ht="13.8" thickBot="1">
      <c r="A682" s="67"/>
      <c r="B682" s="655">
        <f t="shared" si="75"/>
        <v>661</v>
      </c>
      <c r="C682" s="374" t="str">
        <f t="shared" si="76"/>
        <v/>
      </c>
      <c r="D682" s="784" t="str">
        <f t="shared" si="77"/>
        <v/>
      </c>
      <c r="E682" s="784" t="str">
        <f t="shared" si="78"/>
        <v/>
      </c>
      <c r="F682" s="785" t="str">
        <f t="shared" si="79"/>
        <v/>
      </c>
      <c r="G682" s="784" t="str">
        <f t="shared" si="80"/>
        <v/>
      </c>
      <c r="Y682" s="663" t="str">
        <f>IF(C682="","",('transversal subsidence profile'!$L$5*EXP(-(C682^2)/(2*'transversal subsidence profile'!$J$5^2)))*100)</f>
        <v/>
      </c>
      <c r="Z682" s="664" t="str">
        <f>IF(C682="","",(+'transversal subsidence profile'!$L$6*EXP(-((C682+$G$10)^2)/(2*'transversal subsidence profile'!$J$6^2)))*100)</f>
        <v/>
      </c>
      <c r="AA682" s="751" t="str">
        <f>IF(C682="","",IF('IN-OUT'!$F$26=0,'Damage classification-Rankin'!Z682,IF('IN-OUT'!$F$35=0,Y682,'Damage classification-Rankin'!Y682+'Damage classification-Rankin'!Z682)))</f>
        <v/>
      </c>
    </row>
    <row r="683" spans="1:27" ht="13.8" thickBot="1">
      <c r="A683" s="67"/>
      <c r="B683" s="655">
        <f t="shared" si="75"/>
        <v>662</v>
      </c>
      <c r="C683" s="374" t="str">
        <f t="shared" si="76"/>
        <v/>
      </c>
      <c r="D683" s="784" t="str">
        <f t="shared" si="77"/>
        <v/>
      </c>
      <c r="E683" s="784" t="str">
        <f t="shared" si="78"/>
        <v/>
      </c>
      <c r="F683" s="785" t="str">
        <f t="shared" si="79"/>
        <v/>
      </c>
      <c r="G683" s="784" t="str">
        <f t="shared" si="80"/>
        <v/>
      </c>
      <c r="Y683" s="663" t="str">
        <f>IF(C683="","",('transversal subsidence profile'!$L$5*EXP(-(C683^2)/(2*'transversal subsidence profile'!$J$5^2)))*100)</f>
        <v/>
      </c>
      <c r="Z683" s="664" t="str">
        <f>IF(C683="","",(+'transversal subsidence profile'!$L$6*EXP(-((C683+$G$10)^2)/(2*'transversal subsidence profile'!$J$6^2)))*100)</f>
        <v/>
      </c>
      <c r="AA683" s="751" t="str">
        <f>IF(C683="","",IF('IN-OUT'!$F$26=0,'Damage classification-Rankin'!Z683,IF('IN-OUT'!$F$35=0,Y683,'Damage classification-Rankin'!Y683+'Damage classification-Rankin'!Z683)))</f>
        <v/>
      </c>
    </row>
    <row r="684" spans="1:27" ht="13.8" thickBot="1">
      <c r="A684" s="67"/>
      <c r="B684" s="655">
        <f t="shared" si="75"/>
        <v>663</v>
      </c>
      <c r="C684" s="374" t="str">
        <f t="shared" si="76"/>
        <v/>
      </c>
      <c r="D684" s="784" t="str">
        <f t="shared" si="77"/>
        <v/>
      </c>
      <c r="E684" s="784" t="str">
        <f t="shared" si="78"/>
        <v/>
      </c>
      <c r="F684" s="785" t="str">
        <f t="shared" si="79"/>
        <v/>
      </c>
      <c r="G684" s="784" t="str">
        <f t="shared" si="80"/>
        <v/>
      </c>
      <c r="Y684" s="663" t="str">
        <f>IF(C684="","",('transversal subsidence profile'!$L$5*EXP(-(C684^2)/(2*'transversal subsidence profile'!$J$5^2)))*100)</f>
        <v/>
      </c>
      <c r="Z684" s="664" t="str">
        <f>IF(C684="","",(+'transversal subsidence profile'!$L$6*EXP(-((C684+$G$10)^2)/(2*'transversal subsidence profile'!$J$6^2)))*100)</f>
        <v/>
      </c>
      <c r="AA684" s="751" t="str">
        <f>IF(C684="","",IF('IN-OUT'!$F$26=0,'Damage classification-Rankin'!Z684,IF('IN-OUT'!$F$35=0,Y684,'Damage classification-Rankin'!Y684+'Damage classification-Rankin'!Z684)))</f>
        <v/>
      </c>
    </row>
    <row r="685" spans="1:27" ht="13.8" thickBot="1">
      <c r="A685" s="67"/>
      <c r="B685" s="655">
        <f t="shared" si="75"/>
        <v>664</v>
      </c>
      <c r="C685" s="374" t="str">
        <f t="shared" si="76"/>
        <v/>
      </c>
      <c r="D685" s="784" t="str">
        <f t="shared" si="77"/>
        <v/>
      </c>
      <c r="E685" s="784" t="str">
        <f t="shared" si="78"/>
        <v/>
      </c>
      <c r="F685" s="785" t="str">
        <f t="shared" si="79"/>
        <v/>
      </c>
      <c r="G685" s="784" t="str">
        <f t="shared" si="80"/>
        <v/>
      </c>
      <c r="Y685" s="663" t="str">
        <f>IF(C685="","",('transversal subsidence profile'!$L$5*EXP(-(C685^2)/(2*'transversal subsidence profile'!$J$5^2)))*100)</f>
        <v/>
      </c>
      <c r="Z685" s="664" t="str">
        <f>IF(C685="","",(+'transversal subsidence profile'!$L$6*EXP(-((C685+$G$10)^2)/(2*'transversal subsidence profile'!$J$6^2)))*100)</f>
        <v/>
      </c>
      <c r="AA685" s="751" t="str">
        <f>IF(C685="","",IF('IN-OUT'!$F$26=0,'Damage classification-Rankin'!Z685,IF('IN-OUT'!$F$35=0,Y685,'Damage classification-Rankin'!Y685+'Damage classification-Rankin'!Z685)))</f>
        <v/>
      </c>
    </row>
    <row r="686" spans="1:27" ht="13.8" thickBot="1">
      <c r="A686" s="67"/>
      <c r="B686" s="655">
        <f t="shared" si="75"/>
        <v>665</v>
      </c>
      <c r="C686" s="374" t="str">
        <f t="shared" si="76"/>
        <v/>
      </c>
      <c r="D686" s="784" t="str">
        <f t="shared" si="77"/>
        <v/>
      </c>
      <c r="E686" s="784" t="str">
        <f t="shared" si="78"/>
        <v/>
      </c>
      <c r="F686" s="785" t="str">
        <f t="shared" si="79"/>
        <v/>
      </c>
      <c r="G686" s="784" t="str">
        <f t="shared" si="80"/>
        <v/>
      </c>
      <c r="Y686" s="663" t="str">
        <f>IF(C686="","",('transversal subsidence profile'!$L$5*EXP(-(C686^2)/(2*'transversal subsidence profile'!$J$5^2)))*100)</f>
        <v/>
      </c>
      <c r="Z686" s="664" t="str">
        <f>IF(C686="","",(+'transversal subsidence profile'!$L$6*EXP(-((C686+$G$10)^2)/(2*'transversal subsidence profile'!$J$6^2)))*100)</f>
        <v/>
      </c>
      <c r="AA686" s="751" t="str">
        <f>IF(C686="","",IF('IN-OUT'!$F$26=0,'Damage classification-Rankin'!Z686,IF('IN-OUT'!$F$35=0,Y686,'Damage classification-Rankin'!Y686+'Damage classification-Rankin'!Z686)))</f>
        <v/>
      </c>
    </row>
    <row r="687" spans="1:27" ht="13.8" thickBot="1">
      <c r="A687" s="67"/>
      <c r="B687" s="655">
        <f t="shared" si="75"/>
        <v>666</v>
      </c>
      <c r="C687" s="374" t="str">
        <f t="shared" si="76"/>
        <v/>
      </c>
      <c r="D687" s="784" t="str">
        <f t="shared" si="77"/>
        <v/>
      </c>
      <c r="E687" s="784" t="str">
        <f t="shared" si="78"/>
        <v/>
      </c>
      <c r="F687" s="785" t="str">
        <f t="shared" si="79"/>
        <v/>
      </c>
      <c r="G687" s="784" t="str">
        <f t="shared" si="80"/>
        <v/>
      </c>
      <c r="Y687" s="663" t="str">
        <f>IF(C687="","",('transversal subsidence profile'!$L$5*EXP(-(C687^2)/(2*'transversal subsidence profile'!$J$5^2)))*100)</f>
        <v/>
      </c>
      <c r="Z687" s="664" t="str">
        <f>IF(C687="","",(+'transversal subsidence profile'!$L$6*EXP(-((C687+$G$10)^2)/(2*'transversal subsidence profile'!$J$6^2)))*100)</f>
        <v/>
      </c>
      <c r="AA687" s="751" t="str">
        <f>IF(C687="","",IF('IN-OUT'!$F$26=0,'Damage classification-Rankin'!Z687,IF('IN-OUT'!$F$35=0,Y687,'Damage classification-Rankin'!Y687+'Damage classification-Rankin'!Z687)))</f>
        <v/>
      </c>
    </row>
    <row r="688" spans="1:27" ht="13.8" thickBot="1">
      <c r="A688" s="67"/>
      <c r="B688" s="655">
        <f t="shared" si="75"/>
        <v>667</v>
      </c>
      <c r="C688" s="374" t="str">
        <f t="shared" si="76"/>
        <v/>
      </c>
      <c r="D688" s="784" t="str">
        <f t="shared" si="77"/>
        <v/>
      </c>
      <c r="E688" s="784" t="str">
        <f t="shared" si="78"/>
        <v/>
      </c>
      <c r="F688" s="785" t="str">
        <f t="shared" si="79"/>
        <v/>
      </c>
      <c r="G688" s="784" t="str">
        <f t="shared" si="80"/>
        <v/>
      </c>
      <c r="Y688" s="663" t="str">
        <f>IF(C688="","",('transversal subsidence profile'!$L$5*EXP(-(C688^2)/(2*'transversal subsidence profile'!$J$5^2)))*100)</f>
        <v/>
      </c>
      <c r="Z688" s="664" t="str">
        <f>IF(C688="","",(+'transversal subsidence profile'!$L$6*EXP(-((C688+$G$10)^2)/(2*'transversal subsidence profile'!$J$6^2)))*100)</f>
        <v/>
      </c>
      <c r="AA688" s="751" t="str">
        <f>IF(C688="","",IF('IN-OUT'!$F$26=0,'Damage classification-Rankin'!Z688,IF('IN-OUT'!$F$35=0,Y688,'Damage classification-Rankin'!Y688+'Damage classification-Rankin'!Z688)))</f>
        <v/>
      </c>
    </row>
    <row r="689" spans="1:27" ht="13.8" thickBot="1">
      <c r="A689" s="67"/>
      <c r="B689" s="655">
        <f t="shared" si="75"/>
        <v>668</v>
      </c>
      <c r="C689" s="374" t="str">
        <f t="shared" si="76"/>
        <v/>
      </c>
      <c r="D689" s="784" t="str">
        <f t="shared" si="77"/>
        <v/>
      </c>
      <c r="E689" s="784" t="str">
        <f t="shared" si="78"/>
        <v/>
      </c>
      <c r="F689" s="785" t="str">
        <f t="shared" si="79"/>
        <v/>
      </c>
      <c r="G689" s="784" t="str">
        <f t="shared" si="80"/>
        <v/>
      </c>
      <c r="Y689" s="663" t="str">
        <f>IF(C689="","",('transversal subsidence profile'!$L$5*EXP(-(C689^2)/(2*'transversal subsidence profile'!$J$5^2)))*100)</f>
        <v/>
      </c>
      <c r="Z689" s="664" t="str">
        <f>IF(C689="","",(+'transversal subsidence profile'!$L$6*EXP(-((C689+$G$10)^2)/(2*'transversal subsidence profile'!$J$6^2)))*100)</f>
        <v/>
      </c>
      <c r="AA689" s="751" t="str">
        <f>IF(C689="","",IF('IN-OUT'!$F$26=0,'Damage classification-Rankin'!Z689,IF('IN-OUT'!$F$35=0,Y689,'Damage classification-Rankin'!Y689+'Damage classification-Rankin'!Z689)))</f>
        <v/>
      </c>
    </row>
    <row r="690" spans="1:27" ht="13.8" thickBot="1">
      <c r="A690" s="67"/>
      <c r="B690" s="655">
        <f t="shared" si="75"/>
        <v>669</v>
      </c>
      <c r="C690" s="374" t="str">
        <f t="shared" si="76"/>
        <v/>
      </c>
      <c r="D690" s="784" t="str">
        <f t="shared" si="77"/>
        <v/>
      </c>
      <c r="E690" s="784" t="str">
        <f t="shared" si="78"/>
        <v/>
      </c>
      <c r="F690" s="785" t="str">
        <f t="shared" si="79"/>
        <v/>
      </c>
      <c r="G690" s="784" t="str">
        <f t="shared" si="80"/>
        <v/>
      </c>
      <c r="Y690" s="663" t="str">
        <f>IF(C690="","",('transversal subsidence profile'!$L$5*EXP(-(C690^2)/(2*'transversal subsidence profile'!$J$5^2)))*100)</f>
        <v/>
      </c>
      <c r="Z690" s="664" t="str">
        <f>IF(C690="","",(+'transversal subsidence profile'!$L$6*EXP(-((C690+$G$10)^2)/(2*'transversal subsidence profile'!$J$6^2)))*100)</f>
        <v/>
      </c>
      <c r="AA690" s="751" t="str">
        <f>IF(C690="","",IF('IN-OUT'!$F$26=0,'Damage classification-Rankin'!Z690,IF('IN-OUT'!$F$35=0,Y690,'Damage classification-Rankin'!Y690+'Damage classification-Rankin'!Z690)))</f>
        <v/>
      </c>
    </row>
    <row r="691" spans="1:27" ht="13.8" thickBot="1">
      <c r="A691" s="67"/>
      <c r="B691" s="655">
        <f t="shared" si="75"/>
        <v>670</v>
      </c>
      <c r="C691" s="374" t="str">
        <f t="shared" si="76"/>
        <v/>
      </c>
      <c r="D691" s="784" t="str">
        <f t="shared" si="77"/>
        <v/>
      </c>
      <c r="E691" s="784" t="str">
        <f t="shared" si="78"/>
        <v/>
      </c>
      <c r="F691" s="785" t="str">
        <f t="shared" si="79"/>
        <v/>
      </c>
      <c r="G691" s="784" t="str">
        <f t="shared" si="80"/>
        <v/>
      </c>
      <c r="Y691" s="663" t="str">
        <f>IF(C691="","",('transversal subsidence profile'!$L$5*EXP(-(C691^2)/(2*'transversal subsidence profile'!$J$5^2)))*100)</f>
        <v/>
      </c>
      <c r="Z691" s="664" t="str">
        <f>IF(C691="","",(+'transversal subsidence profile'!$L$6*EXP(-((C691+$G$10)^2)/(2*'transversal subsidence profile'!$J$6^2)))*100)</f>
        <v/>
      </c>
      <c r="AA691" s="751" t="str">
        <f>IF(C691="","",IF('IN-OUT'!$F$26=0,'Damage classification-Rankin'!Z691,IF('IN-OUT'!$F$35=0,Y691,'Damage classification-Rankin'!Y691+'Damage classification-Rankin'!Z691)))</f>
        <v/>
      </c>
    </row>
    <row r="692" spans="1:27" ht="13.8" thickBot="1">
      <c r="A692" s="67"/>
      <c r="B692" s="655">
        <f t="shared" si="75"/>
        <v>671</v>
      </c>
      <c r="C692" s="374" t="str">
        <f t="shared" si="76"/>
        <v/>
      </c>
      <c r="D692" s="784" t="str">
        <f t="shared" si="77"/>
        <v/>
      </c>
      <c r="E692" s="784" t="str">
        <f t="shared" si="78"/>
        <v/>
      </c>
      <c r="F692" s="785" t="str">
        <f t="shared" si="79"/>
        <v/>
      </c>
      <c r="G692" s="784" t="str">
        <f t="shared" si="80"/>
        <v/>
      </c>
      <c r="Y692" s="663" t="str">
        <f>IF(C692="","",('transversal subsidence profile'!$L$5*EXP(-(C692^2)/(2*'transversal subsidence profile'!$J$5^2)))*100)</f>
        <v/>
      </c>
      <c r="Z692" s="664" t="str">
        <f>IF(C692="","",(+'transversal subsidence profile'!$L$6*EXP(-((C692+$G$10)^2)/(2*'transversal subsidence profile'!$J$6^2)))*100)</f>
        <v/>
      </c>
      <c r="AA692" s="751" t="str">
        <f>IF(C692="","",IF('IN-OUT'!$F$26=0,'Damage classification-Rankin'!Z692,IF('IN-OUT'!$F$35=0,Y692,'Damage classification-Rankin'!Y692+'Damage classification-Rankin'!Z692)))</f>
        <v/>
      </c>
    </row>
    <row r="693" spans="1:27" ht="13.8" thickBot="1">
      <c r="A693" s="67"/>
      <c r="B693" s="655">
        <f t="shared" si="75"/>
        <v>672</v>
      </c>
      <c r="C693" s="374" t="str">
        <f t="shared" si="76"/>
        <v/>
      </c>
      <c r="D693" s="784" t="str">
        <f t="shared" si="77"/>
        <v/>
      </c>
      <c r="E693" s="784" t="str">
        <f t="shared" si="78"/>
        <v/>
      </c>
      <c r="F693" s="785" t="str">
        <f t="shared" si="79"/>
        <v/>
      </c>
      <c r="G693" s="784" t="str">
        <f t="shared" si="80"/>
        <v/>
      </c>
      <c r="Y693" s="663" t="str">
        <f>IF(C693="","",('transversal subsidence profile'!$L$5*EXP(-(C693^2)/(2*'transversal subsidence profile'!$J$5^2)))*100)</f>
        <v/>
      </c>
      <c r="Z693" s="664" t="str">
        <f>IF(C693="","",(+'transversal subsidence profile'!$L$6*EXP(-((C693+$G$10)^2)/(2*'transversal subsidence profile'!$J$6^2)))*100)</f>
        <v/>
      </c>
      <c r="AA693" s="751" t="str">
        <f>IF(C693="","",IF('IN-OUT'!$F$26=0,'Damage classification-Rankin'!Z693,IF('IN-OUT'!$F$35=0,Y693,'Damage classification-Rankin'!Y693+'Damage classification-Rankin'!Z693)))</f>
        <v/>
      </c>
    </row>
    <row r="694" spans="1:27" ht="13.8" thickBot="1">
      <c r="A694" s="67"/>
      <c r="B694" s="655">
        <f t="shared" si="75"/>
        <v>673</v>
      </c>
      <c r="C694" s="374" t="str">
        <f t="shared" si="76"/>
        <v/>
      </c>
      <c r="D694" s="784" t="str">
        <f t="shared" si="77"/>
        <v/>
      </c>
      <c r="E694" s="784" t="str">
        <f t="shared" si="78"/>
        <v/>
      </c>
      <c r="F694" s="785" t="str">
        <f t="shared" si="79"/>
        <v/>
      </c>
      <c r="G694" s="784" t="str">
        <f t="shared" si="80"/>
        <v/>
      </c>
      <c r="Y694" s="663" t="str">
        <f>IF(C694="","",('transversal subsidence profile'!$L$5*EXP(-(C694^2)/(2*'transversal subsidence profile'!$J$5^2)))*100)</f>
        <v/>
      </c>
      <c r="Z694" s="664" t="str">
        <f>IF(C694="","",(+'transversal subsidence profile'!$L$6*EXP(-((C694+$G$10)^2)/(2*'transversal subsidence profile'!$J$6^2)))*100)</f>
        <v/>
      </c>
      <c r="AA694" s="751" t="str">
        <f>IF(C694="","",IF('IN-OUT'!$F$26=0,'Damage classification-Rankin'!Z694,IF('IN-OUT'!$F$35=0,Y694,'Damage classification-Rankin'!Y694+'Damage classification-Rankin'!Z694)))</f>
        <v/>
      </c>
    </row>
    <row r="695" spans="1:27" ht="13.8" thickBot="1">
      <c r="A695" s="67"/>
      <c r="B695" s="655">
        <f t="shared" si="75"/>
        <v>674</v>
      </c>
      <c r="C695" s="374" t="str">
        <f t="shared" si="76"/>
        <v/>
      </c>
      <c r="D695" s="784" t="str">
        <f t="shared" si="77"/>
        <v/>
      </c>
      <c r="E695" s="784" t="str">
        <f t="shared" si="78"/>
        <v/>
      </c>
      <c r="F695" s="785" t="str">
        <f t="shared" si="79"/>
        <v/>
      </c>
      <c r="G695" s="784" t="str">
        <f t="shared" si="80"/>
        <v/>
      </c>
      <c r="Y695" s="663" t="str">
        <f>IF(C695="","",('transversal subsidence profile'!$L$5*EXP(-(C695^2)/(2*'transversal subsidence profile'!$J$5^2)))*100)</f>
        <v/>
      </c>
      <c r="Z695" s="664" t="str">
        <f>IF(C695="","",(+'transversal subsidence profile'!$L$6*EXP(-((C695+$G$10)^2)/(2*'transversal subsidence profile'!$J$6^2)))*100)</f>
        <v/>
      </c>
      <c r="AA695" s="751" t="str">
        <f>IF(C695="","",IF('IN-OUT'!$F$26=0,'Damage classification-Rankin'!Z695,IF('IN-OUT'!$F$35=0,Y695,'Damage classification-Rankin'!Y695+'Damage classification-Rankin'!Z695)))</f>
        <v/>
      </c>
    </row>
    <row r="696" spans="1:27" ht="13.8" thickBot="1">
      <c r="A696" s="67"/>
      <c r="B696" s="655">
        <f t="shared" si="75"/>
        <v>675</v>
      </c>
      <c r="C696" s="374" t="str">
        <f t="shared" si="76"/>
        <v/>
      </c>
      <c r="D696" s="784" t="str">
        <f t="shared" si="77"/>
        <v/>
      </c>
      <c r="E696" s="784" t="str">
        <f t="shared" si="78"/>
        <v/>
      </c>
      <c r="F696" s="785" t="str">
        <f t="shared" si="79"/>
        <v/>
      </c>
      <c r="G696" s="784" t="str">
        <f t="shared" si="80"/>
        <v/>
      </c>
      <c r="Y696" s="663" t="str">
        <f>IF(C696="","",('transversal subsidence profile'!$L$5*EXP(-(C696^2)/(2*'transversal subsidence profile'!$J$5^2)))*100)</f>
        <v/>
      </c>
      <c r="Z696" s="664" t="str">
        <f>IF(C696="","",(+'transversal subsidence profile'!$L$6*EXP(-((C696+$G$10)^2)/(2*'transversal subsidence profile'!$J$6^2)))*100)</f>
        <v/>
      </c>
      <c r="AA696" s="751" t="str">
        <f>IF(C696="","",IF('IN-OUT'!$F$26=0,'Damage classification-Rankin'!Z696,IF('IN-OUT'!$F$35=0,Y696,'Damage classification-Rankin'!Y696+'Damage classification-Rankin'!Z696)))</f>
        <v/>
      </c>
    </row>
    <row r="697" spans="1:27" ht="13.8" thickBot="1">
      <c r="A697" s="67"/>
      <c r="B697" s="655">
        <f t="shared" si="75"/>
        <v>676</v>
      </c>
      <c r="C697" s="374" t="str">
        <f t="shared" si="76"/>
        <v/>
      </c>
      <c r="D697" s="784" t="str">
        <f t="shared" si="77"/>
        <v/>
      </c>
      <c r="E697" s="784" t="str">
        <f t="shared" si="78"/>
        <v/>
      </c>
      <c r="F697" s="785" t="str">
        <f t="shared" si="79"/>
        <v/>
      </c>
      <c r="G697" s="784" t="str">
        <f t="shared" si="80"/>
        <v/>
      </c>
      <c r="Y697" s="663" t="str">
        <f>IF(C697="","",('transversal subsidence profile'!$L$5*EXP(-(C697^2)/(2*'transversal subsidence profile'!$J$5^2)))*100)</f>
        <v/>
      </c>
      <c r="Z697" s="664" t="str">
        <f>IF(C697="","",(+'transversal subsidence profile'!$L$6*EXP(-((C697+$G$10)^2)/(2*'transversal subsidence profile'!$J$6^2)))*100)</f>
        <v/>
      </c>
      <c r="AA697" s="751" t="str">
        <f>IF(C697="","",IF('IN-OUT'!$F$26=0,'Damage classification-Rankin'!Z697,IF('IN-OUT'!$F$35=0,Y697,'Damage classification-Rankin'!Y697+'Damage classification-Rankin'!Z697)))</f>
        <v/>
      </c>
    </row>
    <row r="698" spans="1:27" ht="13.8" thickBot="1">
      <c r="A698" s="67"/>
      <c r="B698" s="655">
        <f t="shared" si="75"/>
        <v>677</v>
      </c>
      <c r="C698" s="374" t="str">
        <f t="shared" si="76"/>
        <v/>
      </c>
      <c r="D698" s="784" t="str">
        <f t="shared" si="77"/>
        <v/>
      </c>
      <c r="E698" s="784" t="str">
        <f t="shared" si="78"/>
        <v/>
      </c>
      <c r="F698" s="785" t="str">
        <f t="shared" si="79"/>
        <v/>
      </c>
      <c r="G698" s="784" t="str">
        <f t="shared" si="80"/>
        <v/>
      </c>
      <c r="Y698" s="663" t="str">
        <f>IF(C698="","",('transversal subsidence profile'!$L$5*EXP(-(C698^2)/(2*'transversal subsidence profile'!$J$5^2)))*100)</f>
        <v/>
      </c>
      <c r="Z698" s="664" t="str">
        <f>IF(C698="","",(+'transversal subsidence profile'!$L$6*EXP(-((C698+$G$10)^2)/(2*'transversal subsidence profile'!$J$6^2)))*100)</f>
        <v/>
      </c>
      <c r="AA698" s="751" t="str">
        <f>IF(C698="","",IF('IN-OUT'!$F$26=0,'Damage classification-Rankin'!Z698,IF('IN-OUT'!$F$35=0,Y698,'Damage classification-Rankin'!Y698+'Damage classification-Rankin'!Z698)))</f>
        <v/>
      </c>
    </row>
    <row r="699" spans="1:27" ht="13.8" thickBot="1">
      <c r="A699" s="67"/>
      <c r="B699" s="655">
        <f t="shared" si="75"/>
        <v>678</v>
      </c>
      <c r="C699" s="374" t="str">
        <f t="shared" si="76"/>
        <v/>
      </c>
      <c r="D699" s="784" t="str">
        <f t="shared" si="77"/>
        <v/>
      </c>
      <c r="E699" s="784" t="str">
        <f t="shared" si="78"/>
        <v/>
      </c>
      <c r="F699" s="785" t="str">
        <f t="shared" si="79"/>
        <v/>
      </c>
      <c r="G699" s="784" t="str">
        <f t="shared" si="80"/>
        <v/>
      </c>
      <c r="Y699" s="663" t="str">
        <f>IF(C699="","",('transversal subsidence profile'!$L$5*EXP(-(C699^2)/(2*'transversal subsidence profile'!$J$5^2)))*100)</f>
        <v/>
      </c>
      <c r="Z699" s="664" t="str">
        <f>IF(C699="","",(+'transversal subsidence profile'!$L$6*EXP(-((C699+$G$10)^2)/(2*'transversal subsidence profile'!$J$6^2)))*100)</f>
        <v/>
      </c>
      <c r="AA699" s="751" t="str">
        <f>IF(C699="","",IF('IN-OUT'!$F$26=0,'Damage classification-Rankin'!Z699,IF('IN-OUT'!$F$35=0,Y699,'Damage classification-Rankin'!Y699+'Damage classification-Rankin'!Z699)))</f>
        <v/>
      </c>
    </row>
    <row r="700" spans="1:27" ht="13.8" thickBot="1">
      <c r="A700" s="67"/>
      <c r="B700" s="655">
        <f t="shared" si="75"/>
        <v>679</v>
      </c>
      <c r="C700" s="374" t="str">
        <f t="shared" si="76"/>
        <v/>
      </c>
      <c r="D700" s="784" t="str">
        <f t="shared" si="77"/>
        <v/>
      </c>
      <c r="E700" s="784" t="str">
        <f t="shared" si="78"/>
        <v/>
      </c>
      <c r="F700" s="785" t="str">
        <f t="shared" si="79"/>
        <v/>
      </c>
      <c r="G700" s="784" t="str">
        <f t="shared" si="80"/>
        <v/>
      </c>
      <c r="Y700" s="663" t="str">
        <f>IF(C700="","",('transversal subsidence profile'!$L$5*EXP(-(C700^2)/(2*'transversal subsidence profile'!$J$5^2)))*100)</f>
        <v/>
      </c>
      <c r="Z700" s="664" t="str">
        <f>IF(C700="","",(+'transversal subsidence profile'!$L$6*EXP(-((C700+$G$10)^2)/(2*'transversal subsidence profile'!$J$6^2)))*100)</f>
        <v/>
      </c>
      <c r="AA700" s="751" t="str">
        <f>IF(C700="","",IF('IN-OUT'!$F$26=0,'Damage classification-Rankin'!Z700,IF('IN-OUT'!$F$35=0,Y700,'Damage classification-Rankin'!Y700+'Damage classification-Rankin'!Z700)))</f>
        <v/>
      </c>
    </row>
    <row r="701" spans="1:27" ht="13.8" thickBot="1">
      <c r="A701" s="67"/>
      <c r="B701" s="655">
        <f t="shared" si="75"/>
        <v>680</v>
      </c>
      <c r="C701" s="374" t="str">
        <f t="shared" si="76"/>
        <v/>
      </c>
      <c r="D701" s="784" t="str">
        <f t="shared" si="77"/>
        <v/>
      </c>
      <c r="E701" s="784" t="str">
        <f t="shared" si="78"/>
        <v/>
      </c>
      <c r="F701" s="785" t="str">
        <f t="shared" si="79"/>
        <v/>
      </c>
      <c r="G701" s="784" t="str">
        <f t="shared" si="80"/>
        <v/>
      </c>
      <c r="Y701" s="663" t="str">
        <f>IF(C701="","",('transversal subsidence profile'!$L$5*EXP(-(C701^2)/(2*'transversal subsidence profile'!$J$5^2)))*100)</f>
        <v/>
      </c>
      <c r="Z701" s="664" t="str">
        <f>IF(C701="","",(+'transversal subsidence profile'!$L$6*EXP(-((C701+$G$10)^2)/(2*'transversal subsidence profile'!$J$6^2)))*100)</f>
        <v/>
      </c>
      <c r="AA701" s="751" t="str">
        <f>IF(C701="","",IF('IN-OUT'!$F$26=0,'Damage classification-Rankin'!Z701,IF('IN-OUT'!$F$35=0,Y701,'Damage classification-Rankin'!Y701+'Damage classification-Rankin'!Z701)))</f>
        <v/>
      </c>
    </row>
    <row r="702" spans="1:27" ht="13.8" thickBot="1">
      <c r="A702" s="67"/>
      <c r="B702" s="655">
        <f t="shared" si="75"/>
        <v>681</v>
      </c>
      <c r="C702" s="374" t="str">
        <f t="shared" si="76"/>
        <v/>
      </c>
      <c r="D702" s="784" t="str">
        <f t="shared" si="77"/>
        <v/>
      </c>
      <c r="E702" s="784" t="str">
        <f t="shared" si="78"/>
        <v/>
      </c>
      <c r="F702" s="785" t="str">
        <f t="shared" si="79"/>
        <v/>
      </c>
      <c r="G702" s="784" t="str">
        <f t="shared" si="80"/>
        <v/>
      </c>
      <c r="Y702" s="663" t="str">
        <f>IF(C702="","",('transversal subsidence profile'!$L$5*EXP(-(C702^2)/(2*'transversal subsidence profile'!$J$5^2)))*100)</f>
        <v/>
      </c>
      <c r="Z702" s="664" t="str">
        <f>IF(C702="","",(+'transversal subsidence profile'!$L$6*EXP(-((C702+$G$10)^2)/(2*'transversal subsidence profile'!$J$6^2)))*100)</f>
        <v/>
      </c>
      <c r="AA702" s="751" t="str">
        <f>IF(C702="","",IF('IN-OUT'!$F$26=0,'Damage classification-Rankin'!Z702,IF('IN-OUT'!$F$35=0,Y702,'Damage classification-Rankin'!Y702+'Damage classification-Rankin'!Z702)))</f>
        <v/>
      </c>
    </row>
    <row r="703" spans="1:27" ht="13.8" thickBot="1">
      <c r="A703" s="67"/>
      <c r="B703" s="655">
        <f t="shared" si="75"/>
        <v>682</v>
      </c>
      <c r="C703" s="374" t="str">
        <f t="shared" si="76"/>
        <v/>
      </c>
      <c r="D703" s="784" t="str">
        <f t="shared" si="77"/>
        <v/>
      </c>
      <c r="E703" s="784" t="str">
        <f t="shared" si="78"/>
        <v/>
      </c>
      <c r="F703" s="785" t="str">
        <f t="shared" si="79"/>
        <v/>
      </c>
      <c r="G703" s="784" t="str">
        <f t="shared" si="80"/>
        <v/>
      </c>
      <c r="Y703" s="663" t="str">
        <f>IF(C703="","",('transversal subsidence profile'!$L$5*EXP(-(C703^2)/(2*'transversal subsidence profile'!$J$5^2)))*100)</f>
        <v/>
      </c>
      <c r="Z703" s="664" t="str">
        <f>IF(C703="","",(+'transversal subsidence profile'!$L$6*EXP(-((C703+$G$10)^2)/(2*'transversal subsidence profile'!$J$6^2)))*100)</f>
        <v/>
      </c>
      <c r="AA703" s="751" t="str">
        <f>IF(C703="","",IF('IN-OUT'!$F$26=0,'Damage classification-Rankin'!Z703,IF('IN-OUT'!$F$35=0,Y703,'Damage classification-Rankin'!Y703+'Damage classification-Rankin'!Z703)))</f>
        <v/>
      </c>
    </row>
    <row r="704" spans="1:27" ht="13.8" thickBot="1">
      <c r="A704" s="67"/>
      <c r="B704" s="655">
        <f t="shared" si="75"/>
        <v>683</v>
      </c>
      <c r="C704" s="374" t="str">
        <f t="shared" si="76"/>
        <v/>
      </c>
      <c r="D704" s="784" t="str">
        <f t="shared" si="77"/>
        <v/>
      </c>
      <c r="E704" s="784" t="str">
        <f t="shared" si="78"/>
        <v/>
      </c>
      <c r="F704" s="785" t="str">
        <f t="shared" si="79"/>
        <v/>
      </c>
      <c r="G704" s="784" t="str">
        <f t="shared" si="80"/>
        <v/>
      </c>
      <c r="Y704" s="663" t="str">
        <f>IF(C704="","",('transversal subsidence profile'!$L$5*EXP(-(C704^2)/(2*'transversal subsidence profile'!$J$5^2)))*100)</f>
        <v/>
      </c>
      <c r="Z704" s="664" t="str">
        <f>IF(C704="","",(+'transversal subsidence profile'!$L$6*EXP(-((C704+$G$10)^2)/(2*'transversal subsidence profile'!$J$6^2)))*100)</f>
        <v/>
      </c>
      <c r="AA704" s="751" t="str">
        <f>IF(C704="","",IF('IN-OUT'!$F$26=0,'Damage classification-Rankin'!Z704,IF('IN-OUT'!$F$35=0,Y704,'Damage classification-Rankin'!Y704+'Damage classification-Rankin'!Z704)))</f>
        <v/>
      </c>
    </row>
    <row r="705" spans="1:27" ht="13.8" thickBot="1">
      <c r="A705" s="67"/>
      <c r="B705" s="655">
        <f t="shared" si="75"/>
        <v>684</v>
      </c>
      <c r="C705" s="374" t="str">
        <f t="shared" si="76"/>
        <v/>
      </c>
      <c r="D705" s="784" t="str">
        <f t="shared" si="77"/>
        <v/>
      </c>
      <c r="E705" s="784" t="str">
        <f t="shared" si="78"/>
        <v/>
      </c>
      <c r="F705" s="785" t="str">
        <f t="shared" si="79"/>
        <v/>
      </c>
      <c r="G705" s="784" t="str">
        <f t="shared" si="80"/>
        <v/>
      </c>
      <c r="Y705" s="663" t="str">
        <f>IF(C705="","",('transversal subsidence profile'!$L$5*EXP(-(C705^2)/(2*'transversal subsidence profile'!$J$5^2)))*100)</f>
        <v/>
      </c>
      <c r="Z705" s="664" t="str">
        <f>IF(C705="","",(+'transversal subsidence profile'!$L$6*EXP(-((C705+$G$10)^2)/(2*'transversal subsidence profile'!$J$6^2)))*100)</f>
        <v/>
      </c>
      <c r="AA705" s="751" t="str">
        <f>IF(C705="","",IF('IN-OUT'!$F$26=0,'Damage classification-Rankin'!Z705,IF('IN-OUT'!$F$35=0,Y705,'Damage classification-Rankin'!Y705+'Damage classification-Rankin'!Z705)))</f>
        <v/>
      </c>
    </row>
    <row r="706" spans="1:27" ht="13.8" thickBot="1">
      <c r="A706" s="67"/>
      <c r="B706" s="655">
        <f t="shared" si="75"/>
        <v>685</v>
      </c>
      <c r="C706" s="374" t="str">
        <f t="shared" si="76"/>
        <v/>
      </c>
      <c r="D706" s="784" t="str">
        <f t="shared" si="77"/>
        <v/>
      </c>
      <c r="E706" s="784" t="str">
        <f t="shared" si="78"/>
        <v/>
      </c>
      <c r="F706" s="785" t="str">
        <f t="shared" si="79"/>
        <v/>
      </c>
      <c r="G706" s="784" t="str">
        <f t="shared" si="80"/>
        <v/>
      </c>
      <c r="Y706" s="663" t="str">
        <f>IF(C706="","",('transversal subsidence profile'!$L$5*EXP(-(C706^2)/(2*'transversal subsidence profile'!$J$5^2)))*100)</f>
        <v/>
      </c>
      <c r="Z706" s="664" t="str">
        <f>IF(C706="","",(+'transversal subsidence profile'!$L$6*EXP(-((C706+$G$10)^2)/(2*'transversal subsidence profile'!$J$6^2)))*100)</f>
        <v/>
      </c>
      <c r="AA706" s="751" t="str">
        <f>IF(C706="","",IF('IN-OUT'!$F$26=0,'Damage classification-Rankin'!Z706,IF('IN-OUT'!$F$35=0,Y706,'Damage classification-Rankin'!Y706+'Damage classification-Rankin'!Z706)))</f>
        <v/>
      </c>
    </row>
    <row r="707" spans="1:27" ht="13.8" thickBot="1">
      <c r="A707" s="67"/>
      <c r="B707" s="655">
        <f t="shared" si="75"/>
        <v>686</v>
      </c>
      <c r="C707" s="374" t="str">
        <f t="shared" si="76"/>
        <v/>
      </c>
      <c r="D707" s="784" t="str">
        <f t="shared" si="77"/>
        <v/>
      </c>
      <c r="E707" s="784" t="str">
        <f t="shared" si="78"/>
        <v/>
      </c>
      <c r="F707" s="785" t="str">
        <f t="shared" si="79"/>
        <v/>
      </c>
      <c r="G707" s="784" t="str">
        <f t="shared" si="80"/>
        <v/>
      </c>
      <c r="Y707" s="663" t="str">
        <f>IF(C707="","",('transversal subsidence profile'!$L$5*EXP(-(C707^2)/(2*'transversal subsidence profile'!$J$5^2)))*100)</f>
        <v/>
      </c>
      <c r="Z707" s="664" t="str">
        <f>IF(C707="","",(+'transversal subsidence profile'!$L$6*EXP(-((C707+$G$10)^2)/(2*'transversal subsidence profile'!$J$6^2)))*100)</f>
        <v/>
      </c>
      <c r="AA707" s="751" t="str">
        <f>IF(C707="","",IF('IN-OUT'!$F$26=0,'Damage classification-Rankin'!Z707,IF('IN-OUT'!$F$35=0,Y707,'Damage classification-Rankin'!Y707+'Damage classification-Rankin'!Z707)))</f>
        <v/>
      </c>
    </row>
    <row r="708" spans="1:27" ht="13.8" thickBot="1">
      <c r="A708" s="67"/>
      <c r="B708" s="655">
        <f t="shared" si="75"/>
        <v>687</v>
      </c>
      <c r="C708" s="374" t="str">
        <f t="shared" si="76"/>
        <v/>
      </c>
      <c r="D708" s="784" t="str">
        <f t="shared" si="77"/>
        <v/>
      </c>
      <c r="E708" s="784" t="str">
        <f t="shared" si="78"/>
        <v/>
      </c>
      <c r="F708" s="785" t="str">
        <f t="shared" si="79"/>
        <v/>
      </c>
      <c r="G708" s="784" t="str">
        <f t="shared" si="80"/>
        <v/>
      </c>
      <c r="Y708" s="663" t="str">
        <f>IF(C708="","",('transversal subsidence profile'!$L$5*EXP(-(C708^2)/(2*'transversal subsidence profile'!$J$5^2)))*100)</f>
        <v/>
      </c>
      <c r="Z708" s="664" t="str">
        <f>IF(C708="","",(+'transversal subsidence profile'!$L$6*EXP(-((C708+$G$10)^2)/(2*'transversal subsidence profile'!$J$6^2)))*100)</f>
        <v/>
      </c>
      <c r="AA708" s="751" t="str">
        <f>IF(C708="","",IF('IN-OUT'!$F$26=0,'Damage classification-Rankin'!Z708,IF('IN-OUT'!$F$35=0,Y708,'Damage classification-Rankin'!Y708+'Damage classification-Rankin'!Z708)))</f>
        <v/>
      </c>
    </row>
    <row r="709" spans="1:27" ht="13.8" thickBot="1">
      <c r="A709" s="67"/>
      <c r="B709" s="655">
        <f t="shared" si="75"/>
        <v>688</v>
      </c>
      <c r="C709" s="374" t="str">
        <f t="shared" si="76"/>
        <v/>
      </c>
      <c r="D709" s="784" t="str">
        <f t="shared" si="77"/>
        <v/>
      </c>
      <c r="E709" s="784" t="str">
        <f t="shared" si="78"/>
        <v/>
      </c>
      <c r="F709" s="785" t="str">
        <f t="shared" si="79"/>
        <v/>
      </c>
      <c r="G709" s="784" t="str">
        <f t="shared" si="80"/>
        <v/>
      </c>
      <c r="Y709" s="663" t="str">
        <f>IF(C709="","",('transversal subsidence profile'!$L$5*EXP(-(C709^2)/(2*'transversal subsidence profile'!$J$5^2)))*100)</f>
        <v/>
      </c>
      <c r="Z709" s="664" t="str">
        <f>IF(C709="","",(+'transversal subsidence profile'!$L$6*EXP(-((C709+$G$10)^2)/(2*'transversal subsidence profile'!$J$6^2)))*100)</f>
        <v/>
      </c>
      <c r="AA709" s="751" t="str">
        <f>IF(C709="","",IF('IN-OUT'!$F$26=0,'Damage classification-Rankin'!Z709,IF('IN-OUT'!$F$35=0,Y709,'Damage classification-Rankin'!Y709+'Damage classification-Rankin'!Z709)))</f>
        <v/>
      </c>
    </row>
    <row r="710" spans="1:27" ht="13.8" thickBot="1">
      <c r="A710" s="67"/>
      <c r="B710" s="655">
        <f t="shared" si="75"/>
        <v>689</v>
      </c>
      <c r="C710" s="374" t="str">
        <f t="shared" si="76"/>
        <v/>
      </c>
      <c r="D710" s="784" t="str">
        <f t="shared" si="77"/>
        <v/>
      </c>
      <c r="E710" s="784" t="str">
        <f t="shared" si="78"/>
        <v/>
      </c>
      <c r="F710" s="785" t="str">
        <f t="shared" si="79"/>
        <v/>
      </c>
      <c r="G710" s="784" t="str">
        <f t="shared" si="80"/>
        <v/>
      </c>
      <c r="Y710" s="663" t="str">
        <f>IF(C710="","",('transversal subsidence profile'!$L$5*EXP(-(C710^2)/(2*'transversal subsidence profile'!$J$5^2)))*100)</f>
        <v/>
      </c>
      <c r="Z710" s="664" t="str">
        <f>IF(C710="","",(+'transversal subsidence profile'!$L$6*EXP(-((C710+$G$10)^2)/(2*'transversal subsidence profile'!$J$6^2)))*100)</f>
        <v/>
      </c>
      <c r="AA710" s="751" t="str">
        <f>IF(C710="","",IF('IN-OUT'!$F$26=0,'Damage classification-Rankin'!Z710,IF('IN-OUT'!$F$35=0,Y710,'Damage classification-Rankin'!Y710+'Damage classification-Rankin'!Z710)))</f>
        <v/>
      </c>
    </row>
    <row r="711" spans="1:27" ht="13.8" thickBot="1">
      <c r="A711" s="67"/>
      <c r="B711" s="655">
        <f t="shared" si="75"/>
        <v>690</v>
      </c>
      <c r="C711" s="374" t="str">
        <f t="shared" si="76"/>
        <v/>
      </c>
      <c r="D711" s="784" t="str">
        <f t="shared" si="77"/>
        <v/>
      </c>
      <c r="E711" s="784" t="str">
        <f t="shared" si="78"/>
        <v/>
      </c>
      <c r="F711" s="785" t="str">
        <f t="shared" si="79"/>
        <v/>
      </c>
      <c r="G711" s="784" t="str">
        <f t="shared" si="80"/>
        <v/>
      </c>
      <c r="Y711" s="663" t="str">
        <f>IF(C711="","",('transversal subsidence profile'!$L$5*EXP(-(C711^2)/(2*'transversal subsidence profile'!$J$5^2)))*100)</f>
        <v/>
      </c>
      <c r="Z711" s="664" t="str">
        <f>IF(C711="","",(+'transversal subsidence profile'!$L$6*EXP(-((C711+$G$10)^2)/(2*'transversal subsidence profile'!$J$6^2)))*100)</f>
        <v/>
      </c>
      <c r="AA711" s="751" t="str">
        <f>IF(C711="","",IF('IN-OUT'!$F$26=0,'Damage classification-Rankin'!Z711,IF('IN-OUT'!$F$35=0,Y711,'Damage classification-Rankin'!Y711+'Damage classification-Rankin'!Z711)))</f>
        <v/>
      </c>
    </row>
    <row r="712" spans="1:27" ht="13.8" thickBot="1">
      <c r="A712" s="67"/>
      <c r="B712" s="655">
        <f t="shared" si="75"/>
        <v>691</v>
      </c>
      <c r="C712" s="374" t="str">
        <f t="shared" si="76"/>
        <v/>
      </c>
      <c r="D712" s="784" t="str">
        <f t="shared" si="77"/>
        <v/>
      </c>
      <c r="E712" s="784" t="str">
        <f t="shared" si="78"/>
        <v/>
      </c>
      <c r="F712" s="785" t="str">
        <f t="shared" si="79"/>
        <v/>
      </c>
      <c r="G712" s="784" t="str">
        <f t="shared" si="80"/>
        <v/>
      </c>
      <c r="Y712" s="663" t="str">
        <f>IF(C712="","",('transversal subsidence profile'!$L$5*EXP(-(C712^2)/(2*'transversal subsidence profile'!$J$5^2)))*100)</f>
        <v/>
      </c>
      <c r="Z712" s="664" t="str">
        <f>IF(C712="","",(+'transversal subsidence profile'!$L$6*EXP(-((C712+$G$10)^2)/(2*'transversal subsidence profile'!$J$6^2)))*100)</f>
        <v/>
      </c>
      <c r="AA712" s="751" t="str">
        <f>IF(C712="","",IF('IN-OUT'!$F$26=0,'Damage classification-Rankin'!Z712,IF('IN-OUT'!$F$35=0,Y712,'Damage classification-Rankin'!Y712+'Damage classification-Rankin'!Z712)))</f>
        <v/>
      </c>
    </row>
    <row r="713" spans="1:27" ht="13.8" thickBot="1">
      <c r="A713" s="67"/>
      <c r="B713" s="655">
        <f t="shared" si="75"/>
        <v>692</v>
      </c>
      <c r="C713" s="374" t="str">
        <f t="shared" si="76"/>
        <v/>
      </c>
      <c r="D713" s="784" t="str">
        <f t="shared" si="77"/>
        <v/>
      </c>
      <c r="E713" s="784" t="str">
        <f t="shared" si="78"/>
        <v/>
      </c>
      <c r="F713" s="785" t="str">
        <f t="shared" si="79"/>
        <v/>
      </c>
      <c r="G713" s="784" t="str">
        <f t="shared" si="80"/>
        <v/>
      </c>
      <c r="Y713" s="663" t="str">
        <f>IF(C713="","",('transversal subsidence profile'!$L$5*EXP(-(C713^2)/(2*'transversal subsidence profile'!$J$5^2)))*100)</f>
        <v/>
      </c>
      <c r="Z713" s="664" t="str">
        <f>IF(C713="","",(+'transversal subsidence profile'!$L$6*EXP(-((C713+$G$10)^2)/(2*'transversal subsidence profile'!$J$6^2)))*100)</f>
        <v/>
      </c>
      <c r="AA713" s="751" t="str">
        <f>IF(C713="","",IF('IN-OUT'!$F$26=0,'Damage classification-Rankin'!Z713,IF('IN-OUT'!$F$35=0,Y713,'Damage classification-Rankin'!Y713+'Damage classification-Rankin'!Z713)))</f>
        <v/>
      </c>
    </row>
    <row r="714" spans="1:27" ht="13.8" thickBot="1">
      <c r="A714" s="67"/>
      <c r="B714" s="655">
        <f t="shared" ref="B714:B777" si="81">B713+1</f>
        <v>693</v>
      </c>
      <c r="C714" s="374" t="str">
        <f t="shared" ref="C714:C777" si="82">IF(OR(C713=$D$8,C713=""),"",IF((C713+$C$19)&gt;$D$8,$D$8,C713+$C$19))</f>
        <v/>
      </c>
      <c r="D714" s="784" t="str">
        <f t="shared" ref="D714:D777" si="83">AA714</f>
        <v/>
      </c>
      <c r="E714" s="784" t="str">
        <f t="shared" ref="E714:E777" si="84">IF(C714="","",IF(D714&gt;D713,ATAN(((D714-D713))/ABS((C714-C713)*100)),-ATAN(((D713-D714))/ABS((C714-C713)*100))))</f>
        <v/>
      </c>
      <c r="F714" s="785" t="str">
        <f t="shared" ref="F714:F777" si="85">IF(C714&lt;&gt;"",ABS(D713-D714),"")</f>
        <v/>
      </c>
      <c r="G714" s="784" t="str">
        <f t="shared" si="80"/>
        <v/>
      </c>
      <c r="Y714" s="663" t="str">
        <f>IF(C714="","",('transversal subsidence profile'!$L$5*EXP(-(C714^2)/(2*'transversal subsidence profile'!$J$5^2)))*100)</f>
        <v/>
      </c>
      <c r="Z714" s="664" t="str">
        <f>IF(C714="","",(+'transversal subsidence profile'!$L$6*EXP(-((C714+$G$10)^2)/(2*'transversal subsidence profile'!$J$6^2)))*100)</f>
        <v/>
      </c>
      <c r="AA714" s="751" t="str">
        <f>IF(C714="","",IF('IN-OUT'!$F$26=0,'Damage classification-Rankin'!Z714,IF('IN-OUT'!$F$35=0,Y714,'Damage classification-Rankin'!Y714+'Damage classification-Rankin'!Z714)))</f>
        <v/>
      </c>
    </row>
    <row r="715" spans="1:27" ht="13.8" thickBot="1">
      <c r="A715" s="67"/>
      <c r="B715" s="655">
        <f t="shared" si="81"/>
        <v>694</v>
      </c>
      <c r="C715" s="374" t="str">
        <f t="shared" si="82"/>
        <v/>
      </c>
      <c r="D715" s="784" t="str">
        <f t="shared" si="83"/>
        <v/>
      </c>
      <c r="E715" s="784" t="str">
        <f t="shared" si="84"/>
        <v/>
      </c>
      <c r="F715" s="785" t="str">
        <f t="shared" si="85"/>
        <v/>
      </c>
      <c r="G715" s="784" t="str">
        <f t="shared" si="80"/>
        <v/>
      </c>
      <c r="Y715" s="663" t="str">
        <f>IF(C715="","",('transversal subsidence profile'!$L$5*EXP(-(C715^2)/(2*'transversal subsidence profile'!$J$5^2)))*100)</f>
        <v/>
      </c>
      <c r="Z715" s="664" t="str">
        <f>IF(C715="","",(+'transversal subsidence profile'!$L$6*EXP(-((C715+$G$10)^2)/(2*'transversal subsidence profile'!$J$6^2)))*100)</f>
        <v/>
      </c>
      <c r="AA715" s="751" t="str">
        <f>IF(C715="","",IF('IN-OUT'!$F$26=0,'Damage classification-Rankin'!Z715,IF('IN-OUT'!$F$35=0,Y715,'Damage classification-Rankin'!Y715+'Damage classification-Rankin'!Z715)))</f>
        <v/>
      </c>
    </row>
    <row r="716" spans="1:27" ht="13.8" thickBot="1">
      <c r="A716" s="67"/>
      <c r="B716" s="655">
        <f t="shared" si="81"/>
        <v>695</v>
      </c>
      <c r="C716" s="374" t="str">
        <f t="shared" si="82"/>
        <v/>
      </c>
      <c r="D716" s="784" t="str">
        <f t="shared" si="83"/>
        <v/>
      </c>
      <c r="E716" s="784" t="str">
        <f t="shared" si="84"/>
        <v/>
      </c>
      <c r="F716" s="785" t="str">
        <f t="shared" si="85"/>
        <v/>
      </c>
      <c r="G716" s="784" t="str">
        <f t="shared" si="80"/>
        <v/>
      </c>
      <c r="Y716" s="663" t="str">
        <f>IF(C716="","",('transversal subsidence profile'!$L$5*EXP(-(C716^2)/(2*'transversal subsidence profile'!$J$5^2)))*100)</f>
        <v/>
      </c>
      <c r="Z716" s="664" t="str">
        <f>IF(C716="","",(+'transversal subsidence profile'!$L$6*EXP(-((C716+$G$10)^2)/(2*'transversal subsidence profile'!$J$6^2)))*100)</f>
        <v/>
      </c>
      <c r="AA716" s="751" t="str">
        <f>IF(C716="","",IF('IN-OUT'!$F$26=0,'Damage classification-Rankin'!Z716,IF('IN-OUT'!$F$35=0,Y716,'Damage classification-Rankin'!Y716+'Damage classification-Rankin'!Z716)))</f>
        <v/>
      </c>
    </row>
    <row r="717" spans="1:27" ht="13.8" thickBot="1">
      <c r="A717" s="67"/>
      <c r="B717" s="655">
        <f t="shared" si="81"/>
        <v>696</v>
      </c>
      <c r="C717" s="374" t="str">
        <f t="shared" si="82"/>
        <v/>
      </c>
      <c r="D717" s="784" t="str">
        <f t="shared" si="83"/>
        <v/>
      </c>
      <c r="E717" s="784" t="str">
        <f t="shared" si="84"/>
        <v/>
      </c>
      <c r="F717" s="785" t="str">
        <f t="shared" si="85"/>
        <v/>
      </c>
      <c r="G717" s="784" t="str">
        <f t="shared" si="80"/>
        <v/>
      </c>
      <c r="Y717" s="663" t="str">
        <f>IF(C717="","",('transversal subsidence profile'!$L$5*EXP(-(C717^2)/(2*'transversal subsidence profile'!$J$5^2)))*100)</f>
        <v/>
      </c>
      <c r="Z717" s="664" t="str">
        <f>IF(C717="","",(+'transversal subsidence profile'!$L$6*EXP(-((C717+$G$10)^2)/(2*'transversal subsidence profile'!$J$6^2)))*100)</f>
        <v/>
      </c>
      <c r="AA717" s="751" t="str">
        <f>IF(C717="","",IF('IN-OUT'!$F$26=0,'Damage classification-Rankin'!Z717,IF('IN-OUT'!$F$35=0,Y717,'Damage classification-Rankin'!Y717+'Damage classification-Rankin'!Z717)))</f>
        <v/>
      </c>
    </row>
    <row r="718" spans="1:27" ht="13.8" thickBot="1">
      <c r="A718" s="67"/>
      <c r="B718" s="655">
        <f t="shared" si="81"/>
        <v>697</v>
      </c>
      <c r="C718" s="374" t="str">
        <f t="shared" si="82"/>
        <v/>
      </c>
      <c r="D718" s="784" t="str">
        <f t="shared" si="83"/>
        <v/>
      </c>
      <c r="E718" s="784" t="str">
        <f t="shared" si="84"/>
        <v/>
      </c>
      <c r="F718" s="785" t="str">
        <f t="shared" si="85"/>
        <v/>
      </c>
      <c r="G718" s="784" t="str">
        <f t="shared" si="80"/>
        <v/>
      </c>
      <c r="Y718" s="663" t="str">
        <f>IF(C718="","",('transversal subsidence profile'!$L$5*EXP(-(C718^2)/(2*'transversal subsidence profile'!$J$5^2)))*100)</f>
        <v/>
      </c>
      <c r="Z718" s="664" t="str">
        <f>IF(C718="","",(+'transversal subsidence profile'!$L$6*EXP(-((C718+$G$10)^2)/(2*'transversal subsidence profile'!$J$6^2)))*100)</f>
        <v/>
      </c>
      <c r="AA718" s="751" t="str">
        <f>IF(C718="","",IF('IN-OUT'!$F$26=0,'Damage classification-Rankin'!Z718,IF('IN-OUT'!$F$35=0,Y718,'Damage classification-Rankin'!Y718+'Damage classification-Rankin'!Z718)))</f>
        <v/>
      </c>
    </row>
    <row r="719" spans="1:27" ht="13.8" thickBot="1">
      <c r="A719" s="67"/>
      <c r="B719" s="655">
        <f t="shared" si="81"/>
        <v>698</v>
      </c>
      <c r="C719" s="374" t="str">
        <f t="shared" si="82"/>
        <v/>
      </c>
      <c r="D719" s="784" t="str">
        <f t="shared" si="83"/>
        <v/>
      </c>
      <c r="E719" s="784" t="str">
        <f t="shared" si="84"/>
        <v/>
      </c>
      <c r="F719" s="785" t="str">
        <f t="shared" si="85"/>
        <v/>
      </c>
      <c r="G719" s="784" t="str">
        <f t="shared" si="80"/>
        <v/>
      </c>
      <c r="Y719" s="663" t="str">
        <f>IF(C719="","",('transversal subsidence profile'!$L$5*EXP(-(C719^2)/(2*'transversal subsidence profile'!$J$5^2)))*100)</f>
        <v/>
      </c>
      <c r="Z719" s="664" t="str">
        <f>IF(C719="","",(+'transversal subsidence profile'!$L$6*EXP(-((C719+$G$10)^2)/(2*'transversal subsidence profile'!$J$6^2)))*100)</f>
        <v/>
      </c>
      <c r="AA719" s="751" t="str">
        <f>IF(C719="","",IF('IN-OUT'!$F$26=0,'Damage classification-Rankin'!Z719,IF('IN-OUT'!$F$35=0,Y719,'Damage classification-Rankin'!Y719+'Damage classification-Rankin'!Z719)))</f>
        <v/>
      </c>
    </row>
    <row r="720" spans="1:27" ht="13.8" thickBot="1">
      <c r="A720" s="67"/>
      <c r="B720" s="655">
        <f t="shared" si="81"/>
        <v>699</v>
      </c>
      <c r="C720" s="374" t="str">
        <f t="shared" si="82"/>
        <v/>
      </c>
      <c r="D720" s="784" t="str">
        <f t="shared" si="83"/>
        <v/>
      </c>
      <c r="E720" s="784" t="str">
        <f t="shared" si="84"/>
        <v/>
      </c>
      <c r="F720" s="785" t="str">
        <f t="shared" si="85"/>
        <v/>
      </c>
      <c r="G720" s="784" t="str">
        <f t="shared" si="80"/>
        <v/>
      </c>
      <c r="Y720" s="663" t="str">
        <f>IF(C720="","",('transversal subsidence profile'!$L$5*EXP(-(C720^2)/(2*'transversal subsidence profile'!$J$5^2)))*100)</f>
        <v/>
      </c>
      <c r="Z720" s="664" t="str">
        <f>IF(C720="","",(+'transversal subsidence profile'!$L$6*EXP(-((C720+$G$10)^2)/(2*'transversal subsidence profile'!$J$6^2)))*100)</f>
        <v/>
      </c>
      <c r="AA720" s="751" t="str">
        <f>IF(C720="","",IF('IN-OUT'!$F$26=0,'Damage classification-Rankin'!Z720,IF('IN-OUT'!$F$35=0,Y720,'Damage classification-Rankin'!Y720+'Damage classification-Rankin'!Z720)))</f>
        <v/>
      </c>
    </row>
    <row r="721" spans="1:27" ht="13.8" thickBot="1">
      <c r="A721" s="67"/>
      <c r="B721" s="655">
        <f t="shared" si="81"/>
        <v>700</v>
      </c>
      <c r="C721" s="374" t="str">
        <f t="shared" si="82"/>
        <v/>
      </c>
      <c r="D721" s="784" t="str">
        <f t="shared" si="83"/>
        <v/>
      </c>
      <c r="E721" s="784" t="str">
        <f t="shared" si="84"/>
        <v/>
      </c>
      <c r="F721" s="785" t="str">
        <f t="shared" si="85"/>
        <v/>
      </c>
      <c r="G721" s="784" t="str">
        <f t="shared" si="80"/>
        <v/>
      </c>
      <c r="Y721" s="663" t="str">
        <f>IF(C721="","",('transversal subsidence profile'!$L$5*EXP(-(C721^2)/(2*'transversal subsidence profile'!$J$5^2)))*100)</f>
        <v/>
      </c>
      <c r="Z721" s="664" t="str">
        <f>IF(C721="","",(+'transversal subsidence profile'!$L$6*EXP(-((C721+$G$10)^2)/(2*'transversal subsidence profile'!$J$6^2)))*100)</f>
        <v/>
      </c>
      <c r="AA721" s="751" t="str">
        <f>IF(C721="","",IF('IN-OUT'!$F$26=0,'Damage classification-Rankin'!Z721,IF('IN-OUT'!$F$35=0,Y721,'Damage classification-Rankin'!Y721+'Damage classification-Rankin'!Z721)))</f>
        <v/>
      </c>
    </row>
    <row r="722" spans="1:27" ht="13.8" thickBot="1">
      <c r="A722" s="67"/>
      <c r="B722" s="655">
        <f t="shared" si="81"/>
        <v>701</v>
      </c>
      <c r="C722" s="374" t="str">
        <f t="shared" si="82"/>
        <v/>
      </c>
      <c r="D722" s="784" t="str">
        <f t="shared" si="83"/>
        <v/>
      </c>
      <c r="E722" s="784" t="str">
        <f t="shared" si="84"/>
        <v/>
      </c>
      <c r="F722" s="785" t="str">
        <f t="shared" si="85"/>
        <v/>
      </c>
      <c r="G722" s="784" t="str">
        <f t="shared" si="80"/>
        <v/>
      </c>
      <c r="Y722" s="663" t="str">
        <f>IF(C722="","",('transversal subsidence profile'!$L$5*EXP(-(C722^2)/(2*'transversal subsidence profile'!$J$5^2)))*100)</f>
        <v/>
      </c>
      <c r="Z722" s="664" t="str">
        <f>IF(C722="","",(+'transversal subsidence profile'!$L$6*EXP(-((C722+$G$10)^2)/(2*'transversal subsidence profile'!$J$6^2)))*100)</f>
        <v/>
      </c>
      <c r="AA722" s="751" t="str">
        <f>IF(C722="","",IF('IN-OUT'!$F$26=0,'Damage classification-Rankin'!Z722,IF('IN-OUT'!$F$35=0,Y722,'Damage classification-Rankin'!Y722+'Damage classification-Rankin'!Z722)))</f>
        <v/>
      </c>
    </row>
    <row r="723" spans="1:27" ht="13.8" thickBot="1">
      <c r="A723" s="67"/>
      <c r="B723" s="655">
        <f t="shared" si="81"/>
        <v>702</v>
      </c>
      <c r="C723" s="374" t="str">
        <f t="shared" si="82"/>
        <v/>
      </c>
      <c r="D723" s="784" t="str">
        <f t="shared" si="83"/>
        <v/>
      </c>
      <c r="E723" s="784" t="str">
        <f t="shared" si="84"/>
        <v/>
      </c>
      <c r="F723" s="785" t="str">
        <f t="shared" si="85"/>
        <v/>
      </c>
      <c r="G723" s="784" t="str">
        <f t="shared" si="80"/>
        <v/>
      </c>
      <c r="Y723" s="663" t="str">
        <f>IF(C723="","",('transversal subsidence profile'!$L$5*EXP(-(C723^2)/(2*'transversal subsidence profile'!$J$5^2)))*100)</f>
        <v/>
      </c>
      <c r="Z723" s="664" t="str">
        <f>IF(C723="","",(+'transversal subsidence profile'!$L$6*EXP(-((C723+$G$10)^2)/(2*'transversal subsidence profile'!$J$6^2)))*100)</f>
        <v/>
      </c>
      <c r="AA723" s="751" t="str">
        <f>IF(C723="","",IF('IN-OUT'!$F$26=0,'Damage classification-Rankin'!Z723,IF('IN-OUT'!$F$35=0,Y723,'Damage classification-Rankin'!Y723+'Damage classification-Rankin'!Z723)))</f>
        <v/>
      </c>
    </row>
    <row r="724" spans="1:27" ht="13.8" thickBot="1">
      <c r="A724" s="67"/>
      <c r="B724" s="655">
        <f t="shared" si="81"/>
        <v>703</v>
      </c>
      <c r="C724" s="374" t="str">
        <f t="shared" si="82"/>
        <v/>
      </c>
      <c r="D724" s="784" t="str">
        <f t="shared" si="83"/>
        <v/>
      </c>
      <c r="E724" s="784" t="str">
        <f t="shared" si="84"/>
        <v/>
      </c>
      <c r="F724" s="785" t="str">
        <f t="shared" si="85"/>
        <v/>
      </c>
      <c r="G724" s="784" t="str">
        <f t="shared" si="80"/>
        <v/>
      </c>
      <c r="Y724" s="663" t="str">
        <f>IF(C724="","",('transversal subsidence profile'!$L$5*EXP(-(C724^2)/(2*'transversal subsidence profile'!$J$5^2)))*100)</f>
        <v/>
      </c>
      <c r="Z724" s="664" t="str">
        <f>IF(C724="","",(+'transversal subsidence profile'!$L$6*EXP(-((C724+$G$10)^2)/(2*'transversal subsidence profile'!$J$6^2)))*100)</f>
        <v/>
      </c>
      <c r="AA724" s="751" t="str">
        <f>IF(C724="","",IF('IN-OUT'!$F$26=0,'Damage classification-Rankin'!Z724,IF('IN-OUT'!$F$35=0,Y724,'Damage classification-Rankin'!Y724+'Damage classification-Rankin'!Z724)))</f>
        <v/>
      </c>
    </row>
    <row r="725" spans="1:27" ht="13.8" thickBot="1">
      <c r="A725" s="67"/>
      <c r="B725" s="655">
        <f t="shared" si="81"/>
        <v>704</v>
      </c>
      <c r="C725" s="374" t="str">
        <f t="shared" si="82"/>
        <v/>
      </c>
      <c r="D725" s="784" t="str">
        <f t="shared" si="83"/>
        <v/>
      </c>
      <c r="E725" s="784" t="str">
        <f t="shared" si="84"/>
        <v/>
      </c>
      <c r="F725" s="785" t="str">
        <f t="shared" si="85"/>
        <v/>
      </c>
      <c r="G725" s="784" t="str">
        <f t="shared" si="80"/>
        <v/>
      </c>
      <c r="Y725" s="663" t="str">
        <f>IF(C725="","",('transversal subsidence profile'!$L$5*EXP(-(C725^2)/(2*'transversal subsidence profile'!$J$5^2)))*100)</f>
        <v/>
      </c>
      <c r="Z725" s="664" t="str">
        <f>IF(C725="","",(+'transversal subsidence profile'!$L$6*EXP(-((C725+$G$10)^2)/(2*'transversal subsidence profile'!$J$6^2)))*100)</f>
        <v/>
      </c>
      <c r="AA725" s="751" t="str">
        <f>IF(C725="","",IF('IN-OUT'!$F$26=0,'Damage classification-Rankin'!Z725,IF('IN-OUT'!$F$35=0,Y725,'Damage classification-Rankin'!Y725+'Damage classification-Rankin'!Z725)))</f>
        <v/>
      </c>
    </row>
    <row r="726" spans="1:27" ht="13.8" thickBot="1">
      <c r="A726" s="67"/>
      <c r="B726" s="655">
        <f t="shared" si="81"/>
        <v>705</v>
      </c>
      <c r="C726" s="374" t="str">
        <f t="shared" si="82"/>
        <v/>
      </c>
      <c r="D726" s="784" t="str">
        <f t="shared" si="83"/>
        <v/>
      </c>
      <c r="E726" s="784" t="str">
        <f t="shared" si="84"/>
        <v/>
      </c>
      <c r="F726" s="785" t="str">
        <f t="shared" si="85"/>
        <v/>
      </c>
      <c r="G726" s="784" t="str">
        <f t="shared" si="80"/>
        <v/>
      </c>
      <c r="Y726" s="663" t="str">
        <f>IF(C726="","",('transversal subsidence profile'!$L$5*EXP(-(C726^2)/(2*'transversal subsidence profile'!$J$5^2)))*100)</f>
        <v/>
      </c>
      <c r="Z726" s="664" t="str">
        <f>IF(C726="","",(+'transversal subsidence profile'!$L$6*EXP(-((C726+$G$10)^2)/(2*'transversal subsidence profile'!$J$6^2)))*100)</f>
        <v/>
      </c>
      <c r="AA726" s="751" t="str">
        <f>IF(C726="","",IF('IN-OUT'!$F$26=0,'Damage classification-Rankin'!Z726,IF('IN-OUT'!$F$35=0,Y726,'Damage classification-Rankin'!Y726+'Damage classification-Rankin'!Z726)))</f>
        <v/>
      </c>
    </row>
    <row r="727" spans="1:27" ht="13.8" thickBot="1">
      <c r="A727" s="67"/>
      <c r="B727" s="655">
        <f t="shared" si="81"/>
        <v>706</v>
      </c>
      <c r="C727" s="374" t="str">
        <f t="shared" si="82"/>
        <v/>
      </c>
      <c r="D727" s="784" t="str">
        <f t="shared" si="83"/>
        <v/>
      </c>
      <c r="E727" s="784" t="str">
        <f t="shared" si="84"/>
        <v/>
      </c>
      <c r="F727" s="785" t="str">
        <f t="shared" si="85"/>
        <v/>
      </c>
      <c r="G727" s="784" t="str">
        <f t="shared" si="80"/>
        <v/>
      </c>
      <c r="Y727" s="663" t="str">
        <f>IF(C727="","",('transversal subsidence profile'!$L$5*EXP(-(C727^2)/(2*'transversal subsidence profile'!$J$5^2)))*100)</f>
        <v/>
      </c>
      <c r="Z727" s="664" t="str">
        <f>IF(C727="","",(+'transversal subsidence profile'!$L$6*EXP(-((C727+$G$10)^2)/(2*'transversal subsidence profile'!$J$6^2)))*100)</f>
        <v/>
      </c>
      <c r="AA727" s="751" t="str">
        <f>IF(C727="","",IF('IN-OUT'!$F$26=0,'Damage classification-Rankin'!Z727,IF('IN-OUT'!$F$35=0,Y727,'Damage classification-Rankin'!Y727+'Damage classification-Rankin'!Z727)))</f>
        <v/>
      </c>
    </row>
    <row r="728" spans="1:27" ht="13.8" thickBot="1">
      <c r="A728" s="67"/>
      <c r="B728" s="655">
        <f t="shared" si="81"/>
        <v>707</v>
      </c>
      <c r="C728" s="374" t="str">
        <f t="shared" si="82"/>
        <v/>
      </c>
      <c r="D728" s="784" t="str">
        <f t="shared" si="83"/>
        <v/>
      </c>
      <c r="E728" s="784" t="str">
        <f t="shared" si="84"/>
        <v/>
      </c>
      <c r="F728" s="785" t="str">
        <f t="shared" si="85"/>
        <v/>
      </c>
      <c r="G728" s="784" t="str">
        <f t="shared" ref="G728:G791" si="86">IF(C728="","",IF(ABS(C727-C728)&lt;($C$19-0.0001),"",$C$20+E728))</f>
        <v/>
      </c>
      <c r="Y728" s="663" t="str">
        <f>IF(C728="","",('transversal subsidence profile'!$L$5*EXP(-(C728^2)/(2*'transversal subsidence profile'!$J$5^2)))*100)</f>
        <v/>
      </c>
      <c r="Z728" s="664" t="str">
        <f>IF(C728="","",(+'transversal subsidence profile'!$L$6*EXP(-((C728+$G$10)^2)/(2*'transversal subsidence profile'!$J$6^2)))*100)</f>
        <v/>
      </c>
      <c r="AA728" s="751" t="str">
        <f>IF(C728="","",IF('IN-OUT'!$F$26=0,'Damage classification-Rankin'!Z728,IF('IN-OUT'!$F$35=0,Y728,'Damage classification-Rankin'!Y728+'Damage classification-Rankin'!Z728)))</f>
        <v/>
      </c>
    </row>
    <row r="729" spans="1:27" ht="13.8" thickBot="1">
      <c r="A729" s="67"/>
      <c r="B729" s="655">
        <f t="shared" si="81"/>
        <v>708</v>
      </c>
      <c r="C729" s="374" t="str">
        <f t="shared" si="82"/>
        <v/>
      </c>
      <c r="D729" s="784" t="str">
        <f t="shared" si="83"/>
        <v/>
      </c>
      <c r="E729" s="784" t="str">
        <f t="shared" si="84"/>
        <v/>
      </c>
      <c r="F729" s="785" t="str">
        <f t="shared" si="85"/>
        <v/>
      </c>
      <c r="G729" s="784" t="str">
        <f t="shared" si="86"/>
        <v/>
      </c>
      <c r="Y729" s="663" t="str">
        <f>IF(C729="","",('transversal subsidence profile'!$L$5*EXP(-(C729^2)/(2*'transversal subsidence profile'!$J$5^2)))*100)</f>
        <v/>
      </c>
      <c r="Z729" s="664" t="str">
        <f>IF(C729="","",(+'transversal subsidence profile'!$L$6*EXP(-((C729+$G$10)^2)/(2*'transversal subsidence profile'!$J$6^2)))*100)</f>
        <v/>
      </c>
      <c r="AA729" s="751" t="str">
        <f>IF(C729="","",IF('IN-OUT'!$F$26=0,'Damage classification-Rankin'!Z729,IF('IN-OUT'!$F$35=0,Y729,'Damage classification-Rankin'!Y729+'Damage classification-Rankin'!Z729)))</f>
        <v/>
      </c>
    </row>
    <row r="730" spans="1:27" ht="13.8" thickBot="1">
      <c r="A730" s="67"/>
      <c r="B730" s="655">
        <f t="shared" si="81"/>
        <v>709</v>
      </c>
      <c r="C730" s="374" t="str">
        <f t="shared" si="82"/>
        <v/>
      </c>
      <c r="D730" s="784" t="str">
        <f t="shared" si="83"/>
        <v/>
      </c>
      <c r="E730" s="784" t="str">
        <f t="shared" si="84"/>
        <v/>
      </c>
      <c r="F730" s="785" t="str">
        <f t="shared" si="85"/>
        <v/>
      </c>
      <c r="G730" s="784" t="str">
        <f t="shared" si="86"/>
        <v/>
      </c>
      <c r="Y730" s="663" t="str">
        <f>IF(C730="","",('transversal subsidence profile'!$L$5*EXP(-(C730^2)/(2*'transversal subsidence profile'!$J$5^2)))*100)</f>
        <v/>
      </c>
      <c r="Z730" s="664" t="str">
        <f>IF(C730="","",(+'transversal subsidence profile'!$L$6*EXP(-((C730+$G$10)^2)/(2*'transversal subsidence profile'!$J$6^2)))*100)</f>
        <v/>
      </c>
      <c r="AA730" s="751" t="str">
        <f>IF(C730="","",IF('IN-OUT'!$F$26=0,'Damage classification-Rankin'!Z730,IF('IN-OUT'!$F$35=0,Y730,'Damage classification-Rankin'!Y730+'Damage classification-Rankin'!Z730)))</f>
        <v/>
      </c>
    </row>
    <row r="731" spans="1:27" ht="13.8" thickBot="1">
      <c r="A731" s="67"/>
      <c r="B731" s="655">
        <f t="shared" si="81"/>
        <v>710</v>
      </c>
      <c r="C731" s="374" t="str">
        <f t="shared" si="82"/>
        <v/>
      </c>
      <c r="D731" s="784" t="str">
        <f t="shared" si="83"/>
        <v/>
      </c>
      <c r="E731" s="784" t="str">
        <f t="shared" si="84"/>
        <v/>
      </c>
      <c r="F731" s="785" t="str">
        <f t="shared" si="85"/>
        <v/>
      </c>
      <c r="G731" s="784" t="str">
        <f t="shared" si="86"/>
        <v/>
      </c>
      <c r="Y731" s="663" t="str">
        <f>IF(C731="","",('transversal subsidence profile'!$L$5*EXP(-(C731^2)/(2*'transversal subsidence profile'!$J$5^2)))*100)</f>
        <v/>
      </c>
      <c r="Z731" s="664" t="str">
        <f>IF(C731="","",(+'transversal subsidence profile'!$L$6*EXP(-((C731+$G$10)^2)/(2*'transversal subsidence profile'!$J$6^2)))*100)</f>
        <v/>
      </c>
      <c r="AA731" s="751" t="str">
        <f>IF(C731="","",IF('IN-OUT'!$F$26=0,'Damage classification-Rankin'!Z731,IF('IN-OUT'!$F$35=0,Y731,'Damage classification-Rankin'!Y731+'Damage classification-Rankin'!Z731)))</f>
        <v/>
      </c>
    </row>
    <row r="732" spans="1:27" ht="13.8" thickBot="1">
      <c r="A732" s="67"/>
      <c r="B732" s="655">
        <f t="shared" si="81"/>
        <v>711</v>
      </c>
      <c r="C732" s="374" t="str">
        <f t="shared" si="82"/>
        <v/>
      </c>
      <c r="D732" s="784" t="str">
        <f t="shared" si="83"/>
        <v/>
      </c>
      <c r="E732" s="784" t="str">
        <f t="shared" si="84"/>
        <v/>
      </c>
      <c r="F732" s="785" t="str">
        <f t="shared" si="85"/>
        <v/>
      </c>
      <c r="G732" s="784" t="str">
        <f t="shared" si="86"/>
        <v/>
      </c>
      <c r="Y732" s="663" t="str">
        <f>IF(C732="","",('transversal subsidence profile'!$L$5*EXP(-(C732^2)/(2*'transversal subsidence profile'!$J$5^2)))*100)</f>
        <v/>
      </c>
      <c r="Z732" s="664" t="str">
        <f>IF(C732="","",(+'transversal subsidence profile'!$L$6*EXP(-((C732+$G$10)^2)/(2*'transversal subsidence profile'!$J$6^2)))*100)</f>
        <v/>
      </c>
      <c r="AA732" s="751" t="str">
        <f>IF(C732="","",IF('IN-OUT'!$F$26=0,'Damage classification-Rankin'!Z732,IF('IN-OUT'!$F$35=0,Y732,'Damage classification-Rankin'!Y732+'Damage classification-Rankin'!Z732)))</f>
        <v/>
      </c>
    </row>
    <row r="733" spans="1:27" ht="13.8" thickBot="1">
      <c r="A733" s="67"/>
      <c r="B733" s="655">
        <f t="shared" si="81"/>
        <v>712</v>
      </c>
      <c r="C733" s="374" t="str">
        <f t="shared" si="82"/>
        <v/>
      </c>
      <c r="D733" s="784" t="str">
        <f t="shared" si="83"/>
        <v/>
      </c>
      <c r="E733" s="784" t="str">
        <f t="shared" si="84"/>
        <v/>
      </c>
      <c r="F733" s="785" t="str">
        <f t="shared" si="85"/>
        <v/>
      </c>
      <c r="G733" s="784" t="str">
        <f t="shared" si="86"/>
        <v/>
      </c>
      <c r="Y733" s="663" t="str">
        <f>IF(C733="","",('transversal subsidence profile'!$L$5*EXP(-(C733^2)/(2*'transversal subsidence profile'!$J$5^2)))*100)</f>
        <v/>
      </c>
      <c r="Z733" s="664" t="str">
        <f>IF(C733="","",(+'transversal subsidence profile'!$L$6*EXP(-((C733+$G$10)^2)/(2*'transversal subsidence profile'!$J$6^2)))*100)</f>
        <v/>
      </c>
      <c r="AA733" s="751" t="str">
        <f>IF(C733="","",IF('IN-OUT'!$F$26=0,'Damage classification-Rankin'!Z733,IF('IN-OUT'!$F$35=0,Y733,'Damage classification-Rankin'!Y733+'Damage classification-Rankin'!Z733)))</f>
        <v/>
      </c>
    </row>
    <row r="734" spans="1:27" ht="13.8" thickBot="1">
      <c r="A734" s="67"/>
      <c r="B734" s="655">
        <f t="shared" si="81"/>
        <v>713</v>
      </c>
      <c r="C734" s="374" t="str">
        <f t="shared" si="82"/>
        <v/>
      </c>
      <c r="D734" s="784" t="str">
        <f t="shared" si="83"/>
        <v/>
      </c>
      <c r="E734" s="784" t="str">
        <f t="shared" si="84"/>
        <v/>
      </c>
      <c r="F734" s="785" t="str">
        <f t="shared" si="85"/>
        <v/>
      </c>
      <c r="G734" s="784" t="str">
        <f t="shared" si="86"/>
        <v/>
      </c>
      <c r="Y734" s="663" t="str">
        <f>IF(C734="","",('transversal subsidence profile'!$L$5*EXP(-(C734^2)/(2*'transversal subsidence profile'!$J$5^2)))*100)</f>
        <v/>
      </c>
      <c r="Z734" s="664" t="str">
        <f>IF(C734="","",(+'transversal subsidence profile'!$L$6*EXP(-((C734+$G$10)^2)/(2*'transversal subsidence profile'!$J$6^2)))*100)</f>
        <v/>
      </c>
      <c r="AA734" s="751" t="str">
        <f>IF(C734="","",IF('IN-OUT'!$F$26=0,'Damage classification-Rankin'!Z734,IF('IN-OUT'!$F$35=0,Y734,'Damage classification-Rankin'!Y734+'Damage classification-Rankin'!Z734)))</f>
        <v/>
      </c>
    </row>
    <row r="735" spans="1:27" ht="13.8" thickBot="1">
      <c r="A735" s="67"/>
      <c r="B735" s="655">
        <f t="shared" si="81"/>
        <v>714</v>
      </c>
      <c r="C735" s="374" t="str">
        <f t="shared" si="82"/>
        <v/>
      </c>
      <c r="D735" s="784" t="str">
        <f t="shared" si="83"/>
        <v/>
      </c>
      <c r="E735" s="784" t="str">
        <f t="shared" si="84"/>
        <v/>
      </c>
      <c r="F735" s="785" t="str">
        <f t="shared" si="85"/>
        <v/>
      </c>
      <c r="G735" s="784" t="str">
        <f t="shared" si="86"/>
        <v/>
      </c>
      <c r="Y735" s="663" t="str">
        <f>IF(C735="","",('transversal subsidence profile'!$L$5*EXP(-(C735^2)/(2*'transversal subsidence profile'!$J$5^2)))*100)</f>
        <v/>
      </c>
      <c r="Z735" s="664" t="str">
        <f>IF(C735="","",(+'transversal subsidence profile'!$L$6*EXP(-((C735+$G$10)^2)/(2*'transversal subsidence profile'!$J$6^2)))*100)</f>
        <v/>
      </c>
      <c r="AA735" s="751" t="str">
        <f>IF(C735="","",IF('IN-OUT'!$F$26=0,'Damage classification-Rankin'!Z735,IF('IN-OUT'!$F$35=0,Y735,'Damage classification-Rankin'!Y735+'Damage classification-Rankin'!Z735)))</f>
        <v/>
      </c>
    </row>
    <row r="736" spans="1:27" ht="13.8" thickBot="1">
      <c r="A736" s="67"/>
      <c r="B736" s="655">
        <f t="shared" si="81"/>
        <v>715</v>
      </c>
      <c r="C736" s="374" t="str">
        <f t="shared" si="82"/>
        <v/>
      </c>
      <c r="D736" s="784" t="str">
        <f t="shared" si="83"/>
        <v/>
      </c>
      <c r="E736" s="784" t="str">
        <f t="shared" si="84"/>
        <v/>
      </c>
      <c r="F736" s="785" t="str">
        <f t="shared" si="85"/>
        <v/>
      </c>
      <c r="G736" s="784" t="str">
        <f t="shared" si="86"/>
        <v/>
      </c>
      <c r="Y736" s="663" t="str">
        <f>IF(C736="","",('transversal subsidence profile'!$L$5*EXP(-(C736^2)/(2*'transversal subsidence profile'!$J$5^2)))*100)</f>
        <v/>
      </c>
      <c r="Z736" s="664" t="str">
        <f>IF(C736="","",(+'transversal subsidence profile'!$L$6*EXP(-((C736+$G$10)^2)/(2*'transversal subsidence profile'!$J$6^2)))*100)</f>
        <v/>
      </c>
      <c r="AA736" s="751" t="str">
        <f>IF(C736="","",IF('IN-OUT'!$F$26=0,'Damage classification-Rankin'!Z736,IF('IN-OUT'!$F$35=0,Y736,'Damage classification-Rankin'!Y736+'Damage classification-Rankin'!Z736)))</f>
        <v/>
      </c>
    </row>
    <row r="737" spans="1:27" ht="13.8" thickBot="1">
      <c r="A737" s="67"/>
      <c r="B737" s="655">
        <f t="shared" si="81"/>
        <v>716</v>
      </c>
      <c r="C737" s="374" t="str">
        <f t="shared" si="82"/>
        <v/>
      </c>
      <c r="D737" s="784" t="str">
        <f t="shared" si="83"/>
        <v/>
      </c>
      <c r="E737" s="784" t="str">
        <f t="shared" si="84"/>
        <v/>
      </c>
      <c r="F737" s="785" t="str">
        <f t="shared" si="85"/>
        <v/>
      </c>
      <c r="G737" s="784" t="str">
        <f t="shared" si="86"/>
        <v/>
      </c>
      <c r="Y737" s="663" t="str">
        <f>IF(C737="","",('transversal subsidence profile'!$L$5*EXP(-(C737^2)/(2*'transversal subsidence profile'!$J$5^2)))*100)</f>
        <v/>
      </c>
      <c r="Z737" s="664" t="str">
        <f>IF(C737="","",(+'transversal subsidence profile'!$L$6*EXP(-((C737+$G$10)^2)/(2*'transversal subsidence profile'!$J$6^2)))*100)</f>
        <v/>
      </c>
      <c r="AA737" s="751" t="str">
        <f>IF(C737="","",IF('IN-OUT'!$F$26=0,'Damage classification-Rankin'!Z737,IF('IN-OUT'!$F$35=0,Y737,'Damage classification-Rankin'!Y737+'Damage classification-Rankin'!Z737)))</f>
        <v/>
      </c>
    </row>
    <row r="738" spans="1:27" ht="13.8" thickBot="1">
      <c r="A738" s="67"/>
      <c r="B738" s="655">
        <f t="shared" si="81"/>
        <v>717</v>
      </c>
      <c r="C738" s="374" t="str">
        <f t="shared" si="82"/>
        <v/>
      </c>
      <c r="D738" s="784" t="str">
        <f t="shared" si="83"/>
        <v/>
      </c>
      <c r="E738" s="784" t="str">
        <f t="shared" si="84"/>
        <v/>
      </c>
      <c r="F738" s="785" t="str">
        <f t="shared" si="85"/>
        <v/>
      </c>
      <c r="G738" s="784" t="str">
        <f t="shared" si="86"/>
        <v/>
      </c>
      <c r="Y738" s="663" t="str">
        <f>IF(C738="","",('transversal subsidence profile'!$L$5*EXP(-(C738^2)/(2*'transversal subsidence profile'!$J$5^2)))*100)</f>
        <v/>
      </c>
      <c r="Z738" s="664" t="str">
        <f>IF(C738="","",(+'transversal subsidence profile'!$L$6*EXP(-((C738+$G$10)^2)/(2*'transversal subsidence profile'!$J$6^2)))*100)</f>
        <v/>
      </c>
      <c r="AA738" s="751" t="str">
        <f>IF(C738="","",IF('IN-OUT'!$F$26=0,'Damage classification-Rankin'!Z738,IF('IN-OUT'!$F$35=0,Y738,'Damage classification-Rankin'!Y738+'Damage classification-Rankin'!Z738)))</f>
        <v/>
      </c>
    </row>
    <row r="739" spans="1:27" ht="13.8" thickBot="1">
      <c r="A739" s="67"/>
      <c r="B739" s="655">
        <f t="shared" si="81"/>
        <v>718</v>
      </c>
      <c r="C739" s="374" t="str">
        <f t="shared" si="82"/>
        <v/>
      </c>
      <c r="D739" s="784" t="str">
        <f t="shared" si="83"/>
        <v/>
      </c>
      <c r="E739" s="784" t="str">
        <f t="shared" si="84"/>
        <v/>
      </c>
      <c r="F739" s="785" t="str">
        <f t="shared" si="85"/>
        <v/>
      </c>
      <c r="G739" s="784" t="str">
        <f t="shared" si="86"/>
        <v/>
      </c>
      <c r="Y739" s="663" t="str">
        <f>IF(C739="","",('transversal subsidence profile'!$L$5*EXP(-(C739^2)/(2*'transversal subsidence profile'!$J$5^2)))*100)</f>
        <v/>
      </c>
      <c r="Z739" s="664" t="str">
        <f>IF(C739="","",(+'transversal subsidence profile'!$L$6*EXP(-((C739+$G$10)^2)/(2*'transversal subsidence profile'!$J$6^2)))*100)</f>
        <v/>
      </c>
      <c r="AA739" s="751" t="str">
        <f>IF(C739="","",IF('IN-OUT'!$F$26=0,'Damage classification-Rankin'!Z739,IF('IN-OUT'!$F$35=0,Y739,'Damage classification-Rankin'!Y739+'Damage classification-Rankin'!Z739)))</f>
        <v/>
      </c>
    </row>
    <row r="740" spans="1:27" ht="13.8" thickBot="1">
      <c r="A740" s="67"/>
      <c r="B740" s="655">
        <f t="shared" si="81"/>
        <v>719</v>
      </c>
      <c r="C740" s="374" t="str">
        <f t="shared" si="82"/>
        <v/>
      </c>
      <c r="D740" s="784" t="str">
        <f t="shared" si="83"/>
        <v/>
      </c>
      <c r="E740" s="784" t="str">
        <f t="shared" si="84"/>
        <v/>
      </c>
      <c r="F740" s="785" t="str">
        <f t="shared" si="85"/>
        <v/>
      </c>
      <c r="G740" s="784" t="str">
        <f t="shared" si="86"/>
        <v/>
      </c>
      <c r="Y740" s="663" t="str">
        <f>IF(C740="","",('transversal subsidence profile'!$L$5*EXP(-(C740^2)/(2*'transversal subsidence profile'!$J$5^2)))*100)</f>
        <v/>
      </c>
      <c r="Z740" s="664" t="str">
        <f>IF(C740="","",(+'transversal subsidence profile'!$L$6*EXP(-((C740+$G$10)^2)/(2*'transversal subsidence profile'!$J$6^2)))*100)</f>
        <v/>
      </c>
      <c r="AA740" s="751" t="str">
        <f>IF(C740="","",IF('IN-OUT'!$F$26=0,'Damage classification-Rankin'!Z740,IF('IN-OUT'!$F$35=0,Y740,'Damage classification-Rankin'!Y740+'Damage classification-Rankin'!Z740)))</f>
        <v/>
      </c>
    </row>
    <row r="741" spans="1:27" ht="13.8" thickBot="1">
      <c r="A741" s="67"/>
      <c r="B741" s="655">
        <f t="shared" si="81"/>
        <v>720</v>
      </c>
      <c r="C741" s="374" t="str">
        <f t="shared" si="82"/>
        <v/>
      </c>
      <c r="D741" s="784" t="str">
        <f t="shared" si="83"/>
        <v/>
      </c>
      <c r="E741" s="784" t="str">
        <f t="shared" si="84"/>
        <v/>
      </c>
      <c r="F741" s="785" t="str">
        <f t="shared" si="85"/>
        <v/>
      </c>
      <c r="G741" s="784" t="str">
        <f t="shared" si="86"/>
        <v/>
      </c>
      <c r="Y741" s="663" t="str">
        <f>IF(C741="","",('transversal subsidence profile'!$L$5*EXP(-(C741^2)/(2*'transversal subsidence profile'!$J$5^2)))*100)</f>
        <v/>
      </c>
      <c r="Z741" s="664" t="str">
        <f>IF(C741="","",(+'transversal subsidence profile'!$L$6*EXP(-((C741+$G$10)^2)/(2*'transversal subsidence profile'!$J$6^2)))*100)</f>
        <v/>
      </c>
      <c r="AA741" s="751" t="str">
        <f>IF(C741="","",IF('IN-OUT'!$F$26=0,'Damage classification-Rankin'!Z741,IF('IN-OUT'!$F$35=0,Y741,'Damage classification-Rankin'!Y741+'Damage classification-Rankin'!Z741)))</f>
        <v/>
      </c>
    </row>
    <row r="742" spans="1:27" ht="13.8" thickBot="1">
      <c r="A742" s="67"/>
      <c r="B742" s="655">
        <f t="shared" si="81"/>
        <v>721</v>
      </c>
      <c r="C742" s="374" t="str">
        <f t="shared" si="82"/>
        <v/>
      </c>
      <c r="D742" s="784" t="str">
        <f t="shared" si="83"/>
        <v/>
      </c>
      <c r="E742" s="784" t="str">
        <f t="shared" si="84"/>
        <v/>
      </c>
      <c r="F742" s="785" t="str">
        <f t="shared" si="85"/>
        <v/>
      </c>
      <c r="G742" s="784" t="str">
        <f t="shared" si="86"/>
        <v/>
      </c>
      <c r="Y742" s="663" t="str">
        <f>IF(C742="","",('transversal subsidence profile'!$L$5*EXP(-(C742^2)/(2*'transversal subsidence profile'!$J$5^2)))*100)</f>
        <v/>
      </c>
      <c r="Z742" s="664" t="str">
        <f>IF(C742="","",(+'transversal subsidence profile'!$L$6*EXP(-((C742+$G$10)^2)/(2*'transversal subsidence profile'!$J$6^2)))*100)</f>
        <v/>
      </c>
      <c r="AA742" s="751" t="str">
        <f>IF(C742="","",IF('IN-OUT'!$F$26=0,'Damage classification-Rankin'!Z742,IF('IN-OUT'!$F$35=0,Y742,'Damage classification-Rankin'!Y742+'Damage classification-Rankin'!Z742)))</f>
        <v/>
      </c>
    </row>
    <row r="743" spans="1:27" ht="13.8" thickBot="1">
      <c r="A743" s="67"/>
      <c r="B743" s="655">
        <f t="shared" si="81"/>
        <v>722</v>
      </c>
      <c r="C743" s="374" t="str">
        <f t="shared" si="82"/>
        <v/>
      </c>
      <c r="D743" s="784" t="str">
        <f t="shared" si="83"/>
        <v/>
      </c>
      <c r="E743" s="784" t="str">
        <f t="shared" si="84"/>
        <v/>
      </c>
      <c r="F743" s="785" t="str">
        <f t="shared" si="85"/>
        <v/>
      </c>
      <c r="G743" s="784" t="str">
        <f t="shared" si="86"/>
        <v/>
      </c>
      <c r="Y743" s="663" t="str">
        <f>IF(C743="","",('transversal subsidence profile'!$L$5*EXP(-(C743^2)/(2*'transversal subsidence profile'!$J$5^2)))*100)</f>
        <v/>
      </c>
      <c r="Z743" s="664" t="str">
        <f>IF(C743="","",(+'transversal subsidence profile'!$L$6*EXP(-((C743+$G$10)^2)/(2*'transversal subsidence profile'!$J$6^2)))*100)</f>
        <v/>
      </c>
      <c r="AA743" s="751" t="str">
        <f>IF(C743="","",IF('IN-OUT'!$F$26=0,'Damage classification-Rankin'!Z743,IF('IN-OUT'!$F$35=0,Y743,'Damage classification-Rankin'!Y743+'Damage classification-Rankin'!Z743)))</f>
        <v/>
      </c>
    </row>
    <row r="744" spans="1:27" ht="13.8" thickBot="1">
      <c r="A744" s="67"/>
      <c r="B744" s="655">
        <f t="shared" si="81"/>
        <v>723</v>
      </c>
      <c r="C744" s="374" t="str">
        <f t="shared" si="82"/>
        <v/>
      </c>
      <c r="D744" s="784" t="str">
        <f t="shared" si="83"/>
        <v/>
      </c>
      <c r="E744" s="784" t="str">
        <f t="shared" si="84"/>
        <v/>
      </c>
      <c r="F744" s="785" t="str">
        <f t="shared" si="85"/>
        <v/>
      </c>
      <c r="G744" s="784" t="str">
        <f t="shared" si="86"/>
        <v/>
      </c>
      <c r="Y744" s="663" t="str">
        <f>IF(C744="","",('transversal subsidence profile'!$L$5*EXP(-(C744^2)/(2*'transversal subsidence profile'!$J$5^2)))*100)</f>
        <v/>
      </c>
      <c r="Z744" s="664" t="str">
        <f>IF(C744="","",(+'transversal subsidence profile'!$L$6*EXP(-((C744+$G$10)^2)/(2*'transversal subsidence profile'!$J$6^2)))*100)</f>
        <v/>
      </c>
      <c r="AA744" s="751" t="str">
        <f>IF(C744="","",IF('IN-OUT'!$F$26=0,'Damage classification-Rankin'!Z744,IF('IN-OUT'!$F$35=0,Y744,'Damage classification-Rankin'!Y744+'Damage classification-Rankin'!Z744)))</f>
        <v/>
      </c>
    </row>
    <row r="745" spans="1:27" ht="13.8" thickBot="1">
      <c r="A745" s="67"/>
      <c r="B745" s="655">
        <f t="shared" si="81"/>
        <v>724</v>
      </c>
      <c r="C745" s="374" t="str">
        <f t="shared" si="82"/>
        <v/>
      </c>
      <c r="D745" s="784" t="str">
        <f t="shared" si="83"/>
        <v/>
      </c>
      <c r="E745" s="784" t="str">
        <f t="shared" si="84"/>
        <v/>
      </c>
      <c r="F745" s="785" t="str">
        <f t="shared" si="85"/>
        <v/>
      </c>
      <c r="G745" s="784" t="str">
        <f t="shared" si="86"/>
        <v/>
      </c>
      <c r="Y745" s="663" t="str">
        <f>IF(C745="","",('transversal subsidence profile'!$L$5*EXP(-(C745^2)/(2*'transversal subsidence profile'!$J$5^2)))*100)</f>
        <v/>
      </c>
      <c r="Z745" s="664" t="str">
        <f>IF(C745="","",(+'transversal subsidence profile'!$L$6*EXP(-((C745+$G$10)^2)/(2*'transversal subsidence profile'!$J$6^2)))*100)</f>
        <v/>
      </c>
      <c r="AA745" s="751" t="str">
        <f>IF(C745="","",IF('IN-OUT'!$F$26=0,'Damage classification-Rankin'!Z745,IF('IN-OUT'!$F$35=0,Y745,'Damage classification-Rankin'!Y745+'Damage classification-Rankin'!Z745)))</f>
        <v/>
      </c>
    </row>
    <row r="746" spans="1:27" ht="13.8" thickBot="1">
      <c r="A746" s="67"/>
      <c r="B746" s="655">
        <f t="shared" si="81"/>
        <v>725</v>
      </c>
      <c r="C746" s="374" t="str">
        <f t="shared" si="82"/>
        <v/>
      </c>
      <c r="D746" s="784" t="str">
        <f t="shared" si="83"/>
        <v/>
      </c>
      <c r="E746" s="784" t="str">
        <f t="shared" si="84"/>
        <v/>
      </c>
      <c r="F746" s="785" t="str">
        <f t="shared" si="85"/>
        <v/>
      </c>
      <c r="G746" s="784" t="str">
        <f t="shared" si="86"/>
        <v/>
      </c>
      <c r="Y746" s="663" t="str">
        <f>IF(C746="","",('transversal subsidence profile'!$L$5*EXP(-(C746^2)/(2*'transversal subsidence profile'!$J$5^2)))*100)</f>
        <v/>
      </c>
      <c r="Z746" s="664" t="str">
        <f>IF(C746="","",(+'transversal subsidence profile'!$L$6*EXP(-((C746+$G$10)^2)/(2*'transversal subsidence profile'!$J$6^2)))*100)</f>
        <v/>
      </c>
      <c r="AA746" s="751" t="str">
        <f>IF(C746="","",IF('IN-OUT'!$F$26=0,'Damage classification-Rankin'!Z746,IF('IN-OUT'!$F$35=0,Y746,'Damage classification-Rankin'!Y746+'Damage classification-Rankin'!Z746)))</f>
        <v/>
      </c>
    </row>
    <row r="747" spans="1:27" ht="13.8" thickBot="1">
      <c r="A747" s="67"/>
      <c r="B747" s="655">
        <f t="shared" si="81"/>
        <v>726</v>
      </c>
      <c r="C747" s="374" t="str">
        <f t="shared" si="82"/>
        <v/>
      </c>
      <c r="D747" s="784" t="str">
        <f t="shared" si="83"/>
        <v/>
      </c>
      <c r="E747" s="784" t="str">
        <f t="shared" si="84"/>
        <v/>
      </c>
      <c r="F747" s="785" t="str">
        <f t="shared" si="85"/>
        <v/>
      </c>
      <c r="G747" s="784" t="str">
        <f t="shared" si="86"/>
        <v/>
      </c>
      <c r="Y747" s="663" t="str">
        <f>IF(C747="","",('transversal subsidence profile'!$L$5*EXP(-(C747^2)/(2*'transversal subsidence profile'!$J$5^2)))*100)</f>
        <v/>
      </c>
      <c r="Z747" s="664" t="str">
        <f>IF(C747="","",(+'transversal subsidence profile'!$L$6*EXP(-((C747+$G$10)^2)/(2*'transversal subsidence profile'!$J$6^2)))*100)</f>
        <v/>
      </c>
      <c r="AA747" s="751" t="str">
        <f>IF(C747="","",IF('IN-OUT'!$F$26=0,'Damage classification-Rankin'!Z747,IF('IN-OUT'!$F$35=0,Y747,'Damage classification-Rankin'!Y747+'Damage classification-Rankin'!Z747)))</f>
        <v/>
      </c>
    </row>
    <row r="748" spans="1:27" ht="13.8" thickBot="1">
      <c r="A748" s="67"/>
      <c r="B748" s="655">
        <f t="shared" si="81"/>
        <v>727</v>
      </c>
      <c r="C748" s="374" t="str">
        <f t="shared" si="82"/>
        <v/>
      </c>
      <c r="D748" s="784" t="str">
        <f t="shared" si="83"/>
        <v/>
      </c>
      <c r="E748" s="784" t="str">
        <f t="shared" si="84"/>
        <v/>
      </c>
      <c r="F748" s="785" t="str">
        <f t="shared" si="85"/>
        <v/>
      </c>
      <c r="G748" s="784" t="str">
        <f t="shared" si="86"/>
        <v/>
      </c>
      <c r="Y748" s="663" t="str">
        <f>IF(C748="","",('transversal subsidence profile'!$L$5*EXP(-(C748^2)/(2*'transversal subsidence profile'!$J$5^2)))*100)</f>
        <v/>
      </c>
      <c r="Z748" s="664" t="str">
        <f>IF(C748="","",(+'transversal subsidence profile'!$L$6*EXP(-((C748+$G$10)^2)/(2*'transversal subsidence profile'!$J$6^2)))*100)</f>
        <v/>
      </c>
      <c r="AA748" s="751" t="str">
        <f>IF(C748="","",IF('IN-OUT'!$F$26=0,'Damage classification-Rankin'!Z748,IF('IN-OUT'!$F$35=0,Y748,'Damage classification-Rankin'!Y748+'Damage classification-Rankin'!Z748)))</f>
        <v/>
      </c>
    </row>
    <row r="749" spans="1:27" ht="13.8" thickBot="1">
      <c r="A749" s="67"/>
      <c r="B749" s="655">
        <f t="shared" si="81"/>
        <v>728</v>
      </c>
      <c r="C749" s="374" t="str">
        <f t="shared" si="82"/>
        <v/>
      </c>
      <c r="D749" s="784" t="str">
        <f t="shared" si="83"/>
        <v/>
      </c>
      <c r="E749" s="784" t="str">
        <f t="shared" si="84"/>
        <v/>
      </c>
      <c r="F749" s="785" t="str">
        <f t="shared" si="85"/>
        <v/>
      </c>
      <c r="G749" s="784" t="str">
        <f t="shared" si="86"/>
        <v/>
      </c>
      <c r="Y749" s="663" t="str">
        <f>IF(C749="","",('transversal subsidence profile'!$L$5*EXP(-(C749^2)/(2*'transversal subsidence profile'!$J$5^2)))*100)</f>
        <v/>
      </c>
      <c r="Z749" s="664" t="str">
        <f>IF(C749="","",(+'transversal subsidence profile'!$L$6*EXP(-((C749+$G$10)^2)/(2*'transversal subsidence profile'!$J$6^2)))*100)</f>
        <v/>
      </c>
      <c r="AA749" s="751" t="str">
        <f>IF(C749="","",IF('IN-OUT'!$F$26=0,'Damage classification-Rankin'!Z749,IF('IN-OUT'!$F$35=0,Y749,'Damage classification-Rankin'!Y749+'Damage classification-Rankin'!Z749)))</f>
        <v/>
      </c>
    </row>
    <row r="750" spans="1:27" ht="13.8" thickBot="1">
      <c r="A750" s="67"/>
      <c r="B750" s="655">
        <f t="shared" si="81"/>
        <v>729</v>
      </c>
      <c r="C750" s="374" t="str">
        <f t="shared" si="82"/>
        <v/>
      </c>
      <c r="D750" s="784" t="str">
        <f t="shared" si="83"/>
        <v/>
      </c>
      <c r="E750" s="784" t="str">
        <f t="shared" si="84"/>
        <v/>
      </c>
      <c r="F750" s="785" t="str">
        <f t="shared" si="85"/>
        <v/>
      </c>
      <c r="G750" s="784" t="str">
        <f t="shared" si="86"/>
        <v/>
      </c>
      <c r="Y750" s="663" t="str">
        <f>IF(C750="","",('transversal subsidence profile'!$L$5*EXP(-(C750^2)/(2*'transversal subsidence profile'!$J$5^2)))*100)</f>
        <v/>
      </c>
      <c r="Z750" s="664" t="str">
        <f>IF(C750="","",(+'transversal subsidence profile'!$L$6*EXP(-((C750+$G$10)^2)/(2*'transversal subsidence profile'!$J$6^2)))*100)</f>
        <v/>
      </c>
      <c r="AA750" s="751" t="str">
        <f>IF(C750="","",IF('IN-OUT'!$F$26=0,'Damage classification-Rankin'!Z750,IF('IN-OUT'!$F$35=0,Y750,'Damage classification-Rankin'!Y750+'Damage classification-Rankin'!Z750)))</f>
        <v/>
      </c>
    </row>
    <row r="751" spans="1:27" ht="13.8" thickBot="1">
      <c r="A751" s="67"/>
      <c r="B751" s="655">
        <f t="shared" si="81"/>
        <v>730</v>
      </c>
      <c r="C751" s="374" t="str">
        <f t="shared" si="82"/>
        <v/>
      </c>
      <c r="D751" s="784" t="str">
        <f t="shared" si="83"/>
        <v/>
      </c>
      <c r="E751" s="784" t="str">
        <f t="shared" si="84"/>
        <v/>
      </c>
      <c r="F751" s="785" t="str">
        <f t="shared" si="85"/>
        <v/>
      </c>
      <c r="G751" s="784" t="str">
        <f t="shared" si="86"/>
        <v/>
      </c>
      <c r="Y751" s="663" t="str">
        <f>IF(C751="","",('transversal subsidence profile'!$L$5*EXP(-(C751^2)/(2*'transversal subsidence profile'!$J$5^2)))*100)</f>
        <v/>
      </c>
      <c r="Z751" s="664" t="str">
        <f>IF(C751="","",(+'transversal subsidence profile'!$L$6*EXP(-((C751+$G$10)^2)/(2*'transversal subsidence profile'!$J$6^2)))*100)</f>
        <v/>
      </c>
      <c r="AA751" s="751" t="str">
        <f>IF(C751="","",IF('IN-OUT'!$F$26=0,'Damage classification-Rankin'!Z751,IF('IN-OUT'!$F$35=0,Y751,'Damage classification-Rankin'!Y751+'Damage classification-Rankin'!Z751)))</f>
        <v/>
      </c>
    </row>
    <row r="752" spans="1:27" ht="13.8" thickBot="1">
      <c r="A752" s="67"/>
      <c r="B752" s="655">
        <f t="shared" si="81"/>
        <v>731</v>
      </c>
      <c r="C752" s="374" t="str">
        <f t="shared" si="82"/>
        <v/>
      </c>
      <c r="D752" s="784" t="str">
        <f t="shared" si="83"/>
        <v/>
      </c>
      <c r="E752" s="784" t="str">
        <f t="shared" si="84"/>
        <v/>
      </c>
      <c r="F752" s="785" t="str">
        <f t="shared" si="85"/>
        <v/>
      </c>
      <c r="G752" s="784" t="str">
        <f t="shared" si="86"/>
        <v/>
      </c>
      <c r="Y752" s="663" t="str">
        <f>IF(C752="","",('transversal subsidence profile'!$L$5*EXP(-(C752^2)/(2*'transversal subsidence profile'!$J$5^2)))*100)</f>
        <v/>
      </c>
      <c r="Z752" s="664" t="str">
        <f>IF(C752="","",(+'transversal subsidence profile'!$L$6*EXP(-((C752+$G$10)^2)/(2*'transversal subsidence profile'!$J$6^2)))*100)</f>
        <v/>
      </c>
      <c r="AA752" s="751" t="str">
        <f>IF(C752="","",IF('IN-OUT'!$F$26=0,'Damage classification-Rankin'!Z752,IF('IN-OUT'!$F$35=0,Y752,'Damage classification-Rankin'!Y752+'Damage classification-Rankin'!Z752)))</f>
        <v/>
      </c>
    </row>
    <row r="753" spans="1:27" ht="13.8" thickBot="1">
      <c r="A753" s="67"/>
      <c r="B753" s="655">
        <f t="shared" si="81"/>
        <v>732</v>
      </c>
      <c r="C753" s="374" t="str">
        <f t="shared" si="82"/>
        <v/>
      </c>
      <c r="D753" s="784" t="str">
        <f t="shared" si="83"/>
        <v/>
      </c>
      <c r="E753" s="784" t="str">
        <f t="shared" si="84"/>
        <v/>
      </c>
      <c r="F753" s="785" t="str">
        <f t="shared" si="85"/>
        <v/>
      </c>
      <c r="G753" s="784" t="str">
        <f t="shared" si="86"/>
        <v/>
      </c>
      <c r="Y753" s="663" t="str">
        <f>IF(C753="","",('transversal subsidence profile'!$L$5*EXP(-(C753^2)/(2*'transversal subsidence profile'!$J$5^2)))*100)</f>
        <v/>
      </c>
      <c r="Z753" s="664" t="str">
        <f>IF(C753="","",(+'transversal subsidence profile'!$L$6*EXP(-((C753+$G$10)^2)/(2*'transversal subsidence profile'!$J$6^2)))*100)</f>
        <v/>
      </c>
      <c r="AA753" s="751" t="str">
        <f>IF(C753="","",IF('IN-OUT'!$F$26=0,'Damage classification-Rankin'!Z753,IF('IN-OUT'!$F$35=0,Y753,'Damage classification-Rankin'!Y753+'Damage classification-Rankin'!Z753)))</f>
        <v/>
      </c>
    </row>
    <row r="754" spans="1:27" ht="13.8" thickBot="1">
      <c r="A754" s="67"/>
      <c r="B754" s="655">
        <f t="shared" si="81"/>
        <v>733</v>
      </c>
      <c r="C754" s="374" t="str">
        <f t="shared" si="82"/>
        <v/>
      </c>
      <c r="D754" s="784" t="str">
        <f t="shared" si="83"/>
        <v/>
      </c>
      <c r="E754" s="784" t="str">
        <f t="shared" si="84"/>
        <v/>
      </c>
      <c r="F754" s="785" t="str">
        <f t="shared" si="85"/>
        <v/>
      </c>
      <c r="G754" s="784" t="str">
        <f t="shared" si="86"/>
        <v/>
      </c>
      <c r="Y754" s="663" t="str">
        <f>IF(C754="","",('transversal subsidence profile'!$L$5*EXP(-(C754^2)/(2*'transversal subsidence profile'!$J$5^2)))*100)</f>
        <v/>
      </c>
      <c r="Z754" s="664" t="str">
        <f>IF(C754="","",(+'transversal subsidence profile'!$L$6*EXP(-((C754+$G$10)^2)/(2*'transversal subsidence profile'!$J$6^2)))*100)</f>
        <v/>
      </c>
      <c r="AA754" s="751" t="str">
        <f>IF(C754="","",IF('IN-OUT'!$F$26=0,'Damage classification-Rankin'!Z754,IF('IN-OUT'!$F$35=0,Y754,'Damage classification-Rankin'!Y754+'Damage classification-Rankin'!Z754)))</f>
        <v/>
      </c>
    </row>
    <row r="755" spans="1:27" ht="13.8" thickBot="1">
      <c r="A755" s="67"/>
      <c r="B755" s="655">
        <f t="shared" si="81"/>
        <v>734</v>
      </c>
      <c r="C755" s="374" t="str">
        <f t="shared" si="82"/>
        <v/>
      </c>
      <c r="D755" s="784" t="str">
        <f t="shared" si="83"/>
        <v/>
      </c>
      <c r="E755" s="784" t="str">
        <f t="shared" si="84"/>
        <v/>
      </c>
      <c r="F755" s="785" t="str">
        <f t="shared" si="85"/>
        <v/>
      </c>
      <c r="G755" s="784" t="str">
        <f t="shared" si="86"/>
        <v/>
      </c>
      <c r="Y755" s="663" t="str">
        <f>IF(C755="","",('transversal subsidence profile'!$L$5*EXP(-(C755^2)/(2*'transversal subsidence profile'!$J$5^2)))*100)</f>
        <v/>
      </c>
      <c r="Z755" s="664" t="str">
        <f>IF(C755="","",(+'transversal subsidence profile'!$L$6*EXP(-((C755+$G$10)^2)/(2*'transversal subsidence profile'!$J$6^2)))*100)</f>
        <v/>
      </c>
      <c r="AA755" s="751" t="str">
        <f>IF(C755="","",IF('IN-OUT'!$F$26=0,'Damage classification-Rankin'!Z755,IF('IN-OUT'!$F$35=0,Y755,'Damage classification-Rankin'!Y755+'Damage classification-Rankin'!Z755)))</f>
        <v/>
      </c>
    </row>
    <row r="756" spans="1:27" ht="13.8" thickBot="1">
      <c r="A756" s="67"/>
      <c r="B756" s="655">
        <f t="shared" si="81"/>
        <v>735</v>
      </c>
      <c r="C756" s="374" t="str">
        <f t="shared" si="82"/>
        <v/>
      </c>
      <c r="D756" s="784" t="str">
        <f t="shared" si="83"/>
        <v/>
      </c>
      <c r="E756" s="784" t="str">
        <f t="shared" si="84"/>
        <v/>
      </c>
      <c r="F756" s="785" t="str">
        <f t="shared" si="85"/>
        <v/>
      </c>
      <c r="G756" s="784" t="str">
        <f t="shared" si="86"/>
        <v/>
      </c>
      <c r="Y756" s="663" t="str">
        <f>IF(C756="","",('transversal subsidence profile'!$L$5*EXP(-(C756^2)/(2*'transversal subsidence profile'!$J$5^2)))*100)</f>
        <v/>
      </c>
      <c r="Z756" s="664" t="str">
        <f>IF(C756="","",(+'transversal subsidence profile'!$L$6*EXP(-((C756+$G$10)^2)/(2*'transversal subsidence profile'!$J$6^2)))*100)</f>
        <v/>
      </c>
      <c r="AA756" s="751" t="str">
        <f>IF(C756="","",IF('IN-OUT'!$F$26=0,'Damage classification-Rankin'!Z756,IF('IN-OUT'!$F$35=0,Y756,'Damage classification-Rankin'!Y756+'Damage classification-Rankin'!Z756)))</f>
        <v/>
      </c>
    </row>
    <row r="757" spans="1:27" ht="13.8" thickBot="1">
      <c r="A757" s="67"/>
      <c r="B757" s="655">
        <f t="shared" si="81"/>
        <v>736</v>
      </c>
      <c r="C757" s="374" t="str">
        <f t="shared" si="82"/>
        <v/>
      </c>
      <c r="D757" s="784" t="str">
        <f t="shared" si="83"/>
        <v/>
      </c>
      <c r="E757" s="784" t="str">
        <f t="shared" si="84"/>
        <v/>
      </c>
      <c r="F757" s="785" t="str">
        <f t="shared" si="85"/>
        <v/>
      </c>
      <c r="G757" s="784" t="str">
        <f t="shared" si="86"/>
        <v/>
      </c>
      <c r="Y757" s="663" t="str">
        <f>IF(C757="","",('transversal subsidence profile'!$L$5*EXP(-(C757^2)/(2*'transversal subsidence profile'!$J$5^2)))*100)</f>
        <v/>
      </c>
      <c r="Z757" s="664" t="str">
        <f>IF(C757="","",(+'transversal subsidence profile'!$L$6*EXP(-((C757+$G$10)^2)/(2*'transversal subsidence profile'!$J$6^2)))*100)</f>
        <v/>
      </c>
      <c r="AA757" s="751" t="str">
        <f>IF(C757="","",IF('IN-OUT'!$F$26=0,'Damage classification-Rankin'!Z757,IF('IN-OUT'!$F$35=0,Y757,'Damage classification-Rankin'!Y757+'Damage classification-Rankin'!Z757)))</f>
        <v/>
      </c>
    </row>
    <row r="758" spans="1:27" ht="13.8" thickBot="1">
      <c r="A758" s="67"/>
      <c r="B758" s="655">
        <f t="shared" si="81"/>
        <v>737</v>
      </c>
      <c r="C758" s="374" t="str">
        <f t="shared" si="82"/>
        <v/>
      </c>
      <c r="D758" s="784" t="str">
        <f t="shared" si="83"/>
        <v/>
      </c>
      <c r="E758" s="784" t="str">
        <f t="shared" si="84"/>
        <v/>
      </c>
      <c r="F758" s="785" t="str">
        <f t="shared" si="85"/>
        <v/>
      </c>
      <c r="G758" s="784" t="str">
        <f t="shared" si="86"/>
        <v/>
      </c>
      <c r="Y758" s="663" t="str">
        <f>IF(C758="","",('transversal subsidence profile'!$L$5*EXP(-(C758^2)/(2*'transversal subsidence profile'!$J$5^2)))*100)</f>
        <v/>
      </c>
      <c r="Z758" s="664" t="str">
        <f>IF(C758="","",(+'transversal subsidence profile'!$L$6*EXP(-((C758+$G$10)^2)/(2*'transversal subsidence profile'!$J$6^2)))*100)</f>
        <v/>
      </c>
      <c r="AA758" s="751" t="str">
        <f>IF(C758="","",IF('IN-OUT'!$F$26=0,'Damage classification-Rankin'!Z758,IF('IN-OUT'!$F$35=0,Y758,'Damage classification-Rankin'!Y758+'Damage classification-Rankin'!Z758)))</f>
        <v/>
      </c>
    </row>
    <row r="759" spans="1:27" ht="13.8" thickBot="1">
      <c r="A759" s="67"/>
      <c r="B759" s="655">
        <f t="shared" si="81"/>
        <v>738</v>
      </c>
      <c r="C759" s="374" t="str">
        <f t="shared" si="82"/>
        <v/>
      </c>
      <c r="D759" s="784" t="str">
        <f t="shared" si="83"/>
        <v/>
      </c>
      <c r="E759" s="784" t="str">
        <f t="shared" si="84"/>
        <v/>
      </c>
      <c r="F759" s="785" t="str">
        <f t="shared" si="85"/>
        <v/>
      </c>
      <c r="G759" s="784" t="str">
        <f t="shared" si="86"/>
        <v/>
      </c>
      <c r="Y759" s="663" t="str">
        <f>IF(C759="","",('transversal subsidence profile'!$L$5*EXP(-(C759^2)/(2*'transversal subsidence profile'!$J$5^2)))*100)</f>
        <v/>
      </c>
      <c r="Z759" s="664" t="str">
        <f>IF(C759="","",(+'transversal subsidence profile'!$L$6*EXP(-((C759+$G$10)^2)/(2*'transversal subsidence profile'!$J$6^2)))*100)</f>
        <v/>
      </c>
      <c r="AA759" s="751" t="str">
        <f>IF(C759="","",IF('IN-OUT'!$F$26=0,'Damage classification-Rankin'!Z759,IF('IN-OUT'!$F$35=0,Y759,'Damage classification-Rankin'!Y759+'Damage classification-Rankin'!Z759)))</f>
        <v/>
      </c>
    </row>
    <row r="760" spans="1:27" ht="13.8" thickBot="1">
      <c r="A760" s="67"/>
      <c r="B760" s="655">
        <f t="shared" si="81"/>
        <v>739</v>
      </c>
      <c r="C760" s="374" t="str">
        <f t="shared" si="82"/>
        <v/>
      </c>
      <c r="D760" s="784" t="str">
        <f t="shared" si="83"/>
        <v/>
      </c>
      <c r="E760" s="784" t="str">
        <f t="shared" si="84"/>
        <v/>
      </c>
      <c r="F760" s="785" t="str">
        <f t="shared" si="85"/>
        <v/>
      </c>
      <c r="G760" s="784" t="str">
        <f t="shared" si="86"/>
        <v/>
      </c>
      <c r="Y760" s="663" t="str">
        <f>IF(C760="","",('transversal subsidence profile'!$L$5*EXP(-(C760^2)/(2*'transversal subsidence profile'!$J$5^2)))*100)</f>
        <v/>
      </c>
      <c r="Z760" s="664" t="str">
        <f>IF(C760="","",(+'transversal subsidence profile'!$L$6*EXP(-((C760+$G$10)^2)/(2*'transversal subsidence profile'!$J$6^2)))*100)</f>
        <v/>
      </c>
      <c r="AA760" s="751" t="str">
        <f>IF(C760="","",IF('IN-OUT'!$F$26=0,'Damage classification-Rankin'!Z760,IF('IN-OUT'!$F$35=0,Y760,'Damage classification-Rankin'!Y760+'Damage classification-Rankin'!Z760)))</f>
        <v/>
      </c>
    </row>
    <row r="761" spans="1:27" ht="13.8" thickBot="1">
      <c r="A761" s="67"/>
      <c r="B761" s="655">
        <f t="shared" si="81"/>
        <v>740</v>
      </c>
      <c r="C761" s="374" t="str">
        <f t="shared" si="82"/>
        <v/>
      </c>
      <c r="D761" s="784" t="str">
        <f t="shared" si="83"/>
        <v/>
      </c>
      <c r="E761" s="784" t="str">
        <f t="shared" si="84"/>
        <v/>
      </c>
      <c r="F761" s="785" t="str">
        <f t="shared" si="85"/>
        <v/>
      </c>
      <c r="G761" s="784" t="str">
        <f t="shared" si="86"/>
        <v/>
      </c>
      <c r="Y761" s="663" t="str">
        <f>IF(C761="","",('transversal subsidence profile'!$L$5*EXP(-(C761^2)/(2*'transversal subsidence profile'!$J$5^2)))*100)</f>
        <v/>
      </c>
      <c r="Z761" s="664" t="str">
        <f>IF(C761="","",(+'transversal subsidence profile'!$L$6*EXP(-((C761+$G$10)^2)/(2*'transversal subsidence profile'!$J$6^2)))*100)</f>
        <v/>
      </c>
      <c r="AA761" s="751" t="str">
        <f>IF(C761="","",IF('IN-OUT'!$F$26=0,'Damage classification-Rankin'!Z761,IF('IN-OUT'!$F$35=0,Y761,'Damage classification-Rankin'!Y761+'Damage classification-Rankin'!Z761)))</f>
        <v/>
      </c>
    </row>
    <row r="762" spans="1:27" ht="13.8" thickBot="1">
      <c r="A762" s="67"/>
      <c r="B762" s="655">
        <f t="shared" si="81"/>
        <v>741</v>
      </c>
      <c r="C762" s="374" t="str">
        <f t="shared" si="82"/>
        <v/>
      </c>
      <c r="D762" s="784" t="str">
        <f t="shared" si="83"/>
        <v/>
      </c>
      <c r="E762" s="784" t="str">
        <f t="shared" si="84"/>
        <v/>
      </c>
      <c r="F762" s="785" t="str">
        <f t="shared" si="85"/>
        <v/>
      </c>
      <c r="G762" s="784" t="str">
        <f t="shared" si="86"/>
        <v/>
      </c>
      <c r="Y762" s="663" t="str">
        <f>IF(C762="","",('transversal subsidence profile'!$L$5*EXP(-(C762^2)/(2*'transversal subsidence profile'!$J$5^2)))*100)</f>
        <v/>
      </c>
      <c r="Z762" s="664" t="str">
        <f>IF(C762="","",(+'transversal subsidence profile'!$L$6*EXP(-((C762+$G$10)^2)/(2*'transversal subsidence profile'!$J$6^2)))*100)</f>
        <v/>
      </c>
      <c r="AA762" s="751" t="str">
        <f>IF(C762="","",IF('IN-OUT'!$F$26=0,'Damage classification-Rankin'!Z762,IF('IN-OUT'!$F$35=0,Y762,'Damage classification-Rankin'!Y762+'Damage classification-Rankin'!Z762)))</f>
        <v/>
      </c>
    </row>
    <row r="763" spans="1:27" ht="13.8" thickBot="1">
      <c r="A763" s="67"/>
      <c r="B763" s="655">
        <f t="shared" si="81"/>
        <v>742</v>
      </c>
      <c r="C763" s="374" t="str">
        <f t="shared" si="82"/>
        <v/>
      </c>
      <c r="D763" s="784" t="str">
        <f t="shared" si="83"/>
        <v/>
      </c>
      <c r="E763" s="784" t="str">
        <f t="shared" si="84"/>
        <v/>
      </c>
      <c r="F763" s="785" t="str">
        <f t="shared" si="85"/>
        <v/>
      </c>
      <c r="G763" s="784" t="str">
        <f t="shared" si="86"/>
        <v/>
      </c>
      <c r="Y763" s="663" t="str">
        <f>IF(C763="","",('transversal subsidence profile'!$L$5*EXP(-(C763^2)/(2*'transversal subsidence profile'!$J$5^2)))*100)</f>
        <v/>
      </c>
      <c r="Z763" s="664" t="str">
        <f>IF(C763="","",(+'transversal subsidence profile'!$L$6*EXP(-((C763+$G$10)^2)/(2*'transversal subsidence profile'!$J$6^2)))*100)</f>
        <v/>
      </c>
      <c r="AA763" s="751" t="str">
        <f>IF(C763="","",IF('IN-OUT'!$F$26=0,'Damage classification-Rankin'!Z763,IF('IN-OUT'!$F$35=0,Y763,'Damage classification-Rankin'!Y763+'Damage classification-Rankin'!Z763)))</f>
        <v/>
      </c>
    </row>
    <row r="764" spans="1:27" ht="13.8" thickBot="1">
      <c r="A764" s="67"/>
      <c r="B764" s="655">
        <f t="shared" si="81"/>
        <v>743</v>
      </c>
      <c r="C764" s="374" t="str">
        <f t="shared" si="82"/>
        <v/>
      </c>
      <c r="D764" s="784" t="str">
        <f t="shared" si="83"/>
        <v/>
      </c>
      <c r="E764" s="784" t="str">
        <f t="shared" si="84"/>
        <v/>
      </c>
      <c r="F764" s="785" t="str">
        <f t="shared" si="85"/>
        <v/>
      </c>
      <c r="G764" s="784" t="str">
        <f t="shared" si="86"/>
        <v/>
      </c>
      <c r="Y764" s="663" t="str">
        <f>IF(C764="","",('transversal subsidence profile'!$L$5*EXP(-(C764^2)/(2*'transversal subsidence profile'!$J$5^2)))*100)</f>
        <v/>
      </c>
      <c r="Z764" s="664" t="str">
        <f>IF(C764="","",(+'transversal subsidence profile'!$L$6*EXP(-((C764+$G$10)^2)/(2*'transversal subsidence profile'!$J$6^2)))*100)</f>
        <v/>
      </c>
      <c r="AA764" s="751" t="str">
        <f>IF(C764="","",IF('IN-OUT'!$F$26=0,'Damage classification-Rankin'!Z764,IF('IN-OUT'!$F$35=0,Y764,'Damage classification-Rankin'!Y764+'Damage classification-Rankin'!Z764)))</f>
        <v/>
      </c>
    </row>
    <row r="765" spans="1:27" ht="13.8" thickBot="1">
      <c r="A765" s="67"/>
      <c r="B765" s="655">
        <f t="shared" si="81"/>
        <v>744</v>
      </c>
      <c r="C765" s="374" t="str">
        <f t="shared" si="82"/>
        <v/>
      </c>
      <c r="D765" s="784" t="str">
        <f t="shared" si="83"/>
        <v/>
      </c>
      <c r="E765" s="784" t="str">
        <f t="shared" si="84"/>
        <v/>
      </c>
      <c r="F765" s="785" t="str">
        <f t="shared" si="85"/>
        <v/>
      </c>
      <c r="G765" s="784" t="str">
        <f t="shared" si="86"/>
        <v/>
      </c>
      <c r="Y765" s="663" t="str">
        <f>IF(C765="","",('transversal subsidence profile'!$L$5*EXP(-(C765^2)/(2*'transversal subsidence profile'!$J$5^2)))*100)</f>
        <v/>
      </c>
      <c r="Z765" s="664" t="str">
        <f>IF(C765="","",(+'transversal subsidence profile'!$L$6*EXP(-((C765+$G$10)^2)/(2*'transversal subsidence profile'!$J$6^2)))*100)</f>
        <v/>
      </c>
      <c r="AA765" s="751" t="str">
        <f>IF(C765="","",IF('IN-OUT'!$F$26=0,'Damage classification-Rankin'!Z765,IF('IN-OUT'!$F$35=0,Y765,'Damage classification-Rankin'!Y765+'Damage classification-Rankin'!Z765)))</f>
        <v/>
      </c>
    </row>
    <row r="766" spans="1:27" ht="13.8" thickBot="1">
      <c r="A766" s="67"/>
      <c r="B766" s="655">
        <f t="shared" si="81"/>
        <v>745</v>
      </c>
      <c r="C766" s="374" t="str">
        <f t="shared" si="82"/>
        <v/>
      </c>
      <c r="D766" s="784" t="str">
        <f t="shared" si="83"/>
        <v/>
      </c>
      <c r="E766" s="784" t="str">
        <f t="shared" si="84"/>
        <v/>
      </c>
      <c r="F766" s="785" t="str">
        <f t="shared" si="85"/>
        <v/>
      </c>
      <c r="G766" s="784" t="str">
        <f t="shared" si="86"/>
        <v/>
      </c>
      <c r="Y766" s="663" t="str">
        <f>IF(C766="","",('transversal subsidence profile'!$L$5*EXP(-(C766^2)/(2*'transversal subsidence profile'!$J$5^2)))*100)</f>
        <v/>
      </c>
      <c r="Z766" s="664" t="str">
        <f>IF(C766="","",(+'transversal subsidence profile'!$L$6*EXP(-((C766+$G$10)^2)/(2*'transversal subsidence profile'!$J$6^2)))*100)</f>
        <v/>
      </c>
      <c r="AA766" s="751" t="str">
        <f>IF(C766="","",IF('IN-OUT'!$F$26=0,'Damage classification-Rankin'!Z766,IF('IN-OUT'!$F$35=0,Y766,'Damage classification-Rankin'!Y766+'Damage classification-Rankin'!Z766)))</f>
        <v/>
      </c>
    </row>
    <row r="767" spans="1:27" ht="13.8" thickBot="1">
      <c r="A767" s="67"/>
      <c r="B767" s="655">
        <f t="shared" si="81"/>
        <v>746</v>
      </c>
      <c r="C767" s="374" t="str">
        <f t="shared" si="82"/>
        <v/>
      </c>
      <c r="D767" s="784" t="str">
        <f t="shared" si="83"/>
        <v/>
      </c>
      <c r="E767" s="784" t="str">
        <f t="shared" si="84"/>
        <v/>
      </c>
      <c r="F767" s="785" t="str">
        <f t="shared" si="85"/>
        <v/>
      </c>
      <c r="G767" s="784" t="str">
        <f t="shared" si="86"/>
        <v/>
      </c>
      <c r="Y767" s="663" t="str">
        <f>IF(C767="","",('transversal subsidence profile'!$L$5*EXP(-(C767^2)/(2*'transversal subsidence profile'!$J$5^2)))*100)</f>
        <v/>
      </c>
      <c r="Z767" s="664" t="str">
        <f>IF(C767="","",(+'transversal subsidence profile'!$L$6*EXP(-((C767+$G$10)^2)/(2*'transversal subsidence profile'!$J$6^2)))*100)</f>
        <v/>
      </c>
      <c r="AA767" s="751" t="str">
        <f>IF(C767="","",IF('IN-OUT'!$F$26=0,'Damage classification-Rankin'!Z767,IF('IN-OUT'!$F$35=0,Y767,'Damage classification-Rankin'!Y767+'Damage classification-Rankin'!Z767)))</f>
        <v/>
      </c>
    </row>
    <row r="768" spans="1:27" ht="13.8" thickBot="1">
      <c r="A768" s="67"/>
      <c r="B768" s="655">
        <f t="shared" si="81"/>
        <v>747</v>
      </c>
      <c r="C768" s="374" t="str">
        <f t="shared" si="82"/>
        <v/>
      </c>
      <c r="D768" s="784" t="str">
        <f t="shared" si="83"/>
        <v/>
      </c>
      <c r="E768" s="784" t="str">
        <f t="shared" si="84"/>
        <v/>
      </c>
      <c r="F768" s="785" t="str">
        <f t="shared" si="85"/>
        <v/>
      </c>
      <c r="G768" s="784" t="str">
        <f t="shared" si="86"/>
        <v/>
      </c>
      <c r="Y768" s="663" t="str">
        <f>IF(C768="","",('transversal subsidence profile'!$L$5*EXP(-(C768^2)/(2*'transversal subsidence profile'!$J$5^2)))*100)</f>
        <v/>
      </c>
      <c r="Z768" s="664" t="str">
        <f>IF(C768="","",(+'transversal subsidence profile'!$L$6*EXP(-((C768+$G$10)^2)/(2*'transversal subsidence profile'!$J$6^2)))*100)</f>
        <v/>
      </c>
      <c r="AA768" s="751" t="str">
        <f>IF(C768="","",IF('IN-OUT'!$F$26=0,'Damage classification-Rankin'!Z768,IF('IN-OUT'!$F$35=0,Y768,'Damage classification-Rankin'!Y768+'Damage classification-Rankin'!Z768)))</f>
        <v/>
      </c>
    </row>
    <row r="769" spans="1:27" ht="13.8" thickBot="1">
      <c r="A769" s="67"/>
      <c r="B769" s="655">
        <f t="shared" si="81"/>
        <v>748</v>
      </c>
      <c r="C769" s="374" t="str">
        <f t="shared" si="82"/>
        <v/>
      </c>
      <c r="D769" s="784" t="str">
        <f t="shared" si="83"/>
        <v/>
      </c>
      <c r="E769" s="784" t="str">
        <f t="shared" si="84"/>
        <v/>
      </c>
      <c r="F769" s="785" t="str">
        <f t="shared" si="85"/>
        <v/>
      </c>
      <c r="G769" s="784" t="str">
        <f t="shared" si="86"/>
        <v/>
      </c>
      <c r="Y769" s="663" t="str">
        <f>IF(C769="","",('transversal subsidence profile'!$L$5*EXP(-(C769^2)/(2*'transversal subsidence profile'!$J$5^2)))*100)</f>
        <v/>
      </c>
      <c r="Z769" s="664" t="str">
        <f>IF(C769="","",(+'transversal subsidence profile'!$L$6*EXP(-((C769+$G$10)^2)/(2*'transversal subsidence profile'!$J$6^2)))*100)</f>
        <v/>
      </c>
      <c r="AA769" s="751" t="str">
        <f>IF(C769="","",IF('IN-OUT'!$F$26=0,'Damage classification-Rankin'!Z769,IF('IN-OUT'!$F$35=0,Y769,'Damage classification-Rankin'!Y769+'Damage classification-Rankin'!Z769)))</f>
        <v/>
      </c>
    </row>
    <row r="770" spans="1:27" ht="13.8" thickBot="1">
      <c r="A770" s="67"/>
      <c r="B770" s="655">
        <f t="shared" si="81"/>
        <v>749</v>
      </c>
      <c r="C770" s="374" t="str">
        <f t="shared" si="82"/>
        <v/>
      </c>
      <c r="D770" s="784" t="str">
        <f t="shared" si="83"/>
        <v/>
      </c>
      <c r="E770" s="784" t="str">
        <f t="shared" si="84"/>
        <v/>
      </c>
      <c r="F770" s="785" t="str">
        <f t="shared" si="85"/>
        <v/>
      </c>
      <c r="G770" s="784" t="str">
        <f t="shared" si="86"/>
        <v/>
      </c>
      <c r="Y770" s="663" t="str">
        <f>IF(C770="","",('transversal subsidence profile'!$L$5*EXP(-(C770^2)/(2*'transversal subsidence profile'!$J$5^2)))*100)</f>
        <v/>
      </c>
      <c r="Z770" s="664" t="str">
        <f>IF(C770="","",(+'transversal subsidence profile'!$L$6*EXP(-((C770+$G$10)^2)/(2*'transversal subsidence profile'!$J$6^2)))*100)</f>
        <v/>
      </c>
      <c r="AA770" s="751" t="str">
        <f>IF(C770="","",IF('IN-OUT'!$F$26=0,'Damage classification-Rankin'!Z770,IF('IN-OUT'!$F$35=0,Y770,'Damage classification-Rankin'!Y770+'Damage classification-Rankin'!Z770)))</f>
        <v/>
      </c>
    </row>
    <row r="771" spans="1:27" ht="13.8" thickBot="1">
      <c r="A771" s="67"/>
      <c r="B771" s="655">
        <f t="shared" si="81"/>
        <v>750</v>
      </c>
      <c r="C771" s="374" t="str">
        <f t="shared" si="82"/>
        <v/>
      </c>
      <c r="D771" s="784" t="str">
        <f t="shared" si="83"/>
        <v/>
      </c>
      <c r="E771" s="784" t="str">
        <f t="shared" si="84"/>
        <v/>
      </c>
      <c r="F771" s="785" t="str">
        <f t="shared" si="85"/>
        <v/>
      </c>
      <c r="G771" s="784" t="str">
        <f t="shared" si="86"/>
        <v/>
      </c>
      <c r="Y771" s="663" t="str">
        <f>IF(C771="","",('transversal subsidence profile'!$L$5*EXP(-(C771^2)/(2*'transversal subsidence profile'!$J$5^2)))*100)</f>
        <v/>
      </c>
      <c r="Z771" s="664" t="str">
        <f>IF(C771="","",(+'transversal subsidence profile'!$L$6*EXP(-((C771+$G$10)^2)/(2*'transversal subsidence profile'!$J$6^2)))*100)</f>
        <v/>
      </c>
      <c r="AA771" s="751" t="str">
        <f>IF(C771="","",IF('IN-OUT'!$F$26=0,'Damage classification-Rankin'!Z771,IF('IN-OUT'!$F$35=0,Y771,'Damage classification-Rankin'!Y771+'Damage classification-Rankin'!Z771)))</f>
        <v/>
      </c>
    </row>
    <row r="772" spans="1:27" ht="13.8" thickBot="1">
      <c r="A772" s="67"/>
      <c r="B772" s="655">
        <f t="shared" si="81"/>
        <v>751</v>
      </c>
      <c r="C772" s="374" t="str">
        <f t="shared" si="82"/>
        <v/>
      </c>
      <c r="D772" s="784" t="str">
        <f t="shared" si="83"/>
        <v/>
      </c>
      <c r="E772" s="784" t="str">
        <f t="shared" si="84"/>
        <v/>
      </c>
      <c r="F772" s="785" t="str">
        <f t="shared" si="85"/>
        <v/>
      </c>
      <c r="G772" s="784" t="str">
        <f t="shared" si="86"/>
        <v/>
      </c>
      <c r="Y772" s="663" t="str">
        <f>IF(C772="","",('transversal subsidence profile'!$L$5*EXP(-(C772^2)/(2*'transversal subsidence profile'!$J$5^2)))*100)</f>
        <v/>
      </c>
      <c r="Z772" s="664" t="str">
        <f>IF(C772="","",(+'transversal subsidence profile'!$L$6*EXP(-((C772+$G$10)^2)/(2*'transversal subsidence profile'!$J$6^2)))*100)</f>
        <v/>
      </c>
      <c r="AA772" s="751" t="str">
        <f>IF(C772="","",IF('IN-OUT'!$F$26=0,'Damage classification-Rankin'!Z772,IF('IN-OUT'!$F$35=0,Y772,'Damage classification-Rankin'!Y772+'Damage classification-Rankin'!Z772)))</f>
        <v/>
      </c>
    </row>
    <row r="773" spans="1:27" ht="13.8" thickBot="1">
      <c r="A773" s="67"/>
      <c r="B773" s="655">
        <f t="shared" si="81"/>
        <v>752</v>
      </c>
      <c r="C773" s="374" t="str">
        <f t="shared" si="82"/>
        <v/>
      </c>
      <c r="D773" s="784" t="str">
        <f t="shared" si="83"/>
        <v/>
      </c>
      <c r="E773" s="784" t="str">
        <f t="shared" si="84"/>
        <v/>
      </c>
      <c r="F773" s="785" t="str">
        <f t="shared" si="85"/>
        <v/>
      </c>
      <c r="G773" s="784" t="str">
        <f t="shared" si="86"/>
        <v/>
      </c>
      <c r="Y773" s="663" t="str">
        <f>IF(C773="","",('transversal subsidence profile'!$L$5*EXP(-(C773^2)/(2*'transversal subsidence profile'!$J$5^2)))*100)</f>
        <v/>
      </c>
      <c r="Z773" s="664" t="str">
        <f>IF(C773="","",(+'transversal subsidence profile'!$L$6*EXP(-((C773+$G$10)^2)/(2*'transversal subsidence profile'!$J$6^2)))*100)</f>
        <v/>
      </c>
      <c r="AA773" s="751" t="str">
        <f>IF(C773="","",IF('IN-OUT'!$F$26=0,'Damage classification-Rankin'!Z773,IF('IN-OUT'!$F$35=0,Y773,'Damage classification-Rankin'!Y773+'Damage classification-Rankin'!Z773)))</f>
        <v/>
      </c>
    </row>
    <row r="774" spans="1:27" ht="13.8" thickBot="1">
      <c r="A774" s="67"/>
      <c r="B774" s="655">
        <f t="shared" si="81"/>
        <v>753</v>
      </c>
      <c r="C774" s="374" t="str">
        <f t="shared" si="82"/>
        <v/>
      </c>
      <c r="D774" s="784" t="str">
        <f t="shared" si="83"/>
        <v/>
      </c>
      <c r="E774" s="784" t="str">
        <f t="shared" si="84"/>
        <v/>
      </c>
      <c r="F774" s="785" t="str">
        <f t="shared" si="85"/>
        <v/>
      </c>
      <c r="G774" s="784" t="str">
        <f t="shared" si="86"/>
        <v/>
      </c>
      <c r="Y774" s="663" t="str">
        <f>IF(C774="","",('transversal subsidence profile'!$L$5*EXP(-(C774^2)/(2*'transversal subsidence profile'!$J$5^2)))*100)</f>
        <v/>
      </c>
      <c r="Z774" s="664" t="str">
        <f>IF(C774="","",(+'transversal subsidence profile'!$L$6*EXP(-((C774+$G$10)^2)/(2*'transversal subsidence profile'!$J$6^2)))*100)</f>
        <v/>
      </c>
      <c r="AA774" s="751" t="str">
        <f>IF(C774="","",IF('IN-OUT'!$F$26=0,'Damage classification-Rankin'!Z774,IF('IN-OUT'!$F$35=0,Y774,'Damage classification-Rankin'!Y774+'Damage classification-Rankin'!Z774)))</f>
        <v/>
      </c>
    </row>
    <row r="775" spans="1:27" ht="13.8" thickBot="1">
      <c r="A775" s="67"/>
      <c r="B775" s="655">
        <f t="shared" si="81"/>
        <v>754</v>
      </c>
      <c r="C775" s="374" t="str">
        <f t="shared" si="82"/>
        <v/>
      </c>
      <c r="D775" s="784" t="str">
        <f t="shared" si="83"/>
        <v/>
      </c>
      <c r="E775" s="784" t="str">
        <f t="shared" si="84"/>
        <v/>
      </c>
      <c r="F775" s="785" t="str">
        <f t="shared" si="85"/>
        <v/>
      </c>
      <c r="G775" s="784" t="str">
        <f t="shared" si="86"/>
        <v/>
      </c>
      <c r="Y775" s="663" t="str">
        <f>IF(C775="","",('transversal subsidence profile'!$L$5*EXP(-(C775^2)/(2*'transversal subsidence profile'!$J$5^2)))*100)</f>
        <v/>
      </c>
      <c r="Z775" s="664" t="str">
        <f>IF(C775="","",(+'transversal subsidence profile'!$L$6*EXP(-((C775+$G$10)^2)/(2*'transversal subsidence profile'!$J$6^2)))*100)</f>
        <v/>
      </c>
      <c r="AA775" s="751" t="str">
        <f>IF(C775="","",IF('IN-OUT'!$F$26=0,'Damage classification-Rankin'!Z775,IF('IN-OUT'!$F$35=0,Y775,'Damage classification-Rankin'!Y775+'Damage classification-Rankin'!Z775)))</f>
        <v/>
      </c>
    </row>
    <row r="776" spans="1:27" ht="13.8" thickBot="1">
      <c r="A776" s="67"/>
      <c r="B776" s="655">
        <f t="shared" si="81"/>
        <v>755</v>
      </c>
      <c r="C776" s="374" t="str">
        <f t="shared" si="82"/>
        <v/>
      </c>
      <c r="D776" s="784" t="str">
        <f t="shared" si="83"/>
        <v/>
      </c>
      <c r="E776" s="784" t="str">
        <f t="shared" si="84"/>
        <v/>
      </c>
      <c r="F776" s="785" t="str">
        <f t="shared" si="85"/>
        <v/>
      </c>
      <c r="G776" s="784" t="str">
        <f t="shared" si="86"/>
        <v/>
      </c>
      <c r="Y776" s="663" t="str">
        <f>IF(C776="","",('transversal subsidence profile'!$L$5*EXP(-(C776^2)/(2*'transversal subsidence profile'!$J$5^2)))*100)</f>
        <v/>
      </c>
      <c r="Z776" s="664" t="str">
        <f>IF(C776="","",(+'transversal subsidence profile'!$L$6*EXP(-((C776+$G$10)^2)/(2*'transversal subsidence profile'!$J$6^2)))*100)</f>
        <v/>
      </c>
      <c r="AA776" s="751" t="str">
        <f>IF(C776="","",IF('IN-OUT'!$F$26=0,'Damage classification-Rankin'!Z776,IF('IN-OUT'!$F$35=0,Y776,'Damage classification-Rankin'!Y776+'Damage classification-Rankin'!Z776)))</f>
        <v/>
      </c>
    </row>
    <row r="777" spans="1:27" ht="13.8" thickBot="1">
      <c r="A777" s="67"/>
      <c r="B777" s="655">
        <f t="shared" si="81"/>
        <v>756</v>
      </c>
      <c r="C777" s="374" t="str">
        <f t="shared" si="82"/>
        <v/>
      </c>
      <c r="D777" s="784" t="str">
        <f t="shared" si="83"/>
        <v/>
      </c>
      <c r="E777" s="784" t="str">
        <f t="shared" si="84"/>
        <v/>
      </c>
      <c r="F777" s="785" t="str">
        <f t="shared" si="85"/>
        <v/>
      </c>
      <c r="G777" s="784" t="str">
        <f t="shared" si="86"/>
        <v/>
      </c>
      <c r="Y777" s="663" t="str">
        <f>IF(C777="","",('transversal subsidence profile'!$L$5*EXP(-(C777^2)/(2*'transversal subsidence profile'!$J$5^2)))*100)</f>
        <v/>
      </c>
      <c r="Z777" s="664" t="str">
        <f>IF(C777="","",(+'transversal subsidence profile'!$L$6*EXP(-((C777+$G$10)^2)/(2*'transversal subsidence profile'!$J$6^2)))*100)</f>
        <v/>
      </c>
      <c r="AA777" s="751" t="str">
        <f>IF(C777="","",IF('IN-OUT'!$F$26=0,'Damage classification-Rankin'!Z777,IF('IN-OUT'!$F$35=0,Y777,'Damage classification-Rankin'!Y777+'Damage classification-Rankin'!Z777)))</f>
        <v/>
      </c>
    </row>
    <row r="778" spans="1:27" ht="13.8" thickBot="1">
      <c r="A778" s="67"/>
      <c r="B778" s="655">
        <f t="shared" ref="B778:B841" si="87">B777+1</f>
        <v>757</v>
      </c>
      <c r="C778" s="374" t="str">
        <f t="shared" ref="C778:C841" si="88">IF(OR(C777=$D$8,C777=""),"",IF((C777+$C$19)&gt;$D$8,$D$8,C777+$C$19))</f>
        <v/>
      </c>
      <c r="D778" s="784" t="str">
        <f t="shared" ref="D778:D841" si="89">AA778</f>
        <v/>
      </c>
      <c r="E778" s="784" t="str">
        <f t="shared" ref="E778:E841" si="90">IF(C778="","",IF(D778&gt;D777,ATAN(((D778-D777))/ABS((C778-C777)*100)),-ATAN(((D777-D778))/ABS((C778-C777)*100))))</f>
        <v/>
      </c>
      <c r="F778" s="785" t="str">
        <f t="shared" ref="F778:F841" si="91">IF(C778&lt;&gt;"",ABS(D777-D778),"")</f>
        <v/>
      </c>
      <c r="G778" s="784" t="str">
        <f t="shared" si="86"/>
        <v/>
      </c>
      <c r="Y778" s="663" t="str">
        <f>IF(C778="","",('transversal subsidence profile'!$L$5*EXP(-(C778^2)/(2*'transversal subsidence profile'!$J$5^2)))*100)</f>
        <v/>
      </c>
      <c r="Z778" s="664" t="str">
        <f>IF(C778="","",(+'transversal subsidence profile'!$L$6*EXP(-((C778+$G$10)^2)/(2*'transversal subsidence profile'!$J$6^2)))*100)</f>
        <v/>
      </c>
      <c r="AA778" s="751" t="str">
        <f>IF(C778="","",IF('IN-OUT'!$F$26=0,'Damage classification-Rankin'!Z778,IF('IN-OUT'!$F$35=0,Y778,'Damage classification-Rankin'!Y778+'Damage classification-Rankin'!Z778)))</f>
        <v/>
      </c>
    </row>
    <row r="779" spans="1:27" ht="13.8" thickBot="1">
      <c r="A779" s="67"/>
      <c r="B779" s="655">
        <f t="shared" si="87"/>
        <v>758</v>
      </c>
      <c r="C779" s="374" t="str">
        <f t="shared" si="88"/>
        <v/>
      </c>
      <c r="D779" s="784" t="str">
        <f t="shared" si="89"/>
        <v/>
      </c>
      <c r="E779" s="784" t="str">
        <f t="shared" si="90"/>
        <v/>
      </c>
      <c r="F779" s="785" t="str">
        <f t="shared" si="91"/>
        <v/>
      </c>
      <c r="G779" s="784" t="str">
        <f t="shared" si="86"/>
        <v/>
      </c>
      <c r="Y779" s="663" t="str">
        <f>IF(C779="","",('transversal subsidence profile'!$L$5*EXP(-(C779^2)/(2*'transversal subsidence profile'!$J$5^2)))*100)</f>
        <v/>
      </c>
      <c r="Z779" s="664" t="str">
        <f>IF(C779="","",(+'transversal subsidence profile'!$L$6*EXP(-((C779+$G$10)^2)/(2*'transversal subsidence profile'!$J$6^2)))*100)</f>
        <v/>
      </c>
      <c r="AA779" s="751" t="str">
        <f>IF(C779="","",IF('IN-OUT'!$F$26=0,'Damage classification-Rankin'!Z779,IF('IN-OUT'!$F$35=0,Y779,'Damage classification-Rankin'!Y779+'Damage classification-Rankin'!Z779)))</f>
        <v/>
      </c>
    </row>
    <row r="780" spans="1:27" ht="13.8" thickBot="1">
      <c r="A780" s="67"/>
      <c r="B780" s="655">
        <f t="shared" si="87"/>
        <v>759</v>
      </c>
      <c r="C780" s="374" t="str">
        <f t="shared" si="88"/>
        <v/>
      </c>
      <c r="D780" s="784" t="str">
        <f t="shared" si="89"/>
        <v/>
      </c>
      <c r="E780" s="784" t="str">
        <f t="shared" si="90"/>
        <v/>
      </c>
      <c r="F780" s="785" t="str">
        <f t="shared" si="91"/>
        <v/>
      </c>
      <c r="G780" s="784" t="str">
        <f t="shared" si="86"/>
        <v/>
      </c>
      <c r="Y780" s="663" t="str">
        <f>IF(C780="","",('transversal subsidence profile'!$L$5*EXP(-(C780^2)/(2*'transversal subsidence profile'!$J$5^2)))*100)</f>
        <v/>
      </c>
      <c r="Z780" s="664" t="str">
        <f>IF(C780="","",(+'transversal subsidence profile'!$L$6*EXP(-((C780+$G$10)^2)/(2*'transversal subsidence profile'!$J$6^2)))*100)</f>
        <v/>
      </c>
      <c r="AA780" s="751" t="str">
        <f>IF(C780="","",IF('IN-OUT'!$F$26=0,'Damage classification-Rankin'!Z780,IF('IN-OUT'!$F$35=0,Y780,'Damage classification-Rankin'!Y780+'Damage classification-Rankin'!Z780)))</f>
        <v/>
      </c>
    </row>
    <row r="781" spans="1:27" ht="13.8" thickBot="1">
      <c r="A781" s="67"/>
      <c r="B781" s="655">
        <f t="shared" si="87"/>
        <v>760</v>
      </c>
      <c r="C781" s="374" t="str">
        <f t="shared" si="88"/>
        <v/>
      </c>
      <c r="D781" s="784" t="str">
        <f t="shared" si="89"/>
        <v/>
      </c>
      <c r="E781" s="784" t="str">
        <f t="shared" si="90"/>
        <v/>
      </c>
      <c r="F781" s="785" t="str">
        <f t="shared" si="91"/>
        <v/>
      </c>
      <c r="G781" s="784" t="str">
        <f t="shared" si="86"/>
        <v/>
      </c>
      <c r="Y781" s="663" t="str">
        <f>IF(C781="","",('transversal subsidence profile'!$L$5*EXP(-(C781^2)/(2*'transversal subsidence profile'!$J$5^2)))*100)</f>
        <v/>
      </c>
      <c r="Z781" s="664" t="str">
        <f>IF(C781="","",(+'transversal subsidence profile'!$L$6*EXP(-((C781+$G$10)^2)/(2*'transversal subsidence profile'!$J$6^2)))*100)</f>
        <v/>
      </c>
      <c r="AA781" s="751" t="str">
        <f>IF(C781="","",IF('IN-OUT'!$F$26=0,'Damage classification-Rankin'!Z781,IF('IN-OUT'!$F$35=0,Y781,'Damage classification-Rankin'!Y781+'Damage classification-Rankin'!Z781)))</f>
        <v/>
      </c>
    </row>
    <row r="782" spans="1:27" ht="13.8" thickBot="1">
      <c r="A782" s="67"/>
      <c r="B782" s="655">
        <f t="shared" si="87"/>
        <v>761</v>
      </c>
      <c r="C782" s="374" t="str">
        <f t="shared" si="88"/>
        <v/>
      </c>
      <c r="D782" s="784" t="str">
        <f t="shared" si="89"/>
        <v/>
      </c>
      <c r="E782" s="784" t="str">
        <f t="shared" si="90"/>
        <v/>
      </c>
      <c r="F782" s="785" t="str">
        <f t="shared" si="91"/>
        <v/>
      </c>
      <c r="G782" s="784" t="str">
        <f t="shared" si="86"/>
        <v/>
      </c>
      <c r="Y782" s="663" t="str">
        <f>IF(C782="","",('transversal subsidence profile'!$L$5*EXP(-(C782^2)/(2*'transversal subsidence profile'!$J$5^2)))*100)</f>
        <v/>
      </c>
      <c r="Z782" s="664" t="str">
        <f>IF(C782="","",(+'transversal subsidence profile'!$L$6*EXP(-((C782+$G$10)^2)/(2*'transversal subsidence profile'!$J$6^2)))*100)</f>
        <v/>
      </c>
      <c r="AA782" s="751" t="str">
        <f>IF(C782="","",IF('IN-OUT'!$F$26=0,'Damage classification-Rankin'!Z782,IF('IN-OUT'!$F$35=0,Y782,'Damage classification-Rankin'!Y782+'Damage classification-Rankin'!Z782)))</f>
        <v/>
      </c>
    </row>
    <row r="783" spans="1:27" ht="13.8" thickBot="1">
      <c r="A783" s="67"/>
      <c r="B783" s="655">
        <f t="shared" si="87"/>
        <v>762</v>
      </c>
      <c r="C783" s="374" t="str">
        <f t="shared" si="88"/>
        <v/>
      </c>
      <c r="D783" s="784" t="str">
        <f t="shared" si="89"/>
        <v/>
      </c>
      <c r="E783" s="784" t="str">
        <f t="shared" si="90"/>
        <v/>
      </c>
      <c r="F783" s="785" t="str">
        <f t="shared" si="91"/>
        <v/>
      </c>
      <c r="G783" s="784" t="str">
        <f t="shared" si="86"/>
        <v/>
      </c>
      <c r="Y783" s="663" t="str">
        <f>IF(C783="","",('transversal subsidence profile'!$L$5*EXP(-(C783^2)/(2*'transversal subsidence profile'!$J$5^2)))*100)</f>
        <v/>
      </c>
      <c r="Z783" s="664" t="str">
        <f>IF(C783="","",(+'transversal subsidence profile'!$L$6*EXP(-((C783+$G$10)^2)/(2*'transversal subsidence profile'!$J$6^2)))*100)</f>
        <v/>
      </c>
      <c r="AA783" s="751" t="str">
        <f>IF(C783="","",IF('IN-OUT'!$F$26=0,'Damage classification-Rankin'!Z783,IF('IN-OUT'!$F$35=0,Y783,'Damage classification-Rankin'!Y783+'Damage classification-Rankin'!Z783)))</f>
        <v/>
      </c>
    </row>
    <row r="784" spans="1:27" ht="13.8" thickBot="1">
      <c r="A784" s="67"/>
      <c r="B784" s="655">
        <f t="shared" si="87"/>
        <v>763</v>
      </c>
      <c r="C784" s="374" t="str">
        <f t="shared" si="88"/>
        <v/>
      </c>
      <c r="D784" s="784" t="str">
        <f t="shared" si="89"/>
        <v/>
      </c>
      <c r="E784" s="784" t="str">
        <f t="shared" si="90"/>
        <v/>
      </c>
      <c r="F784" s="785" t="str">
        <f t="shared" si="91"/>
        <v/>
      </c>
      <c r="G784" s="784" t="str">
        <f t="shared" si="86"/>
        <v/>
      </c>
      <c r="Y784" s="663" t="str">
        <f>IF(C784="","",('transversal subsidence profile'!$L$5*EXP(-(C784^2)/(2*'transversal subsidence profile'!$J$5^2)))*100)</f>
        <v/>
      </c>
      <c r="Z784" s="664" t="str">
        <f>IF(C784="","",(+'transversal subsidence profile'!$L$6*EXP(-((C784+$G$10)^2)/(2*'transversal subsidence profile'!$J$6^2)))*100)</f>
        <v/>
      </c>
      <c r="AA784" s="751" t="str">
        <f>IF(C784="","",IF('IN-OUT'!$F$26=0,'Damage classification-Rankin'!Z784,IF('IN-OUT'!$F$35=0,Y784,'Damage classification-Rankin'!Y784+'Damage classification-Rankin'!Z784)))</f>
        <v/>
      </c>
    </row>
    <row r="785" spans="1:27" ht="13.8" thickBot="1">
      <c r="A785" s="67"/>
      <c r="B785" s="655">
        <f t="shared" si="87"/>
        <v>764</v>
      </c>
      <c r="C785" s="374" t="str">
        <f t="shared" si="88"/>
        <v/>
      </c>
      <c r="D785" s="784" t="str">
        <f t="shared" si="89"/>
        <v/>
      </c>
      <c r="E785" s="784" t="str">
        <f t="shared" si="90"/>
        <v/>
      </c>
      <c r="F785" s="785" t="str">
        <f t="shared" si="91"/>
        <v/>
      </c>
      <c r="G785" s="784" t="str">
        <f t="shared" si="86"/>
        <v/>
      </c>
      <c r="Y785" s="663" t="str">
        <f>IF(C785="","",('transversal subsidence profile'!$L$5*EXP(-(C785^2)/(2*'transversal subsidence profile'!$J$5^2)))*100)</f>
        <v/>
      </c>
      <c r="Z785" s="664" t="str">
        <f>IF(C785="","",(+'transversal subsidence profile'!$L$6*EXP(-((C785+$G$10)^2)/(2*'transversal subsidence profile'!$J$6^2)))*100)</f>
        <v/>
      </c>
      <c r="AA785" s="751" t="str">
        <f>IF(C785="","",IF('IN-OUT'!$F$26=0,'Damage classification-Rankin'!Z785,IF('IN-OUT'!$F$35=0,Y785,'Damage classification-Rankin'!Y785+'Damage classification-Rankin'!Z785)))</f>
        <v/>
      </c>
    </row>
    <row r="786" spans="1:27" ht="13.8" thickBot="1">
      <c r="A786" s="67"/>
      <c r="B786" s="655">
        <f t="shared" si="87"/>
        <v>765</v>
      </c>
      <c r="C786" s="374" t="str">
        <f t="shared" si="88"/>
        <v/>
      </c>
      <c r="D786" s="784" t="str">
        <f t="shared" si="89"/>
        <v/>
      </c>
      <c r="E786" s="784" t="str">
        <f t="shared" si="90"/>
        <v/>
      </c>
      <c r="F786" s="785" t="str">
        <f t="shared" si="91"/>
        <v/>
      </c>
      <c r="G786" s="784" t="str">
        <f t="shared" si="86"/>
        <v/>
      </c>
      <c r="Y786" s="663" t="str">
        <f>IF(C786="","",('transversal subsidence profile'!$L$5*EXP(-(C786^2)/(2*'transversal subsidence profile'!$J$5^2)))*100)</f>
        <v/>
      </c>
      <c r="Z786" s="664" t="str">
        <f>IF(C786="","",(+'transversal subsidence profile'!$L$6*EXP(-((C786+$G$10)^2)/(2*'transversal subsidence profile'!$J$6^2)))*100)</f>
        <v/>
      </c>
      <c r="AA786" s="751" t="str">
        <f>IF(C786="","",IF('IN-OUT'!$F$26=0,'Damage classification-Rankin'!Z786,IF('IN-OUT'!$F$35=0,Y786,'Damage classification-Rankin'!Y786+'Damage classification-Rankin'!Z786)))</f>
        <v/>
      </c>
    </row>
    <row r="787" spans="1:27" ht="13.8" thickBot="1">
      <c r="A787" s="67"/>
      <c r="B787" s="655">
        <f t="shared" si="87"/>
        <v>766</v>
      </c>
      <c r="C787" s="374" t="str">
        <f t="shared" si="88"/>
        <v/>
      </c>
      <c r="D787" s="784" t="str">
        <f t="shared" si="89"/>
        <v/>
      </c>
      <c r="E787" s="784" t="str">
        <f t="shared" si="90"/>
        <v/>
      </c>
      <c r="F787" s="785" t="str">
        <f t="shared" si="91"/>
        <v/>
      </c>
      <c r="G787" s="784" t="str">
        <f t="shared" si="86"/>
        <v/>
      </c>
      <c r="Y787" s="663" t="str">
        <f>IF(C787="","",('transversal subsidence profile'!$L$5*EXP(-(C787^2)/(2*'transversal subsidence profile'!$J$5^2)))*100)</f>
        <v/>
      </c>
      <c r="Z787" s="664" t="str">
        <f>IF(C787="","",(+'transversal subsidence profile'!$L$6*EXP(-((C787+$G$10)^2)/(2*'transversal subsidence profile'!$J$6^2)))*100)</f>
        <v/>
      </c>
      <c r="AA787" s="751" t="str">
        <f>IF(C787="","",IF('IN-OUT'!$F$26=0,'Damage classification-Rankin'!Z787,IF('IN-OUT'!$F$35=0,Y787,'Damage classification-Rankin'!Y787+'Damage classification-Rankin'!Z787)))</f>
        <v/>
      </c>
    </row>
    <row r="788" spans="1:27" ht="13.8" thickBot="1">
      <c r="A788" s="67"/>
      <c r="B788" s="655">
        <f t="shared" si="87"/>
        <v>767</v>
      </c>
      <c r="C788" s="374" t="str">
        <f t="shared" si="88"/>
        <v/>
      </c>
      <c r="D788" s="784" t="str">
        <f t="shared" si="89"/>
        <v/>
      </c>
      <c r="E788" s="784" t="str">
        <f t="shared" si="90"/>
        <v/>
      </c>
      <c r="F788" s="785" t="str">
        <f t="shared" si="91"/>
        <v/>
      </c>
      <c r="G788" s="784" t="str">
        <f t="shared" si="86"/>
        <v/>
      </c>
      <c r="Y788" s="663" t="str">
        <f>IF(C788="","",('transversal subsidence profile'!$L$5*EXP(-(C788^2)/(2*'transversal subsidence profile'!$J$5^2)))*100)</f>
        <v/>
      </c>
      <c r="Z788" s="664" t="str">
        <f>IF(C788="","",(+'transversal subsidence profile'!$L$6*EXP(-((C788+$G$10)^2)/(2*'transversal subsidence profile'!$J$6^2)))*100)</f>
        <v/>
      </c>
      <c r="AA788" s="751" t="str">
        <f>IF(C788="","",IF('IN-OUT'!$F$26=0,'Damage classification-Rankin'!Z788,IF('IN-OUT'!$F$35=0,Y788,'Damage classification-Rankin'!Y788+'Damage classification-Rankin'!Z788)))</f>
        <v/>
      </c>
    </row>
    <row r="789" spans="1:27" ht="13.8" thickBot="1">
      <c r="A789" s="67"/>
      <c r="B789" s="655">
        <f t="shared" si="87"/>
        <v>768</v>
      </c>
      <c r="C789" s="374" t="str">
        <f t="shared" si="88"/>
        <v/>
      </c>
      <c r="D789" s="784" t="str">
        <f t="shared" si="89"/>
        <v/>
      </c>
      <c r="E789" s="784" t="str">
        <f t="shared" si="90"/>
        <v/>
      </c>
      <c r="F789" s="785" t="str">
        <f t="shared" si="91"/>
        <v/>
      </c>
      <c r="G789" s="784" t="str">
        <f t="shared" si="86"/>
        <v/>
      </c>
      <c r="Y789" s="663" t="str">
        <f>IF(C789="","",('transversal subsidence profile'!$L$5*EXP(-(C789^2)/(2*'transversal subsidence profile'!$J$5^2)))*100)</f>
        <v/>
      </c>
      <c r="Z789" s="664" t="str">
        <f>IF(C789="","",(+'transversal subsidence profile'!$L$6*EXP(-((C789+$G$10)^2)/(2*'transversal subsidence profile'!$J$6^2)))*100)</f>
        <v/>
      </c>
      <c r="AA789" s="751" t="str">
        <f>IF(C789="","",IF('IN-OUT'!$F$26=0,'Damage classification-Rankin'!Z789,IF('IN-OUT'!$F$35=0,Y789,'Damage classification-Rankin'!Y789+'Damage classification-Rankin'!Z789)))</f>
        <v/>
      </c>
    </row>
    <row r="790" spans="1:27" ht="13.8" thickBot="1">
      <c r="A790" s="67"/>
      <c r="B790" s="655">
        <f t="shared" si="87"/>
        <v>769</v>
      </c>
      <c r="C790" s="374" t="str">
        <f t="shared" si="88"/>
        <v/>
      </c>
      <c r="D790" s="784" t="str">
        <f t="shared" si="89"/>
        <v/>
      </c>
      <c r="E790" s="784" t="str">
        <f t="shared" si="90"/>
        <v/>
      </c>
      <c r="F790" s="785" t="str">
        <f t="shared" si="91"/>
        <v/>
      </c>
      <c r="G790" s="784" t="str">
        <f t="shared" si="86"/>
        <v/>
      </c>
      <c r="Y790" s="663" t="str">
        <f>IF(C790="","",('transversal subsidence profile'!$L$5*EXP(-(C790^2)/(2*'transversal subsidence profile'!$J$5^2)))*100)</f>
        <v/>
      </c>
      <c r="Z790" s="664" t="str">
        <f>IF(C790="","",(+'transversal subsidence profile'!$L$6*EXP(-((C790+$G$10)^2)/(2*'transversal subsidence profile'!$J$6^2)))*100)</f>
        <v/>
      </c>
      <c r="AA790" s="751" t="str">
        <f>IF(C790="","",IF('IN-OUT'!$F$26=0,'Damage classification-Rankin'!Z790,IF('IN-OUT'!$F$35=0,Y790,'Damage classification-Rankin'!Y790+'Damage classification-Rankin'!Z790)))</f>
        <v/>
      </c>
    </row>
    <row r="791" spans="1:27" ht="13.8" thickBot="1">
      <c r="A791" s="67"/>
      <c r="B791" s="655">
        <f t="shared" si="87"/>
        <v>770</v>
      </c>
      <c r="C791" s="374" t="str">
        <f t="shared" si="88"/>
        <v/>
      </c>
      <c r="D791" s="784" t="str">
        <f t="shared" si="89"/>
        <v/>
      </c>
      <c r="E791" s="784" t="str">
        <f t="shared" si="90"/>
        <v/>
      </c>
      <c r="F791" s="785" t="str">
        <f t="shared" si="91"/>
        <v/>
      </c>
      <c r="G791" s="784" t="str">
        <f t="shared" si="86"/>
        <v/>
      </c>
      <c r="Y791" s="663" t="str">
        <f>IF(C791="","",('transversal subsidence profile'!$L$5*EXP(-(C791^2)/(2*'transversal subsidence profile'!$J$5^2)))*100)</f>
        <v/>
      </c>
      <c r="Z791" s="664" t="str">
        <f>IF(C791="","",(+'transversal subsidence profile'!$L$6*EXP(-((C791+$G$10)^2)/(2*'transversal subsidence profile'!$J$6^2)))*100)</f>
        <v/>
      </c>
      <c r="AA791" s="751" t="str">
        <f>IF(C791="","",IF('IN-OUT'!$F$26=0,'Damage classification-Rankin'!Z791,IF('IN-OUT'!$F$35=0,Y791,'Damage classification-Rankin'!Y791+'Damage classification-Rankin'!Z791)))</f>
        <v/>
      </c>
    </row>
    <row r="792" spans="1:27" ht="13.8" thickBot="1">
      <c r="A792" s="67"/>
      <c r="B792" s="655">
        <f t="shared" si="87"/>
        <v>771</v>
      </c>
      <c r="C792" s="374" t="str">
        <f t="shared" si="88"/>
        <v/>
      </c>
      <c r="D792" s="784" t="str">
        <f t="shared" si="89"/>
        <v/>
      </c>
      <c r="E792" s="784" t="str">
        <f t="shared" si="90"/>
        <v/>
      </c>
      <c r="F792" s="785" t="str">
        <f t="shared" si="91"/>
        <v/>
      </c>
      <c r="G792" s="784" t="str">
        <f t="shared" ref="G792:G855" si="92">IF(C792="","",IF(ABS(C791-C792)&lt;($C$19-0.0001),"",$C$20+E792))</f>
        <v/>
      </c>
      <c r="Y792" s="663" t="str">
        <f>IF(C792="","",('transversal subsidence profile'!$L$5*EXP(-(C792^2)/(2*'transversal subsidence profile'!$J$5^2)))*100)</f>
        <v/>
      </c>
      <c r="Z792" s="664" t="str">
        <f>IF(C792="","",(+'transversal subsidence profile'!$L$6*EXP(-((C792+$G$10)^2)/(2*'transversal subsidence profile'!$J$6^2)))*100)</f>
        <v/>
      </c>
      <c r="AA792" s="751" t="str">
        <f>IF(C792="","",IF('IN-OUT'!$F$26=0,'Damage classification-Rankin'!Z792,IF('IN-OUT'!$F$35=0,Y792,'Damage classification-Rankin'!Y792+'Damage classification-Rankin'!Z792)))</f>
        <v/>
      </c>
    </row>
    <row r="793" spans="1:27" ht="13.8" thickBot="1">
      <c r="A793" s="67"/>
      <c r="B793" s="655">
        <f t="shared" si="87"/>
        <v>772</v>
      </c>
      <c r="C793" s="374" t="str">
        <f t="shared" si="88"/>
        <v/>
      </c>
      <c r="D793" s="784" t="str">
        <f t="shared" si="89"/>
        <v/>
      </c>
      <c r="E793" s="784" t="str">
        <f t="shared" si="90"/>
        <v/>
      </c>
      <c r="F793" s="785" t="str">
        <f t="shared" si="91"/>
        <v/>
      </c>
      <c r="G793" s="784" t="str">
        <f t="shared" si="92"/>
        <v/>
      </c>
      <c r="Y793" s="663" t="str">
        <f>IF(C793="","",('transversal subsidence profile'!$L$5*EXP(-(C793^2)/(2*'transversal subsidence profile'!$J$5^2)))*100)</f>
        <v/>
      </c>
      <c r="Z793" s="664" t="str">
        <f>IF(C793="","",(+'transversal subsidence profile'!$L$6*EXP(-((C793+$G$10)^2)/(2*'transversal subsidence profile'!$J$6^2)))*100)</f>
        <v/>
      </c>
      <c r="AA793" s="751" t="str">
        <f>IF(C793="","",IF('IN-OUT'!$F$26=0,'Damage classification-Rankin'!Z793,IF('IN-OUT'!$F$35=0,Y793,'Damage classification-Rankin'!Y793+'Damage classification-Rankin'!Z793)))</f>
        <v/>
      </c>
    </row>
    <row r="794" spans="1:27" ht="13.8" thickBot="1">
      <c r="A794" s="67"/>
      <c r="B794" s="655">
        <f t="shared" si="87"/>
        <v>773</v>
      </c>
      <c r="C794" s="374" t="str">
        <f t="shared" si="88"/>
        <v/>
      </c>
      <c r="D794" s="784" t="str">
        <f t="shared" si="89"/>
        <v/>
      </c>
      <c r="E794" s="784" t="str">
        <f t="shared" si="90"/>
        <v/>
      </c>
      <c r="F794" s="785" t="str">
        <f t="shared" si="91"/>
        <v/>
      </c>
      <c r="G794" s="784" t="str">
        <f t="shared" si="92"/>
        <v/>
      </c>
      <c r="Y794" s="663" t="str">
        <f>IF(C794="","",('transversal subsidence profile'!$L$5*EXP(-(C794^2)/(2*'transversal subsidence profile'!$J$5^2)))*100)</f>
        <v/>
      </c>
      <c r="Z794" s="664" t="str">
        <f>IF(C794="","",(+'transversal subsidence profile'!$L$6*EXP(-((C794+$G$10)^2)/(2*'transversal subsidence profile'!$J$6^2)))*100)</f>
        <v/>
      </c>
      <c r="AA794" s="751" t="str">
        <f>IF(C794="","",IF('IN-OUT'!$F$26=0,'Damage classification-Rankin'!Z794,IF('IN-OUT'!$F$35=0,Y794,'Damage classification-Rankin'!Y794+'Damage classification-Rankin'!Z794)))</f>
        <v/>
      </c>
    </row>
    <row r="795" spans="1:27" ht="13.8" thickBot="1">
      <c r="A795" s="67"/>
      <c r="B795" s="655">
        <f t="shared" si="87"/>
        <v>774</v>
      </c>
      <c r="C795" s="374" t="str">
        <f t="shared" si="88"/>
        <v/>
      </c>
      <c r="D795" s="784" t="str">
        <f t="shared" si="89"/>
        <v/>
      </c>
      <c r="E795" s="784" t="str">
        <f t="shared" si="90"/>
        <v/>
      </c>
      <c r="F795" s="785" t="str">
        <f t="shared" si="91"/>
        <v/>
      </c>
      <c r="G795" s="784" t="str">
        <f t="shared" si="92"/>
        <v/>
      </c>
      <c r="Y795" s="663" t="str">
        <f>IF(C795="","",('transversal subsidence profile'!$L$5*EXP(-(C795^2)/(2*'transversal subsidence profile'!$J$5^2)))*100)</f>
        <v/>
      </c>
      <c r="Z795" s="664" t="str">
        <f>IF(C795="","",(+'transversal subsidence profile'!$L$6*EXP(-((C795+$G$10)^2)/(2*'transversal subsidence profile'!$J$6^2)))*100)</f>
        <v/>
      </c>
      <c r="AA795" s="751" t="str">
        <f>IF(C795="","",IF('IN-OUT'!$F$26=0,'Damage classification-Rankin'!Z795,IF('IN-OUT'!$F$35=0,Y795,'Damage classification-Rankin'!Y795+'Damage classification-Rankin'!Z795)))</f>
        <v/>
      </c>
    </row>
    <row r="796" spans="1:27" ht="13.8" thickBot="1">
      <c r="A796" s="67"/>
      <c r="B796" s="655">
        <f t="shared" si="87"/>
        <v>775</v>
      </c>
      <c r="C796" s="374" t="str">
        <f t="shared" si="88"/>
        <v/>
      </c>
      <c r="D796" s="784" t="str">
        <f t="shared" si="89"/>
        <v/>
      </c>
      <c r="E796" s="784" t="str">
        <f t="shared" si="90"/>
        <v/>
      </c>
      <c r="F796" s="785" t="str">
        <f t="shared" si="91"/>
        <v/>
      </c>
      <c r="G796" s="784" t="str">
        <f t="shared" si="92"/>
        <v/>
      </c>
      <c r="Y796" s="663" t="str">
        <f>IF(C796="","",('transversal subsidence profile'!$L$5*EXP(-(C796^2)/(2*'transversal subsidence profile'!$J$5^2)))*100)</f>
        <v/>
      </c>
      <c r="Z796" s="664" t="str">
        <f>IF(C796="","",(+'transversal subsidence profile'!$L$6*EXP(-((C796+$G$10)^2)/(2*'transversal subsidence profile'!$J$6^2)))*100)</f>
        <v/>
      </c>
      <c r="AA796" s="751" t="str">
        <f>IF(C796="","",IF('IN-OUT'!$F$26=0,'Damage classification-Rankin'!Z796,IF('IN-OUT'!$F$35=0,Y796,'Damage classification-Rankin'!Y796+'Damage classification-Rankin'!Z796)))</f>
        <v/>
      </c>
    </row>
    <row r="797" spans="1:27" ht="13.8" thickBot="1">
      <c r="A797" s="67"/>
      <c r="B797" s="655">
        <f t="shared" si="87"/>
        <v>776</v>
      </c>
      <c r="C797" s="374" t="str">
        <f t="shared" si="88"/>
        <v/>
      </c>
      <c r="D797" s="784" t="str">
        <f t="shared" si="89"/>
        <v/>
      </c>
      <c r="E797" s="784" t="str">
        <f t="shared" si="90"/>
        <v/>
      </c>
      <c r="F797" s="785" t="str">
        <f t="shared" si="91"/>
        <v/>
      </c>
      <c r="G797" s="784" t="str">
        <f t="shared" si="92"/>
        <v/>
      </c>
      <c r="Y797" s="663" t="str">
        <f>IF(C797="","",('transversal subsidence profile'!$L$5*EXP(-(C797^2)/(2*'transversal subsidence profile'!$J$5^2)))*100)</f>
        <v/>
      </c>
      <c r="Z797" s="664" t="str">
        <f>IF(C797="","",(+'transversal subsidence profile'!$L$6*EXP(-((C797+$G$10)^2)/(2*'transversal subsidence profile'!$J$6^2)))*100)</f>
        <v/>
      </c>
      <c r="AA797" s="751" t="str">
        <f>IF(C797="","",IF('IN-OUT'!$F$26=0,'Damage classification-Rankin'!Z797,IF('IN-OUT'!$F$35=0,Y797,'Damage classification-Rankin'!Y797+'Damage classification-Rankin'!Z797)))</f>
        <v/>
      </c>
    </row>
    <row r="798" spans="1:27" ht="13.8" thickBot="1">
      <c r="A798" s="67"/>
      <c r="B798" s="655">
        <f t="shared" si="87"/>
        <v>777</v>
      </c>
      <c r="C798" s="374" t="str">
        <f t="shared" si="88"/>
        <v/>
      </c>
      <c r="D798" s="784" t="str">
        <f t="shared" si="89"/>
        <v/>
      </c>
      <c r="E798" s="784" t="str">
        <f t="shared" si="90"/>
        <v/>
      </c>
      <c r="F798" s="785" t="str">
        <f t="shared" si="91"/>
        <v/>
      </c>
      <c r="G798" s="784" t="str">
        <f t="shared" si="92"/>
        <v/>
      </c>
      <c r="Y798" s="663" t="str">
        <f>IF(C798="","",('transversal subsidence profile'!$L$5*EXP(-(C798^2)/(2*'transversal subsidence profile'!$J$5^2)))*100)</f>
        <v/>
      </c>
      <c r="Z798" s="664" t="str">
        <f>IF(C798="","",(+'transversal subsidence profile'!$L$6*EXP(-((C798+$G$10)^2)/(2*'transversal subsidence profile'!$J$6^2)))*100)</f>
        <v/>
      </c>
      <c r="AA798" s="751" t="str">
        <f>IF(C798="","",IF('IN-OUT'!$F$26=0,'Damage classification-Rankin'!Z798,IF('IN-OUT'!$F$35=0,Y798,'Damage classification-Rankin'!Y798+'Damage classification-Rankin'!Z798)))</f>
        <v/>
      </c>
    </row>
    <row r="799" spans="1:27" ht="13.8" thickBot="1">
      <c r="A799" s="67"/>
      <c r="B799" s="655">
        <f t="shared" si="87"/>
        <v>778</v>
      </c>
      <c r="C799" s="374" t="str">
        <f t="shared" si="88"/>
        <v/>
      </c>
      <c r="D799" s="784" t="str">
        <f t="shared" si="89"/>
        <v/>
      </c>
      <c r="E799" s="784" t="str">
        <f t="shared" si="90"/>
        <v/>
      </c>
      <c r="F799" s="785" t="str">
        <f t="shared" si="91"/>
        <v/>
      </c>
      <c r="G799" s="784" t="str">
        <f t="shared" si="92"/>
        <v/>
      </c>
      <c r="Y799" s="663" t="str">
        <f>IF(C799="","",('transversal subsidence profile'!$L$5*EXP(-(C799^2)/(2*'transversal subsidence profile'!$J$5^2)))*100)</f>
        <v/>
      </c>
      <c r="Z799" s="664" t="str">
        <f>IF(C799="","",(+'transversal subsidence profile'!$L$6*EXP(-((C799+$G$10)^2)/(2*'transversal subsidence profile'!$J$6^2)))*100)</f>
        <v/>
      </c>
      <c r="AA799" s="751" t="str">
        <f>IF(C799="","",IF('IN-OUT'!$F$26=0,'Damage classification-Rankin'!Z799,IF('IN-OUT'!$F$35=0,Y799,'Damage classification-Rankin'!Y799+'Damage classification-Rankin'!Z799)))</f>
        <v/>
      </c>
    </row>
    <row r="800" spans="1:27" ht="13.8" thickBot="1">
      <c r="A800" s="67"/>
      <c r="B800" s="655">
        <f t="shared" si="87"/>
        <v>779</v>
      </c>
      <c r="C800" s="374" t="str">
        <f t="shared" si="88"/>
        <v/>
      </c>
      <c r="D800" s="784" t="str">
        <f t="shared" si="89"/>
        <v/>
      </c>
      <c r="E800" s="784" t="str">
        <f t="shared" si="90"/>
        <v/>
      </c>
      <c r="F800" s="785" t="str">
        <f t="shared" si="91"/>
        <v/>
      </c>
      <c r="G800" s="784" t="str">
        <f t="shared" si="92"/>
        <v/>
      </c>
      <c r="Y800" s="663" t="str">
        <f>IF(C800="","",('transversal subsidence profile'!$L$5*EXP(-(C800^2)/(2*'transversal subsidence profile'!$J$5^2)))*100)</f>
        <v/>
      </c>
      <c r="Z800" s="664" t="str">
        <f>IF(C800="","",(+'transversal subsidence profile'!$L$6*EXP(-((C800+$G$10)^2)/(2*'transversal subsidence profile'!$J$6^2)))*100)</f>
        <v/>
      </c>
      <c r="AA800" s="751" t="str">
        <f>IF(C800="","",IF('IN-OUT'!$F$26=0,'Damage classification-Rankin'!Z800,IF('IN-OUT'!$F$35=0,Y800,'Damage classification-Rankin'!Y800+'Damage classification-Rankin'!Z800)))</f>
        <v/>
      </c>
    </row>
    <row r="801" spans="1:27" ht="13.8" thickBot="1">
      <c r="A801" s="67"/>
      <c r="B801" s="655">
        <f t="shared" si="87"/>
        <v>780</v>
      </c>
      <c r="C801" s="374" t="str">
        <f t="shared" si="88"/>
        <v/>
      </c>
      <c r="D801" s="784" t="str">
        <f t="shared" si="89"/>
        <v/>
      </c>
      <c r="E801" s="784" t="str">
        <f t="shared" si="90"/>
        <v/>
      </c>
      <c r="F801" s="785" t="str">
        <f t="shared" si="91"/>
        <v/>
      </c>
      <c r="G801" s="784" t="str">
        <f t="shared" si="92"/>
        <v/>
      </c>
      <c r="Y801" s="663" t="str">
        <f>IF(C801="","",('transversal subsidence profile'!$L$5*EXP(-(C801^2)/(2*'transversal subsidence profile'!$J$5^2)))*100)</f>
        <v/>
      </c>
      <c r="Z801" s="664" t="str">
        <f>IF(C801="","",(+'transversal subsidence profile'!$L$6*EXP(-((C801+$G$10)^2)/(2*'transversal subsidence profile'!$J$6^2)))*100)</f>
        <v/>
      </c>
      <c r="AA801" s="751" t="str">
        <f>IF(C801="","",IF('IN-OUT'!$F$26=0,'Damage classification-Rankin'!Z801,IF('IN-OUT'!$F$35=0,Y801,'Damage classification-Rankin'!Y801+'Damage classification-Rankin'!Z801)))</f>
        <v/>
      </c>
    </row>
    <row r="802" spans="1:27" ht="13.8" thickBot="1">
      <c r="A802" s="67"/>
      <c r="B802" s="655">
        <f t="shared" si="87"/>
        <v>781</v>
      </c>
      <c r="C802" s="374" t="str">
        <f t="shared" si="88"/>
        <v/>
      </c>
      <c r="D802" s="784" t="str">
        <f t="shared" si="89"/>
        <v/>
      </c>
      <c r="E802" s="784" t="str">
        <f t="shared" si="90"/>
        <v/>
      </c>
      <c r="F802" s="785" t="str">
        <f t="shared" si="91"/>
        <v/>
      </c>
      <c r="G802" s="784" t="str">
        <f t="shared" si="92"/>
        <v/>
      </c>
      <c r="Y802" s="663" t="str">
        <f>IF(C802="","",('transversal subsidence profile'!$L$5*EXP(-(C802^2)/(2*'transversal subsidence profile'!$J$5^2)))*100)</f>
        <v/>
      </c>
      <c r="Z802" s="664" t="str">
        <f>IF(C802="","",(+'transversal subsidence profile'!$L$6*EXP(-((C802+$G$10)^2)/(2*'transversal subsidence profile'!$J$6^2)))*100)</f>
        <v/>
      </c>
      <c r="AA802" s="751" t="str">
        <f>IF(C802="","",IF('IN-OUT'!$F$26=0,'Damage classification-Rankin'!Z802,IF('IN-OUT'!$F$35=0,Y802,'Damage classification-Rankin'!Y802+'Damage classification-Rankin'!Z802)))</f>
        <v/>
      </c>
    </row>
    <row r="803" spans="1:27" ht="13.8" thickBot="1">
      <c r="A803" s="67"/>
      <c r="B803" s="655">
        <f t="shared" si="87"/>
        <v>782</v>
      </c>
      <c r="C803" s="374" t="str">
        <f t="shared" si="88"/>
        <v/>
      </c>
      <c r="D803" s="784" t="str">
        <f t="shared" si="89"/>
        <v/>
      </c>
      <c r="E803" s="784" t="str">
        <f t="shared" si="90"/>
        <v/>
      </c>
      <c r="F803" s="785" t="str">
        <f t="shared" si="91"/>
        <v/>
      </c>
      <c r="G803" s="784" t="str">
        <f t="shared" si="92"/>
        <v/>
      </c>
      <c r="Y803" s="663" t="str">
        <f>IF(C803="","",('transversal subsidence profile'!$L$5*EXP(-(C803^2)/(2*'transversal subsidence profile'!$J$5^2)))*100)</f>
        <v/>
      </c>
      <c r="Z803" s="664" t="str">
        <f>IF(C803="","",(+'transversal subsidence profile'!$L$6*EXP(-((C803+$G$10)^2)/(2*'transversal subsidence profile'!$J$6^2)))*100)</f>
        <v/>
      </c>
      <c r="AA803" s="751" t="str">
        <f>IF(C803="","",IF('IN-OUT'!$F$26=0,'Damage classification-Rankin'!Z803,IF('IN-OUT'!$F$35=0,Y803,'Damage classification-Rankin'!Y803+'Damage classification-Rankin'!Z803)))</f>
        <v/>
      </c>
    </row>
    <row r="804" spans="1:27" ht="13.8" thickBot="1">
      <c r="A804" s="67"/>
      <c r="B804" s="655">
        <f t="shared" si="87"/>
        <v>783</v>
      </c>
      <c r="C804" s="374" t="str">
        <f t="shared" si="88"/>
        <v/>
      </c>
      <c r="D804" s="784" t="str">
        <f t="shared" si="89"/>
        <v/>
      </c>
      <c r="E804" s="784" t="str">
        <f t="shared" si="90"/>
        <v/>
      </c>
      <c r="F804" s="785" t="str">
        <f t="shared" si="91"/>
        <v/>
      </c>
      <c r="G804" s="784" t="str">
        <f t="shared" si="92"/>
        <v/>
      </c>
      <c r="Y804" s="663" t="str">
        <f>IF(C804="","",('transversal subsidence profile'!$L$5*EXP(-(C804^2)/(2*'transversal subsidence profile'!$J$5^2)))*100)</f>
        <v/>
      </c>
      <c r="Z804" s="664" t="str">
        <f>IF(C804="","",(+'transversal subsidence profile'!$L$6*EXP(-((C804+$G$10)^2)/(2*'transversal subsidence profile'!$J$6^2)))*100)</f>
        <v/>
      </c>
      <c r="AA804" s="751" t="str">
        <f>IF(C804="","",IF('IN-OUT'!$F$26=0,'Damage classification-Rankin'!Z804,IF('IN-OUT'!$F$35=0,Y804,'Damage classification-Rankin'!Y804+'Damage classification-Rankin'!Z804)))</f>
        <v/>
      </c>
    </row>
    <row r="805" spans="1:27" ht="13.8" thickBot="1">
      <c r="A805" s="67"/>
      <c r="B805" s="655">
        <f t="shared" si="87"/>
        <v>784</v>
      </c>
      <c r="C805" s="374" t="str">
        <f t="shared" si="88"/>
        <v/>
      </c>
      <c r="D805" s="784" t="str">
        <f t="shared" si="89"/>
        <v/>
      </c>
      <c r="E805" s="784" t="str">
        <f t="shared" si="90"/>
        <v/>
      </c>
      <c r="F805" s="785" t="str">
        <f t="shared" si="91"/>
        <v/>
      </c>
      <c r="G805" s="784" t="str">
        <f t="shared" si="92"/>
        <v/>
      </c>
      <c r="Y805" s="663" t="str">
        <f>IF(C805="","",('transversal subsidence profile'!$L$5*EXP(-(C805^2)/(2*'transversal subsidence profile'!$J$5^2)))*100)</f>
        <v/>
      </c>
      <c r="Z805" s="664" t="str">
        <f>IF(C805="","",(+'transversal subsidence profile'!$L$6*EXP(-((C805+$G$10)^2)/(2*'transversal subsidence profile'!$J$6^2)))*100)</f>
        <v/>
      </c>
      <c r="AA805" s="751" t="str">
        <f>IF(C805="","",IF('IN-OUT'!$F$26=0,'Damage classification-Rankin'!Z805,IF('IN-OUT'!$F$35=0,Y805,'Damage classification-Rankin'!Y805+'Damage classification-Rankin'!Z805)))</f>
        <v/>
      </c>
    </row>
    <row r="806" spans="1:27" ht="13.8" thickBot="1">
      <c r="A806" s="67"/>
      <c r="B806" s="655">
        <f t="shared" si="87"/>
        <v>785</v>
      </c>
      <c r="C806" s="374" t="str">
        <f t="shared" si="88"/>
        <v/>
      </c>
      <c r="D806" s="784" t="str">
        <f t="shared" si="89"/>
        <v/>
      </c>
      <c r="E806" s="784" t="str">
        <f t="shared" si="90"/>
        <v/>
      </c>
      <c r="F806" s="785" t="str">
        <f t="shared" si="91"/>
        <v/>
      </c>
      <c r="G806" s="784" t="str">
        <f t="shared" si="92"/>
        <v/>
      </c>
      <c r="Y806" s="663" t="str">
        <f>IF(C806="","",('transversal subsidence profile'!$L$5*EXP(-(C806^2)/(2*'transversal subsidence profile'!$J$5^2)))*100)</f>
        <v/>
      </c>
      <c r="Z806" s="664" t="str">
        <f>IF(C806="","",(+'transversal subsidence profile'!$L$6*EXP(-((C806+$G$10)^2)/(2*'transversal subsidence profile'!$J$6^2)))*100)</f>
        <v/>
      </c>
      <c r="AA806" s="751" t="str">
        <f>IF(C806="","",IF('IN-OUT'!$F$26=0,'Damage classification-Rankin'!Z806,IF('IN-OUT'!$F$35=0,Y806,'Damage classification-Rankin'!Y806+'Damage classification-Rankin'!Z806)))</f>
        <v/>
      </c>
    </row>
    <row r="807" spans="1:27" ht="13.8" thickBot="1">
      <c r="A807" s="67"/>
      <c r="B807" s="655">
        <f t="shared" si="87"/>
        <v>786</v>
      </c>
      <c r="C807" s="374" t="str">
        <f t="shared" si="88"/>
        <v/>
      </c>
      <c r="D807" s="784" t="str">
        <f t="shared" si="89"/>
        <v/>
      </c>
      <c r="E807" s="784" t="str">
        <f t="shared" si="90"/>
        <v/>
      </c>
      <c r="F807" s="785" t="str">
        <f t="shared" si="91"/>
        <v/>
      </c>
      <c r="G807" s="784" t="str">
        <f t="shared" si="92"/>
        <v/>
      </c>
      <c r="Y807" s="663" t="str">
        <f>IF(C807="","",('transversal subsidence profile'!$L$5*EXP(-(C807^2)/(2*'transversal subsidence profile'!$J$5^2)))*100)</f>
        <v/>
      </c>
      <c r="Z807" s="664" t="str">
        <f>IF(C807="","",(+'transversal subsidence profile'!$L$6*EXP(-((C807+$G$10)^2)/(2*'transversal subsidence profile'!$J$6^2)))*100)</f>
        <v/>
      </c>
      <c r="AA807" s="751" t="str">
        <f>IF(C807="","",IF('IN-OUT'!$F$26=0,'Damage classification-Rankin'!Z807,IF('IN-OUT'!$F$35=0,Y807,'Damage classification-Rankin'!Y807+'Damage classification-Rankin'!Z807)))</f>
        <v/>
      </c>
    </row>
    <row r="808" spans="1:27" ht="13.8" thickBot="1">
      <c r="A808" s="67"/>
      <c r="B808" s="655">
        <f t="shared" si="87"/>
        <v>787</v>
      </c>
      <c r="C808" s="374" t="str">
        <f t="shared" si="88"/>
        <v/>
      </c>
      <c r="D808" s="784" t="str">
        <f t="shared" si="89"/>
        <v/>
      </c>
      <c r="E808" s="784" t="str">
        <f t="shared" si="90"/>
        <v/>
      </c>
      <c r="F808" s="785" t="str">
        <f t="shared" si="91"/>
        <v/>
      </c>
      <c r="G808" s="784" t="str">
        <f t="shared" si="92"/>
        <v/>
      </c>
      <c r="Y808" s="663" t="str">
        <f>IF(C808="","",('transversal subsidence profile'!$L$5*EXP(-(C808^2)/(2*'transversal subsidence profile'!$J$5^2)))*100)</f>
        <v/>
      </c>
      <c r="Z808" s="664" t="str">
        <f>IF(C808="","",(+'transversal subsidence profile'!$L$6*EXP(-((C808+$G$10)^2)/(2*'transversal subsidence profile'!$J$6^2)))*100)</f>
        <v/>
      </c>
      <c r="AA808" s="751" t="str">
        <f>IF(C808="","",IF('IN-OUT'!$F$26=0,'Damage classification-Rankin'!Z808,IF('IN-OUT'!$F$35=0,Y808,'Damage classification-Rankin'!Y808+'Damage classification-Rankin'!Z808)))</f>
        <v/>
      </c>
    </row>
    <row r="809" spans="1:27" ht="13.8" thickBot="1">
      <c r="A809" s="67"/>
      <c r="B809" s="655">
        <f t="shared" si="87"/>
        <v>788</v>
      </c>
      <c r="C809" s="374" t="str">
        <f t="shared" si="88"/>
        <v/>
      </c>
      <c r="D809" s="784" t="str">
        <f t="shared" si="89"/>
        <v/>
      </c>
      <c r="E809" s="784" t="str">
        <f t="shared" si="90"/>
        <v/>
      </c>
      <c r="F809" s="785" t="str">
        <f t="shared" si="91"/>
        <v/>
      </c>
      <c r="G809" s="784" t="str">
        <f t="shared" si="92"/>
        <v/>
      </c>
      <c r="Y809" s="663" t="str">
        <f>IF(C809="","",('transversal subsidence profile'!$L$5*EXP(-(C809^2)/(2*'transversal subsidence profile'!$J$5^2)))*100)</f>
        <v/>
      </c>
      <c r="Z809" s="664" t="str">
        <f>IF(C809="","",(+'transversal subsidence profile'!$L$6*EXP(-((C809+$G$10)^2)/(2*'transversal subsidence profile'!$J$6^2)))*100)</f>
        <v/>
      </c>
      <c r="AA809" s="751" t="str">
        <f>IF(C809="","",IF('IN-OUT'!$F$26=0,'Damage classification-Rankin'!Z809,IF('IN-OUT'!$F$35=0,Y809,'Damage classification-Rankin'!Y809+'Damage classification-Rankin'!Z809)))</f>
        <v/>
      </c>
    </row>
    <row r="810" spans="1:27" ht="13.8" thickBot="1">
      <c r="A810" s="67"/>
      <c r="B810" s="655">
        <f t="shared" si="87"/>
        <v>789</v>
      </c>
      <c r="C810" s="374" t="str">
        <f t="shared" si="88"/>
        <v/>
      </c>
      <c r="D810" s="784" t="str">
        <f t="shared" si="89"/>
        <v/>
      </c>
      <c r="E810" s="784" t="str">
        <f t="shared" si="90"/>
        <v/>
      </c>
      <c r="F810" s="785" t="str">
        <f t="shared" si="91"/>
        <v/>
      </c>
      <c r="G810" s="784" t="str">
        <f t="shared" si="92"/>
        <v/>
      </c>
      <c r="Y810" s="663" t="str">
        <f>IF(C810="","",('transversal subsidence profile'!$L$5*EXP(-(C810^2)/(2*'transversal subsidence profile'!$J$5^2)))*100)</f>
        <v/>
      </c>
      <c r="Z810" s="664" t="str">
        <f>IF(C810="","",(+'transversal subsidence profile'!$L$6*EXP(-((C810+$G$10)^2)/(2*'transversal subsidence profile'!$J$6^2)))*100)</f>
        <v/>
      </c>
      <c r="AA810" s="751" t="str">
        <f>IF(C810="","",IF('IN-OUT'!$F$26=0,'Damage classification-Rankin'!Z810,IF('IN-OUT'!$F$35=0,Y810,'Damage classification-Rankin'!Y810+'Damage classification-Rankin'!Z810)))</f>
        <v/>
      </c>
    </row>
    <row r="811" spans="1:27" ht="13.8" thickBot="1">
      <c r="A811" s="67"/>
      <c r="B811" s="655">
        <f t="shared" si="87"/>
        <v>790</v>
      </c>
      <c r="C811" s="374" t="str">
        <f t="shared" si="88"/>
        <v/>
      </c>
      <c r="D811" s="784" t="str">
        <f t="shared" si="89"/>
        <v/>
      </c>
      <c r="E811" s="784" t="str">
        <f t="shared" si="90"/>
        <v/>
      </c>
      <c r="F811" s="785" t="str">
        <f t="shared" si="91"/>
        <v/>
      </c>
      <c r="G811" s="784" t="str">
        <f t="shared" si="92"/>
        <v/>
      </c>
      <c r="Y811" s="663" t="str">
        <f>IF(C811="","",('transversal subsidence profile'!$L$5*EXP(-(C811^2)/(2*'transversal subsidence profile'!$J$5^2)))*100)</f>
        <v/>
      </c>
      <c r="Z811" s="664" t="str">
        <f>IF(C811="","",(+'transversal subsidence profile'!$L$6*EXP(-((C811+$G$10)^2)/(2*'transversal subsidence profile'!$J$6^2)))*100)</f>
        <v/>
      </c>
      <c r="AA811" s="751" t="str">
        <f>IF(C811="","",IF('IN-OUT'!$F$26=0,'Damage classification-Rankin'!Z811,IF('IN-OUT'!$F$35=0,Y811,'Damage classification-Rankin'!Y811+'Damage classification-Rankin'!Z811)))</f>
        <v/>
      </c>
    </row>
    <row r="812" spans="1:27" ht="13.8" thickBot="1">
      <c r="A812" s="67"/>
      <c r="B812" s="655">
        <f t="shared" si="87"/>
        <v>791</v>
      </c>
      <c r="C812" s="374" t="str">
        <f t="shared" si="88"/>
        <v/>
      </c>
      <c r="D812" s="784" t="str">
        <f t="shared" si="89"/>
        <v/>
      </c>
      <c r="E812" s="784" t="str">
        <f t="shared" si="90"/>
        <v/>
      </c>
      <c r="F812" s="785" t="str">
        <f t="shared" si="91"/>
        <v/>
      </c>
      <c r="G812" s="784" t="str">
        <f t="shared" si="92"/>
        <v/>
      </c>
      <c r="Y812" s="663" t="str">
        <f>IF(C812="","",('transversal subsidence profile'!$L$5*EXP(-(C812^2)/(2*'transversal subsidence profile'!$J$5^2)))*100)</f>
        <v/>
      </c>
      <c r="Z812" s="664" t="str">
        <f>IF(C812="","",(+'transversal subsidence profile'!$L$6*EXP(-((C812+$G$10)^2)/(2*'transversal subsidence profile'!$J$6^2)))*100)</f>
        <v/>
      </c>
      <c r="AA812" s="751" t="str">
        <f>IF(C812="","",IF('IN-OUT'!$F$26=0,'Damage classification-Rankin'!Z812,IF('IN-OUT'!$F$35=0,Y812,'Damage classification-Rankin'!Y812+'Damage classification-Rankin'!Z812)))</f>
        <v/>
      </c>
    </row>
    <row r="813" spans="1:27" ht="13.8" thickBot="1">
      <c r="A813" s="67"/>
      <c r="B813" s="655">
        <f t="shared" si="87"/>
        <v>792</v>
      </c>
      <c r="C813" s="374" t="str">
        <f t="shared" si="88"/>
        <v/>
      </c>
      <c r="D813" s="784" t="str">
        <f t="shared" si="89"/>
        <v/>
      </c>
      <c r="E813" s="784" t="str">
        <f t="shared" si="90"/>
        <v/>
      </c>
      <c r="F813" s="785" t="str">
        <f t="shared" si="91"/>
        <v/>
      </c>
      <c r="G813" s="784" t="str">
        <f t="shared" si="92"/>
        <v/>
      </c>
      <c r="Y813" s="663" t="str">
        <f>IF(C813="","",('transversal subsidence profile'!$L$5*EXP(-(C813^2)/(2*'transversal subsidence profile'!$J$5^2)))*100)</f>
        <v/>
      </c>
      <c r="Z813" s="664" t="str">
        <f>IF(C813="","",(+'transversal subsidence profile'!$L$6*EXP(-((C813+$G$10)^2)/(2*'transversal subsidence profile'!$J$6^2)))*100)</f>
        <v/>
      </c>
      <c r="AA813" s="751" t="str">
        <f>IF(C813="","",IF('IN-OUT'!$F$26=0,'Damage classification-Rankin'!Z813,IF('IN-OUT'!$F$35=0,Y813,'Damage classification-Rankin'!Y813+'Damage classification-Rankin'!Z813)))</f>
        <v/>
      </c>
    </row>
    <row r="814" spans="1:27" ht="13.8" thickBot="1">
      <c r="A814" s="67"/>
      <c r="B814" s="655">
        <f t="shared" si="87"/>
        <v>793</v>
      </c>
      <c r="C814" s="374" t="str">
        <f t="shared" si="88"/>
        <v/>
      </c>
      <c r="D814" s="784" t="str">
        <f t="shared" si="89"/>
        <v/>
      </c>
      <c r="E814" s="784" t="str">
        <f t="shared" si="90"/>
        <v/>
      </c>
      <c r="F814" s="785" t="str">
        <f t="shared" si="91"/>
        <v/>
      </c>
      <c r="G814" s="784" t="str">
        <f t="shared" si="92"/>
        <v/>
      </c>
      <c r="Y814" s="663" t="str">
        <f>IF(C814="","",('transversal subsidence profile'!$L$5*EXP(-(C814^2)/(2*'transversal subsidence profile'!$J$5^2)))*100)</f>
        <v/>
      </c>
      <c r="Z814" s="664" t="str">
        <f>IF(C814="","",(+'transversal subsidence profile'!$L$6*EXP(-((C814+$G$10)^2)/(2*'transversal subsidence profile'!$J$6^2)))*100)</f>
        <v/>
      </c>
      <c r="AA814" s="751" t="str">
        <f>IF(C814="","",IF('IN-OUT'!$F$26=0,'Damage classification-Rankin'!Z814,IF('IN-OUT'!$F$35=0,Y814,'Damage classification-Rankin'!Y814+'Damage classification-Rankin'!Z814)))</f>
        <v/>
      </c>
    </row>
    <row r="815" spans="1:27" ht="13.8" thickBot="1">
      <c r="A815" s="67"/>
      <c r="B815" s="655">
        <f t="shared" si="87"/>
        <v>794</v>
      </c>
      <c r="C815" s="374" t="str">
        <f t="shared" si="88"/>
        <v/>
      </c>
      <c r="D815" s="784" t="str">
        <f t="shared" si="89"/>
        <v/>
      </c>
      <c r="E815" s="784" t="str">
        <f t="shared" si="90"/>
        <v/>
      </c>
      <c r="F815" s="785" t="str">
        <f t="shared" si="91"/>
        <v/>
      </c>
      <c r="G815" s="784" t="str">
        <f t="shared" si="92"/>
        <v/>
      </c>
      <c r="Y815" s="663" t="str">
        <f>IF(C815="","",('transversal subsidence profile'!$L$5*EXP(-(C815^2)/(2*'transversal subsidence profile'!$J$5^2)))*100)</f>
        <v/>
      </c>
      <c r="Z815" s="664" t="str">
        <f>IF(C815="","",(+'transversal subsidence profile'!$L$6*EXP(-((C815+$G$10)^2)/(2*'transversal subsidence profile'!$J$6^2)))*100)</f>
        <v/>
      </c>
      <c r="AA815" s="751" t="str">
        <f>IF(C815="","",IF('IN-OUT'!$F$26=0,'Damage classification-Rankin'!Z815,IF('IN-OUT'!$F$35=0,Y815,'Damage classification-Rankin'!Y815+'Damage classification-Rankin'!Z815)))</f>
        <v/>
      </c>
    </row>
    <row r="816" spans="1:27" ht="13.8" thickBot="1">
      <c r="A816" s="67"/>
      <c r="B816" s="655">
        <f t="shared" si="87"/>
        <v>795</v>
      </c>
      <c r="C816" s="374" t="str">
        <f t="shared" si="88"/>
        <v/>
      </c>
      <c r="D816" s="784" t="str">
        <f t="shared" si="89"/>
        <v/>
      </c>
      <c r="E816" s="784" t="str">
        <f t="shared" si="90"/>
        <v/>
      </c>
      <c r="F816" s="785" t="str">
        <f t="shared" si="91"/>
        <v/>
      </c>
      <c r="G816" s="784" t="str">
        <f t="shared" si="92"/>
        <v/>
      </c>
      <c r="Y816" s="663" t="str">
        <f>IF(C816="","",('transversal subsidence profile'!$L$5*EXP(-(C816^2)/(2*'transversal subsidence profile'!$J$5^2)))*100)</f>
        <v/>
      </c>
      <c r="Z816" s="664" t="str">
        <f>IF(C816="","",(+'transversal subsidence profile'!$L$6*EXP(-((C816+$G$10)^2)/(2*'transversal subsidence profile'!$J$6^2)))*100)</f>
        <v/>
      </c>
      <c r="AA816" s="751" t="str">
        <f>IF(C816="","",IF('IN-OUT'!$F$26=0,'Damage classification-Rankin'!Z816,IF('IN-OUT'!$F$35=0,Y816,'Damage classification-Rankin'!Y816+'Damage classification-Rankin'!Z816)))</f>
        <v/>
      </c>
    </row>
    <row r="817" spans="1:27" ht="13.8" thickBot="1">
      <c r="A817" s="67"/>
      <c r="B817" s="655">
        <f t="shared" si="87"/>
        <v>796</v>
      </c>
      <c r="C817" s="374" t="str">
        <f t="shared" si="88"/>
        <v/>
      </c>
      <c r="D817" s="784" t="str">
        <f t="shared" si="89"/>
        <v/>
      </c>
      <c r="E817" s="784" t="str">
        <f t="shared" si="90"/>
        <v/>
      </c>
      <c r="F817" s="785" t="str">
        <f t="shared" si="91"/>
        <v/>
      </c>
      <c r="G817" s="784" t="str">
        <f t="shared" si="92"/>
        <v/>
      </c>
      <c r="Y817" s="663" t="str">
        <f>IF(C817="","",('transversal subsidence profile'!$L$5*EXP(-(C817^2)/(2*'transversal subsidence profile'!$J$5^2)))*100)</f>
        <v/>
      </c>
      <c r="Z817" s="664" t="str">
        <f>IF(C817="","",(+'transversal subsidence profile'!$L$6*EXP(-((C817+$G$10)^2)/(2*'transversal subsidence profile'!$J$6^2)))*100)</f>
        <v/>
      </c>
      <c r="AA817" s="751" t="str">
        <f>IF(C817="","",IF('IN-OUT'!$F$26=0,'Damage classification-Rankin'!Z817,IF('IN-OUT'!$F$35=0,Y817,'Damage classification-Rankin'!Y817+'Damage classification-Rankin'!Z817)))</f>
        <v/>
      </c>
    </row>
    <row r="818" spans="1:27" ht="13.8" thickBot="1">
      <c r="A818" s="67"/>
      <c r="B818" s="655">
        <f t="shared" si="87"/>
        <v>797</v>
      </c>
      <c r="C818" s="374" t="str">
        <f t="shared" si="88"/>
        <v/>
      </c>
      <c r="D818" s="784" t="str">
        <f t="shared" si="89"/>
        <v/>
      </c>
      <c r="E818" s="784" t="str">
        <f t="shared" si="90"/>
        <v/>
      </c>
      <c r="F818" s="785" t="str">
        <f t="shared" si="91"/>
        <v/>
      </c>
      <c r="G818" s="784" t="str">
        <f t="shared" si="92"/>
        <v/>
      </c>
      <c r="Y818" s="663" t="str">
        <f>IF(C818="","",('transversal subsidence profile'!$L$5*EXP(-(C818^2)/(2*'transversal subsidence profile'!$J$5^2)))*100)</f>
        <v/>
      </c>
      <c r="Z818" s="664" t="str">
        <f>IF(C818="","",(+'transversal subsidence profile'!$L$6*EXP(-((C818+$G$10)^2)/(2*'transversal subsidence profile'!$J$6^2)))*100)</f>
        <v/>
      </c>
      <c r="AA818" s="751" t="str">
        <f>IF(C818="","",IF('IN-OUT'!$F$26=0,'Damage classification-Rankin'!Z818,IF('IN-OUT'!$F$35=0,Y818,'Damage classification-Rankin'!Y818+'Damage classification-Rankin'!Z818)))</f>
        <v/>
      </c>
    </row>
    <row r="819" spans="1:27" ht="13.8" thickBot="1">
      <c r="A819" s="67"/>
      <c r="B819" s="655">
        <f t="shared" si="87"/>
        <v>798</v>
      </c>
      <c r="C819" s="374" t="str">
        <f t="shared" si="88"/>
        <v/>
      </c>
      <c r="D819" s="784" t="str">
        <f t="shared" si="89"/>
        <v/>
      </c>
      <c r="E819" s="784" t="str">
        <f t="shared" si="90"/>
        <v/>
      </c>
      <c r="F819" s="785" t="str">
        <f t="shared" si="91"/>
        <v/>
      </c>
      <c r="G819" s="784" t="str">
        <f t="shared" si="92"/>
        <v/>
      </c>
      <c r="Y819" s="663" t="str">
        <f>IF(C819="","",('transversal subsidence profile'!$L$5*EXP(-(C819^2)/(2*'transversal subsidence profile'!$J$5^2)))*100)</f>
        <v/>
      </c>
      <c r="Z819" s="664" t="str">
        <f>IF(C819="","",(+'transversal subsidence profile'!$L$6*EXP(-((C819+$G$10)^2)/(2*'transversal subsidence profile'!$J$6^2)))*100)</f>
        <v/>
      </c>
      <c r="AA819" s="751" t="str">
        <f>IF(C819="","",IF('IN-OUT'!$F$26=0,'Damage classification-Rankin'!Z819,IF('IN-OUT'!$F$35=0,Y819,'Damage classification-Rankin'!Y819+'Damage classification-Rankin'!Z819)))</f>
        <v/>
      </c>
    </row>
    <row r="820" spans="1:27" ht="13.8" thickBot="1">
      <c r="A820" s="67"/>
      <c r="B820" s="655">
        <f t="shared" si="87"/>
        <v>799</v>
      </c>
      <c r="C820" s="374" t="str">
        <f t="shared" si="88"/>
        <v/>
      </c>
      <c r="D820" s="784" t="str">
        <f t="shared" si="89"/>
        <v/>
      </c>
      <c r="E820" s="784" t="str">
        <f t="shared" si="90"/>
        <v/>
      </c>
      <c r="F820" s="785" t="str">
        <f t="shared" si="91"/>
        <v/>
      </c>
      <c r="G820" s="784" t="str">
        <f t="shared" si="92"/>
        <v/>
      </c>
      <c r="Y820" s="663" t="str">
        <f>IF(C820="","",('transversal subsidence profile'!$L$5*EXP(-(C820^2)/(2*'transversal subsidence profile'!$J$5^2)))*100)</f>
        <v/>
      </c>
      <c r="Z820" s="664" t="str">
        <f>IF(C820="","",(+'transversal subsidence profile'!$L$6*EXP(-((C820+$G$10)^2)/(2*'transversal subsidence profile'!$J$6^2)))*100)</f>
        <v/>
      </c>
      <c r="AA820" s="751" t="str">
        <f>IF(C820="","",IF('IN-OUT'!$F$26=0,'Damage classification-Rankin'!Z820,IF('IN-OUT'!$F$35=0,Y820,'Damage classification-Rankin'!Y820+'Damage classification-Rankin'!Z820)))</f>
        <v/>
      </c>
    </row>
    <row r="821" spans="1:27" ht="13.8" thickBot="1">
      <c r="A821" s="67"/>
      <c r="B821" s="655">
        <f t="shared" si="87"/>
        <v>800</v>
      </c>
      <c r="C821" s="374" t="str">
        <f t="shared" si="88"/>
        <v/>
      </c>
      <c r="D821" s="784" t="str">
        <f t="shared" si="89"/>
        <v/>
      </c>
      <c r="E821" s="784" t="str">
        <f t="shared" si="90"/>
        <v/>
      </c>
      <c r="F821" s="785" t="str">
        <f t="shared" si="91"/>
        <v/>
      </c>
      <c r="G821" s="784" t="str">
        <f t="shared" si="92"/>
        <v/>
      </c>
      <c r="Y821" s="663" t="str">
        <f>IF(C821="","",('transversal subsidence profile'!$L$5*EXP(-(C821^2)/(2*'transversal subsidence profile'!$J$5^2)))*100)</f>
        <v/>
      </c>
      <c r="Z821" s="664" t="str">
        <f>IF(C821="","",(+'transversal subsidence profile'!$L$6*EXP(-((C821+$G$10)^2)/(2*'transversal subsidence profile'!$J$6^2)))*100)</f>
        <v/>
      </c>
      <c r="AA821" s="751" t="str">
        <f>IF(C821="","",IF('IN-OUT'!$F$26=0,'Damage classification-Rankin'!Z821,IF('IN-OUT'!$F$35=0,Y821,'Damage classification-Rankin'!Y821+'Damage classification-Rankin'!Z821)))</f>
        <v/>
      </c>
    </row>
    <row r="822" spans="1:27" ht="13.8" thickBot="1">
      <c r="A822" s="67"/>
      <c r="B822" s="655">
        <f t="shared" si="87"/>
        <v>801</v>
      </c>
      <c r="C822" s="374" t="str">
        <f t="shared" si="88"/>
        <v/>
      </c>
      <c r="D822" s="784" t="str">
        <f t="shared" si="89"/>
        <v/>
      </c>
      <c r="E822" s="784" t="str">
        <f t="shared" si="90"/>
        <v/>
      </c>
      <c r="F822" s="785" t="str">
        <f t="shared" si="91"/>
        <v/>
      </c>
      <c r="G822" s="784" t="str">
        <f t="shared" si="92"/>
        <v/>
      </c>
      <c r="Y822" s="663" t="str">
        <f>IF(C822="","",('transversal subsidence profile'!$L$5*EXP(-(C822^2)/(2*'transversal subsidence profile'!$J$5^2)))*100)</f>
        <v/>
      </c>
      <c r="Z822" s="664" t="str">
        <f>IF(C822="","",(+'transversal subsidence profile'!$L$6*EXP(-((C822+$G$10)^2)/(2*'transversal subsidence profile'!$J$6^2)))*100)</f>
        <v/>
      </c>
      <c r="AA822" s="751" t="str">
        <f>IF(C822="","",IF('IN-OUT'!$F$26=0,'Damage classification-Rankin'!Z822,IF('IN-OUT'!$F$35=0,Y822,'Damage classification-Rankin'!Y822+'Damage classification-Rankin'!Z822)))</f>
        <v/>
      </c>
    </row>
    <row r="823" spans="1:27" ht="13.8" thickBot="1">
      <c r="A823" s="67"/>
      <c r="B823" s="655">
        <f t="shared" si="87"/>
        <v>802</v>
      </c>
      <c r="C823" s="374" t="str">
        <f t="shared" si="88"/>
        <v/>
      </c>
      <c r="D823" s="784" t="str">
        <f t="shared" si="89"/>
        <v/>
      </c>
      <c r="E823" s="784" t="str">
        <f t="shared" si="90"/>
        <v/>
      </c>
      <c r="F823" s="785" t="str">
        <f t="shared" si="91"/>
        <v/>
      </c>
      <c r="G823" s="784" t="str">
        <f t="shared" si="92"/>
        <v/>
      </c>
      <c r="Y823" s="663" t="str">
        <f>IF(C823="","",('transversal subsidence profile'!$L$5*EXP(-(C823^2)/(2*'transversal subsidence profile'!$J$5^2)))*100)</f>
        <v/>
      </c>
      <c r="Z823" s="664" t="str">
        <f>IF(C823="","",(+'transversal subsidence profile'!$L$6*EXP(-((C823+$G$10)^2)/(2*'transversal subsidence profile'!$J$6^2)))*100)</f>
        <v/>
      </c>
      <c r="AA823" s="751" t="str">
        <f>IF(C823="","",IF('IN-OUT'!$F$26=0,'Damage classification-Rankin'!Z823,IF('IN-OUT'!$F$35=0,Y823,'Damage classification-Rankin'!Y823+'Damage classification-Rankin'!Z823)))</f>
        <v/>
      </c>
    </row>
    <row r="824" spans="1:27" ht="13.8" thickBot="1">
      <c r="A824" s="67"/>
      <c r="B824" s="655">
        <f t="shared" si="87"/>
        <v>803</v>
      </c>
      <c r="C824" s="374" t="str">
        <f t="shared" si="88"/>
        <v/>
      </c>
      <c r="D824" s="784" t="str">
        <f t="shared" si="89"/>
        <v/>
      </c>
      <c r="E824" s="784" t="str">
        <f t="shared" si="90"/>
        <v/>
      </c>
      <c r="F824" s="785" t="str">
        <f t="shared" si="91"/>
        <v/>
      </c>
      <c r="G824" s="784" t="str">
        <f t="shared" si="92"/>
        <v/>
      </c>
      <c r="Y824" s="663" t="str">
        <f>IF(C824="","",('transversal subsidence profile'!$L$5*EXP(-(C824^2)/(2*'transversal subsidence profile'!$J$5^2)))*100)</f>
        <v/>
      </c>
      <c r="Z824" s="664" t="str">
        <f>IF(C824="","",(+'transversal subsidence profile'!$L$6*EXP(-((C824+$G$10)^2)/(2*'transversal subsidence profile'!$J$6^2)))*100)</f>
        <v/>
      </c>
      <c r="AA824" s="751" t="str">
        <f>IF(C824="","",IF('IN-OUT'!$F$26=0,'Damage classification-Rankin'!Z824,IF('IN-OUT'!$F$35=0,Y824,'Damage classification-Rankin'!Y824+'Damage classification-Rankin'!Z824)))</f>
        <v/>
      </c>
    </row>
    <row r="825" spans="1:27" ht="13.8" thickBot="1">
      <c r="A825" s="67"/>
      <c r="B825" s="655">
        <f t="shared" si="87"/>
        <v>804</v>
      </c>
      <c r="C825" s="374" t="str">
        <f t="shared" si="88"/>
        <v/>
      </c>
      <c r="D825" s="784" t="str">
        <f t="shared" si="89"/>
        <v/>
      </c>
      <c r="E825" s="784" t="str">
        <f t="shared" si="90"/>
        <v/>
      </c>
      <c r="F825" s="785" t="str">
        <f t="shared" si="91"/>
        <v/>
      </c>
      <c r="G825" s="784" t="str">
        <f t="shared" si="92"/>
        <v/>
      </c>
      <c r="Y825" s="663" t="str">
        <f>IF(C825="","",('transversal subsidence profile'!$L$5*EXP(-(C825^2)/(2*'transversal subsidence profile'!$J$5^2)))*100)</f>
        <v/>
      </c>
      <c r="Z825" s="664" t="str">
        <f>IF(C825="","",(+'transversal subsidence profile'!$L$6*EXP(-((C825+$G$10)^2)/(2*'transversal subsidence profile'!$J$6^2)))*100)</f>
        <v/>
      </c>
      <c r="AA825" s="751" t="str">
        <f>IF(C825="","",IF('IN-OUT'!$F$26=0,'Damage classification-Rankin'!Z825,IF('IN-OUT'!$F$35=0,Y825,'Damage classification-Rankin'!Y825+'Damage classification-Rankin'!Z825)))</f>
        <v/>
      </c>
    </row>
    <row r="826" spans="1:27" ht="13.8" thickBot="1">
      <c r="A826" s="67"/>
      <c r="B826" s="655">
        <f t="shared" si="87"/>
        <v>805</v>
      </c>
      <c r="C826" s="374" t="str">
        <f t="shared" si="88"/>
        <v/>
      </c>
      <c r="D826" s="784" t="str">
        <f t="shared" si="89"/>
        <v/>
      </c>
      <c r="E826" s="784" t="str">
        <f t="shared" si="90"/>
        <v/>
      </c>
      <c r="F826" s="785" t="str">
        <f t="shared" si="91"/>
        <v/>
      </c>
      <c r="G826" s="784" t="str">
        <f t="shared" si="92"/>
        <v/>
      </c>
      <c r="Y826" s="663" t="str">
        <f>IF(C826="","",('transversal subsidence profile'!$L$5*EXP(-(C826^2)/(2*'transversal subsidence profile'!$J$5^2)))*100)</f>
        <v/>
      </c>
      <c r="Z826" s="664" t="str">
        <f>IF(C826="","",(+'transversal subsidence profile'!$L$6*EXP(-((C826+$G$10)^2)/(2*'transversal subsidence profile'!$J$6^2)))*100)</f>
        <v/>
      </c>
      <c r="AA826" s="751" t="str">
        <f>IF(C826="","",IF('IN-OUT'!$F$26=0,'Damage classification-Rankin'!Z826,IF('IN-OUT'!$F$35=0,Y826,'Damage classification-Rankin'!Y826+'Damage classification-Rankin'!Z826)))</f>
        <v/>
      </c>
    </row>
    <row r="827" spans="1:27" ht="13.8" thickBot="1">
      <c r="A827" s="67"/>
      <c r="B827" s="655">
        <f t="shared" si="87"/>
        <v>806</v>
      </c>
      <c r="C827" s="374" t="str">
        <f t="shared" si="88"/>
        <v/>
      </c>
      <c r="D827" s="784" t="str">
        <f t="shared" si="89"/>
        <v/>
      </c>
      <c r="E827" s="784" t="str">
        <f t="shared" si="90"/>
        <v/>
      </c>
      <c r="F827" s="785" t="str">
        <f t="shared" si="91"/>
        <v/>
      </c>
      <c r="G827" s="784" t="str">
        <f t="shared" si="92"/>
        <v/>
      </c>
      <c r="Y827" s="663" t="str">
        <f>IF(C827="","",('transversal subsidence profile'!$L$5*EXP(-(C827^2)/(2*'transversal subsidence profile'!$J$5^2)))*100)</f>
        <v/>
      </c>
      <c r="Z827" s="664" t="str">
        <f>IF(C827="","",(+'transversal subsidence profile'!$L$6*EXP(-((C827+$G$10)^2)/(2*'transversal subsidence profile'!$J$6^2)))*100)</f>
        <v/>
      </c>
      <c r="AA827" s="751" t="str">
        <f>IF(C827="","",IF('IN-OUT'!$F$26=0,'Damage classification-Rankin'!Z827,IF('IN-OUT'!$F$35=0,Y827,'Damage classification-Rankin'!Y827+'Damage classification-Rankin'!Z827)))</f>
        <v/>
      </c>
    </row>
    <row r="828" spans="1:27" ht="13.8" thickBot="1">
      <c r="A828" s="67"/>
      <c r="B828" s="655">
        <f t="shared" si="87"/>
        <v>807</v>
      </c>
      <c r="C828" s="374" t="str">
        <f t="shared" si="88"/>
        <v/>
      </c>
      <c r="D828" s="784" t="str">
        <f t="shared" si="89"/>
        <v/>
      </c>
      <c r="E828" s="784" t="str">
        <f t="shared" si="90"/>
        <v/>
      </c>
      <c r="F828" s="785" t="str">
        <f t="shared" si="91"/>
        <v/>
      </c>
      <c r="G828" s="784" t="str">
        <f t="shared" si="92"/>
        <v/>
      </c>
      <c r="Y828" s="663" t="str">
        <f>IF(C828="","",('transversal subsidence profile'!$L$5*EXP(-(C828^2)/(2*'transversal subsidence profile'!$J$5^2)))*100)</f>
        <v/>
      </c>
      <c r="Z828" s="664" t="str">
        <f>IF(C828="","",(+'transversal subsidence profile'!$L$6*EXP(-((C828+$G$10)^2)/(2*'transversal subsidence profile'!$J$6^2)))*100)</f>
        <v/>
      </c>
      <c r="AA828" s="751" t="str">
        <f>IF(C828="","",IF('IN-OUT'!$F$26=0,'Damage classification-Rankin'!Z828,IF('IN-OUT'!$F$35=0,Y828,'Damage classification-Rankin'!Y828+'Damage classification-Rankin'!Z828)))</f>
        <v/>
      </c>
    </row>
    <row r="829" spans="1:27" ht="13.8" thickBot="1">
      <c r="A829" s="67"/>
      <c r="B829" s="655">
        <f t="shared" si="87"/>
        <v>808</v>
      </c>
      <c r="C829" s="374" t="str">
        <f t="shared" si="88"/>
        <v/>
      </c>
      <c r="D829" s="784" t="str">
        <f t="shared" si="89"/>
        <v/>
      </c>
      <c r="E829" s="784" t="str">
        <f t="shared" si="90"/>
        <v/>
      </c>
      <c r="F829" s="785" t="str">
        <f t="shared" si="91"/>
        <v/>
      </c>
      <c r="G829" s="784" t="str">
        <f t="shared" si="92"/>
        <v/>
      </c>
      <c r="Y829" s="663" t="str">
        <f>IF(C829="","",('transversal subsidence profile'!$L$5*EXP(-(C829^2)/(2*'transversal subsidence profile'!$J$5^2)))*100)</f>
        <v/>
      </c>
      <c r="Z829" s="664" t="str">
        <f>IF(C829="","",(+'transversal subsidence profile'!$L$6*EXP(-((C829+$G$10)^2)/(2*'transversal subsidence profile'!$J$6^2)))*100)</f>
        <v/>
      </c>
      <c r="AA829" s="751" t="str">
        <f>IF(C829="","",IF('IN-OUT'!$F$26=0,'Damage classification-Rankin'!Z829,IF('IN-OUT'!$F$35=0,Y829,'Damage classification-Rankin'!Y829+'Damage classification-Rankin'!Z829)))</f>
        <v/>
      </c>
    </row>
    <row r="830" spans="1:27" ht="13.8" thickBot="1">
      <c r="A830" s="67"/>
      <c r="B830" s="655">
        <f t="shared" si="87"/>
        <v>809</v>
      </c>
      <c r="C830" s="374" t="str">
        <f t="shared" si="88"/>
        <v/>
      </c>
      <c r="D830" s="784" t="str">
        <f t="shared" si="89"/>
        <v/>
      </c>
      <c r="E830" s="784" t="str">
        <f t="shared" si="90"/>
        <v/>
      </c>
      <c r="F830" s="785" t="str">
        <f t="shared" si="91"/>
        <v/>
      </c>
      <c r="G830" s="784" t="str">
        <f t="shared" si="92"/>
        <v/>
      </c>
      <c r="Y830" s="663" t="str">
        <f>IF(C830="","",('transversal subsidence profile'!$L$5*EXP(-(C830^2)/(2*'transversal subsidence profile'!$J$5^2)))*100)</f>
        <v/>
      </c>
      <c r="Z830" s="664" t="str">
        <f>IF(C830="","",(+'transversal subsidence profile'!$L$6*EXP(-((C830+$G$10)^2)/(2*'transversal subsidence profile'!$J$6^2)))*100)</f>
        <v/>
      </c>
      <c r="AA830" s="751" t="str">
        <f>IF(C830="","",IF('IN-OUT'!$F$26=0,'Damage classification-Rankin'!Z830,IF('IN-OUT'!$F$35=0,Y830,'Damage classification-Rankin'!Y830+'Damage classification-Rankin'!Z830)))</f>
        <v/>
      </c>
    </row>
    <row r="831" spans="1:27" ht="13.8" thickBot="1">
      <c r="A831" s="67"/>
      <c r="B831" s="655">
        <f t="shared" si="87"/>
        <v>810</v>
      </c>
      <c r="C831" s="374" t="str">
        <f t="shared" si="88"/>
        <v/>
      </c>
      <c r="D831" s="784" t="str">
        <f t="shared" si="89"/>
        <v/>
      </c>
      <c r="E831" s="784" t="str">
        <f t="shared" si="90"/>
        <v/>
      </c>
      <c r="F831" s="785" t="str">
        <f t="shared" si="91"/>
        <v/>
      </c>
      <c r="G831" s="784" t="str">
        <f t="shared" si="92"/>
        <v/>
      </c>
      <c r="Y831" s="663" t="str">
        <f>IF(C831="","",('transversal subsidence profile'!$L$5*EXP(-(C831^2)/(2*'transversal subsidence profile'!$J$5^2)))*100)</f>
        <v/>
      </c>
      <c r="Z831" s="664" t="str">
        <f>IF(C831="","",(+'transversal subsidence profile'!$L$6*EXP(-((C831+$G$10)^2)/(2*'transversal subsidence profile'!$J$6^2)))*100)</f>
        <v/>
      </c>
      <c r="AA831" s="751" t="str">
        <f>IF(C831="","",IF('IN-OUT'!$F$26=0,'Damage classification-Rankin'!Z831,IF('IN-OUT'!$F$35=0,Y831,'Damage classification-Rankin'!Y831+'Damage classification-Rankin'!Z831)))</f>
        <v/>
      </c>
    </row>
    <row r="832" spans="1:27" ht="13.8" thickBot="1">
      <c r="A832" s="67"/>
      <c r="B832" s="655">
        <f t="shared" si="87"/>
        <v>811</v>
      </c>
      <c r="C832" s="374" t="str">
        <f t="shared" si="88"/>
        <v/>
      </c>
      <c r="D832" s="784" t="str">
        <f t="shared" si="89"/>
        <v/>
      </c>
      <c r="E832" s="784" t="str">
        <f t="shared" si="90"/>
        <v/>
      </c>
      <c r="F832" s="785" t="str">
        <f t="shared" si="91"/>
        <v/>
      </c>
      <c r="G832" s="784" t="str">
        <f t="shared" si="92"/>
        <v/>
      </c>
      <c r="Y832" s="663" t="str">
        <f>IF(C832="","",('transversal subsidence profile'!$L$5*EXP(-(C832^2)/(2*'transversal subsidence profile'!$J$5^2)))*100)</f>
        <v/>
      </c>
      <c r="Z832" s="664" t="str">
        <f>IF(C832="","",(+'transversal subsidence profile'!$L$6*EXP(-((C832+$G$10)^2)/(2*'transversal subsidence profile'!$J$6^2)))*100)</f>
        <v/>
      </c>
      <c r="AA832" s="751" t="str">
        <f>IF(C832="","",IF('IN-OUT'!$F$26=0,'Damage classification-Rankin'!Z832,IF('IN-OUT'!$F$35=0,Y832,'Damage classification-Rankin'!Y832+'Damage classification-Rankin'!Z832)))</f>
        <v/>
      </c>
    </row>
    <row r="833" spans="1:27" ht="13.8" thickBot="1">
      <c r="A833" s="67"/>
      <c r="B833" s="655">
        <f t="shared" si="87"/>
        <v>812</v>
      </c>
      <c r="C833" s="374" t="str">
        <f t="shared" si="88"/>
        <v/>
      </c>
      <c r="D833" s="784" t="str">
        <f t="shared" si="89"/>
        <v/>
      </c>
      <c r="E833" s="784" t="str">
        <f t="shared" si="90"/>
        <v/>
      </c>
      <c r="F833" s="785" t="str">
        <f t="shared" si="91"/>
        <v/>
      </c>
      <c r="G833" s="784" t="str">
        <f t="shared" si="92"/>
        <v/>
      </c>
      <c r="Y833" s="663" t="str">
        <f>IF(C833="","",('transversal subsidence profile'!$L$5*EXP(-(C833^2)/(2*'transversal subsidence profile'!$J$5^2)))*100)</f>
        <v/>
      </c>
      <c r="Z833" s="664" t="str">
        <f>IF(C833="","",(+'transversal subsidence profile'!$L$6*EXP(-((C833+$G$10)^2)/(2*'transversal subsidence profile'!$J$6^2)))*100)</f>
        <v/>
      </c>
      <c r="AA833" s="751" t="str">
        <f>IF(C833="","",IF('IN-OUT'!$F$26=0,'Damage classification-Rankin'!Z833,IF('IN-OUT'!$F$35=0,Y833,'Damage classification-Rankin'!Y833+'Damage classification-Rankin'!Z833)))</f>
        <v/>
      </c>
    </row>
    <row r="834" spans="1:27" ht="13.8" thickBot="1">
      <c r="A834" s="67"/>
      <c r="B834" s="655">
        <f t="shared" si="87"/>
        <v>813</v>
      </c>
      <c r="C834" s="374" t="str">
        <f t="shared" si="88"/>
        <v/>
      </c>
      <c r="D834" s="784" t="str">
        <f t="shared" si="89"/>
        <v/>
      </c>
      <c r="E834" s="784" t="str">
        <f t="shared" si="90"/>
        <v/>
      </c>
      <c r="F834" s="785" t="str">
        <f t="shared" si="91"/>
        <v/>
      </c>
      <c r="G834" s="784" t="str">
        <f t="shared" si="92"/>
        <v/>
      </c>
      <c r="Y834" s="663" t="str">
        <f>IF(C834="","",('transversal subsidence profile'!$L$5*EXP(-(C834^2)/(2*'transversal subsidence profile'!$J$5^2)))*100)</f>
        <v/>
      </c>
      <c r="Z834" s="664" t="str">
        <f>IF(C834="","",(+'transversal subsidence profile'!$L$6*EXP(-((C834+$G$10)^2)/(2*'transversal subsidence profile'!$J$6^2)))*100)</f>
        <v/>
      </c>
      <c r="AA834" s="751" t="str">
        <f>IF(C834="","",IF('IN-OUT'!$F$26=0,'Damage classification-Rankin'!Z834,IF('IN-OUT'!$F$35=0,Y834,'Damage classification-Rankin'!Y834+'Damage classification-Rankin'!Z834)))</f>
        <v/>
      </c>
    </row>
    <row r="835" spans="1:27" ht="13.8" thickBot="1">
      <c r="A835" s="67"/>
      <c r="B835" s="655">
        <f t="shared" si="87"/>
        <v>814</v>
      </c>
      <c r="C835" s="374" t="str">
        <f t="shared" si="88"/>
        <v/>
      </c>
      <c r="D835" s="784" t="str">
        <f t="shared" si="89"/>
        <v/>
      </c>
      <c r="E835" s="784" t="str">
        <f t="shared" si="90"/>
        <v/>
      </c>
      <c r="F835" s="785" t="str">
        <f t="shared" si="91"/>
        <v/>
      </c>
      <c r="G835" s="784" t="str">
        <f t="shared" si="92"/>
        <v/>
      </c>
      <c r="Y835" s="663" t="str">
        <f>IF(C835="","",('transversal subsidence profile'!$L$5*EXP(-(C835^2)/(2*'transversal subsidence profile'!$J$5^2)))*100)</f>
        <v/>
      </c>
      <c r="Z835" s="664" t="str">
        <f>IF(C835="","",(+'transversal subsidence profile'!$L$6*EXP(-((C835+$G$10)^2)/(2*'transversal subsidence profile'!$J$6^2)))*100)</f>
        <v/>
      </c>
      <c r="AA835" s="751" t="str">
        <f>IF(C835="","",IF('IN-OUT'!$F$26=0,'Damage classification-Rankin'!Z835,IF('IN-OUT'!$F$35=0,Y835,'Damage classification-Rankin'!Y835+'Damage classification-Rankin'!Z835)))</f>
        <v/>
      </c>
    </row>
    <row r="836" spans="1:27" ht="13.8" thickBot="1">
      <c r="A836" s="67"/>
      <c r="B836" s="655">
        <f t="shared" si="87"/>
        <v>815</v>
      </c>
      <c r="C836" s="374" t="str">
        <f t="shared" si="88"/>
        <v/>
      </c>
      <c r="D836" s="784" t="str">
        <f t="shared" si="89"/>
        <v/>
      </c>
      <c r="E836" s="784" t="str">
        <f t="shared" si="90"/>
        <v/>
      </c>
      <c r="F836" s="785" t="str">
        <f t="shared" si="91"/>
        <v/>
      </c>
      <c r="G836" s="784" t="str">
        <f t="shared" si="92"/>
        <v/>
      </c>
      <c r="Y836" s="663" t="str">
        <f>IF(C836="","",('transversal subsidence profile'!$L$5*EXP(-(C836^2)/(2*'transversal subsidence profile'!$J$5^2)))*100)</f>
        <v/>
      </c>
      <c r="Z836" s="664" t="str">
        <f>IF(C836="","",(+'transversal subsidence profile'!$L$6*EXP(-((C836+$G$10)^2)/(2*'transversal subsidence profile'!$J$6^2)))*100)</f>
        <v/>
      </c>
      <c r="AA836" s="751" t="str">
        <f>IF(C836="","",IF('IN-OUT'!$F$26=0,'Damage classification-Rankin'!Z836,IF('IN-OUT'!$F$35=0,Y836,'Damage classification-Rankin'!Y836+'Damage classification-Rankin'!Z836)))</f>
        <v/>
      </c>
    </row>
    <row r="837" spans="1:27" ht="13.8" thickBot="1">
      <c r="A837" s="67"/>
      <c r="B837" s="655">
        <f t="shared" si="87"/>
        <v>816</v>
      </c>
      <c r="C837" s="374" t="str">
        <f t="shared" si="88"/>
        <v/>
      </c>
      <c r="D837" s="784" t="str">
        <f t="shared" si="89"/>
        <v/>
      </c>
      <c r="E837" s="784" t="str">
        <f t="shared" si="90"/>
        <v/>
      </c>
      <c r="F837" s="785" t="str">
        <f t="shared" si="91"/>
        <v/>
      </c>
      <c r="G837" s="784" t="str">
        <f t="shared" si="92"/>
        <v/>
      </c>
      <c r="Y837" s="663" t="str">
        <f>IF(C837="","",('transversal subsidence profile'!$L$5*EXP(-(C837^2)/(2*'transversal subsidence profile'!$J$5^2)))*100)</f>
        <v/>
      </c>
      <c r="Z837" s="664" t="str">
        <f>IF(C837="","",(+'transversal subsidence profile'!$L$6*EXP(-((C837+$G$10)^2)/(2*'transversal subsidence profile'!$J$6^2)))*100)</f>
        <v/>
      </c>
      <c r="AA837" s="751" t="str">
        <f>IF(C837="","",IF('IN-OUT'!$F$26=0,'Damage classification-Rankin'!Z837,IF('IN-OUT'!$F$35=0,Y837,'Damage classification-Rankin'!Y837+'Damage classification-Rankin'!Z837)))</f>
        <v/>
      </c>
    </row>
    <row r="838" spans="1:27" ht="13.8" thickBot="1">
      <c r="A838" s="67"/>
      <c r="B838" s="655">
        <f t="shared" si="87"/>
        <v>817</v>
      </c>
      <c r="C838" s="374" t="str">
        <f t="shared" si="88"/>
        <v/>
      </c>
      <c r="D838" s="784" t="str">
        <f t="shared" si="89"/>
        <v/>
      </c>
      <c r="E838" s="784" t="str">
        <f t="shared" si="90"/>
        <v/>
      </c>
      <c r="F838" s="785" t="str">
        <f t="shared" si="91"/>
        <v/>
      </c>
      <c r="G838" s="784" t="str">
        <f t="shared" si="92"/>
        <v/>
      </c>
      <c r="Y838" s="663" t="str">
        <f>IF(C838="","",('transversal subsidence profile'!$L$5*EXP(-(C838^2)/(2*'transversal subsidence profile'!$J$5^2)))*100)</f>
        <v/>
      </c>
      <c r="Z838" s="664" t="str">
        <f>IF(C838="","",(+'transversal subsidence profile'!$L$6*EXP(-((C838+$G$10)^2)/(2*'transversal subsidence profile'!$J$6^2)))*100)</f>
        <v/>
      </c>
      <c r="AA838" s="751" t="str">
        <f>IF(C838="","",IF('IN-OUT'!$F$26=0,'Damage classification-Rankin'!Z838,IF('IN-OUT'!$F$35=0,Y838,'Damage classification-Rankin'!Y838+'Damage classification-Rankin'!Z838)))</f>
        <v/>
      </c>
    </row>
    <row r="839" spans="1:27" ht="13.8" thickBot="1">
      <c r="A839" s="67"/>
      <c r="B839" s="655">
        <f t="shared" si="87"/>
        <v>818</v>
      </c>
      <c r="C839" s="374" t="str">
        <f t="shared" si="88"/>
        <v/>
      </c>
      <c r="D839" s="784" t="str">
        <f t="shared" si="89"/>
        <v/>
      </c>
      <c r="E839" s="784" t="str">
        <f t="shared" si="90"/>
        <v/>
      </c>
      <c r="F839" s="785" t="str">
        <f t="shared" si="91"/>
        <v/>
      </c>
      <c r="G839" s="784" t="str">
        <f t="shared" si="92"/>
        <v/>
      </c>
      <c r="Y839" s="663" t="str">
        <f>IF(C839="","",('transversal subsidence profile'!$L$5*EXP(-(C839^2)/(2*'transversal subsidence profile'!$J$5^2)))*100)</f>
        <v/>
      </c>
      <c r="Z839" s="664" t="str">
        <f>IF(C839="","",(+'transversal subsidence profile'!$L$6*EXP(-((C839+$G$10)^2)/(2*'transversal subsidence profile'!$J$6^2)))*100)</f>
        <v/>
      </c>
      <c r="AA839" s="751" t="str">
        <f>IF(C839="","",IF('IN-OUT'!$F$26=0,'Damage classification-Rankin'!Z839,IF('IN-OUT'!$F$35=0,Y839,'Damage classification-Rankin'!Y839+'Damage classification-Rankin'!Z839)))</f>
        <v/>
      </c>
    </row>
    <row r="840" spans="1:27" ht="13.8" thickBot="1">
      <c r="A840" s="67"/>
      <c r="B840" s="655">
        <f t="shared" si="87"/>
        <v>819</v>
      </c>
      <c r="C840" s="374" t="str">
        <f t="shared" si="88"/>
        <v/>
      </c>
      <c r="D840" s="784" t="str">
        <f t="shared" si="89"/>
        <v/>
      </c>
      <c r="E840" s="784" t="str">
        <f t="shared" si="90"/>
        <v/>
      </c>
      <c r="F840" s="785" t="str">
        <f t="shared" si="91"/>
        <v/>
      </c>
      <c r="G840" s="784" t="str">
        <f t="shared" si="92"/>
        <v/>
      </c>
      <c r="Y840" s="663" t="str">
        <f>IF(C840="","",('transversal subsidence profile'!$L$5*EXP(-(C840^2)/(2*'transversal subsidence profile'!$J$5^2)))*100)</f>
        <v/>
      </c>
      <c r="Z840" s="664" t="str">
        <f>IF(C840="","",(+'transversal subsidence profile'!$L$6*EXP(-((C840+$G$10)^2)/(2*'transversal subsidence profile'!$J$6^2)))*100)</f>
        <v/>
      </c>
      <c r="AA840" s="751" t="str">
        <f>IF(C840="","",IF('IN-OUT'!$F$26=0,'Damage classification-Rankin'!Z840,IF('IN-OUT'!$F$35=0,Y840,'Damage classification-Rankin'!Y840+'Damage classification-Rankin'!Z840)))</f>
        <v/>
      </c>
    </row>
    <row r="841" spans="1:27" ht="13.8" thickBot="1">
      <c r="A841" s="67"/>
      <c r="B841" s="655">
        <f t="shared" si="87"/>
        <v>820</v>
      </c>
      <c r="C841" s="374" t="str">
        <f t="shared" si="88"/>
        <v/>
      </c>
      <c r="D841" s="784" t="str">
        <f t="shared" si="89"/>
        <v/>
      </c>
      <c r="E841" s="784" t="str">
        <f t="shared" si="90"/>
        <v/>
      </c>
      <c r="F841" s="785" t="str">
        <f t="shared" si="91"/>
        <v/>
      </c>
      <c r="G841" s="784" t="str">
        <f t="shared" si="92"/>
        <v/>
      </c>
      <c r="Y841" s="663" t="str">
        <f>IF(C841="","",('transversal subsidence profile'!$L$5*EXP(-(C841^2)/(2*'transversal subsidence profile'!$J$5^2)))*100)</f>
        <v/>
      </c>
      <c r="Z841" s="664" t="str">
        <f>IF(C841="","",(+'transversal subsidence profile'!$L$6*EXP(-((C841+$G$10)^2)/(2*'transversal subsidence profile'!$J$6^2)))*100)</f>
        <v/>
      </c>
      <c r="AA841" s="751" t="str">
        <f>IF(C841="","",IF('IN-OUT'!$F$26=0,'Damage classification-Rankin'!Z841,IF('IN-OUT'!$F$35=0,Y841,'Damage classification-Rankin'!Y841+'Damage classification-Rankin'!Z841)))</f>
        <v/>
      </c>
    </row>
    <row r="842" spans="1:27" ht="13.8" thickBot="1">
      <c r="A842" s="67"/>
      <c r="B842" s="655">
        <f t="shared" ref="B842:B905" si="93">B841+1</f>
        <v>821</v>
      </c>
      <c r="C842" s="374" t="str">
        <f t="shared" ref="C842:C905" si="94">IF(OR(C841=$D$8,C841=""),"",IF((C841+$C$19)&gt;$D$8,$D$8,C841+$C$19))</f>
        <v/>
      </c>
      <c r="D842" s="784" t="str">
        <f t="shared" ref="D842:D905" si="95">AA842</f>
        <v/>
      </c>
      <c r="E842" s="784" t="str">
        <f t="shared" ref="E842:E905" si="96">IF(C842="","",IF(D842&gt;D841,ATAN(((D842-D841))/ABS((C842-C841)*100)),-ATAN(((D841-D842))/ABS((C842-C841)*100))))</f>
        <v/>
      </c>
      <c r="F842" s="785" t="str">
        <f t="shared" ref="F842:F905" si="97">IF(C842&lt;&gt;"",ABS(D841-D842),"")</f>
        <v/>
      </c>
      <c r="G842" s="784" t="str">
        <f t="shared" si="92"/>
        <v/>
      </c>
      <c r="Y842" s="663" t="str">
        <f>IF(C842="","",('transversal subsidence profile'!$L$5*EXP(-(C842^2)/(2*'transversal subsidence profile'!$J$5^2)))*100)</f>
        <v/>
      </c>
      <c r="Z842" s="664" t="str">
        <f>IF(C842="","",(+'transversal subsidence profile'!$L$6*EXP(-((C842+$G$10)^2)/(2*'transversal subsidence profile'!$J$6^2)))*100)</f>
        <v/>
      </c>
      <c r="AA842" s="751" t="str">
        <f>IF(C842="","",IF('IN-OUT'!$F$26=0,'Damage classification-Rankin'!Z842,IF('IN-OUT'!$F$35=0,Y842,'Damage classification-Rankin'!Y842+'Damage classification-Rankin'!Z842)))</f>
        <v/>
      </c>
    </row>
    <row r="843" spans="1:27" ht="13.8" thickBot="1">
      <c r="A843" s="67"/>
      <c r="B843" s="655">
        <f t="shared" si="93"/>
        <v>822</v>
      </c>
      <c r="C843" s="374" t="str">
        <f t="shared" si="94"/>
        <v/>
      </c>
      <c r="D843" s="784" t="str">
        <f t="shared" si="95"/>
        <v/>
      </c>
      <c r="E843" s="784" t="str">
        <f t="shared" si="96"/>
        <v/>
      </c>
      <c r="F843" s="785" t="str">
        <f t="shared" si="97"/>
        <v/>
      </c>
      <c r="G843" s="784" t="str">
        <f t="shared" si="92"/>
        <v/>
      </c>
      <c r="Y843" s="663" t="str">
        <f>IF(C843="","",('transversal subsidence profile'!$L$5*EXP(-(C843^2)/(2*'transversal subsidence profile'!$J$5^2)))*100)</f>
        <v/>
      </c>
      <c r="Z843" s="664" t="str">
        <f>IF(C843="","",(+'transversal subsidence profile'!$L$6*EXP(-((C843+$G$10)^2)/(2*'transversal subsidence profile'!$J$6^2)))*100)</f>
        <v/>
      </c>
      <c r="AA843" s="751" t="str">
        <f>IF(C843="","",IF('IN-OUT'!$F$26=0,'Damage classification-Rankin'!Z843,IF('IN-OUT'!$F$35=0,Y843,'Damage classification-Rankin'!Y843+'Damage classification-Rankin'!Z843)))</f>
        <v/>
      </c>
    </row>
    <row r="844" spans="1:27" ht="13.8" thickBot="1">
      <c r="A844" s="67"/>
      <c r="B844" s="655">
        <f t="shared" si="93"/>
        <v>823</v>
      </c>
      <c r="C844" s="374" t="str">
        <f t="shared" si="94"/>
        <v/>
      </c>
      <c r="D844" s="784" t="str">
        <f t="shared" si="95"/>
        <v/>
      </c>
      <c r="E844" s="784" t="str">
        <f t="shared" si="96"/>
        <v/>
      </c>
      <c r="F844" s="785" t="str">
        <f t="shared" si="97"/>
        <v/>
      </c>
      <c r="G844" s="784" t="str">
        <f t="shared" si="92"/>
        <v/>
      </c>
      <c r="Y844" s="663" t="str">
        <f>IF(C844="","",('transversal subsidence profile'!$L$5*EXP(-(C844^2)/(2*'transversal subsidence profile'!$J$5^2)))*100)</f>
        <v/>
      </c>
      <c r="Z844" s="664" t="str">
        <f>IF(C844="","",(+'transversal subsidence profile'!$L$6*EXP(-((C844+$G$10)^2)/(2*'transversal subsidence profile'!$J$6^2)))*100)</f>
        <v/>
      </c>
      <c r="AA844" s="751" t="str">
        <f>IF(C844="","",IF('IN-OUT'!$F$26=0,'Damage classification-Rankin'!Z844,IF('IN-OUT'!$F$35=0,Y844,'Damage classification-Rankin'!Y844+'Damage classification-Rankin'!Z844)))</f>
        <v/>
      </c>
    </row>
    <row r="845" spans="1:27" ht="13.8" thickBot="1">
      <c r="A845" s="67"/>
      <c r="B845" s="655">
        <f t="shared" si="93"/>
        <v>824</v>
      </c>
      <c r="C845" s="374" t="str">
        <f t="shared" si="94"/>
        <v/>
      </c>
      <c r="D845" s="784" t="str">
        <f t="shared" si="95"/>
        <v/>
      </c>
      <c r="E845" s="784" t="str">
        <f t="shared" si="96"/>
        <v/>
      </c>
      <c r="F845" s="785" t="str">
        <f t="shared" si="97"/>
        <v/>
      </c>
      <c r="G845" s="784" t="str">
        <f t="shared" si="92"/>
        <v/>
      </c>
      <c r="Y845" s="663" t="str">
        <f>IF(C845="","",('transversal subsidence profile'!$L$5*EXP(-(C845^2)/(2*'transversal subsidence profile'!$J$5^2)))*100)</f>
        <v/>
      </c>
      <c r="Z845" s="664" t="str">
        <f>IF(C845="","",(+'transversal subsidence profile'!$L$6*EXP(-((C845+$G$10)^2)/(2*'transversal subsidence profile'!$J$6^2)))*100)</f>
        <v/>
      </c>
      <c r="AA845" s="751" t="str">
        <f>IF(C845="","",IF('IN-OUT'!$F$26=0,'Damage classification-Rankin'!Z845,IF('IN-OUT'!$F$35=0,Y845,'Damage classification-Rankin'!Y845+'Damage classification-Rankin'!Z845)))</f>
        <v/>
      </c>
    </row>
    <row r="846" spans="1:27" ht="13.8" thickBot="1">
      <c r="A846" s="67"/>
      <c r="B846" s="655">
        <f t="shared" si="93"/>
        <v>825</v>
      </c>
      <c r="C846" s="374" t="str">
        <f t="shared" si="94"/>
        <v/>
      </c>
      <c r="D846" s="784" t="str">
        <f t="shared" si="95"/>
        <v/>
      </c>
      <c r="E846" s="784" t="str">
        <f t="shared" si="96"/>
        <v/>
      </c>
      <c r="F846" s="785" t="str">
        <f t="shared" si="97"/>
        <v/>
      </c>
      <c r="G846" s="784" t="str">
        <f t="shared" si="92"/>
        <v/>
      </c>
      <c r="Y846" s="663" t="str">
        <f>IF(C846="","",('transversal subsidence profile'!$L$5*EXP(-(C846^2)/(2*'transversal subsidence profile'!$J$5^2)))*100)</f>
        <v/>
      </c>
      <c r="Z846" s="664" t="str">
        <f>IF(C846="","",(+'transversal subsidence profile'!$L$6*EXP(-((C846+$G$10)^2)/(2*'transversal subsidence profile'!$J$6^2)))*100)</f>
        <v/>
      </c>
      <c r="AA846" s="751" t="str">
        <f>IF(C846="","",IF('IN-OUT'!$F$26=0,'Damage classification-Rankin'!Z846,IF('IN-OUT'!$F$35=0,Y846,'Damage classification-Rankin'!Y846+'Damage classification-Rankin'!Z846)))</f>
        <v/>
      </c>
    </row>
    <row r="847" spans="1:27" ht="13.8" thickBot="1">
      <c r="A847" s="67"/>
      <c r="B847" s="655">
        <f t="shared" si="93"/>
        <v>826</v>
      </c>
      <c r="C847" s="374" t="str">
        <f t="shared" si="94"/>
        <v/>
      </c>
      <c r="D847" s="784" t="str">
        <f t="shared" si="95"/>
        <v/>
      </c>
      <c r="E847" s="784" t="str">
        <f t="shared" si="96"/>
        <v/>
      </c>
      <c r="F847" s="785" t="str">
        <f t="shared" si="97"/>
        <v/>
      </c>
      <c r="G847" s="784" t="str">
        <f t="shared" si="92"/>
        <v/>
      </c>
      <c r="Y847" s="663" t="str">
        <f>IF(C847="","",('transversal subsidence profile'!$L$5*EXP(-(C847^2)/(2*'transversal subsidence profile'!$J$5^2)))*100)</f>
        <v/>
      </c>
      <c r="Z847" s="664" t="str">
        <f>IF(C847="","",(+'transversal subsidence profile'!$L$6*EXP(-((C847+$G$10)^2)/(2*'transversal subsidence profile'!$J$6^2)))*100)</f>
        <v/>
      </c>
      <c r="AA847" s="751" t="str">
        <f>IF(C847="","",IF('IN-OUT'!$F$26=0,'Damage classification-Rankin'!Z847,IF('IN-OUT'!$F$35=0,Y847,'Damage classification-Rankin'!Y847+'Damage classification-Rankin'!Z847)))</f>
        <v/>
      </c>
    </row>
    <row r="848" spans="1:27" ht="13.8" thickBot="1">
      <c r="A848" s="67"/>
      <c r="B848" s="655">
        <f t="shared" si="93"/>
        <v>827</v>
      </c>
      <c r="C848" s="374" t="str">
        <f t="shared" si="94"/>
        <v/>
      </c>
      <c r="D848" s="784" t="str">
        <f t="shared" si="95"/>
        <v/>
      </c>
      <c r="E848" s="784" t="str">
        <f t="shared" si="96"/>
        <v/>
      </c>
      <c r="F848" s="785" t="str">
        <f t="shared" si="97"/>
        <v/>
      </c>
      <c r="G848" s="784" t="str">
        <f t="shared" si="92"/>
        <v/>
      </c>
      <c r="Y848" s="663" t="str">
        <f>IF(C848="","",('transversal subsidence profile'!$L$5*EXP(-(C848^2)/(2*'transversal subsidence profile'!$J$5^2)))*100)</f>
        <v/>
      </c>
      <c r="Z848" s="664" t="str">
        <f>IF(C848="","",(+'transversal subsidence profile'!$L$6*EXP(-((C848+$G$10)^2)/(2*'transversal subsidence profile'!$J$6^2)))*100)</f>
        <v/>
      </c>
      <c r="AA848" s="751" t="str">
        <f>IF(C848="","",IF('IN-OUT'!$F$26=0,'Damage classification-Rankin'!Z848,IF('IN-OUT'!$F$35=0,Y848,'Damage classification-Rankin'!Y848+'Damage classification-Rankin'!Z848)))</f>
        <v/>
      </c>
    </row>
    <row r="849" spans="1:27" ht="13.8" thickBot="1">
      <c r="A849" s="67"/>
      <c r="B849" s="655">
        <f t="shared" si="93"/>
        <v>828</v>
      </c>
      <c r="C849" s="374" t="str">
        <f t="shared" si="94"/>
        <v/>
      </c>
      <c r="D849" s="784" t="str">
        <f t="shared" si="95"/>
        <v/>
      </c>
      <c r="E849" s="784" t="str">
        <f t="shared" si="96"/>
        <v/>
      </c>
      <c r="F849" s="785" t="str">
        <f t="shared" si="97"/>
        <v/>
      </c>
      <c r="G849" s="784" t="str">
        <f t="shared" si="92"/>
        <v/>
      </c>
      <c r="Y849" s="663" t="str">
        <f>IF(C849="","",('transversal subsidence profile'!$L$5*EXP(-(C849^2)/(2*'transversal subsidence profile'!$J$5^2)))*100)</f>
        <v/>
      </c>
      <c r="Z849" s="664" t="str">
        <f>IF(C849="","",(+'transversal subsidence profile'!$L$6*EXP(-((C849+$G$10)^2)/(2*'transversal subsidence profile'!$J$6^2)))*100)</f>
        <v/>
      </c>
      <c r="AA849" s="751" t="str">
        <f>IF(C849="","",IF('IN-OUT'!$F$26=0,'Damage classification-Rankin'!Z849,IF('IN-OUT'!$F$35=0,Y849,'Damage classification-Rankin'!Y849+'Damage classification-Rankin'!Z849)))</f>
        <v/>
      </c>
    </row>
    <row r="850" spans="1:27" ht="13.8" thickBot="1">
      <c r="A850" s="67"/>
      <c r="B850" s="655">
        <f t="shared" si="93"/>
        <v>829</v>
      </c>
      <c r="C850" s="374" t="str">
        <f t="shared" si="94"/>
        <v/>
      </c>
      <c r="D850" s="784" t="str">
        <f t="shared" si="95"/>
        <v/>
      </c>
      <c r="E850" s="784" t="str">
        <f t="shared" si="96"/>
        <v/>
      </c>
      <c r="F850" s="785" t="str">
        <f t="shared" si="97"/>
        <v/>
      </c>
      <c r="G850" s="784" t="str">
        <f t="shared" si="92"/>
        <v/>
      </c>
      <c r="Y850" s="663" t="str">
        <f>IF(C850="","",('transversal subsidence profile'!$L$5*EXP(-(C850^2)/(2*'transversal subsidence profile'!$J$5^2)))*100)</f>
        <v/>
      </c>
      <c r="Z850" s="664" t="str">
        <f>IF(C850="","",(+'transversal subsidence profile'!$L$6*EXP(-((C850+$G$10)^2)/(2*'transversal subsidence profile'!$J$6^2)))*100)</f>
        <v/>
      </c>
      <c r="AA850" s="751" t="str">
        <f>IF(C850="","",IF('IN-OUT'!$F$26=0,'Damage classification-Rankin'!Z850,IF('IN-OUT'!$F$35=0,Y850,'Damage classification-Rankin'!Y850+'Damage classification-Rankin'!Z850)))</f>
        <v/>
      </c>
    </row>
    <row r="851" spans="1:27" ht="13.8" thickBot="1">
      <c r="A851" s="67"/>
      <c r="B851" s="655">
        <f t="shared" si="93"/>
        <v>830</v>
      </c>
      <c r="C851" s="374" t="str">
        <f t="shared" si="94"/>
        <v/>
      </c>
      <c r="D851" s="784" t="str">
        <f t="shared" si="95"/>
        <v/>
      </c>
      <c r="E851" s="784" t="str">
        <f t="shared" si="96"/>
        <v/>
      </c>
      <c r="F851" s="785" t="str">
        <f t="shared" si="97"/>
        <v/>
      </c>
      <c r="G851" s="784" t="str">
        <f t="shared" si="92"/>
        <v/>
      </c>
      <c r="Y851" s="663" t="str">
        <f>IF(C851="","",('transversal subsidence profile'!$L$5*EXP(-(C851^2)/(2*'transversal subsidence profile'!$J$5^2)))*100)</f>
        <v/>
      </c>
      <c r="Z851" s="664" t="str">
        <f>IF(C851="","",(+'transversal subsidence profile'!$L$6*EXP(-((C851+$G$10)^2)/(2*'transversal subsidence profile'!$J$6^2)))*100)</f>
        <v/>
      </c>
      <c r="AA851" s="751" t="str">
        <f>IF(C851="","",IF('IN-OUT'!$F$26=0,'Damage classification-Rankin'!Z851,IF('IN-OUT'!$F$35=0,Y851,'Damage classification-Rankin'!Y851+'Damage classification-Rankin'!Z851)))</f>
        <v/>
      </c>
    </row>
    <row r="852" spans="1:27" ht="13.8" thickBot="1">
      <c r="A852" s="67"/>
      <c r="B852" s="655">
        <f t="shared" si="93"/>
        <v>831</v>
      </c>
      <c r="C852" s="374" t="str">
        <f t="shared" si="94"/>
        <v/>
      </c>
      <c r="D852" s="784" t="str">
        <f t="shared" si="95"/>
        <v/>
      </c>
      <c r="E852" s="784" t="str">
        <f t="shared" si="96"/>
        <v/>
      </c>
      <c r="F852" s="785" t="str">
        <f t="shared" si="97"/>
        <v/>
      </c>
      <c r="G852" s="784" t="str">
        <f t="shared" si="92"/>
        <v/>
      </c>
      <c r="Y852" s="663" t="str">
        <f>IF(C852="","",('transversal subsidence profile'!$L$5*EXP(-(C852^2)/(2*'transversal subsidence profile'!$J$5^2)))*100)</f>
        <v/>
      </c>
      <c r="Z852" s="664" t="str">
        <f>IF(C852="","",(+'transversal subsidence profile'!$L$6*EXP(-((C852+$G$10)^2)/(2*'transversal subsidence profile'!$J$6^2)))*100)</f>
        <v/>
      </c>
      <c r="AA852" s="751" t="str">
        <f>IF(C852="","",IF('IN-OUT'!$F$26=0,'Damage classification-Rankin'!Z852,IF('IN-OUT'!$F$35=0,Y852,'Damage classification-Rankin'!Y852+'Damage classification-Rankin'!Z852)))</f>
        <v/>
      </c>
    </row>
    <row r="853" spans="1:27" ht="13.8" thickBot="1">
      <c r="A853" s="67"/>
      <c r="B853" s="655">
        <f t="shared" si="93"/>
        <v>832</v>
      </c>
      <c r="C853" s="374" t="str">
        <f t="shared" si="94"/>
        <v/>
      </c>
      <c r="D853" s="784" t="str">
        <f t="shared" si="95"/>
        <v/>
      </c>
      <c r="E853" s="784" t="str">
        <f t="shared" si="96"/>
        <v/>
      </c>
      <c r="F853" s="785" t="str">
        <f t="shared" si="97"/>
        <v/>
      </c>
      <c r="G853" s="784" t="str">
        <f t="shared" si="92"/>
        <v/>
      </c>
      <c r="Y853" s="663" t="str">
        <f>IF(C853="","",('transversal subsidence profile'!$L$5*EXP(-(C853^2)/(2*'transversal subsidence profile'!$J$5^2)))*100)</f>
        <v/>
      </c>
      <c r="Z853" s="664" t="str">
        <f>IF(C853="","",(+'transversal subsidence profile'!$L$6*EXP(-((C853+$G$10)^2)/(2*'transversal subsidence profile'!$J$6^2)))*100)</f>
        <v/>
      </c>
      <c r="AA853" s="751" t="str">
        <f>IF(C853="","",IF('IN-OUT'!$F$26=0,'Damage classification-Rankin'!Z853,IF('IN-OUT'!$F$35=0,Y853,'Damage classification-Rankin'!Y853+'Damage classification-Rankin'!Z853)))</f>
        <v/>
      </c>
    </row>
    <row r="854" spans="1:27" ht="13.8" thickBot="1">
      <c r="A854" s="67"/>
      <c r="B854" s="655">
        <f t="shared" si="93"/>
        <v>833</v>
      </c>
      <c r="C854" s="374" t="str">
        <f t="shared" si="94"/>
        <v/>
      </c>
      <c r="D854" s="784" t="str">
        <f t="shared" si="95"/>
        <v/>
      </c>
      <c r="E854" s="784" t="str">
        <f t="shared" si="96"/>
        <v/>
      </c>
      <c r="F854" s="785" t="str">
        <f t="shared" si="97"/>
        <v/>
      </c>
      <c r="G854" s="784" t="str">
        <f t="shared" si="92"/>
        <v/>
      </c>
      <c r="Y854" s="663" t="str">
        <f>IF(C854="","",('transversal subsidence profile'!$L$5*EXP(-(C854^2)/(2*'transversal subsidence profile'!$J$5^2)))*100)</f>
        <v/>
      </c>
      <c r="Z854" s="664" t="str">
        <f>IF(C854="","",(+'transversal subsidence profile'!$L$6*EXP(-((C854+$G$10)^2)/(2*'transversal subsidence profile'!$J$6^2)))*100)</f>
        <v/>
      </c>
      <c r="AA854" s="751" t="str">
        <f>IF(C854="","",IF('IN-OUT'!$F$26=0,'Damage classification-Rankin'!Z854,IF('IN-OUT'!$F$35=0,Y854,'Damage classification-Rankin'!Y854+'Damage classification-Rankin'!Z854)))</f>
        <v/>
      </c>
    </row>
    <row r="855" spans="1:27" ht="13.8" thickBot="1">
      <c r="A855" s="67"/>
      <c r="B855" s="655">
        <f t="shared" si="93"/>
        <v>834</v>
      </c>
      <c r="C855" s="374" t="str">
        <f t="shared" si="94"/>
        <v/>
      </c>
      <c r="D855" s="784" t="str">
        <f t="shared" si="95"/>
        <v/>
      </c>
      <c r="E855" s="784" t="str">
        <f t="shared" si="96"/>
        <v/>
      </c>
      <c r="F855" s="785" t="str">
        <f t="shared" si="97"/>
        <v/>
      </c>
      <c r="G855" s="784" t="str">
        <f t="shared" si="92"/>
        <v/>
      </c>
      <c r="Y855" s="663" t="str">
        <f>IF(C855="","",('transversal subsidence profile'!$L$5*EXP(-(C855^2)/(2*'transversal subsidence profile'!$J$5^2)))*100)</f>
        <v/>
      </c>
      <c r="Z855" s="664" t="str">
        <f>IF(C855="","",(+'transversal subsidence profile'!$L$6*EXP(-((C855+$G$10)^2)/(2*'transversal subsidence profile'!$J$6^2)))*100)</f>
        <v/>
      </c>
      <c r="AA855" s="751" t="str">
        <f>IF(C855="","",IF('IN-OUT'!$F$26=0,'Damage classification-Rankin'!Z855,IF('IN-OUT'!$F$35=0,Y855,'Damage classification-Rankin'!Y855+'Damage classification-Rankin'!Z855)))</f>
        <v/>
      </c>
    </row>
    <row r="856" spans="1:27" ht="13.8" thickBot="1">
      <c r="A856" s="67"/>
      <c r="B856" s="655">
        <f t="shared" si="93"/>
        <v>835</v>
      </c>
      <c r="C856" s="374" t="str">
        <f t="shared" si="94"/>
        <v/>
      </c>
      <c r="D856" s="784" t="str">
        <f t="shared" si="95"/>
        <v/>
      </c>
      <c r="E856" s="784" t="str">
        <f t="shared" si="96"/>
        <v/>
      </c>
      <c r="F856" s="785" t="str">
        <f t="shared" si="97"/>
        <v/>
      </c>
      <c r="G856" s="784" t="str">
        <f t="shared" ref="G856:G919" si="98">IF(C856="","",IF(ABS(C855-C856)&lt;($C$19-0.0001),"",$C$20+E856))</f>
        <v/>
      </c>
      <c r="Y856" s="663" t="str">
        <f>IF(C856="","",('transversal subsidence profile'!$L$5*EXP(-(C856^2)/(2*'transversal subsidence profile'!$J$5^2)))*100)</f>
        <v/>
      </c>
      <c r="Z856" s="664" t="str">
        <f>IF(C856="","",(+'transversal subsidence profile'!$L$6*EXP(-((C856+$G$10)^2)/(2*'transversal subsidence profile'!$J$6^2)))*100)</f>
        <v/>
      </c>
      <c r="AA856" s="751" t="str">
        <f>IF(C856="","",IF('IN-OUT'!$F$26=0,'Damage classification-Rankin'!Z856,IF('IN-OUT'!$F$35=0,Y856,'Damage classification-Rankin'!Y856+'Damage classification-Rankin'!Z856)))</f>
        <v/>
      </c>
    </row>
    <row r="857" spans="1:27" ht="13.8" thickBot="1">
      <c r="A857" s="67"/>
      <c r="B857" s="655">
        <f t="shared" si="93"/>
        <v>836</v>
      </c>
      <c r="C857" s="374" t="str">
        <f t="shared" si="94"/>
        <v/>
      </c>
      <c r="D857" s="784" t="str">
        <f t="shared" si="95"/>
        <v/>
      </c>
      <c r="E857" s="784" t="str">
        <f t="shared" si="96"/>
        <v/>
      </c>
      <c r="F857" s="785" t="str">
        <f t="shared" si="97"/>
        <v/>
      </c>
      <c r="G857" s="784" t="str">
        <f t="shared" si="98"/>
        <v/>
      </c>
      <c r="Y857" s="663" t="str">
        <f>IF(C857="","",('transversal subsidence profile'!$L$5*EXP(-(C857^2)/(2*'transversal subsidence profile'!$J$5^2)))*100)</f>
        <v/>
      </c>
      <c r="Z857" s="664" t="str">
        <f>IF(C857="","",(+'transversal subsidence profile'!$L$6*EXP(-((C857+$G$10)^2)/(2*'transversal subsidence profile'!$J$6^2)))*100)</f>
        <v/>
      </c>
      <c r="AA857" s="751" t="str">
        <f>IF(C857="","",IF('IN-OUT'!$F$26=0,'Damage classification-Rankin'!Z857,IF('IN-OUT'!$F$35=0,Y857,'Damage classification-Rankin'!Y857+'Damage classification-Rankin'!Z857)))</f>
        <v/>
      </c>
    </row>
    <row r="858" spans="1:27" ht="13.8" thickBot="1">
      <c r="A858" s="67"/>
      <c r="B858" s="655">
        <f t="shared" si="93"/>
        <v>837</v>
      </c>
      <c r="C858" s="374" t="str">
        <f t="shared" si="94"/>
        <v/>
      </c>
      <c r="D858" s="784" t="str">
        <f t="shared" si="95"/>
        <v/>
      </c>
      <c r="E858" s="784" t="str">
        <f t="shared" si="96"/>
        <v/>
      </c>
      <c r="F858" s="785" t="str">
        <f t="shared" si="97"/>
        <v/>
      </c>
      <c r="G858" s="784" t="str">
        <f t="shared" si="98"/>
        <v/>
      </c>
      <c r="Y858" s="663" t="str">
        <f>IF(C858="","",('transversal subsidence profile'!$L$5*EXP(-(C858^2)/(2*'transversal subsidence profile'!$J$5^2)))*100)</f>
        <v/>
      </c>
      <c r="Z858" s="664" t="str">
        <f>IF(C858="","",(+'transversal subsidence profile'!$L$6*EXP(-((C858+$G$10)^2)/(2*'transversal subsidence profile'!$J$6^2)))*100)</f>
        <v/>
      </c>
      <c r="AA858" s="751" t="str">
        <f>IF(C858="","",IF('IN-OUT'!$F$26=0,'Damage classification-Rankin'!Z858,IF('IN-OUT'!$F$35=0,Y858,'Damage classification-Rankin'!Y858+'Damage classification-Rankin'!Z858)))</f>
        <v/>
      </c>
    </row>
    <row r="859" spans="1:27" ht="13.8" thickBot="1">
      <c r="A859" s="67"/>
      <c r="B859" s="655">
        <f t="shared" si="93"/>
        <v>838</v>
      </c>
      <c r="C859" s="374" t="str">
        <f t="shared" si="94"/>
        <v/>
      </c>
      <c r="D859" s="784" t="str">
        <f t="shared" si="95"/>
        <v/>
      </c>
      <c r="E859" s="784" t="str">
        <f t="shared" si="96"/>
        <v/>
      </c>
      <c r="F859" s="785" t="str">
        <f t="shared" si="97"/>
        <v/>
      </c>
      <c r="G859" s="784" t="str">
        <f t="shared" si="98"/>
        <v/>
      </c>
      <c r="Y859" s="663" t="str">
        <f>IF(C859="","",('transversal subsidence profile'!$L$5*EXP(-(C859^2)/(2*'transversal subsidence profile'!$J$5^2)))*100)</f>
        <v/>
      </c>
      <c r="Z859" s="664" t="str">
        <f>IF(C859="","",(+'transversal subsidence profile'!$L$6*EXP(-((C859+$G$10)^2)/(2*'transversal subsidence profile'!$J$6^2)))*100)</f>
        <v/>
      </c>
      <c r="AA859" s="751" t="str">
        <f>IF(C859="","",IF('IN-OUT'!$F$26=0,'Damage classification-Rankin'!Z859,IF('IN-OUT'!$F$35=0,Y859,'Damage classification-Rankin'!Y859+'Damage classification-Rankin'!Z859)))</f>
        <v/>
      </c>
    </row>
    <row r="860" spans="1:27" ht="13.8" thickBot="1">
      <c r="A860" s="67"/>
      <c r="B860" s="655">
        <f t="shared" si="93"/>
        <v>839</v>
      </c>
      <c r="C860" s="374" t="str">
        <f t="shared" si="94"/>
        <v/>
      </c>
      <c r="D860" s="784" t="str">
        <f t="shared" si="95"/>
        <v/>
      </c>
      <c r="E860" s="784" t="str">
        <f t="shared" si="96"/>
        <v/>
      </c>
      <c r="F860" s="785" t="str">
        <f t="shared" si="97"/>
        <v/>
      </c>
      <c r="G860" s="784" t="str">
        <f t="shared" si="98"/>
        <v/>
      </c>
      <c r="Y860" s="663" t="str">
        <f>IF(C860="","",('transversal subsidence profile'!$L$5*EXP(-(C860^2)/(2*'transversal subsidence profile'!$J$5^2)))*100)</f>
        <v/>
      </c>
      <c r="Z860" s="664" t="str">
        <f>IF(C860="","",(+'transversal subsidence profile'!$L$6*EXP(-((C860+$G$10)^2)/(2*'transversal subsidence profile'!$J$6^2)))*100)</f>
        <v/>
      </c>
      <c r="AA860" s="751" t="str">
        <f>IF(C860="","",IF('IN-OUT'!$F$26=0,'Damage classification-Rankin'!Z860,IF('IN-OUT'!$F$35=0,Y860,'Damage classification-Rankin'!Y860+'Damage classification-Rankin'!Z860)))</f>
        <v/>
      </c>
    </row>
    <row r="861" spans="1:27" ht="13.8" thickBot="1">
      <c r="A861" s="67"/>
      <c r="B861" s="655">
        <f t="shared" si="93"/>
        <v>840</v>
      </c>
      <c r="C861" s="374" t="str">
        <f t="shared" si="94"/>
        <v/>
      </c>
      <c r="D861" s="784" t="str">
        <f t="shared" si="95"/>
        <v/>
      </c>
      <c r="E861" s="784" t="str">
        <f t="shared" si="96"/>
        <v/>
      </c>
      <c r="F861" s="785" t="str">
        <f t="shared" si="97"/>
        <v/>
      </c>
      <c r="G861" s="784" t="str">
        <f t="shared" si="98"/>
        <v/>
      </c>
      <c r="Y861" s="663" t="str">
        <f>IF(C861="","",('transversal subsidence profile'!$L$5*EXP(-(C861^2)/(2*'transversal subsidence profile'!$J$5^2)))*100)</f>
        <v/>
      </c>
      <c r="Z861" s="664" t="str">
        <f>IF(C861="","",(+'transversal subsidence profile'!$L$6*EXP(-((C861+$G$10)^2)/(2*'transversal subsidence profile'!$J$6^2)))*100)</f>
        <v/>
      </c>
      <c r="AA861" s="751" t="str">
        <f>IF(C861="","",IF('IN-OUT'!$F$26=0,'Damage classification-Rankin'!Z861,IF('IN-OUT'!$F$35=0,Y861,'Damage classification-Rankin'!Y861+'Damage classification-Rankin'!Z861)))</f>
        <v/>
      </c>
    </row>
    <row r="862" spans="1:27" ht="13.8" thickBot="1">
      <c r="A862" s="67"/>
      <c r="B862" s="655">
        <f t="shared" si="93"/>
        <v>841</v>
      </c>
      <c r="C862" s="374" t="str">
        <f t="shared" si="94"/>
        <v/>
      </c>
      <c r="D862" s="784" t="str">
        <f t="shared" si="95"/>
        <v/>
      </c>
      <c r="E862" s="784" t="str">
        <f t="shared" si="96"/>
        <v/>
      </c>
      <c r="F862" s="785" t="str">
        <f t="shared" si="97"/>
        <v/>
      </c>
      <c r="G862" s="784" t="str">
        <f t="shared" si="98"/>
        <v/>
      </c>
      <c r="Y862" s="663" t="str">
        <f>IF(C862="","",('transversal subsidence profile'!$L$5*EXP(-(C862^2)/(2*'transversal subsidence profile'!$J$5^2)))*100)</f>
        <v/>
      </c>
      <c r="Z862" s="664" t="str">
        <f>IF(C862="","",(+'transversal subsidence profile'!$L$6*EXP(-((C862+$G$10)^2)/(2*'transversal subsidence profile'!$J$6^2)))*100)</f>
        <v/>
      </c>
      <c r="AA862" s="751" t="str">
        <f>IF(C862="","",IF('IN-OUT'!$F$26=0,'Damage classification-Rankin'!Z862,IF('IN-OUT'!$F$35=0,Y862,'Damage classification-Rankin'!Y862+'Damage classification-Rankin'!Z862)))</f>
        <v/>
      </c>
    </row>
    <row r="863" spans="1:27" ht="13.8" thickBot="1">
      <c r="A863" s="67"/>
      <c r="B863" s="655">
        <f t="shared" si="93"/>
        <v>842</v>
      </c>
      <c r="C863" s="374" t="str">
        <f t="shared" si="94"/>
        <v/>
      </c>
      <c r="D863" s="784" t="str">
        <f t="shared" si="95"/>
        <v/>
      </c>
      <c r="E863" s="784" t="str">
        <f t="shared" si="96"/>
        <v/>
      </c>
      <c r="F863" s="785" t="str">
        <f t="shared" si="97"/>
        <v/>
      </c>
      <c r="G863" s="784" t="str">
        <f t="shared" si="98"/>
        <v/>
      </c>
      <c r="Y863" s="663" t="str">
        <f>IF(C863="","",('transversal subsidence profile'!$L$5*EXP(-(C863^2)/(2*'transversal subsidence profile'!$J$5^2)))*100)</f>
        <v/>
      </c>
      <c r="Z863" s="664" t="str">
        <f>IF(C863="","",(+'transversal subsidence profile'!$L$6*EXP(-((C863+$G$10)^2)/(2*'transversal subsidence profile'!$J$6^2)))*100)</f>
        <v/>
      </c>
      <c r="AA863" s="751" t="str">
        <f>IF(C863="","",IF('IN-OUT'!$F$26=0,'Damage classification-Rankin'!Z863,IF('IN-OUT'!$F$35=0,Y863,'Damage classification-Rankin'!Y863+'Damage classification-Rankin'!Z863)))</f>
        <v/>
      </c>
    </row>
    <row r="864" spans="1:27" ht="13.8" thickBot="1">
      <c r="A864" s="67"/>
      <c r="B864" s="655">
        <f t="shared" si="93"/>
        <v>843</v>
      </c>
      <c r="C864" s="374" t="str">
        <f t="shared" si="94"/>
        <v/>
      </c>
      <c r="D864" s="784" t="str">
        <f t="shared" si="95"/>
        <v/>
      </c>
      <c r="E864" s="784" t="str">
        <f t="shared" si="96"/>
        <v/>
      </c>
      <c r="F864" s="785" t="str">
        <f t="shared" si="97"/>
        <v/>
      </c>
      <c r="G864" s="784" t="str">
        <f t="shared" si="98"/>
        <v/>
      </c>
      <c r="Y864" s="663" t="str">
        <f>IF(C864="","",('transversal subsidence profile'!$L$5*EXP(-(C864^2)/(2*'transversal subsidence profile'!$J$5^2)))*100)</f>
        <v/>
      </c>
      <c r="Z864" s="664" t="str">
        <f>IF(C864="","",(+'transversal subsidence profile'!$L$6*EXP(-((C864+$G$10)^2)/(2*'transversal subsidence profile'!$J$6^2)))*100)</f>
        <v/>
      </c>
      <c r="AA864" s="751" t="str">
        <f>IF(C864="","",IF('IN-OUT'!$F$26=0,'Damage classification-Rankin'!Z864,IF('IN-OUT'!$F$35=0,Y864,'Damage classification-Rankin'!Y864+'Damage classification-Rankin'!Z864)))</f>
        <v/>
      </c>
    </row>
    <row r="865" spans="1:27" ht="13.8" thickBot="1">
      <c r="A865" s="67"/>
      <c r="B865" s="655">
        <f t="shared" si="93"/>
        <v>844</v>
      </c>
      <c r="C865" s="374" t="str">
        <f t="shared" si="94"/>
        <v/>
      </c>
      <c r="D865" s="784" t="str">
        <f t="shared" si="95"/>
        <v/>
      </c>
      <c r="E865" s="784" t="str">
        <f t="shared" si="96"/>
        <v/>
      </c>
      <c r="F865" s="785" t="str">
        <f t="shared" si="97"/>
        <v/>
      </c>
      <c r="G865" s="784" t="str">
        <f t="shared" si="98"/>
        <v/>
      </c>
      <c r="Y865" s="663" t="str">
        <f>IF(C865="","",('transversal subsidence profile'!$L$5*EXP(-(C865^2)/(2*'transversal subsidence profile'!$J$5^2)))*100)</f>
        <v/>
      </c>
      <c r="Z865" s="664" t="str">
        <f>IF(C865="","",(+'transversal subsidence profile'!$L$6*EXP(-((C865+$G$10)^2)/(2*'transversal subsidence profile'!$J$6^2)))*100)</f>
        <v/>
      </c>
      <c r="AA865" s="751" t="str">
        <f>IF(C865="","",IF('IN-OUT'!$F$26=0,'Damage classification-Rankin'!Z865,IF('IN-OUT'!$F$35=0,Y865,'Damage classification-Rankin'!Y865+'Damage classification-Rankin'!Z865)))</f>
        <v/>
      </c>
    </row>
    <row r="866" spans="1:27" ht="13.8" thickBot="1">
      <c r="A866" s="67"/>
      <c r="B866" s="655">
        <f t="shared" si="93"/>
        <v>845</v>
      </c>
      <c r="C866" s="374" t="str">
        <f t="shared" si="94"/>
        <v/>
      </c>
      <c r="D866" s="784" t="str">
        <f t="shared" si="95"/>
        <v/>
      </c>
      <c r="E866" s="784" t="str">
        <f t="shared" si="96"/>
        <v/>
      </c>
      <c r="F866" s="785" t="str">
        <f t="shared" si="97"/>
        <v/>
      </c>
      <c r="G866" s="784" t="str">
        <f t="shared" si="98"/>
        <v/>
      </c>
      <c r="Y866" s="663" t="str">
        <f>IF(C866="","",('transversal subsidence profile'!$L$5*EXP(-(C866^2)/(2*'transversal subsidence profile'!$J$5^2)))*100)</f>
        <v/>
      </c>
      <c r="Z866" s="664" t="str">
        <f>IF(C866="","",(+'transversal subsidence profile'!$L$6*EXP(-((C866+$G$10)^2)/(2*'transversal subsidence profile'!$J$6^2)))*100)</f>
        <v/>
      </c>
      <c r="AA866" s="751" t="str">
        <f>IF(C866="","",IF('IN-OUT'!$F$26=0,'Damage classification-Rankin'!Z866,IF('IN-OUT'!$F$35=0,Y866,'Damage classification-Rankin'!Y866+'Damage classification-Rankin'!Z866)))</f>
        <v/>
      </c>
    </row>
    <row r="867" spans="1:27" ht="13.8" thickBot="1">
      <c r="A867" s="67"/>
      <c r="B867" s="655">
        <f t="shared" si="93"/>
        <v>846</v>
      </c>
      <c r="C867" s="374" t="str">
        <f t="shared" si="94"/>
        <v/>
      </c>
      <c r="D867" s="784" t="str">
        <f t="shared" si="95"/>
        <v/>
      </c>
      <c r="E867" s="784" t="str">
        <f t="shared" si="96"/>
        <v/>
      </c>
      <c r="F867" s="785" t="str">
        <f t="shared" si="97"/>
        <v/>
      </c>
      <c r="G867" s="784" t="str">
        <f t="shared" si="98"/>
        <v/>
      </c>
      <c r="Y867" s="663" t="str">
        <f>IF(C867="","",('transversal subsidence profile'!$L$5*EXP(-(C867^2)/(2*'transversal subsidence profile'!$J$5^2)))*100)</f>
        <v/>
      </c>
      <c r="Z867" s="664" t="str">
        <f>IF(C867="","",(+'transversal subsidence profile'!$L$6*EXP(-((C867+$G$10)^2)/(2*'transversal subsidence profile'!$J$6^2)))*100)</f>
        <v/>
      </c>
      <c r="AA867" s="751" t="str">
        <f>IF(C867="","",IF('IN-OUT'!$F$26=0,'Damage classification-Rankin'!Z867,IF('IN-OUT'!$F$35=0,Y867,'Damage classification-Rankin'!Y867+'Damage classification-Rankin'!Z867)))</f>
        <v/>
      </c>
    </row>
    <row r="868" spans="1:27" ht="13.8" thickBot="1">
      <c r="A868" s="67"/>
      <c r="B868" s="655">
        <f t="shared" si="93"/>
        <v>847</v>
      </c>
      <c r="C868" s="374" t="str">
        <f t="shared" si="94"/>
        <v/>
      </c>
      <c r="D868" s="784" t="str">
        <f t="shared" si="95"/>
        <v/>
      </c>
      <c r="E868" s="784" t="str">
        <f t="shared" si="96"/>
        <v/>
      </c>
      <c r="F868" s="785" t="str">
        <f t="shared" si="97"/>
        <v/>
      </c>
      <c r="G868" s="784" t="str">
        <f t="shared" si="98"/>
        <v/>
      </c>
      <c r="Y868" s="663" t="str">
        <f>IF(C868="","",('transversal subsidence profile'!$L$5*EXP(-(C868^2)/(2*'transversal subsidence profile'!$J$5^2)))*100)</f>
        <v/>
      </c>
      <c r="Z868" s="664" t="str">
        <f>IF(C868="","",(+'transversal subsidence profile'!$L$6*EXP(-((C868+$G$10)^2)/(2*'transversal subsidence profile'!$J$6^2)))*100)</f>
        <v/>
      </c>
      <c r="AA868" s="751" t="str">
        <f>IF(C868="","",IF('IN-OUT'!$F$26=0,'Damage classification-Rankin'!Z868,IF('IN-OUT'!$F$35=0,Y868,'Damage classification-Rankin'!Y868+'Damage classification-Rankin'!Z868)))</f>
        <v/>
      </c>
    </row>
    <row r="869" spans="1:27" ht="13.8" thickBot="1">
      <c r="A869" s="67"/>
      <c r="B869" s="655">
        <f t="shared" si="93"/>
        <v>848</v>
      </c>
      <c r="C869" s="374" t="str">
        <f t="shared" si="94"/>
        <v/>
      </c>
      <c r="D869" s="784" t="str">
        <f t="shared" si="95"/>
        <v/>
      </c>
      <c r="E869" s="784" t="str">
        <f t="shared" si="96"/>
        <v/>
      </c>
      <c r="F869" s="785" t="str">
        <f t="shared" si="97"/>
        <v/>
      </c>
      <c r="G869" s="784" t="str">
        <f t="shared" si="98"/>
        <v/>
      </c>
      <c r="Y869" s="663" t="str">
        <f>IF(C869="","",('transversal subsidence profile'!$L$5*EXP(-(C869^2)/(2*'transversal subsidence profile'!$J$5^2)))*100)</f>
        <v/>
      </c>
      <c r="Z869" s="664" t="str">
        <f>IF(C869="","",(+'transversal subsidence profile'!$L$6*EXP(-((C869+$G$10)^2)/(2*'transversal subsidence profile'!$J$6^2)))*100)</f>
        <v/>
      </c>
      <c r="AA869" s="751" t="str">
        <f>IF(C869="","",IF('IN-OUT'!$F$26=0,'Damage classification-Rankin'!Z869,IF('IN-OUT'!$F$35=0,Y869,'Damage classification-Rankin'!Y869+'Damage classification-Rankin'!Z869)))</f>
        <v/>
      </c>
    </row>
    <row r="870" spans="1:27" ht="13.8" thickBot="1">
      <c r="A870" s="67"/>
      <c r="B870" s="655">
        <f t="shared" si="93"/>
        <v>849</v>
      </c>
      <c r="C870" s="374" t="str">
        <f t="shared" si="94"/>
        <v/>
      </c>
      <c r="D870" s="784" t="str">
        <f t="shared" si="95"/>
        <v/>
      </c>
      <c r="E870" s="784" t="str">
        <f t="shared" si="96"/>
        <v/>
      </c>
      <c r="F870" s="785" t="str">
        <f t="shared" si="97"/>
        <v/>
      </c>
      <c r="G870" s="784" t="str">
        <f t="shared" si="98"/>
        <v/>
      </c>
      <c r="Y870" s="663" t="str">
        <f>IF(C870="","",('transversal subsidence profile'!$L$5*EXP(-(C870^2)/(2*'transversal subsidence profile'!$J$5^2)))*100)</f>
        <v/>
      </c>
      <c r="Z870" s="664" t="str">
        <f>IF(C870="","",(+'transversal subsidence profile'!$L$6*EXP(-((C870+$G$10)^2)/(2*'transversal subsidence profile'!$J$6^2)))*100)</f>
        <v/>
      </c>
      <c r="AA870" s="751" t="str">
        <f>IF(C870="","",IF('IN-OUT'!$F$26=0,'Damage classification-Rankin'!Z870,IF('IN-OUT'!$F$35=0,Y870,'Damage classification-Rankin'!Y870+'Damage classification-Rankin'!Z870)))</f>
        <v/>
      </c>
    </row>
    <row r="871" spans="1:27" ht="13.8" thickBot="1">
      <c r="A871" s="67"/>
      <c r="B871" s="655">
        <f t="shared" si="93"/>
        <v>850</v>
      </c>
      <c r="C871" s="374" t="str">
        <f t="shared" si="94"/>
        <v/>
      </c>
      <c r="D871" s="784" t="str">
        <f t="shared" si="95"/>
        <v/>
      </c>
      <c r="E871" s="784" t="str">
        <f t="shared" si="96"/>
        <v/>
      </c>
      <c r="F871" s="785" t="str">
        <f t="shared" si="97"/>
        <v/>
      </c>
      <c r="G871" s="784" t="str">
        <f t="shared" si="98"/>
        <v/>
      </c>
      <c r="Y871" s="663" t="str">
        <f>IF(C871="","",('transversal subsidence profile'!$L$5*EXP(-(C871^2)/(2*'transversal subsidence profile'!$J$5^2)))*100)</f>
        <v/>
      </c>
      <c r="Z871" s="664" t="str">
        <f>IF(C871="","",(+'transversal subsidence profile'!$L$6*EXP(-((C871+$G$10)^2)/(2*'transversal subsidence profile'!$J$6^2)))*100)</f>
        <v/>
      </c>
      <c r="AA871" s="751" t="str">
        <f>IF(C871="","",IF('IN-OUT'!$F$26=0,'Damage classification-Rankin'!Z871,IF('IN-OUT'!$F$35=0,Y871,'Damage classification-Rankin'!Y871+'Damage classification-Rankin'!Z871)))</f>
        <v/>
      </c>
    </row>
    <row r="872" spans="1:27" ht="13.8" thickBot="1">
      <c r="A872" s="67"/>
      <c r="B872" s="655">
        <f t="shared" si="93"/>
        <v>851</v>
      </c>
      <c r="C872" s="374" t="str">
        <f t="shared" si="94"/>
        <v/>
      </c>
      <c r="D872" s="784" t="str">
        <f t="shared" si="95"/>
        <v/>
      </c>
      <c r="E872" s="784" t="str">
        <f t="shared" si="96"/>
        <v/>
      </c>
      <c r="F872" s="785" t="str">
        <f t="shared" si="97"/>
        <v/>
      </c>
      <c r="G872" s="784" t="str">
        <f t="shared" si="98"/>
        <v/>
      </c>
      <c r="Y872" s="663" t="str">
        <f>IF(C872="","",('transversal subsidence profile'!$L$5*EXP(-(C872^2)/(2*'transversal subsidence profile'!$J$5^2)))*100)</f>
        <v/>
      </c>
      <c r="Z872" s="664" t="str">
        <f>IF(C872="","",(+'transversal subsidence profile'!$L$6*EXP(-((C872+$G$10)^2)/(2*'transversal subsidence profile'!$J$6^2)))*100)</f>
        <v/>
      </c>
      <c r="AA872" s="751" t="str">
        <f>IF(C872="","",IF('IN-OUT'!$F$26=0,'Damage classification-Rankin'!Z872,IF('IN-OUT'!$F$35=0,Y872,'Damage classification-Rankin'!Y872+'Damage classification-Rankin'!Z872)))</f>
        <v/>
      </c>
    </row>
    <row r="873" spans="1:27" ht="13.8" thickBot="1">
      <c r="A873" s="67"/>
      <c r="B873" s="655">
        <f t="shared" si="93"/>
        <v>852</v>
      </c>
      <c r="C873" s="374" t="str">
        <f t="shared" si="94"/>
        <v/>
      </c>
      <c r="D873" s="784" t="str">
        <f t="shared" si="95"/>
        <v/>
      </c>
      <c r="E873" s="784" t="str">
        <f t="shared" si="96"/>
        <v/>
      </c>
      <c r="F873" s="785" t="str">
        <f t="shared" si="97"/>
        <v/>
      </c>
      <c r="G873" s="784" t="str">
        <f t="shared" si="98"/>
        <v/>
      </c>
      <c r="Y873" s="663" t="str">
        <f>IF(C873="","",('transversal subsidence profile'!$L$5*EXP(-(C873^2)/(2*'transversal subsidence profile'!$J$5^2)))*100)</f>
        <v/>
      </c>
      <c r="Z873" s="664" t="str">
        <f>IF(C873="","",(+'transversal subsidence profile'!$L$6*EXP(-((C873+$G$10)^2)/(2*'transversal subsidence profile'!$J$6^2)))*100)</f>
        <v/>
      </c>
      <c r="AA873" s="751" t="str">
        <f>IF(C873="","",IF('IN-OUT'!$F$26=0,'Damage classification-Rankin'!Z873,IF('IN-OUT'!$F$35=0,Y873,'Damage classification-Rankin'!Y873+'Damage classification-Rankin'!Z873)))</f>
        <v/>
      </c>
    </row>
    <row r="874" spans="1:27" ht="13.8" thickBot="1">
      <c r="A874" s="67"/>
      <c r="B874" s="655">
        <f t="shared" si="93"/>
        <v>853</v>
      </c>
      <c r="C874" s="374" t="str">
        <f t="shared" si="94"/>
        <v/>
      </c>
      <c r="D874" s="784" t="str">
        <f t="shared" si="95"/>
        <v/>
      </c>
      <c r="E874" s="784" t="str">
        <f t="shared" si="96"/>
        <v/>
      </c>
      <c r="F874" s="785" t="str">
        <f t="shared" si="97"/>
        <v/>
      </c>
      <c r="G874" s="784" t="str">
        <f t="shared" si="98"/>
        <v/>
      </c>
      <c r="Y874" s="663" t="str">
        <f>IF(C874="","",('transversal subsidence profile'!$L$5*EXP(-(C874^2)/(2*'transversal subsidence profile'!$J$5^2)))*100)</f>
        <v/>
      </c>
      <c r="Z874" s="664" t="str">
        <f>IF(C874="","",(+'transversal subsidence profile'!$L$6*EXP(-((C874+$G$10)^2)/(2*'transversal subsidence profile'!$J$6^2)))*100)</f>
        <v/>
      </c>
      <c r="AA874" s="751" t="str">
        <f>IF(C874="","",IF('IN-OUT'!$F$26=0,'Damage classification-Rankin'!Z874,IF('IN-OUT'!$F$35=0,Y874,'Damage classification-Rankin'!Y874+'Damage classification-Rankin'!Z874)))</f>
        <v/>
      </c>
    </row>
    <row r="875" spans="1:27" ht="13.8" thickBot="1">
      <c r="A875" s="67"/>
      <c r="B875" s="655">
        <f t="shared" si="93"/>
        <v>854</v>
      </c>
      <c r="C875" s="374" t="str">
        <f t="shared" si="94"/>
        <v/>
      </c>
      <c r="D875" s="784" t="str">
        <f t="shared" si="95"/>
        <v/>
      </c>
      <c r="E875" s="784" t="str">
        <f t="shared" si="96"/>
        <v/>
      </c>
      <c r="F875" s="785" t="str">
        <f t="shared" si="97"/>
        <v/>
      </c>
      <c r="G875" s="784" t="str">
        <f t="shared" si="98"/>
        <v/>
      </c>
      <c r="Y875" s="663" t="str">
        <f>IF(C875="","",('transversal subsidence profile'!$L$5*EXP(-(C875^2)/(2*'transversal subsidence profile'!$J$5^2)))*100)</f>
        <v/>
      </c>
      <c r="Z875" s="664" t="str">
        <f>IF(C875="","",(+'transversal subsidence profile'!$L$6*EXP(-((C875+$G$10)^2)/(2*'transversal subsidence profile'!$J$6^2)))*100)</f>
        <v/>
      </c>
      <c r="AA875" s="751" t="str">
        <f>IF(C875="","",IF('IN-OUT'!$F$26=0,'Damage classification-Rankin'!Z875,IF('IN-OUT'!$F$35=0,Y875,'Damage classification-Rankin'!Y875+'Damage classification-Rankin'!Z875)))</f>
        <v/>
      </c>
    </row>
    <row r="876" spans="1:27" ht="13.8" thickBot="1">
      <c r="A876" s="67"/>
      <c r="B876" s="655">
        <f t="shared" si="93"/>
        <v>855</v>
      </c>
      <c r="C876" s="374" t="str">
        <f t="shared" si="94"/>
        <v/>
      </c>
      <c r="D876" s="784" t="str">
        <f t="shared" si="95"/>
        <v/>
      </c>
      <c r="E876" s="784" t="str">
        <f t="shared" si="96"/>
        <v/>
      </c>
      <c r="F876" s="785" t="str">
        <f t="shared" si="97"/>
        <v/>
      </c>
      <c r="G876" s="784" t="str">
        <f t="shared" si="98"/>
        <v/>
      </c>
      <c r="Y876" s="663" t="str">
        <f>IF(C876="","",('transversal subsidence profile'!$L$5*EXP(-(C876^2)/(2*'transversal subsidence profile'!$J$5^2)))*100)</f>
        <v/>
      </c>
      <c r="Z876" s="664" t="str">
        <f>IF(C876="","",(+'transversal subsidence profile'!$L$6*EXP(-((C876+$G$10)^2)/(2*'transversal subsidence profile'!$J$6^2)))*100)</f>
        <v/>
      </c>
      <c r="AA876" s="751" t="str">
        <f>IF(C876="","",IF('IN-OUT'!$F$26=0,'Damage classification-Rankin'!Z876,IF('IN-OUT'!$F$35=0,Y876,'Damage classification-Rankin'!Y876+'Damage classification-Rankin'!Z876)))</f>
        <v/>
      </c>
    </row>
    <row r="877" spans="1:27" ht="13.8" thickBot="1">
      <c r="A877" s="67"/>
      <c r="B877" s="655">
        <f t="shared" si="93"/>
        <v>856</v>
      </c>
      <c r="C877" s="374" t="str">
        <f t="shared" si="94"/>
        <v/>
      </c>
      <c r="D877" s="784" t="str">
        <f t="shared" si="95"/>
        <v/>
      </c>
      <c r="E877" s="784" t="str">
        <f t="shared" si="96"/>
        <v/>
      </c>
      <c r="F877" s="785" t="str">
        <f t="shared" si="97"/>
        <v/>
      </c>
      <c r="G877" s="784" t="str">
        <f t="shared" si="98"/>
        <v/>
      </c>
      <c r="Y877" s="663" t="str">
        <f>IF(C877="","",('transversal subsidence profile'!$L$5*EXP(-(C877^2)/(2*'transversal subsidence profile'!$J$5^2)))*100)</f>
        <v/>
      </c>
      <c r="Z877" s="664" t="str">
        <f>IF(C877="","",(+'transversal subsidence profile'!$L$6*EXP(-((C877+$G$10)^2)/(2*'transversal subsidence profile'!$J$6^2)))*100)</f>
        <v/>
      </c>
      <c r="AA877" s="751" t="str">
        <f>IF(C877="","",IF('IN-OUT'!$F$26=0,'Damage classification-Rankin'!Z877,IF('IN-OUT'!$F$35=0,Y877,'Damage classification-Rankin'!Y877+'Damage classification-Rankin'!Z877)))</f>
        <v/>
      </c>
    </row>
    <row r="878" spans="1:27" ht="13.8" thickBot="1">
      <c r="A878" s="67"/>
      <c r="B878" s="655">
        <f t="shared" si="93"/>
        <v>857</v>
      </c>
      <c r="C878" s="374" t="str">
        <f t="shared" si="94"/>
        <v/>
      </c>
      <c r="D878" s="784" t="str">
        <f t="shared" si="95"/>
        <v/>
      </c>
      <c r="E878" s="784" t="str">
        <f t="shared" si="96"/>
        <v/>
      </c>
      <c r="F878" s="785" t="str">
        <f t="shared" si="97"/>
        <v/>
      </c>
      <c r="G878" s="784" t="str">
        <f t="shared" si="98"/>
        <v/>
      </c>
      <c r="Y878" s="663" t="str">
        <f>IF(C878="","",('transversal subsidence profile'!$L$5*EXP(-(C878^2)/(2*'transversal subsidence profile'!$J$5^2)))*100)</f>
        <v/>
      </c>
      <c r="Z878" s="664" t="str">
        <f>IF(C878="","",(+'transversal subsidence profile'!$L$6*EXP(-((C878+$G$10)^2)/(2*'transversal subsidence profile'!$J$6^2)))*100)</f>
        <v/>
      </c>
      <c r="AA878" s="751" t="str">
        <f>IF(C878="","",IF('IN-OUT'!$F$26=0,'Damage classification-Rankin'!Z878,IF('IN-OUT'!$F$35=0,Y878,'Damage classification-Rankin'!Y878+'Damage classification-Rankin'!Z878)))</f>
        <v/>
      </c>
    </row>
    <row r="879" spans="1:27" ht="13.8" thickBot="1">
      <c r="A879" s="67"/>
      <c r="B879" s="655">
        <f t="shared" si="93"/>
        <v>858</v>
      </c>
      <c r="C879" s="374" t="str">
        <f t="shared" si="94"/>
        <v/>
      </c>
      <c r="D879" s="784" t="str">
        <f t="shared" si="95"/>
        <v/>
      </c>
      <c r="E879" s="784" t="str">
        <f t="shared" si="96"/>
        <v/>
      </c>
      <c r="F879" s="785" t="str">
        <f t="shared" si="97"/>
        <v/>
      </c>
      <c r="G879" s="784" t="str">
        <f t="shared" si="98"/>
        <v/>
      </c>
      <c r="Y879" s="663" t="str">
        <f>IF(C879="","",('transversal subsidence profile'!$L$5*EXP(-(C879^2)/(2*'transversal subsidence profile'!$J$5^2)))*100)</f>
        <v/>
      </c>
      <c r="Z879" s="664" t="str">
        <f>IF(C879="","",(+'transversal subsidence profile'!$L$6*EXP(-((C879+$G$10)^2)/(2*'transversal subsidence profile'!$J$6^2)))*100)</f>
        <v/>
      </c>
      <c r="AA879" s="751" t="str">
        <f>IF(C879="","",IF('IN-OUT'!$F$26=0,'Damage classification-Rankin'!Z879,IF('IN-OUT'!$F$35=0,Y879,'Damage classification-Rankin'!Y879+'Damage classification-Rankin'!Z879)))</f>
        <v/>
      </c>
    </row>
    <row r="880" spans="1:27" ht="13.8" thickBot="1">
      <c r="A880" s="67"/>
      <c r="B880" s="655">
        <f t="shared" si="93"/>
        <v>859</v>
      </c>
      <c r="C880" s="374" t="str">
        <f t="shared" si="94"/>
        <v/>
      </c>
      <c r="D880" s="784" t="str">
        <f t="shared" si="95"/>
        <v/>
      </c>
      <c r="E880" s="784" t="str">
        <f t="shared" si="96"/>
        <v/>
      </c>
      <c r="F880" s="785" t="str">
        <f t="shared" si="97"/>
        <v/>
      </c>
      <c r="G880" s="784" t="str">
        <f t="shared" si="98"/>
        <v/>
      </c>
      <c r="Y880" s="663" t="str">
        <f>IF(C880="","",('transversal subsidence profile'!$L$5*EXP(-(C880^2)/(2*'transversal subsidence profile'!$J$5^2)))*100)</f>
        <v/>
      </c>
      <c r="Z880" s="664" t="str">
        <f>IF(C880="","",(+'transversal subsidence profile'!$L$6*EXP(-((C880+$G$10)^2)/(2*'transversal subsidence profile'!$J$6^2)))*100)</f>
        <v/>
      </c>
      <c r="AA880" s="751" t="str">
        <f>IF(C880="","",IF('IN-OUT'!$F$26=0,'Damage classification-Rankin'!Z880,IF('IN-OUT'!$F$35=0,Y880,'Damage classification-Rankin'!Y880+'Damage classification-Rankin'!Z880)))</f>
        <v/>
      </c>
    </row>
    <row r="881" spans="1:27" ht="13.8" thickBot="1">
      <c r="A881" s="67"/>
      <c r="B881" s="655">
        <f t="shared" si="93"/>
        <v>860</v>
      </c>
      <c r="C881" s="374" t="str">
        <f t="shared" si="94"/>
        <v/>
      </c>
      <c r="D881" s="784" t="str">
        <f t="shared" si="95"/>
        <v/>
      </c>
      <c r="E881" s="784" t="str">
        <f t="shared" si="96"/>
        <v/>
      </c>
      <c r="F881" s="785" t="str">
        <f t="shared" si="97"/>
        <v/>
      </c>
      <c r="G881" s="784" t="str">
        <f t="shared" si="98"/>
        <v/>
      </c>
      <c r="Y881" s="663" t="str">
        <f>IF(C881="","",('transversal subsidence profile'!$L$5*EXP(-(C881^2)/(2*'transversal subsidence profile'!$J$5^2)))*100)</f>
        <v/>
      </c>
      <c r="Z881" s="664" t="str">
        <f>IF(C881="","",(+'transversal subsidence profile'!$L$6*EXP(-((C881+$G$10)^2)/(2*'transversal subsidence profile'!$J$6^2)))*100)</f>
        <v/>
      </c>
      <c r="AA881" s="751" t="str">
        <f>IF(C881="","",IF('IN-OUT'!$F$26=0,'Damage classification-Rankin'!Z881,IF('IN-OUT'!$F$35=0,Y881,'Damage classification-Rankin'!Y881+'Damage classification-Rankin'!Z881)))</f>
        <v/>
      </c>
    </row>
    <row r="882" spans="1:27" ht="13.8" thickBot="1">
      <c r="A882" s="67"/>
      <c r="B882" s="655">
        <f t="shared" si="93"/>
        <v>861</v>
      </c>
      <c r="C882" s="374" t="str">
        <f t="shared" si="94"/>
        <v/>
      </c>
      <c r="D882" s="784" t="str">
        <f t="shared" si="95"/>
        <v/>
      </c>
      <c r="E882" s="784" t="str">
        <f t="shared" si="96"/>
        <v/>
      </c>
      <c r="F882" s="785" t="str">
        <f t="shared" si="97"/>
        <v/>
      </c>
      <c r="G882" s="784" t="str">
        <f t="shared" si="98"/>
        <v/>
      </c>
      <c r="Y882" s="663" t="str">
        <f>IF(C882="","",('transversal subsidence profile'!$L$5*EXP(-(C882^2)/(2*'transversal subsidence profile'!$J$5^2)))*100)</f>
        <v/>
      </c>
      <c r="Z882" s="664" t="str">
        <f>IF(C882="","",(+'transversal subsidence profile'!$L$6*EXP(-((C882+$G$10)^2)/(2*'transversal subsidence profile'!$J$6^2)))*100)</f>
        <v/>
      </c>
      <c r="AA882" s="751" t="str">
        <f>IF(C882="","",IF('IN-OUT'!$F$26=0,'Damage classification-Rankin'!Z882,IF('IN-OUT'!$F$35=0,Y882,'Damage classification-Rankin'!Y882+'Damage classification-Rankin'!Z882)))</f>
        <v/>
      </c>
    </row>
    <row r="883" spans="1:27" ht="13.8" thickBot="1">
      <c r="A883" s="67"/>
      <c r="B883" s="655">
        <f t="shared" si="93"/>
        <v>862</v>
      </c>
      <c r="C883" s="374" t="str">
        <f t="shared" si="94"/>
        <v/>
      </c>
      <c r="D883" s="784" t="str">
        <f t="shared" si="95"/>
        <v/>
      </c>
      <c r="E883" s="784" t="str">
        <f t="shared" si="96"/>
        <v/>
      </c>
      <c r="F883" s="785" t="str">
        <f t="shared" si="97"/>
        <v/>
      </c>
      <c r="G883" s="784" t="str">
        <f t="shared" si="98"/>
        <v/>
      </c>
      <c r="Y883" s="663" t="str">
        <f>IF(C883="","",('transversal subsidence profile'!$L$5*EXP(-(C883^2)/(2*'transversal subsidence profile'!$J$5^2)))*100)</f>
        <v/>
      </c>
      <c r="Z883" s="664" t="str">
        <f>IF(C883="","",(+'transversal subsidence profile'!$L$6*EXP(-((C883+$G$10)^2)/(2*'transversal subsidence profile'!$J$6^2)))*100)</f>
        <v/>
      </c>
      <c r="AA883" s="751" t="str">
        <f>IF(C883="","",IF('IN-OUT'!$F$26=0,'Damage classification-Rankin'!Z883,IF('IN-OUT'!$F$35=0,Y883,'Damage classification-Rankin'!Y883+'Damage classification-Rankin'!Z883)))</f>
        <v/>
      </c>
    </row>
    <row r="884" spans="1:27" ht="13.8" thickBot="1">
      <c r="A884" s="67"/>
      <c r="B884" s="655">
        <f t="shared" si="93"/>
        <v>863</v>
      </c>
      <c r="C884" s="374" t="str">
        <f t="shared" si="94"/>
        <v/>
      </c>
      <c r="D884" s="784" t="str">
        <f t="shared" si="95"/>
        <v/>
      </c>
      <c r="E884" s="784" t="str">
        <f t="shared" si="96"/>
        <v/>
      </c>
      <c r="F884" s="785" t="str">
        <f t="shared" si="97"/>
        <v/>
      </c>
      <c r="G884" s="784" t="str">
        <f t="shared" si="98"/>
        <v/>
      </c>
      <c r="Y884" s="663" t="str">
        <f>IF(C884="","",('transversal subsidence profile'!$L$5*EXP(-(C884^2)/(2*'transversal subsidence profile'!$J$5^2)))*100)</f>
        <v/>
      </c>
      <c r="Z884" s="664" t="str">
        <f>IF(C884="","",(+'transversal subsidence profile'!$L$6*EXP(-((C884+$G$10)^2)/(2*'transversal subsidence profile'!$J$6^2)))*100)</f>
        <v/>
      </c>
      <c r="AA884" s="751" t="str">
        <f>IF(C884="","",IF('IN-OUT'!$F$26=0,'Damage classification-Rankin'!Z884,IF('IN-OUT'!$F$35=0,Y884,'Damage classification-Rankin'!Y884+'Damage classification-Rankin'!Z884)))</f>
        <v/>
      </c>
    </row>
    <row r="885" spans="1:27" ht="13.8" thickBot="1">
      <c r="A885" s="67"/>
      <c r="B885" s="655">
        <f t="shared" si="93"/>
        <v>864</v>
      </c>
      <c r="C885" s="374" t="str">
        <f t="shared" si="94"/>
        <v/>
      </c>
      <c r="D885" s="784" t="str">
        <f t="shared" si="95"/>
        <v/>
      </c>
      <c r="E885" s="784" t="str">
        <f t="shared" si="96"/>
        <v/>
      </c>
      <c r="F885" s="785" t="str">
        <f t="shared" si="97"/>
        <v/>
      </c>
      <c r="G885" s="784" t="str">
        <f t="shared" si="98"/>
        <v/>
      </c>
      <c r="Y885" s="663" t="str">
        <f>IF(C885="","",('transversal subsidence profile'!$L$5*EXP(-(C885^2)/(2*'transversal subsidence profile'!$J$5^2)))*100)</f>
        <v/>
      </c>
      <c r="Z885" s="664" t="str">
        <f>IF(C885="","",(+'transversal subsidence profile'!$L$6*EXP(-((C885+$G$10)^2)/(2*'transversal subsidence profile'!$J$6^2)))*100)</f>
        <v/>
      </c>
      <c r="AA885" s="751" t="str">
        <f>IF(C885="","",IF('IN-OUT'!$F$26=0,'Damage classification-Rankin'!Z885,IF('IN-OUT'!$F$35=0,Y885,'Damage classification-Rankin'!Y885+'Damage classification-Rankin'!Z885)))</f>
        <v/>
      </c>
    </row>
    <row r="886" spans="1:27" ht="13.8" thickBot="1">
      <c r="A886" s="67"/>
      <c r="B886" s="655">
        <f t="shared" si="93"/>
        <v>865</v>
      </c>
      <c r="C886" s="374" t="str">
        <f t="shared" si="94"/>
        <v/>
      </c>
      <c r="D886" s="784" t="str">
        <f t="shared" si="95"/>
        <v/>
      </c>
      <c r="E886" s="784" t="str">
        <f t="shared" si="96"/>
        <v/>
      </c>
      <c r="F886" s="785" t="str">
        <f t="shared" si="97"/>
        <v/>
      </c>
      <c r="G886" s="784" t="str">
        <f t="shared" si="98"/>
        <v/>
      </c>
      <c r="Y886" s="663" t="str">
        <f>IF(C886="","",('transversal subsidence profile'!$L$5*EXP(-(C886^2)/(2*'transversal subsidence profile'!$J$5^2)))*100)</f>
        <v/>
      </c>
      <c r="Z886" s="664" t="str">
        <f>IF(C886="","",(+'transversal subsidence profile'!$L$6*EXP(-((C886+$G$10)^2)/(2*'transversal subsidence profile'!$J$6^2)))*100)</f>
        <v/>
      </c>
      <c r="AA886" s="751" t="str">
        <f>IF(C886="","",IF('IN-OUT'!$F$26=0,'Damage classification-Rankin'!Z886,IF('IN-OUT'!$F$35=0,Y886,'Damage classification-Rankin'!Y886+'Damage classification-Rankin'!Z886)))</f>
        <v/>
      </c>
    </row>
    <row r="887" spans="1:27" ht="13.8" thickBot="1">
      <c r="A887" s="67"/>
      <c r="B887" s="655">
        <f t="shared" si="93"/>
        <v>866</v>
      </c>
      <c r="C887" s="374" t="str">
        <f t="shared" si="94"/>
        <v/>
      </c>
      <c r="D887" s="784" t="str">
        <f t="shared" si="95"/>
        <v/>
      </c>
      <c r="E887" s="784" t="str">
        <f t="shared" si="96"/>
        <v/>
      </c>
      <c r="F887" s="785" t="str">
        <f t="shared" si="97"/>
        <v/>
      </c>
      <c r="G887" s="784" t="str">
        <f t="shared" si="98"/>
        <v/>
      </c>
      <c r="Y887" s="663" t="str">
        <f>IF(C887="","",('transversal subsidence profile'!$L$5*EXP(-(C887^2)/(2*'transversal subsidence profile'!$J$5^2)))*100)</f>
        <v/>
      </c>
      <c r="Z887" s="664" t="str">
        <f>IF(C887="","",(+'transversal subsidence profile'!$L$6*EXP(-((C887+$G$10)^2)/(2*'transversal subsidence profile'!$J$6^2)))*100)</f>
        <v/>
      </c>
      <c r="AA887" s="751" t="str">
        <f>IF(C887="","",IF('IN-OUT'!$F$26=0,'Damage classification-Rankin'!Z887,IF('IN-OUT'!$F$35=0,Y887,'Damage classification-Rankin'!Y887+'Damage classification-Rankin'!Z887)))</f>
        <v/>
      </c>
    </row>
    <row r="888" spans="1:27" ht="13.8" thickBot="1">
      <c r="A888" s="67"/>
      <c r="B888" s="655">
        <f t="shared" si="93"/>
        <v>867</v>
      </c>
      <c r="C888" s="374" t="str">
        <f t="shared" si="94"/>
        <v/>
      </c>
      <c r="D888" s="784" t="str">
        <f t="shared" si="95"/>
        <v/>
      </c>
      <c r="E888" s="784" t="str">
        <f t="shared" si="96"/>
        <v/>
      </c>
      <c r="F888" s="785" t="str">
        <f t="shared" si="97"/>
        <v/>
      </c>
      <c r="G888" s="784" t="str">
        <f t="shared" si="98"/>
        <v/>
      </c>
      <c r="Y888" s="663" t="str">
        <f>IF(C888="","",('transversal subsidence profile'!$L$5*EXP(-(C888^2)/(2*'transversal subsidence profile'!$J$5^2)))*100)</f>
        <v/>
      </c>
      <c r="Z888" s="664" t="str">
        <f>IF(C888="","",(+'transversal subsidence profile'!$L$6*EXP(-((C888+$G$10)^2)/(2*'transversal subsidence profile'!$J$6^2)))*100)</f>
        <v/>
      </c>
      <c r="AA888" s="751" t="str">
        <f>IF(C888="","",IF('IN-OUT'!$F$26=0,'Damage classification-Rankin'!Z888,IF('IN-OUT'!$F$35=0,Y888,'Damage classification-Rankin'!Y888+'Damage classification-Rankin'!Z888)))</f>
        <v/>
      </c>
    </row>
    <row r="889" spans="1:27" ht="13.8" thickBot="1">
      <c r="A889" s="67"/>
      <c r="B889" s="655">
        <f t="shared" si="93"/>
        <v>868</v>
      </c>
      <c r="C889" s="374" t="str">
        <f t="shared" si="94"/>
        <v/>
      </c>
      <c r="D889" s="784" t="str">
        <f t="shared" si="95"/>
        <v/>
      </c>
      <c r="E889" s="784" t="str">
        <f t="shared" si="96"/>
        <v/>
      </c>
      <c r="F889" s="785" t="str">
        <f t="shared" si="97"/>
        <v/>
      </c>
      <c r="G889" s="784" t="str">
        <f t="shared" si="98"/>
        <v/>
      </c>
      <c r="Y889" s="663" t="str">
        <f>IF(C889="","",('transversal subsidence profile'!$L$5*EXP(-(C889^2)/(2*'transversal subsidence profile'!$J$5^2)))*100)</f>
        <v/>
      </c>
      <c r="Z889" s="664" t="str">
        <f>IF(C889="","",(+'transversal subsidence profile'!$L$6*EXP(-((C889+$G$10)^2)/(2*'transversal subsidence profile'!$J$6^2)))*100)</f>
        <v/>
      </c>
      <c r="AA889" s="751" t="str">
        <f>IF(C889="","",IF('IN-OUT'!$F$26=0,'Damage classification-Rankin'!Z889,IF('IN-OUT'!$F$35=0,Y889,'Damage classification-Rankin'!Y889+'Damage classification-Rankin'!Z889)))</f>
        <v/>
      </c>
    </row>
    <row r="890" spans="1:27" ht="13.8" thickBot="1">
      <c r="A890" s="67"/>
      <c r="B890" s="655">
        <f t="shared" si="93"/>
        <v>869</v>
      </c>
      <c r="C890" s="374" t="str">
        <f t="shared" si="94"/>
        <v/>
      </c>
      <c r="D890" s="784" t="str">
        <f t="shared" si="95"/>
        <v/>
      </c>
      <c r="E890" s="784" t="str">
        <f t="shared" si="96"/>
        <v/>
      </c>
      <c r="F890" s="785" t="str">
        <f t="shared" si="97"/>
        <v/>
      </c>
      <c r="G890" s="784" t="str">
        <f t="shared" si="98"/>
        <v/>
      </c>
      <c r="Y890" s="663" t="str">
        <f>IF(C890="","",('transversal subsidence profile'!$L$5*EXP(-(C890^2)/(2*'transversal subsidence profile'!$J$5^2)))*100)</f>
        <v/>
      </c>
      <c r="Z890" s="664" t="str">
        <f>IF(C890="","",(+'transversal subsidence profile'!$L$6*EXP(-((C890+$G$10)^2)/(2*'transversal subsidence profile'!$J$6^2)))*100)</f>
        <v/>
      </c>
      <c r="AA890" s="751" t="str">
        <f>IF(C890="","",IF('IN-OUT'!$F$26=0,'Damage classification-Rankin'!Z890,IF('IN-OUT'!$F$35=0,Y890,'Damage classification-Rankin'!Y890+'Damage classification-Rankin'!Z890)))</f>
        <v/>
      </c>
    </row>
    <row r="891" spans="1:27" ht="13.8" thickBot="1">
      <c r="A891" s="67"/>
      <c r="B891" s="655">
        <f t="shared" si="93"/>
        <v>870</v>
      </c>
      <c r="C891" s="374" t="str">
        <f t="shared" si="94"/>
        <v/>
      </c>
      <c r="D891" s="784" t="str">
        <f t="shared" si="95"/>
        <v/>
      </c>
      <c r="E891" s="784" t="str">
        <f t="shared" si="96"/>
        <v/>
      </c>
      <c r="F891" s="785" t="str">
        <f t="shared" si="97"/>
        <v/>
      </c>
      <c r="G891" s="784" t="str">
        <f t="shared" si="98"/>
        <v/>
      </c>
      <c r="Y891" s="663" t="str">
        <f>IF(C891="","",('transversal subsidence profile'!$L$5*EXP(-(C891^2)/(2*'transversal subsidence profile'!$J$5^2)))*100)</f>
        <v/>
      </c>
      <c r="Z891" s="664" t="str">
        <f>IF(C891="","",(+'transversal subsidence profile'!$L$6*EXP(-((C891+$G$10)^2)/(2*'transversal subsidence profile'!$J$6^2)))*100)</f>
        <v/>
      </c>
      <c r="AA891" s="751" t="str">
        <f>IF(C891="","",IF('IN-OUT'!$F$26=0,'Damage classification-Rankin'!Z891,IF('IN-OUT'!$F$35=0,Y891,'Damage classification-Rankin'!Y891+'Damage classification-Rankin'!Z891)))</f>
        <v/>
      </c>
    </row>
    <row r="892" spans="1:27" ht="13.8" thickBot="1">
      <c r="A892" s="67"/>
      <c r="B892" s="655">
        <f t="shared" si="93"/>
        <v>871</v>
      </c>
      <c r="C892" s="374" t="str">
        <f t="shared" si="94"/>
        <v/>
      </c>
      <c r="D892" s="784" t="str">
        <f t="shared" si="95"/>
        <v/>
      </c>
      <c r="E892" s="784" t="str">
        <f t="shared" si="96"/>
        <v/>
      </c>
      <c r="F892" s="785" t="str">
        <f t="shared" si="97"/>
        <v/>
      </c>
      <c r="G892" s="784" t="str">
        <f t="shared" si="98"/>
        <v/>
      </c>
      <c r="Y892" s="663" t="str">
        <f>IF(C892="","",('transversal subsidence profile'!$L$5*EXP(-(C892^2)/(2*'transversal subsidence profile'!$J$5^2)))*100)</f>
        <v/>
      </c>
      <c r="Z892" s="664" t="str">
        <f>IF(C892="","",(+'transversal subsidence profile'!$L$6*EXP(-((C892+$G$10)^2)/(2*'transversal subsidence profile'!$J$6^2)))*100)</f>
        <v/>
      </c>
      <c r="AA892" s="751" t="str">
        <f>IF(C892="","",IF('IN-OUT'!$F$26=0,'Damage classification-Rankin'!Z892,IF('IN-OUT'!$F$35=0,Y892,'Damage classification-Rankin'!Y892+'Damage classification-Rankin'!Z892)))</f>
        <v/>
      </c>
    </row>
    <row r="893" spans="1:27" ht="13.8" thickBot="1">
      <c r="A893" s="67"/>
      <c r="B893" s="655">
        <f t="shared" si="93"/>
        <v>872</v>
      </c>
      <c r="C893" s="374" t="str">
        <f t="shared" si="94"/>
        <v/>
      </c>
      <c r="D893" s="784" t="str">
        <f t="shared" si="95"/>
        <v/>
      </c>
      <c r="E893" s="784" t="str">
        <f t="shared" si="96"/>
        <v/>
      </c>
      <c r="F893" s="785" t="str">
        <f t="shared" si="97"/>
        <v/>
      </c>
      <c r="G893" s="784" t="str">
        <f t="shared" si="98"/>
        <v/>
      </c>
      <c r="Y893" s="663" t="str">
        <f>IF(C893="","",('transversal subsidence profile'!$L$5*EXP(-(C893^2)/(2*'transversal subsidence profile'!$J$5^2)))*100)</f>
        <v/>
      </c>
      <c r="Z893" s="664" t="str">
        <f>IF(C893="","",(+'transversal subsidence profile'!$L$6*EXP(-((C893+$G$10)^2)/(2*'transversal subsidence profile'!$J$6^2)))*100)</f>
        <v/>
      </c>
      <c r="AA893" s="751" t="str">
        <f>IF(C893="","",IF('IN-OUT'!$F$26=0,'Damage classification-Rankin'!Z893,IF('IN-OUT'!$F$35=0,Y893,'Damage classification-Rankin'!Y893+'Damage classification-Rankin'!Z893)))</f>
        <v/>
      </c>
    </row>
    <row r="894" spans="1:27" ht="13.8" thickBot="1">
      <c r="A894" s="67"/>
      <c r="B894" s="655">
        <f t="shared" si="93"/>
        <v>873</v>
      </c>
      <c r="C894" s="374" t="str">
        <f t="shared" si="94"/>
        <v/>
      </c>
      <c r="D894" s="784" t="str">
        <f t="shared" si="95"/>
        <v/>
      </c>
      <c r="E894" s="784" t="str">
        <f t="shared" si="96"/>
        <v/>
      </c>
      <c r="F894" s="785" t="str">
        <f t="shared" si="97"/>
        <v/>
      </c>
      <c r="G894" s="784" t="str">
        <f t="shared" si="98"/>
        <v/>
      </c>
      <c r="Y894" s="663" t="str">
        <f>IF(C894="","",('transversal subsidence profile'!$L$5*EXP(-(C894^2)/(2*'transversal subsidence profile'!$J$5^2)))*100)</f>
        <v/>
      </c>
      <c r="Z894" s="664" t="str">
        <f>IF(C894="","",(+'transversal subsidence profile'!$L$6*EXP(-((C894+$G$10)^2)/(2*'transversal subsidence profile'!$J$6^2)))*100)</f>
        <v/>
      </c>
      <c r="AA894" s="751" t="str">
        <f>IF(C894="","",IF('IN-OUT'!$F$26=0,'Damage classification-Rankin'!Z894,IF('IN-OUT'!$F$35=0,Y894,'Damage classification-Rankin'!Y894+'Damage classification-Rankin'!Z894)))</f>
        <v/>
      </c>
    </row>
    <row r="895" spans="1:27" ht="13.8" thickBot="1">
      <c r="A895" s="67"/>
      <c r="B895" s="655">
        <f t="shared" si="93"/>
        <v>874</v>
      </c>
      <c r="C895" s="374" t="str">
        <f t="shared" si="94"/>
        <v/>
      </c>
      <c r="D895" s="784" t="str">
        <f t="shared" si="95"/>
        <v/>
      </c>
      <c r="E895" s="784" t="str">
        <f t="shared" si="96"/>
        <v/>
      </c>
      <c r="F895" s="785" t="str">
        <f t="shared" si="97"/>
        <v/>
      </c>
      <c r="G895" s="784" t="str">
        <f t="shared" si="98"/>
        <v/>
      </c>
      <c r="Y895" s="663" t="str">
        <f>IF(C895="","",('transversal subsidence profile'!$L$5*EXP(-(C895^2)/(2*'transversal subsidence profile'!$J$5^2)))*100)</f>
        <v/>
      </c>
      <c r="Z895" s="664" t="str">
        <f>IF(C895="","",(+'transversal subsidence profile'!$L$6*EXP(-((C895+$G$10)^2)/(2*'transversal subsidence profile'!$J$6^2)))*100)</f>
        <v/>
      </c>
      <c r="AA895" s="751" t="str">
        <f>IF(C895="","",IF('IN-OUT'!$F$26=0,'Damage classification-Rankin'!Z895,IF('IN-OUT'!$F$35=0,Y895,'Damage classification-Rankin'!Y895+'Damage classification-Rankin'!Z895)))</f>
        <v/>
      </c>
    </row>
    <row r="896" spans="1:27" ht="13.8" thickBot="1">
      <c r="A896" s="67"/>
      <c r="B896" s="655">
        <f t="shared" si="93"/>
        <v>875</v>
      </c>
      <c r="C896" s="374" t="str">
        <f t="shared" si="94"/>
        <v/>
      </c>
      <c r="D896" s="784" t="str">
        <f t="shared" si="95"/>
        <v/>
      </c>
      <c r="E896" s="784" t="str">
        <f t="shared" si="96"/>
        <v/>
      </c>
      <c r="F896" s="785" t="str">
        <f t="shared" si="97"/>
        <v/>
      </c>
      <c r="G896" s="784" t="str">
        <f t="shared" si="98"/>
        <v/>
      </c>
      <c r="Y896" s="663" t="str">
        <f>IF(C896="","",('transversal subsidence profile'!$L$5*EXP(-(C896^2)/(2*'transversal subsidence profile'!$J$5^2)))*100)</f>
        <v/>
      </c>
      <c r="Z896" s="664" t="str">
        <f>IF(C896="","",(+'transversal subsidence profile'!$L$6*EXP(-((C896+$G$10)^2)/(2*'transversal subsidence profile'!$J$6^2)))*100)</f>
        <v/>
      </c>
      <c r="AA896" s="751" t="str">
        <f>IF(C896="","",IF('IN-OUT'!$F$26=0,'Damage classification-Rankin'!Z896,IF('IN-OUT'!$F$35=0,Y896,'Damage classification-Rankin'!Y896+'Damage classification-Rankin'!Z896)))</f>
        <v/>
      </c>
    </row>
    <row r="897" spans="1:27" ht="13.8" thickBot="1">
      <c r="A897" s="67"/>
      <c r="B897" s="655">
        <f t="shared" si="93"/>
        <v>876</v>
      </c>
      <c r="C897" s="374" t="str">
        <f t="shared" si="94"/>
        <v/>
      </c>
      <c r="D897" s="784" t="str">
        <f t="shared" si="95"/>
        <v/>
      </c>
      <c r="E897" s="784" t="str">
        <f t="shared" si="96"/>
        <v/>
      </c>
      <c r="F897" s="785" t="str">
        <f t="shared" si="97"/>
        <v/>
      </c>
      <c r="G897" s="784" t="str">
        <f t="shared" si="98"/>
        <v/>
      </c>
      <c r="Y897" s="663" t="str">
        <f>IF(C897="","",('transversal subsidence profile'!$L$5*EXP(-(C897^2)/(2*'transversal subsidence profile'!$J$5^2)))*100)</f>
        <v/>
      </c>
      <c r="Z897" s="664" t="str">
        <f>IF(C897="","",(+'transversal subsidence profile'!$L$6*EXP(-((C897+$G$10)^2)/(2*'transversal subsidence profile'!$J$6^2)))*100)</f>
        <v/>
      </c>
      <c r="AA897" s="751" t="str">
        <f>IF(C897="","",IF('IN-OUT'!$F$26=0,'Damage classification-Rankin'!Z897,IF('IN-OUT'!$F$35=0,Y897,'Damage classification-Rankin'!Y897+'Damage classification-Rankin'!Z897)))</f>
        <v/>
      </c>
    </row>
    <row r="898" spans="1:27" ht="13.8" thickBot="1">
      <c r="A898" s="67"/>
      <c r="B898" s="655">
        <f t="shared" si="93"/>
        <v>877</v>
      </c>
      <c r="C898" s="374" t="str">
        <f t="shared" si="94"/>
        <v/>
      </c>
      <c r="D898" s="784" t="str">
        <f t="shared" si="95"/>
        <v/>
      </c>
      <c r="E898" s="784" t="str">
        <f t="shared" si="96"/>
        <v/>
      </c>
      <c r="F898" s="785" t="str">
        <f t="shared" si="97"/>
        <v/>
      </c>
      <c r="G898" s="784" t="str">
        <f t="shared" si="98"/>
        <v/>
      </c>
      <c r="Y898" s="663" t="str">
        <f>IF(C898="","",('transversal subsidence profile'!$L$5*EXP(-(C898^2)/(2*'transversal subsidence profile'!$J$5^2)))*100)</f>
        <v/>
      </c>
      <c r="Z898" s="664" t="str">
        <f>IF(C898="","",(+'transversal subsidence profile'!$L$6*EXP(-((C898+$G$10)^2)/(2*'transversal subsidence profile'!$J$6^2)))*100)</f>
        <v/>
      </c>
      <c r="AA898" s="751" t="str">
        <f>IF(C898="","",IF('IN-OUT'!$F$26=0,'Damage classification-Rankin'!Z898,IF('IN-OUT'!$F$35=0,Y898,'Damage classification-Rankin'!Y898+'Damage classification-Rankin'!Z898)))</f>
        <v/>
      </c>
    </row>
    <row r="899" spans="1:27" ht="13.8" thickBot="1">
      <c r="A899" s="67"/>
      <c r="B899" s="655">
        <f t="shared" si="93"/>
        <v>878</v>
      </c>
      <c r="C899" s="374" t="str">
        <f t="shared" si="94"/>
        <v/>
      </c>
      <c r="D899" s="784" t="str">
        <f t="shared" si="95"/>
        <v/>
      </c>
      <c r="E899" s="784" t="str">
        <f t="shared" si="96"/>
        <v/>
      </c>
      <c r="F899" s="785" t="str">
        <f t="shared" si="97"/>
        <v/>
      </c>
      <c r="G899" s="784" t="str">
        <f t="shared" si="98"/>
        <v/>
      </c>
      <c r="Y899" s="663" t="str">
        <f>IF(C899="","",('transversal subsidence profile'!$L$5*EXP(-(C899^2)/(2*'transversal subsidence profile'!$J$5^2)))*100)</f>
        <v/>
      </c>
      <c r="Z899" s="664" t="str">
        <f>IF(C899="","",(+'transversal subsidence profile'!$L$6*EXP(-((C899+$G$10)^2)/(2*'transversal subsidence profile'!$J$6^2)))*100)</f>
        <v/>
      </c>
      <c r="AA899" s="751" t="str">
        <f>IF(C899="","",IF('IN-OUT'!$F$26=0,'Damage classification-Rankin'!Z899,IF('IN-OUT'!$F$35=0,Y899,'Damage classification-Rankin'!Y899+'Damage classification-Rankin'!Z899)))</f>
        <v/>
      </c>
    </row>
    <row r="900" spans="1:27" ht="13.8" thickBot="1">
      <c r="A900" s="67"/>
      <c r="B900" s="655">
        <f t="shared" si="93"/>
        <v>879</v>
      </c>
      <c r="C900" s="374" t="str">
        <f t="shared" si="94"/>
        <v/>
      </c>
      <c r="D900" s="784" t="str">
        <f t="shared" si="95"/>
        <v/>
      </c>
      <c r="E900" s="784" t="str">
        <f t="shared" si="96"/>
        <v/>
      </c>
      <c r="F900" s="785" t="str">
        <f t="shared" si="97"/>
        <v/>
      </c>
      <c r="G900" s="784" t="str">
        <f t="shared" si="98"/>
        <v/>
      </c>
      <c r="Y900" s="663" t="str">
        <f>IF(C900="","",('transversal subsidence profile'!$L$5*EXP(-(C900^2)/(2*'transversal subsidence profile'!$J$5^2)))*100)</f>
        <v/>
      </c>
      <c r="Z900" s="664" t="str">
        <f>IF(C900="","",(+'transversal subsidence profile'!$L$6*EXP(-((C900+$G$10)^2)/(2*'transversal subsidence profile'!$J$6^2)))*100)</f>
        <v/>
      </c>
      <c r="AA900" s="751" t="str">
        <f>IF(C900="","",IF('IN-OUT'!$F$26=0,'Damage classification-Rankin'!Z900,IF('IN-OUT'!$F$35=0,Y900,'Damage classification-Rankin'!Y900+'Damage classification-Rankin'!Z900)))</f>
        <v/>
      </c>
    </row>
    <row r="901" spans="1:27" ht="13.8" thickBot="1">
      <c r="A901" s="67"/>
      <c r="B901" s="655">
        <f t="shared" si="93"/>
        <v>880</v>
      </c>
      <c r="C901" s="374" t="str">
        <f t="shared" si="94"/>
        <v/>
      </c>
      <c r="D901" s="784" t="str">
        <f t="shared" si="95"/>
        <v/>
      </c>
      <c r="E901" s="784" t="str">
        <f t="shared" si="96"/>
        <v/>
      </c>
      <c r="F901" s="785" t="str">
        <f t="shared" si="97"/>
        <v/>
      </c>
      <c r="G901" s="784" t="str">
        <f t="shared" si="98"/>
        <v/>
      </c>
      <c r="Y901" s="663" t="str">
        <f>IF(C901="","",('transversal subsidence profile'!$L$5*EXP(-(C901^2)/(2*'transversal subsidence profile'!$J$5^2)))*100)</f>
        <v/>
      </c>
      <c r="Z901" s="664" t="str">
        <f>IF(C901="","",(+'transversal subsidence profile'!$L$6*EXP(-((C901+$G$10)^2)/(2*'transversal subsidence profile'!$J$6^2)))*100)</f>
        <v/>
      </c>
      <c r="AA901" s="751" t="str">
        <f>IF(C901="","",IF('IN-OUT'!$F$26=0,'Damage classification-Rankin'!Z901,IF('IN-OUT'!$F$35=0,Y901,'Damage classification-Rankin'!Y901+'Damage classification-Rankin'!Z901)))</f>
        <v/>
      </c>
    </row>
    <row r="902" spans="1:27" ht="13.8" thickBot="1">
      <c r="A902" s="67"/>
      <c r="B902" s="655">
        <f t="shared" si="93"/>
        <v>881</v>
      </c>
      <c r="C902" s="374" t="str">
        <f t="shared" si="94"/>
        <v/>
      </c>
      <c r="D902" s="784" t="str">
        <f t="shared" si="95"/>
        <v/>
      </c>
      <c r="E902" s="784" t="str">
        <f t="shared" si="96"/>
        <v/>
      </c>
      <c r="F902" s="785" t="str">
        <f t="shared" si="97"/>
        <v/>
      </c>
      <c r="G902" s="784" t="str">
        <f t="shared" si="98"/>
        <v/>
      </c>
      <c r="Y902" s="663" t="str">
        <f>IF(C902="","",('transversal subsidence profile'!$L$5*EXP(-(C902^2)/(2*'transversal subsidence profile'!$J$5^2)))*100)</f>
        <v/>
      </c>
      <c r="Z902" s="664" t="str">
        <f>IF(C902="","",(+'transversal subsidence profile'!$L$6*EXP(-((C902+$G$10)^2)/(2*'transversal subsidence profile'!$J$6^2)))*100)</f>
        <v/>
      </c>
      <c r="AA902" s="751" t="str">
        <f>IF(C902="","",IF('IN-OUT'!$F$26=0,'Damage classification-Rankin'!Z902,IF('IN-OUT'!$F$35=0,Y902,'Damage classification-Rankin'!Y902+'Damage classification-Rankin'!Z902)))</f>
        <v/>
      </c>
    </row>
    <row r="903" spans="1:27" ht="13.8" thickBot="1">
      <c r="A903" s="67"/>
      <c r="B903" s="655">
        <f t="shared" si="93"/>
        <v>882</v>
      </c>
      <c r="C903" s="374" t="str">
        <f t="shared" si="94"/>
        <v/>
      </c>
      <c r="D903" s="784" t="str">
        <f t="shared" si="95"/>
        <v/>
      </c>
      <c r="E903" s="784" t="str">
        <f t="shared" si="96"/>
        <v/>
      </c>
      <c r="F903" s="785" t="str">
        <f t="shared" si="97"/>
        <v/>
      </c>
      <c r="G903" s="784" t="str">
        <f t="shared" si="98"/>
        <v/>
      </c>
      <c r="Y903" s="663" t="str">
        <f>IF(C903="","",('transversal subsidence profile'!$L$5*EXP(-(C903^2)/(2*'transversal subsidence profile'!$J$5^2)))*100)</f>
        <v/>
      </c>
      <c r="Z903" s="664" t="str">
        <f>IF(C903="","",(+'transversal subsidence profile'!$L$6*EXP(-((C903+$G$10)^2)/(2*'transversal subsidence profile'!$J$6^2)))*100)</f>
        <v/>
      </c>
      <c r="AA903" s="751" t="str">
        <f>IF(C903="","",IF('IN-OUT'!$F$26=0,'Damage classification-Rankin'!Z903,IF('IN-OUT'!$F$35=0,Y903,'Damage classification-Rankin'!Y903+'Damage classification-Rankin'!Z903)))</f>
        <v/>
      </c>
    </row>
    <row r="904" spans="1:27" ht="13.8" thickBot="1">
      <c r="A904" s="67"/>
      <c r="B904" s="655">
        <f t="shared" si="93"/>
        <v>883</v>
      </c>
      <c r="C904" s="374" t="str">
        <f t="shared" si="94"/>
        <v/>
      </c>
      <c r="D904" s="784" t="str">
        <f t="shared" si="95"/>
        <v/>
      </c>
      <c r="E904" s="784" t="str">
        <f t="shared" si="96"/>
        <v/>
      </c>
      <c r="F904" s="785" t="str">
        <f t="shared" si="97"/>
        <v/>
      </c>
      <c r="G904" s="784" t="str">
        <f t="shared" si="98"/>
        <v/>
      </c>
      <c r="Y904" s="663" t="str">
        <f>IF(C904="","",('transversal subsidence profile'!$L$5*EXP(-(C904^2)/(2*'transversal subsidence profile'!$J$5^2)))*100)</f>
        <v/>
      </c>
      <c r="Z904" s="664" t="str">
        <f>IF(C904="","",(+'transversal subsidence profile'!$L$6*EXP(-((C904+$G$10)^2)/(2*'transversal subsidence profile'!$J$6^2)))*100)</f>
        <v/>
      </c>
      <c r="AA904" s="751" t="str">
        <f>IF(C904="","",IF('IN-OUT'!$F$26=0,'Damage classification-Rankin'!Z904,IF('IN-OUT'!$F$35=0,Y904,'Damage classification-Rankin'!Y904+'Damage classification-Rankin'!Z904)))</f>
        <v/>
      </c>
    </row>
    <row r="905" spans="1:27" ht="13.8" thickBot="1">
      <c r="A905" s="67"/>
      <c r="B905" s="655">
        <f t="shared" si="93"/>
        <v>884</v>
      </c>
      <c r="C905" s="374" t="str">
        <f t="shared" si="94"/>
        <v/>
      </c>
      <c r="D905" s="784" t="str">
        <f t="shared" si="95"/>
        <v/>
      </c>
      <c r="E905" s="784" t="str">
        <f t="shared" si="96"/>
        <v/>
      </c>
      <c r="F905" s="785" t="str">
        <f t="shared" si="97"/>
        <v/>
      </c>
      <c r="G905" s="784" t="str">
        <f t="shared" si="98"/>
        <v/>
      </c>
      <c r="Y905" s="663" t="str">
        <f>IF(C905="","",('transversal subsidence profile'!$L$5*EXP(-(C905^2)/(2*'transversal subsidence profile'!$J$5^2)))*100)</f>
        <v/>
      </c>
      <c r="Z905" s="664" t="str">
        <f>IF(C905="","",(+'transversal subsidence profile'!$L$6*EXP(-((C905+$G$10)^2)/(2*'transversal subsidence profile'!$J$6^2)))*100)</f>
        <v/>
      </c>
      <c r="AA905" s="751" t="str">
        <f>IF(C905="","",IF('IN-OUT'!$F$26=0,'Damage classification-Rankin'!Z905,IF('IN-OUT'!$F$35=0,Y905,'Damage classification-Rankin'!Y905+'Damage classification-Rankin'!Z905)))</f>
        <v/>
      </c>
    </row>
    <row r="906" spans="1:27" ht="13.8" thickBot="1">
      <c r="A906" s="67"/>
      <c r="B906" s="655">
        <f t="shared" ref="B906:B969" si="99">B905+1</f>
        <v>885</v>
      </c>
      <c r="C906" s="374" t="str">
        <f t="shared" ref="C906:C969" si="100">IF(OR(C905=$D$8,C905=""),"",IF((C905+$C$19)&gt;$D$8,$D$8,C905+$C$19))</f>
        <v/>
      </c>
      <c r="D906" s="784" t="str">
        <f t="shared" ref="D906:D969" si="101">AA906</f>
        <v/>
      </c>
      <c r="E906" s="784" t="str">
        <f t="shared" ref="E906:E969" si="102">IF(C906="","",IF(D906&gt;D905,ATAN(((D906-D905))/ABS((C906-C905)*100)),-ATAN(((D905-D906))/ABS((C906-C905)*100))))</f>
        <v/>
      </c>
      <c r="F906" s="785" t="str">
        <f t="shared" ref="F906:F969" si="103">IF(C906&lt;&gt;"",ABS(D905-D906),"")</f>
        <v/>
      </c>
      <c r="G906" s="784" t="str">
        <f t="shared" si="98"/>
        <v/>
      </c>
      <c r="Y906" s="663" t="str">
        <f>IF(C906="","",('transversal subsidence profile'!$L$5*EXP(-(C906^2)/(2*'transversal subsidence profile'!$J$5^2)))*100)</f>
        <v/>
      </c>
      <c r="Z906" s="664" t="str">
        <f>IF(C906="","",(+'transversal subsidence profile'!$L$6*EXP(-((C906+$G$10)^2)/(2*'transversal subsidence profile'!$J$6^2)))*100)</f>
        <v/>
      </c>
      <c r="AA906" s="751" t="str">
        <f>IF(C906="","",IF('IN-OUT'!$F$26=0,'Damage classification-Rankin'!Z906,IF('IN-OUT'!$F$35=0,Y906,'Damage classification-Rankin'!Y906+'Damage classification-Rankin'!Z906)))</f>
        <v/>
      </c>
    </row>
    <row r="907" spans="1:27" ht="13.8" thickBot="1">
      <c r="A907" s="67"/>
      <c r="B907" s="655">
        <f t="shared" si="99"/>
        <v>886</v>
      </c>
      <c r="C907" s="374" t="str">
        <f t="shared" si="100"/>
        <v/>
      </c>
      <c r="D907" s="784" t="str">
        <f t="shared" si="101"/>
        <v/>
      </c>
      <c r="E907" s="784" t="str">
        <f t="shared" si="102"/>
        <v/>
      </c>
      <c r="F907" s="785" t="str">
        <f t="shared" si="103"/>
        <v/>
      </c>
      <c r="G907" s="784" t="str">
        <f t="shared" si="98"/>
        <v/>
      </c>
      <c r="Y907" s="663" t="str">
        <f>IF(C907="","",('transversal subsidence profile'!$L$5*EXP(-(C907^2)/(2*'transversal subsidence profile'!$J$5^2)))*100)</f>
        <v/>
      </c>
      <c r="Z907" s="664" t="str">
        <f>IF(C907="","",(+'transversal subsidence profile'!$L$6*EXP(-((C907+$G$10)^2)/(2*'transversal subsidence profile'!$J$6^2)))*100)</f>
        <v/>
      </c>
      <c r="AA907" s="751" t="str">
        <f>IF(C907="","",IF('IN-OUT'!$F$26=0,'Damage classification-Rankin'!Z907,IF('IN-OUT'!$F$35=0,Y907,'Damage classification-Rankin'!Y907+'Damage classification-Rankin'!Z907)))</f>
        <v/>
      </c>
    </row>
    <row r="908" spans="1:27" ht="13.8" thickBot="1">
      <c r="A908" s="67"/>
      <c r="B908" s="655">
        <f t="shared" si="99"/>
        <v>887</v>
      </c>
      <c r="C908" s="374" t="str">
        <f t="shared" si="100"/>
        <v/>
      </c>
      <c r="D908" s="784" t="str">
        <f t="shared" si="101"/>
        <v/>
      </c>
      <c r="E908" s="784" t="str">
        <f t="shared" si="102"/>
        <v/>
      </c>
      <c r="F908" s="785" t="str">
        <f t="shared" si="103"/>
        <v/>
      </c>
      <c r="G908" s="784" t="str">
        <f t="shared" si="98"/>
        <v/>
      </c>
      <c r="Y908" s="663" t="str">
        <f>IF(C908="","",('transversal subsidence profile'!$L$5*EXP(-(C908^2)/(2*'transversal subsidence profile'!$J$5^2)))*100)</f>
        <v/>
      </c>
      <c r="Z908" s="664" t="str">
        <f>IF(C908="","",(+'transversal subsidence profile'!$L$6*EXP(-((C908+$G$10)^2)/(2*'transversal subsidence profile'!$J$6^2)))*100)</f>
        <v/>
      </c>
      <c r="AA908" s="751" t="str">
        <f>IF(C908="","",IF('IN-OUT'!$F$26=0,'Damage classification-Rankin'!Z908,IF('IN-OUT'!$F$35=0,Y908,'Damage classification-Rankin'!Y908+'Damage classification-Rankin'!Z908)))</f>
        <v/>
      </c>
    </row>
    <row r="909" spans="1:27" ht="13.8" thickBot="1">
      <c r="A909" s="67"/>
      <c r="B909" s="655">
        <f t="shared" si="99"/>
        <v>888</v>
      </c>
      <c r="C909" s="374" t="str">
        <f t="shared" si="100"/>
        <v/>
      </c>
      <c r="D909" s="784" t="str">
        <f t="shared" si="101"/>
        <v/>
      </c>
      <c r="E909" s="784" t="str">
        <f t="shared" si="102"/>
        <v/>
      </c>
      <c r="F909" s="785" t="str">
        <f t="shared" si="103"/>
        <v/>
      </c>
      <c r="G909" s="784" t="str">
        <f t="shared" si="98"/>
        <v/>
      </c>
      <c r="Y909" s="663" t="str">
        <f>IF(C909="","",('transversal subsidence profile'!$L$5*EXP(-(C909^2)/(2*'transversal subsidence profile'!$J$5^2)))*100)</f>
        <v/>
      </c>
      <c r="Z909" s="664" t="str">
        <f>IF(C909="","",(+'transversal subsidence profile'!$L$6*EXP(-((C909+$G$10)^2)/(2*'transversal subsidence profile'!$J$6^2)))*100)</f>
        <v/>
      </c>
      <c r="AA909" s="751" t="str">
        <f>IF(C909="","",IF('IN-OUT'!$F$26=0,'Damage classification-Rankin'!Z909,IF('IN-OUT'!$F$35=0,Y909,'Damage classification-Rankin'!Y909+'Damage classification-Rankin'!Z909)))</f>
        <v/>
      </c>
    </row>
    <row r="910" spans="1:27" ht="13.8" thickBot="1">
      <c r="A910" s="67"/>
      <c r="B910" s="655">
        <f t="shared" si="99"/>
        <v>889</v>
      </c>
      <c r="C910" s="374" t="str">
        <f t="shared" si="100"/>
        <v/>
      </c>
      <c r="D910" s="784" t="str">
        <f t="shared" si="101"/>
        <v/>
      </c>
      <c r="E910" s="784" t="str">
        <f t="shared" si="102"/>
        <v/>
      </c>
      <c r="F910" s="785" t="str">
        <f t="shared" si="103"/>
        <v/>
      </c>
      <c r="G910" s="784" t="str">
        <f t="shared" si="98"/>
        <v/>
      </c>
      <c r="Y910" s="663" t="str">
        <f>IF(C910="","",('transversal subsidence profile'!$L$5*EXP(-(C910^2)/(2*'transversal subsidence profile'!$J$5^2)))*100)</f>
        <v/>
      </c>
      <c r="Z910" s="664" t="str">
        <f>IF(C910="","",(+'transversal subsidence profile'!$L$6*EXP(-((C910+$G$10)^2)/(2*'transversal subsidence profile'!$J$6^2)))*100)</f>
        <v/>
      </c>
      <c r="AA910" s="751" t="str">
        <f>IF(C910="","",IF('IN-OUT'!$F$26=0,'Damage classification-Rankin'!Z910,IF('IN-OUT'!$F$35=0,Y910,'Damage classification-Rankin'!Y910+'Damage classification-Rankin'!Z910)))</f>
        <v/>
      </c>
    </row>
    <row r="911" spans="1:27" ht="13.8" thickBot="1">
      <c r="A911" s="67"/>
      <c r="B911" s="655">
        <f t="shared" si="99"/>
        <v>890</v>
      </c>
      <c r="C911" s="374" t="str">
        <f t="shared" si="100"/>
        <v/>
      </c>
      <c r="D911" s="784" t="str">
        <f t="shared" si="101"/>
        <v/>
      </c>
      <c r="E911" s="784" t="str">
        <f t="shared" si="102"/>
        <v/>
      </c>
      <c r="F911" s="785" t="str">
        <f t="shared" si="103"/>
        <v/>
      </c>
      <c r="G911" s="784" t="str">
        <f t="shared" si="98"/>
        <v/>
      </c>
      <c r="Y911" s="663" t="str">
        <f>IF(C911="","",('transversal subsidence profile'!$L$5*EXP(-(C911^2)/(2*'transversal subsidence profile'!$J$5^2)))*100)</f>
        <v/>
      </c>
      <c r="Z911" s="664" t="str">
        <f>IF(C911="","",(+'transversal subsidence profile'!$L$6*EXP(-((C911+$G$10)^2)/(2*'transversal subsidence profile'!$J$6^2)))*100)</f>
        <v/>
      </c>
      <c r="AA911" s="751" t="str">
        <f>IF(C911="","",IF('IN-OUT'!$F$26=0,'Damage classification-Rankin'!Z911,IF('IN-OUT'!$F$35=0,Y911,'Damage classification-Rankin'!Y911+'Damage classification-Rankin'!Z911)))</f>
        <v/>
      </c>
    </row>
    <row r="912" spans="1:27" ht="13.8" thickBot="1">
      <c r="A912" s="67"/>
      <c r="B912" s="655">
        <f t="shared" si="99"/>
        <v>891</v>
      </c>
      <c r="C912" s="374" t="str">
        <f t="shared" si="100"/>
        <v/>
      </c>
      <c r="D912" s="784" t="str">
        <f t="shared" si="101"/>
        <v/>
      </c>
      <c r="E912" s="784" t="str">
        <f t="shared" si="102"/>
        <v/>
      </c>
      <c r="F912" s="785" t="str">
        <f t="shared" si="103"/>
        <v/>
      </c>
      <c r="G912" s="784" t="str">
        <f t="shared" si="98"/>
        <v/>
      </c>
      <c r="Y912" s="663" t="str">
        <f>IF(C912="","",('transversal subsidence profile'!$L$5*EXP(-(C912^2)/(2*'transversal subsidence profile'!$J$5^2)))*100)</f>
        <v/>
      </c>
      <c r="Z912" s="664" t="str">
        <f>IF(C912="","",(+'transversal subsidence profile'!$L$6*EXP(-((C912+$G$10)^2)/(2*'transversal subsidence profile'!$J$6^2)))*100)</f>
        <v/>
      </c>
      <c r="AA912" s="751" t="str">
        <f>IF(C912="","",IF('IN-OUT'!$F$26=0,'Damage classification-Rankin'!Z912,IF('IN-OUT'!$F$35=0,Y912,'Damage classification-Rankin'!Y912+'Damage classification-Rankin'!Z912)))</f>
        <v/>
      </c>
    </row>
    <row r="913" spans="1:27" ht="13.8" thickBot="1">
      <c r="A913" s="67"/>
      <c r="B913" s="655">
        <f t="shared" si="99"/>
        <v>892</v>
      </c>
      <c r="C913" s="374" t="str">
        <f t="shared" si="100"/>
        <v/>
      </c>
      <c r="D913" s="784" t="str">
        <f t="shared" si="101"/>
        <v/>
      </c>
      <c r="E913" s="784" t="str">
        <f t="shared" si="102"/>
        <v/>
      </c>
      <c r="F913" s="785" t="str">
        <f t="shared" si="103"/>
        <v/>
      </c>
      <c r="G913" s="784" t="str">
        <f t="shared" si="98"/>
        <v/>
      </c>
      <c r="Y913" s="663" t="str">
        <f>IF(C913="","",('transversal subsidence profile'!$L$5*EXP(-(C913^2)/(2*'transversal subsidence profile'!$J$5^2)))*100)</f>
        <v/>
      </c>
      <c r="Z913" s="664" t="str">
        <f>IF(C913="","",(+'transversal subsidence profile'!$L$6*EXP(-((C913+$G$10)^2)/(2*'transversal subsidence profile'!$J$6^2)))*100)</f>
        <v/>
      </c>
      <c r="AA913" s="751" t="str">
        <f>IF(C913="","",IF('IN-OUT'!$F$26=0,'Damage classification-Rankin'!Z913,IF('IN-OUT'!$F$35=0,Y913,'Damage classification-Rankin'!Y913+'Damage classification-Rankin'!Z913)))</f>
        <v/>
      </c>
    </row>
    <row r="914" spans="1:27" ht="13.8" thickBot="1">
      <c r="A914" s="67"/>
      <c r="B914" s="655">
        <f t="shared" si="99"/>
        <v>893</v>
      </c>
      <c r="C914" s="374" t="str">
        <f t="shared" si="100"/>
        <v/>
      </c>
      <c r="D914" s="784" t="str">
        <f t="shared" si="101"/>
        <v/>
      </c>
      <c r="E914" s="784" t="str">
        <f t="shared" si="102"/>
        <v/>
      </c>
      <c r="F914" s="785" t="str">
        <f t="shared" si="103"/>
        <v/>
      </c>
      <c r="G914" s="784" t="str">
        <f t="shared" si="98"/>
        <v/>
      </c>
      <c r="Y914" s="663" t="str">
        <f>IF(C914="","",('transversal subsidence profile'!$L$5*EXP(-(C914^2)/(2*'transversal subsidence profile'!$J$5^2)))*100)</f>
        <v/>
      </c>
      <c r="Z914" s="664" t="str">
        <f>IF(C914="","",(+'transversal subsidence profile'!$L$6*EXP(-((C914+$G$10)^2)/(2*'transversal subsidence profile'!$J$6^2)))*100)</f>
        <v/>
      </c>
      <c r="AA914" s="751" t="str">
        <f>IF(C914="","",IF('IN-OUT'!$F$26=0,'Damage classification-Rankin'!Z914,IF('IN-OUT'!$F$35=0,Y914,'Damage classification-Rankin'!Y914+'Damage classification-Rankin'!Z914)))</f>
        <v/>
      </c>
    </row>
    <row r="915" spans="1:27" ht="13.8" thickBot="1">
      <c r="A915" s="67"/>
      <c r="B915" s="655">
        <f t="shared" si="99"/>
        <v>894</v>
      </c>
      <c r="C915" s="374" t="str">
        <f t="shared" si="100"/>
        <v/>
      </c>
      <c r="D915" s="784" t="str">
        <f t="shared" si="101"/>
        <v/>
      </c>
      <c r="E915" s="784" t="str">
        <f t="shared" si="102"/>
        <v/>
      </c>
      <c r="F915" s="785" t="str">
        <f t="shared" si="103"/>
        <v/>
      </c>
      <c r="G915" s="784" t="str">
        <f t="shared" si="98"/>
        <v/>
      </c>
      <c r="Y915" s="663" t="str">
        <f>IF(C915="","",('transversal subsidence profile'!$L$5*EXP(-(C915^2)/(2*'transversal subsidence profile'!$J$5^2)))*100)</f>
        <v/>
      </c>
      <c r="Z915" s="664" t="str">
        <f>IF(C915="","",(+'transversal subsidence profile'!$L$6*EXP(-((C915+$G$10)^2)/(2*'transversal subsidence profile'!$J$6^2)))*100)</f>
        <v/>
      </c>
      <c r="AA915" s="751" t="str">
        <f>IF(C915="","",IF('IN-OUT'!$F$26=0,'Damage classification-Rankin'!Z915,IF('IN-OUT'!$F$35=0,Y915,'Damage classification-Rankin'!Y915+'Damage classification-Rankin'!Z915)))</f>
        <v/>
      </c>
    </row>
    <row r="916" spans="1:27" ht="13.8" thickBot="1">
      <c r="A916" s="67"/>
      <c r="B916" s="655">
        <f t="shared" si="99"/>
        <v>895</v>
      </c>
      <c r="C916" s="374" t="str">
        <f t="shared" si="100"/>
        <v/>
      </c>
      <c r="D916" s="784" t="str">
        <f t="shared" si="101"/>
        <v/>
      </c>
      <c r="E916" s="784" t="str">
        <f t="shared" si="102"/>
        <v/>
      </c>
      <c r="F916" s="785" t="str">
        <f t="shared" si="103"/>
        <v/>
      </c>
      <c r="G916" s="784" t="str">
        <f t="shared" si="98"/>
        <v/>
      </c>
      <c r="Y916" s="663" t="str">
        <f>IF(C916="","",('transversal subsidence profile'!$L$5*EXP(-(C916^2)/(2*'transversal subsidence profile'!$J$5^2)))*100)</f>
        <v/>
      </c>
      <c r="Z916" s="664" t="str">
        <f>IF(C916="","",(+'transversal subsidence profile'!$L$6*EXP(-((C916+$G$10)^2)/(2*'transversal subsidence profile'!$J$6^2)))*100)</f>
        <v/>
      </c>
      <c r="AA916" s="751" t="str">
        <f>IF(C916="","",IF('IN-OUT'!$F$26=0,'Damage classification-Rankin'!Z916,IF('IN-OUT'!$F$35=0,Y916,'Damage classification-Rankin'!Y916+'Damage classification-Rankin'!Z916)))</f>
        <v/>
      </c>
    </row>
    <row r="917" spans="1:27" ht="13.8" thickBot="1">
      <c r="A917" s="67"/>
      <c r="B917" s="655">
        <f t="shared" si="99"/>
        <v>896</v>
      </c>
      <c r="C917" s="374" t="str">
        <f t="shared" si="100"/>
        <v/>
      </c>
      <c r="D917" s="784" t="str">
        <f t="shared" si="101"/>
        <v/>
      </c>
      <c r="E917" s="784" t="str">
        <f t="shared" si="102"/>
        <v/>
      </c>
      <c r="F917" s="785" t="str">
        <f t="shared" si="103"/>
        <v/>
      </c>
      <c r="G917" s="784" t="str">
        <f t="shared" si="98"/>
        <v/>
      </c>
      <c r="Y917" s="663" t="str">
        <f>IF(C917="","",('transversal subsidence profile'!$L$5*EXP(-(C917^2)/(2*'transversal subsidence profile'!$J$5^2)))*100)</f>
        <v/>
      </c>
      <c r="Z917" s="664" t="str">
        <f>IF(C917="","",(+'transversal subsidence profile'!$L$6*EXP(-((C917+$G$10)^2)/(2*'transversal subsidence profile'!$J$6^2)))*100)</f>
        <v/>
      </c>
      <c r="AA917" s="751" t="str">
        <f>IF(C917="","",IF('IN-OUT'!$F$26=0,'Damage classification-Rankin'!Z917,IF('IN-OUT'!$F$35=0,Y917,'Damage classification-Rankin'!Y917+'Damage classification-Rankin'!Z917)))</f>
        <v/>
      </c>
    </row>
    <row r="918" spans="1:27" ht="13.8" thickBot="1">
      <c r="A918" s="67"/>
      <c r="B918" s="655">
        <f t="shared" si="99"/>
        <v>897</v>
      </c>
      <c r="C918" s="374" t="str">
        <f t="shared" si="100"/>
        <v/>
      </c>
      <c r="D918" s="784" t="str">
        <f t="shared" si="101"/>
        <v/>
      </c>
      <c r="E918" s="784" t="str">
        <f t="shared" si="102"/>
        <v/>
      </c>
      <c r="F918" s="785" t="str">
        <f t="shared" si="103"/>
        <v/>
      </c>
      <c r="G918" s="784" t="str">
        <f t="shared" si="98"/>
        <v/>
      </c>
      <c r="Y918" s="663" t="str">
        <f>IF(C918="","",('transversal subsidence profile'!$L$5*EXP(-(C918^2)/(2*'transversal subsidence profile'!$J$5^2)))*100)</f>
        <v/>
      </c>
      <c r="Z918" s="664" t="str">
        <f>IF(C918="","",(+'transversal subsidence profile'!$L$6*EXP(-((C918+$G$10)^2)/(2*'transversal subsidence profile'!$J$6^2)))*100)</f>
        <v/>
      </c>
      <c r="AA918" s="751" t="str">
        <f>IF(C918="","",IF('IN-OUT'!$F$26=0,'Damage classification-Rankin'!Z918,IF('IN-OUT'!$F$35=0,Y918,'Damage classification-Rankin'!Y918+'Damage classification-Rankin'!Z918)))</f>
        <v/>
      </c>
    </row>
    <row r="919" spans="1:27" ht="13.8" thickBot="1">
      <c r="A919" s="67"/>
      <c r="B919" s="655">
        <f t="shared" si="99"/>
        <v>898</v>
      </c>
      <c r="C919" s="374" t="str">
        <f t="shared" si="100"/>
        <v/>
      </c>
      <c r="D919" s="784" t="str">
        <f t="shared" si="101"/>
        <v/>
      </c>
      <c r="E919" s="784" t="str">
        <f t="shared" si="102"/>
        <v/>
      </c>
      <c r="F919" s="785" t="str">
        <f t="shared" si="103"/>
        <v/>
      </c>
      <c r="G919" s="784" t="str">
        <f t="shared" si="98"/>
        <v/>
      </c>
      <c r="Y919" s="663" t="str">
        <f>IF(C919="","",('transversal subsidence profile'!$L$5*EXP(-(C919^2)/(2*'transversal subsidence profile'!$J$5^2)))*100)</f>
        <v/>
      </c>
      <c r="Z919" s="664" t="str">
        <f>IF(C919="","",(+'transversal subsidence profile'!$L$6*EXP(-((C919+$G$10)^2)/(2*'transversal subsidence profile'!$J$6^2)))*100)</f>
        <v/>
      </c>
      <c r="AA919" s="751" t="str">
        <f>IF(C919="","",IF('IN-OUT'!$F$26=0,'Damage classification-Rankin'!Z919,IF('IN-OUT'!$F$35=0,Y919,'Damage classification-Rankin'!Y919+'Damage classification-Rankin'!Z919)))</f>
        <v/>
      </c>
    </row>
    <row r="920" spans="1:27" ht="13.8" thickBot="1">
      <c r="A920" s="67"/>
      <c r="B920" s="655">
        <f t="shared" si="99"/>
        <v>899</v>
      </c>
      <c r="C920" s="374" t="str">
        <f t="shared" si="100"/>
        <v/>
      </c>
      <c r="D920" s="784" t="str">
        <f t="shared" si="101"/>
        <v/>
      </c>
      <c r="E920" s="784" t="str">
        <f t="shared" si="102"/>
        <v/>
      </c>
      <c r="F920" s="785" t="str">
        <f t="shared" si="103"/>
        <v/>
      </c>
      <c r="G920" s="784" t="str">
        <f t="shared" ref="G920:G983" si="104">IF(C920="","",IF(ABS(C919-C920)&lt;($C$19-0.0001),"",$C$20+E920))</f>
        <v/>
      </c>
      <c r="Y920" s="663" t="str">
        <f>IF(C920="","",('transversal subsidence profile'!$L$5*EXP(-(C920^2)/(2*'transversal subsidence profile'!$J$5^2)))*100)</f>
        <v/>
      </c>
      <c r="Z920" s="664" t="str">
        <f>IF(C920="","",(+'transversal subsidence profile'!$L$6*EXP(-((C920+$G$10)^2)/(2*'transversal subsidence profile'!$J$6^2)))*100)</f>
        <v/>
      </c>
      <c r="AA920" s="751" t="str">
        <f>IF(C920="","",IF('IN-OUT'!$F$26=0,'Damage classification-Rankin'!Z920,IF('IN-OUT'!$F$35=0,Y920,'Damage classification-Rankin'!Y920+'Damage classification-Rankin'!Z920)))</f>
        <v/>
      </c>
    </row>
    <row r="921" spans="1:27" ht="13.8" thickBot="1">
      <c r="A921" s="67"/>
      <c r="B921" s="655">
        <f t="shared" si="99"/>
        <v>900</v>
      </c>
      <c r="C921" s="374" t="str">
        <f t="shared" si="100"/>
        <v/>
      </c>
      <c r="D921" s="784" t="str">
        <f t="shared" si="101"/>
        <v/>
      </c>
      <c r="E921" s="784" t="str">
        <f t="shared" si="102"/>
        <v/>
      </c>
      <c r="F921" s="785" t="str">
        <f t="shared" si="103"/>
        <v/>
      </c>
      <c r="G921" s="784" t="str">
        <f t="shared" si="104"/>
        <v/>
      </c>
      <c r="Y921" s="663" t="str">
        <f>IF(C921="","",('transversal subsidence profile'!$L$5*EXP(-(C921^2)/(2*'transversal subsidence profile'!$J$5^2)))*100)</f>
        <v/>
      </c>
      <c r="Z921" s="664" t="str">
        <f>IF(C921="","",(+'transversal subsidence profile'!$L$6*EXP(-((C921+$G$10)^2)/(2*'transversal subsidence profile'!$J$6^2)))*100)</f>
        <v/>
      </c>
      <c r="AA921" s="751" t="str">
        <f>IF(C921="","",IF('IN-OUT'!$F$26=0,'Damage classification-Rankin'!Z921,IF('IN-OUT'!$F$35=0,Y921,'Damage classification-Rankin'!Y921+'Damage classification-Rankin'!Z921)))</f>
        <v/>
      </c>
    </row>
    <row r="922" spans="1:27" ht="13.8" thickBot="1">
      <c r="A922" s="67"/>
      <c r="B922" s="655">
        <f t="shared" si="99"/>
        <v>901</v>
      </c>
      <c r="C922" s="374" t="str">
        <f t="shared" si="100"/>
        <v/>
      </c>
      <c r="D922" s="784" t="str">
        <f t="shared" si="101"/>
        <v/>
      </c>
      <c r="E922" s="784" t="str">
        <f t="shared" si="102"/>
        <v/>
      </c>
      <c r="F922" s="785" t="str">
        <f t="shared" si="103"/>
        <v/>
      </c>
      <c r="G922" s="784" t="str">
        <f t="shared" si="104"/>
        <v/>
      </c>
      <c r="Y922" s="663" t="str">
        <f>IF(C922="","",('transversal subsidence profile'!$L$5*EXP(-(C922^2)/(2*'transversal subsidence profile'!$J$5^2)))*100)</f>
        <v/>
      </c>
      <c r="Z922" s="664" t="str">
        <f>IF(C922="","",(+'transversal subsidence profile'!$L$6*EXP(-((C922+$G$10)^2)/(2*'transversal subsidence profile'!$J$6^2)))*100)</f>
        <v/>
      </c>
      <c r="AA922" s="751" t="str">
        <f>IF(C922="","",IF('IN-OUT'!$F$26=0,'Damage classification-Rankin'!Z922,IF('IN-OUT'!$F$35=0,Y922,'Damage classification-Rankin'!Y922+'Damage classification-Rankin'!Z922)))</f>
        <v/>
      </c>
    </row>
    <row r="923" spans="1:27" ht="13.8" thickBot="1">
      <c r="A923" s="67"/>
      <c r="B923" s="655">
        <f t="shared" si="99"/>
        <v>902</v>
      </c>
      <c r="C923" s="374" t="str">
        <f t="shared" si="100"/>
        <v/>
      </c>
      <c r="D923" s="784" t="str">
        <f t="shared" si="101"/>
        <v/>
      </c>
      <c r="E923" s="784" t="str">
        <f t="shared" si="102"/>
        <v/>
      </c>
      <c r="F923" s="785" t="str">
        <f t="shared" si="103"/>
        <v/>
      </c>
      <c r="G923" s="784" t="str">
        <f t="shared" si="104"/>
        <v/>
      </c>
      <c r="Y923" s="663" t="str">
        <f>IF(C923="","",('transversal subsidence profile'!$L$5*EXP(-(C923^2)/(2*'transversal subsidence profile'!$J$5^2)))*100)</f>
        <v/>
      </c>
      <c r="Z923" s="664" t="str">
        <f>IF(C923="","",(+'transversal subsidence profile'!$L$6*EXP(-((C923+$G$10)^2)/(2*'transversal subsidence profile'!$J$6^2)))*100)</f>
        <v/>
      </c>
      <c r="AA923" s="751" t="str">
        <f>IF(C923="","",IF('IN-OUT'!$F$26=0,'Damage classification-Rankin'!Z923,IF('IN-OUT'!$F$35=0,Y923,'Damage classification-Rankin'!Y923+'Damage classification-Rankin'!Z923)))</f>
        <v/>
      </c>
    </row>
    <row r="924" spans="1:27" ht="13.8" thickBot="1">
      <c r="A924" s="67"/>
      <c r="B924" s="655">
        <f t="shared" si="99"/>
        <v>903</v>
      </c>
      <c r="C924" s="374" t="str">
        <f t="shared" si="100"/>
        <v/>
      </c>
      <c r="D924" s="784" t="str">
        <f t="shared" si="101"/>
        <v/>
      </c>
      <c r="E924" s="784" t="str">
        <f t="shared" si="102"/>
        <v/>
      </c>
      <c r="F924" s="785" t="str">
        <f t="shared" si="103"/>
        <v/>
      </c>
      <c r="G924" s="784" t="str">
        <f t="shared" si="104"/>
        <v/>
      </c>
      <c r="Y924" s="663" t="str">
        <f>IF(C924="","",('transversal subsidence profile'!$L$5*EXP(-(C924^2)/(2*'transversal subsidence profile'!$J$5^2)))*100)</f>
        <v/>
      </c>
      <c r="Z924" s="664" t="str">
        <f>IF(C924="","",(+'transversal subsidence profile'!$L$6*EXP(-((C924+$G$10)^2)/(2*'transversal subsidence profile'!$J$6^2)))*100)</f>
        <v/>
      </c>
      <c r="AA924" s="751" t="str">
        <f>IF(C924="","",IF('IN-OUT'!$F$26=0,'Damage classification-Rankin'!Z924,IF('IN-OUT'!$F$35=0,Y924,'Damage classification-Rankin'!Y924+'Damage classification-Rankin'!Z924)))</f>
        <v/>
      </c>
    </row>
    <row r="925" spans="1:27" ht="13.8" thickBot="1">
      <c r="A925" s="67"/>
      <c r="B925" s="655">
        <f t="shared" si="99"/>
        <v>904</v>
      </c>
      <c r="C925" s="374" t="str">
        <f t="shared" si="100"/>
        <v/>
      </c>
      <c r="D925" s="784" t="str">
        <f t="shared" si="101"/>
        <v/>
      </c>
      <c r="E925" s="784" t="str">
        <f t="shared" si="102"/>
        <v/>
      </c>
      <c r="F925" s="785" t="str">
        <f t="shared" si="103"/>
        <v/>
      </c>
      <c r="G925" s="784" t="str">
        <f t="shared" si="104"/>
        <v/>
      </c>
      <c r="Y925" s="663" t="str">
        <f>IF(C925="","",('transversal subsidence profile'!$L$5*EXP(-(C925^2)/(2*'transversal subsidence profile'!$J$5^2)))*100)</f>
        <v/>
      </c>
      <c r="Z925" s="664" t="str">
        <f>IF(C925="","",(+'transversal subsidence profile'!$L$6*EXP(-((C925+$G$10)^2)/(2*'transversal subsidence profile'!$J$6^2)))*100)</f>
        <v/>
      </c>
      <c r="AA925" s="751" t="str">
        <f>IF(C925="","",IF('IN-OUT'!$F$26=0,'Damage classification-Rankin'!Z925,IF('IN-OUT'!$F$35=0,Y925,'Damage classification-Rankin'!Y925+'Damage classification-Rankin'!Z925)))</f>
        <v/>
      </c>
    </row>
    <row r="926" spans="1:27" ht="13.8" thickBot="1">
      <c r="A926" s="67"/>
      <c r="B926" s="655">
        <f t="shared" si="99"/>
        <v>905</v>
      </c>
      <c r="C926" s="374" t="str">
        <f t="shared" si="100"/>
        <v/>
      </c>
      <c r="D926" s="784" t="str">
        <f t="shared" si="101"/>
        <v/>
      </c>
      <c r="E926" s="784" t="str">
        <f t="shared" si="102"/>
        <v/>
      </c>
      <c r="F926" s="785" t="str">
        <f t="shared" si="103"/>
        <v/>
      </c>
      <c r="G926" s="784" t="str">
        <f t="shared" si="104"/>
        <v/>
      </c>
      <c r="Y926" s="663" t="str">
        <f>IF(C926="","",('transversal subsidence profile'!$L$5*EXP(-(C926^2)/(2*'transversal subsidence profile'!$J$5^2)))*100)</f>
        <v/>
      </c>
      <c r="Z926" s="664" t="str">
        <f>IF(C926="","",(+'transversal subsidence profile'!$L$6*EXP(-((C926+$G$10)^2)/(2*'transversal subsidence profile'!$J$6^2)))*100)</f>
        <v/>
      </c>
      <c r="AA926" s="751" t="str">
        <f>IF(C926="","",IF('IN-OUT'!$F$26=0,'Damage classification-Rankin'!Z926,IF('IN-OUT'!$F$35=0,Y926,'Damage classification-Rankin'!Y926+'Damage classification-Rankin'!Z926)))</f>
        <v/>
      </c>
    </row>
    <row r="927" spans="1:27" ht="13.8" thickBot="1">
      <c r="A927" s="67"/>
      <c r="B927" s="655">
        <f t="shared" si="99"/>
        <v>906</v>
      </c>
      <c r="C927" s="374" t="str">
        <f t="shared" si="100"/>
        <v/>
      </c>
      <c r="D927" s="784" t="str">
        <f t="shared" si="101"/>
        <v/>
      </c>
      <c r="E927" s="784" t="str">
        <f t="shared" si="102"/>
        <v/>
      </c>
      <c r="F927" s="785" t="str">
        <f t="shared" si="103"/>
        <v/>
      </c>
      <c r="G927" s="784" t="str">
        <f t="shared" si="104"/>
        <v/>
      </c>
      <c r="Y927" s="663" t="str">
        <f>IF(C927="","",('transversal subsidence profile'!$L$5*EXP(-(C927^2)/(2*'transversal subsidence profile'!$J$5^2)))*100)</f>
        <v/>
      </c>
      <c r="Z927" s="664" t="str">
        <f>IF(C927="","",(+'transversal subsidence profile'!$L$6*EXP(-((C927+$G$10)^2)/(2*'transversal subsidence profile'!$J$6^2)))*100)</f>
        <v/>
      </c>
      <c r="AA927" s="751" t="str">
        <f>IF(C927="","",IF('IN-OUT'!$F$26=0,'Damage classification-Rankin'!Z927,IF('IN-OUT'!$F$35=0,Y927,'Damage classification-Rankin'!Y927+'Damage classification-Rankin'!Z927)))</f>
        <v/>
      </c>
    </row>
    <row r="928" spans="1:27" ht="13.8" thickBot="1">
      <c r="A928" s="67"/>
      <c r="B928" s="655">
        <f t="shared" si="99"/>
        <v>907</v>
      </c>
      <c r="C928" s="374" t="str">
        <f t="shared" si="100"/>
        <v/>
      </c>
      <c r="D928" s="784" t="str">
        <f t="shared" si="101"/>
        <v/>
      </c>
      <c r="E928" s="784" t="str">
        <f t="shared" si="102"/>
        <v/>
      </c>
      <c r="F928" s="785" t="str">
        <f t="shared" si="103"/>
        <v/>
      </c>
      <c r="G928" s="784" t="str">
        <f t="shared" si="104"/>
        <v/>
      </c>
      <c r="Y928" s="663" t="str">
        <f>IF(C928="","",('transversal subsidence profile'!$L$5*EXP(-(C928^2)/(2*'transversal subsidence profile'!$J$5^2)))*100)</f>
        <v/>
      </c>
      <c r="Z928" s="664" t="str">
        <f>IF(C928="","",(+'transversal subsidence profile'!$L$6*EXP(-((C928+$G$10)^2)/(2*'transversal subsidence profile'!$J$6^2)))*100)</f>
        <v/>
      </c>
      <c r="AA928" s="751" t="str">
        <f>IF(C928="","",IF('IN-OUT'!$F$26=0,'Damage classification-Rankin'!Z928,IF('IN-OUT'!$F$35=0,Y928,'Damage classification-Rankin'!Y928+'Damage classification-Rankin'!Z928)))</f>
        <v/>
      </c>
    </row>
    <row r="929" spans="1:27" ht="13.8" thickBot="1">
      <c r="A929" s="67"/>
      <c r="B929" s="655">
        <f t="shared" si="99"/>
        <v>908</v>
      </c>
      <c r="C929" s="374" t="str">
        <f t="shared" si="100"/>
        <v/>
      </c>
      <c r="D929" s="784" t="str">
        <f t="shared" si="101"/>
        <v/>
      </c>
      <c r="E929" s="784" t="str">
        <f t="shared" si="102"/>
        <v/>
      </c>
      <c r="F929" s="785" t="str">
        <f t="shared" si="103"/>
        <v/>
      </c>
      <c r="G929" s="784" t="str">
        <f t="shared" si="104"/>
        <v/>
      </c>
      <c r="Y929" s="663" t="str">
        <f>IF(C929="","",('transversal subsidence profile'!$L$5*EXP(-(C929^2)/(2*'transversal subsidence profile'!$J$5^2)))*100)</f>
        <v/>
      </c>
      <c r="Z929" s="664" t="str">
        <f>IF(C929="","",(+'transversal subsidence profile'!$L$6*EXP(-((C929+$G$10)^2)/(2*'transversal subsidence profile'!$J$6^2)))*100)</f>
        <v/>
      </c>
      <c r="AA929" s="751" t="str">
        <f>IF(C929="","",IF('IN-OUT'!$F$26=0,'Damage classification-Rankin'!Z929,IF('IN-OUT'!$F$35=0,Y929,'Damage classification-Rankin'!Y929+'Damage classification-Rankin'!Z929)))</f>
        <v/>
      </c>
    </row>
    <row r="930" spans="1:27" ht="13.8" thickBot="1">
      <c r="A930" s="67"/>
      <c r="B930" s="655">
        <f t="shared" si="99"/>
        <v>909</v>
      </c>
      <c r="C930" s="374" t="str">
        <f t="shared" si="100"/>
        <v/>
      </c>
      <c r="D930" s="784" t="str">
        <f t="shared" si="101"/>
        <v/>
      </c>
      <c r="E930" s="784" t="str">
        <f t="shared" si="102"/>
        <v/>
      </c>
      <c r="F930" s="785" t="str">
        <f t="shared" si="103"/>
        <v/>
      </c>
      <c r="G930" s="784" t="str">
        <f t="shared" si="104"/>
        <v/>
      </c>
      <c r="Y930" s="663" t="str">
        <f>IF(C930="","",('transversal subsidence profile'!$L$5*EXP(-(C930^2)/(2*'transversal subsidence profile'!$J$5^2)))*100)</f>
        <v/>
      </c>
      <c r="Z930" s="664" t="str">
        <f>IF(C930="","",(+'transversal subsidence profile'!$L$6*EXP(-((C930+$G$10)^2)/(2*'transversal subsidence profile'!$J$6^2)))*100)</f>
        <v/>
      </c>
      <c r="AA930" s="751" t="str">
        <f>IF(C930="","",IF('IN-OUT'!$F$26=0,'Damage classification-Rankin'!Z930,IF('IN-OUT'!$F$35=0,Y930,'Damage classification-Rankin'!Y930+'Damage classification-Rankin'!Z930)))</f>
        <v/>
      </c>
    </row>
    <row r="931" spans="1:27" ht="13.8" thickBot="1">
      <c r="A931" s="67"/>
      <c r="B931" s="655">
        <f t="shared" si="99"/>
        <v>910</v>
      </c>
      <c r="C931" s="374" t="str">
        <f t="shared" si="100"/>
        <v/>
      </c>
      <c r="D931" s="784" t="str">
        <f t="shared" si="101"/>
        <v/>
      </c>
      <c r="E931" s="784" t="str">
        <f t="shared" si="102"/>
        <v/>
      </c>
      <c r="F931" s="785" t="str">
        <f t="shared" si="103"/>
        <v/>
      </c>
      <c r="G931" s="784" t="str">
        <f t="shared" si="104"/>
        <v/>
      </c>
      <c r="Y931" s="663" t="str">
        <f>IF(C931="","",('transversal subsidence profile'!$L$5*EXP(-(C931^2)/(2*'transversal subsidence profile'!$J$5^2)))*100)</f>
        <v/>
      </c>
      <c r="Z931" s="664" t="str">
        <f>IF(C931="","",(+'transversal subsidence profile'!$L$6*EXP(-((C931+$G$10)^2)/(2*'transversal subsidence profile'!$J$6^2)))*100)</f>
        <v/>
      </c>
      <c r="AA931" s="751" t="str">
        <f>IF(C931="","",IF('IN-OUT'!$F$26=0,'Damage classification-Rankin'!Z931,IF('IN-OUT'!$F$35=0,Y931,'Damage classification-Rankin'!Y931+'Damage classification-Rankin'!Z931)))</f>
        <v/>
      </c>
    </row>
    <row r="932" spans="1:27" ht="13.8" thickBot="1">
      <c r="A932" s="67"/>
      <c r="B932" s="655">
        <f t="shared" si="99"/>
        <v>911</v>
      </c>
      <c r="C932" s="374" t="str">
        <f t="shared" si="100"/>
        <v/>
      </c>
      <c r="D932" s="784" t="str">
        <f t="shared" si="101"/>
        <v/>
      </c>
      <c r="E932" s="784" t="str">
        <f t="shared" si="102"/>
        <v/>
      </c>
      <c r="F932" s="785" t="str">
        <f t="shared" si="103"/>
        <v/>
      </c>
      <c r="G932" s="784" t="str">
        <f t="shared" si="104"/>
        <v/>
      </c>
      <c r="Y932" s="663" t="str">
        <f>IF(C932="","",('transversal subsidence profile'!$L$5*EXP(-(C932^2)/(2*'transversal subsidence profile'!$J$5^2)))*100)</f>
        <v/>
      </c>
      <c r="Z932" s="664" t="str">
        <f>IF(C932="","",(+'transversal subsidence profile'!$L$6*EXP(-((C932+$G$10)^2)/(2*'transversal subsidence profile'!$J$6^2)))*100)</f>
        <v/>
      </c>
      <c r="AA932" s="751" t="str">
        <f>IF(C932="","",IF('IN-OUT'!$F$26=0,'Damage classification-Rankin'!Z932,IF('IN-OUT'!$F$35=0,Y932,'Damage classification-Rankin'!Y932+'Damage classification-Rankin'!Z932)))</f>
        <v/>
      </c>
    </row>
    <row r="933" spans="1:27" ht="13.8" thickBot="1">
      <c r="A933" s="67"/>
      <c r="B933" s="655">
        <f t="shared" si="99"/>
        <v>912</v>
      </c>
      <c r="C933" s="374" t="str">
        <f t="shared" si="100"/>
        <v/>
      </c>
      <c r="D933" s="784" t="str">
        <f t="shared" si="101"/>
        <v/>
      </c>
      <c r="E933" s="784" t="str">
        <f t="shared" si="102"/>
        <v/>
      </c>
      <c r="F933" s="785" t="str">
        <f t="shared" si="103"/>
        <v/>
      </c>
      <c r="G933" s="784" t="str">
        <f t="shared" si="104"/>
        <v/>
      </c>
      <c r="Y933" s="663" t="str">
        <f>IF(C933="","",('transversal subsidence profile'!$L$5*EXP(-(C933^2)/(2*'transversal subsidence profile'!$J$5^2)))*100)</f>
        <v/>
      </c>
      <c r="Z933" s="664" t="str">
        <f>IF(C933="","",(+'transversal subsidence profile'!$L$6*EXP(-((C933+$G$10)^2)/(2*'transversal subsidence profile'!$J$6^2)))*100)</f>
        <v/>
      </c>
      <c r="AA933" s="751" t="str">
        <f>IF(C933="","",IF('IN-OUT'!$F$26=0,'Damage classification-Rankin'!Z933,IF('IN-OUT'!$F$35=0,Y933,'Damage classification-Rankin'!Y933+'Damage classification-Rankin'!Z933)))</f>
        <v/>
      </c>
    </row>
    <row r="934" spans="1:27" ht="13.8" thickBot="1">
      <c r="A934" s="67"/>
      <c r="B934" s="655">
        <f t="shared" si="99"/>
        <v>913</v>
      </c>
      <c r="C934" s="374" t="str">
        <f t="shared" si="100"/>
        <v/>
      </c>
      <c r="D934" s="784" t="str">
        <f t="shared" si="101"/>
        <v/>
      </c>
      <c r="E934" s="784" t="str">
        <f t="shared" si="102"/>
        <v/>
      </c>
      <c r="F934" s="785" t="str">
        <f t="shared" si="103"/>
        <v/>
      </c>
      <c r="G934" s="784" t="str">
        <f t="shared" si="104"/>
        <v/>
      </c>
      <c r="Y934" s="663" t="str">
        <f>IF(C934="","",('transversal subsidence profile'!$L$5*EXP(-(C934^2)/(2*'transversal subsidence profile'!$J$5^2)))*100)</f>
        <v/>
      </c>
      <c r="Z934" s="664" t="str">
        <f>IF(C934="","",(+'transversal subsidence profile'!$L$6*EXP(-((C934+$G$10)^2)/(2*'transversal subsidence profile'!$J$6^2)))*100)</f>
        <v/>
      </c>
      <c r="AA934" s="751" t="str">
        <f>IF(C934="","",IF('IN-OUT'!$F$26=0,'Damage classification-Rankin'!Z934,IF('IN-OUT'!$F$35=0,Y934,'Damage classification-Rankin'!Y934+'Damage classification-Rankin'!Z934)))</f>
        <v/>
      </c>
    </row>
    <row r="935" spans="1:27" ht="13.8" thickBot="1">
      <c r="A935" s="67"/>
      <c r="B935" s="655">
        <f t="shared" si="99"/>
        <v>914</v>
      </c>
      <c r="C935" s="374" t="str">
        <f t="shared" si="100"/>
        <v/>
      </c>
      <c r="D935" s="784" t="str">
        <f t="shared" si="101"/>
        <v/>
      </c>
      <c r="E935" s="784" t="str">
        <f t="shared" si="102"/>
        <v/>
      </c>
      <c r="F935" s="785" t="str">
        <f t="shared" si="103"/>
        <v/>
      </c>
      <c r="G935" s="784" t="str">
        <f t="shared" si="104"/>
        <v/>
      </c>
      <c r="Y935" s="663" t="str">
        <f>IF(C935="","",('transversal subsidence profile'!$L$5*EXP(-(C935^2)/(2*'transversal subsidence profile'!$J$5^2)))*100)</f>
        <v/>
      </c>
      <c r="Z935" s="664" t="str">
        <f>IF(C935="","",(+'transversal subsidence profile'!$L$6*EXP(-((C935+$G$10)^2)/(2*'transversal subsidence profile'!$J$6^2)))*100)</f>
        <v/>
      </c>
      <c r="AA935" s="751" t="str">
        <f>IF(C935="","",IF('IN-OUT'!$F$26=0,'Damage classification-Rankin'!Z935,IF('IN-OUT'!$F$35=0,Y935,'Damage classification-Rankin'!Y935+'Damage classification-Rankin'!Z935)))</f>
        <v/>
      </c>
    </row>
    <row r="936" spans="1:27" ht="13.8" thickBot="1">
      <c r="A936" s="67"/>
      <c r="B936" s="655">
        <f t="shared" si="99"/>
        <v>915</v>
      </c>
      <c r="C936" s="374" t="str">
        <f t="shared" si="100"/>
        <v/>
      </c>
      <c r="D936" s="784" t="str">
        <f t="shared" si="101"/>
        <v/>
      </c>
      <c r="E936" s="784" t="str">
        <f t="shared" si="102"/>
        <v/>
      </c>
      <c r="F936" s="785" t="str">
        <f t="shared" si="103"/>
        <v/>
      </c>
      <c r="G936" s="784" t="str">
        <f t="shared" si="104"/>
        <v/>
      </c>
      <c r="Y936" s="663" t="str">
        <f>IF(C936="","",('transversal subsidence profile'!$L$5*EXP(-(C936^2)/(2*'transversal subsidence profile'!$J$5^2)))*100)</f>
        <v/>
      </c>
      <c r="Z936" s="664" t="str">
        <f>IF(C936="","",(+'transversal subsidence profile'!$L$6*EXP(-((C936+$G$10)^2)/(2*'transversal subsidence profile'!$J$6^2)))*100)</f>
        <v/>
      </c>
      <c r="AA936" s="751" t="str">
        <f>IF(C936="","",IF('IN-OUT'!$F$26=0,'Damage classification-Rankin'!Z936,IF('IN-OUT'!$F$35=0,Y936,'Damage classification-Rankin'!Y936+'Damage classification-Rankin'!Z936)))</f>
        <v/>
      </c>
    </row>
    <row r="937" spans="1:27" ht="13.8" thickBot="1">
      <c r="A937" s="67"/>
      <c r="B937" s="655">
        <f t="shared" si="99"/>
        <v>916</v>
      </c>
      <c r="C937" s="374" t="str">
        <f t="shared" si="100"/>
        <v/>
      </c>
      <c r="D937" s="784" t="str">
        <f t="shared" si="101"/>
        <v/>
      </c>
      <c r="E937" s="784" t="str">
        <f t="shared" si="102"/>
        <v/>
      </c>
      <c r="F937" s="785" t="str">
        <f t="shared" si="103"/>
        <v/>
      </c>
      <c r="G937" s="784" t="str">
        <f t="shared" si="104"/>
        <v/>
      </c>
      <c r="Y937" s="663" t="str">
        <f>IF(C937="","",('transversal subsidence profile'!$L$5*EXP(-(C937^2)/(2*'transversal subsidence profile'!$J$5^2)))*100)</f>
        <v/>
      </c>
      <c r="Z937" s="664" t="str">
        <f>IF(C937="","",(+'transversal subsidence profile'!$L$6*EXP(-((C937+$G$10)^2)/(2*'transversal subsidence profile'!$J$6^2)))*100)</f>
        <v/>
      </c>
      <c r="AA937" s="751" t="str">
        <f>IF(C937="","",IF('IN-OUT'!$F$26=0,'Damage classification-Rankin'!Z937,IF('IN-OUT'!$F$35=0,Y937,'Damage classification-Rankin'!Y937+'Damage classification-Rankin'!Z937)))</f>
        <v/>
      </c>
    </row>
    <row r="938" spans="1:27" ht="13.8" thickBot="1">
      <c r="A938" s="67"/>
      <c r="B938" s="655">
        <f t="shared" si="99"/>
        <v>917</v>
      </c>
      <c r="C938" s="374" t="str">
        <f t="shared" si="100"/>
        <v/>
      </c>
      <c r="D938" s="784" t="str">
        <f t="shared" si="101"/>
        <v/>
      </c>
      <c r="E938" s="784" t="str">
        <f t="shared" si="102"/>
        <v/>
      </c>
      <c r="F938" s="785" t="str">
        <f t="shared" si="103"/>
        <v/>
      </c>
      <c r="G938" s="784" t="str">
        <f t="shared" si="104"/>
        <v/>
      </c>
      <c r="Y938" s="663" t="str">
        <f>IF(C938="","",('transversal subsidence profile'!$L$5*EXP(-(C938^2)/(2*'transversal subsidence profile'!$J$5^2)))*100)</f>
        <v/>
      </c>
      <c r="Z938" s="664" t="str">
        <f>IF(C938="","",(+'transversal subsidence profile'!$L$6*EXP(-((C938+$G$10)^2)/(2*'transversal subsidence profile'!$J$6^2)))*100)</f>
        <v/>
      </c>
      <c r="AA938" s="751" t="str">
        <f>IF(C938="","",IF('IN-OUT'!$F$26=0,'Damage classification-Rankin'!Z938,IF('IN-OUT'!$F$35=0,Y938,'Damage classification-Rankin'!Y938+'Damage classification-Rankin'!Z938)))</f>
        <v/>
      </c>
    </row>
    <row r="939" spans="1:27" ht="13.8" thickBot="1">
      <c r="A939" s="67"/>
      <c r="B939" s="655">
        <f t="shared" si="99"/>
        <v>918</v>
      </c>
      <c r="C939" s="374" t="str">
        <f t="shared" si="100"/>
        <v/>
      </c>
      <c r="D939" s="784" t="str">
        <f t="shared" si="101"/>
        <v/>
      </c>
      <c r="E939" s="784" t="str">
        <f t="shared" si="102"/>
        <v/>
      </c>
      <c r="F939" s="785" t="str">
        <f t="shared" si="103"/>
        <v/>
      </c>
      <c r="G939" s="784" t="str">
        <f t="shared" si="104"/>
        <v/>
      </c>
      <c r="Y939" s="663" t="str">
        <f>IF(C939="","",('transversal subsidence profile'!$L$5*EXP(-(C939^2)/(2*'transversal subsidence profile'!$J$5^2)))*100)</f>
        <v/>
      </c>
      <c r="Z939" s="664" t="str">
        <f>IF(C939="","",(+'transversal subsidence profile'!$L$6*EXP(-((C939+$G$10)^2)/(2*'transversal subsidence profile'!$J$6^2)))*100)</f>
        <v/>
      </c>
      <c r="AA939" s="751" t="str">
        <f>IF(C939="","",IF('IN-OUT'!$F$26=0,'Damage classification-Rankin'!Z939,IF('IN-OUT'!$F$35=0,Y939,'Damage classification-Rankin'!Y939+'Damage classification-Rankin'!Z939)))</f>
        <v/>
      </c>
    </row>
    <row r="940" spans="1:27" ht="13.8" thickBot="1">
      <c r="A940" s="67"/>
      <c r="B940" s="655">
        <f t="shared" si="99"/>
        <v>919</v>
      </c>
      <c r="C940" s="374" t="str">
        <f t="shared" si="100"/>
        <v/>
      </c>
      <c r="D940" s="784" t="str">
        <f t="shared" si="101"/>
        <v/>
      </c>
      <c r="E940" s="784" t="str">
        <f t="shared" si="102"/>
        <v/>
      </c>
      <c r="F940" s="785" t="str">
        <f t="shared" si="103"/>
        <v/>
      </c>
      <c r="G940" s="784" t="str">
        <f t="shared" si="104"/>
        <v/>
      </c>
      <c r="Y940" s="663" t="str">
        <f>IF(C940="","",('transversal subsidence profile'!$L$5*EXP(-(C940^2)/(2*'transversal subsidence profile'!$J$5^2)))*100)</f>
        <v/>
      </c>
      <c r="Z940" s="664" t="str">
        <f>IF(C940="","",(+'transversal subsidence profile'!$L$6*EXP(-((C940+$G$10)^2)/(2*'transversal subsidence profile'!$J$6^2)))*100)</f>
        <v/>
      </c>
      <c r="AA940" s="751" t="str">
        <f>IF(C940="","",IF('IN-OUT'!$F$26=0,'Damage classification-Rankin'!Z940,IF('IN-OUT'!$F$35=0,Y940,'Damage classification-Rankin'!Y940+'Damage classification-Rankin'!Z940)))</f>
        <v/>
      </c>
    </row>
    <row r="941" spans="1:27" ht="13.8" thickBot="1">
      <c r="A941" s="67"/>
      <c r="B941" s="655">
        <f t="shared" si="99"/>
        <v>920</v>
      </c>
      <c r="C941" s="374" t="str">
        <f t="shared" si="100"/>
        <v/>
      </c>
      <c r="D941" s="784" t="str">
        <f t="shared" si="101"/>
        <v/>
      </c>
      <c r="E941" s="784" t="str">
        <f t="shared" si="102"/>
        <v/>
      </c>
      <c r="F941" s="785" t="str">
        <f t="shared" si="103"/>
        <v/>
      </c>
      <c r="G941" s="784" t="str">
        <f t="shared" si="104"/>
        <v/>
      </c>
      <c r="Y941" s="663" t="str">
        <f>IF(C941="","",('transversal subsidence profile'!$L$5*EXP(-(C941^2)/(2*'transversal subsidence profile'!$J$5^2)))*100)</f>
        <v/>
      </c>
      <c r="Z941" s="664" t="str">
        <f>IF(C941="","",(+'transversal subsidence profile'!$L$6*EXP(-((C941+$G$10)^2)/(2*'transversal subsidence profile'!$J$6^2)))*100)</f>
        <v/>
      </c>
      <c r="AA941" s="751" t="str">
        <f>IF(C941="","",IF('IN-OUT'!$F$26=0,'Damage classification-Rankin'!Z941,IF('IN-OUT'!$F$35=0,Y941,'Damage classification-Rankin'!Y941+'Damage classification-Rankin'!Z941)))</f>
        <v/>
      </c>
    </row>
    <row r="942" spans="1:27" ht="13.8" thickBot="1">
      <c r="A942" s="67"/>
      <c r="B942" s="655">
        <f t="shared" si="99"/>
        <v>921</v>
      </c>
      <c r="C942" s="374" t="str">
        <f t="shared" si="100"/>
        <v/>
      </c>
      <c r="D942" s="784" t="str">
        <f t="shared" si="101"/>
        <v/>
      </c>
      <c r="E942" s="784" t="str">
        <f t="shared" si="102"/>
        <v/>
      </c>
      <c r="F942" s="785" t="str">
        <f t="shared" si="103"/>
        <v/>
      </c>
      <c r="G942" s="784" t="str">
        <f t="shared" si="104"/>
        <v/>
      </c>
      <c r="Y942" s="663" t="str">
        <f>IF(C942="","",('transversal subsidence profile'!$L$5*EXP(-(C942^2)/(2*'transversal subsidence profile'!$J$5^2)))*100)</f>
        <v/>
      </c>
      <c r="Z942" s="664" t="str">
        <f>IF(C942="","",(+'transversal subsidence profile'!$L$6*EXP(-((C942+$G$10)^2)/(2*'transversal subsidence profile'!$J$6^2)))*100)</f>
        <v/>
      </c>
      <c r="AA942" s="751" t="str">
        <f>IF(C942="","",IF('IN-OUT'!$F$26=0,'Damage classification-Rankin'!Z942,IF('IN-OUT'!$F$35=0,Y942,'Damage classification-Rankin'!Y942+'Damage classification-Rankin'!Z942)))</f>
        <v/>
      </c>
    </row>
    <row r="943" spans="1:27" ht="13.8" thickBot="1">
      <c r="A943" s="67"/>
      <c r="B943" s="655">
        <f t="shared" si="99"/>
        <v>922</v>
      </c>
      <c r="C943" s="374" t="str">
        <f t="shared" si="100"/>
        <v/>
      </c>
      <c r="D943" s="784" t="str">
        <f t="shared" si="101"/>
        <v/>
      </c>
      <c r="E943" s="784" t="str">
        <f t="shared" si="102"/>
        <v/>
      </c>
      <c r="F943" s="785" t="str">
        <f t="shared" si="103"/>
        <v/>
      </c>
      <c r="G943" s="784" t="str">
        <f t="shared" si="104"/>
        <v/>
      </c>
      <c r="Y943" s="663" t="str">
        <f>IF(C943="","",('transversal subsidence profile'!$L$5*EXP(-(C943^2)/(2*'transversal subsidence profile'!$J$5^2)))*100)</f>
        <v/>
      </c>
      <c r="Z943" s="664" t="str">
        <f>IF(C943="","",(+'transversal subsidence profile'!$L$6*EXP(-((C943+$G$10)^2)/(2*'transversal subsidence profile'!$J$6^2)))*100)</f>
        <v/>
      </c>
      <c r="AA943" s="751" t="str">
        <f>IF(C943="","",IF('IN-OUT'!$F$26=0,'Damage classification-Rankin'!Z943,IF('IN-OUT'!$F$35=0,Y943,'Damage classification-Rankin'!Y943+'Damage classification-Rankin'!Z943)))</f>
        <v/>
      </c>
    </row>
    <row r="944" spans="1:27" ht="13.8" thickBot="1">
      <c r="A944" s="67"/>
      <c r="B944" s="655">
        <f t="shared" si="99"/>
        <v>923</v>
      </c>
      <c r="C944" s="374" t="str">
        <f t="shared" si="100"/>
        <v/>
      </c>
      <c r="D944" s="784" t="str">
        <f t="shared" si="101"/>
        <v/>
      </c>
      <c r="E944" s="784" t="str">
        <f t="shared" si="102"/>
        <v/>
      </c>
      <c r="F944" s="785" t="str">
        <f t="shared" si="103"/>
        <v/>
      </c>
      <c r="G944" s="784" t="str">
        <f t="shared" si="104"/>
        <v/>
      </c>
      <c r="Y944" s="663" t="str">
        <f>IF(C944="","",('transversal subsidence profile'!$L$5*EXP(-(C944^2)/(2*'transversal subsidence profile'!$J$5^2)))*100)</f>
        <v/>
      </c>
      <c r="Z944" s="664" t="str">
        <f>IF(C944="","",(+'transversal subsidence profile'!$L$6*EXP(-((C944+$G$10)^2)/(2*'transversal subsidence profile'!$J$6^2)))*100)</f>
        <v/>
      </c>
      <c r="AA944" s="751" t="str">
        <f>IF(C944="","",IF('IN-OUT'!$F$26=0,'Damage classification-Rankin'!Z944,IF('IN-OUT'!$F$35=0,Y944,'Damage classification-Rankin'!Y944+'Damage classification-Rankin'!Z944)))</f>
        <v/>
      </c>
    </row>
    <row r="945" spans="1:27" ht="13.8" thickBot="1">
      <c r="A945" s="67"/>
      <c r="B945" s="655">
        <f t="shared" si="99"/>
        <v>924</v>
      </c>
      <c r="C945" s="374" t="str">
        <f t="shared" si="100"/>
        <v/>
      </c>
      <c r="D945" s="784" t="str">
        <f t="shared" si="101"/>
        <v/>
      </c>
      <c r="E945" s="784" t="str">
        <f t="shared" si="102"/>
        <v/>
      </c>
      <c r="F945" s="785" t="str">
        <f t="shared" si="103"/>
        <v/>
      </c>
      <c r="G945" s="784" t="str">
        <f t="shared" si="104"/>
        <v/>
      </c>
      <c r="Y945" s="663" t="str">
        <f>IF(C945="","",('transversal subsidence profile'!$L$5*EXP(-(C945^2)/(2*'transversal subsidence profile'!$J$5^2)))*100)</f>
        <v/>
      </c>
      <c r="Z945" s="664" t="str">
        <f>IF(C945="","",(+'transversal subsidence profile'!$L$6*EXP(-((C945+$G$10)^2)/(2*'transversal subsidence profile'!$J$6^2)))*100)</f>
        <v/>
      </c>
      <c r="AA945" s="751" t="str">
        <f>IF(C945="","",IF('IN-OUT'!$F$26=0,'Damage classification-Rankin'!Z945,IF('IN-OUT'!$F$35=0,Y945,'Damage classification-Rankin'!Y945+'Damage classification-Rankin'!Z945)))</f>
        <v/>
      </c>
    </row>
    <row r="946" spans="1:27" ht="13.8" thickBot="1">
      <c r="A946" s="67"/>
      <c r="B946" s="655">
        <f t="shared" si="99"/>
        <v>925</v>
      </c>
      <c r="C946" s="374" t="str">
        <f t="shared" si="100"/>
        <v/>
      </c>
      <c r="D946" s="784" t="str">
        <f t="shared" si="101"/>
        <v/>
      </c>
      <c r="E946" s="784" t="str">
        <f t="shared" si="102"/>
        <v/>
      </c>
      <c r="F946" s="785" t="str">
        <f t="shared" si="103"/>
        <v/>
      </c>
      <c r="G946" s="784" t="str">
        <f t="shared" si="104"/>
        <v/>
      </c>
      <c r="Y946" s="663" t="str">
        <f>IF(C946="","",('transversal subsidence profile'!$L$5*EXP(-(C946^2)/(2*'transversal subsidence profile'!$J$5^2)))*100)</f>
        <v/>
      </c>
      <c r="Z946" s="664" t="str">
        <f>IF(C946="","",(+'transversal subsidence profile'!$L$6*EXP(-((C946+$G$10)^2)/(2*'transversal subsidence profile'!$J$6^2)))*100)</f>
        <v/>
      </c>
      <c r="AA946" s="751" t="str">
        <f>IF(C946="","",IF('IN-OUT'!$F$26=0,'Damage classification-Rankin'!Z946,IF('IN-OUT'!$F$35=0,Y946,'Damage classification-Rankin'!Y946+'Damage classification-Rankin'!Z946)))</f>
        <v/>
      </c>
    </row>
    <row r="947" spans="1:27" ht="13.8" thickBot="1">
      <c r="A947" s="67"/>
      <c r="B947" s="655">
        <f t="shared" si="99"/>
        <v>926</v>
      </c>
      <c r="C947" s="374" t="str">
        <f t="shared" si="100"/>
        <v/>
      </c>
      <c r="D947" s="784" t="str">
        <f t="shared" si="101"/>
        <v/>
      </c>
      <c r="E947" s="784" t="str">
        <f t="shared" si="102"/>
        <v/>
      </c>
      <c r="F947" s="785" t="str">
        <f t="shared" si="103"/>
        <v/>
      </c>
      <c r="G947" s="784" t="str">
        <f t="shared" si="104"/>
        <v/>
      </c>
      <c r="Y947" s="663" t="str">
        <f>IF(C947="","",('transversal subsidence profile'!$L$5*EXP(-(C947^2)/(2*'transversal subsidence profile'!$J$5^2)))*100)</f>
        <v/>
      </c>
      <c r="Z947" s="664" t="str">
        <f>IF(C947="","",(+'transversal subsidence profile'!$L$6*EXP(-((C947+$G$10)^2)/(2*'transversal subsidence profile'!$J$6^2)))*100)</f>
        <v/>
      </c>
      <c r="AA947" s="751" t="str">
        <f>IF(C947="","",IF('IN-OUT'!$F$26=0,'Damage classification-Rankin'!Z947,IF('IN-OUT'!$F$35=0,Y947,'Damage classification-Rankin'!Y947+'Damage classification-Rankin'!Z947)))</f>
        <v/>
      </c>
    </row>
    <row r="948" spans="1:27" ht="13.8" thickBot="1">
      <c r="A948" s="67"/>
      <c r="B948" s="655">
        <f t="shared" si="99"/>
        <v>927</v>
      </c>
      <c r="C948" s="374" t="str">
        <f t="shared" si="100"/>
        <v/>
      </c>
      <c r="D948" s="784" t="str">
        <f t="shared" si="101"/>
        <v/>
      </c>
      <c r="E948" s="784" t="str">
        <f t="shared" si="102"/>
        <v/>
      </c>
      <c r="F948" s="785" t="str">
        <f t="shared" si="103"/>
        <v/>
      </c>
      <c r="G948" s="784" t="str">
        <f t="shared" si="104"/>
        <v/>
      </c>
      <c r="Y948" s="663" t="str">
        <f>IF(C948="","",('transversal subsidence profile'!$L$5*EXP(-(C948^2)/(2*'transversal subsidence profile'!$J$5^2)))*100)</f>
        <v/>
      </c>
      <c r="Z948" s="664" t="str">
        <f>IF(C948="","",(+'transversal subsidence profile'!$L$6*EXP(-((C948+$G$10)^2)/(2*'transversal subsidence profile'!$J$6^2)))*100)</f>
        <v/>
      </c>
      <c r="AA948" s="751" t="str">
        <f>IF(C948="","",IF('IN-OUT'!$F$26=0,'Damage classification-Rankin'!Z948,IF('IN-OUT'!$F$35=0,Y948,'Damage classification-Rankin'!Y948+'Damage classification-Rankin'!Z948)))</f>
        <v/>
      </c>
    </row>
    <row r="949" spans="1:27" ht="13.8" thickBot="1">
      <c r="A949" s="67"/>
      <c r="B949" s="655">
        <f t="shared" si="99"/>
        <v>928</v>
      </c>
      <c r="C949" s="374" t="str">
        <f t="shared" si="100"/>
        <v/>
      </c>
      <c r="D949" s="784" t="str">
        <f t="shared" si="101"/>
        <v/>
      </c>
      <c r="E949" s="784" t="str">
        <f t="shared" si="102"/>
        <v/>
      </c>
      <c r="F949" s="785" t="str">
        <f t="shared" si="103"/>
        <v/>
      </c>
      <c r="G949" s="784" t="str">
        <f t="shared" si="104"/>
        <v/>
      </c>
      <c r="Y949" s="663" t="str">
        <f>IF(C949="","",('transversal subsidence profile'!$L$5*EXP(-(C949^2)/(2*'transversal subsidence profile'!$J$5^2)))*100)</f>
        <v/>
      </c>
      <c r="Z949" s="664" t="str">
        <f>IF(C949="","",(+'transversal subsidence profile'!$L$6*EXP(-((C949+$G$10)^2)/(2*'transversal subsidence profile'!$J$6^2)))*100)</f>
        <v/>
      </c>
      <c r="AA949" s="751" t="str">
        <f>IF(C949="","",IF('IN-OUT'!$F$26=0,'Damage classification-Rankin'!Z949,IF('IN-OUT'!$F$35=0,Y949,'Damage classification-Rankin'!Y949+'Damage classification-Rankin'!Z949)))</f>
        <v/>
      </c>
    </row>
    <row r="950" spans="1:27" ht="13.8" thickBot="1">
      <c r="A950" s="67"/>
      <c r="B950" s="655">
        <f t="shared" si="99"/>
        <v>929</v>
      </c>
      <c r="C950" s="374" t="str">
        <f t="shared" si="100"/>
        <v/>
      </c>
      <c r="D950" s="784" t="str">
        <f t="shared" si="101"/>
        <v/>
      </c>
      <c r="E950" s="784" t="str">
        <f t="shared" si="102"/>
        <v/>
      </c>
      <c r="F950" s="785" t="str">
        <f t="shared" si="103"/>
        <v/>
      </c>
      <c r="G950" s="784" t="str">
        <f t="shared" si="104"/>
        <v/>
      </c>
      <c r="Y950" s="663" t="str">
        <f>IF(C950="","",('transversal subsidence profile'!$L$5*EXP(-(C950^2)/(2*'transversal subsidence profile'!$J$5^2)))*100)</f>
        <v/>
      </c>
      <c r="Z950" s="664" t="str">
        <f>IF(C950="","",(+'transversal subsidence profile'!$L$6*EXP(-((C950+$G$10)^2)/(2*'transversal subsidence profile'!$J$6^2)))*100)</f>
        <v/>
      </c>
      <c r="AA950" s="751" t="str">
        <f>IF(C950="","",IF('IN-OUT'!$F$26=0,'Damage classification-Rankin'!Z950,IF('IN-OUT'!$F$35=0,Y950,'Damage classification-Rankin'!Y950+'Damage classification-Rankin'!Z950)))</f>
        <v/>
      </c>
    </row>
    <row r="951" spans="1:27" ht="13.8" thickBot="1">
      <c r="A951" s="67"/>
      <c r="B951" s="655">
        <f t="shared" si="99"/>
        <v>930</v>
      </c>
      <c r="C951" s="374" t="str">
        <f t="shared" si="100"/>
        <v/>
      </c>
      <c r="D951" s="784" t="str">
        <f t="shared" si="101"/>
        <v/>
      </c>
      <c r="E951" s="784" t="str">
        <f t="shared" si="102"/>
        <v/>
      </c>
      <c r="F951" s="785" t="str">
        <f t="shared" si="103"/>
        <v/>
      </c>
      <c r="G951" s="784" t="str">
        <f t="shared" si="104"/>
        <v/>
      </c>
      <c r="Y951" s="663" t="str">
        <f>IF(C951="","",('transversal subsidence profile'!$L$5*EXP(-(C951^2)/(2*'transversal subsidence profile'!$J$5^2)))*100)</f>
        <v/>
      </c>
      <c r="Z951" s="664" t="str">
        <f>IF(C951="","",(+'transversal subsidence profile'!$L$6*EXP(-((C951+$G$10)^2)/(2*'transversal subsidence profile'!$J$6^2)))*100)</f>
        <v/>
      </c>
      <c r="AA951" s="751" t="str">
        <f>IF(C951="","",IF('IN-OUT'!$F$26=0,'Damage classification-Rankin'!Z951,IF('IN-OUT'!$F$35=0,Y951,'Damage classification-Rankin'!Y951+'Damage classification-Rankin'!Z951)))</f>
        <v/>
      </c>
    </row>
    <row r="952" spans="1:27" ht="13.8" thickBot="1">
      <c r="A952" s="67"/>
      <c r="B952" s="655">
        <f t="shared" si="99"/>
        <v>931</v>
      </c>
      <c r="C952" s="374" t="str">
        <f t="shared" si="100"/>
        <v/>
      </c>
      <c r="D952" s="784" t="str">
        <f t="shared" si="101"/>
        <v/>
      </c>
      <c r="E952" s="784" t="str">
        <f t="shared" si="102"/>
        <v/>
      </c>
      <c r="F952" s="785" t="str">
        <f t="shared" si="103"/>
        <v/>
      </c>
      <c r="G952" s="784" t="str">
        <f t="shared" si="104"/>
        <v/>
      </c>
      <c r="Y952" s="663" t="str">
        <f>IF(C952="","",('transversal subsidence profile'!$L$5*EXP(-(C952^2)/(2*'transversal subsidence profile'!$J$5^2)))*100)</f>
        <v/>
      </c>
      <c r="Z952" s="664" t="str">
        <f>IF(C952="","",(+'transversal subsidence profile'!$L$6*EXP(-((C952+$G$10)^2)/(2*'transversal subsidence profile'!$J$6^2)))*100)</f>
        <v/>
      </c>
      <c r="AA952" s="751" t="str">
        <f>IF(C952="","",IF('IN-OUT'!$F$26=0,'Damage classification-Rankin'!Z952,IF('IN-OUT'!$F$35=0,Y952,'Damage classification-Rankin'!Y952+'Damage classification-Rankin'!Z952)))</f>
        <v/>
      </c>
    </row>
    <row r="953" spans="1:27" ht="13.8" thickBot="1">
      <c r="A953" s="67"/>
      <c r="B953" s="655">
        <f t="shared" si="99"/>
        <v>932</v>
      </c>
      <c r="C953" s="374" t="str">
        <f t="shared" si="100"/>
        <v/>
      </c>
      <c r="D953" s="784" t="str">
        <f t="shared" si="101"/>
        <v/>
      </c>
      <c r="E953" s="784" t="str">
        <f t="shared" si="102"/>
        <v/>
      </c>
      <c r="F953" s="785" t="str">
        <f t="shared" si="103"/>
        <v/>
      </c>
      <c r="G953" s="784" t="str">
        <f t="shared" si="104"/>
        <v/>
      </c>
      <c r="Y953" s="663" t="str">
        <f>IF(C953="","",('transversal subsidence profile'!$L$5*EXP(-(C953^2)/(2*'transversal subsidence profile'!$J$5^2)))*100)</f>
        <v/>
      </c>
      <c r="Z953" s="664" t="str">
        <f>IF(C953="","",(+'transversal subsidence profile'!$L$6*EXP(-((C953+$G$10)^2)/(2*'transversal subsidence profile'!$J$6^2)))*100)</f>
        <v/>
      </c>
      <c r="AA953" s="751" t="str">
        <f>IF(C953="","",IF('IN-OUT'!$F$26=0,'Damage classification-Rankin'!Z953,IF('IN-OUT'!$F$35=0,Y953,'Damage classification-Rankin'!Y953+'Damage classification-Rankin'!Z953)))</f>
        <v/>
      </c>
    </row>
    <row r="954" spans="1:27" ht="13.8" thickBot="1">
      <c r="A954" s="67"/>
      <c r="B954" s="655">
        <f t="shared" si="99"/>
        <v>933</v>
      </c>
      <c r="C954" s="374" t="str">
        <f t="shared" si="100"/>
        <v/>
      </c>
      <c r="D954" s="784" t="str">
        <f t="shared" si="101"/>
        <v/>
      </c>
      <c r="E954" s="784" t="str">
        <f t="shared" si="102"/>
        <v/>
      </c>
      <c r="F954" s="785" t="str">
        <f t="shared" si="103"/>
        <v/>
      </c>
      <c r="G954" s="784" t="str">
        <f t="shared" si="104"/>
        <v/>
      </c>
      <c r="Y954" s="663" t="str">
        <f>IF(C954="","",('transversal subsidence profile'!$L$5*EXP(-(C954^2)/(2*'transversal subsidence profile'!$J$5^2)))*100)</f>
        <v/>
      </c>
      <c r="Z954" s="664" t="str">
        <f>IF(C954="","",(+'transversal subsidence profile'!$L$6*EXP(-((C954+$G$10)^2)/(2*'transversal subsidence profile'!$J$6^2)))*100)</f>
        <v/>
      </c>
      <c r="AA954" s="751" t="str">
        <f>IF(C954="","",IF('IN-OUT'!$F$26=0,'Damage classification-Rankin'!Z954,IF('IN-OUT'!$F$35=0,Y954,'Damage classification-Rankin'!Y954+'Damage classification-Rankin'!Z954)))</f>
        <v/>
      </c>
    </row>
    <row r="955" spans="1:27" ht="13.8" thickBot="1">
      <c r="A955" s="67"/>
      <c r="B955" s="655">
        <f t="shared" si="99"/>
        <v>934</v>
      </c>
      <c r="C955" s="374" t="str">
        <f t="shared" si="100"/>
        <v/>
      </c>
      <c r="D955" s="784" t="str">
        <f t="shared" si="101"/>
        <v/>
      </c>
      <c r="E955" s="784" t="str">
        <f t="shared" si="102"/>
        <v/>
      </c>
      <c r="F955" s="785" t="str">
        <f t="shared" si="103"/>
        <v/>
      </c>
      <c r="G955" s="784" t="str">
        <f t="shared" si="104"/>
        <v/>
      </c>
      <c r="Y955" s="663" t="str">
        <f>IF(C955="","",('transversal subsidence profile'!$L$5*EXP(-(C955^2)/(2*'transversal subsidence profile'!$J$5^2)))*100)</f>
        <v/>
      </c>
      <c r="Z955" s="664" t="str">
        <f>IF(C955="","",(+'transversal subsidence profile'!$L$6*EXP(-((C955+$G$10)^2)/(2*'transversal subsidence profile'!$J$6^2)))*100)</f>
        <v/>
      </c>
      <c r="AA955" s="751" t="str">
        <f>IF(C955="","",IF('IN-OUT'!$F$26=0,'Damage classification-Rankin'!Z955,IF('IN-OUT'!$F$35=0,Y955,'Damage classification-Rankin'!Y955+'Damage classification-Rankin'!Z955)))</f>
        <v/>
      </c>
    </row>
    <row r="956" spans="1:27" ht="13.8" thickBot="1">
      <c r="A956" s="67"/>
      <c r="B956" s="655">
        <f t="shared" si="99"/>
        <v>935</v>
      </c>
      <c r="C956" s="374" t="str">
        <f t="shared" si="100"/>
        <v/>
      </c>
      <c r="D956" s="784" t="str">
        <f t="shared" si="101"/>
        <v/>
      </c>
      <c r="E956" s="784" t="str">
        <f t="shared" si="102"/>
        <v/>
      </c>
      <c r="F956" s="785" t="str">
        <f t="shared" si="103"/>
        <v/>
      </c>
      <c r="G956" s="784" t="str">
        <f t="shared" si="104"/>
        <v/>
      </c>
      <c r="Y956" s="663" t="str">
        <f>IF(C956="","",('transversal subsidence profile'!$L$5*EXP(-(C956^2)/(2*'transversal subsidence profile'!$J$5^2)))*100)</f>
        <v/>
      </c>
      <c r="Z956" s="664" t="str">
        <f>IF(C956="","",(+'transversal subsidence profile'!$L$6*EXP(-((C956+$G$10)^2)/(2*'transversal subsidence profile'!$J$6^2)))*100)</f>
        <v/>
      </c>
      <c r="AA956" s="751" t="str">
        <f>IF(C956="","",IF('IN-OUT'!$F$26=0,'Damage classification-Rankin'!Z956,IF('IN-OUT'!$F$35=0,Y956,'Damage classification-Rankin'!Y956+'Damage classification-Rankin'!Z956)))</f>
        <v/>
      </c>
    </row>
    <row r="957" spans="1:27" ht="13.8" thickBot="1">
      <c r="A957" s="67"/>
      <c r="B957" s="655">
        <f t="shared" si="99"/>
        <v>936</v>
      </c>
      <c r="C957" s="374" t="str">
        <f t="shared" si="100"/>
        <v/>
      </c>
      <c r="D957" s="784" t="str">
        <f t="shared" si="101"/>
        <v/>
      </c>
      <c r="E957" s="784" t="str">
        <f t="shared" si="102"/>
        <v/>
      </c>
      <c r="F957" s="785" t="str">
        <f t="shared" si="103"/>
        <v/>
      </c>
      <c r="G957" s="784" t="str">
        <f t="shared" si="104"/>
        <v/>
      </c>
      <c r="Y957" s="663" t="str">
        <f>IF(C957="","",('transversal subsidence profile'!$L$5*EXP(-(C957^2)/(2*'transversal subsidence profile'!$J$5^2)))*100)</f>
        <v/>
      </c>
      <c r="Z957" s="664" t="str">
        <f>IF(C957="","",(+'transversal subsidence profile'!$L$6*EXP(-((C957+$G$10)^2)/(2*'transversal subsidence profile'!$J$6^2)))*100)</f>
        <v/>
      </c>
      <c r="AA957" s="751" t="str">
        <f>IF(C957="","",IF('IN-OUT'!$F$26=0,'Damage classification-Rankin'!Z957,IF('IN-OUT'!$F$35=0,Y957,'Damage classification-Rankin'!Y957+'Damage classification-Rankin'!Z957)))</f>
        <v/>
      </c>
    </row>
    <row r="958" spans="1:27" ht="13.8" thickBot="1">
      <c r="A958" s="67"/>
      <c r="B958" s="655">
        <f t="shared" si="99"/>
        <v>937</v>
      </c>
      <c r="C958" s="374" t="str">
        <f t="shared" si="100"/>
        <v/>
      </c>
      <c r="D958" s="784" t="str">
        <f t="shared" si="101"/>
        <v/>
      </c>
      <c r="E958" s="784" t="str">
        <f t="shared" si="102"/>
        <v/>
      </c>
      <c r="F958" s="785" t="str">
        <f t="shared" si="103"/>
        <v/>
      </c>
      <c r="G958" s="784" t="str">
        <f t="shared" si="104"/>
        <v/>
      </c>
      <c r="Y958" s="663" t="str">
        <f>IF(C958="","",('transversal subsidence profile'!$L$5*EXP(-(C958^2)/(2*'transversal subsidence profile'!$J$5^2)))*100)</f>
        <v/>
      </c>
      <c r="Z958" s="664" t="str">
        <f>IF(C958="","",(+'transversal subsidence profile'!$L$6*EXP(-((C958+$G$10)^2)/(2*'transversal subsidence profile'!$J$6^2)))*100)</f>
        <v/>
      </c>
      <c r="AA958" s="751" t="str">
        <f>IF(C958="","",IF('IN-OUT'!$F$26=0,'Damage classification-Rankin'!Z958,IF('IN-OUT'!$F$35=0,Y958,'Damage classification-Rankin'!Y958+'Damage classification-Rankin'!Z958)))</f>
        <v/>
      </c>
    </row>
    <row r="959" spans="1:27" ht="13.8" thickBot="1">
      <c r="A959" s="67"/>
      <c r="B959" s="655">
        <f t="shared" si="99"/>
        <v>938</v>
      </c>
      <c r="C959" s="374" t="str">
        <f t="shared" si="100"/>
        <v/>
      </c>
      <c r="D959" s="784" t="str">
        <f t="shared" si="101"/>
        <v/>
      </c>
      <c r="E959" s="784" t="str">
        <f t="shared" si="102"/>
        <v/>
      </c>
      <c r="F959" s="785" t="str">
        <f t="shared" si="103"/>
        <v/>
      </c>
      <c r="G959" s="784" t="str">
        <f t="shared" si="104"/>
        <v/>
      </c>
      <c r="Y959" s="663" t="str">
        <f>IF(C959="","",('transversal subsidence profile'!$L$5*EXP(-(C959^2)/(2*'transversal subsidence profile'!$J$5^2)))*100)</f>
        <v/>
      </c>
      <c r="Z959" s="664" t="str">
        <f>IF(C959="","",(+'transversal subsidence profile'!$L$6*EXP(-((C959+$G$10)^2)/(2*'transversal subsidence profile'!$J$6^2)))*100)</f>
        <v/>
      </c>
      <c r="AA959" s="751" t="str">
        <f>IF(C959="","",IF('IN-OUT'!$F$26=0,'Damage classification-Rankin'!Z959,IF('IN-OUT'!$F$35=0,Y959,'Damage classification-Rankin'!Y959+'Damage classification-Rankin'!Z959)))</f>
        <v/>
      </c>
    </row>
    <row r="960" spans="1:27" ht="13.8" thickBot="1">
      <c r="A960" s="67"/>
      <c r="B960" s="655">
        <f t="shared" si="99"/>
        <v>939</v>
      </c>
      <c r="C960" s="374" t="str">
        <f t="shared" si="100"/>
        <v/>
      </c>
      <c r="D960" s="784" t="str">
        <f t="shared" si="101"/>
        <v/>
      </c>
      <c r="E960" s="784" t="str">
        <f t="shared" si="102"/>
        <v/>
      </c>
      <c r="F960" s="785" t="str">
        <f t="shared" si="103"/>
        <v/>
      </c>
      <c r="G960" s="784" t="str">
        <f t="shared" si="104"/>
        <v/>
      </c>
      <c r="Y960" s="663" t="str">
        <f>IF(C960="","",('transversal subsidence profile'!$L$5*EXP(-(C960^2)/(2*'transversal subsidence profile'!$J$5^2)))*100)</f>
        <v/>
      </c>
      <c r="Z960" s="664" t="str">
        <f>IF(C960="","",(+'transversal subsidence profile'!$L$6*EXP(-((C960+$G$10)^2)/(2*'transversal subsidence profile'!$J$6^2)))*100)</f>
        <v/>
      </c>
      <c r="AA960" s="751" t="str">
        <f>IF(C960="","",IF('IN-OUT'!$F$26=0,'Damage classification-Rankin'!Z960,IF('IN-OUT'!$F$35=0,Y960,'Damage classification-Rankin'!Y960+'Damage classification-Rankin'!Z960)))</f>
        <v/>
      </c>
    </row>
    <row r="961" spans="1:27" ht="13.8" thickBot="1">
      <c r="A961" s="67"/>
      <c r="B961" s="655">
        <f t="shared" si="99"/>
        <v>940</v>
      </c>
      <c r="C961" s="374" t="str">
        <f t="shared" si="100"/>
        <v/>
      </c>
      <c r="D961" s="784" t="str">
        <f t="shared" si="101"/>
        <v/>
      </c>
      <c r="E961" s="784" t="str">
        <f t="shared" si="102"/>
        <v/>
      </c>
      <c r="F961" s="785" t="str">
        <f t="shared" si="103"/>
        <v/>
      </c>
      <c r="G961" s="784" t="str">
        <f t="shared" si="104"/>
        <v/>
      </c>
      <c r="Y961" s="663" t="str">
        <f>IF(C961="","",('transversal subsidence profile'!$L$5*EXP(-(C961^2)/(2*'transversal subsidence profile'!$J$5^2)))*100)</f>
        <v/>
      </c>
      <c r="Z961" s="664" t="str">
        <f>IF(C961="","",(+'transversal subsidence profile'!$L$6*EXP(-((C961+$G$10)^2)/(2*'transversal subsidence profile'!$J$6^2)))*100)</f>
        <v/>
      </c>
      <c r="AA961" s="751" t="str">
        <f>IF(C961="","",IF('IN-OUT'!$F$26=0,'Damage classification-Rankin'!Z961,IF('IN-OUT'!$F$35=0,Y961,'Damage classification-Rankin'!Y961+'Damage classification-Rankin'!Z961)))</f>
        <v/>
      </c>
    </row>
    <row r="962" spans="1:27" ht="13.8" thickBot="1">
      <c r="A962" s="67"/>
      <c r="B962" s="655">
        <f t="shared" si="99"/>
        <v>941</v>
      </c>
      <c r="C962" s="374" t="str">
        <f t="shared" si="100"/>
        <v/>
      </c>
      <c r="D962" s="784" t="str">
        <f t="shared" si="101"/>
        <v/>
      </c>
      <c r="E962" s="784" t="str">
        <f t="shared" si="102"/>
        <v/>
      </c>
      <c r="F962" s="785" t="str">
        <f t="shared" si="103"/>
        <v/>
      </c>
      <c r="G962" s="784" t="str">
        <f t="shared" si="104"/>
        <v/>
      </c>
      <c r="Y962" s="663" t="str">
        <f>IF(C962="","",('transversal subsidence profile'!$L$5*EXP(-(C962^2)/(2*'transversal subsidence profile'!$J$5^2)))*100)</f>
        <v/>
      </c>
      <c r="Z962" s="664" t="str">
        <f>IF(C962="","",(+'transversal subsidence profile'!$L$6*EXP(-((C962+$G$10)^2)/(2*'transversal subsidence profile'!$J$6^2)))*100)</f>
        <v/>
      </c>
      <c r="AA962" s="751" t="str">
        <f>IF(C962="","",IF('IN-OUT'!$F$26=0,'Damage classification-Rankin'!Z962,IF('IN-OUT'!$F$35=0,Y962,'Damage classification-Rankin'!Y962+'Damage classification-Rankin'!Z962)))</f>
        <v/>
      </c>
    </row>
    <row r="963" spans="1:27" ht="13.8" thickBot="1">
      <c r="A963" s="67"/>
      <c r="B963" s="655">
        <f t="shared" si="99"/>
        <v>942</v>
      </c>
      <c r="C963" s="374" t="str">
        <f t="shared" si="100"/>
        <v/>
      </c>
      <c r="D963" s="784" t="str">
        <f t="shared" si="101"/>
        <v/>
      </c>
      <c r="E963" s="784" t="str">
        <f t="shared" si="102"/>
        <v/>
      </c>
      <c r="F963" s="785" t="str">
        <f t="shared" si="103"/>
        <v/>
      </c>
      <c r="G963" s="784" t="str">
        <f t="shared" si="104"/>
        <v/>
      </c>
      <c r="Y963" s="663" t="str">
        <f>IF(C963="","",('transversal subsidence profile'!$L$5*EXP(-(C963^2)/(2*'transversal subsidence profile'!$J$5^2)))*100)</f>
        <v/>
      </c>
      <c r="Z963" s="664" t="str">
        <f>IF(C963="","",(+'transversal subsidence profile'!$L$6*EXP(-((C963+$G$10)^2)/(2*'transversal subsidence profile'!$J$6^2)))*100)</f>
        <v/>
      </c>
      <c r="AA963" s="751" t="str">
        <f>IF(C963="","",IF('IN-OUT'!$F$26=0,'Damage classification-Rankin'!Z963,IF('IN-OUT'!$F$35=0,Y963,'Damage classification-Rankin'!Y963+'Damage classification-Rankin'!Z963)))</f>
        <v/>
      </c>
    </row>
    <row r="964" spans="1:27" ht="13.8" thickBot="1">
      <c r="A964" s="67"/>
      <c r="B964" s="655">
        <f t="shared" si="99"/>
        <v>943</v>
      </c>
      <c r="C964" s="374" t="str">
        <f t="shared" si="100"/>
        <v/>
      </c>
      <c r="D964" s="784" t="str">
        <f t="shared" si="101"/>
        <v/>
      </c>
      <c r="E964" s="784" t="str">
        <f t="shared" si="102"/>
        <v/>
      </c>
      <c r="F964" s="785" t="str">
        <f t="shared" si="103"/>
        <v/>
      </c>
      <c r="G964" s="784" t="str">
        <f t="shared" si="104"/>
        <v/>
      </c>
      <c r="Y964" s="663" t="str">
        <f>IF(C964="","",('transversal subsidence profile'!$L$5*EXP(-(C964^2)/(2*'transversal subsidence profile'!$J$5^2)))*100)</f>
        <v/>
      </c>
      <c r="Z964" s="664" t="str">
        <f>IF(C964="","",(+'transversal subsidence profile'!$L$6*EXP(-((C964+$G$10)^2)/(2*'transversal subsidence profile'!$J$6^2)))*100)</f>
        <v/>
      </c>
      <c r="AA964" s="751" t="str">
        <f>IF(C964="","",IF('IN-OUT'!$F$26=0,'Damage classification-Rankin'!Z964,IF('IN-OUT'!$F$35=0,Y964,'Damage classification-Rankin'!Y964+'Damage classification-Rankin'!Z964)))</f>
        <v/>
      </c>
    </row>
    <row r="965" spans="1:27" ht="13.8" thickBot="1">
      <c r="A965" s="67"/>
      <c r="B965" s="655">
        <f t="shared" si="99"/>
        <v>944</v>
      </c>
      <c r="C965" s="374" t="str">
        <f t="shared" si="100"/>
        <v/>
      </c>
      <c r="D965" s="784" t="str">
        <f t="shared" si="101"/>
        <v/>
      </c>
      <c r="E965" s="784" t="str">
        <f t="shared" si="102"/>
        <v/>
      </c>
      <c r="F965" s="785" t="str">
        <f t="shared" si="103"/>
        <v/>
      </c>
      <c r="G965" s="784" t="str">
        <f t="shared" si="104"/>
        <v/>
      </c>
      <c r="Y965" s="663" t="str">
        <f>IF(C965="","",('transversal subsidence profile'!$L$5*EXP(-(C965^2)/(2*'transversal subsidence profile'!$J$5^2)))*100)</f>
        <v/>
      </c>
      <c r="Z965" s="664" t="str">
        <f>IF(C965="","",(+'transversal subsidence profile'!$L$6*EXP(-((C965+$G$10)^2)/(2*'transversal subsidence profile'!$J$6^2)))*100)</f>
        <v/>
      </c>
      <c r="AA965" s="751" t="str">
        <f>IF(C965="","",IF('IN-OUT'!$F$26=0,'Damage classification-Rankin'!Z965,IF('IN-OUT'!$F$35=0,Y965,'Damage classification-Rankin'!Y965+'Damage classification-Rankin'!Z965)))</f>
        <v/>
      </c>
    </row>
    <row r="966" spans="1:27" ht="13.8" thickBot="1">
      <c r="A966" s="67"/>
      <c r="B966" s="655">
        <f t="shared" si="99"/>
        <v>945</v>
      </c>
      <c r="C966" s="374" t="str">
        <f t="shared" si="100"/>
        <v/>
      </c>
      <c r="D966" s="784" t="str">
        <f t="shared" si="101"/>
        <v/>
      </c>
      <c r="E966" s="784" t="str">
        <f t="shared" si="102"/>
        <v/>
      </c>
      <c r="F966" s="785" t="str">
        <f t="shared" si="103"/>
        <v/>
      </c>
      <c r="G966" s="784" t="str">
        <f t="shared" si="104"/>
        <v/>
      </c>
      <c r="Y966" s="663" t="str">
        <f>IF(C966="","",('transversal subsidence profile'!$L$5*EXP(-(C966^2)/(2*'transversal subsidence profile'!$J$5^2)))*100)</f>
        <v/>
      </c>
      <c r="Z966" s="664" t="str">
        <f>IF(C966="","",(+'transversal subsidence profile'!$L$6*EXP(-((C966+$G$10)^2)/(2*'transversal subsidence profile'!$J$6^2)))*100)</f>
        <v/>
      </c>
      <c r="AA966" s="751" t="str">
        <f>IF(C966="","",IF('IN-OUT'!$F$26=0,'Damage classification-Rankin'!Z966,IF('IN-OUT'!$F$35=0,Y966,'Damage classification-Rankin'!Y966+'Damage classification-Rankin'!Z966)))</f>
        <v/>
      </c>
    </row>
    <row r="967" spans="1:27" ht="13.8" thickBot="1">
      <c r="A967" s="67"/>
      <c r="B967" s="655">
        <f t="shared" si="99"/>
        <v>946</v>
      </c>
      <c r="C967" s="374" t="str">
        <f t="shared" si="100"/>
        <v/>
      </c>
      <c r="D967" s="784" t="str">
        <f t="shared" si="101"/>
        <v/>
      </c>
      <c r="E967" s="784" t="str">
        <f t="shared" si="102"/>
        <v/>
      </c>
      <c r="F967" s="785" t="str">
        <f t="shared" si="103"/>
        <v/>
      </c>
      <c r="G967" s="784" t="str">
        <f t="shared" si="104"/>
        <v/>
      </c>
      <c r="Y967" s="663" t="str">
        <f>IF(C967="","",('transversal subsidence profile'!$L$5*EXP(-(C967^2)/(2*'transversal subsidence profile'!$J$5^2)))*100)</f>
        <v/>
      </c>
      <c r="Z967" s="664" t="str">
        <f>IF(C967="","",(+'transversal subsidence profile'!$L$6*EXP(-((C967+$G$10)^2)/(2*'transversal subsidence profile'!$J$6^2)))*100)</f>
        <v/>
      </c>
      <c r="AA967" s="751" t="str">
        <f>IF(C967="","",IF('IN-OUT'!$F$26=0,'Damage classification-Rankin'!Z967,IF('IN-OUT'!$F$35=0,Y967,'Damage classification-Rankin'!Y967+'Damage classification-Rankin'!Z967)))</f>
        <v/>
      </c>
    </row>
    <row r="968" spans="1:27" ht="13.8" thickBot="1">
      <c r="A968" s="67"/>
      <c r="B968" s="655">
        <f t="shared" si="99"/>
        <v>947</v>
      </c>
      <c r="C968" s="374" t="str">
        <f t="shared" si="100"/>
        <v/>
      </c>
      <c r="D968" s="784" t="str">
        <f t="shared" si="101"/>
        <v/>
      </c>
      <c r="E968" s="784" t="str">
        <f t="shared" si="102"/>
        <v/>
      </c>
      <c r="F968" s="785" t="str">
        <f t="shared" si="103"/>
        <v/>
      </c>
      <c r="G968" s="784" t="str">
        <f t="shared" si="104"/>
        <v/>
      </c>
      <c r="Y968" s="663" t="str">
        <f>IF(C968="","",('transversal subsidence profile'!$L$5*EXP(-(C968^2)/(2*'transversal subsidence profile'!$J$5^2)))*100)</f>
        <v/>
      </c>
      <c r="Z968" s="664" t="str">
        <f>IF(C968="","",(+'transversal subsidence profile'!$L$6*EXP(-((C968+$G$10)^2)/(2*'transversal subsidence profile'!$J$6^2)))*100)</f>
        <v/>
      </c>
      <c r="AA968" s="751" t="str">
        <f>IF(C968="","",IF('IN-OUT'!$F$26=0,'Damage classification-Rankin'!Z968,IF('IN-OUT'!$F$35=0,Y968,'Damage classification-Rankin'!Y968+'Damage classification-Rankin'!Z968)))</f>
        <v/>
      </c>
    </row>
    <row r="969" spans="1:27" ht="13.8" thickBot="1">
      <c r="A969" s="67"/>
      <c r="B969" s="655">
        <f t="shared" si="99"/>
        <v>948</v>
      </c>
      <c r="C969" s="374" t="str">
        <f t="shared" si="100"/>
        <v/>
      </c>
      <c r="D969" s="784" t="str">
        <f t="shared" si="101"/>
        <v/>
      </c>
      <c r="E969" s="784" t="str">
        <f t="shared" si="102"/>
        <v/>
      </c>
      <c r="F969" s="785" t="str">
        <f t="shared" si="103"/>
        <v/>
      </c>
      <c r="G969" s="784" t="str">
        <f t="shared" si="104"/>
        <v/>
      </c>
      <c r="Y969" s="663" t="str">
        <f>IF(C969="","",('transversal subsidence profile'!$L$5*EXP(-(C969^2)/(2*'transversal subsidence profile'!$J$5^2)))*100)</f>
        <v/>
      </c>
      <c r="Z969" s="664" t="str">
        <f>IF(C969="","",(+'transversal subsidence profile'!$L$6*EXP(-((C969+$G$10)^2)/(2*'transversal subsidence profile'!$J$6^2)))*100)</f>
        <v/>
      </c>
      <c r="AA969" s="751" t="str">
        <f>IF(C969="","",IF('IN-OUT'!$F$26=0,'Damage classification-Rankin'!Z969,IF('IN-OUT'!$F$35=0,Y969,'Damage classification-Rankin'!Y969+'Damage classification-Rankin'!Z969)))</f>
        <v/>
      </c>
    </row>
    <row r="970" spans="1:27" ht="13.8" thickBot="1">
      <c r="A970" s="67"/>
      <c r="B970" s="655">
        <f t="shared" ref="B970:B1021" si="105">B969+1</f>
        <v>949</v>
      </c>
      <c r="C970" s="374" t="str">
        <f t="shared" ref="C970:C1021" si="106">IF(OR(C969=$D$8,C969=""),"",IF((C969+$C$19)&gt;$D$8,$D$8,C969+$C$19))</f>
        <v/>
      </c>
      <c r="D970" s="784" t="str">
        <f t="shared" ref="D970:D1021" si="107">AA970</f>
        <v/>
      </c>
      <c r="E970" s="784" t="str">
        <f t="shared" ref="E970:E1021" si="108">IF(C970="","",IF(D970&gt;D969,ATAN(((D970-D969))/ABS((C970-C969)*100)),-ATAN(((D969-D970))/ABS((C970-C969)*100))))</f>
        <v/>
      </c>
      <c r="F970" s="785" t="str">
        <f t="shared" ref="F970:F1021" si="109">IF(C970&lt;&gt;"",ABS(D969-D970),"")</f>
        <v/>
      </c>
      <c r="G970" s="784" t="str">
        <f t="shared" si="104"/>
        <v/>
      </c>
      <c r="Y970" s="663" t="str">
        <f>IF(C970="","",('transversal subsidence profile'!$L$5*EXP(-(C970^2)/(2*'transversal subsidence profile'!$J$5^2)))*100)</f>
        <v/>
      </c>
      <c r="Z970" s="664" t="str">
        <f>IF(C970="","",(+'transversal subsidence profile'!$L$6*EXP(-((C970+$G$10)^2)/(2*'transversal subsidence profile'!$J$6^2)))*100)</f>
        <v/>
      </c>
      <c r="AA970" s="751" t="str">
        <f>IF(C970="","",IF('IN-OUT'!$F$26=0,'Damage classification-Rankin'!Z970,IF('IN-OUT'!$F$35=0,Y970,'Damage classification-Rankin'!Y970+'Damage classification-Rankin'!Z970)))</f>
        <v/>
      </c>
    </row>
    <row r="971" spans="1:27" ht="13.8" thickBot="1">
      <c r="A971" s="67"/>
      <c r="B971" s="655">
        <f t="shared" si="105"/>
        <v>950</v>
      </c>
      <c r="C971" s="374" t="str">
        <f t="shared" si="106"/>
        <v/>
      </c>
      <c r="D971" s="784" t="str">
        <f t="shared" si="107"/>
        <v/>
      </c>
      <c r="E971" s="784" t="str">
        <f t="shared" si="108"/>
        <v/>
      </c>
      <c r="F971" s="785" t="str">
        <f t="shared" si="109"/>
        <v/>
      </c>
      <c r="G971" s="784" t="str">
        <f t="shared" si="104"/>
        <v/>
      </c>
      <c r="Y971" s="663" t="str">
        <f>IF(C971="","",('transversal subsidence profile'!$L$5*EXP(-(C971^2)/(2*'transversal subsidence profile'!$J$5^2)))*100)</f>
        <v/>
      </c>
      <c r="Z971" s="664" t="str">
        <f>IF(C971="","",(+'transversal subsidence profile'!$L$6*EXP(-((C971+$G$10)^2)/(2*'transversal subsidence profile'!$J$6^2)))*100)</f>
        <v/>
      </c>
      <c r="AA971" s="751" t="str">
        <f>IF(C971="","",IF('IN-OUT'!$F$26=0,'Damage classification-Rankin'!Z971,IF('IN-OUT'!$F$35=0,Y971,'Damage classification-Rankin'!Y971+'Damage classification-Rankin'!Z971)))</f>
        <v/>
      </c>
    </row>
    <row r="972" spans="1:27" ht="13.8" thickBot="1">
      <c r="A972" s="67"/>
      <c r="B972" s="655">
        <f t="shared" si="105"/>
        <v>951</v>
      </c>
      <c r="C972" s="374" t="str">
        <f t="shared" si="106"/>
        <v/>
      </c>
      <c r="D972" s="784" t="str">
        <f t="shared" si="107"/>
        <v/>
      </c>
      <c r="E972" s="784" t="str">
        <f t="shared" si="108"/>
        <v/>
      </c>
      <c r="F972" s="785" t="str">
        <f t="shared" si="109"/>
        <v/>
      </c>
      <c r="G972" s="784" t="str">
        <f t="shared" si="104"/>
        <v/>
      </c>
      <c r="Y972" s="663" t="str">
        <f>IF(C972="","",('transversal subsidence profile'!$L$5*EXP(-(C972^2)/(2*'transversal subsidence profile'!$J$5^2)))*100)</f>
        <v/>
      </c>
      <c r="Z972" s="664" t="str">
        <f>IF(C972="","",(+'transversal subsidence profile'!$L$6*EXP(-((C972+$G$10)^2)/(2*'transversal subsidence profile'!$J$6^2)))*100)</f>
        <v/>
      </c>
      <c r="AA972" s="751" t="str">
        <f>IF(C972="","",IF('IN-OUT'!$F$26=0,'Damage classification-Rankin'!Z972,IF('IN-OUT'!$F$35=0,Y972,'Damage classification-Rankin'!Y972+'Damage classification-Rankin'!Z972)))</f>
        <v/>
      </c>
    </row>
    <row r="973" spans="1:27" ht="13.8" thickBot="1">
      <c r="A973" s="67"/>
      <c r="B973" s="655">
        <f t="shared" si="105"/>
        <v>952</v>
      </c>
      <c r="C973" s="374" t="str">
        <f t="shared" si="106"/>
        <v/>
      </c>
      <c r="D973" s="784" t="str">
        <f t="shared" si="107"/>
        <v/>
      </c>
      <c r="E973" s="784" t="str">
        <f t="shared" si="108"/>
        <v/>
      </c>
      <c r="F973" s="785" t="str">
        <f t="shared" si="109"/>
        <v/>
      </c>
      <c r="G973" s="784" t="str">
        <f t="shared" si="104"/>
        <v/>
      </c>
      <c r="Y973" s="663" t="str">
        <f>IF(C973="","",('transversal subsidence profile'!$L$5*EXP(-(C973^2)/(2*'transversal subsidence profile'!$J$5^2)))*100)</f>
        <v/>
      </c>
      <c r="Z973" s="664" t="str">
        <f>IF(C973="","",(+'transversal subsidence profile'!$L$6*EXP(-((C973+$G$10)^2)/(2*'transversal subsidence profile'!$J$6^2)))*100)</f>
        <v/>
      </c>
      <c r="AA973" s="751" t="str">
        <f>IF(C973="","",IF('IN-OUT'!$F$26=0,'Damage classification-Rankin'!Z973,IF('IN-OUT'!$F$35=0,Y973,'Damage classification-Rankin'!Y973+'Damage classification-Rankin'!Z973)))</f>
        <v/>
      </c>
    </row>
    <row r="974" spans="1:27" ht="13.8" thickBot="1">
      <c r="A974" s="67"/>
      <c r="B974" s="655">
        <f t="shared" si="105"/>
        <v>953</v>
      </c>
      <c r="C974" s="374" t="str">
        <f t="shared" si="106"/>
        <v/>
      </c>
      <c r="D974" s="784" t="str">
        <f t="shared" si="107"/>
        <v/>
      </c>
      <c r="E974" s="784" t="str">
        <f t="shared" si="108"/>
        <v/>
      </c>
      <c r="F974" s="785" t="str">
        <f t="shared" si="109"/>
        <v/>
      </c>
      <c r="G974" s="784" t="str">
        <f t="shared" si="104"/>
        <v/>
      </c>
      <c r="Y974" s="663" t="str">
        <f>IF(C974="","",('transversal subsidence profile'!$L$5*EXP(-(C974^2)/(2*'transversal subsidence profile'!$J$5^2)))*100)</f>
        <v/>
      </c>
      <c r="Z974" s="664" t="str">
        <f>IF(C974="","",(+'transversal subsidence profile'!$L$6*EXP(-((C974+$G$10)^2)/(2*'transversal subsidence profile'!$J$6^2)))*100)</f>
        <v/>
      </c>
      <c r="AA974" s="751" t="str">
        <f>IF(C974="","",IF('IN-OUT'!$F$26=0,'Damage classification-Rankin'!Z974,IF('IN-OUT'!$F$35=0,Y974,'Damage classification-Rankin'!Y974+'Damage classification-Rankin'!Z974)))</f>
        <v/>
      </c>
    </row>
    <row r="975" spans="1:27" ht="13.8" thickBot="1">
      <c r="A975" s="67"/>
      <c r="B975" s="655">
        <f t="shared" si="105"/>
        <v>954</v>
      </c>
      <c r="C975" s="374" t="str">
        <f t="shared" si="106"/>
        <v/>
      </c>
      <c r="D975" s="784" t="str">
        <f t="shared" si="107"/>
        <v/>
      </c>
      <c r="E975" s="784" t="str">
        <f t="shared" si="108"/>
        <v/>
      </c>
      <c r="F975" s="785" t="str">
        <f t="shared" si="109"/>
        <v/>
      </c>
      <c r="G975" s="784" t="str">
        <f t="shared" si="104"/>
        <v/>
      </c>
      <c r="Y975" s="663" t="str">
        <f>IF(C975="","",('transversal subsidence profile'!$L$5*EXP(-(C975^2)/(2*'transversal subsidence profile'!$J$5^2)))*100)</f>
        <v/>
      </c>
      <c r="Z975" s="664" t="str">
        <f>IF(C975="","",(+'transversal subsidence profile'!$L$6*EXP(-((C975+$G$10)^2)/(2*'transversal subsidence profile'!$J$6^2)))*100)</f>
        <v/>
      </c>
      <c r="AA975" s="751" t="str">
        <f>IF(C975="","",IF('IN-OUT'!$F$26=0,'Damage classification-Rankin'!Z975,IF('IN-OUT'!$F$35=0,Y975,'Damage classification-Rankin'!Y975+'Damage classification-Rankin'!Z975)))</f>
        <v/>
      </c>
    </row>
    <row r="976" spans="1:27" ht="13.8" thickBot="1">
      <c r="A976" s="67"/>
      <c r="B976" s="655">
        <f t="shared" si="105"/>
        <v>955</v>
      </c>
      <c r="C976" s="374" t="str">
        <f t="shared" si="106"/>
        <v/>
      </c>
      <c r="D976" s="784" t="str">
        <f t="shared" si="107"/>
        <v/>
      </c>
      <c r="E976" s="784" t="str">
        <f t="shared" si="108"/>
        <v/>
      </c>
      <c r="F976" s="785" t="str">
        <f t="shared" si="109"/>
        <v/>
      </c>
      <c r="G976" s="784" t="str">
        <f t="shared" si="104"/>
        <v/>
      </c>
      <c r="Y976" s="663" t="str">
        <f>IF(C976="","",('transversal subsidence profile'!$L$5*EXP(-(C976^2)/(2*'transversal subsidence profile'!$J$5^2)))*100)</f>
        <v/>
      </c>
      <c r="Z976" s="664" t="str">
        <f>IF(C976="","",(+'transversal subsidence profile'!$L$6*EXP(-((C976+$G$10)^2)/(2*'transversal subsidence profile'!$J$6^2)))*100)</f>
        <v/>
      </c>
      <c r="AA976" s="751" t="str">
        <f>IF(C976="","",IF('IN-OUT'!$F$26=0,'Damage classification-Rankin'!Z976,IF('IN-OUT'!$F$35=0,Y976,'Damage classification-Rankin'!Y976+'Damage classification-Rankin'!Z976)))</f>
        <v/>
      </c>
    </row>
    <row r="977" spans="1:27" ht="13.8" thickBot="1">
      <c r="A977" s="67"/>
      <c r="B977" s="655">
        <f t="shared" si="105"/>
        <v>956</v>
      </c>
      <c r="C977" s="374" t="str">
        <f t="shared" si="106"/>
        <v/>
      </c>
      <c r="D977" s="784" t="str">
        <f t="shared" si="107"/>
        <v/>
      </c>
      <c r="E977" s="784" t="str">
        <f t="shared" si="108"/>
        <v/>
      </c>
      <c r="F977" s="785" t="str">
        <f t="shared" si="109"/>
        <v/>
      </c>
      <c r="G977" s="784" t="str">
        <f t="shared" si="104"/>
        <v/>
      </c>
      <c r="Y977" s="663" t="str">
        <f>IF(C977="","",('transversal subsidence profile'!$L$5*EXP(-(C977^2)/(2*'transversal subsidence profile'!$J$5^2)))*100)</f>
        <v/>
      </c>
      <c r="Z977" s="664" t="str">
        <f>IF(C977="","",(+'transversal subsidence profile'!$L$6*EXP(-((C977+$G$10)^2)/(2*'transversal subsidence profile'!$J$6^2)))*100)</f>
        <v/>
      </c>
      <c r="AA977" s="751" t="str">
        <f>IF(C977="","",IF('IN-OUT'!$F$26=0,'Damage classification-Rankin'!Z977,IF('IN-OUT'!$F$35=0,Y977,'Damage classification-Rankin'!Y977+'Damage classification-Rankin'!Z977)))</f>
        <v/>
      </c>
    </row>
    <row r="978" spans="1:27" ht="13.8" thickBot="1">
      <c r="A978" s="67"/>
      <c r="B978" s="655">
        <f t="shared" si="105"/>
        <v>957</v>
      </c>
      <c r="C978" s="374" t="str">
        <f t="shared" si="106"/>
        <v/>
      </c>
      <c r="D978" s="784" t="str">
        <f t="shared" si="107"/>
        <v/>
      </c>
      <c r="E978" s="784" t="str">
        <f t="shared" si="108"/>
        <v/>
      </c>
      <c r="F978" s="785" t="str">
        <f t="shared" si="109"/>
        <v/>
      </c>
      <c r="G978" s="784" t="str">
        <f t="shared" si="104"/>
        <v/>
      </c>
      <c r="Y978" s="663" t="str">
        <f>IF(C978="","",('transversal subsidence profile'!$L$5*EXP(-(C978^2)/(2*'transversal subsidence profile'!$J$5^2)))*100)</f>
        <v/>
      </c>
      <c r="Z978" s="664" t="str">
        <f>IF(C978="","",(+'transversal subsidence profile'!$L$6*EXP(-((C978+$G$10)^2)/(2*'transversal subsidence profile'!$J$6^2)))*100)</f>
        <v/>
      </c>
      <c r="AA978" s="751" t="str">
        <f>IF(C978="","",IF('IN-OUT'!$F$26=0,'Damage classification-Rankin'!Z978,IF('IN-OUT'!$F$35=0,Y978,'Damage classification-Rankin'!Y978+'Damage classification-Rankin'!Z978)))</f>
        <v/>
      </c>
    </row>
    <row r="979" spans="1:27" ht="13.8" thickBot="1">
      <c r="A979" s="67"/>
      <c r="B979" s="655">
        <f t="shared" si="105"/>
        <v>958</v>
      </c>
      <c r="C979" s="374" t="str">
        <f t="shared" si="106"/>
        <v/>
      </c>
      <c r="D979" s="784" t="str">
        <f t="shared" si="107"/>
        <v/>
      </c>
      <c r="E979" s="784" t="str">
        <f t="shared" si="108"/>
        <v/>
      </c>
      <c r="F979" s="785" t="str">
        <f t="shared" si="109"/>
        <v/>
      </c>
      <c r="G979" s="784" t="str">
        <f t="shared" si="104"/>
        <v/>
      </c>
      <c r="Y979" s="663" t="str">
        <f>IF(C979="","",('transversal subsidence profile'!$L$5*EXP(-(C979^2)/(2*'transversal subsidence profile'!$J$5^2)))*100)</f>
        <v/>
      </c>
      <c r="Z979" s="664" t="str">
        <f>IF(C979="","",(+'transversal subsidence profile'!$L$6*EXP(-((C979+$G$10)^2)/(2*'transversal subsidence profile'!$J$6^2)))*100)</f>
        <v/>
      </c>
      <c r="AA979" s="751" t="str">
        <f>IF(C979="","",IF('IN-OUT'!$F$26=0,'Damage classification-Rankin'!Z979,IF('IN-OUT'!$F$35=0,Y979,'Damage classification-Rankin'!Y979+'Damage classification-Rankin'!Z979)))</f>
        <v/>
      </c>
    </row>
    <row r="980" spans="1:27" ht="13.8" thickBot="1">
      <c r="A980" s="67"/>
      <c r="B980" s="655">
        <f t="shared" si="105"/>
        <v>959</v>
      </c>
      <c r="C980" s="374" t="str">
        <f t="shared" si="106"/>
        <v/>
      </c>
      <c r="D980" s="784" t="str">
        <f t="shared" si="107"/>
        <v/>
      </c>
      <c r="E980" s="784" t="str">
        <f t="shared" si="108"/>
        <v/>
      </c>
      <c r="F980" s="785" t="str">
        <f t="shared" si="109"/>
        <v/>
      </c>
      <c r="G980" s="784" t="str">
        <f t="shared" si="104"/>
        <v/>
      </c>
      <c r="Y980" s="663" t="str">
        <f>IF(C980="","",('transversal subsidence profile'!$L$5*EXP(-(C980^2)/(2*'transversal subsidence profile'!$J$5^2)))*100)</f>
        <v/>
      </c>
      <c r="Z980" s="664" t="str">
        <f>IF(C980="","",(+'transversal subsidence profile'!$L$6*EXP(-((C980+$G$10)^2)/(2*'transversal subsidence profile'!$J$6^2)))*100)</f>
        <v/>
      </c>
      <c r="AA980" s="751" t="str">
        <f>IF(C980="","",IF('IN-OUT'!$F$26=0,'Damage classification-Rankin'!Z980,IF('IN-OUT'!$F$35=0,Y980,'Damage classification-Rankin'!Y980+'Damage classification-Rankin'!Z980)))</f>
        <v/>
      </c>
    </row>
    <row r="981" spans="1:27" ht="13.8" thickBot="1">
      <c r="A981" s="67"/>
      <c r="B981" s="655">
        <f t="shared" si="105"/>
        <v>960</v>
      </c>
      <c r="C981" s="374" t="str">
        <f t="shared" si="106"/>
        <v/>
      </c>
      <c r="D981" s="784" t="str">
        <f t="shared" si="107"/>
        <v/>
      </c>
      <c r="E981" s="784" t="str">
        <f t="shared" si="108"/>
        <v/>
      </c>
      <c r="F981" s="785" t="str">
        <f t="shared" si="109"/>
        <v/>
      </c>
      <c r="G981" s="784" t="str">
        <f t="shared" si="104"/>
        <v/>
      </c>
      <c r="Y981" s="663" t="str">
        <f>IF(C981="","",('transversal subsidence profile'!$L$5*EXP(-(C981^2)/(2*'transversal subsidence profile'!$J$5^2)))*100)</f>
        <v/>
      </c>
      <c r="Z981" s="664" t="str">
        <f>IF(C981="","",(+'transversal subsidence profile'!$L$6*EXP(-((C981+$G$10)^2)/(2*'transversal subsidence profile'!$J$6^2)))*100)</f>
        <v/>
      </c>
      <c r="AA981" s="751" t="str">
        <f>IF(C981="","",IF('IN-OUT'!$F$26=0,'Damage classification-Rankin'!Z981,IF('IN-OUT'!$F$35=0,Y981,'Damage classification-Rankin'!Y981+'Damage classification-Rankin'!Z981)))</f>
        <v/>
      </c>
    </row>
    <row r="982" spans="1:27" ht="13.8" thickBot="1">
      <c r="A982" s="67"/>
      <c r="B982" s="655">
        <f t="shared" si="105"/>
        <v>961</v>
      </c>
      <c r="C982" s="374" t="str">
        <f t="shared" si="106"/>
        <v/>
      </c>
      <c r="D982" s="784" t="str">
        <f t="shared" si="107"/>
        <v/>
      </c>
      <c r="E982" s="784" t="str">
        <f t="shared" si="108"/>
        <v/>
      </c>
      <c r="F982" s="785" t="str">
        <f t="shared" si="109"/>
        <v/>
      </c>
      <c r="G982" s="784" t="str">
        <f t="shared" si="104"/>
        <v/>
      </c>
      <c r="Y982" s="663" t="str">
        <f>IF(C982="","",('transversal subsidence profile'!$L$5*EXP(-(C982^2)/(2*'transversal subsidence profile'!$J$5^2)))*100)</f>
        <v/>
      </c>
      <c r="Z982" s="664" t="str">
        <f>IF(C982="","",(+'transversal subsidence profile'!$L$6*EXP(-((C982+$G$10)^2)/(2*'transversal subsidence profile'!$J$6^2)))*100)</f>
        <v/>
      </c>
      <c r="AA982" s="751" t="str">
        <f>IF(C982="","",IF('IN-OUT'!$F$26=0,'Damage classification-Rankin'!Z982,IF('IN-OUT'!$F$35=0,Y982,'Damage classification-Rankin'!Y982+'Damage classification-Rankin'!Z982)))</f>
        <v/>
      </c>
    </row>
    <row r="983" spans="1:27" ht="13.8" thickBot="1">
      <c r="A983" s="67"/>
      <c r="B983" s="655">
        <f t="shared" si="105"/>
        <v>962</v>
      </c>
      <c r="C983" s="374" t="str">
        <f t="shared" si="106"/>
        <v/>
      </c>
      <c r="D983" s="784" t="str">
        <f t="shared" si="107"/>
        <v/>
      </c>
      <c r="E983" s="784" t="str">
        <f t="shared" si="108"/>
        <v/>
      </c>
      <c r="F983" s="785" t="str">
        <f t="shared" si="109"/>
        <v/>
      </c>
      <c r="G983" s="784" t="str">
        <f t="shared" si="104"/>
        <v/>
      </c>
      <c r="Y983" s="663" t="str">
        <f>IF(C983="","",('transversal subsidence profile'!$L$5*EXP(-(C983^2)/(2*'transversal subsidence profile'!$J$5^2)))*100)</f>
        <v/>
      </c>
      <c r="Z983" s="664" t="str">
        <f>IF(C983="","",(+'transversal subsidence profile'!$L$6*EXP(-((C983+$G$10)^2)/(2*'transversal subsidence profile'!$J$6^2)))*100)</f>
        <v/>
      </c>
      <c r="AA983" s="751" t="str">
        <f>IF(C983="","",IF('IN-OUT'!$F$26=0,'Damage classification-Rankin'!Z983,IF('IN-OUT'!$F$35=0,Y983,'Damage classification-Rankin'!Y983+'Damage classification-Rankin'!Z983)))</f>
        <v/>
      </c>
    </row>
    <row r="984" spans="1:27" ht="13.8" thickBot="1">
      <c r="A984" s="67"/>
      <c r="B984" s="655">
        <f t="shared" si="105"/>
        <v>963</v>
      </c>
      <c r="C984" s="374" t="str">
        <f t="shared" si="106"/>
        <v/>
      </c>
      <c r="D984" s="784" t="str">
        <f t="shared" si="107"/>
        <v/>
      </c>
      <c r="E984" s="784" t="str">
        <f t="shared" si="108"/>
        <v/>
      </c>
      <c r="F984" s="785" t="str">
        <f t="shared" si="109"/>
        <v/>
      </c>
      <c r="G984" s="784" t="str">
        <f t="shared" ref="G984:G1021" si="110">IF(C984="","",IF(ABS(C983-C984)&lt;($C$19-0.0001),"",$C$20+E984))</f>
        <v/>
      </c>
      <c r="Y984" s="663" t="str">
        <f>IF(C984="","",('transversal subsidence profile'!$L$5*EXP(-(C984^2)/(2*'transversal subsidence profile'!$J$5^2)))*100)</f>
        <v/>
      </c>
      <c r="Z984" s="664" t="str">
        <f>IF(C984="","",(+'transversal subsidence profile'!$L$6*EXP(-((C984+$G$10)^2)/(2*'transversal subsidence profile'!$J$6^2)))*100)</f>
        <v/>
      </c>
      <c r="AA984" s="751" t="str">
        <f>IF(C984="","",IF('IN-OUT'!$F$26=0,'Damage classification-Rankin'!Z984,IF('IN-OUT'!$F$35=0,Y984,'Damage classification-Rankin'!Y984+'Damage classification-Rankin'!Z984)))</f>
        <v/>
      </c>
    </row>
    <row r="985" spans="1:27" ht="13.8" thickBot="1">
      <c r="A985" s="67"/>
      <c r="B985" s="655">
        <f t="shared" si="105"/>
        <v>964</v>
      </c>
      <c r="C985" s="374" t="str">
        <f t="shared" si="106"/>
        <v/>
      </c>
      <c r="D985" s="784" t="str">
        <f t="shared" si="107"/>
        <v/>
      </c>
      <c r="E985" s="784" t="str">
        <f t="shared" si="108"/>
        <v/>
      </c>
      <c r="F985" s="785" t="str">
        <f t="shared" si="109"/>
        <v/>
      </c>
      <c r="G985" s="784" t="str">
        <f t="shared" si="110"/>
        <v/>
      </c>
      <c r="Y985" s="663" t="str">
        <f>IF(C985="","",('transversal subsidence profile'!$L$5*EXP(-(C985^2)/(2*'transversal subsidence profile'!$J$5^2)))*100)</f>
        <v/>
      </c>
      <c r="Z985" s="664" t="str">
        <f>IF(C985="","",(+'transversal subsidence profile'!$L$6*EXP(-((C985+$G$10)^2)/(2*'transversal subsidence profile'!$J$6^2)))*100)</f>
        <v/>
      </c>
      <c r="AA985" s="751" t="str">
        <f>IF(C985="","",IF('IN-OUT'!$F$26=0,'Damage classification-Rankin'!Z985,IF('IN-OUT'!$F$35=0,Y985,'Damage classification-Rankin'!Y985+'Damage classification-Rankin'!Z985)))</f>
        <v/>
      </c>
    </row>
    <row r="986" spans="1:27" ht="13.8" thickBot="1">
      <c r="A986" s="67"/>
      <c r="B986" s="655">
        <f t="shared" si="105"/>
        <v>965</v>
      </c>
      <c r="C986" s="374" t="str">
        <f t="shared" si="106"/>
        <v/>
      </c>
      <c r="D986" s="784" t="str">
        <f t="shared" si="107"/>
        <v/>
      </c>
      <c r="E986" s="784" t="str">
        <f t="shared" si="108"/>
        <v/>
      </c>
      <c r="F986" s="785" t="str">
        <f t="shared" si="109"/>
        <v/>
      </c>
      <c r="G986" s="784" t="str">
        <f t="shared" si="110"/>
        <v/>
      </c>
      <c r="Y986" s="663" t="str">
        <f>IF(C986="","",('transversal subsidence profile'!$L$5*EXP(-(C986^2)/(2*'transversal subsidence profile'!$J$5^2)))*100)</f>
        <v/>
      </c>
      <c r="Z986" s="664" t="str">
        <f>IF(C986="","",(+'transversal subsidence profile'!$L$6*EXP(-((C986+$G$10)^2)/(2*'transversal subsidence profile'!$J$6^2)))*100)</f>
        <v/>
      </c>
      <c r="AA986" s="751" t="str">
        <f>IF(C986="","",IF('IN-OUT'!$F$26=0,'Damage classification-Rankin'!Z986,IF('IN-OUT'!$F$35=0,Y986,'Damage classification-Rankin'!Y986+'Damage classification-Rankin'!Z986)))</f>
        <v/>
      </c>
    </row>
    <row r="987" spans="1:27" ht="13.8" thickBot="1">
      <c r="A987" s="67"/>
      <c r="B987" s="655">
        <f t="shared" si="105"/>
        <v>966</v>
      </c>
      <c r="C987" s="374" t="str">
        <f t="shared" si="106"/>
        <v/>
      </c>
      <c r="D987" s="784" t="str">
        <f t="shared" si="107"/>
        <v/>
      </c>
      <c r="E987" s="784" t="str">
        <f t="shared" si="108"/>
        <v/>
      </c>
      <c r="F987" s="785" t="str">
        <f t="shared" si="109"/>
        <v/>
      </c>
      <c r="G987" s="784" t="str">
        <f t="shared" si="110"/>
        <v/>
      </c>
      <c r="Y987" s="663" t="str">
        <f>IF(C987="","",('transversal subsidence profile'!$L$5*EXP(-(C987^2)/(2*'transversal subsidence profile'!$J$5^2)))*100)</f>
        <v/>
      </c>
      <c r="Z987" s="664" t="str">
        <f>IF(C987="","",(+'transversal subsidence profile'!$L$6*EXP(-((C987+$G$10)^2)/(2*'transversal subsidence profile'!$J$6^2)))*100)</f>
        <v/>
      </c>
      <c r="AA987" s="751" t="str">
        <f>IF(C987="","",IF('IN-OUT'!$F$26=0,'Damage classification-Rankin'!Z987,IF('IN-OUT'!$F$35=0,Y987,'Damage classification-Rankin'!Y987+'Damage classification-Rankin'!Z987)))</f>
        <v/>
      </c>
    </row>
    <row r="988" spans="1:27" ht="13.8" thickBot="1">
      <c r="A988" s="67"/>
      <c r="B988" s="655">
        <f t="shared" si="105"/>
        <v>967</v>
      </c>
      <c r="C988" s="374" t="str">
        <f t="shared" si="106"/>
        <v/>
      </c>
      <c r="D988" s="784" t="str">
        <f t="shared" si="107"/>
        <v/>
      </c>
      <c r="E988" s="784" t="str">
        <f t="shared" si="108"/>
        <v/>
      </c>
      <c r="F988" s="785" t="str">
        <f t="shared" si="109"/>
        <v/>
      </c>
      <c r="G988" s="784" t="str">
        <f t="shared" si="110"/>
        <v/>
      </c>
      <c r="Y988" s="663" t="str">
        <f>IF(C988="","",('transversal subsidence profile'!$L$5*EXP(-(C988^2)/(2*'transversal subsidence profile'!$J$5^2)))*100)</f>
        <v/>
      </c>
      <c r="Z988" s="664" t="str">
        <f>IF(C988="","",(+'transversal subsidence profile'!$L$6*EXP(-((C988+$G$10)^2)/(2*'transversal subsidence profile'!$J$6^2)))*100)</f>
        <v/>
      </c>
      <c r="AA988" s="751" t="str">
        <f>IF(C988="","",IF('IN-OUT'!$F$26=0,'Damage classification-Rankin'!Z988,IF('IN-OUT'!$F$35=0,Y988,'Damage classification-Rankin'!Y988+'Damage classification-Rankin'!Z988)))</f>
        <v/>
      </c>
    </row>
    <row r="989" spans="1:27" ht="13.8" thickBot="1">
      <c r="A989" s="67"/>
      <c r="B989" s="655">
        <f t="shared" si="105"/>
        <v>968</v>
      </c>
      <c r="C989" s="374" t="str">
        <f t="shared" si="106"/>
        <v/>
      </c>
      <c r="D989" s="784" t="str">
        <f t="shared" si="107"/>
        <v/>
      </c>
      <c r="E989" s="784" t="str">
        <f t="shared" si="108"/>
        <v/>
      </c>
      <c r="F989" s="785" t="str">
        <f t="shared" si="109"/>
        <v/>
      </c>
      <c r="G989" s="784" t="str">
        <f t="shared" si="110"/>
        <v/>
      </c>
      <c r="Y989" s="663" t="str">
        <f>IF(C989="","",('transversal subsidence profile'!$L$5*EXP(-(C989^2)/(2*'transversal subsidence profile'!$J$5^2)))*100)</f>
        <v/>
      </c>
      <c r="Z989" s="664" t="str">
        <f>IF(C989="","",(+'transversal subsidence profile'!$L$6*EXP(-((C989+$G$10)^2)/(2*'transversal subsidence profile'!$J$6^2)))*100)</f>
        <v/>
      </c>
      <c r="AA989" s="751" t="str">
        <f>IF(C989="","",IF('IN-OUT'!$F$26=0,'Damage classification-Rankin'!Z989,IF('IN-OUT'!$F$35=0,Y989,'Damage classification-Rankin'!Y989+'Damage classification-Rankin'!Z989)))</f>
        <v/>
      </c>
    </row>
    <row r="990" spans="1:27" ht="13.8" thickBot="1">
      <c r="A990" s="67"/>
      <c r="B990" s="655">
        <f t="shared" si="105"/>
        <v>969</v>
      </c>
      <c r="C990" s="374" t="str">
        <f t="shared" si="106"/>
        <v/>
      </c>
      <c r="D990" s="784" t="str">
        <f t="shared" si="107"/>
        <v/>
      </c>
      <c r="E990" s="784" t="str">
        <f t="shared" si="108"/>
        <v/>
      </c>
      <c r="F990" s="785" t="str">
        <f t="shared" si="109"/>
        <v/>
      </c>
      <c r="G990" s="784" t="str">
        <f t="shared" si="110"/>
        <v/>
      </c>
      <c r="Y990" s="663" t="str">
        <f>IF(C990="","",('transversal subsidence profile'!$L$5*EXP(-(C990^2)/(2*'transversal subsidence profile'!$J$5^2)))*100)</f>
        <v/>
      </c>
      <c r="Z990" s="664" t="str">
        <f>IF(C990="","",(+'transversal subsidence profile'!$L$6*EXP(-((C990+$G$10)^2)/(2*'transversal subsidence profile'!$J$6^2)))*100)</f>
        <v/>
      </c>
      <c r="AA990" s="751" t="str">
        <f>IF(C990="","",IF('IN-OUT'!$F$26=0,'Damage classification-Rankin'!Z990,IF('IN-OUT'!$F$35=0,Y990,'Damage classification-Rankin'!Y990+'Damage classification-Rankin'!Z990)))</f>
        <v/>
      </c>
    </row>
    <row r="991" spans="1:27" ht="13.8" thickBot="1">
      <c r="A991" s="67"/>
      <c r="B991" s="655">
        <f t="shared" si="105"/>
        <v>970</v>
      </c>
      <c r="C991" s="374" t="str">
        <f t="shared" si="106"/>
        <v/>
      </c>
      <c r="D991" s="784" t="str">
        <f t="shared" si="107"/>
        <v/>
      </c>
      <c r="E991" s="784" t="str">
        <f t="shared" si="108"/>
        <v/>
      </c>
      <c r="F991" s="785" t="str">
        <f t="shared" si="109"/>
        <v/>
      </c>
      <c r="G991" s="784" t="str">
        <f t="shared" si="110"/>
        <v/>
      </c>
      <c r="Y991" s="663" t="str">
        <f>IF(C991="","",('transversal subsidence profile'!$L$5*EXP(-(C991^2)/(2*'transversal subsidence profile'!$J$5^2)))*100)</f>
        <v/>
      </c>
      <c r="Z991" s="664" t="str">
        <f>IF(C991="","",(+'transversal subsidence profile'!$L$6*EXP(-((C991+$G$10)^2)/(2*'transversal subsidence profile'!$J$6^2)))*100)</f>
        <v/>
      </c>
      <c r="AA991" s="751" t="str">
        <f>IF(C991="","",IF('IN-OUT'!$F$26=0,'Damage classification-Rankin'!Z991,IF('IN-OUT'!$F$35=0,Y991,'Damage classification-Rankin'!Y991+'Damage classification-Rankin'!Z991)))</f>
        <v/>
      </c>
    </row>
    <row r="992" spans="1:27" ht="13.8" thickBot="1">
      <c r="A992" s="67"/>
      <c r="B992" s="655">
        <f t="shared" si="105"/>
        <v>971</v>
      </c>
      <c r="C992" s="374" t="str">
        <f t="shared" si="106"/>
        <v/>
      </c>
      <c r="D992" s="784" t="str">
        <f t="shared" si="107"/>
        <v/>
      </c>
      <c r="E992" s="784" t="str">
        <f t="shared" si="108"/>
        <v/>
      </c>
      <c r="F992" s="785" t="str">
        <f t="shared" si="109"/>
        <v/>
      </c>
      <c r="G992" s="784" t="str">
        <f t="shared" si="110"/>
        <v/>
      </c>
      <c r="Y992" s="663" t="str">
        <f>IF(C992="","",('transversal subsidence profile'!$L$5*EXP(-(C992^2)/(2*'transversal subsidence profile'!$J$5^2)))*100)</f>
        <v/>
      </c>
      <c r="Z992" s="664" t="str">
        <f>IF(C992="","",(+'transversal subsidence profile'!$L$6*EXP(-((C992+$G$10)^2)/(2*'transversal subsidence profile'!$J$6^2)))*100)</f>
        <v/>
      </c>
      <c r="AA992" s="751" t="str">
        <f>IF(C992="","",IF('IN-OUT'!$F$26=0,'Damage classification-Rankin'!Z992,IF('IN-OUT'!$F$35=0,Y992,'Damage classification-Rankin'!Y992+'Damage classification-Rankin'!Z992)))</f>
        <v/>
      </c>
    </row>
    <row r="993" spans="1:27" ht="13.8" thickBot="1">
      <c r="A993" s="67"/>
      <c r="B993" s="655">
        <f t="shared" si="105"/>
        <v>972</v>
      </c>
      <c r="C993" s="374" t="str">
        <f t="shared" si="106"/>
        <v/>
      </c>
      <c r="D993" s="784" t="str">
        <f t="shared" si="107"/>
        <v/>
      </c>
      <c r="E993" s="784" t="str">
        <f t="shared" si="108"/>
        <v/>
      </c>
      <c r="F993" s="785" t="str">
        <f t="shared" si="109"/>
        <v/>
      </c>
      <c r="G993" s="784" t="str">
        <f t="shared" si="110"/>
        <v/>
      </c>
      <c r="Y993" s="663" t="str">
        <f>IF(C993="","",('transversal subsidence profile'!$L$5*EXP(-(C993^2)/(2*'transversal subsidence profile'!$J$5^2)))*100)</f>
        <v/>
      </c>
      <c r="Z993" s="664" t="str">
        <f>IF(C993="","",(+'transversal subsidence profile'!$L$6*EXP(-((C993+$G$10)^2)/(2*'transversal subsidence profile'!$J$6^2)))*100)</f>
        <v/>
      </c>
      <c r="AA993" s="751" t="str">
        <f>IF(C993="","",IF('IN-OUT'!$F$26=0,'Damage classification-Rankin'!Z993,IF('IN-OUT'!$F$35=0,Y993,'Damage classification-Rankin'!Y993+'Damage classification-Rankin'!Z993)))</f>
        <v/>
      </c>
    </row>
    <row r="994" spans="1:27" ht="13.8" thickBot="1">
      <c r="A994" s="67"/>
      <c r="B994" s="655">
        <f t="shared" si="105"/>
        <v>973</v>
      </c>
      <c r="C994" s="374" t="str">
        <f t="shared" si="106"/>
        <v/>
      </c>
      <c r="D994" s="784" t="str">
        <f t="shared" si="107"/>
        <v/>
      </c>
      <c r="E994" s="784" t="str">
        <f t="shared" si="108"/>
        <v/>
      </c>
      <c r="F994" s="785" t="str">
        <f t="shared" si="109"/>
        <v/>
      </c>
      <c r="G994" s="784" t="str">
        <f t="shared" si="110"/>
        <v/>
      </c>
      <c r="Y994" s="663" t="str">
        <f>IF(C994="","",('transversal subsidence profile'!$L$5*EXP(-(C994^2)/(2*'transversal subsidence profile'!$J$5^2)))*100)</f>
        <v/>
      </c>
      <c r="Z994" s="664" t="str">
        <f>IF(C994="","",(+'transversal subsidence profile'!$L$6*EXP(-((C994+$G$10)^2)/(2*'transversal subsidence profile'!$J$6^2)))*100)</f>
        <v/>
      </c>
      <c r="AA994" s="751" t="str">
        <f>IF(C994="","",IF('IN-OUT'!$F$26=0,'Damage classification-Rankin'!Z994,IF('IN-OUT'!$F$35=0,Y994,'Damage classification-Rankin'!Y994+'Damage classification-Rankin'!Z994)))</f>
        <v/>
      </c>
    </row>
    <row r="995" spans="1:27" ht="13.8" thickBot="1">
      <c r="A995" s="67"/>
      <c r="B995" s="655">
        <f t="shared" si="105"/>
        <v>974</v>
      </c>
      <c r="C995" s="374" t="str">
        <f t="shared" si="106"/>
        <v/>
      </c>
      <c r="D995" s="784" t="str">
        <f t="shared" si="107"/>
        <v/>
      </c>
      <c r="E995" s="784" t="str">
        <f t="shared" si="108"/>
        <v/>
      </c>
      <c r="F995" s="785" t="str">
        <f t="shared" si="109"/>
        <v/>
      </c>
      <c r="G995" s="784" t="str">
        <f t="shared" si="110"/>
        <v/>
      </c>
      <c r="Y995" s="663" t="str">
        <f>IF(C995="","",('transversal subsidence profile'!$L$5*EXP(-(C995^2)/(2*'transversal subsidence profile'!$J$5^2)))*100)</f>
        <v/>
      </c>
      <c r="Z995" s="664" t="str">
        <f>IF(C995="","",(+'transversal subsidence profile'!$L$6*EXP(-((C995+$G$10)^2)/(2*'transversal subsidence profile'!$J$6^2)))*100)</f>
        <v/>
      </c>
      <c r="AA995" s="751" t="str">
        <f>IF(C995="","",IF('IN-OUT'!$F$26=0,'Damage classification-Rankin'!Z995,IF('IN-OUT'!$F$35=0,Y995,'Damage classification-Rankin'!Y995+'Damage classification-Rankin'!Z995)))</f>
        <v/>
      </c>
    </row>
    <row r="996" spans="1:27" ht="13.8" thickBot="1">
      <c r="A996" s="67"/>
      <c r="B996" s="655">
        <f t="shared" si="105"/>
        <v>975</v>
      </c>
      <c r="C996" s="374" t="str">
        <f t="shared" si="106"/>
        <v/>
      </c>
      <c r="D996" s="784" t="str">
        <f t="shared" si="107"/>
        <v/>
      </c>
      <c r="E996" s="784" t="str">
        <f t="shared" si="108"/>
        <v/>
      </c>
      <c r="F996" s="785" t="str">
        <f t="shared" si="109"/>
        <v/>
      </c>
      <c r="G996" s="784" t="str">
        <f t="shared" si="110"/>
        <v/>
      </c>
      <c r="Y996" s="663" t="str">
        <f>IF(C996="","",('transversal subsidence profile'!$L$5*EXP(-(C996^2)/(2*'transversal subsidence profile'!$J$5^2)))*100)</f>
        <v/>
      </c>
      <c r="Z996" s="664" t="str">
        <f>IF(C996="","",(+'transversal subsidence profile'!$L$6*EXP(-((C996+$G$10)^2)/(2*'transversal subsidence profile'!$J$6^2)))*100)</f>
        <v/>
      </c>
      <c r="AA996" s="751" t="str">
        <f>IF(C996="","",IF('IN-OUT'!$F$26=0,'Damage classification-Rankin'!Z996,IF('IN-OUT'!$F$35=0,Y996,'Damage classification-Rankin'!Y996+'Damage classification-Rankin'!Z996)))</f>
        <v/>
      </c>
    </row>
    <row r="997" spans="1:27" ht="13.8" thickBot="1">
      <c r="A997" s="67"/>
      <c r="B997" s="655">
        <f t="shared" si="105"/>
        <v>976</v>
      </c>
      <c r="C997" s="374" t="str">
        <f t="shared" si="106"/>
        <v/>
      </c>
      <c r="D997" s="784" t="str">
        <f t="shared" si="107"/>
        <v/>
      </c>
      <c r="E997" s="784" t="str">
        <f t="shared" si="108"/>
        <v/>
      </c>
      <c r="F997" s="785" t="str">
        <f t="shared" si="109"/>
        <v/>
      </c>
      <c r="G997" s="784" t="str">
        <f t="shared" si="110"/>
        <v/>
      </c>
      <c r="Y997" s="663" t="str">
        <f>IF(C997="","",('transversal subsidence profile'!$L$5*EXP(-(C997^2)/(2*'transversal subsidence profile'!$J$5^2)))*100)</f>
        <v/>
      </c>
      <c r="Z997" s="664" t="str">
        <f>IF(C997="","",(+'transversal subsidence profile'!$L$6*EXP(-((C997+$G$10)^2)/(2*'transversal subsidence profile'!$J$6^2)))*100)</f>
        <v/>
      </c>
      <c r="AA997" s="751" t="str">
        <f>IF(C997="","",IF('IN-OUT'!$F$26=0,'Damage classification-Rankin'!Z997,IF('IN-OUT'!$F$35=0,Y997,'Damage classification-Rankin'!Y997+'Damage classification-Rankin'!Z997)))</f>
        <v/>
      </c>
    </row>
    <row r="998" spans="1:27" ht="13.8" thickBot="1">
      <c r="A998" s="67"/>
      <c r="B998" s="655">
        <f t="shared" si="105"/>
        <v>977</v>
      </c>
      <c r="C998" s="374" t="str">
        <f t="shared" si="106"/>
        <v/>
      </c>
      <c r="D998" s="784" t="str">
        <f t="shared" si="107"/>
        <v/>
      </c>
      <c r="E998" s="784" t="str">
        <f t="shared" si="108"/>
        <v/>
      </c>
      <c r="F998" s="785" t="str">
        <f t="shared" si="109"/>
        <v/>
      </c>
      <c r="G998" s="784" t="str">
        <f t="shared" si="110"/>
        <v/>
      </c>
      <c r="Y998" s="663" t="str">
        <f>IF(C998="","",('transversal subsidence profile'!$L$5*EXP(-(C998^2)/(2*'transversal subsidence profile'!$J$5^2)))*100)</f>
        <v/>
      </c>
      <c r="Z998" s="664" t="str">
        <f>IF(C998="","",(+'transversal subsidence profile'!$L$6*EXP(-((C998+$G$10)^2)/(2*'transversal subsidence profile'!$J$6^2)))*100)</f>
        <v/>
      </c>
      <c r="AA998" s="751" t="str">
        <f>IF(C998="","",IF('IN-OUT'!$F$26=0,'Damage classification-Rankin'!Z998,IF('IN-OUT'!$F$35=0,Y998,'Damage classification-Rankin'!Y998+'Damage classification-Rankin'!Z998)))</f>
        <v/>
      </c>
    </row>
    <row r="999" spans="1:27" ht="13.8" thickBot="1">
      <c r="A999" s="67"/>
      <c r="B999" s="655">
        <f t="shared" si="105"/>
        <v>978</v>
      </c>
      <c r="C999" s="374" t="str">
        <f t="shared" si="106"/>
        <v/>
      </c>
      <c r="D999" s="784" t="str">
        <f t="shared" si="107"/>
        <v/>
      </c>
      <c r="E999" s="784" t="str">
        <f t="shared" si="108"/>
        <v/>
      </c>
      <c r="F999" s="785" t="str">
        <f t="shared" si="109"/>
        <v/>
      </c>
      <c r="G999" s="784" t="str">
        <f t="shared" si="110"/>
        <v/>
      </c>
      <c r="Y999" s="663" t="str">
        <f>IF(C999="","",('transversal subsidence profile'!$L$5*EXP(-(C999^2)/(2*'transversal subsidence profile'!$J$5^2)))*100)</f>
        <v/>
      </c>
      <c r="Z999" s="664" t="str">
        <f>IF(C999="","",(+'transversal subsidence profile'!$L$6*EXP(-((C999+$G$10)^2)/(2*'transversal subsidence profile'!$J$6^2)))*100)</f>
        <v/>
      </c>
      <c r="AA999" s="751" t="str">
        <f>IF(C999="","",IF('IN-OUT'!$F$26=0,'Damage classification-Rankin'!Z999,IF('IN-OUT'!$F$35=0,Y999,'Damage classification-Rankin'!Y999+'Damage classification-Rankin'!Z999)))</f>
        <v/>
      </c>
    </row>
    <row r="1000" spans="1:27" ht="13.8" thickBot="1">
      <c r="A1000" s="67"/>
      <c r="B1000" s="655">
        <f t="shared" si="105"/>
        <v>979</v>
      </c>
      <c r="C1000" s="374" t="str">
        <f t="shared" si="106"/>
        <v/>
      </c>
      <c r="D1000" s="784" t="str">
        <f t="shared" si="107"/>
        <v/>
      </c>
      <c r="E1000" s="784" t="str">
        <f t="shared" si="108"/>
        <v/>
      </c>
      <c r="F1000" s="785" t="str">
        <f t="shared" si="109"/>
        <v/>
      </c>
      <c r="G1000" s="784" t="str">
        <f t="shared" si="110"/>
        <v/>
      </c>
      <c r="Y1000" s="663" t="str">
        <f>IF(C1000="","",('transversal subsidence profile'!$L$5*EXP(-(C1000^2)/(2*'transversal subsidence profile'!$J$5^2)))*100)</f>
        <v/>
      </c>
      <c r="Z1000" s="664" t="str">
        <f>IF(C1000="","",(+'transversal subsidence profile'!$L$6*EXP(-((C1000+$G$10)^2)/(2*'transversal subsidence profile'!$J$6^2)))*100)</f>
        <v/>
      </c>
      <c r="AA1000" s="751" t="str">
        <f>IF(C1000="","",IF('IN-OUT'!$F$26=0,'Damage classification-Rankin'!Z1000,IF('IN-OUT'!$F$35=0,Y1000,'Damage classification-Rankin'!Y1000+'Damage classification-Rankin'!Z1000)))</f>
        <v/>
      </c>
    </row>
    <row r="1001" spans="1:27" ht="13.8" thickBot="1">
      <c r="A1001" s="67"/>
      <c r="B1001" s="655">
        <f t="shared" si="105"/>
        <v>980</v>
      </c>
      <c r="C1001" s="374" t="str">
        <f t="shared" si="106"/>
        <v/>
      </c>
      <c r="D1001" s="784" t="str">
        <f t="shared" si="107"/>
        <v/>
      </c>
      <c r="E1001" s="784" t="str">
        <f t="shared" si="108"/>
        <v/>
      </c>
      <c r="F1001" s="785" t="str">
        <f t="shared" si="109"/>
        <v/>
      </c>
      <c r="G1001" s="784" t="str">
        <f t="shared" si="110"/>
        <v/>
      </c>
      <c r="Y1001" s="663" t="str">
        <f>IF(C1001="","",('transversal subsidence profile'!$L$5*EXP(-(C1001^2)/(2*'transversal subsidence profile'!$J$5^2)))*100)</f>
        <v/>
      </c>
      <c r="Z1001" s="664" t="str">
        <f>IF(C1001="","",(+'transversal subsidence profile'!$L$6*EXP(-((C1001+$G$10)^2)/(2*'transversal subsidence profile'!$J$6^2)))*100)</f>
        <v/>
      </c>
      <c r="AA1001" s="751" t="str">
        <f>IF(C1001="","",IF('IN-OUT'!$F$26=0,'Damage classification-Rankin'!Z1001,IF('IN-OUT'!$F$35=0,Y1001,'Damage classification-Rankin'!Y1001+'Damage classification-Rankin'!Z1001)))</f>
        <v/>
      </c>
    </row>
    <row r="1002" spans="1:27" ht="13.8" thickBot="1">
      <c r="A1002" s="67"/>
      <c r="B1002" s="655">
        <f t="shared" si="105"/>
        <v>981</v>
      </c>
      <c r="C1002" s="374" t="str">
        <f t="shared" si="106"/>
        <v/>
      </c>
      <c r="D1002" s="784" t="str">
        <f t="shared" si="107"/>
        <v/>
      </c>
      <c r="E1002" s="784" t="str">
        <f t="shared" si="108"/>
        <v/>
      </c>
      <c r="F1002" s="785" t="str">
        <f t="shared" si="109"/>
        <v/>
      </c>
      <c r="G1002" s="784" t="str">
        <f t="shared" si="110"/>
        <v/>
      </c>
      <c r="Y1002" s="663" t="str">
        <f>IF(C1002="","",('transversal subsidence profile'!$L$5*EXP(-(C1002^2)/(2*'transversal subsidence profile'!$J$5^2)))*100)</f>
        <v/>
      </c>
      <c r="Z1002" s="664" t="str">
        <f>IF(C1002="","",(+'transversal subsidence profile'!$L$6*EXP(-((C1002+$G$10)^2)/(2*'transversal subsidence profile'!$J$6^2)))*100)</f>
        <v/>
      </c>
      <c r="AA1002" s="751" t="str">
        <f>IF(C1002="","",IF('IN-OUT'!$F$26=0,'Damage classification-Rankin'!Z1002,IF('IN-OUT'!$F$35=0,Y1002,'Damage classification-Rankin'!Y1002+'Damage classification-Rankin'!Z1002)))</f>
        <v/>
      </c>
    </row>
    <row r="1003" spans="1:27" ht="13.8" thickBot="1">
      <c r="A1003" s="67"/>
      <c r="B1003" s="655">
        <f t="shared" si="105"/>
        <v>982</v>
      </c>
      <c r="C1003" s="374" t="str">
        <f t="shared" si="106"/>
        <v/>
      </c>
      <c r="D1003" s="784" t="str">
        <f t="shared" si="107"/>
        <v/>
      </c>
      <c r="E1003" s="784" t="str">
        <f t="shared" si="108"/>
        <v/>
      </c>
      <c r="F1003" s="785" t="str">
        <f t="shared" si="109"/>
        <v/>
      </c>
      <c r="G1003" s="784" t="str">
        <f t="shared" si="110"/>
        <v/>
      </c>
      <c r="Y1003" s="663" t="str">
        <f>IF(C1003="","",('transversal subsidence profile'!$L$5*EXP(-(C1003^2)/(2*'transversal subsidence profile'!$J$5^2)))*100)</f>
        <v/>
      </c>
      <c r="Z1003" s="664" t="str">
        <f>IF(C1003="","",(+'transversal subsidence profile'!$L$6*EXP(-((C1003+$G$10)^2)/(2*'transversal subsidence profile'!$J$6^2)))*100)</f>
        <v/>
      </c>
      <c r="AA1003" s="751" t="str">
        <f>IF(C1003="","",IF('IN-OUT'!$F$26=0,'Damage classification-Rankin'!Z1003,IF('IN-OUT'!$F$35=0,Y1003,'Damage classification-Rankin'!Y1003+'Damage classification-Rankin'!Z1003)))</f>
        <v/>
      </c>
    </row>
    <row r="1004" spans="1:27" ht="13.8" thickBot="1">
      <c r="A1004" s="67"/>
      <c r="B1004" s="655">
        <f t="shared" si="105"/>
        <v>983</v>
      </c>
      <c r="C1004" s="374" t="str">
        <f t="shared" si="106"/>
        <v/>
      </c>
      <c r="D1004" s="784" t="str">
        <f t="shared" si="107"/>
        <v/>
      </c>
      <c r="E1004" s="784" t="str">
        <f t="shared" si="108"/>
        <v/>
      </c>
      <c r="F1004" s="785" t="str">
        <f t="shared" si="109"/>
        <v/>
      </c>
      <c r="G1004" s="784" t="str">
        <f t="shared" si="110"/>
        <v/>
      </c>
      <c r="Y1004" s="663" t="str">
        <f>IF(C1004="","",('transversal subsidence profile'!$L$5*EXP(-(C1004^2)/(2*'transversal subsidence profile'!$J$5^2)))*100)</f>
        <v/>
      </c>
      <c r="Z1004" s="664" t="str">
        <f>IF(C1004="","",(+'transversal subsidence profile'!$L$6*EXP(-((C1004+$G$10)^2)/(2*'transversal subsidence profile'!$J$6^2)))*100)</f>
        <v/>
      </c>
      <c r="AA1004" s="751" t="str">
        <f>IF(C1004="","",IF('IN-OUT'!$F$26=0,'Damage classification-Rankin'!Z1004,IF('IN-OUT'!$F$35=0,Y1004,'Damage classification-Rankin'!Y1004+'Damage classification-Rankin'!Z1004)))</f>
        <v/>
      </c>
    </row>
    <row r="1005" spans="1:27" ht="13.8" thickBot="1">
      <c r="A1005" s="67"/>
      <c r="B1005" s="655">
        <f t="shared" si="105"/>
        <v>984</v>
      </c>
      <c r="C1005" s="374" t="str">
        <f t="shared" si="106"/>
        <v/>
      </c>
      <c r="D1005" s="784" t="str">
        <f t="shared" si="107"/>
        <v/>
      </c>
      <c r="E1005" s="784" t="str">
        <f t="shared" si="108"/>
        <v/>
      </c>
      <c r="F1005" s="785" t="str">
        <f t="shared" si="109"/>
        <v/>
      </c>
      <c r="G1005" s="784" t="str">
        <f t="shared" si="110"/>
        <v/>
      </c>
      <c r="Y1005" s="663" t="str">
        <f>IF(C1005="","",('transversal subsidence profile'!$L$5*EXP(-(C1005^2)/(2*'transversal subsidence profile'!$J$5^2)))*100)</f>
        <v/>
      </c>
      <c r="Z1005" s="664" t="str">
        <f>IF(C1005="","",(+'transversal subsidence profile'!$L$6*EXP(-((C1005+$G$10)^2)/(2*'transversal subsidence profile'!$J$6^2)))*100)</f>
        <v/>
      </c>
      <c r="AA1005" s="751" t="str">
        <f>IF(C1005="","",IF('IN-OUT'!$F$26=0,'Damage classification-Rankin'!Z1005,IF('IN-OUT'!$F$35=0,Y1005,'Damage classification-Rankin'!Y1005+'Damage classification-Rankin'!Z1005)))</f>
        <v/>
      </c>
    </row>
    <row r="1006" spans="1:27" ht="13.8" thickBot="1">
      <c r="A1006" s="67"/>
      <c r="B1006" s="655">
        <f t="shared" si="105"/>
        <v>985</v>
      </c>
      <c r="C1006" s="374" t="str">
        <f t="shared" si="106"/>
        <v/>
      </c>
      <c r="D1006" s="784" t="str">
        <f t="shared" si="107"/>
        <v/>
      </c>
      <c r="E1006" s="784" t="str">
        <f t="shared" si="108"/>
        <v/>
      </c>
      <c r="F1006" s="785" t="str">
        <f t="shared" si="109"/>
        <v/>
      </c>
      <c r="G1006" s="784" t="str">
        <f t="shared" si="110"/>
        <v/>
      </c>
      <c r="Y1006" s="663" t="str">
        <f>IF(C1006="","",('transversal subsidence profile'!$L$5*EXP(-(C1006^2)/(2*'transversal subsidence profile'!$J$5^2)))*100)</f>
        <v/>
      </c>
      <c r="Z1006" s="664" t="str">
        <f>IF(C1006="","",(+'transversal subsidence profile'!$L$6*EXP(-((C1006+$G$10)^2)/(2*'transversal subsidence profile'!$J$6^2)))*100)</f>
        <v/>
      </c>
      <c r="AA1006" s="751" t="str">
        <f>IF(C1006="","",IF('IN-OUT'!$F$26=0,'Damage classification-Rankin'!Z1006,IF('IN-OUT'!$F$35=0,Y1006,'Damage classification-Rankin'!Y1006+'Damage classification-Rankin'!Z1006)))</f>
        <v/>
      </c>
    </row>
    <row r="1007" spans="1:27" ht="13.8" thickBot="1">
      <c r="A1007" s="67"/>
      <c r="B1007" s="655">
        <f t="shared" si="105"/>
        <v>986</v>
      </c>
      <c r="C1007" s="374" t="str">
        <f t="shared" si="106"/>
        <v/>
      </c>
      <c r="D1007" s="784" t="str">
        <f t="shared" si="107"/>
        <v/>
      </c>
      <c r="E1007" s="784" t="str">
        <f t="shared" si="108"/>
        <v/>
      </c>
      <c r="F1007" s="785" t="str">
        <f t="shared" si="109"/>
        <v/>
      </c>
      <c r="G1007" s="784" t="str">
        <f t="shared" si="110"/>
        <v/>
      </c>
      <c r="Y1007" s="663" t="str">
        <f>IF(C1007="","",('transversal subsidence profile'!$L$5*EXP(-(C1007^2)/(2*'transversal subsidence profile'!$J$5^2)))*100)</f>
        <v/>
      </c>
      <c r="Z1007" s="664" t="str">
        <f>IF(C1007="","",(+'transversal subsidence profile'!$L$6*EXP(-((C1007+$G$10)^2)/(2*'transversal subsidence profile'!$J$6^2)))*100)</f>
        <v/>
      </c>
      <c r="AA1007" s="751" t="str">
        <f>IF(C1007="","",IF('IN-OUT'!$F$26=0,'Damage classification-Rankin'!Z1007,IF('IN-OUT'!$F$35=0,Y1007,'Damage classification-Rankin'!Y1007+'Damage classification-Rankin'!Z1007)))</f>
        <v/>
      </c>
    </row>
    <row r="1008" spans="1:27" ht="13.8" thickBot="1">
      <c r="A1008" s="67"/>
      <c r="B1008" s="655">
        <f t="shared" si="105"/>
        <v>987</v>
      </c>
      <c r="C1008" s="374" t="str">
        <f t="shared" si="106"/>
        <v/>
      </c>
      <c r="D1008" s="784" t="str">
        <f t="shared" si="107"/>
        <v/>
      </c>
      <c r="E1008" s="784" t="str">
        <f t="shared" si="108"/>
        <v/>
      </c>
      <c r="F1008" s="785" t="str">
        <f t="shared" si="109"/>
        <v/>
      </c>
      <c r="G1008" s="784" t="str">
        <f t="shared" si="110"/>
        <v/>
      </c>
      <c r="Y1008" s="663" t="str">
        <f>IF(C1008="","",('transversal subsidence profile'!$L$5*EXP(-(C1008^2)/(2*'transversal subsidence profile'!$J$5^2)))*100)</f>
        <v/>
      </c>
      <c r="Z1008" s="664" t="str">
        <f>IF(C1008="","",(+'transversal subsidence profile'!$L$6*EXP(-((C1008+$G$10)^2)/(2*'transversal subsidence profile'!$J$6^2)))*100)</f>
        <v/>
      </c>
      <c r="AA1008" s="751" t="str">
        <f>IF(C1008="","",IF('IN-OUT'!$F$26=0,'Damage classification-Rankin'!Z1008,IF('IN-OUT'!$F$35=0,Y1008,'Damage classification-Rankin'!Y1008+'Damage classification-Rankin'!Z1008)))</f>
        <v/>
      </c>
    </row>
    <row r="1009" spans="1:27" ht="13.8" thickBot="1">
      <c r="A1009" s="67"/>
      <c r="B1009" s="655">
        <f t="shared" si="105"/>
        <v>988</v>
      </c>
      <c r="C1009" s="374" t="str">
        <f t="shared" si="106"/>
        <v/>
      </c>
      <c r="D1009" s="784" t="str">
        <f t="shared" si="107"/>
        <v/>
      </c>
      <c r="E1009" s="784" t="str">
        <f t="shared" si="108"/>
        <v/>
      </c>
      <c r="F1009" s="785" t="str">
        <f t="shared" si="109"/>
        <v/>
      </c>
      <c r="G1009" s="784" t="str">
        <f t="shared" si="110"/>
        <v/>
      </c>
      <c r="Y1009" s="663" t="str">
        <f>IF(C1009="","",('transversal subsidence profile'!$L$5*EXP(-(C1009^2)/(2*'transversal subsidence profile'!$J$5^2)))*100)</f>
        <v/>
      </c>
      <c r="Z1009" s="664" t="str">
        <f>IF(C1009="","",(+'transversal subsidence profile'!$L$6*EXP(-((C1009+$G$10)^2)/(2*'transversal subsidence profile'!$J$6^2)))*100)</f>
        <v/>
      </c>
      <c r="AA1009" s="751" t="str">
        <f>IF(C1009="","",IF('IN-OUT'!$F$26=0,'Damage classification-Rankin'!Z1009,IF('IN-OUT'!$F$35=0,Y1009,'Damage classification-Rankin'!Y1009+'Damage classification-Rankin'!Z1009)))</f>
        <v/>
      </c>
    </row>
    <row r="1010" spans="1:27" ht="13.8" thickBot="1">
      <c r="A1010" s="67"/>
      <c r="B1010" s="655">
        <f t="shared" si="105"/>
        <v>989</v>
      </c>
      <c r="C1010" s="374" t="str">
        <f t="shared" si="106"/>
        <v/>
      </c>
      <c r="D1010" s="784" t="str">
        <f t="shared" si="107"/>
        <v/>
      </c>
      <c r="E1010" s="784" t="str">
        <f t="shared" si="108"/>
        <v/>
      </c>
      <c r="F1010" s="785" t="str">
        <f t="shared" si="109"/>
        <v/>
      </c>
      <c r="G1010" s="784" t="str">
        <f t="shared" si="110"/>
        <v/>
      </c>
      <c r="Y1010" s="663" t="str">
        <f>IF(C1010="","",('transversal subsidence profile'!$L$5*EXP(-(C1010^2)/(2*'transversal subsidence profile'!$J$5^2)))*100)</f>
        <v/>
      </c>
      <c r="Z1010" s="664" t="str">
        <f>IF(C1010="","",(+'transversal subsidence profile'!$L$6*EXP(-((C1010+$G$10)^2)/(2*'transversal subsidence profile'!$J$6^2)))*100)</f>
        <v/>
      </c>
      <c r="AA1010" s="751" t="str">
        <f>IF(C1010="","",IF('IN-OUT'!$F$26=0,'Damage classification-Rankin'!Z1010,IF('IN-OUT'!$F$35=0,Y1010,'Damage classification-Rankin'!Y1010+'Damage classification-Rankin'!Z1010)))</f>
        <v/>
      </c>
    </row>
    <row r="1011" spans="1:27" ht="13.8" thickBot="1">
      <c r="A1011" s="67"/>
      <c r="B1011" s="655">
        <f t="shared" si="105"/>
        <v>990</v>
      </c>
      <c r="C1011" s="374" t="str">
        <f t="shared" si="106"/>
        <v/>
      </c>
      <c r="D1011" s="784" t="str">
        <f t="shared" si="107"/>
        <v/>
      </c>
      <c r="E1011" s="784" t="str">
        <f t="shared" si="108"/>
        <v/>
      </c>
      <c r="F1011" s="785" t="str">
        <f t="shared" si="109"/>
        <v/>
      </c>
      <c r="G1011" s="784" t="str">
        <f t="shared" si="110"/>
        <v/>
      </c>
      <c r="Y1011" s="663" t="str">
        <f>IF(C1011="","",('transversal subsidence profile'!$L$5*EXP(-(C1011^2)/(2*'transversal subsidence profile'!$J$5^2)))*100)</f>
        <v/>
      </c>
      <c r="Z1011" s="664" t="str">
        <f>IF(C1011="","",(+'transversal subsidence profile'!$L$6*EXP(-((C1011+$G$10)^2)/(2*'transversal subsidence profile'!$J$6^2)))*100)</f>
        <v/>
      </c>
      <c r="AA1011" s="751" t="str">
        <f>IF(C1011="","",IF('IN-OUT'!$F$26=0,'Damage classification-Rankin'!Z1011,IF('IN-OUT'!$F$35=0,Y1011,'Damage classification-Rankin'!Y1011+'Damage classification-Rankin'!Z1011)))</f>
        <v/>
      </c>
    </row>
    <row r="1012" spans="1:27" ht="13.8" thickBot="1">
      <c r="A1012" s="67"/>
      <c r="B1012" s="655">
        <f t="shared" si="105"/>
        <v>991</v>
      </c>
      <c r="C1012" s="374" t="str">
        <f t="shared" si="106"/>
        <v/>
      </c>
      <c r="D1012" s="784" t="str">
        <f t="shared" si="107"/>
        <v/>
      </c>
      <c r="E1012" s="784" t="str">
        <f t="shared" si="108"/>
        <v/>
      </c>
      <c r="F1012" s="785" t="str">
        <f t="shared" si="109"/>
        <v/>
      </c>
      <c r="G1012" s="784" t="str">
        <f t="shared" si="110"/>
        <v/>
      </c>
      <c r="Y1012" s="663" t="str">
        <f>IF(C1012="","",('transversal subsidence profile'!$L$5*EXP(-(C1012^2)/(2*'transversal subsidence profile'!$J$5^2)))*100)</f>
        <v/>
      </c>
      <c r="Z1012" s="664" t="str">
        <f>IF(C1012="","",(+'transversal subsidence profile'!$L$6*EXP(-((C1012+$G$10)^2)/(2*'transversal subsidence profile'!$J$6^2)))*100)</f>
        <v/>
      </c>
      <c r="AA1012" s="751" t="str">
        <f>IF(C1012="","",IF('IN-OUT'!$F$26=0,'Damage classification-Rankin'!Z1012,IF('IN-OUT'!$F$35=0,Y1012,'Damage classification-Rankin'!Y1012+'Damage classification-Rankin'!Z1012)))</f>
        <v/>
      </c>
    </row>
    <row r="1013" spans="1:27" ht="13.8" thickBot="1">
      <c r="A1013" s="67"/>
      <c r="B1013" s="655">
        <f t="shared" si="105"/>
        <v>992</v>
      </c>
      <c r="C1013" s="374" t="str">
        <f t="shared" si="106"/>
        <v/>
      </c>
      <c r="D1013" s="784" t="str">
        <f t="shared" si="107"/>
        <v/>
      </c>
      <c r="E1013" s="784" t="str">
        <f t="shared" si="108"/>
        <v/>
      </c>
      <c r="F1013" s="785" t="str">
        <f t="shared" si="109"/>
        <v/>
      </c>
      <c r="G1013" s="784" t="str">
        <f t="shared" si="110"/>
        <v/>
      </c>
      <c r="Y1013" s="663" t="str">
        <f>IF(C1013="","",('transversal subsidence profile'!$L$5*EXP(-(C1013^2)/(2*'transversal subsidence profile'!$J$5^2)))*100)</f>
        <v/>
      </c>
      <c r="Z1013" s="664" t="str">
        <f>IF(C1013="","",(+'transversal subsidence profile'!$L$6*EXP(-((C1013+$G$10)^2)/(2*'transversal subsidence profile'!$J$6^2)))*100)</f>
        <v/>
      </c>
      <c r="AA1013" s="751" t="str">
        <f>IF(C1013="","",IF('IN-OUT'!$F$26=0,'Damage classification-Rankin'!Z1013,IF('IN-OUT'!$F$35=0,Y1013,'Damage classification-Rankin'!Y1013+'Damage classification-Rankin'!Z1013)))</f>
        <v/>
      </c>
    </row>
    <row r="1014" spans="1:27" ht="13.8" thickBot="1">
      <c r="A1014" s="67"/>
      <c r="B1014" s="655">
        <f t="shared" si="105"/>
        <v>993</v>
      </c>
      <c r="C1014" s="374" t="str">
        <f t="shared" si="106"/>
        <v/>
      </c>
      <c r="D1014" s="784" t="str">
        <f t="shared" si="107"/>
        <v/>
      </c>
      <c r="E1014" s="784" t="str">
        <f t="shared" si="108"/>
        <v/>
      </c>
      <c r="F1014" s="785" t="str">
        <f t="shared" si="109"/>
        <v/>
      </c>
      <c r="G1014" s="784" t="str">
        <f t="shared" si="110"/>
        <v/>
      </c>
      <c r="Y1014" s="663" t="str">
        <f>IF(C1014="","",('transversal subsidence profile'!$L$5*EXP(-(C1014^2)/(2*'transversal subsidence profile'!$J$5^2)))*100)</f>
        <v/>
      </c>
      <c r="Z1014" s="664" t="str">
        <f>IF(C1014="","",(+'transversal subsidence profile'!$L$6*EXP(-((C1014+$G$10)^2)/(2*'transversal subsidence profile'!$J$6^2)))*100)</f>
        <v/>
      </c>
      <c r="AA1014" s="751" t="str">
        <f>IF(C1014="","",IF('IN-OUT'!$F$26=0,'Damage classification-Rankin'!Z1014,IF('IN-OUT'!$F$35=0,Y1014,'Damage classification-Rankin'!Y1014+'Damage classification-Rankin'!Z1014)))</f>
        <v/>
      </c>
    </row>
    <row r="1015" spans="1:27" ht="13.8" thickBot="1">
      <c r="A1015" s="67"/>
      <c r="B1015" s="655">
        <f t="shared" si="105"/>
        <v>994</v>
      </c>
      <c r="C1015" s="374" t="str">
        <f t="shared" si="106"/>
        <v/>
      </c>
      <c r="D1015" s="784" t="str">
        <f t="shared" si="107"/>
        <v/>
      </c>
      <c r="E1015" s="784" t="str">
        <f t="shared" si="108"/>
        <v/>
      </c>
      <c r="F1015" s="785" t="str">
        <f t="shared" si="109"/>
        <v/>
      </c>
      <c r="G1015" s="784" t="str">
        <f t="shared" si="110"/>
        <v/>
      </c>
      <c r="Y1015" s="663" t="str">
        <f>IF(C1015="","",('transversal subsidence profile'!$L$5*EXP(-(C1015^2)/(2*'transversal subsidence profile'!$J$5^2)))*100)</f>
        <v/>
      </c>
      <c r="Z1015" s="664" t="str">
        <f>IF(C1015="","",(+'transversal subsidence profile'!$L$6*EXP(-((C1015+$G$10)^2)/(2*'transversal subsidence profile'!$J$6^2)))*100)</f>
        <v/>
      </c>
      <c r="AA1015" s="751" t="str">
        <f>IF(C1015="","",IF('IN-OUT'!$F$26=0,'Damage classification-Rankin'!Z1015,IF('IN-OUT'!$F$35=0,Y1015,'Damage classification-Rankin'!Y1015+'Damage classification-Rankin'!Z1015)))</f>
        <v/>
      </c>
    </row>
    <row r="1016" spans="1:27" ht="13.8" thickBot="1">
      <c r="A1016" s="67"/>
      <c r="B1016" s="655">
        <f t="shared" si="105"/>
        <v>995</v>
      </c>
      <c r="C1016" s="374" t="str">
        <f t="shared" si="106"/>
        <v/>
      </c>
      <c r="D1016" s="784" t="str">
        <f t="shared" si="107"/>
        <v/>
      </c>
      <c r="E1016" s="784" t="str">
        <f t="shared" si="108"/>
        <v/>
      </c>
      <c r="F1016" s="785" t="str">
        <f t="shared" si="109"/>
        <v/>
      </c>
      <c r="G1016" s="784" t="str">
        <f t="shared" si="110"/>
        <v/>
      </c>
      <c r="Y1016" s="663" t="str">
        <f>IF(C1016="","",('transversal subsidence profile'!$L$5*EXP(-(C1016^2)/(2*'transversal subsidence profile'!$J$5^2)))*100)</f>
        <v/>
      </c>
      <c r="Z1016" s="664" t="str">
        <f>IF(C1016="","",(+'transversal subsidence profile'!$L$6*EXP(-((C1016+$G$10)^2)/(2*'transversal subsidence profile'!$J$6^2)))*100)</f>
        <v/>
      </c>
      <c r="AA1016" s="751" t="str">
        <f>IF(C1016="","",IF('IN-OUT'!$F$26=0,'Damage classification-Rankin'!Z1016,IF('IN-OUT'!$F$35=0,Y1016,'Damage classification-Rankin'!Y1016+'Damage classification-Rankin'!Z1016)))</f>
        <v/>
      </c>
    </row>
    <row r="1017" spans="1:27" ht="13.8" thickBot="1">
      <c r="A1017" s="67"/>
      <c r="B1017" s="655">
        <f t="shared" si="105"/>
        <v>996</v>
      </c>
      <c r="C1017" s="374" t="str">
        <f t="shared" si="106"/>
        <v/>
      </c>
      <c r="D1017" s="784" t="str">
        <f t="shared" si="107"/>
        <v/>
      </c>
      <c r="E1017" s="784" t="str">
        <f t="shared" si="108"/>
        <v/>
      </c>
      <c r="F1017" s="785" t="str">
        <f t="shared" si="109"/>
        <v/>
      </c>
      <c r="G1017" s="784" t="str">
        <f t="shared" si="110"/>
        <v/>
      </c>
      <c r="Y1017" s="663" t="str">
        <f>IF(C1017="","",('transversal subsidence profile'!$L$5*EXP(-(C1017^2)/(2*'transversal subsidence profile'!$J$5^2)))*100)</f>
        <v/>
      </c>
      <c r="Z1017" s="664" t="str">
        <f>IF(C1017="","",(+'transversal subsidence profile'!$L$6*EXP(-((C1017+$G$10)^2)/(2*'transversal subsidence profile'!$J$6^2)))*100)</f>
        <v/>
      </c>
      <c r="AA1017" s="751" t="str">
        <f>IF(C1017="","",IF('IN-OUT'!$F$26=0,'Damage classification-Rankin'!Z1017,IF('IN-OUT'!$F$35=0,Y1017,'Damage classification-Rankin'!Y1017+'Damage classification-Rankin'!Z1017)))</f>
        <v/>
      </c>
    </row>
    <row r="1018" spans="1:27" ht="13.8" thickBot="1">
      <c r="A1018" s="67"/>
      <c r="B1018" s="655">
        <f t="shared" si="105"/>
        <v>997</v>
      </c>
      <c r="C1018" s="374" t="str">
        <f t="shared" si="106"/>
        <v/>
      </c>
      <c r="D1018" s="784" t="str">
        <f t="shared" si="107"/>
        <v/>
      </c>
      <c r="E1018" s="784" t="str">
        <f t="shared" si="108"/>
        <v/>
      </c>
      <c r="F1018" s="785" t="str">
        <f t="shared" si="109"/>
        <v/>
      </c>
      <c r="G1018" s="784" t="str">
        <f t="shared" si="110"/>
        <v/>
      </c>
      <c r="Y1018" s="663" t="str">
        <f>IF(C1018="","",('transversal subsidence profile'!$L$5*EXP(-(C1018^2)/(2*'transversal subsidence profile'!$J$5^2)))*100)</f>
        <v/>
      </c>
      <c r="Z1018" s="664" t="str">
        <f>IF(C1018="","",(+'transversal subsidence profile'!$L$6*EXP(-((C1018+$G$10)^2)/(2*'transversal subsidence profile'!$J$6^2)))*100)</f>
        <v/>
      </c>
      <c r="AA1018" s="751" t="str">
        <f>IF(C1018="","",IF('IN-OUT'!$F$26=0,'Damage classification-Rankin'!Z1018,IF('IN-OUT'!$F$35=0,Y1018,'Damage classification-Rankin'!Y1018+'Damage classification-Rankin'!Z1018)))</f>
        <v/>
      </c>
    </row>
    <row r="1019" spans="1:27" ht="13.8" thickBot="1">
      <c r="A1019" s="67"/>
      <c r="B1019" s="655">
        <f t="shared" si="105"/>
        <v>998</v>
      </c>
      <c r="C1019" s="374" t="str">
        <f t="shared" si="106"/>
        <v/>
      </c>
      <c r="D1019" s="784" t="str">
        <f t="shared" si="107"/>
        <v/>
      </c>
      <c r="E1019" s="784" t="str">
        <f t="shared" si="108"/>
        <v/>
      </c>
      <c r="F1019" s="785" t="str">
        <f t="shared" si="109"/>
        <v/>
      </c>
      <c r="G1019" s="784" t="str">
        <f t="shared" si="110"/>
        <v/>
      </c>
      <c r="Y1019" s="663" t="str">
        <f>IF(C1019="","",('transversal subsidence profile'!$L$5*EXP(-(C1019^2)/(2*'transversal subsidence profile'!$J$5^2)))*100)</f>
        <v/>
      </c>
      <c r="Z1019" s="664" t="str">
        <f>IF(C1019="","",(+'transversal subsidence profile'!$L$6*EXP(-((C1019+$G$10)^2)/(2*'transversal subsidence profile'!$J$6^2)))*100)</f>
        <v/>
      </c>
      <c r="AA1019" s="751" t="str">
        <f>IF(C1019="","",IF('IN-OUT'!$F$26=0,'Damage classification-Rankin'!Z1019,IF('IN-OUT'!$F$35=0,Y1019,'Damage classification-Rankin'!Y1019+'Damage classification-Rankin'!Z1019)))</f>
        <v/>
      </c>
    </row>
    <row r="1020" spans="1:27" ht="13.8" thickBot="1">
      <c r="A1020" s="67"/>
      <c r="B1020" s="655">
        <f t="shared" si="105"/>
        <v>999</v>
      </c>
      <c r="C1020" s="374" t="str">
        <f t="shared" si="106"/>
        <v/>
      </c>
      <c r="D1020" s="784" t="str">
        <f t="shared" si="107"/>
        <v/>
      </c>
      <c r="E1020" s="784" t="str">
        <f t="shared" si="108"/>
        <v/>
      </c>
      <c r="F1020" s="785" t="str">
        <f t="shared" si="109"/>
        <v/>
      </c>
      <c r="G1020" s="784" t="str">
        <f t="shared" si="110"/>
        <v/>
      </c>
      <c r="Y1020" s="663" t="str">
        <f>IF(C1020="","",('transversal subsidence profile'!$L$5*EXP(-(C1020^2)/(2*'transversal subsidence profile'!$J$5^2)))*100)</f>
        <v/>
      </c>
      <c r="Z1020" s="664" t="str">
        <f>IF(C1020="","",(+'transversal subsidence profile'!$L$6*EXP(-((C1020+$G$10)^2)/(2*'transversal subsidence profile'!$J$6^2)))*100)</f>
        <v/>
      </c>
      <c r="AA1020" s="751" t="str">
        <f>IF(C1020="","",IF('IN-OUT'!$F$26=0,'Damage classification-Rankin'!Z1020,IF('IN-OUT'!$F$35=0,Y1020,'Damage classification-Rankin'!Y1020+'Damage classification-Rankin'!Z1020)))</f>
        <v/>
      </c>
    </row>
    <row r="1021" spans="1:27" s="724" customFormat="1">
      <c r="A1021" s="713"/>
      <c r="B1021" s="722">
        <f t="shared" si="105"/>
        <v>1000</v>
      </c>
      <c r="C1021" s="723" t="str">
        <f t="shared" si="106"/>
        <v/>
      </c>
      <c r="D1021" s="786" t="str">
        <f t="shared" si="107"/>
        <v/>
      </c>
      <c r="E1021" s="786" t="str">
        <f t="shared" si="108"/>
        <v/>
      </c>
      <c r="F1021" s="787" t="str">
        <f t="shared" si="109"/>
        <v/>
      </c>
      <c r="G1021" s="784" t="str">
        <f t="shared" si="110"/>
        <v/>
      </c>
      <c r="U1021" s="769"/>
      <c r="V1021" s="769"/>
      <c r="Y1021" s="663" t="str">
        <f>IF(C1021="","",('transversal subsidence profile'!$L$5*EXP(-(C1021^2)/(2*'transversal subsidence profile'!$J$5^2)))*100)</f>
        <v/>
      </c>
      <c r="Z1021" s="664" t="str">
        <f>IF(C1021="","",(+'transversal subsidence profile'!$L$6*EXP(-((C1021+$G$10)^2)/(2*'transversal subsidence profile'!$J$6^2)))*100)</f>
        <v/>
      </c>
      <c r="AA1021" s="751" t="str">
        <f>IF(C1021="","",IF('IN-OUT'!$F$26=0,'Damage classification-Rankin'!Z1021,IF('IN-OUT'!$F$35=0,Y1021,'Damage classification-Rankin'!Y1021+'Damage classification-Rankin'!Z1021)))</f>
        <v/>
      </c>
    </row>
    <row r="1022" spans="1:27">
      <c r="A1022" s="67"/>
      <c r="B1022" s="656"/>
    </row>
    <row r="1023" spans="1:27">
      <c r="A1023" s="67"/>
      <c r="B1023" s="656"/>
    </row>
    <row r="1024" spans="1:27">
      <c r="A1024" s="67"/>
      <c r="B1024" s="656"/>
    </row>
    <row r="1025" spans="1:7">
      <c r="A1025" s="67"/>
      <c r="B1025" s="656"/>
    </row>
    <row r="1026" spans="1:7" ht="13.8" thickBot="1">
      <c r="A1026" s="67"/>
      <c r="B1026" s="656"/>
    </row>
    <row r="1027" spans="1:7">
      <c r="A1027" s="67"/>
      <c r="B1027" s="757"/>
      <c r="C1027" s="758"/>
      <c r="D1027" s="788" t="s">
        <v>45</v>
      </c>
      <c r="E1027" s="789" t="s">
        <v>53</v>
      </c>
      <c r="F1027" s="789" t="s">
        <v>53</v>
      </c>
      <c r="G1027" s="790" t="s">
        <v>54</v>
      </c>
    </row>
    <row r="1028" spans="1:7">
      <c r="A1028" s="67"/>
      <c r="B1028" s="659"/>
      <c r="C1028" s="660" t="s">
        <v>46</v>
      </c>
      <c r="D1028" s="791">
        <f>MAX(D22:D1021)</f>
        <v>2.9187980224351526</v>
      </c>
      <c r="E1028" s="791">
        <f>MAX(E22:E1021)</f>
        <v>2.8329272540300941E-3</v>
      </c>
      <c r="F1028" s="791">
        <f>MAX(F22:F1021)</f>
        <v>1.3343839793988463</v>
      </c>
      <c r="G1028" s="792">
        <f>MAX(MAX(G21:G1021),ABS(MIN(G21:G1021)))</f>
        <v>3.4458945211264221E-4</v>
      </c>
    </row>
    <row r="1029" spans="1:7" ht="13.8" thickBot="1">
      <c r="A1029" s="67"/>
      <c r="B1029" s="661"/>
      <c r="C1029" s="662"/>
      <c r="D1029" s="793"/>
      <c r="E1029" s="793"/>
      <c r="F1029" s="793"/>
      <c r="G1029" s="794"/>
    </row>
    <row r="1030" spans="1:7">
      <c r="A1030" s="67"/>
      <c r="B1030" s="656"/>
    </row>
    <row r="1031" spans="1:7">
      <c r="A1031" s="67"/>
      <c r="B1031" s="656"/>
    </row>
    <row r="1032" spans="1:7">
      <c r="A1032" s="67"/>
      <c r="B1032" s="656"/>
    </row>
    <row r="1033" spans="1:7">
      <c r="A1033" s="67"/>
      <c r="B1033" s="656"/>
    </row>
    <row r="1034" spans="1:7" ht="13.8" thickBot="1">
      <c r="A1034" s="67"/>
      <c r="B1034" s="656"/>
    </row>
    <row r="1035" spans="1:7">
      <c r="A1035" s="67"/>
      <c r="B1035" s="656"/>
      <c r="G1035" s="795" t="s">
        <v>339</v>
      </c>
    </row>
    <row r="1036" spans="1:7" ht="13.8" thickBot="1">
      <c r="A1036" s="67"/>
      <c r="B1036" s="656"/>
      <c r="G1036" s="796">
        <f>1/G1028</f>
        <v>2902.004091736133</v>
      </c>
    </row>
    <row r="1037" spans="1:7">
      <c r="A1037" s="67"/>
      <c r="B1037" s="656"/>
    </row>
    <row r="1038" spans="1:7">
      <c r="A1038" s="67"/>
      <c r="B1038" s="656"/>
    </row>
    <row r="1039" spans="1:7">
      <c r="A1039" s="67"/>
      <c r="B1039" s="656"/>
    </row>
    <row r="1040" spans="1:7">
      <c r="A1040" s="67"/>
      <c r="B1040" s="656"/>
    </row>
    <row r="1041" spans="1:2">
      <c r="A1041" s="67"/>
      <c r="B1041" s="656"/>
    </row>
    <row r="1042" spans="1:2">
      <c r="A1042" s="67"/>
      <c r="B1042" s="656"/>
    </row>
    <row r="1043" spans="1:2">
      <c r="A1043" s="67"/>
      <c r="B1043" s="656"/>
    </row>
    <row r="1044" spans="1:2">
      <c r="A1044" s="67"/>
      <c r="B1044" s="656"/>
    </row>
    <row r="1045" spans="1:2">
      <c r="A1045" s="67"/>
      <c r="B1045" s="656"/>
    </row>
    <row r="1046" spans="1:2">
      <c r="A1046" s="67"/>
      <c r="B1046" s="656"/>
    </row>
    <row r="1047" spans="1:2">
      <c r="A1047" s="67"/>
      <c r="B1047" s="656"/>
    </row>
    <row r="1048" spans="1:2">
      <c r="A1048" s="67"/>
      <c r="B1048" s="656"/>
    </row>
    <row r="1049" spans="1:2">
      <c r="A1049" s="67"/>
      <c r="B1049" s="656"/>
    </row>
    <row r="1050" spans="1:2">
      <c r="A1050" s="67"/>
      <c r="B1050" s="656"/>
    </row>
    <row r="1051" spans="1:2">
      <c r="A1051" s="67"/>
      <c r="B1051" s="656"/>
    </row>
    <row r="1052" spans="1:2">
      <c r="A1052" s="67"/>
      <c r="B1052" s="656"/>
    </row>
    <row r="1053" spans="1:2">
      <c r="A1053" s="67"/>
      <c r="B1053" s="656"/>
    </row>
    <row r="1054" spans="1:2">
      <c r="A1054" s="67"/>
      <c r="B1054" s="656"/>
    </row>
    <row r="1055" spans="1:2">
      <c r="A1055" s="67"/>
      <c r="B1055" s="656"/>
    </row>
    <row r="1056" spans="1:2">
      <c r="A1056" s="67"/>
      <c r="B1056" s="656"/>
    </row>
    <row r="1057" spans="1:2">
      <c r="A1057" s="67"/>
      <c r="B1057" s="656"/>
    </row>
    <row r="1058" spans="1:2">
      <c r="A1058" s="67"/>
      <c r="B1058" s="656"/>
    </row>
    <row r="1059" spans="1:2">
      <c r="A1059" s="67"/>
      <c r="B1059" s="656"/>
    </row>
    <row r="1060" spans="1:2">
      <c r="A1060" s="67"/>
      <c r="B1060" s="656"/>
    </row>
    <row r="1061" spans="1:2">
      <c r="A1061" s="67"/>
      <c r="B1061" s="656"/>
    </row>
    <row r="1062" spans="1:2">
      <c r="A1062" s="67"/>
      <c r="B1062" s="656"/>
    </row>
    <row r="1063" spans="1:2">
      <c r="A1063" s="67"/>
      <c r="B1063" s="656"/>
    </row>
    <row r="1064" spans="1:2">
      <c r="A1064" s="67"/>
      <c r="B1064" s="656"/>
    </row>
    <row r="1065" spans="1:2">
      <c r="A1065" s="67"/>
      <c r="B1065" s="656"/>
    </row>
    <row r="1066" spans="1:2">
      <c r="A1066" s="67"/>
      <c r="B1066" s="656"/>
    </row>
    <row r="1067" spans="1:2">
      <c r="A1067" s="67"/>
      <c r="B1067" s="656"/>
    </row>
    <row r="1068" spans="1:2">
      <c r="A1068" s="67"/>
      <c r="B1068" s="656"/>
    </row>
    <row r="1069" spans="1:2">
      <c r="A1069" s="67"/>
      <c r="B1069" s="656"/>
    </row>
    <row r="1070" spans="1:2">
      <c r="A1070" s="67"/>
      <c r="B1070" s="656"/>
    </row>
    <row r="1071" spans="1:2">
      <c r="A1071" s="67"/>
      <c r="B1071" s="656"/>
    </row>
    <row r="1072" spans="1:2">
      <c r="A1072" s="67"/>
      <c r="B1072" s="656"/>
    </row>
    <row r="1073" spans="1:2">
      <c r="A1073" s="67"/>
      <c r="B1073" s="656"/>
    </row>
    <row r="1074" spans="1:2">
      <c r="A1074" s="67"/>
      <c r="B1074" s="656"/>
    </row>
    <row r="1075" spans="1:2">
      <c r="A1075" s="67"/>
      <c r="B1075" s="656"/>
    </row>
    <row r="1076" spans="1:2">
      <c r="A1076" s="67"/>
      <c r="B1076" s="656"/>
    </row>
    <row r="1077" spans="1:2">
      <c r="A1077" s="67"/>
      <c r="B1077" s="656"/>
    </row>
    <row r="1078" spans="1:2">
      <c r="A1078" s="67"/>
      <c r="B1078" s="656"/>
    </row>
    <row r="1079" spans="1:2">
      <c r="A1079" s="67"/>
      <c r="B1079" s="656"/>
    </row>
    <row r="1080" spans="1:2">
      <c r="A1080" s="67"/>
      <c r="B1080" s="656"/>
    </row>
    <row r="1081" spans="1:2">
      <c r="A1081" s="67"/>
      <c r="B1081" s="656"/>
    </row>
    <row r="1082" spans="1:2">
      <c r="A1082" s="67"/>
      <c r="B1082" s="656"/>
    </row>
    <row r="1083" spans="1:2">
      <c r="A1083" s="67"/>
      <c r="B1083" s="656"/>
    </row>
    <row r="1084" spans="1:2">
      <c r="A1084" s="67"/>
      <c r="B1084" s="656"/>
    </row>
    <row r="1085" spans="1:2">
      <c r="A1085" s="67"/>
      <c r="B1085" s="656"/>
    </row>
    <row r="1086" spans="1:2">
      <c r="A1086" s="67"/>
      <c r="B1086" s="656"/>
    </row>
    <row r="1087" spans="1:2">
      <c r="A1087" s="67"/>
      <c r="B1087" s="656"/>
    </row>
    <row r="1088" spans="1:2">
      <c r="A1088" s="67"/>
      <c r="B1088" s="656"/>
    </row>
    <row r="1089" spans="1:2">
      <c r="A1089" s="67"/>
      <c r="B1089" s="656"/>
    </row>
    <row r="1090" spans="1:2">
      <c r="A1090" s="67"/>
      <c r="B1090" s="656"/>
    </row>
    <row r="1091" spans="1:2">
      <c r="A1091" s="67"/>
      <c r="B1091" s="656"/>
    </row>
    <row r="1092" spans="1:2">
      <c r="A1092" s="67"/>
      <c r="B1092" s="656"/>
    </row>
    <row r="1093" spans="1:2">
      <c r="A1093" s="67"/>
      <c r="B1093" s="656"/>
    </row>
    <row r="1094" spans="1:2">
      <c r="A1094" s="67"/>
      <c r="B1094" s="656"/>
    </row>
    <row r="1095" spans="1:2">
      <c r="A1095" s="67"/>
      <c r="B1095" s="656"/>
    </row>
    <row r="1096" spans="1:2">
      <c r="A1096" s="67"/>
      <c r="B1096" s="656"/>
    </row>
    <row r="1097" spans="1:2">
      <c r="A1097" s="67"/>
      <c r="B1097" s="656"/>
    </row>
    <row r="1098" spans="1:2">
      <c r="A1098" s="67"/>
      <c r="B1098" s="656"/>
    </row>
    <row r="1099" spans="1:2">
      <c r="A1099" s="67"/>
      <c r="B1099" s="656"/>
    </row>
    <row r="1100" spans="1:2">
      <c r="A1100" s="67"/>
      <c r="B1100" s="656"/>
    </row>
    <row r="1101" spans="1:2">
      <c r="A1101" s="67"/>
      <c r="B1101" s="656"/>
    </row>
    <row r="1102" spans="1:2">
      <c r="A1102" s="67"/>
      <c r="B1102" s="656"/>
    </row>
    <row r="1103" spans="1:2">
      <c r="A1103" s="67"/>
      <c r="B1103" s="656"/>
    </row>
    <row r="1104" spans="1:2">
      <c r="A1104" s="67"/>
      <c r="B1104" s="656"/>
    </row>
    <row r="1105" spans="1:2">
      <c r="A1105" s="67"/>
      <c r="B1105" s="656"/>
    </row>
    <row r="1106" spans="1:2">
      <c r="A1106" s="67"/>
      <c r="B1106" s="656"/>
    </row>
    <row r="1107" spans="1:2">
      <c r="A1107" s="67"/>
      <c r="B1107" s="656"/>
    </row>
    <row r="1108" spans="1:2">
      <c r="A1108" s="67"/>
      <c r="B1108" s="656"/>
    </row>
    <row r="1109" spans="1:2">
      <c r="A1109" s="67"/>
      <c r="B1109" s="656"/>
    </row>
    <row r="1110" spans="1:2">
      <c r="A1110" s="67"/>
      <c r="B1110" s="656"/>
    </row>
    <row r="1111" spans="1:2">
      <c r="A1111" s="67"/>
      <c r="B1111" s="656"/>
    </row>
    <row r="1112" spans="1:2">
      <c r="A1112" s="67"/>
      <c r="B1112" s="656"/>
    </row>
    <row r="1113" spans="1:2">
      <c r="A1113" s="67"/>
      <c r="B1113" s="656"/>
    </row>
    <row r="1114" spans="1:2">
      <c r="A1114" s="67"/>
      <c r="B1114" s="656"/>
    </row>
    <row r="1115" spans="1:2">
      <c r="A1115" s="67"/>
      <c r="B1115" s="656"/>
    </row>
    <row r="1116" spans="1:2">
      <c r="A1116" s="67"/>
      <c r="B1116" s="656"/>
    </row>
    <row r="1117" spans="1:2">
      <c r="A1117" s="67"/>
      <c r="B1117" s="656"/>
    </row>
    <row r="1118" spans="1:2">
      <c r="A1118" s="67"/>
      <c r="B1118" s="656"/>
    </row>
    <row r="1119" spans="1:2">
      <c r="A1119" s="67"/>
      <c r="B1119" s="656"/>
    </row>
    <row r="1120" spans="1:2">
      <c r="A1120" s="67"/>
      <c r="B1120" s="656"/>
    </row>
    <row r="1121" spans="1:2">
      <c r="A1121" s="67"/>
      <c r="B1121" s="656"/>
    </row>
    <row r="1122" spans="1:2">
      <c r="A1122" s="67"/>
      <c r="B1122" s="656"/>
    </row>
    <row r="1123" spans="1:2">
      <c r="A1123" s="67"/>
      <c r="B1123" s="656"/>
    </row>
    <row r="1124" spans="1:2">
      <c r="A1124" s="67"/>
      <c r="B1124" s="656"/>
    </row>
    <row r="1125" spans="1:2">
      <c r="A1125" s="67"/>
      <c r="B1125" s="656"/>
    </row>
    <row r="1126" spans="1:2">
      <c r="A1126" s="67"/>
      <c r="B1126" s="656"/>
    </row>
    <row r="1127" spans="1:2">
      <c r="A1127" s="67"/>
      <c r="B1127" s="656"/>
    </row>
    <row r="1128" spans="1:2">
      <c r="A1128" s="67"/>
      <c r="B1128" s="656"/>
    </row>
    <row r="1129" spans="1:2">
      <c r="A1129" s="67"/>
      <c r="B1129" s="656"/>
    </row>
    <row r="1130" spans="1:2">
      <c r="A1130" s="67"/>
      <c r="B1130" s="656"/>
    </row>
    <row r="1131" spans="1:2">
      <c r="A1131" s="67"/>
      <c r="B1131" s="656"/>
    </row>
    <row r="1132" spans="1:2">
      <c r="A1132" s="67"/>
      <c r="B1132" s="656"/>
    </row>
    <row r="1133" spans="1:2">
      <c r="A1133" s="67"/>
      <c r="B1133" s="656"/>
    </row>
    <row r="1134" spans="1:2">
      <c r="A1134" s="67"/>
      <c r="B1134" s="656"/>
    </row>
    <row r="1135" spans="1:2">
      <c r="A1135" s="67"/>
      <c r="B1135" s="656"/>
    </row>
    <row r="1136" spans="1:2">
      <c r="A1136" s="67"/>
      <c r="B1136" s="656"/>
    </row>
    <row r="1137" spans="1:2">
      <c r="A1137" s="67"/>
      <c r="B1137" s="656"/>
    </row>
    <row r="1138" spans="1:2">
      <c r="A1138" s="67"/>
      <c r="B1138" s="656"/>
    </row>
    <row r="1139" spans="1:2">
      <c r="A1139" s="67"/>
      <c r="B1139" s="656"/>
    </row>
    <row r="1140" spans="1:2">
      <c r="A1140" s="67"/>
      <c r="B1140" s="656"/>
    </row>
    <row r="1141" spans="1:2">
      <c r="A1141" s="67"/>
      <c r="B1141" s="656"/>
    </row>
    <row r="1142" spans="1:2">
      <c r="A1142" s="67"/>
      <c r="B1142" s="656"/>
    </row>
    <row r="1143" spans="1:2">
      <c r="A1143" s="67"/>
      <c r="B1143" s="656"/>
    </row>
    <row r="1144" spans="1:2">
      <c r="A1144" s="67"/>
      <c r="B1144" s="656"/>
    </row>
    <row r="1145" spans="1:2">
      <c r="A1145" s="67"/>
      <c r="B1145" s="656"/>
    </row>
    <row r="1146" spans="1:2">
      <c r="A1146" s="67"/>
      <c r="B1146" s="656"/>
    </row>
    <row r="1147" spans="1:2">
      <c r="A1147" s="67"/>
      <c r="B1147" s="656"/>
    </row>
    <row r="1148" spans="1:2">
      <c r="A1148" s="67"/>
      <c r="B1148" s="656"/>
    </row>
    <row r="1149" spans="1:2">
      <c r="A1149" s="67"/>
      <c r="B1149" s="656"/>
    </row>
    <row r="1150" spans="1:2">
      <c r="A1150" s="67"/>
      <c r="B1150" s="656"/>
    </row>
    <row r="1151" spans="1:2">
      <c r="A1151" s="67"/>
      <c r="B1151" s="656"/>
    </row>
    <row r="1152" spans="1:2">
      <c r="A1152" s="67"/>
      <c r="B1152" s="656"/>
    </row>
    <row r="1153" spans="1:2">
      <c r="A1153" s="67"/>
      <c r="B1153" s="656"/>
    </row>
    <row r="1154" spans="1:2">
      <c r="A1154" s="67"/>
      <c r="B1154" s="656"/>
    </row>
    <row r="1155" spans="1:2">
      <c r="A1155" s="67"/>
      <c r="B1155" s="656"/>
    </row>
    <row r="1156" spans="1:2">
      <c r="A1156" s="67"/>
      <c r="B1156" s="656"/>
    </row>
    <row r="1157" spans="1:2">
      <c r="A1157" s="67"/>
      <c r="B1157" s="656"/>
    </row>
    <row r="1158" spans="1:2">
      <c r="A1158" s="67"/>
      <c r="B1158" s="656"/>
    </row>
    <row r="1159" spans="1:2">
      <c r="A1159" s="67"/>
      <c r="B1159" s="656"/>
    </row>
    <row r="1160" spans="1:2">
      <c r="A1160" s="67"/>
      <c r="B1160" s="656"/>
    </row>
    <row r="1161" spans="1:2">
      <c r="A1161" s="67"/>
      <c r="B1161" s="656"/>
    </row>
    <row r="1162" spans="1:2">
      <c r="A1162" s="67"/>
      <c r="B1162" s="656"/>
    </row>
    <row r="1163" spans="1:2">
      <c r="A1163" s="67"/>
      <c r="B1163" s="656"/>
    </row>
    <row r="1164" spans="1:2">
      <c r="A1164" s="67"/>
      <c r="B1164" s="656"/>
    </row>
    <row r="1165" spans="1:2">
      <c r="A1165" s="67"/>
      <c r="B1165" s="656"/>
    </row>
    <row r="1166" spans="1:2">
      <c r="A1166" s="67"/>
      <c r="B1166" s="656"/>
    </row>
    <row r="1167" spans="1:2">
      <c r="A1167" s="67"/>
      <c r="B1167" s="656"/>
    </row>
    <row r="1168" spans="1:2">
      <c r="A1168" s="67"/>
      <c r="B1168" s="656"/>
    </row>
    <row r="1169" spans="1:2">
      <c r="A1169" s="67"/>
      <c r="B1169" s="656"/>
    </row>
    <row r="1170" spans="1:2">
      <c r="A1170" s="67"/>
      <c r="B1170" s="656"/>
    </row>
    <row r="1171" spans="1:2">
      <c r="A1171" s="67"/>
      <c r="B1171" s="656"/>
    </row>
    <row r="1172" spans="1:2">
      <c r="A1172" s="67"/>
      <c r="B1172" s="656"/>
    </row>
    <row r="1173" spans="1:2">
      <c r="A1173" s="67"/>
      <c r="B1173" s="656"/>
    </row>
    <row r="1174" spans="1:2">
      <c r="A1174" s="67"/>
      <c r="B1174" s="656"/>
    </row>
    <row r="1175" spans="1:2">
      <c r="A1175" s="67"/>
      <c r="B1175" s="656"/>
    </row>
    <row r="1176" spans="1:2">
      <c r="A1176" s="67"/>
      <c r="B1176" s="656"/>
    </row>
    <row r="1177" spans="1:2">
      <c r="A1177" s="67"/>
      <c r="B1177" s="656"/>
    </row>
    <row r="1178" spans="1:2">
      <c r="A1178" s="67"/>
      <c r="B1178" s="656"/>
    </row>
    <row r="1179" spans="1:2">
      <c r="A1179" s="67"/>
      <c r="B1179" s="656"/>
    </row>
    <row r="1180" spans="1:2">
      <c r="A1180" s="67"/>
      <c r="B1180" s="656"/>
    </row>
    <row r="1181" spans="1:2">
      <c r="A1181" s="67"/>
      <c r="B1181" s="656"/>
    </row>
    <row r="1182" spans="1:2">
      <c r="A1182" s="67"/>
      <c r="B1182" s="656"/>
    </row>
    <row r="1183" spans="1:2">
      <c r="A1183" s="67"/>
      <c r="B1183" s="656"/>
    </row>
    <row r="1184" spans="1:2">
      <c r="A1184" s="67"/>
      <c r="B1184" s="656"/>
    </row>
    <row r="1185" spans="1:2">
      <c r="A1185" s="67"/>
      <c r="B1185" s="656"/>
    </row>
    <row r="1186" spans="1:2">
      <c r="A1186" s="67"/>
      <c r="B1186" s="656"/>
    </row>
    <row r="1187" spans="1:2">
      <c r="A1187" s="67"/>
      <c r="B1187" s="656"/>
    </row>
    <row r="1188" spans="1:2">
      <c r="A1188" s="67"/>
      <c r="B1188" s="656"/>
    </row>
    <row r="1189" spans="1:2">
      <c r="A1189" s="67"/>
      <c r="B1189" s="656"/>
    </row>
    <row r="1190" spans="1:2">
      <c r="A1190" s="67"/>
      <c r="B1190" s="656"/>
    </row>
    <row r="1191" spans="1:2">
      <c r="A1191" s="67"/>
      <c r="B1191" s="656"/>
    </row>
    <row r="1192" spans="1:2">
      <c r="A1192" s="67"/>
      <c r="B1192" s="656"/>
    </row>
    <row r="1193" spans="1:2">
      <c r="A1193" s="67"/>
      <c r="B1193" s="656"/>
    </row>
    <row r="1194" spans="1:2">
      <c r="A1194" s="67"/>
      <c r="B1194" s="656"/>
    </row>
    <row r="1195" spans="1:2">
      <c r="A1195" s="67"/>
      <c r="B1195" s="656"/>
    </row>
    <row r="1196" spans="1:2">
      <c r="A1196" s="67"/>
      <c r="B1196" s="656"/>
    </row>
    <row r="1197" spans="1:2">
      <c r="A1197" s="67"/>
      <c r="B1197" s="656"/>
    </row>
    <row r="1198" spans="1:2">
      <c r="A1198" s="67"/>
      <c r="B1198" s="656"/>
    </row>
    <row r="1199" spans="1:2">
      <c r="A1199" s="67"/>
      <c r="B1199" s="656"/>
    </row>
    <row r="1200" spans="1:2">
      <c r="A1200" s="67"/>
      <c r="B1200" s="656"/>
    </row>
    <row r="1201" spans="1:2">
      <c r="A1201" s="67"/>
      <c r="B1201" s="656"/>
    </row>
    <row r="1202" spans="1:2">
      <c r="A1202" s="67"/>
      <c r="B1202" s="656"/>
    </row>
    <row r="1203" spans="1:2">
      <c r="A1203" s="67"/>
      <c r="B1203" s="656"/>
    </row>
    <row r="1204" spans="1:2">
      <c r="A1204" s="67"/>
      <c r="B1204" s="656"/>
    </row>
    <row r="1205" spans="1:2">
      <c r="A1205" s="67"/>
      <c r="B1205" s="656"/>
    </row>
    <row r="1206" spans="1:2">
      <c r="A1206" s="67"/>
      <c r="B1206" s="656"/>
    </row>
    <row r="1207" spans="1:2">
      <c r="A1207" s="67"/>
      <c r="B1207" s="656"/>
    </row>
    <row r="1208" spans="1:2">
      <c r="A1208" s="67"/>
      <c r="B1208" s="656"/>
    </row>
    <row r="1209" spans="1:2">
      <c r="A1209" s="67"/>
      <c r="B1209" s="656"/>
    </row>
    <row r="1210" spans="1:2">
      <c r="A1210" s="67"/>
      <c r="B1210" s="656"/>
    </row>
    <row r="1211" spans="1:2">
      <c r="A1211" s="67"/>
      <c r="B1211" s="656"/>
    </row>
    <row r="1212" spans="1:2">
      <c r="A1212" s="67"/>
      <c r="B1212" s="656"/>
    </row>
    <row r="1213" spans="1:2">
      <c r="A1213" s="67"/>
      <c r="B1213" s="656"/>
    </row>
    <row r="1214" spans="1:2">
      <c r="A1214" s="67"/>
      <c r="B1214" s="656"/>
    </row>
    <row r="1215" spans="1:2">
      <c r="A1215" s="67"/>
      <c r="B1215" s="656"/>
    </row>
    <row r="1216" spans="1:2">
      <c r="A1216" s="67"/>
      <c r="B1216" s="656"/>
    </row>
    <row r="1217" spans="1:2">
      <c r="A1217" s="67"/>
      <c r="B1217" s="656"/>
    </row>
    <row r="1218" spans="1:2">
      <c r="A1218" s="67"/>
      <c r="B1218" s="656"/>
    </row>
    <row r="1219" spans="1:2">
      <c r="A1219" s="67"/>
      <c r="B1219" s="656"/>
    </row>
    <row r="1220" spans="1:2">
      <c r="A1220" s="67"/>
      <c r="B1220" s="656"/>
    </row>
    <row r="1221" spans="1:2">
      <c r="A1221" s="67"/>
      <c r="B1221" s="656"/>
    </row>
    <row r="1222" spans="1:2">
      <c r="A1222" s="67"/>
      <c r="B1222" s="656"/>
    </row>
    <row r="1223" spans="1:2">
      <c r="A1223" s="67"/>
      <c r="B1223" s="656"/>
    </row>
    <row r="1224" spans="1:2">
      <c r="A1224" s="67"/>
      <c r="B1224" s="656"/>
    </row>
    <row r="1225" spans="1:2">
      <c r="A1225" s="67"/>
      <c r="B1225" s="656"/>
    </row>
    <row r="1226" spans="1:2">
      <c r="A1226" s="67"/>
      <c r="B1226" s="656"/>
    </row>
    <row r="1227" spans="1:2">
      <c r="A1227" s="67"/>
      <c r="B1227" s="656"/>
    </row>
    <row r="1228" spans="1:2">
      <c r="A1228" s="67"/>
      <c r="B1228" s="656"/>
    </row>
    <row r="1229" spans="1:2">
      <c r="A1229" s="67"/>
      <c r="B1229" s="656"/>
    </row>
    <row r="1230" spans="1:2">
      <c r="A1230" s="67"/>
      <c r="B1230" s="656"/>
    </row>
    <row r="1231" spans="1:2">
      <c r="A1231" s="67"/>
      <c r="B1231" s="656"/>
    </row>
    <row r="1232" spans="1:2">
      <c r="A1232" s="67"/>
      <c r="B1232" s="656"/>
    </row>
    <row r="1233" spans="1:2">
      <c r="A1233" s="67"/>
      <c r="B1233" s="656"/>
    </row>
    <row r="1234" spans="1:2">
      <c r="A1234" s="67"/>
      <c r="B1234" s="656"/>
    </row>
    <row r="1235" spans="1:2">
      <c r="A1235" s="67"/>
      <c r="B1235" s="656"/>
    </row>
    <row r="1236" spans="1:2">
      <c r="A1236" s="67"/>
      <c r="B1236" s="656"/>
    </row>
    <row r="1237" spans="1:2">
      <c r="A1237" s="67"/>
      <c r="B1237" s="656"/>
    </row>
    <row r="1238" spans="1:2">
      <c r="A1238" s="67"/>
      <c r="B1238" s="656"/>
    </row>
    <row r="1239" spans="1:2">
      <c r="A1239" s="67"/>
      <c r="B1239" s="656"/>
    </row>
    <row r="1240" spans="1:2">
      <c r="A1240" s="67"/>
      <c r="B1240" s="656"/>
    </row>
    <row r="1241" spans="1:2">
      <c r="A1241" s="67"/>
      <c r="B1241" s="656"/>
    </row>
    <row r="1242" spans="1:2">
      <c r="A1242" s="67"/>
      <c r="B1242" s="656"/>
    </row>
    <row r="1243" spans="1:2">
      <c r="A1243" s="67"/>
      <c r="B1243" s="656"/>
    </row>
    <row r="1244" spans="1:2">
      <c r="A1244" s="67"/>
      <c r="B1244" s="656"/>
    </row>
    <row r="1245" spans="1:2">
      <c r="A1245" s="67"/>
      <c r="B1245" s="656"/>
    </row>
    <row r="1246" spans="1:2">
      <c r="A1246" s="67"/>
      <c r="B1246" s="656"/>
    </row>
    <row r="1247" spans="1:2">
      <c r="A1247" s="67"/>
      <c r="B1247" s="656"/>
    </row>
    <row r="1248" spans="1:2">
      <c r="A1248" s="67"/>
      <c r="B1248" s="656"/>
    </row>
    <row r="1249" spans="1:2">
      <c r="A1249" s="67"/>
      <c r="B1249" s="656"/>
    </row>
    <row r="1250" spans="1:2">
      <c r="A1250" s="67"/>
      <c r="B1250" s="656"/>
    </row>
    <row r="1251" spans="1:2">
      <c r="A1251" s="67"/>
      <c r="B1251" s="656"/>
    </row>
    <row r="1252" spans="1:2">
      <c r="A1252" s="67"/>
      <c r="B1252" s="656"/>
    </row>
    <row r="1253" spans="1:2">
      <c r="A1253" s="67"/>
      <c r="B1253" s="656"/>
    </row>
    <row r="1254" spans="1:2">
      <c r="A1254" s="67"/>
      <c r="B1254" s="656"/>
    </row>
    <row r="1255" spans="1:2">
      <c r="A1255" s="67"/>
      <c r="B1255" s="656"/>
    </row>
    <row r="1256" spans="1:2">
      <c r="A1256" s="67"/>
      <c r="B1256" s="656"/>
    </row>
    <row r="1257" spans="1:2">
      <c r="A1257" s="67"/>
      <c r="B1257" s="656"/>
    </row>
    <row r="1258" spans="1:2">
      <c r="A1258" s="67"/>
      <c r="B1258" s="656"/>
    </row>
    <row r="1259" spans="1:2">
      <c r="A1259" s="67"/>
      <c r="B1259" s="656"/>
    </row>
    <row r="1260" spans="1:2">
      <c r="A1260" s="67"/>
      <c r="B1260" s="656"/>
    </row>
    <row r="1261" spans="1:2">
      <c r="A1261" s="67"/>
      <c r="B1261" s="656"/>
    </row>
    <row r="1262" spans="1:2">
      <c r="A1262" s="67"/>
      <c r="B1262" s="656"/>
    </row>
    <row r="1263" spans="1:2">
      <c r="A1263" s="67"/>
      <c r="B1263" s="656"/>
    </row>
    <row r="1264" spans="1:2">
      <c r="A1264" s="67"/>
      <c r="B1264" s="656"/>
    </row>
    <row r="1265" spans="1:2">
      <c r="A1265" s="67"/>
      <c r="B1265" s="656"/>
    </row>
    <row r="1266" spans="1:2">
      <c r="A1266" s="67"/>
      <c r="B1266" s="656"/>
    </row>
    <row r="1267" spans="1:2">
      <c r="A1267" s="67"/>
      <c r="B1267" s="656"/>
    </row>
    <row r="1268" spans="1:2">
      <c r="A1268" s="67"/>
      <c r="B1268" s="656"/>
    </row>
    <row r="1269" spans="1:2">
      <c r="A1269" s="67"/>
      <c r="B1269" s="656"/>
    </row>
    <row r="1270" spans="1:2">
      <c r="A1270" s="67"/>
      <c r="B1270" s="656"/>
    </row>
    <row r="1271" spans="1:2">
      <c r="A1271" s="67"/>
      <c r="B1271" s="656"/>
    </row>
    <row r="1272" spans="1:2">
      <c r="A1272" s="67"/>
      <c r="B1272" s="656"/>
    </row>
    <row r="1273" spans="1:2">
      <c r="A1273" s="67"/>
      <c r="B1273" s="656"/>
    </row>
    <row r="1274" spans="1:2">
      <c r="A1274" s="67"/>
      <c r="B1274" s="656"/>
    </row>
    <row r="1275" spans="1:2">
      <c r="A1275" s="67"/>
      <c r="B1275" s="656"/>
    </row>
    <row r="1276" spans="1:2">
      <c r="A1276" s="67"/>
      <c r="B1276" s="656"/>
    </row>
    <row r="1277" spans="1:2">
      <c r="A1277" s="67"/>
      <c r="B1277" s="656"/>
    </row>
    <row r="1278" spans="1:2">
      <c r="A1278" s="67"/>
      <c r="B1278" s="656"/>
    </row>
    <row r="1279" spans="1:2">
      <c r="A1279" s="67"/>
      <c r="B1279" s="656"/>
    </row>
    <row r="1280" spans="1:2">
      <c r="A1280" s="67"/>
      <c r="B1280" s="656"/>
    </row>
    <row r="1281" spans="1:2">
      <c r="A1281" s="67"/>
      <c r="B1281" s="656"/>
    </row>
    <row r="1282" spans="1:2">
      <c r="A1282" s="67"/>
      <c r="B1282" s="656"/>
    </row>
    <row r="1283" spans="1:2">
      <c r="A1283" s="67"/>
      <c r="B1283" s="656"/>
    </row>
    <row r="1284" spans="1:2">
      <c r="A1284" s="67"/>
      <c r="B1284" s="656"/>
    </row>
    <row r="1285" spans="1:2">
      <c r="A1285" s="67"/>
      <c r="B1285" s="656"/>
    </row>
    <row r="1286" spans="1:2">
      <c r="A1286" s="67"/>
      <c r="B1286" s="656"/>
    </row>
    <row r="1287" spans="1:2">
      <c r="A1287" s="67"/>
      <c r="B1287" s="656"/>
    </row>
    <row r="1288" spans="1:2">
      <c r="A1288" s="67"/>
      <c r="B1288" s="656"/>
    </row>
    <row r="1289" spans="1:2">
      <c r="A1289" s="67"/>
      <c r="B1289" s="656"/>
    </row>
    <row r="1290" spans="1:2">
      <c r="A1290" s="67"/>
      <c r="B1290" s="656"/>
    </row>
    <row r="1291" spans="1:2">
      <c r="A1291" s="67"/>
      <c r="B1291" s="656"/>
    </row>
    <row r="1292" spans="1:2">
      <c r="A1292" s="67"/>
      <c r="B1292" s="656"/>
    </row>
    <row r="1293" spans="1:2">
      <c r="A1293" s="67"/>
      <c r="B1293" s="656"/>
    </row>
    <row r="1294" spans="1:2">
      <c r="A1294" s="67"/>
      <c r="B1294" s="656"/>
    </row>
    <row r="1295" spans="1:2">
      <c r="A1295" s="67"/>
      <c r="B1295" s="656"/>
    </row>
    <row r="1296" spans="1:2">
      <c r="A1296" s="67"/>
      <c r="B1296" s="656"/>
    </row>
    <row r="1297" spans="1:2">
      <c r="A1297" s="67"/>
      <c r="B1297" s="656"/>
    </row>
    <row r="1298" spans="1:2">
      <c r="A1298" s="67"/>
      <c r="B1298" s="656"/>
    </row>
    <row r="1299" spans="1:2">
      <c r="A1299" s="67"/>
      <c r="B1299" s="656"/>
    </row>
    <row r="1300" spans="1:2">
      <c r="A1300" s="67"/>
      <c r="B1300" s="656"/>
    </row>
    <row r="1301" spans="1:2">
      <c r="A1301" s="67"/>
      <c r="B1301" s="656"/>
    </row>
    <row r="1302" spans="1:2">
      <c r="A1302" s="67"/>
      <c r="B1302" s="656"/>
    </row>
    <row r="1303" spans="1:2">
      <c r="A1303" s="67"/>
      <c r="B1303" s="656"/>
    </row>
    <row r="1304" spans="1:2">
      <c r="A1304" s="67"/>
      <c r="B1304" s="656"/>
    </row>
    <row r="1305" spans="1:2">
      <c r="A1305" s="67"/>
      <c r="B1305" s="656"/>
    </row>
    <row r="1306" spans="1:2">
      <c r="A1306" s="67"/>
      <c r="B1306" s="656"/>
    </row>
    <row r="1307" spans="1:2">
      <c r="A1307" s="67"/>
      <c r="B1307" s="656"/>
    </row>
    <row r="1308" spans="1:2">
      <c r="A1308" s="67"/>
      <c r="B1308" s="656"/>
    </row>
    <row r="1309" spans="1:2">
      <c r="A1309" s="67"/>
      <c r="B1309" s="656"/>
    </row>
    <row r="1310" spans="1:2">
      <c r="A1310" s="67"/>
      <c r="B1310" s="656"/>
    </row>
    <row r="1311" spans="1:2">
      <c r="A1311" s="67"/>
      <c r="B1311" s="656"/>
    </row>
    <row r="1312" spans="1:2">
      <c r="A1312" s="67"/>
      <c r="B1312" s="656"/>
    </row>
    <row r="1313" spans="1:2">
      <c r="A1313" s="67"/>
      <c r="B1313" s="656"/>
    </row>
    <row r="1314" spans="1:2">
      <c r="A1314" s="67"/>
      <c r="B1314" s="656"/>
    </row>
    <row r="1315" spans="1:2">
      <c r="A1315" s="67"/>
      <c r="B1315" s="656"/>
    </row>
    <row r="1316" spans="1:2">
      <c r="A1316" s="67"/>
      <c r="B1316" s="656"/>
    </row>
    <row r="1317" spans="1:2">
      <c r="A1317" s="67"/>
      <c r="B1317" s="656"/>
    </row>
    <row r="1318" spans="1:2">
      <c r="A1318" s="67"/>
      <c r="B1318" s="656"/>
    </row>
    <row r="1319" spans="1:2">
      <c r="A1319" s="67"/>
      <c r="B1319" s="656"/>
    </row>
    <row r="1320" spans="1:2">
      <c r="A1320" s="67"/>
      <c r="B1320" s="656"/>
    </row>
    <row r="1321" spans="1:2">
      <c r="A1321" s="67"/>
      <c r="B1321" s="656"/>
    </row>
    <row r="1322" spans="1:2">
      <c r="A1322" s="67"/>
      <c r="B1322" s="656"/>
    </row>
    <row r="1323" spans="1:2">
      <c r="A1323" s="67"/>
      <c r="B1323" s="656"/>
    </row>
    <row r="1324" spans="1:2">
      <c r="A1324" s="67"/>
      <c r="B1324" s="656"/>
    </row>
    <row r="1325" spans="1:2">
      <c r="A1325" s="67"/>
      <c r="B1325" s="656"/>
    </row>
    <row r="1326" spans="1:2">
      <c r="A1326" s="67"/>
      <c r="B1326" s="656"/>
    </row>
    <row r="1327" spans="1:2">
      <c r="A1327" s="67"/>
      <c r="B1327" s="656"/>
    </row>
    <row r="1328" spans="1:2">
      <c r="A1328" s="67"/>
      <c r="B1328" s="656"/>
    </row>
    <row r="1329" spans="1:2">
      <c r="A1329" s="67"/>
      <c r="B1329" s="656"/>
    </row>
    <row r="1330" spans="1:2">
      <c r="A1330" s="67"/>
      <c r="B1330" s="656"/>
    </row>
    <row r="1331" spans="1:2">
      <c r="A1331" s="67"/>
      <c r="B1331" s="656"/>
    </row>
    <row r="1332" spans="1:2">
      <c r="A1332" s="67"/>
      <c r="B1332" s="656"/>
    </row>
    <row r="1333" spans="1:2">
      <c r="A1333" s="67"/>
      <c r="B1333" s="656"/>
    </row>
    <row r="1334" spans="1:2">
      <c r="A1334" s="67"/>
      <c r="B1334" s="656"/>
    </row>
    <row r="1335" spans="1:2">
      <c r="A1335" s="67"/>
      <c r="B1335" s="656"/>
    </row>
    <row r="1336" spans="1:2">
      <c r="A1336" s="67"/>
      <c r="B1336" s="656"/>
    </row>
    <row r="1337" spans="1:2">
      <c r="A1337" s="67"/>
      <c r="B1337" s="656"/>
    </row>
    <row r="1338" spans="1:2">
      <c r="A1338" s="67"/>
      <c r="B1338" s="656"/>
    </row>
    <row r="1339" spans="1:2">
      <c r="A1339" s="67"/>
      <c r="B1339" s="656"/>
    </row>
    <row r="1340" spans="1:2">
      <c r="A1340" s="67"/>
      <c r="B1340" s="656"/>
    </row>
    <row r="1341" spans="1:2">
      <c r="A1341" s="67"/>
      <c r="B1341" s="656"/>
    </row>
    <row r="1342" spans="1:2">
      <c r="A1342" s="67"/>
      <c r="B1342" s="656"/>
    </row>
    <row r="1343" spans="1:2">
      <c r="A1343" s="67"/>
      <c r="B1343" s="656"/>
    </row>
    <row r="1344" spans="1:2">
      <c r="A1344" s="67"/>
      <c r="B1344" s="656"/>
    </row>
    <row r="1345" spans="1:2">
      <c r="A1345" s="67"/>
      <c r="B1345" s="656"/>
    </row>
    <row r="1346" spans="1:2">
      <c r="A1346" s="67"/>
      <c r="B1346" s="656"/>
    </row>
    <row r="1347" spans="1:2">
      <c r="A1347" s="67"/>
      <c r="B1347" s="656"/>
    </row>
    <row r="1348" spans="1:2">
      <c r="A1348" s="67"/>
      <c r="B1348" s="656"/>
    </row>
    <row r="1349" spans="1:2">
      <c r="A1349" s="67"/>
      <c r="B1349" s="656"/>
    </row>
    <row r="1350" spans="1:2">
      <c r="A1350" s="67"/>
      <c r="B1350" s="656"/>
    </row>
    <row r="1351" spans="1:2">
      <c r="A1351" s="67"/>
      <c r="B1351" s="656"/>
    </row>
    <row r="1352" spans="1:2">
      <c r="A1352" s="67"/>
      <c r="B1352" s="656"/>
    </row>
    <row r="1353" spans="1:2">
      <c r="A1353" s="67"/>
      <c r="B1353" s="656"/>
    </row>
    <row r="1354" spans="1:2">
      <c r="A1354" s="67"/>
      <c r="B1354" s="656"/>
    </row>
    <row r="1355" spans="1:2">
      <c r="A1355" s="67"/>
      <c r="B1355" s="656"/>
    </row>
    <row r="1356" spans="1:2">
      <c r="A1356" s="67"/>
      <c r="B1356" s="656"/>
    </row>
    <row r="1357" spans="1:2">
      <c r="A1357" s="67"/>
      <c r="B1357" s="656"/>
    </row>
    <row r="1358" spans="1:2">
      <c r="A1358" s="67"/>
      <c r="B1358" s="656"/>
    </row>
    <row r="1359" spans="1:2">
      <c r="A1359" s="67"/>
      <c r="B1359" s="656"/>
    </row>
    <row r="1360" spans="1:2">
      <c r="A1360" s="67"/>
      <c r="B1360" s="656"/>
    </row>
    <row r="1361" spans="1:2">
      <c r="A1361" s="67"/>
      <c r="B1361" s="656"/>
    </row>
    <row r="1362" spans="1:2">
      <c r="A1362" s="67"/>
      <c r="B1362" s="656"/>
    </row>
    <row r="1363" spans="1:2">
      <c r="A1363" s="67"/>
      <c r="B1363" s="656"/>
    </row>
    <row r="1364" spans="1:2">
      <c r="A1364" s="67"/>
      <c r="B1364" s="656"/>
    </row>
    <row r="1365" spans="1:2">
      <c r="A1365" s="67"/>
      <c r="B1365" s="656"/>
    </row>
    <row r="1366" spans="1:2">
      <c r="A1366" s="67"/>
      <c r="B1366" s="656"/>
    </row>
    <row r="1367" spans="1:2">
      <c r="A1367" s="67"/>
      <c r="B1367" s="656"/>
    </row>
    <row r="1368" spans="1:2">
      <c r="A1368" s="67"/>
      <c r="B1368" s="656"/>
    </row>
    <row r="1369" spans="1:2">
      <c r="A1369" s="67"/>
      <c r="B1369" s="656"/>
    </row>
    <row r="1370" spans="1:2">
      <c r="A1370" s="67"/>
      <c r="B1370" s="656"/>
    </row>
    <row r="1371" spans="1:2">
      <c r="A1371" s="67"/>
      <c r="B1371" s="656"/>
    </row>
    <row r="1372" spans="1:2">
      <c r="A1372" s="67"/>
      <c r="B1372" s="656"/>
    </row>
    <row r="1373" spans="1:2">
      <c r="A1373" s="67"/>
      <c r="B1373" s="656"/>
    </row>
    <row r="1374" spans="1:2">
      <c r="A1374" s="67"/>
      <c r="B1374" s="656"/>
    </row>
    <row r="1375" spans="1:2">
      <c r="A1375" s="67"/>
      <c r="B1375" s="656"/>
    </row>
    <row r="1376" spans="1:2">
      <c r="A1376" s="67"/>
      <c r="B1376" s="656"/>
    </row>
    <row r="1377" spans="1:2">
      <c r="A1377" s="67"/>
      <c r="B1377" s="656"/>
    </row>
    <row r="1378" spans="1:2">
      <c r="A1378" s="67"/>
      <c r="B1378" s="656"/>
    </row>
    <row r="1379" spans="1:2">
      <c r="A1379" s="67"/>
      <c r="B1379" s="656"/>
    </row>
    <row r="1380" spans="1:2">
      <c r="A1380" s="67"/>
      <c r="B1380" s="656"/>
    </row>
    <row r="1381" spans="1:2">
      <c r="A1381" s="67"/>
      <c r="B1381" s="656"/>
    </row>
    <row r="1382" spans="1:2">
      <c r="A1382" s="67"/>
      <c r="B1382" s="656"/>
    </row>
    <row r="1383" spans="1:2">
      <c r="A1383" s="67"/>
      <c r="B1383" s="656"/>
    </row>
    <row r="1384" spans="1:2">
      <c r="A1384" s="67"/>
      <c r="B1384" s="656"/>
    </row>
    <row r="1385" spans="1:2">
      <c r="A1385" s="67"/>
      <c r="B1385" s="656"/>
    </row>
    <row r="1386" spans="1:2">
      <c r="A1386" s="67"/>
      <c r="B1386" s="656"/>
    </row>
    <row r="1387" spans="1:2">
      <c r="A1387" s="67"/>
      <c r="B1387" s="656"/>
    </row>
    <row r="1388" spans="1:2">
      <c r="A1388" s="67"/>
      <c r="B1388" s="656"/>
    </row>
    <row r="1389" spans="1:2">
      <c r="A1389" s="67"/>
      <c r="B1389" s="656"/>
    </row>
    <row r="1390" spans="1:2">
      <c r="A1390" s="67"/>
      <c r="B1390" s="656"/>
    </row>
    <row r="1391" spans="1:2">
      <c r="A1391" s="67"/>
      <c r="B1391" s="656"/>
    </row>
    <row r="1392" spans="1:2">
      <c r="A1392" s="67"/>
      <c r="B1392" s="656"/>
    </row>
    <row r="1393" spans="1:2">
      <c r="A1393" s="67"/>
      <c r="B1393" s="656"/>
    </row>
    <row r="1394" spans="1:2">
      <c r="A1394" s="67"/>
      <c r="B1394" s="656"/>
    </row>
    <row r="1395" spans="1:2">
      <c r="A1395" s="67"/>
      <c r="B1395" s="656"/>
    </row>
    <row r="1396" spans="1:2">
      <c r="A1396" s="67"/>
      <c r="B1396" s="656"/>
    </row>
    <row r="1397" spans="1:2">
      <c r="A1397" s="67"/>
      <c r="B1397" s="656"/>
    </row>
    <row r="1398" spans="1:2">
      <c r="A1398" s="67"/>
      <c r="B1398" s="656"/>
    </row>
    <row r="1399" spans="1:2">
      <c r="A1399" s="67"/>
      <c r="B1399" s="656"/>
    </row>
    <row r="1400" spans="1:2">
      <c r="A1400" s="67"/>
      <c r="B1400" s="656"/>
    </row>
    <row r="1401" spans="1:2">
      <c r="A1401" s="67"/>
      <c r="B1401" s="656"/>
    </row>
    <row r="1402" spans="1:2">
      <c r="A1402" s="67"/>
      <c r="B1402" s="656"/>
    </row>
    <row r="1403" spans="1:2">
      <c r="A1403" s="67"/>
      <c r="B1403" s="656"/>
    </row>
    <row r="1404" spans="1:2">
      <c r="A1404" s="67"/>
      <c r="B1404" s="656"/>
    </row>
    <row r="1405" spans="1:2">
      <c r="A1405" s="67"/>
      <c r="B1405" s="656"/>
    </row>
    <row r="1406" spans="1:2">
      <c r="A1406" s="67"/>
      <c r="B1406" s="656"/>
    </row>
    <row r="1407" spans="1:2">
      <c r="A1407" s="67"/>
      <c r="B1407" s="656"/>
    </row>
    <row r="1408" spans="1:2">
      <c r="A1408" s="67"/>
      <c r="B1408" s="656"/>
    </row>
    <row r="1409" spans="1:2">
      <c r="A1409" s="67"/>
      <c r="B1409" s="656"/>
    </row>
    <row r="1410" spans="1:2">
      <c r="A1410" s="67"/>
      <c r="B1410" s="656"/>
    </row>
    <row r="1411" spans="1:2">
      <c r="A1411" s="67"/>
      <c r="B1411" s="656"/>
    </row>
    <row r="1412" spans="1:2">
      <c r="A1412" s="67"/>
      <c r="B1412" s="656"/>
    </row>
    <row r="1413" spans="1:2">
      <c r="A1413" s="67"/>
      <c r="B1413" s="656"/>
    </row>
    <row r="1414" spans="1:2">
      <c r="A1414" s="67"/>
      <c r="B1414" s="656"/>
    </row>
    <row r="1415" spans="1:2">
      <c r="A1415" s="67"/>
      <c r="B1415" s="656"/>
    </row>
    <row r="1416" spans="1:2">
      <c r="A1416" s="67"/>
      <c r="B1416" s="656"/>
    </row>
    <row r="1417" spans="1:2">
      <c r="A1417" s="67"/>
      <c r="B1417" s="656"/>
    </row>
    <row r="1418" spans="1:2">
      <c r="A1418" s="67"/>
      <c r="B1418" s="656"/>
    </row>
    <row r="1419" spans="1:2">
      <c r="A1419" s="67"/>
      <c r="B1419" s="656"/>
    </row>
    <row r="1420" spans="1:2">
      <c r="A1420" s="67"/>
      <c r="B1420" s="656"/>
    </row>
    <row r="1421" spans="1:2">
      <c r="A1421" s="67"/>
      <c r="B1421" s="656"/>
    </row>
    <row r="1422" spans="1:2">
      <c r="A1422" s="67"/>
      <c r="B1422" s="656"/>
    </row>
    <row r="1423" spans="1:2">
      <c r="A1423" s="67"/>
      <c r="B1423" s="656"/>
    </row>
    <row r="1424" spans="1:2">
      <c r="A1424" s="67"/>
      <c r="B1424" s="656"/>
    </row>
    <row r="1425" spans="1:2">
      <c r="A1425" s="67"/>
      <c r="B1425" s="656"/>
    </row>
    <row r="1426" spans="1:2">
      <c r="A1426" s="67"/>
      <c r="B1426" s="656"/>
    </row>
    <row r="1427" spans="1:2">
      <c r="A1427" s="67"/>
      <c r="B1427" s="656"/>
    </row>
    <row r="1428" spans="1:2">
      <c r="A1428" s="67"/>
      <c r="B1428" s="656"/>
    </row>
    <row r="1429" spans="1:2">
      <c r="A1429" s="67"/>
      <c r="B1429" s="656"/>
    </row>
    <row r="1430" spans="1:2">
      <c r="A1430" s="67"/>
      <c r="B1430" s="656"/>
    </row>
    <row r="1431" spans="1:2">
      <c r="A1431" s="67"/>
      <c r="B1431" s="656"/>
    </row>
    <row r="1432" spans="1:2">
      <c r="A1432" s="67"/>
      <c r="B1432" s="656"/>
    </row>
    <row r="1433" spans="1:2">
      <c r="A1433" s="67"/>
      <c r="B1433" s="656"/>
    </row>
    <row r="1434" spans="1:2">
      <c r="A1434" s="67"/>
      <c r="B1434" s="656"/>
    </row>
    <row r="1435" spans="1:2">
      <c r="A1435" s="67"/>
      <c r="B1435" s="656"/>
    </row>
    <row r="1436" spans="1:2">
      <c r="A1436" s="67"/>
      <c r="B1436" s="656"/>
    </row>
    <row r="1437" spans="1:2">
      <c r="A1437" s="67"/>
      <c r="B1437" s="656"/>
    </row>
    <row r="1438" spans="1:2">
      <c r="A1438" s="67"/>
      <c r="B1438" s="656"/>
    </row>
    <row r="1439" spans="1:2">
      <c r="A1439" s="67"/>
      <c r="B1439" s="656"/>
    </row>
    <row r="1440" spans="1:2">
      <c r="A1440" s="67"/>
      <c r="B1440" s="656"/>
    </row>
    <row r="1441" spans="1:2">
      <c r="A1441" s="67"/>
      <c r="B1441" s="656"/>
    </row>
    <row r="1442" spans="1:2">
      <c r="A1442" s="67"/>
      <c r="B1442" s="656"/>
    </row>
    <row r="1443" spans="1:2">
      <c r="A1443" s="67"/>
      <c r="B1443" s="656"/>
    </row>
    <row r="1444" spans="1:2">
      <c r="A1444" s="67"/>
      <c r="B1444" s="656"/>
    </row>
    <row r="1445" spans="1:2">
      <c r="A1445" s="67"/>
      <c r="B1445" s="656"/>
    </row>
    <row r="1446" spans="1:2">
      <c r="A1446" s="67"/>
      <c r="B1446" s="656"/>
    </row>
    <row r="1447" spans="1:2">
      <c r="A1447" s="67"/>
      <c r="B1447" s="656"/>
    </row>
    <row r="1448" spans="1:2">
      <c r="A1448" s="67"/>
      <c r="B1448" s="656"/>
    </row>
    <row r="1449" spans="1:2">
      <c r="A1449" s="67"/>
      <c r="B1449" s="656"/>
    </row>
    <row r="1450" spans="1:2">
      <c r="A1450" s="67"/>
      <c r="B1450" s="656"/>
    </row>
    <row r="1451" spans="1:2">
      <c r="A1451" s="67"/>
      <c r="B1451" s="656"/>
    </row>
    <row r="1452" spans="1:2">
      <c r="A1452" s="67"/>
      <c r="B1452" s="656"/>
    </row>
    <row r="1453" spans="1:2">
      <c r="A1453" s="67"/>
      <c r="B1453" s="656"/>
    </row>
    <row r="1454" spans="1:2">
      <c r="A1454" s="67"/>
      <c r="B1454" s="656"/>
    </row>
    <row r="1455" spans="1:2">
      <c r="A1455" s="67"/>
      <c r="B1455" s="656"/>
    </row>
    <row r="1456" spans="1:2">
      <c r="A1456" s="67"/>
      <c r="B1456" s="656"/>
    </row>
    <row r="1457" spans="1:2">
      <c r="A1457" s="67"/>
      <c r="B1457" s="656"/>
    </row>
    <row r="1458" spans="1:2">
      <c r="A1458" s="67"/>
      <c r="B1458" s="656"/>
    </row>
    <row r="1459" spans="1:2">
      <c r="A1459" s="67"/>
      <c r="B1459" s="656"/>
    </row>
    <row r="1460" spans="1:2">
      <c r="A1460" s="67"/>
      <c r="B1460" s="656"/>
    </row>
    <row r="1461" spans="1:2">
      <c r="A1461" s="67"/>
      <c r="B1461" s="656"/>
    </row>
    <row r="1462" spans="1:2">
      <c r="A1462" s="67"/>
      <c r="B1462" s="656"/>
    </row>
    <row r="1463" spans="1:2">
      <c r="A1463" s="67"/>
      <c r="B1463" s="656"/>
    </row>
    <row r="1464" spans="1:2">
      <c r="A1464" s="67"/>
      <c r="B1464" s="656"/>
    </row>
    <row r="1465" spans="1:2">
      <c r="A1465" s="67"/>
      <c r="B1465" s="656"/>
    </row>
    <row r="1466" spans="1:2">
      <c r="A1466" s="67"/>
      <c r="B1466" s="656"/>
    </row>
    <row r="1467" spans="1:2">
      <c r="A1467" s="67"/>
      <c r="B1467" s="656"/>
    </row>
    <row r="1468" spans="1:2">
      <c r="A1468" s="67"/>
      <c r="B1468" s="656"/>
    </row>
    <row r="1469" spans="1:2">
      <c r="A1469" s="67"/>
      <c r="B1469" s="656"/>
    </row>
    <row r="1470" spans="1:2">
      <c r="A1470" s="67"/>
      <c r="B1470" s="656"/>
    </row>
    <row r="1471" spans="1:2">
      <c r="A1471" s="67"/>
      <c r="B1471" s="656"/>
    </row>
    <row r="1472" spans="1:2">
      <c r="A1472" s="67"/>
      <c r="B1472" s="656"/>
    </row>
    <row r="1473" spans="1:2">
      <c r="A1473" s="67"/>
      <c r="B1473" s="656"/>
    </row>
    <row r="1474" spans="1:2">
      <c r="A1474" s="67"/>
      <c r="B1474" s="656"/>
    </row>
    <row r="1475" spans="1:2">
      <c r="A1475" s="67"/>
      <c r="B1475" s="656"/>
    </row>
    <row r="1476" spans="1:2">
      <c r="A1476" s="67"/>
      <c r="B1476" s="656"/>
    </row>
    <row r="1477" spans="1:2">
      <c r="A1477" s="67"/>
      <c r="B1477" s="656"/>
    </row>
    <row r="1478" spans="1:2">
      <c r="A1478" s="67"/>
      <c r="B1478" s="656"/>
    </row>
    <row r="1479" spans="1:2">
      <c r="A1479" s="67"/>
      <c r="B1479" s="656"/>
    </row>
    <row r="1480" spans="1:2">
      <c r="A1480" s="67"/>
      <c r="B1480" s="656"/>
    </row>
    <row r="1481" spans="1:2">
      <c r="A1481" s="67"/>
      <c r="B1481" s="656"/>
    </row>
    <row r="1482" spans="1:2">
      <c r="A1482" s="67"/>
      <c r="B1482" s="656"/>
    </row>
    <row r="1483" spans="1:2">
      <c r="A1483" s="67"/>
      <c r="B1483" s="656"/>
    </row>
    <row r="1484" spans="1:2">
      <c r="A1484" s="67"/>
      <c r="B1484" s="656"/>
    </row>
    <row r="1485" spans="1:2">
      <c r="A1485" s="67"/>
      <c r="B1485" s="656"/>
    </row>
    <row r="1486" spans="1:2">
      <c r="A1486" s="67"/>
      <c r="B1486" s="656"/>
    </row>
    <row r="1487" spans="1:2">
      <c r="A1487" s="67"/>
      <c r="B1487" s="656"/>
    </row>
    <row r="1488" spans="1:2">
      <c r="A1488" s="67"/>
      <c r="B1488" s="656"/>
    </row>
    <row r="1489" spans="1:2">
      <c r="A1489" s="67"/>
      <c r="B1489" s="656"/>
    </row>
    <row r="1490" spans="1:2">
      <c r="A1490" s="67"/>
      <c r="B1490" s="656"/>
    </row>
    <row r="1491" spans="1:2">
      <c r="A1491" s="67"/>
      <c r="B1491" s="656"/>
    </row>
    <row r="1492" spans="1:2">
      <c r="A1492" s="67"/>
      <c r="B1492" s="656"/>
    </row>
    <row r="1493" spans="1:2">
      <c r="A1493" s="67"/>
      <c r="B1493" s="656"/>
    </row>
    <row r="1494" spans="1:2">
      <c r="A1494" s="67"/>
      <c r="B1494" s="656"/>
    </row>
    <row r="1495" spans="1:2">
      <c r="A1495" s="67"/>
      <c r="B1495" s="656"/>
    </row>
    <row r="1496" spans="1:2">
      <c r="A1496" s="67"/>
      <c r="B1496" s="656"/>
    </row>
    <row r="1497" spans="1:2">
      <c r="A1497" s="67"/>
      <c r="B1497" s="656"/>
    </row>
    <row r="1498" spans="1:2">
      <c r="A1498" s="67"/>
      <c r="B1498" s="656"/>
    </row>
    <row r="1499" spans="1:2">
      <c r="A1499" s="67"/>
      <c r="B1499" s="656"/>
    </row>
    <row r="1500" spans="1:2">
      <c r="A1500" s="67"/>
      <c r="B1500" s="656"/>
    </row>
    <row r="1501" spans="1:2">
      <c r="A1501" s="67"/>
      <c r="B1501" s="656"/>
    </row>
    <row r="1502" spans="1:2">
      <c r="A1502" s="67"/>
      <c r="B1502" s="656"/>
    </row>
    <row r="1503" spans="1:2">
      <c r="A1503" s="67"/>
      <c r="B1503" s="656"/>
    </row>
    <row r="1504" spans="1:2">
      <c r="A1504" s="67"/>
      <c r="B1504" s="656"/>
    </row>
    <row r="1505" spans="1:2">
      <c r="A1505" s="67"/>
      <c r="B1505" s="656"/>
    </row>
    <row r="1506" spans="1:2">
      <c r="A1506" s="67"/>
      <c r="B1506" s="656"/>
    </row>
    <row r="1507" spans="1:2">
      <c r="A1507" s="67"/>
      <c r="B1507" s="656"/>
    </row>
    <row r="1508" spans="1:2">
      <c r="A1508" s="67"/>
      <c r="B1508" s="656"/>
    </row>
    <row r="1509" spans="1:2">
      <c r="A1509" s="67"/>
      <c r="B1509" s="656"/>
    </row>
    <row r="1510" spans="1:2">
      <c r="A1510" s="67"/>
      <c r="B1510" s="656"/>
    </row>
    <row r="1511" spans="1:2">
      <c r="A1511" s="67"/>
      <c r="B1511" s="656"/>
    </row>
    <row r="1512" spans="1:2">
      <c r="A1512" s="67"/>
      <c r="B1512" s="656"/>
    </row>
    <row r="1513" spans="1:2">
      <c r="A1513" s="67"/>
      <c r="B1513" s="656"/>
    </row>
    <row r="1514" spans="1:2">
      <c r="A1514" s="67"/>
      <c r="B1514" s="656"/>
    </row>
    <row r="1515" spans="1:2">
      <c r="A1515" s="67"/>
      <c r="B1515" s="656"/>
    </row>
    <row r="1516" spans="1:2">
      <c r="A1516" s="67"/>
      <c r="B1516" s="656"/>
    </row>
    <row r="1517" spans="1:2">
      <c r="A1517" s="67"/>
      <c r="B1517" s="656"/>
    </row>
    <row r="1518" spans="1:2">
      <c r="A1518" s="67"/>
      <c r="B1518" s="656"/>
    </row>
    <row r="1519" spans="1:2">
      <c r="A1519" s="67"/>
      <c r="B1519" s="656"/>
    </row>
    <row r="1520" spans="1:2">
      <c r="A1520" s="67"/>
      <c r="B1520" s="656"/>
    </row>
    <row r="1521" spans="1:2">
      <c r="A1521" s="67"/>
      <c r="B1521" s="656"/>
    </row>
    <row r="1522" spans="1:2">
      <c r="A1522" s="67"/>
      <c r="B1522" s="656"/>
    </row>
    <row r="1523" spans="1:2">
      <c r="A1523" s="67"/>
      <c r="B1523" s="656"/>
    </row>
    <row r="1524" spans="1:2">
      <c r="A1524" s="67"/>
      <c r="B1524" s="656"/>
    </row>
    <row r="1525" spans="1:2">
      <c r="A1525" s="67"/>
      <c r="B1525" s="656"/>
    </row>
    <row r="1526" spans="1:2">
      <c r="A1526" s="67"/>
      <c r="B1526" s="656"/>
    </row>
    <row r="1527" spans="1:2">
      <c r="A1527" s="67"/>
      <c r="B1527" s="656"/>
    </row>
    <row r="1528" spans="1:2">
      <c r="A1528" s="67"/>
      <c r="B1528" s="656"/>
    </row>
    <row r="1529" spans="1:2">
      <c r="A1529" s="67"/>
      <c r="B1529" s="656"/>
    </row>
    <row r="1530" spans="1:2">
      <c r="A1530" s="67"/>
      <c r="B1530" s="656"/>
    </row>
    <row r="1531" spans="1:2">
      <c r="A1531" s="67"/>
      <c r="B1531" s="656"/>
    </row>
    <row r="1532" spans="1:2">
      <c r="A1532" s="67"/>
      <c r="B1532" s="656"/>
    </row>
    <row r="1533" spans="1:2">
      <c r="A1533" s="67"/>
      <c r="B1533" s="656"/>
    </row>
    <row r="1534" spans="1:2">
      <c r="A1534" s="67"/>
      <c r="B1534" s="656"/>
    </row>
    <row r="1535" spans="1:2">
      <c r="A1535" s="67"/>
      <c r="B1535" s="656"/>
    </row>
    <row r="1536" spans="1:2">
      <c r="A1536" s="67"/>
      <c r="B1536" s="656"/>
    </row>
    <row r="1537" spans="1:2">
      <c r="A1537" s="67"/>
      <c r="B1537" s="656"/>
    </row>
    <row r="1538" spans="1:2">
      <c r="A1538" s="67"/>
      <c r="B1538" s="656"/>
    </row>
    <row r="1539" spans="1:2">
      <c r="A1539" s="67"/>
      <c r="B1539" s="656"/>
    </row>
    <row r="1540" spans="1:2">
      <c r="A1540" s="67"/>
      <c r="B1540" s="656"/>
    </row>
    <row r="1541" spans="1:2">
      <c r="A1541" s="67"/>
      <c r="B1541" s="656"/>
    </row>
    <row r="1542" spans="1:2">
      <c r="A1542" s="67"/>
      <c r="B1542" s="656"/>
    </row>
    <row r="1543" spans="1:2">
      <c r="A1543" s="67"/>
      <c r="B1543" s="656"/>
    </row>
    <row r="1544" spans="1:2">
      <c r="A1544" s="67"/>
      <c r="B1544" s="656"/>
    </row>
    <row r="1545" spans="1:2">
      <c r="A1545" s="67"/>
      <c r="B1545" s="656"/>
    </row>
    <row r="1546" spans="1:2">
      <c r="A1546" s="67"/>
      <c r="B1546" s="656"/>
    </row>
    <row r="1547" spans="1:2">
      <c r="A1547" s="67"/>
      <c r="B1547" s="656"/>
    </row>
    <row r="1548" spans="1:2">
      <c r="A1548" s="67"/>
      <c r="B1548" s="656"/>
    </row>
    <row r="1549" spans="1:2">
      <c r="A1549" s="67"/>
      <c r="B1549" s="656"/>
    </row>
    <row r="1550" spans="1:2">
      <c r="A1550" s="67"/>
      <c r="B1550" s="656"/>
    </row>
    <row r="1551" spans="1:2">
      <c r="A1551" s="67"/>
      <c r="B1551" s="656"/>
    </row>
    <row r="1552" spans="1:2">
      <c r="A1552" s="67"/>
      <c r="B1552" s="656"/>
    </row>
    <row r="1553" spans="1:2">
      <c r="A1553" s="67"/>
      <c r="B1553" s="656"/>
    </row>
    <row r="1554" spans="1:2">
      <c r="A1554" s="67"/>
      <c r="B1554" s="656"/>
    </row>
    <row r="1555" spans="1:2">
      <c r="A1555" s="67"/>
      <c r="B1555" s="656"/>
    </row>
    <row r="1556" spans="1:2">
      <c r="A1556" s="67"/>
      <c r="B1556" s="656"/>
    </row>
    <row r="1557" spans="1:2">
      <c r="A1557" s="67"/>
      <c r="B1557" s="656"/>
    </row>
    <row r="1558" spans="1:2">
      <c r="A1558" s="67"/>
      <c r="B1558" s="656"/>
    </row>
    <row r="1559" spans="1:2">
      <c r="A1559" s="67"/>
      <c r="B1559" s="656"/>
    </row>
    <row r="1560" spans="1:2">
      <c r="A1560" s="67"/>
      <c r="B1560" s="656"/>
    </row>
    <row r="1561" spans="1:2">
      <c r="A1561" s="67"/>
      <c r="B1561" s="656"/>
    </row>
    <row r="1562" spans="1:2">
      <c r="A1562" s="67"/>
      <c r="B1562" s="656"/>
    </row>
    <row r="1563" spans="1:2">
      <c r="A1563" s="67"/>
      <c r="B1563" s="656"/>
    </row>
    <row r="1564" spans="1:2">
      <c r="A1564" s="67"/>
      <c r="B1564" s="656"/>
    </row>
    <row r="1565" spans="1:2">
      <c r="A1565" s="67"/>
      <c r="B1565" s="656"/>
    </row>
    <row r="1566" spans="1:2">
      <c r="A1566" s="67"/>
      <c r="B1566" s="656"/>
    </row>
    <row r="1567" spans="1:2">
      <c r="A1567" s="67"/>
      <c r="B1567" s="656"/>
    </row>
    <row r="1568" spans="1:2">
      <c r="A1568" s="67"/>
      <c r="B1568" s="656"/>
    </row>
    <row r="1569" spans="1:2">
      <c r="A1569" s="67"/>
      <c r="B1569" s="656"/>
    </row>
    <row r="1570" spans="1:2">
      <c r="A1570" s="67"/>
      <c r="B1570" s="656"/>
    </row>
    <row r="1571" spans="1:2">
      <c r="A1571" s="67"/>
      <c r="B1571" s="656"/>
    </row>
    <row r="1572" spans="1:2">
      <c r="A1572" s="67"/>
      <c r="B1572" s="656"/>
    </row>
    <row r="1573" spans="1:2">
      <c r="A1573" s="67"/>
      <c r="B1573" s="656"/>
    </row>
    <row r="1574" spans="1:2">
      <c r="A1574" s="67"/>
      <c r="B1574" s="656"/>
    </row>
    <row r="1575" spans="1:2">
      <c r="A1575" s="67"/>
      <c r="B1575" s="656"/>
    </row>
    <row r="1576" spans="1:2">
      <c r="A1576" s="67"/>
      <c r="B1576" s="656"/>
    </row>
    <row r="1577" spans="1:2">
      <c r="A1577" s="67"/>
      <c r="B1577" s="656"/>
    </row>
    <row r="1578" spans="1:2">
      <c r="A1578" s="67"/>
      <c r="B1578" s="656"/>
    </row>
    <row r="1579" spans="1:2">
      <c r="A1579" s="67"/>
      <c r="B1579" s="656"/>
    </row>
    <row r="1580" spans="1:2">
      <c r="A1580" s="67"/>
      <c r="B1580" s="656"/>
    </row>
    <row r="1581" spans="1:2">
      <c r="A1581" s="67"/>
      <c r="B1581" s="656"/>
    </row>
    <row r="1582" spans="1:2">
      <c r="A1582" s="67"/>
      <c r="B1582" s="656"/>
    </row>
    <row r="1583" spans="1:2">
      <c r="A1583" s="67"/>
      <c r="B1583" s="656"/>
    </row>
    <row r="1584" spans="1:2">
      <c r="A1584" s="67"/>
      <c r="B1584" s="656"/>
    </row>
    <row r="1585" spans="1:2">
      <c r="A1585" s="67"/>
      <c r="B1585" s="656"/>
    </row>
    <row r="1586" spans="1:2">
      <c r="A1586" s="67"/>
      <c r="B1586" s="656"/>
    </row>
    <row r="1587" spans="1:2">
      <c r="A1587" s="67"/>
      <c r="B1587" s="656"/>
    </row>
    <row r="1588" spans="1:2">
      <c r="A1588" s="67"/>
      <c r="B1588" s="656"/>
    </row>
    <row r="1589" spans="1:2">
      <c r="A1589" s="67"/>
      <c r="B1589" s="656"/>
    </row>
    <row r="1590" spans="1:2">
      <c r="A1590" s="67"/>
      <c r="B1590" s="656"/>
    </row>
    <row r="1591" spans="1:2">
      <c r="A1591" s="67"/>
      <c r="B1591" s="656"/>
    </row>
    <row r="1592" spans="1:2">
      <c r="A1592" s="67"/>
      <c r="B1592" s="656"/>
    </row>
    <row r="1593" spans="1:2">
      <c r="A1593" s="67"/>
      <c r="B1593" s="656"/>
    </row>
    <row r="1594" spans="1:2">
      <c r="A1594" s="67"/>
      <c r="B1594" s="656"/>
    </row>
    <row r="1595" spans="1:2">
      <c r="A1595" s="67"/>
      <c r="B1595" s="656"/>
    </row>
    <row r="1596" spans="1:2">
      <c r="A1596" s="67"/>
      <c r="B1596" s="656"/>
    </row>
    <row r="1597" spans="1:2">
      <c r="A1597" s="67"/>
      <c r="B1597" s="656"/>
    </row>
    <row r="1598" spans="1:2">
      <c r="A1598" s="67"/>
      <c r="B1598" s="656"/>
    </row>
    <row r="1599" spans="1:2">
      <c r="A1599" s="67"/>
      <c r="B1599" s="656"/>
    </row>
    <row r="1600" spans="1:2">
      <c r="A1600" s="67"/>
      <c r="B1600" s="656"/>
    </row>
    <row r="1601" spans="1:2">
      <c r="A1601" s="67"/>
      <c r="B1601" s="656"/>
    </row>
    <row r="1602" spans="1:2">
      <c r="A1602" s="67"/>
      <c r="B1602" s="656"/>
    </row>
    <row r="1603" spans="1:2">
      <c r="A1603" s="67"/>
      <c r="B1603" s="656"/>
    </row>
    <row r="1604" spans="1:2">
      <c r="A1604" s="67"/>
      <c r="B1604" s="656"/>
    </row>
    <row r="1605" spans="1:2">
      <c r="A1605" s="67"/>
      <c r="B1605" s="656"/>
    </row>
    <row r="1606" spans="1:2">
      <c r="A1606" s="67"/>
      <c r="B1606" s="656"/>
    </row>
    <row r="1607" spans="1:2">
      <c r="A1607" s="67"/>
      <c r="B1607" s="656"/>
    </row>
    <row r="1608" spans="1:2">
      <c r="A1608" s="67"/>
      <c r="B1608" s="656"/>
    </row>
    <row r="1609" spans="1:2">
      <c r="A1609" s="67"/>
      <c r="B1609" s="656"/>
    </row>
    <row r="1610" spans="1:2">
      <c r="A1610" s="67"/>
      <c r="B1610" s="656"/>
    </row>
    <row r="1611" spans="1:2">
      <c r="A1611" s="67"/>
      <c r="B1611" s="656"/>
    </row>
    <row r="1612" spans="1:2">
      <c r="A1612" s="67"/>
      <c r="B1612" s="656"/>
    </row>
    <row r="1613" spans="1:2">
      <c r="A1613" s="67"/>
      <c r="B1613" s="656"/>
    </row>
    <row r="1614" spans="1:2">
      <c r="A1614" s="67"/>
      <c r="B1614" s="656"/>
    </row>
    <row r="1615" spans="1:2">
      <c r="A1615" s="67"/>
      <c r="B1615" s="656"/>
    </row>
    <row r="1616" spans="1:2">
      <c r="A1616" s="67"/>
      <c r="B1616" s="656"/>
    </row>
    <row r="1617" spans="1:2">
      <c r="A1617" s="67"/>
      <c r="B1617" s="656"/>
    </row>
    <row r="1618" spans="1:2">
      <c r="A1618" s="67"/>
      <c r="B1618" s="656"/>
    </row>
    <row r="1619" spans="1:2">
      <c r="A1619" s="67"/>
      <c r="B1619" s="656"/>
    </row>
    <row r="1620" spans="1:2">
      <c r="A1620" s="67"/>
      <c r="B1620" s="656"/>
    </row>
    <row r="1621" spans="1:2">
      <c r="A1621" s="67"/>
      <c r="B1621" s="656"/>
    </row>
    <row r="1622" spans="1:2">
      <c r="A1622" s="67"/>
      <c r="B1622" s="656"/>
    </row>
    <row r="1623" spans="1:2">
      <c r="A1623" s="67"/>
      <c r="B1623" s="656"/>
    </row>
    <row r="1624" spans="1:2">
      <c r="A1624" s="67"/>
      <c r="B1624" s="656"/>
    </row>
    <row r="1625" spans="1:2">
      <c r="A1625" s="67"/>
      <c r="B1625" s="656"/>
    </row>
    <row r="1626" spans="1:2">
      <c r="A1626" s="67"/>
      <c r="B1626" s="656"/>
    </row>
    <row r="1627" spans="1:2">
      <c r="A1627" s="67"/>
      <c r="B1627" s="656"/>
    </row>
    <row r="1628" spans="1:2">
      <c r="A1628" s="67"/>
      <c r="B1628" s="656"/>
    </row>
    <row r="1629" spans="1:2">
      <c r="A1629" s="67"/>
      <c r="B1629" s="656"/>
    </row>
    <row r="1630" spans="1:2">
      <c r="A1630" s="67"/>
      <c r="B1630" s="656"/>
    </row>
    <row r="1631" spans="1:2">
      <c r="A1631" s="67"/>
      <c r="B1631" s="656"/>
    </row>
    <row r="1632" spans="1:2">
      <c r="A1632" s="67"/>
      <c r="B1632" s="656"/>
    </row>
    <row r="1633" spans="1:2">
      <c r="A1633" s="67"/>
      <c r="B1633" s="656"/>
    </row>
    <row r="1634" spans="1:2">
      <c r="A1634" s="67"/>
      <c r="B1634" s="656"/>
    </row>
    <row r="1635" spans="1:2">
      <c r="A1635" s="67"/>
      <c r="B1635" s="656"/>
    </row>
    <row r="1636" spans="1:2">
      <c r="A1636" s="67"/>
      <c r="B1636" s="656"/>
    </row>
    <row r="1637" spans="1:2">
      <c r="A1637" s="67"/>
      <c r="B1637" s="656"/>
    </row>
    <row r="1638" spans="1:2">
      <c r="A1638" s="67"/>
      <c r="B1638" s="656"/>
    </row>
    <row r="1639" spans="1:2">
      <c r="A1639" s="67"/>
      <c r="B1639" s="656"/>
    </row>
    <row r="1640" spans="1:2">
      <c r="A1640" s="67"/>
      <c r="B1640" s="656"/>
    </row>
    <row r="1641" spans="1:2">
      <c r="A1641" s="67"/>
      <c r="B1641" s="656"/>
    </row>
    <row r="1642" spans="1:2">
      <c r="A1642" s="67"/>
      <c r="B1642" s="656"/>
    </row>
    <row r="1643" spans="1:2">
      <c r="A1643" s="67"/>
      <c r="B1643" s="656"/>
    </row>
    <row r="1644" spans="1:2">
      <c r="A1644" s="67"/>
      <c r="B1644" s="656"/>
    </row>
    <row r="1645" spans="1:2">
      <c r="A1645" s="67"/>
      <c r="B1645" s="656"/>
    </row>
    <row r="1646" spans="1:2">
      <c r="A1646" s="67"/>
      <c r="B1646" s="656"/>
    </row>
    <row r="1647" spans="1:2">
      <c r="A1647" s="67"/>
      <c r="B1647" s="656"/>
    </row>
    <row r="1648" spans="1:2">
      <c r="A1648" s="67"/>
      <c r="B1648" s="656"/>
    </row>
    <row r="1649" spans="1:2">
      <c r="A1649" s="67"/>
      <c r="B1649" s="656"/>
    </row>
    <row r="1650" spans="1:2">
      <c r="A1650" s="67"/>
      <c r="B1650" s="656"/>
    </row>
    <row r="1651" spans="1:2">
      <c r="A1651" s="67"/>
      <c r="B1651" s="656"/>
    </row>
    <row r="1652" spans="1:2">
      <c r="A1652" s="67"/>
      <c r="B1652" s="656"/>
    </row>
    <row r="1653" spans="1:2">
      <c r="A1653" s="67"/>
      <c r="B1653" s="656"/>
    </row>
    <row r="1654" spans="1:2">
      <c r="A1654" s="67"/>
      <c r="B1654" s="656"/>
    </row>
    <row r="1655" spans="1:2">
      <c r="A1655" s="67"/>
      <c r="B1655" s="656"/>
    </row>
    <row r="1656" spans="1:2">
      <c r="A1656" s="67"/>
      <c r="B1656" s="656"/>
    </row>
    <row r="1657" spans="1:2">
      <c r="A1657" s="67"/>
      <c r="B1657" s="656"/>
    </row>
    <row r="1658" spans="1:2">
      <c r="A1658" s="67"/>
      <c r="B1658" s="656"/>
    </row>
    <row r="1659" spans="1:2">
      <c r="A1659" s="67"/>
      <c r="B1659" s="656"/>
    </row>
    <row r="1660" spans="1:2">
      <c r="A1660" s="67"/>
      <c r="B1660" s="656"/>
    </row>
    <row r="1661" spans="1:2">
      <c r="A1661" s="67"/>
      <c r="B1661" s="656"/>
    </row>
    <row r="1662" spans="1:2">
      <c r="A1662" s="67"/>
      <c r="B1662" s="656"/>
    </row>
    <row r="1663" spans="1:2">
      <c r="A1663" s="67"/>
      <c r="B1663" s="656"/>
    </row>
    <row r="1664" spans="1:2">
      <c r="A1664" s="67"/>
      <c r="B1664" s="656"/>
    </row>
    <row r="1665" spans="1:2">
      <c r="A1665" s="67"/>
      <c r="B1665" s="656"/>
    </row>
    <row r="1666" spans="1:2">
      <c r="A1666" s="67"/>
      <c r="B1666" s="656"/>
    </row>
    <row r="1667" spans="1:2">
      <c r="A1667" s="67"/>
      <c r="B1667" s="656"/>
    </row>
    <row r="1668" spans="1:2">
      <c r="A1668" s="67"/>
      <c r="B1668" s="656"/>
    </row>
    <row r="1669" spans="1:2">
      <c r="A1669" s="67"/>
      <c r="B1669" s="656"/>
    </row>
    <row r="1670" spans="1:2">
      <c r="A1670" s="67"/>
      <c r="B1670" s="656"/>
    </row>
    <row r="1671" spans="1:2">
      <c r="A1671" s="67"/>
      <c r="B1671" s="656"/>
    </row>
    <row r="1672" spans="1:2">
      <c r="A1672" s="67"/>
      <c r="B1672" s="656"/>
    </row>
    <row r="1673" spans="1:2">
      <c r="A1673" s="67"/>
      <c r="B1673" s="656"/>
    </row>
    <row r="1674" spans="1:2">
      <c r="A1674" s="67"/>
      <c r="B1674" s="656"/>
    </row>
    <row r="1675" spans="1:2">
      <c r="A1675" s="67"/>
      <c r="B1675" s="656"/>
    </row>
    <row r="1676" spans="1:2">
      <c r="A1676" s="67"/>
      <c r="B1676" s="656"/>
    </row>
    <row r="1677" spans="1:2">
      <c r="A1677" s="67"/>
      <c r="B1677" s="656"/>
    </row>
    <row r="1678" spans="1:2">
      <c r="A1678" s="67"/>
      <c r="B1678" s="656"/>
    </row>
    <row r="1679" spans="1:2">
      <c r="A1679" s="67"/>
      <c r="B1679" s="656"/>
    </row>
    <row r="1680" spans="1:2">
      <c r="A1680" s="67"/>
      <c r="B1680" s="656"/>
    </row>
    <row r="1681" spans="1:2">
      <c r="A1681" s="67"/>
      <c r="B1681" s="656"/>
    </row>
    <row r="1682" spans="1:2">
      <c r="A1682" s="67"/>
      <c r="B1682" s="656"/>
    </row>
    <row r="1683" spans="1:2">
      <c r="A1683" s="67"/>
      <c r="B1683" s="656"/>
    </row>
    <row r="1684" spans="1:2">
      <c r="A1684" s="67"/>
      <c r="B1684" s="656"/>
    </row>
    <row r="1685" spans="1:2">
      <c r="A1685" s="67"/>
      <c r="B1685" s="656"/>
    </row>
    <row r="1686" spans="1:2">
      <c r="A1686" s="67"/>
      <c r="B1686" s="656"/>
    </row>
    <row r="1687" spans="1:2">
      <c r="A1687" s="67"/>
      <c r="B1687" s="656"/>
    </row>
    <row r="1688" spans="1:2">
      <c r="A1688" s="67"/>
      <c r="B1688" s="656"/>
    </row>
    <row r="1689" spans="1:2">
      <c r="A1689" s="67"/>
      <c r="B1689" s="656"/>
    </row>
    <row r="1690" spans="1:2">
      <c r="A1690" s="67"/>
      <c r="B1690" s="656"/>
    </row>
    <row r="1691" spans="1:2">
      <c r="A1691" s="67"/>
      <c r="B1691" s="656"/>
    </row>
    <row r="1692" spans="1:2">
      <c r="A1692" s="67"/>
      <c r="B1692" s="656"/>
    </row>
    <row r="1693" spans="1:2">
      <c r="A1693" s="67"/>
      <c r="B1693" s="656"/>
    </row>
    <row r="1694" spans="1:2">
      <c r="A1694" s="67"/>
      <c r="B1694" s="656"/>
    </row>
    <row r="1695" spans="1:2">
      <c r="A1695" s="67"/>
      <c r="B1695" s="656"/>
    </row>
    <row r="1696" spans="1:2">
      <c r="A1696" s="67"/>
      <c r="B1696" s="656"/>
    </row>
    <row r="1697" spans="1:2">
      <c r="A1697" s="67"/>
      <c r="B1697" s="656"/>
    </row>
    <row r="1698" spans="1:2">
      <c r="A1698" s="67"/>
      <c r="B1698" s="656"/>
    </row>
    <row r="1699" spans="1:2">
      <c r="A1699" s="67"/>
      <c r="B1699" s="656"/>
    </row>
    <row r="1700" spans="1:2">
      <c r="A1700" s="67"/>
      <c r="B1700" s="656"/>
    </row>
    <row r="1701" spans="1:2">
      <c r="A1701" s="67"/>
      <c r="B1701" s="656"/>
    </row>
    <row r="1702" spans="1:2">
      <c r="A1702" s="67"/>
      <c r="B1702" s="656"/>
    </row>
    <row r="1703" spans="1:2">
      <c r="A1703" s="67"/>
      <c r="B1703" s="656"/>
    </row>
    <row r="1704" spans="1:2">
      <c r="A1704" s="67"/>
      <c r="B1704" s="656"/>
    </row>
    <row r="1705" spans="1:2">
      <c r="A1705" s="67"/>
      <c r="B1705" s="656"/>
    </row>
    <row r="1706" spans="1:2">
      <c r="A1706" s="67"/>
      <c r="B1706" s="656"/>
    </row>
    <row r="1707" spans="1:2">
      <c r="A1707" s="67"/>
      <c r="B1707" s="656"/>
    </row>
    <row r="1708" spans="1:2">
      <c r="A1708" s="67"/>
      <c r="B1708" s="656"/>
    </row>
    <row r="1709" spans="1:2">
      <c r="A1709" s="67"/>
      <c r="B1709" s="656"/>
    </row>
    <row r="1710" spans="1:2">
      <c r="A1710" s="67"/>
      <c r="B1710" s="656"/>
    </row>
    <row r="1711" spans="1:2">
      <c r="A1711" s="67"/>
      <c r="B1711" s="656"/>
    </row>
    <row r="1712" spans="1:2">
      <c r="A1712" s="67"/>
      <c r="B1712" s="656"/>
    </row>
    <row r="1713" spans="1:2">
      <c r="A1713" s="67"/>
      <c r="B1713" s="656"/>
    </row>
    <row r="1714" spans="1:2">
      <c r="A1714" s="67"/>
      <c r="B1714" s="656"/>
    </row>
    <row r="1715" spans="1:2">
      <c r="A1715" s="67"/>
      <c r="B1715" s="656"/>
    </row>
    <row r="1716" spans="1:2">
      <c r="A1716" s="67"/>
      <c r="B1716" s="656"/>
    </row>
    <row r="1717" spans="1:2">
      <c r="A1717" s="67"/>
      <c r="B1717" s="656"/>
    </row>
    <row r="1718" spans="1:2">
      <c r="A1718" s="67"/>
      <c r="B1718" s="656"/>
    </row>
    <row r="1719" spans="1:2">
      <c r="A1719" s="67"/>
      <c r="B1719" s="656"/>
    </row>
    <row r="1720" spans="1:2">
      <c r="A1720" s="67"/>
      <c r="B1720" s="656"/>
    </row>
    <row r="1721" spans="1:2">
      <c r="A1721" s="67"/>
      <c r="B1721" s="656"/>
    </row>
    <row r="1722" spans="1:2">
      <c r="A1722" s="67"/>
      <c r="B1722" s="656"/>
    </row>
    <row r="1723" spans="1:2">
      <c r="A1723" s="67"/>
      <c r="B1723" s="656"/>
    </row>
    <row r="1724" spans="1:2">
      <c r="A1724" s="67"/>
      <c r="B1724" s="656"/>
    </row>
    <row r="1725" spans="1:2">
      <c r="A1725" s="67"/>
      <c r="B1725" s="656"/>
    </row>
    <row r="1726" spans="1:2">
      <c r="A1726" s="67"/>
      <c r="B1726" s="656"/>
    </row>
    <row r="1727" spans="1:2">
      <c r="A1727" s="67"/>
      <c r="B1727" s="656"/>
    </row>
    <row r="1728" spans="1:2">
      <c r="A1728" s="67"/>
      <c r="B1728" s="656"/>
    </row>
    <row r="1729" spans="1:2">
      <c r="A1729" s="67"/>
      <c r="B1729" s="656"/>
    </row>
    <row r="1730" spans="1:2">
      <c r="A1730" s="67"/>
      <c r="B1730" s="656"/>
    </row>
    <row r="1731" spans="1:2">
      <c r="A1731" s="67"/>
      <c r="B1731" s="656"/>
    </row>
    <row r="1732" spans="1:2">
      <c r="A1732" s="67"/>
      <c r="B1732" s="656"/>
    </row>
    <row r="1733" spans="1:2">
      <c r="A1733" s="67"/>
      <c r="B1733" s="656"/>
    </row>
    <row r="1734" spans="1:2">
      <c r="A1734" s="67"/>
      <c r="B1734" s="656"/>
    </row>
    <row r="1735" spans="1:2">
      <c r="A1735" s="67"/>
      <c r="B1735" s="656"/>
    </row>
    <row r="1736" spans="1:2">
      <c r="A1736" s="67"/>
      <c r="B1736" s="656"/>
    </row>
    <row r="1737" spans="1:2">
      <c r="A1737" s="67"/>
      <c r="B1737" s="656"/>
    </row>
    <row r="1738" spans="1:2">
      <c r="A1738" s="67"/>
      <c r="B1738" s="656"/>
    </row>
    <row r="1739" spans="1:2">
      <c r="A1739" s="67"/>
      <c r="B1739" s="656"/>
    </row>
    <row r="1740" spans="1:2">
      <c r="A1740" s="67"/>
      <c r="B1740" s="656"/>
    </row>
    <row r="1741" spans="1:2">
      <c r="A1741" s="67"/>
      <c r="B1741" s="656"/>
    </row>
    <row r="1742" spans="1:2">
      <c r="A1742" s="67"/>
      <c r="B1742" s="656"/>
    </row>
    <row r="1743" spans="1:2">
      <c r="A1743" s="67"/>
      <c r="B1743" s="656"/>
    </row>
    <row r="1744" spans="1:2">
      <c r="A1744" s="67"/>
      <c r="B1744" s="656"/>
    </row>
    <row r="1745" spans="1:2">
      <c r="A1745" s="67"/>
      <c r="B1745" s="656"/>
    </row>
    <row r="1746" spans="1:2">
      <c r="A1746" s="67"/>
      <c r="B1746" s="656"/>
    </row>
    <row r="1747" spans="1:2">
      <c r="A1747" s="67"/>
      <c r="B1747" s="656"/>
    </row>
    <row r="1748" spans="1:2">
      <c r="A1748" s="67"/>
      <c r="B1748" s="656"/>
    </row>
    <row r="1749" spans="1:2">
      <c r="A1749" s="67"/>
      <c r="B1749" s="656"/>
    </row>
    <row r="1750" spans="1:2">
      <c r="A1750" s="67"/>
      <c r="B1750" s="656"/>
    </row>
    <row r="1751" spans="1:2">
      <c r="A1751" s="67"/>
      <c r="B1751" s="656"/>
    </row>
    <row r="1752" spans="1:2">
      <c r="A1752" s="67"/>
      <c r="B1752" s="656"/>
    </row>
    <row r="1753" spans="1:2">
      <c r="A1753" s="67"/>
      <c r="B1753" s="656"/>
    </row>
    <row r="1754" spans="1:2">
      <c r="A1754" s="67"/>
      <c r="B1754" s="656"/>
    </row>
    <row r="1755" spans="1:2">
      <c r="A1755" s="67"/>
      <c r="B1755" s="656"/>
    </row>
    <row r="1756" spans="1:2">
      <c r="A1756" s="67"/>
      <c r="B1756" s="656"/>
    </row>
    <row r="1757" spans="1:2">
      <c r="A1757" s="67"/>
      <c r="B1757" s="656"/>
    </row>
    <row r="1758" spans="1:2">
      <c r="A1758" s="67"/>
      <c r="B1758" s="656"/>
    </row>
    <row r="1759" spans="1:2">
      <c r="A1759" s="67"/>
      <c r="B1759" s="656"/>
    </row>
    <row r="1760" spans="1:2">
      <c r="A1760" s="67"/>
      <c r="B1760" s="656"/>
    </row>
    <row r="1761" spans="1:2">
      <c r="A1761" s="67"/>
      <c r="B1761" s="656"/>
    </row>
    <row r="1762" spans="1:2">
      <c r="A1762" s="67"/>
      <c r="B1762" s="656"/>
    </row>
    <row r="1763" spans="1:2">
      <c r="A1763" s="67"/>
      <c r="B1763" s="656"/>
    </row>
    <row r="1764" spans="1:2">
      <c r="A1764" s="67"/>
      <c r="B1764" s="656"/>
    </row>
    <row r="1765" spans="1:2">
      <c r="A1765" s="67"/>
      <c r="B1765" s="656"/>
    </row>
    <row r="1766" spans="1:2">
      <c r="A1766" s="67"/>
      <c r="B1766" s="656"/>
    </row>
    <row r="1767" spans="1:2">
      <c r="A1767" s="67"/>
      <c r="B1767" s="656"/>
    </row>
    <row r="1768" spans="1:2">
      <c r="A1768" s="67"/>
      <c r="B1768" s="656"/>
    </row>
    <row r="1769" spans="1:2">
      <c r="A1769" s="67"/>
      <c r="B1769" s="656"/>
    </row>
    <row r="1770" spans="1:2">
      <c r="A1770" s="67"/>
      <c r="B1770" s="656"/>
    </row>
    <row r="1771" spans="1:2">
      <c r="A1771" s="67"/>
      <c r="B1771" s="656"/>
    </row>
    <row r="1772" spans="1:2">
      <c r="A1772" s="67"/>
      <c r="B1772" s="656"/>
    </row>
    <row r="1773" spans="1:2">
      <c r="A1773" s="67"/>
      <c r="B1773" s="656"/>
    </row>
    <row r="1774" spans="1:2">
      <c r="A1774" s="67"/>
      <c r="B1774" s="656"/>
    </row>
    <row r="1775" spans="1:2">
      <c r="A1775" s="67"/>
      <c r="B1775" s="656"/>
    </row>
    <row r="1776" spans="1:2">
      <c r="A1776" s="67"/>
      <c r="B1776" s="656"/>
    </row>
    <row r="1777" spans="1:2">
      <c r="A1777" s="67"/>
      <c r="B1777" s="656"/>
    </row>
    <row r="1778" spans="1:2">
      <c r="A1778" s="67"/>
      <c r="B1778" s="656"/>
    </row>
    <row r="1779" spans="1:2">
      <c r="A1779" s="67"/>
      <c r="B1779" s="656"/>
    </row>
    <row r="1780" spans="1:2">
      <c r="A1780" s="67"/>
      <c r="B1780" s="656"/>
    </row>
    <row r="1781" spans="1:2">
      <c r="A1781" s="67"/>
      <c r="B1781" s="656"/>
    </row>
    <row r="1782" spans="1:2">
      <c r="A1782" s="67"/>
      <c r="B1782" s="656"/>
    </row>
    <row r="1783" spans="1:2">
      <c r="A1783" s="67"/>
      <c r="B1783" s="656"/>
    </row>
    <row r="1784" spans="1:2">
      <c r="A1784" s="67"/>
      <c r="B1784" s="656"/>
    </row>
    <row r="1785" spans="1:2">
      <c r="A1785" s="67"/>
      <c r="B1785" s="656"/>
    </row>
    <row r="1786" spans="1:2">
      <c r="A1786" s="67"/>
      <c r="B1786" s="656"/>
    </row>
    <row r="1787" spans="1:2">
      <c r="A1787" s="67"/>
      <c r="B1787" s="656"/>
    </row>
    <row r="1788" spans="1:2">
      <c r="A1788" s="67"/>
      <c r="B1788" s="656"/>
    </row>
    <row r="1789" spans="1:2">
      <c r="A1789" s="67"/>
      <c r="B1789" s="656"/>
    </row>
    <row r="1790" spans="1:2">
      <c r="A1790" s="67"/>
      <c r="B1790" s="656"/>
    </row>
    <row r="1791" spans="1:2">
      <c r="A1791" s="67"/>
      <c r="B1791" s="656"/>
    </row>
    <row r="1792" spans="1:2">
      <c r="A1792" s="67"/>
      <c r="B1792" s="656"/>
    </row>
    <row r="1793" spans="1:2">
      <c r="A1793" s="67"/>
      <c r="B1793" s="656"/>
    </row>
    <row r="1794" spans="1:2">
      <c r="A1794" s="67"/>
      <c r="B1794" s="656"/>
    </row>
    <row r="1795" spans="1:2">
      <c r="A1795" s="67"/>
      <c r="B1795" s="656"/>
    </row>
    <row r="1796" spans="1:2">
      <c r="A1796" s="67"/>
      <c r="B1796" s="656"/>
    </row>
    <row r="1797" spans="1:2">
      <c r="A1797" s="67"/>
      <c r="B1797" s="656"/>
    </row>
    <row r="1798" spans="1:2">
      <c r="A1798" s="67"/>
      <c r="B1798" s="656"/>
    </row>
    <row r="1799" spans="1:2">
      <c r="A1799" s="67"/>
      <c r="B1799" s="656"/>
    </row>
    <row r="1800" spans="1:2">
      <c r="A1800" s="67"/>
      <c r="B1800" s="656"/>
    </row>
    <row r="1801" spans="1:2">
      <c r="A1801" s="67"/>
      <c r="B1801" s="656"/>
    </row>
    <row r="1802" spans="1:2">
      <c r="A1802" s="67"/>
      <c r="B1802" s="656"/>
    </row>
    <row r="1803" spans="1:2">
      <c r="A1803" s="67"/>
      <c r="B1803" s="656"/>
    </row>
    <row r="1804" spans="1:2">
      <c r="A1804" s="67"/>
      <c r="B1804" s="656"/>
    </row>
    <row r="1805" spans="1:2">
      <c r="A1805" s="67"/>
      <c r="B1805" s="656"/>
    </row>
    <row r="1806" spans="1:2">
      <c r="A1806" s="67"/>
      <c r="B1806" s="656"/>
    </row>
    <row r="1807" spans="1:2">
      <c r="A1807" s="67"/>
      <c r="B1807" s="656"/>
    </row>
    <row r="1808" spans="1:2">
      <c r="A1808" s="67"/>
      <c r="B1808" s="656"/>
    </row>
    <row r="1809" spans="1:2">
      <c r="A1809" s="67"/>
      <c r="B1809" s="656"/>
    </row>
    <row r="1810" spans="1:2">
      <c r="A1810" s="67"/>
      <c r="B1810" s="656"/>
    </row>
    <row r="1811" spans="1:2">
      <c r="A1811" s="67"/>
      <c r="B1811" s="656"/>
    </row>
    <row r="1812" spans="1:2">
      <c r="A1812" s="67"/>
      <c r="B1812" s="656"/>
    </row>
    <row r="1813" spans="1:2">
      <c r="A1813" s="67"/>
      <c r="B1813" s="656"/>
    </row>
    <row r="1814" spans="1:2">
      <c r="A1814" s="67"/>
      <c r="B1814" s="656"/>
    </row>
    <row r="1815" spans="1:2">
      <c r="A1815" s="67"/>
      <c r="B1815" s="656"/>
    </row>
    <row r="1816" spans="1:2">
      <c r="A1816" s="67"/>
      <c r="B1816" s="656"/>
    </row>
    <row r="1817" spans="1:2">
      <c r="A1817" s="67"/>
      <c r="B1817" s="656"/>
    </row>
    <row r="1818" spans="1:2">
      <c r="A1818" s="67"/>
      <c r="B1818" s="656"/>
    </row>
    <row r="1819" spans="1:2">
      <c r="A1819" s="67"/>
      <c r="B1819" s="656"/>
    </row>
    <row r="1820" spans="1:2">
      <c r="A1820" s="67"/>
      <c r="B1820" s="656"/>
    </row>
    <row r="1821" spans="1:2">
      <c r="A1821" s="67"/>
      <c r="B1821" s="656"/>
    </row>
    <row r="1822" spans="1:2">
      <c r="A1822" s="67"/>
      <c r="B1822" s="656"/>
    </row>
    <row r="1823" spans="1:2">
      <c r="A1823" s="67"/>
      <c r="B1823" s="656"/>
    </row>
    <row r="1824" spans="1:2">
      <c r="A1824" s="67"/>
      <c r="B1824" s="656"/>
    </row>
    <row r="1825" spans="1:2">
      <c r="A1825" s="67"/>
      <c r="B1825" s="656"/>
    </row>
    <row r="1826" spans="1:2">
      <c r="A1826" s="67"/>
      <c r="B1826" s="656"/>
    </row>
    <row r="1827" spans="1:2">
      <c r="A1827" s="67"/>
      <c r="B1827" s="656"/>
    </row>
    <row r="1828" spans="1:2">
      <c r="A1828" s="67"/>
      <c r="B1828" s="656"/>
    </row>
    <row r="1829" spans="1:2">
      <c r="A1829" s="67"/>
      <c r="B1829" s="656"/>
    </row>
    <row r="1830" spans="1:2">
      <c r="A1830" s="67"/>
      <c r="B1830" s="656"/>
    </row>
    <row r="1831" spans="1:2">
      <c r="A1831" s="67"/>
      <c r="B1831" s="656"/>
    </row>
    <row r="1832" spans="1:2">
      <c r="A1832" s="67"/>
      <c r="B1832" s="656"/>
    </row>
    <row r="1833" spans="1:2">
      <c r="A1833" s="67"/>
      <c r="B1833" s="656"/>
    </row>
    <row r="1834" spans="1:2">
      <c r="A1834" s="67"/>
      <c r="B1834" s="656"/>
    </row>
    <row r="1835" spans="1:2">
      <c r="A1835" s="67"/>
      <c r="B1835" s="656"/>
    </row>
    <row r="1836" spans="1:2">
      <c r="A1836" s="67"/>
      <c r="B1836" s="656"/>
    </row>
    <row r="1837" spans="1:2">
      <c r="A1837" s="67"/>
      <c r="B1837" s="656"/>
    </row>
    <row r="1838" spans="1:2">
      <c r="A1838" s="67"/>
      <c r="B1838" s="656"/>
    </row>
    <row r="1839" spans="1:2">
      <c r="A1839" s="67"/>
      <c r="B1839" s="656"/>
    </row>
    <row r="1840" spans="1:2">
      <c r="A1840" s="67"/>
      <c r="B1840" s="656"/>
    </row>
    <row r="1841" spans="1:2">
      <c r="A1841" s="67"/>
      <c r="B1841" s="656"/>
    </row>
    <row r="1842" spans="1:2">
      <c r="A1842" s="67"/>
      <c r="B1842" s="656"/>
    </row>
    <row r="1843" spans="1:2">
      <c r="A1843" s="67"/>
      <c r="B1843" s="656"/>
    </row>
    <row r="1844" spans="1:2">
      <c r="A1844" s="67"/>
      <c r="B1844" s="656"/>
    </row>
    <row r="1845" spans="1:2">
      <c r="A1845" s="67"/>
      <c r="B1845" s="656"/>
    </row>
    <row r="1846" spans="1:2">
      <c r="A1846" s="67"/>
      <c r="B1846" s="656"/>
    </row>
    <row r="1847" spans="1:2">
      <c r="A1847" s="67"/>
      <c r="B1847" s="656"/>
    </row>
    <row r="1848" spans="1:2">
      <c r="A1848" s="67"/>
      <c r="B1848" s="656"/>
    </row>
    <row r="1849" spans="1:2">
      <c r="A1849" s="67"/>
      <c r="B1849" s="656"/>
    </row>
    <row r="1850" spans="1:2">
      <c r="A1850" s="67"/>
      <c r="B1850" s="656"/>
    </row>
    <row r="1851" spans="1:2">
      <c r="A1851" s="67"/>
      <c r="B1851" s="656"/>
    </row>
    <row r="1852" spans="1:2">
      <c r="A1852" s="67"/>
      <c r="B1852" s="656"/>
    </row>
    <row r="1853" spans="1:2">
      <c r="A1853" s="67"/>
      <c r="B1853" s="656"/>
    </row>
    <row r="1854" spans="1:2">
      <c r="A1854" s="67"/>
      <c r="B1854" s="656"/>
    </row>
    <row r="1855" spans="1:2">
      <c r="A1855" s="67"/>
      <c r="B1855" s="656"/>
    </row>
    <row r="1856" spans="1:2">
      <c r="A1856" s="67"/>
      <c r="B1856" s="656"/>
    </row>
    <row r="1857" spans="1:2">
      <c r="A1857" s="67"/>
      <c r="B1857" s="656"/>
    </row>
    <row r="1858" spans="1:2">
      <c r="A1858" s="67"/>
      <c r="B1858" s="656"/>
    </row>
    <row r="1859" spans="1:2">
      <c r="A1859" s="67"/>
      <c r="B1859" s="656"/>
    </row>
    <row r="1860" spans="1:2">
      <c r="A1860" s="67"/>
      <c r="B1860" s="656"/>
    </row>
    <row r="1861" spans="1:2">
      <c r="A1861" s="67"/>
      <c r="B1861" s="656"/>
    </row>
    <row r="1862" spans="1:2">
      <c r="A1862" s="67"/>
      <c r="B1862" s="656"/>
    </row>
    <row r="1863" spans="1:2">
      <c r="A1863" s="67"/>
      <c r="B1863" s="656"/>
    </row>
    <row r="1864" spans="1:2">
      <c r="A1864" s="67"/>
      <c r="B1864" s="656"/>
    </row>
    <row r="1865" spans="1:2">
      <c r="A1865" s="67"/>
      <c r="B1865" s="656"/>
    </row>
    <row r="1866" spans="1:2">
      <c r="A1866" s="67"/>
      <c r="B1866" s="656"/>
    </row>
    <row r="1867" spans="1:2">
      <c r="A1867" s="67"/>
      <c r="B1867" s="656"/>
    </row>
    <row r="1868" spans="1:2">
      <c r="A1868" s="67"/>
      <c r="B1868" s="656"/>
    </row>
    <row r="1869" spans="1:2">
      <c r="A1869" s="67"/>
      <c r="B1869" s="656"/>
    </row>
    <row r="1870" spans="1:2">
      <c r="A1870" s="67"/>
      <c r="B1870" s="656"/>
    </row>
    <row r="1871" spans="1:2">
      <c r="A1871" s="67"/>
      <c r="B1871" s="656"/>
    </row>
    <row r="1872" spans="1:2">
      <c r="A1872" s="67"/>
      <c r="B1872" s="656"/>
    </row>
    <row r="1873" spans="1:2">
      <c r="A1873" s="67"/>
      <c r="B1873" s="656"/>
    </row>
    <row r="1874" spans="1:2">
      <c r="A1874" s="67"/>
      <c r="B1874" s="656"/>
    </row>
    <row r="1875" spans="1:2">
      <c r="A1875" s="67"/>
      <c r="B1875" s="656"/>
    </row>
    <row r="1876" spans="1:2">
      <c r="A1876" s="67"/>
      <c r="B1876" s="656"/>
    </row>
    <row r="1877" spans="1:2">
      <c r="A1877" s="67"/>
      <c r="B1877" s="656"/>
    </row>
    <row r="1878" spans="1:2">
      <c r="A1878" s="67"/>
      <c r="B1878" s="656"/>
    </row>
    <row r="1879" spans="1:2">
      <c r="A1879" s="67"/>
      <c r="B1879" s="656"/>
    </row>
    <row r="1880" spans="1:2">
      <c r="A1880" s="67"/>
      <c r="B1880" s="656"/>
    </row>
    <row r="1881" spans="1:2">
      <c r="A1881" s="67"/>
      <c r="B1881" s="656"/>
    </row>
    <row r="1882" spans="1:2">
      <c r="A1882" s="67"/>
      <c r="B1882" s="656"/>
    </row>
    <row r="1883" spans="1:2">
      <c r="A1883" s="67"/>
      <c r="B1883" s="656"/>
    </row>
    <row r="1884" spans="1:2">
      <c r="A1884" s="67"/>
      <c r="B1884" s="656"/>
    </row>
    <row r="1885" spans="1:2">
      <c r="A1885" s="67"/>
      <c r="B1885" s="656"/>
    </row>
    <row r="1886" spans="1:2">
      <c r="A1886" s="67"/>
      <c r="B1886" s="656"/>
    </row>
    <row r="1887" spans="1:2">
      <c r="A1887" s="67"/>
      <c r="B1887" s="656"/>
    </row>
    <row r="1888" spans="1:2">
      <c r="A1888" s="67"/>
      <c r="B1888" s="656"/>
    </row>
    <row r="1889" spans="1:2">
      <c r="A1889" s="67"/>
      <c r="B1889" s="656"/>
    </row>
    <row r="1890" spans="1:2">
      <c r="A1890" s="67"/>
      <c r="B1890" s="656"/>
    </row>
    <row r="1891" spans="1:2">
      <c r="A1891" s="67"/>
      <c r="B1891" s="656"/>
    </row>
    <row r="1892" spans="1:2">
      <c r="A1892" s="67"/>
      <c r="B1892" s="656"/>
    </row>
    <row r="1893" spans="1:2">
      <c r="A1893" s="67"/>
      <c r="B1893" s="656"/>
    </row>
    <row r="1894" spans="1:2">
      <c r="A1894" s="67"/>
      <c r="B1894" s="656"/>
    </row>
    <row r="1895" spans="1:2">
      <c r="A1895" s="67"/>
      <c r="B1895" s="656"/>
    </row>
    <row r="1896" spans="1:2">
      <c r="A1896" s="67"/>
      <c r="B1896" s="656"/>
    </row>
    <row r="1897" spans="1:2">
      <c r="A1897" s="67"/>
      <c r="B1897" s="656"/>
    </row>
    <row r="1898" spans="1:2">
      <c r="A1898" s="67"/>
      <c r="B1898" s="656"/>
    </row>
    <row r="1899" spans="1:2">
      <c r="A1899" s="67"/>
      <c r="B1899" s="656"/>
    </row>
    <row r="1900" spans="1:2">
      <c r="A1900" s="67"/>
      <c r="B1900" s="656"/>
    </row>
    <row r="1901" spans="1:2">
      <c r="A1901" s="67"/>
      <c r="B1901" s="656"/>
    </row>
    <row r="1902" spans="1:2">
      <c r="A1902" s="67"/>
      <c r="B1902" s="656"/>
    </row>
    <row r="1903" spans="1:2">
      <c r="A1903" s="67"/>
      <c r="B1903" s="656"/>
    </row>
    <row r="1904" spans="1:2">
      <c r="A1904" s="67"/>
      <c r="B1904" s="656"/>
    </row>
    <row r="1905" spans="1:2">
      <c r="A1905" s="67"/>
      <c r="B1905" s="656"/>
    </row>
    <row r="1906" spans="1:2">
      <c r="A1906" s="67"/>
      <c r="B1906" s="656"/>
    </row>
    <row r="1907" spans="1:2">
      <c r="A1907" s="67"/>
      <c r="B1907" s="656"/>
    </row>
    <row r="1908" spans="1:2">
      <c r="A1908" s="67"/>
      <c r="B1908" s="656"/>
    </row>
    <row r="1909" spans="1:2">
      <c r="A1909" s="67"/>
      <c r="B1909" s="656"/>
    </row>
    <row r="1910" spans="1:2">
      <c r="A1910" s="67"/>
      <c r="B1910" s="656"/>
    </row>
    <row r="1911" spans="1:2">
      <c r="A1911" s="67"/>
      <c r="B1911" s="656"/>
    </row>
    <row r="1912" spans="1:2">
      <c r="A1912" s="67"/>
      <c r="B1912" s="656"/>
    </row>
    <row r="1913" spans="1:2">
      <c r="A1913" s="67"/>
      <c r="B1913" s="656"/>
    </row>
    <row r="1914" spans="1:2">
      <c r="A1914" s="67"/>
      <c r="B1914" s="656"/>
    </row>
    <row r="1915" spans="1:2">
      <c r="A1915" s="67"/>
      <c r="B1915" s="656"/>
    </row>
    <row r="1916" spans="1:2">
      <c r="A1916" s="67"/>
      <c r="B1916" s="656"/>
    </row>
    <row r="1917" spans="1:2">
      <c r="A1917" s="67"/>
      <c r="B1917" s="656"/>
    </row>
    <row r="1918" spans="1:2">
      <c r="A1918" s="67"/>
      <c r="B1918" s="656"/>
    </row>
    <row r="1919" spans="1:2">
      <c r="A1919" s="67"/>
      <c r="B1919" s="656"/>
    </row>
    <row r="1920" spans="1:2">
      <c r="A1920" s="67"/>
      <c r="B1920" s="656"/>
    </row>
    <row r="1921" spans="1:2">
      <c r="A1921" s="67"/>
      <c r="B1921" s="656"/>
    </row>
    <row r="1922" spans="1:2">
      <c r="A1922" s="67"/>
      <c r="B1922" s="656"/>
    </row>
    <row r="1923" spans="1:2">
      <c r="A1923" s="67"/>
      <c r="B1923" s="656"/>
    </row>
    <row r="1924" spans="1:2">
      <c r="A1924" s="67"/>
      <c r="B1924" s="656"/>
    </row>
    <row r="1925" spans="1:2">
      <c r="A1925" s="67"/>
      <c r="B1925" s="656"/>
    </row>
    <row r="1926" spans="1:2">
      <c r="A1926" s="67"/>
      <c r="B1926" s="656"/>
    </row>
    <row r="1927" spans="1:2">
      <c r="A1927" s="67"/>
      <c r="B1927" s="656"/>
    </row>
    <row r="1928" spans="1:2">
      <c r="A1928" s="67"/>
      <c r="B1928" s="656"/>
    </row>
    <row r="1929" spans="1:2">
      <c r="A1929" s="67"/>
      <c r="B1929" s="656"/>
    </row>
    <row r="1930" spans="1:2">
      <c r="A1930" s="67"/>
      <c r="B1930" s="656"/>
    </row>
    <row r="1931" spans="1:2">
      <c r="A1931" s="67"/>
      <c r="B1931" s="656"/>
    </row>
    <row r="1932" spans="1:2">
      <c r="A1932" s="67"/>
      <c r="B1932" s="656"/>
    </row>
    <row r="1933" spans="1:2">
      <c r="A1933" s="67"/>
      <c r="B1933" s="656"/>
    </row>
    <row r="1934" spans="1:2">
      <c r="A1934" s="67"/>
      <c r="B1934" s="656"/>
    </row>
    <row r="1935" spans="1:2">
      <c r="A1935" s="67"/>
      <c r="B1935" s="656"/>
    </row>
    <row r="1936" spans="1:2">
      <c r="A1936" s="67"/>
      <c r="B1936" s="656"/>
    </row>
    <row r="1937" spans="1:2">
      <c r="A1937" s="67"/>
      <c r="B1937" s="656"/>
    </row>
    <row r="1938" spans="1:2">
      <c r="A1938" s="67"/>
      <c r="B1938" s="656"/>
    </row>
    <row r="1939" spans="1:2">
      <c r="A1939" s="67"/>
      <c r="B1939" s="656"/>
    </row>
    <row r="1940" spans="1:2">
      <c r="A1940" s="67"/>
      <c r="B1940" s="656"/>
    </row>
    <row r="1941" spans="1:2">
      <c r="A1941" s="67"/>
      <c r="B1941" s="656"/>
    </row>
    <row r="1942" spans="1:2">
      <c r="A1942" s="67"/>
      <c r="B1942" s="656"/>
    </row>
    <row r="1943" spans="1:2">
      <c r="A1943" s="67"/>
      <c r="B1943" s="656"/>
    </row>
    <row r="1944" spans="1:2">
      <c r="A1944" s="67"/>
      <c r="B1944" s="656"/>
    </row>
    <row r="1945" spans="1:2">
      <c r="A1945" s="67"/>
      <c r="B1945" s="656"/>
    </row>
    <row r="1946" spans="1:2">
      <c r="A1946" s="67"/>
      <c r="B1946" s="656"/>
    </row>
    <row r="1947" spans="1:2">
      <c r="A1947" s="67"/>
      <c r="B1947" s="656"/>
    </row>
    <row r="1948" spans="1:2">
      <c r="A1948" s="67"/>
      <c r="B1948" s="656"/>
    </row>
    <row r="1949" spans="1:2">
      <c r="A1949" s="67"/>
      <c r="B1949" s="656"/>
    </row>
    <row r="1950" spans="1:2">
      <c r="A1950" s="67"/>
      <c r="B1950" s="656"/>
    </row>
    <row r="1951" spans="1:2">
      <c r="A1951" s="67"/>
      <c r="B1951" s="656"/>
    </row>
    <row r="1952" spans="1:2">
      <c r="A1952" s="67"/>
      <c r="B1952" s="656"/>
    </row>
    <row r="1953" spans="1:2">
      <c r="A1953" s="67"/>
      <c r="B1953" s="656"/>
    </row>
    <row r="1954" spans="1:2">
      <c r="A1954" s="67"/>
      <c r="B1954" s="656"/>
    </row>
    <row r="1955" spans="1:2">
      <c r="A1955" s="67"/>
      <c r="B1955" s="656"/>
    </row>
    <row r="1956" spans="1:2">
      <c r="A1956" s="67"/>
      <c r="B1956" s="656"/>
    </row>
    <row r="1957" spans="1:2">
      <c r="A1957" s="67"/>
      <c r="B1957" s="656"/>
    </row>
    <row r="1958" spans="1:2">
      <c r="A1958" s="67"/>
      <c r="B1958" s="656"/>
    </row>
    <row r="1959" spans="1:2">
      <c r="A1959" s="67"/>
      <c r="B1959" s="656"/>
    </row>
    <row r="1960" spans="1:2">
      <c r="A1960" s="67"/>
      <c r="B1960" s="656"/>
    </row>
    <row r="1961" spans="1:2">
      <c r="A1961" s="67"/>
      <c r="B1961" s="656"/>
    </row>
    <row r="1962" spans="1:2">
      <c r="A1962" s="67"/>
      <c r="B1962" s="656"/>
    </row>
    <row r="1963" spans="1:2">
      <c r="A1963" s="67"/>
      <c r="B1963" s="656"/>
    </row>
    <row r="1964" spans="1:2">
      <c r="A1964" s="67"/>
      <c r="B1964" s="656"/>
    </row>
    <row r="1965" spans="1:2">
      <c r="A1965" s="67"/>
      <c r="B1965" s="656"/>
    </row>
    <row r="1966" spans="1:2">
      <c r="A1966" s="67"/>
      <c r="B1966" s="656"/>
    </row>
    <row r="1967" spans="1:2">
      <c r="A1967" s="67"/>
      <c r="B1967" s="656"/>
    </row>
    <row r="1968" spans="1:2">
      <c r="A1968" s="67"/>
      <c r="B1968" s="656"/>
    </row>
    <row r="1969" spans="1:2">
      <c r="A1969" s="67"/>
      <c r="B1969" s="656"/>
    </row>
    <row r="1970" spans="1:2">
      <c r="A1970" s="67"/>
      <c r="B1970" s="656"/>
    </row>
    <row r="1971" spans="1:2">
      <c r="A1971" s="67"/>
      <c r="B1971" s="656"/>
    </row>
    <row r="1972" spans="1:2">
      <c r="A1972" s="67"/>
      <c r="B1972" s="656"/>
    </row>
    <row r="1973" spans="1:2">
      <c r="A1973" s="67"/>
      <c r="B1973" s="656"/>
    </row>
    <row r="1974" spans="1:2">
      <c r="A1974" s="67"/>
      <c r="B1974" s="656"/>
    </row>
    <row r="1975" spans="1:2">
      <c r="A1975" s="67"/>
      <c r="B1975" s="656"/>
    </row>
    <row r="1976" spans="1:2">
      <c r="A1976" s="67"/>
      <c r="B1976" s="656"/>
    </row>
    <row r="1977" spans="1:2">
      <c r="A1977" s="67"/>
      <c r="B1977" s="656"/>
    </row>
    <row r="1978" spans="1:2">
      <c r="A1978" s="67"/>
      <c r="B1978" s="656"/>
    </row>
    <row r="1979" spans="1:2">
      <c r="A1979" s="67"/>
      <c r="B1979" s="656"/>
    </row>
    <row r="1980" spans="1:2">
      <c r="A1980" s="67"/>
      <c r="B1980" s="656"/>
    </row>
    <row r="1981" spans="1:2">
      <c r="A1981" s="67"/>
      <c r="B1981" s="656"/>
    </row>
    <row r="1982" spans="1:2">
      <c r="A1982" s="67"/>
      <c r="B1982" s="656"/>
    </row>
    <row r="1983" spans="1:2">
      <c r="A1983" s="67"/>
      <c r="B1983" s="656"/>
    </row>
    <row r="1984" spans="1:2">
      <c r="A1984" s="67"/>
      <c r="B1984" s="656"/>
    </row>
    <row r="1985" spans="1:2">
      <c r="A1985" s="67"/>
      <c r="B1985" s="656"/>
    </row>
    <row r="1986" spans="1:2">
      <c r="A1986" s="67"/>
      <c r="B1986" s="656"/>
    </row>
    <row r="1987" spans="1:2">
      <c r="A1987" s="67"/>
      <c r="B1987" s="656"/>
    </row>
    <row r="1988" spans="1:2">
      <c r="A1988" s="67"/>
      <c r="B1988" s="656"/>
    </row>
    <row r="1989" spans="1:2">
      <c r="A1989" s="67"/>
      <c r="B1989" s="656"/>
    </row>
    <row r="1990" spans="1:2">
      <c r="A1990" s="67"/>
      <c r="B1990" s="656"/>
    </row>
    <row r="1991" spans="1:2">
      <c r="A1991" s="67"/>
      <c r="B1991" s="656"/>
    </row>
    <row r="1992" spans="1:2">
      <c r="A1992" s="67"/>
      <c r="B1992" s="656"/>
    </row>
    <row r="1993" spans="1:2">
      <c r="A1993" s="67"/>
      <c r="B1993" s="656"/>
    </row>
    <row r="1994" spans="1:2">
      <c r="A1994" s="67"/>
      <c r="B1994" s="656"/>
    </row>
    <row r="1995" spans="1:2">
      <c r="A1995" s="67"/>
      <c r="B1995" s="656"/>
    </row>
    <row r="1996" spans="1:2">
      <c r="A1996" s="67"/>
      <c r="B1996" s="656"/>
    </row>
    <row r="1997" spans="1:2">
      <c r="A1997" s="67"/>
      <c r="B1997" s="656"/>
    </row>
    <row r="1998" spans="1:2">
      <c r="A1998" s="67"/>
      <c r="B1998" s="656"/>
    </row>
    <row r="1999" spans="1:2">
      <c r="A1999" s="67"/>
      <c r="B1999" s="656"/>
    </row>
    <row r="2000" spans="1:2">
      <c r="A2000" s="67"/>
      <c r="B2000" s="656"/>
    </row>
    <row r="2001" spans="1:2">
      <c r="A2001" s="67"/>
      <c r="B2001" s="656"/>
    </row>
    <row r="2002" spans="1:2">
      <c r="A2002" s="67"/>
      <c r="B2002" s="656"/>
    </row>
    <row r="2003" spans="1:2">
      <c r="A2003" s="67"/>
      <c r="B2003" s="656"/>
    </row>
    <row r="2004" spans="1:2">
      <c r="A2004" s="67"/>
      <c r="B2004" s="656"/>
    </row>
    <row r="2005" spans="1:2">
      <c r="A2005" s="67"/>
      <c r="B2005" s="656"/>
    </row>
    <row r="2006" spans="1:2">
      <c r="A2006" s="67"/>
      <c r="B2006" s="656"/>
    </row>
    <row r="2007" spans="1:2">
      <c r="A2007" s="67"/>
      <c r="B2007" s="656"/>
    </row>
    <row r="2008" spans="1:2">
      <c r="A2008" s="67"/>
      <c r="B2008" s="656"/>
    </row>
    <row r="2009" spans="1:2">
      <c r="A2009" s="67"/>
      <c r="B2009" s="656"/>
    </row>
    <row r="2010" spans="1:2">
      <c r="A2010" s="67"/>
      <c r="B2010" s="656"/>
    </row>
    <row r="2011" spans="1:2">
      <c r="A2011" s="67"/>
      <c r="B2011" s="656"/>
    </row>
    <row r="2012" spans="1:2">
      <c r="A2012" s="67"/>
      <c r="B2012" s="656"/>
    </row>
    <row r="2013" spans="1:2">
      <c r="A2013" s="67"/>
      <c r="B2013" s="656"/>
    </row>
    <row r="2014" spans="1:2">
      <c r="A2014" s="67"/>
      <c r="B2014" s="656"/>
    </row>
    <row r="2015" spans="1:2">
      <c r="A2015" s="67"/>
      <c r="B2015" s="656"/>
    </row>
    <row r="2016" spans="1:2">
      <c r="A2016" s="67"/>
      <c r="B2016" s="656"/>
    </row>
    <row r="2017" spans="1:2">
      <c r="A2017" s="67"/>
      <c r="B2017" s="656"/>
    </row>
    <row r="2018" spans="1:2">
      <c r="A2018" s="67"/>
      <c r="B2018" s="656"/>
    </row>
    <row r="2019" spans="1:2">
      <c r="A2019" s="67"/>
      <c r="B2019" s="656"/>
    </row>
    <row r="2020" spans="1:2">
      <c r="A2020" s="67"/>
      <c r="B2020" s="656"/>
    </row>
    <row r="2021" spans="1:2">
      <c r="A2021" s="67"/>
      <c r="B2021" s="656"/>
    </row>
    <row r="2022" spans="1:2">
      <c r="A2022" s="67"/>
      <c r="B2022" s="656"/>
    </row>
    <row r="2023" spans="1:2">
      <c r="A2023" s="67"/>
      <c r="B2023" s="656"/>
    </row>
    <row r="2024" spans="1:2">
      <c r="A2024" s="67"/>
      <c r="B2024" s="656"/>
    </row>
    <row r="2025" spans="1:2">
      <c r="A2025" s="67"/>
      <c r="B2025" s="656"/>
    </row>
    <row r="2026" spans="1:2">
      <c r="A2026" s="67"/>
      <c r="B2026" s="656"/>
    </row>
    <row r="2027" spans="1:2">
      <c r="A2027" s="67"/>
      <c r="B2027" s="656"/>
    </row>
    <row r="2028" spans="1:2">
      <c r="A2028" s="67"/>
      <c r="B2028" s="656"/>
    </row>
    <row r="2029" spans="1:2">
      <c r="A2029" s="67"/>
      <c r="B2029" s="656"/>
    </row>
    <row r="2030" spans="1:2">
      <c r="A2030" s="67"/>
      <c r="B2030" s="656"/>
    </row>
    <row r="2031" spans="1:2">
      <c r="A2031" s="67"/>
      <c r="B2031" s="656"/>
    </row>
    <row r="2032" spans="1:2">
      <c r="A2032" s="67"/>
      <c r="B2032" s="656"/>
    </row>
    <row r="2033" spans="1:2">
      <c r="A2033" s="67"/>
      <c r="B2033" s="656"/>
    </row>
    <row r="2034" spans="1:2">
      <c r="A2034" s="67"/>
      <c r="B2034" s="656"/>
    </row>
    <row r="2035" spans="1:2">
      <c r="A2035" s="67"/>
      <c r="B2035" s="656"/>
    </row>
    <row r="2036" spans="1:2">
      <c r="A2036" s="67"/>
      <c r="B2036" s="656"/>
    </row>
    <row r="2037" spans="1:2">
      <c r="A2037" s="67"/>
      <c r="B2037" s="656"/>
    </row>
    <row r="2038" spans="1:2">
      <c r="A2038" s="67"/>
      <c r="B2038" s="656"/>
    </row>
    <row r="2039" spans="1:2">
      <c r="A2039" s="67"/>
      <c r="B2039" s="656"/>
    </row>
    <row r="2040" spans="1:2">
      <c r="A2040" s="67"/>
      <c r="B2040" s="656"/>
    </row>
    <row r="2041" spans="1:2">
      <c r="A2041" s="67"/>
      <c r="B2041" s="656"/>
    </row>
    <row r="2042" spans="1:2">
      <c r="A2042" s="67"/>
      <c r="B2042" s="656"/>
    </row>
    <row r="2043" spans="1:2">
      <c r="A2043" s="67"/>
      <c r="B2043" s="656"/>
    </row>
    <row r="2044" spans="1:2">
      <c r="A2044" s="67"/>
      <c r="B2044" s="656"/>
    </row>
    <row r="2045" spans="1:2">
      <c r="A2045" s="67"/>
      <c r="B2045" s="656"/>
    </row>
    <row r="2046" spans="1:2">
      <c r="A2046" s="67"/>
      <c r="B2046" s="656"/>
    </row>
    <row r="2047" spans="1:2">
      <c r="A2047" s="67"/>
      <c r="B2047" s="656"/>
    </row>
    <row r="2048" spans="1:2">
      <c r="A2048" s="67"/>
      <c r="B2048" s="656"/>
    </row>
    <row r="2049" spans="1:2">
      <c r="A2049" s="67"/>
      <c r="B2049" s="656"/>
    </row>
    <row r="2050" spans="1:2">
      <c r="A2050" s="67"/>
      <c r="B2050" s="656"/>
    </row>
    <row r="2051" spans="1:2">
      <c r="A2051" s="67"/>
      <c r="B2051" s="656"/>
    </row>
    <row r="2052" spans="1:2">
      <c r="A2052" s="67"/>
      <c r="B2052" s="656"/>
    </row>
    <row r="2053" spans="1:2">
      <c r="A2053" s="67"/>
      <c r="B2053" s="656"/>
    </row>
    <row r="2054" spans="1:2">
      <c r="A2054" s="67"/>
      <c r="B2054" s="656"/>
    </row>
    <row r="2055" spans="1:2">
      <c r="A2055" s="67"/>
      <c r="B2055" s="656"/>
    </row>
    <row r="2056" spans="1:2">
      <c r="A2056" s="67"/>
      <c r="B2056" s="656"/>
    </row>
    <row r="2057" spans="1:2">
      <c r="A2057" s="67"/>
      <c r="B2057" s="656"/>
    </row>
    <row r="2058" spans="1:2">
      <c r="A2058" s="67"/>
      <c r="B2058" s="656"/>
    </row>
    <row r="2059" spans="1:2">
      <c r="A2059" s="67"/>
      <c r="B2059" s="656"/>
    </row>
    <row r="2060" spans="1:2">
      <c r="A2060" s="67"/>
      <c r="B2060" s="656"/>
    </row>
    <row r="2061" spans="1:2">
      <c r="A2061" s="67"/>
      <c r="B2061" s="656"/>
    </row>
    <row r="2062" spans="1:2">
      <c r="A2062" s="67"/>
      <c r="B2062" s="656"/>
    </row>
    <row r="2063" spans="1:2">
      <c r="A2063" s="67"/>
      <c r="B2063" s="656"/>
    </row>
    <row r="2064" spans="1:2">
      <c r="A2064" s="67"/>
      <c r="B2064" s="656"/>
    </row>
    <row r="2065" spans="1:2">
      <c r="A2065" s="67"/>
      <c r="B2065" s="656"/>
    </row>
    <row r="2066" spans="1:2">
      <c r="A2066" s="67"/>
      <c r="B2066" s="656"/>
    </row>
    <row r="2067" spans="1:2">
      <c r="A2067" s="67"/>
      <c r="B2067" s="656"/>
    </row>
    <row r="2068" spans="1:2">
      <c r="A2068" s="67"/>
      <c r="B2068" s="656"/>
    </row>
    <row r="2069" spans="1:2">
      <c r="A2069" s="67"/>
      <c r="B2069" s="656"/>
    </row>
    <row r="2070" spans="1:2">
      <c r="A2070" s="67"/>
      <c r="B2070" s="656"/>
    </row>
    <row r="2071" spans="1:2">
      <c r="A2071" s="67"/>
      <c r="B2071" s="656"/>
    </row>
    <row r="2072" spans="1:2">
      <c r="A2072" s="67"/>
      <c r="B2072" s="656"/>
    </row>
    <row r="2073" spans="1:2">
      <c r="A2073" s="67"/>
      <c r="B2073" s="656"/>
    </row>
    <row r="2074" spans="1:2">
      <c r="A2074" s="67"/>
      <c r="B2074" s="656"/>
    </row>
    <row r="2075" spans="1:2">
      <c r="A2075" s="67"/>
      <c r="B2075" s="656"/>
    </row>
    <row r="2076" spans="1:2">
      <c r="A2076" s="67"/>
      <c r="B2076" s="656"/>
    </row>
    <row r="2077" spans="1:2">
      <c r="A2077" s="67"/>
      <c r="B2077" s="656"/>
    </row>
    <row r="2078" spans="1:2">
      <c r="A2078" s="67"/>
      <c r="B2078" s="656"/>
    </row>
    <row r="2079" spans="1:2">
      <c r="A2079" s="67"/>
      <c r="B2079" s="656"/>
    </row>
    <row r="2080" spans="1:2">
      <c r="A2080" s="67"/>
      <c r="B2080" s="656"/>
    </row>
    <row r="2081" spans="1:2">
      <c r="A2081" s="67"/>
      <c r="B2081" s="656"/>
    </row>
    <row r="2082" spans="1:2">
      <c r="A2082" s="67"/>
      <c r="B2082" s="656"/>
    </row>
    <row r="2083" spans="1:2">
      <c r="A2083" s="67"/>
      <c r="B2083" s="656"/>
    </row>
    <row r="2084" spans="1:2">
      <c r="A2084" s="67"/>
      <c r="B2084" s="656"/>
    </row>
    <row r="2085" spans="1:2">
      <c r="A2085" s="67"/>
      <c r="B2085" s="656"/>
    </row>
    <row r="2086" spans="1:2">
      <c r="A2086" s="67"/>
      <c r="B2086" s="656"/>
    </row>
    <row r="2087" spans="1:2">
      <c r="A2087" s="67"/>
      <c r="B2087" s="656"/>
    </row>
    <row r="2088" spans="1:2">
      <c r="A2088" s="67"/>
      <c r="B2088" s="656"/>
    </row>
    <row r="2089" spans="1:2">
      <c r="A2089" s="67"/>
      <c r="B2089" s="656"/>
    </row>
    <row r="2090" spans="1:2">
      <c r="A2090" s="67"/>
      <c r="B2090" s="656"/>
    </row>
    <row r="2091" spans="1:2">
      <c r="A2091" s="67"/>
      <c r="B2091" s="656"/>
    </row>
    <row r="2092" spans="1:2">
      <c r="A2092" s="67"/>
      <c r="B2092" s="656"/>
    </row>
    <row r="2093" spans="1:2">
      <c r="A2093" s="67"/>
      <c r="B2093" s="656"/>
    </row>
    <row r="2094" spans="1:2">
      <c r="A2094" s="67"/>
      <c r="B2094" s="656"/>
    </row>
    <row r="2095" spans="1:2">
      <c r="A2095" s="67"/>
      <c r="B2095" s="656"/>
    </row>
    <row r="2096" spans="1:2">
      <c r="A2096" s="67"/>
      <c r="B2096" s="656"/>
    </row>
    <row r="2097" spans="1:2">
      <c r="A2097" s="67"/>
      <c r="B2097" s="656"/>
    </row>
    <row r="2098" spans="1:2">
      <c r="A2098" s="67"/>
      <c r="B2098" s="656"/>
    </row>
    <row r="2099" spans="1:2">
      <c r="A2099" s="67"/>
      <c r="B2099" s="656"/>
    </row>
    <row r="2100" spans="1:2">
      <c r="A2100" s="67"/>
      <c r="B2100" s="656"/>
    </row>
    <row r="2101" spans="1:2">
      <c r="A2101" s="67"/>
      <c r="B2101" s="656"/>
    </row>
    <row r="2102" spans="1:2">
      <c r="A2102" s="67"/>
      <c r="B2102" s="656"/>
    </row>
    <row r="2103" spans="1:2">
      <c r="A2103" s="67"/>
      <c r="B2103" s="656"/>
    </row>
    <row r="2104" spans="1:2">
      <c r="A2104" s="67"/>
      <c r="B2104" s="656"/>
    </row>
    <row r="2105" spans="1:2">
      <c r="A2105" s="67"/>
      <c r="B2105" s="656"/>
    </row>
    <row r="2106" spans="1:2">
      <c r="A2106" s="67"/>
      <c r="B2106" s="656"/>
    </row>
    <row r="2107" spans="1:2">
      <c r="A2107" s="67"/>
      <c r="B2107" s="656"/>
    </row>
    <row r="2108" spans="1:2">
      <c r="A2108" s="67"/>
      <c r="B2108" s="656"/>
    </row>
    <row r="2109" spans="1:2">
      <c r="A2109" s="67"/>
      <c r="B2109" s="656"/>
    </row>
    <row r="2110" spans="1:2">
      <c r="A2110" s="67"/>
      <c r="B2110" s="656"/>
    </row>
    <row r="2111" spans="1:2">
      <c r="A2111" s="67"/>
      <c r="B2111" s="656"/>
    </row>
    <row r="2112" spans="1:2">
      <c r="A2112" s="67"/>
      <c r="B2112" s="656"/>
    </row>
    <row r="2113" spans="1:2">
      <c r="A2113" s="67"/>
      <c r="B2113" s="656"/>
    </row>
    <row r="2114" spans="1:2">
      <c r="A2114" s="67"/>
      <c r="B2114" s="656"/>
    </row>
    <row r="2115" spans="1:2">
      <c r="A2115" s="67"/>
      <c r="B2115" s="656"/>
    </row>
    <row r="2116" spans="1:2">
      <c r="A2116" s="67"/>
      <c r="B2116" s="656"/>
    </row>
    <row r="2117" spans="1:2">
      <c r="A2117" s="67"/>
      <c r="B2117" s="656"/>
    </row>
    <row r="2118" spans="1:2">
      <c r="A2118" s="67"/>
      <c r="B2118" s="656"/>
    </row>
    <row r="2119" spans="1:2">
      <c r="A2119" s="67"/>
      <c r="B2119" s="656"/>
    </row>
    <row r="2120" spans="1:2">
      <c r="A2120" s="67"/>
      <c r="B2120" s="656"/>
    </row>
    <row r="2121" spans="1:2">
      <c r="A2121" s="67"/>
      <c r="B2121" s="656"/>
    </row>
    <row r="2122" spans="1:2">
      <c r="A2122" s="67"/>
      <c r="B2122" s="656"/>
    </row>
    <row r="2123" spans="1:2">
      <c r="A2123" s="67"/>
      <c r="B2123" s="656"/>
    </row>
    <row r="2124" spans="1:2">
      <c r="A2124" s="67"/>
      <c r="B2124" s="656"/>
    </row>
    <row r="2125" spans="1:2">
      <c r="A2125" s="67"/>
      <c r="B2125" s="656"/>
    </row>
    <row r="2126" spans="1:2">
      <c r="A2126" s="67"/>
      <c r="B2126" s="656"/>
    </row>
    <row r="2127" spans="1:2">
      <c r="A2127" s="67"/>
      <c r="B2127" s="656"/>
    </row>
    <row r="2128" spans="1:2">
      <c r="A2128" s="67"/>
      <c r="B2128" s="656"/>
    </row>
    <row r="2129" spans="1:2">
      <c r="A2129" s="67"/>
      <c r="B2129" s="656"/>
    </row>
    <row r="2130" spans="1:2">
      <c r="A2130" s="67"/>
      <c r="B2130" s="656"/>
    </row>
    <row r="2131" spans="1:2">
      <c r="A2131" s="67"/>
      <c r="B2131" s="656"/>
    </row>
    <row r="2132" spans="1:2">
      <c r="A2132" s="67"/>
      <c r="B2132" s="656"/>
    </row>
    <row r="2133" spans="1:2">
      <c r="A2133" s="67"/>
      <c r="B2133" s="656"/>
    </row>
    <row r="2134" spans="1:2">
      <c r="A2134" s="67"/>
      <c r="B2134" s="656"/>
    </row>
    <row r="2135" spans="1:2">
      <c r="A2135" s="67"/>
      <c r="B2135" s="656"/>
    </row>
    <row r="2136" spans="1:2">
      <c r="A2136" s="67"/>
      <c r="B2136" s="656"/>
    </row>
    <row r="2137" spans="1:2">
      <c r="A2137" s="67"/>
      <c r="B2137" s="656"/>
    </row>
    <row r="2138" spans="1:2">
      <c r="A2138" s="67"/>
      <c r="B2138" s="656"/>
    </row>
    <row r="2139" spans="1:2">
      <c r="A2139" s="67"/>
      <c r="B2139" s="656"/>
    </row>
    <row r="2140" spans="1:2">
      <c r="A2140" s="67"/>
      <c r="B2140" s="656"/>
    </row>
    <row r="2141" spans="1:2">
      <c r="A2141" s="67"/>
      <c r="B2141" s="656"/>
    </row>
    <row r="2142" spans="1:2">
      <c r="A2142" s="67"/>
      <c r="B2142" s="656"/>
    </row>
    <row r="2143" spans="1:2">
      <c r="A2143" s="67"/>
      <c r="B2143" s="656"/>
    </row>
    <row r="2144" spans="1:2">
      <c r="A2144" s="67"/>
      <c r="B2144" s="656"/>
    </row>
    <row r="2145" spans="1:2">
      <c r="A2145" s="67"/>
      <c r="B2145" s="656"/>
    </row>
    <row r="2146" spans="1:2">
      <c r="A2146" s="67"/>
      <c r="B2146" s="656"/>
    </row>
    <row r="2147" spans="1:2">
      <c r="A2147" s="67"/>
      <c r="B2147" s="656"/>
    </row>
    <row r="2148" spans="1:2">
      <c r="A2148" s="67"/>
      <c r="B2148" s="656"/>
    </row>
    <row r="2149" spans="1:2">
      <c r="A2149" s="67"/>
      <c r="B2149" s="656"/>
    </row>
    <row r="2150" spans="1:2">
      <c r="A2150" s="67"/>
      <c r="B2150" s="656"/>
    </row>
    <row r="2151" spans="1:2">
      <c r="A2151" s="67"/>
      <c r="B2151" s="656"/>
    </row>
    <row r="2152" spans="1:2">
      <c r="A2152" s="67"/>
      <c r="B2152" s="656"/>
    </row>
    <row r="2153" spans="1:2">
      <c r="A2153" s="67"/>
      <c r="B2153" s="656"/>
    </row>
    <row r="2154" spans="1:2">
      <c r="A2154" s="67"/>
      <c r="B2154" s="656"/>
    </row>
    <row r="2155" spans="1:2">
      <c r="A2155" s="67"/>
      <c r="B2155" s="656"/>
    </row>
    <row r="2156" spans="1:2">
      <c r="A2156" s="67"/>
      <c r="B2156" s="656"/>
    </row>
    <row r="2157" spans="1:2">
      <c r="A2157" s="67"/>
      <c r="B2157" s="656"/>
    </row>
    <row r="2158" spans="1:2">
      <c r="A2158" s="67"/>
      <c r="B2158" s="656"/>
    </row>
    <row r="2159" spans="1:2">
      <c r="A2159" s="67"/>
      <c r="B2159" s="656"/>
    </row>
    <row r="2160" spans="1:2">
      <c r="A2160" s="67"/>
      <c r="B2160" s="656"/>
    </row>
    <row r="2161" spans="1:2">
      <c r="A2161" s="67"/>
      <c r="B2161" s="656"/>
    </row>
    <row r="2162" spans="1:2">
      <c r="A2162" s="67"/>
      <c r="B2162" s="656"/>
    </row>
    <row r="2163" spans="1:2">
      <c r="A2163" s="67"/>
      <c r="B2163" s="656"/>
    </row>
    <row r="2164" spans="1:2">
      <c r="A2164" s="67"/>
      <c r="B2164" s="656"/>
    </row>
    <row r="2165" spans="1:2">
      <c r="A2165" s="67"/>
      <c r="B2165" s="656"/>
    </row>
    <row r="2166" spans="1:2">
      <c r="A2166" s="67"/>
      <c r="B2166" s="656"/>
    </row>
    <row r="2167" spans="1:2">
      <c r="A2167" s="67"/>
      <c r="B2167" s="656"/>
    </row>
    <row r="2168" spans="1:2">
      <c r="A2168" s="67"/>
      <c r="B2168" s="656"/>
    </row>
    <row r="2169" spans="1:2">
      <c r="A2169" s="67"/>
      <c r="B2169" s="656"/>
    </row>
    <row r="2170" spans="1:2">
      <c r="A2170" s="67"/>
      <c r="B2170" s="656"/>
    </row>
    <row r="2171" spans="1:2">
      <c r="A2171" s="67"/>
      <c r="B2171" s="656"/>
    </row>
    <row r="2172" spans="1:2">
      <c r="A2172" s="67"/>
      <c r="B2172" s="656"/>
    </row>
    <row r="2173" spans="1:2">
      <c r="A2173" s="67"/>
      <c r="B2173" s="656"/>
    </row>
    <row r="2174" spans="1:2">
      <c r="A2174" s="67"/>
      <c r="B2174" s="656"/>
    </row>
    <row r="2175" spans="1:2">
      <c r="A2175" s="67"/>
      <c r="B2175" s="656"/>
    </row>
    <row r="2176" spans="1:2">
      <c r="A2176" s="67"/>
      <c r="B2176" s="656"/>
    </row>
    <row r="2177" spans="1:2">
      <c r="A2177" s="67"/>
      <c r="B2177" s="656"/>
    </row>
    <row r="2178" spans="1:2">
      <c r="A2178" s="67"/>
      <c r="B2178" s="656"/>
    </row>
    <row r="2179" spans="1:2">
      <c r="A2179" s="67"/>
      <c r="B2179" s="656"/>
    </row>
    <row r="2180" spans="1:2">
      <c r="A2180" s="67"/>
      <c r="B2180" s="656"/>
    </row>
    <row r="2181" spans="1:2">
      <c r="A2181" s="67"/>
      <c r="B2181" s="656"/>
    </row>
    <row r="2182" spans="1:2">
      <c r="A2182" s="67"/>
      <c r="B2182" s="656"/>
    </row>
    <row r="2183" spans="1:2">
      <c r="A2183" s="67"/>
      <c r="B2183" s="656"/>
    </row>
    <row r="2184" spans="1:2">
      <c r="A2184" s="67"/>
      <c r="B2184" s="656"/>
    </row>
    <row r="2185" spans="1:2">
      <c r="A2185" s="67"/>
      <c r="B2185" s="656"/>
    </row>
    <row r="2186" spans="1:2">
      <c r="A2186" s="67"/>
      <c r="B2186" s="656"/>
    </row>
    <row r="2187" spans="1:2">
      <c r="A2187" s="67"/>
      <c r="B2187" s="656"/>
    </row>
    <row r="2188" spans="1:2">
      <c r="A2188" s="67"/>
      <c r="B2188" s="656"/>
    </row>
    <row r="2189" spans="1:2">
      <c r="A2189" s="67"/>
      <c r="B2189" s="656"/>
    </row>
    <row r="2190" spans="1:2">
      <c r="A2190" s="67"/>
      <c r="B2190" s="656"/>
    </row>
    <row r="2191" spans="1:2">
      <c r="A2191" s="67"/>
      <c r="B2191" s="656"/>
    </row>
    <row r="2192" spans="1:2">
      <c r="A2192" s="67"/>
      <c r="B2192" s="656"/>
    </row>
    <row r="2193" spans="1:2">
      <c r="A2193" s="67"/>
      <c r="B2193" s="656"/>
    </row>
    <row r="2194" spans="1:2">
      <c r="A2194" s="67"/>
      <c r="B2194" s="656"/>
    </row>
    <row r="2195" spans="1:2">
      <c r="A2195" s="67"/>
      <c r="B2195" s="656"/>
    </row>
    <row r="2196" spans="1:2">
      <c r="A2196" s="67"/>
      <c r="B2196" s="656"/>
    </row>
    <row r="2197" spans="1:2">
      <c r="A2197" s="67"/>
      <c r="B2197" s="656"/>
    </row>
    <row r="2198" spans="1:2">
      <c r="A2198" s="67"/>
      <c r="B2198" s="656"/>
    </row>
    <row r="2199" spans="1:2">
      <c r="A2199" s="67"/>
      <c r="B2199" s="656"/>
    </row>
    <row r="2200" spans="1:2">
      <c r="A2200" s="67"/>
      <c r="B2200" s="656"/>
    </row>
    <row r="2201" spans="1:2">
      <c r="A2201" s="67"/>
      <c r="B2201" s="656"/>
    </row>
    <row r="2202" spans="1:2">
      <c r="A2202" s="67"/>
      <c r="B2202" s="656"/>
    </row>
    <row r="2203" spans="1:2">
      <c r="A2203" s="67"/>
      <c r="B2203" s="656"/>
    </row>
    <row r="2204" spans="1:2">
      <c r="A2204" s="67"/>
      <c r="B2204" s="656"/>
    </row>
    <row r="2205" spans="1:2">
      <c r="A2205" s="67"/>
      <c r="B2205" s="656"/>
    </row>
    <row r="2206" spans="1:2">
      <c r="A2206" s="67"/>
      <c r="B2206" s="656"/>
    </row>
    <row r="2207" spans="1:2">
      <c r="A2207" s="67"/>
      <c r="B2207" s="656"/>
    </row>
    <row r="2208" spans="1:2">
      <c r="A2208" s="67"/>
      <c r="B2208" s="656"/>
    </row>
    <row r="2209" spans="1:2">
      <c r="A2209" s="67"/>
      <c r="B2209" s="656"/>
    </row>
    <row r="2210" spans="1:2">
      <c r="A2210" s="67"/>
      <c r="B2210" s="656"/>
    </row>
    <row r="2211" spans="1:2">
      <c r="A2211" s="67"/>
      <c r="B2211" s="656"/>
    </row>
    <row r="2212" spans="1:2">
      <c r="A2212" s="67"/>
      <c r="B2212" s="656"/>
    </row>
    <row r="2213" spans="1:2">
      <c r="A2213" s="67"/>
      <c r="B2213" s="656"/>
    </row>
    <row r="2214" spans="1:2">
      <c r="A2214" s="67"/>
      <c r="B2214" s="656"/>
    </row>
    <row r="2215" spans="1:2">
      <c r="A2215" s="67"/>
      <c r="B2215" s="656"/>
    </row>
    <row r="2216" spans="1:2">
      <c r="A2216" s="67"/>
      <c r="B2216" s="656"/>
    </row>
    <row r="2217" spans="1:2">
      <c r="A2217" s="67"/>
      <c r="B2217" s="656"/>
    </row>
    <row r="2218" spans="1:2">
      <c r="A2218" s="67"/>
      <c r="B2218" s="656"/>
    </row>
    <row r="2219" spans="1:2">
      <c r="A2219" s="67"/>
      <c r="B2219" s="656"/>
    </row>
    <row r="2220" spans="1:2">
      <c r="A2220" s="67"/>
      <c r="B2220" s="656"/>
    </row>
    <row r="2221" spans="1:2">
      <c r="A2221" s="67"/>
      <c r="B2221" s="656"/>
    </row>
    <row r="2222" spans="1:2">
      <c r="A2222" s="67"/>
      <c r="B2222" s="656"/>
    </row>
    <row r="2223" spans="1:2">
      <c r="A2223" s="67"/>
      <c r="B2223" s="656"/>
    </row>
    <row r="2224" spans="1:2">
      <c r="A2224" s="67"/>
      <c r="B2224" s="656"/>
    </row>
    <row r="2225" spans="1:2">
      <c r="A2225" s="67"/>
      <c r="B2225" s="656"/>
    </row>
    <row r="2226" spans="1:2">
      <c r="A2226" s="67"/>
      <c r="B2226" s="656"/>
    </row>
    <row r="2227" spans="1:2">
      <c r="A2227" s="67"/>
      <c r="B2227" s="656"/>
    </row>
    <row r="2228" spans="1:2">
      <c r="A2228" s="67"/>
      <c r="B2228" s="656"/>
    </row>
    <row r="2229" spans="1:2">
      <c r="A2229" s="67"/>
      <c r="B2229" s="656"/>
    </row>
    <row r="2230" spans="1:2">
      <c r="A2230" s="67"/>
      <c r="B2230" s="656"/>
    </row>
    <row r="2231" spans="1:2">
      <c r="A2231" s="67"/>
      <c r="B2231" s="656"/>
    </row>
    <row r="2232" spans="1:2">
      <c r="A2232" s="67"/>
      <c r="B2232" s="656"/>
    </row>
    <row r="2233" spans="1:2">
      <c r="A2233" s="67"/>
      <c r="B2233" s="656"/>
    </row>
    <row r="2234" spans="1:2">
      <c r="A2234" s="67"/>
      <c r="B2234" s="656"/>
    </row>
    <row r="2235" spans="1:2">
      <c r="A2235" s="67"/>
      <c r="B2235" s="656"/>
    </row>
    <row r="2236" spans="1:2">
      <c r="A2236" s="67"/>
      <c r="B2236" s="656"/>
    </row>
    <row r="2237" spans="1:2">
      <c r="A2237" s="67"/>
      <c r="B2237" s="656"/>
    </row>
    <row r="2238" spans="1:2">
      <c r="A2238" s="67"/>
      <c r="B2238" s="656"/>
    </row>
    <row r="2239" spans="1:2">
      <c r="A2239" s="67"/>
      <c r="B2239" s="656"/>
    </row>
    <row r="2240" spans="1:2">
      <c r="A2240" s="67"/>
      <c r="B2240" s="656"/>
    </row>
    <row r="2241" spans="1:2">
      <c r="A2241" s="67"/>
      <c r="B2241" s="656"/>
    </row>
    <row r="2242" spans="1:2">
      <c r="A2242" s="67"/>
      <c r="B2242" s="656"/>
    </row>
    <row r="2243" spans="1:2">
      <c r="A2243" s="67"/>
      <c r="B2243" s="656"/>
    </row>
    <row r="2244" spans="1:2">
      <c r="A2244" s="67"/>
      <c r="B2244" s="656"/>
    </row>
    <row r="2245" spans="1:2">
      <c r="A2245" s="67"/>
      <c r="B2245" s="656"/>
    </row>
    <row r="2246" spans="1:2">
      <c r="A2246" s="67"/>
      <c r="B2246" s="656"/>
    </row>
    <row r="2247" spans="1:2">
      <c r="A2247" s="67"/>
      <c r="B2247" s="656"/>
    </row>
    <row r="2248" spans="1:2">
      <c r="A2248" s="67"/>
      <c r="B2248" s="656"/>
    </row>
    <row r="2249" spans="1:2">
      <c r="A2249" s="67"/>
      <c r="B2249" s="656"/>
    </row>
    <row r="2250" spans="1:2">
      <c r="A2250" s="67"/>
      <c r="B2250" s="656"/>
    </row>
    <row r="2251" spans="1:2">
      <c r="A2251" s="67"/>
      <c r="B2251" s="656"/>
    </row>
    <row r="2252" spans="1:2">
      <c r="A2252" s="67"/>
      <c r="B2252" s="656"/>
    </row>
    <row r="2253" spans="1:2">
      <c r="A2253" s="67"/>
      <c r="B2253" s="656"/>
    </row>
    <row r="2254" spans="1:2">
      <c r="A2254" s="67"/>
      <c r="B2254" s="656"/>
    </row>
    <row r="2255" spans="1:2">
      <c r="A2255" s="67"/>
      <c r="B2255" s="656"/>
    </row>
    <row r="2256" spans="1:2">
      <c r="A2256" s="67"/>
      <c r="B2256" s="656"/>
    </row>
    <row r="2257" spans="1:2">
      <c r="A2257" s="67"/>
      <c r="B2257" s="656"/>
    </row>
    <row r="2258" spans="1:2">
      <c r="A2258" s="67"/>
      <c r="B2258" s="656"/>
    </row>
    <row r="2259" spans="1:2">
      <c r="A2259" s="67"/>
      <c r="B2259" s="656"/>
    </row>
    <row r="2260" spans="1:2">
      <c r="A2260" s="67"/>
      <c r="B2260" s="656"/>
    </row>
    <row r="2261" spans="1:2">
      <c r="A2261" s="67"/>
      <c r="B2261" s="656"/>
    </row>
    <row r="2262" spans="1:2">
      <c r="A2262" s="67"/>
      <c r="B2262" s="656"/>
    </row>
    <row r="2263" spans="1:2">
      <c r="A2263" s="67"/>
      <c r="B2263" s="656"/>
    </row>
    <row r="2264" spans="1:2">
      <c r="A2264" s="67"/>
      <c r="B2264" s="656"/>
    </row>
    <row r="2265" spans="1:2">
      <c r="A2265" s="67"/>
      <c r="B2265" s="656"/>
    </row>
    <row r="2266" spans="1:2">
      <c r="A2266" s="67"/>
      <c r="B2266" s="656"/>
    </row>
    <row r="2267" spans="1:2">
      <c r="A2267" s="67"/>
      <c r="B2267" s="656"/>
    </row>
    <row r="2268" spans="1:2">
      <c r="A2268" s="67"/>
      <c r="B2268" s="656"/>
    </row>
    <row r="2269" spans="1:2">
      <c r="A2269" s="67"/>
      <c r="B2269" s="656"/>
    </row>
    <row r="2270" spans="1:2">
      <c r="A2270" s="67"/>
      <c r="B2270" s="656"/>
    </row>
    <row r="2271" spans="1:2">
      <c r="A2271" s="67"/>
      <c r="B2271" s="656"/>
    </row>
    <row r="2272" spans="1:2">
      <c r="A2272" s="67"/>
      <c r="B2272" s="656"/>
    </row>
    <row r="2273" spans="1:2">
      <c r="A2273" s="67"/>
      <c r="B2273" s="656"/>
    </row>
    <row r="2274" spans="1:2">
      <c r="A2274" s="67"/>
      <c r="B2274" s="656"/>
    </row>
    <row r="2275" spans="1:2">
      <c r="A2275" s="67"/>
      <c r="B2275" s="656"/>
    </row>
    <row r="2276" spans="1:2">
      <c r="A2276" s="67"/>
      <c r="B2276" s="656"/>
    </row>
    <row r="2277" spans="1:2">
      <c r="A2277" s="67"/>
      <c r="B2277" s="656"/>
    </row>
    <row r="2278" spans="1:2">
      <c r="A2278" s="67"/>
      <c r="B2278" s="656"/>
    </row>
    <row r="2279" spans="1:2">
      <c r="A2279" s="67"/>
      <c r="B2279" s="656"/>
    </row>
    <row r="2280" spans="1:2">
      <c r="A2280" s="67"/>
      <c r="B2280" s="656"/>
    </row>
    <row r="2281" spans="1:2">
      <c r="A2281" s="67"/>
      <c r="B2281" s="656"/>
    </row>
    <row r="2282" spans="1:2">
      <c r="A2282" s="67"/>
      <c r="B2282" s="656"/>
    </row>
    <row r="2283" spans="1:2">
      <c r="A2283" s="67"/>
      <c r="B2283" s="656"/>
    </row>
    <row r="2284" spans="1:2">
      <c r="A2284" s="67"/>
      <c r="B2284" s="656"/>
    </row>
    <row r="2285" spans="1:2">
      <c r="A2285" s="67"/>
      <c r="B2285" s="656"/>
    </row>
    <row r="2286" spans="1:2">
      <c r="A2286" s="67"/>
      <c r="B2286" s="656"/>
    </row>
    <row r="2287" spans="1:2">
      <c r="A2287" s="67"/>
      <c r="B2287" s="656"/>
    </row>
    <row r="2288" spans="1:2">
      <c r="A2288" s="67"/>
      <c r="B2288" s="656"/>
    </row>
    <row r="2289" spans="1:2">
      <c r="A2289" s="67"/>
      <c r="B2289" s="656"/>
    </row>
    <row r="2290" spans="1:2">
      <c r="A2290" s="67"/>
      <c r="B2290" s="656"/>
    </row>
    <row r="2291" spans="1:2">
      <c r="A2291" s="67"/>
      <c r="B2291" s="656"/>
    </row>
    <row r="2292" spans="1:2">
      <c r="A2292" s="67"/>
      <c r="B2292" s="656"/>
    </row>
    <row r="2293" spans="1:2">
      <c r="A2293" s="67"/>
      <c r="B2293" s="656"/>
    </row>
    <row r="2294" spans="1:2">
      <c r="A2294" s="67"/>
      <c r="B2294" s="656"/>
    </row>
    <row r="2295" spans="1:2">
      <c r="A2295" s="67"/>
      <c r="B2295" s="656"/>
    </row>
    <row r="2296" spans="1:2">
      <c r="A2296" s="67"/>
      <c r="B2296" s="656"/>
    </row>
    <row r="2297" spans="1:2">
      <c r="A2297" s="67"/>
      <c r="B2297" s="656"/>
    </row>
    <row r="2298" spans="1:2">
      <c r="A2298" s="67"/>
      <c r="B2298" s="656"/>
    </row>
    <row r="2299" spans="1:2">
      <c r="A2299" s="67"/>
      <c r="B2299" s="656"/>
    </row>
    <row r="2300" spans="1:2">
      <c r="A2300" s="67"/>
      <c r="B2300" s="656"/>
    </row>
    <row r="2301" spans="1:2">
      <c r="A2301" s="67"/>
      <c r="B2301" s="656"/>
    </row>
    <row r="2302" spans="1:2">
      <c r="A2302" s="67"/>
      <c r="B2302" s="656"/>
    </row>
    <row r="2303" spans="1:2">
      <c r="A2303" s="67"/>
      <c r="B2303" s="656"/>
    </row>
    <row r="2304" spans="1:2">
      <c r="A2304" s="67"/>
      <c r="B2304" s="656"/>
    </row>
    <row r="2305" spans="1:2">
      <c r="A2305" s="67"/>
      <c r="B2305" s="656"/>
    </row>
    <row r="2306" spans="1:2">
      <c r="A2306" s="67"/>
      <c r="B2306" s="656"/>
    </row>
    <row r="2307" spans="1:2">
      <c r="A2307" s="67"/>
      <c r="B2307" s="656"/>
    </row>
    <row r="2308" spans="1:2">
      <c r="A2308" s="67"/>
      <c r="B2308" s="656"/>
    </row>
    <row r="2309" spans="1:2">
      <c r="A2309" s="67"/>
      <c r="B2309" s="656"/>
    </row>
    <row r="2310" spans="1:2">
      <c r="A2310" s="67"/>
      <c r="B2310" s="656"/>
    </row>
    <row r="2311" spans="1:2">
      <c r="A2311" s="67"/>
      <c r="B2311" s="656"/>
    </row>
    <row r="2312" spans="1:2">
      <c r="A2312" s="67"/>
      <c r="B2312" s="656"/>
    </row>
    <row r="2313" spans="1:2">
      <c r="A2313" s="67"/>
      <c r="B2313" s="656"/>
    </row>
    <row r="2314" spans="1:2">
      <c r="A2314" s="67"/>
      <c r="B2314" s="656"/>
    </row>
    <row r="2315" spans="1:2">
      <c r="A2315" s="67"/>
      <c r="B2315" s="656"/>
    </row>
    <row r="2316" spans="1:2">
      <c r="A2316" s="67"/>
      <c r="B2316" s="656"/>
    </row>
    <row r="2317" spans="1:2">
      <c r="A2317" s="67"/>
      <c r="B2317" s="656"/>
    </row>
    <row r="2318" spans="1:2">
      <c r="A2318" s="67"/>
      <c r="B2318" s="656"/>
    </row>
    <row r="2319" spans="1:2">
      <c r="A2319" s="67"/>
      <c r="B2319" s="656"/>
    </row>
    <row r="2320" spans="1:2">
      <c r="A2320" s="67"/>
      <c r="B2320" s="656"/>
    </row>
    <row r="2321" spans="1:2">
      <c r="A2321" s="67"/>
      <c r="B2321" s="656"/>
    </row>
    <row r="2322" spans="1:2">
      <c r="A2322" s="67"/>
      <c r="B2322" s="656"/>
    </row>
    <row r="2323" spans="1:2">
      <c r="A2323" s="67"/>
      <c r="B2323" s="656"/>
    </row>
    <row r="2324" spans="1:2">
      <c r="A2324" s="67"/>
      <c r="B2324" s="656"/>
    </row>
    <row r="2325" spans="1:2">
      <c r="A2325" s="67"/>
      <c r="B2325" s="656"/>
    </row>
    <row r="2326" spans="1:2">
      <c r="A2326" s="67"/>
      <c r="B2326" s="656"/>
    </row>
    <row r="2327" spans="1:2">
      <c r="A2327" s="67"/>
      <c r="B2327" s="656"/>
    </row>
    <row r="2328" spans="1:2">
      <c r="A2328" s="67"/>
      <c r="B2328" s="656"/>
    </row>
    <row r="2329" spans="1:2">
      <c r="A2329" s="67"/>
      <c r="B2329" s="656"/>
    </row>
    <row r="2330" spans="1:2">
      <c r="A2330" s="67"/>
      <c r="B2330" s="656"/>
    </row>
    <row r="2331" spans="1:2">
      <c r="A2331" s="67"/>
      <c r="B2331" s="656"/>
    </row>
    <row r="2332" spans="1:2">
      <c r="A2332" s="67"/>
      <c r="B2332" s="656"/>
    </row>
    <row r="2333" spans="1:2">
      <c r="A2333" s="67"/>
      <c r="B2333" s="656"/>
    </row>
    <row r="2334" spans="1:2">
      <c r="A2334" s="67"/>
      <c r="B2334" s="656"/>
    </row>
    <row r="2335" spans="1:2">
      <c r="A2335" s="67"/>
      <c r="B2335" s="656"/>
    </row>
    <row r="2336" spans="1:2">
      <c r="A2336" s="67"/>
      <c r="B2336" s="656"/>
    </row>
    <row r="2337" spans="1:2">
      <c r="A2337" s="67"/>
      <c r="B2337" s="656"/>
    </row>
    <row r="2338" spans="1:2">
      <c r="A2338" s="67"/>
      <c r="B2338" s="656"/>
    </row>
    <row r="2339" spans="1:2">
      <c r="A2339" s="67"/>
      <c r="B2339" s="656"/>
    </row>
    <row r="2340" spans="1:2">
      <c r="A2340" s="67"/>
      <c r="B2340" s="656"/>
    </row>
    <row r="2341" spans="1:2">
      <c r="A2341" s="67"/>
      <c r="B2341" s="656"/>
    </row>
    <row r="2342" spans="1:2">
      <c r="A2342" s="67"/>
      <c r="B2342" s="656"/>
    </row>
    <row r="2343" spans="1:2">
      <c r="A2343" s="67"/>
      <c r="B2343" s="656"/>
    </row>
    <row r="2344" spans="1:2">
      <c r="A2344" s="67"/>
      <c r="B2344" s="656"/>
    </row>
    <row r="2345" spans="1:2">
      <c r="A2345" s="67"/>
      <c r="B2345" s="656"/>
    </row>
    <row r="2346" spans="1:2">
      <c r="A2346" s="67"/>
      <c r="B2346" s="656"/>
    </row>
    <row r="2347" spans="1:2">
      <c r="A2347" s="67"/>
      <c r="B2347" s="656"/>
    </row>
    <row r="2348" spans="1:2">
      <c r="A2348" s="67"/>
      <c r="B2348" s="656"/>
    </row>
    <row r="2349" spans="1:2">
      <c r="A2349" s="67"/>
      <c r="B2349" s="656"/>
    </row>
    <row r="2350" spans="1:2">
      <c r="A2350" s="67"/>
      <c r="B2350" s="656"/>
    </row>
    <row r="2351" spans="1:2">
      <c r="A2351" s="67"/>
      <c r="B2351" s="656"/>
    </row>
    <row r="2352" spans="1:2">
      <c r="A2352" s="67"/>
      <c r="B2352" s="656"/>
    </row>
    <row r="2353" spans="1:2">
      <c r="A2353" s="67"/>
      <c r="B2353" s="656"/>
    </row>
    <row r="2354" spans="1:2">
      <c r="A2354" s="67"/>
      <c r="B2354" s="656"/>
    </row>
    <row r="2355" spans="1:2">
      <c r="A2355" s="67"/>
      <c r="B2355" s="656"/>
    </row>
    <row r="2356" spans="1:2">
      <c r="A2356" s="67"/>
      <c r="B2356" s="656"/>
    </row>
    <row r="2357" spans="1:2">
      <c r="A2357" s="67"/>
      <c r="B2357" s="656"/>
    </row>
    <row r="2358" spans="1:2">
      <c r="A2358" s="67"/>
      <c r="B2358" s="656"/>
    </row>
    <row r="2359" spans="1:2">
      <c r="A2359" s="67"/>
      <c r="B2359" s="656"/>
    </row>
    <row r="2360" spans="1:2">
      <c r="A2360" s="67"/>
      <c r="B2360" s="656"/>
    </row>
    <row r="2361" spans="1:2">
      <c r="A2361" s="67"/>
      <c r="B2361" s="656"/>
    </row>
    <row r="2362" spans="1:2">
      <c r="A2362" s="67"/>
      <c r="B2362" s="656"/>
    </row>
    <row r="2363" spans="1:2">
      <c r="A2363" s="67"/>
      <c r="B2363" s="656"/>
    </row>
    <row r="2364" spans="1:2">
      <c r="A2364" s="67"/>
      <c r="B2364" s="656"/>
    </row>
    <row r="2365" spans="1:2">
      <c r="A2365" s="67"/>
      <c r="B2365" s="656"/>
    </row>
    <row r="2366" spans="1:2">
      <c r="A2366" s="67"/>
      <c r="B2366" s="656"/>
    </row>
    <row r="2367" spans="1:2">
      <c r="A2367" s="67"/>
      <c r="B2367" s="656"/>
    </row>
    <row r="2368" spans="1:2">
      <c r="A2368" s="67"/>
      <c r="B2368" s="656"/>
    </row>
    <row r="2369" spans="1:2">
      <c r="A2369" s="67"/>
      <c r="B2369" s="656"/>
    </row>
    <row r="2370" spans="1:2">
      <c r="A2370" s="67"/>
      <c r="B2370" s="656"/>
    </row>
    <row r="2371" spans="1:2">
      <c r="A2371" s="67"/>
      <c r="B2371" s="656"/>
    </row>
    <row r="2372" spans="1:2">
      <c r="A2372" s="67"/>
      <c r="B2372" s="656"/>
    </row>
    <row r="2373" spans="1:2">
      <c r="A2373" s="67"/>
      <c r="B2373" s="656"/>
    </row>
    <row r="2374" spans="1:2">
      <c r="A2374" s="67"/>
      <c r="B2374" s="656"/>
    </row>
    <row r="2375" spans="1:2">
      <c r="A2375" s="67"/>
      <c r="B2375" s="656"/>
    </row>
    <row r="2376" spans="1:2">
      <c r="A2376" s="67"/>
      <c r="B2376" s="656"/>
    </row>
    <row r="2377" spans="1:2">
      <c r="A2377" s="67"/>
      <c r="B2377" s="656"/>
    </row>
    <row r="2378" spans="1:2">
      <c r="A2378" s="67"/>
      <c r="B2378" s="656"/>
    </row>
    <row r="2379" spans="1:2">
      <c r="A2379" s="67"/>
      <c r="B2379" s="656"/>
    </row>
    <row r="2380" spans="1:2">
      <c r="A2380" s="67"/>
      <c r="B2380" s="656"/>
    </row>
    <row r="2381" spans="1:2">
      <c r="A2381" s="67"/>
      <c r="B2381" s="656"/>
    </row>
    <row r="2382" spans="1:2">
      <c r="A2382" s="67"/>
      <c r="B2382" s="656"/>
    </row>
    <row r="2383" spans="1:2">
      <c r="A2383" s="67"/>
      <c r="B2383" s="656"/>
    </row>
    <row r="2384" spans="1:2">
      <c r="A2384" s="67"/>
      <c r="B2384" s="656"/>
    </row>
    <row r="2385" spans="1:2">
      <c r="A2385" s="67"/>
      <c r="B2385" s="656"/>
    </row>
    <row r="2386" spans="1:2">
      <c r="A2386" s="67"/>
      <c r="B2386" s="656"/>
    </row>
    <row r="2387" spans="1:2">
      <c r="A2387" s="67"/>
      <c r="B2387" s="656"/>
    </row>
    <row r="2388" spans="1:2">
      <c r="A2388" s="67"/>
      <c r="B2388" s="656"/>
    </row>
    <row r="2389" spans="1:2">
      <c r="A2389" s="67"/>
      <c r="B2389" s="656"/>
    </row>
    <row r="2390" spans="1:2">
      <c r="A2390" s="67"/>
      <c r="B2390" s="656"/>
    </row>
    <row r="2391" spans="1:2">
      <c r="A2391" s="67"/>
      <c r="B2391" s="656"/>
    </row>
    <row r="2392" spans="1:2">
      <c r="A2392" s="67"/>
      <c r="B2392" s="656"/>
    </row>
    <row r="2393" spans="1:2">
      <c r="A2393" s="67"/>
      <c r="B2393" s="656"/>
    </row>
    <row r="2394" spans="1:2">
      <c r="A2394" s="67"/>
      <c r="B2394" s="656"/>
    </row>
    <row r="2395" spans="1:2">
      <c r="A2395" s="67"/>
      <c r="B2395" s="656"/>
    </row>
    <row r="2396" spans="1:2">
      <c r="A2396" s="67"/>
      <c r="B2396" s="656"/>
    </row>
    <row r="2397" spans="1:2">
      <c r="A2397" s="67"/>
      <c r="B2397" s="656"/>
    </row>
    <row r="2398" spans="1:2">
      <c r="A2398" s="67"/>
      <c r="B2398" s="656"/>
    </row>
    <row r="2399" spans="1:2">
      <c r="A2399" s="67"/>
      <c r="B2399" s="656"/>
    </row>
    <row r="2400" spans="1:2">
      <c r="A2400" s="67"/>
      <c r="B2400" s="656"/>
    </row>
    <row r="2401" spans="1:2">
      <c r="A2401" s="67"/>
      <c r="B2401" s="656"/>
    </row>
    <row r="2402" spans="1:2">
      <c r="A2402" s="67"/>
      <c r="B2402" s="656"/>
    </row>
    <row r="2403" spans="1:2">
      <c r="A2403" s="67"/>
      <c r="B2403" s="656"/>
    </row>
    <row r="2404" spans="1:2">
      <c r="A2404" s="67"/>
      <c r="B2404" s="656"/>
    </row>
    <row r="2405" spans="1:2">
      <c r="A2405" s="67"/>
      <c r="B2405" s="656"/>
    </row>
    <row r="2406" spans="1:2">
      <c r="A2406" s="67"/>
      <c r="B2406" s="656"/>
    </row>
    <row r="2407" spans="1:2">
      <c r="A2407" s="67"/>
      <c r="B2407" s="656"/>
    </row>
    <row r="2408" spans="1:2">
      <c r="A2408" s="67"/>
      <c r="B2408" s="656"/>
    </row>
    <row r="2409" spans="1:2">
      <c r="A2409" s="67"/>
      <c r="B2409" s="656"/>
    </row>
    <row r="2410" spans="1:2">
      <c r="A2410" s="67"/>
      <c r="B2410" s="656"/>
    </row>
    <row r="2411" spans="1:2">
      <c r="A2411" s="67"/>
      <c r="B2411" s="656"/>
    </row>
    <row r="2412" spans="1:2">
      <c r="A2412" s="67"/>
      <c r="B2412" s="656"/>
    </row>
    <row r="2413" spans="1:2">
      <c r="A2413" s="67"/>
      <c r="B2413" s="656"/>
    </row>
    <row r="2414" spans="1:2">
      <c r="A2414" s="67"/>
      <c r="B2414" s="656"/>
    </row>
    <row r="2415" spans="1:2">
      <c r="A2415" s="67"/>
      <c r="B2415" s="656"/>
    </row>
    <row r="2416" spans="1:2">
      <c r="A2416" s="67"/>
      <c r="B2416" s="656"/>
    </row>
    <row r="2417" spans="1:2">
      <c r="A2417" s="67"/>
      <c r="B2417" s="656"/>
    </row>
    <row r="2418" spans="1:2">
      <c r="A2418" s="67"/>
      <c r="B2418" s="656"/>
    </row>
    <row r="2419" spans="1:2">
      <c r="A2419" s="67"/>
      <c r="B2419" s="656"/>
    </row>
    <row r="2420" spans="1:2">
      <c r="A2420" s="67"/>
      <c r="B2420" s="656"/>
    </row>
    <row r="2421" spans="1:2">
      <c r="A2421" s="67"/>
      <c r="B2421" s="656"/>
    </row>
    <row r="2422" spans="1:2">
      <c r="A2422" s="67"/>
      <c r="B2422" s="656"/>
    </row>
    <row r="2423" spans="1:2">
      <c r="A2423" s="67"/>
      <c r="B2423" s="656"/>
    </row>
    <row r="2424" spans="1:2">
      <c r="A2424" s="67"/>
      <c r="B2424" s="656"/>
    </row>
    <row r="2425" spans="1:2">
      <c r="A2425" s="67"/>
      <c r="B2425" s="656"/>
    </row>
    <row r="2426" spans="1:2">
      <c r="A2426" s="67"/>
      <c r="B2426" s="656"/>
    </row>
    <row r="2427" spans="1:2">
      <c r="A2427" s="67"/>
      <c r="B2427" s="656"/>
    </row>
    <row r="2428" spans="1:2">
      <c r="A2428" s="67"/>
      <c r="B2428" s="656"/>
    </row>
    <row r="2429" spans="1:2">
      <c r="A2429" s="67"/>
      <c r="B2429" s="656"/>
    </row>
    <row r="2430" spans="1:2">
      <c r="A2430" s="67"/>
      <c r="B2430" s="656"/>
    </row>
    <row r="2431" spans="1:2">
      <c r="A2431" s="67"/>
      <c r="B2431" s="656"/>
    </row>
    <row r="2432" spans="1:2">
      <c r="A2432" s="67"/>
      <c r="B2432" s="656"/>
    </row>
    <row r="2433" spans="1:2">
      <c r="A2433" s="67"/>
      <c r="B2433" s="656"/>
    </row>
    <row r="2434" spans="1:2">
      <c r="A2434" s="67"/>
      <c r="B2434" s="656"/>
    </row>
    <row r="2435" spans="1:2">
      <c r="A2435" s="67"/>
      <c r="B2435" s="656"/>
    </row>
    <row r="2436" spans="1:2">
      <c r="A2436" s="67"/>
      <c r="B2436" s="656"/>
    </row>
    <row r="2437" spans="1:2">
      <c r="A2437" s="67"/>
      <c r="B2437" s="656"/>
    </row>
    <row r="2438" spans="1:2">
      <c r="A2438" s="67"/>
      <c r="B2438" s="656"/>
    </row>
    <row r="2439" spans="1:2">
      <c r="A2439" s="67"/>
      <c r="B2439" s="656"/>
    </row>
    <row r="2440" spans="1:2">
      <c r="A2440" s="67"/>
      <c r="B2440" s="656"/>
    </row>
    <row r="2441" spans="1:2">
      <c r="A2441" s="67"/>
      <c r="B2441" s="656"/>
    </row>
    <row r="2442" spans="1:2">
      <c r="A2442" s="67"/>
      <c r="B2442" s="656"/>
    </row>
    <row r="2443" spans="1:2">
      <c r="A2443" s="67"/>
      <c r="B2443" s="656"/>
    </row>
    <row r="2444" spans="1:2">
      <c r="A2444" s="67"/>
      <c r="B2444" s="656"/>
    </row>
    <row r="2445" spans="1:2">
      <c r="A2445" s="67"/>
      <c r="B2445" s="656"/>
    </row>
    <row r="2446" spans="1:2">
      <c r="A2446" s="67"/>
      <c r="B2446" s="656"/>
    </row>
    <row r="2447" spans="1:2">
      <c r="A2447" s="67"/>
      <c r="B2447" s="656"/>
    </row>
    <row r="2448" spans="1:2">
      <c r="A2448" s="67"/>
      <c r="B2448" s="656"/>
    </row>
    <row r="2449" spans="1:2">
      <c r="A2449" s="67"/>
      <c r="B2449" s="656"/>
    </row>
    <row r="2450" spans="1:2">
      <c r="A2450" s="67"/>
      <c r="B2450" s="656"/>
    </row>
    <row r="2451" spans="1:2">
      <c r="A2451" s="67"/>
      <c r="B2451" s="656"/>
    </row>
    <row r="2452" spans="1:2">
      <c r="A2452" s="67"/>
      <c r="B2452" s="656"/>
    </row>
    <row r="2453" spans="1:2">
      <c r="A2453" s="67"/>
      <c r="B2453" s="656"/>
    </row>
    <row r="2454" spans="1:2">
      <c r="A2454" s="67"/>
      <c r="B2454" s="656"/>
    </row>
    <row r="2455" spans="1:2">
      <c r="A2455" s="67"/>
      <c r="B2455" s="656"/>
    </row>
    <row r="2456" spans="1:2">
      <c r="A2456" s="67"/>
      <c r="B2456" s="656"/>
    </row>
    <row r="2457" spans="1:2">
      <c r="A2457" s="67"/>
      <c r="B2457" s="656"/>
    </row>
    <row r="2458" spans="1:2">
      <c r="A2458" s="67"/>
      <c r="B2458" s="656"/>
    </row>
    <row r="2459" spans="1:2">
      <c r="A2459" s="67"/>
      <c r="B2459" s="656"/>
    </row>
    <row r="2460" spans="1:2">
      <c r="A2460" s="67"/>
      <c r="B2460" s="656"/>
    </row>
    <row r="2461" spans="1:2">
      <c r="A2461" s="67"/>
      <c r="B2461" s="656"/>
    </row>
    <row r="2462" spans="1:2">
      <c r="A2462" s="67"/>
      <c r="B2462" s="656"/>
    </row>
    <row r="2463" spans="1:2">
      <c r="A2463" s="67"/>
      <c r="B2463" s="656"/>
    </row>
    <row r="2464" spans="1:2">
      <c r="A2464" s="67"/>
      <c r="B2464" s="656"/>
    </row>
    <row r="2465" spans="1:2">
      <c r="A2465" s="67"/>
      <c r="B2465" s="656"/>
    </row>
    <row r="2466" spans="1:2">
      <c r="A2466" s="67"/>
      <c r="B2466" s="656"/>
    </row>
    <row r="2467" spans="1:2">
      <c r="A2467" s="67"/>
      <c r="B2467" s="656"/>
    </row>
    <row r="2468" spans="1:2">
      <c r="A2468" s="67"/>
      <c r="B2468" s="656"/>
    </row>
    <row r="2469" spans="1:2">
      <c r="A2469" s="67"/>
      <c r="B2469" s="656"/>
    </row>
    <row r="2470" spans="1:2">
      <c r="A2470" s="67"/>
      <c r="B2470" s="656"/>
    </row>
    <row r="2471" spans="1:2">
      <c r="A2471" s="67"/>
      <c r="B2471" s="656"/>
    </row>
    <row r="2472" spans="1:2">
      <c r="A2472" s="67"/>
      <c r="B2472" s="656"/>
    </row>
    <row r="2473" spans="1:2">
      <c r="A2473" s="67"/>
      <c r="B2473" s="656"/>
    </row>
    <row r="2474" spans="1:2">
      <c r="A2474" s="67"/>
      <c r="B2474" s="656"/>
    </row>
    <row r="2475" spans="1:2">
      <c r="A2475" s="67"/>
      <c r="B2475" s="656"/>
    </row>
    <row r="2476" spans="1:2">
      <c r="A2476" s="67"/>
      <c r="B2476" s="656"/>
    </row>
    <row r="2477" spans="1:2">
      <c r="A2477" s="67"/>
      <c r="B2477" s="656"/>
    </row>
    <row r="2478" spans="1:2">
      <c r="A2478" s="67"/>
      <c r="B2478" s="656"/>
    </row>
    <row r="2479" spans="1:2">
      <c r="A2479" s="67"/>
      <c r="B2479" s="656"/>
    </row>
    <row r="2480" spans="1:2">
      <c r="A2480" s="67"/>
      <c r="B2480" s="656"/>
    </row>
    <row r="2481" spans="1:2">
      <c r="A2481" s="67"/>
      <c r="B2481" s="656"/>
    </row>
    <row r="2482" spans="1:2">
      <c r="A2482" s="67"/>
      <c r="B2482" s="656"/>
    </row>
    <row r="2483" spans="1:2">
      <c r="A2483" s="67"/>
      <c r="B2483" s="656"/>
    </row>
    <row r="2484" spans="1:2">
      <c r="A2484" s="67"/>
      <c r="B2484" s="656"/>
    </row>
    <row r="2485" spans="1:2">
      <c r="A2485" s="67"/>
      <c r="B2485" s="656"/>
    </row>
    <row r="2486" spans="1:2">
      <c r="A2486" s="67"/>
      <c r="B2486" s="656"/>
    </row>
    <row r="2487" spans="1:2">
      <c r="A2487" s="67"/>
      <c r="B2487" s="656"/>
    </row>
    <row r="2488" spans="1:2">
      <c r="A2488" s="67"/>
      <c r="B2488" s="656"/>
    </row>
    <row r="2489" spans="1:2">
      <c r="A2489" s="67"/>
      <c r="B2489" s="656"/>
    </row>
    <row r="2490" spans="1:2">
      <c r="A2490" s="67"/>
      <c r="B2490" s="656"/>
    </row>
    <row r="2491" spans="1:2">
      <c r="A2491" s="67"/>
      <c r="B2491" s="656"/>
    </row>
    <row r="2492" spans="1:2">
      <c r="A2492" s="67"/>
      <c r="B2492" s="656"/>
    </row>
    <row r="2493" spans="1:2">
      <c r="A2493" s="67"/>
      <c r="B2493" s="656"/>
    </row>
    <row r="2494" spans="1:2">
      <c r="A2494" s="67"/>
      <c r="B2494" s="656"/>
    </row>
    <row r="2495" spans="1:2">
      <c r="A2495" s="67"/>
      <c r="B2495" s="656"/>
    </row>
    <row r="2496" spans="1:2">
      <c r="A2496" s="67"/>
      <c r="B2496" s="656"/>
    </row>
    <row r="2497" spans="1:2">
      <c r="A2497" s="67"/>
      <c r="B2497" s="656"/>
    </row>
    <row r="2498" spans="1:2">
      <c r="A2498" s="67"/>
      <c r="B2498" s="656"/>
    </row>
    <row r="2499" spans="1:2">
      <c r="A2499" s="67"/>
      <c r="B2499" s="656"/>
    </row>
    <row r="2500" spans="1:2">
      <c r="A2500" s="67"/>
      <c r="B2500" s="656"/>
    </row>
    <row r="2501" spans="1:2">
      <c r="A2501" s="67"/>
      <c r="B2501" s="656"/>
    </row>
    <row r="2502" spans="1:2">
      <c r="A2502" s="67"/>
      <c r="B2502" s="656"/>
    </row>
    <row r="2503" spans="1:2">
      <c r="A2503" s="67"/>
      <c r="B2503" s="656"/>
    </row>
    <row r="2504" spans="1:2">
      <c r="A2504" s="67"/>
      <c r="B2504" s="656"/>
    </row>
    <row r="2505" spans="1:2">
      <c r="A2505" s="67"/>
      <c r="B2505" s="656"/>
    </row>
    <row r="2506" spans="1:2">
      <c r="A2506" s="67"/>
      <c r="B2506" s="656"/>
    </row>
    <row r="2507" spans="1:2">
      <c r="A2507" s="67"/>
      <c r="B2507" s="656"/>
    </row>
    <row r="2508" spans="1:2">
      <c r="A2508" s="67"/>
      <c r="B2508" s="656"/>
    </row>
    <row r="2509" spans="1:2">
      <c r="A2509" s="67"/>
      <c r="B2509" s="656"/>
    </row>
    <row r="2510" spans="1:2">
      <c r="A2510" s="67"/>
      <c r="B2510" s="656"/>
    </row>
    <row r="2511" spans="1:2">
      <c r="A2511" s="67"/>
      <c r="B2511" s="656"/>
    </row>
    <row r="2512" spans="1:2">
      <c r="A2512" s="67"/>
      <c r="B2512" s="656"/>
    </row>
    <row r="2513" spans="1:2">
      <c r="A2513" s="67"/>
      <c r="B2513" s="656"/>
    </row>
    <row r="2514" spans="1:2">
      <c r="A2514" s="67"/>
      <c r="B2514" s="656"/>
    </row>
    <row r="2515" spans="1:2">
      <c r="A2515" s="67"/>
      <c r="B2515" s="656"/>
    </row>
    <row r="2516" spans="1:2">
      <c r="A2516" s="67"/>
      <c r="B2516" s="656"/>
    </row>
    <row r="2517" spans="1:2">
      <c r="A2517" s="67"/>
      <c r="B2517" s="656"/>
    </row>
    <row r="2518" spans="1:2">
      <c r="A2518" s="67"/>
      <c r="B2518" s="656"/>
    </row>
    <row r="2519" spans="1:2">
      <c r="A2519" s="67"/>
      <c r="B2519" s="656"/>
    </row>
    <row r="2520" spans="1:2">
      <c r="A2520" s="67"/>
      <c r="B2520" s="656"/>
    </row>
    <row r="2521" spans="1:2">
      <c r="A2521" s="67"/>
      <c r="B2521" s="656"/>
    </row>
    <row r="2522" spans="1:2">
      <c r="A2522" s="67"/>
      <c r="B2522" s="656"/>
    </row>
    <row r="2523" spans="1:2">
      <c r="A2523" s="67"/>
      <c r="B2523" s="656"/>
    </row>
    <row r="2524" spans="1:2">
      <c r="A2524" s="67"/>
      <c r="B2524" s="656"/>
    </row>
    <row r="2525" spans="1:2">
      <c r="A2525" s="67"/>
      <c r="B2525" s="656"/>
    </row>
    <row r="2526" spans="1:2">
      <c r="A2526" s="67"/>
      <c r="B2526" s="656"/>
    </row>
    <row r="2527" spans="1:2">
      <c r="A2527" s="67"/>
      <c r="B2527" s="656"/>
    </row>
    <row r="2528" spans="1:2">
      <c r="A2528" s="67"/>
      <c r="B2528" s="656"/>
    </row>
    <row r="2529" spans="1:2">
      <c r="A2529" s="67"/>
      <c r="B2529" s="656"/>
    </row>
    <row r="2530" spans="1:2">
      <c r="A2530" s="67"/>
      <c r="B2530" s="656"/>
    </row>
    <row r="2531" spans="1:2">
      <c r="A2531" s="67"/>
      <c r="B2531" s="656"/>
    </row>
    <row r="2532" spans="1:2">
      <c r="A2532" s="67"/>
      <c r="B2532" s="656"/>
    </row>
    <row r="2533" spans="1:2">
      <c r="A2533" s="67"/>
      <c r="B2533" s="656"/>
    </row>
    <row r="2534" spans="1:2">
      <c r="A2534" s="67"/>
      <c r="B2534" s="656"/>
    </row>
    <row r="2535" spans="1:2">
      <c r="A2535" s="67"/>
      <c r="B2535" s="656"/>
    </row>
    <row r="2536" spans="1:2">
      <c r="A2536" s="67"/>
      <c r="B2536" s="656"/>
    </row>
    <row r="2537" spans="1:2">
      <c r="A2537" s="67"/>
      <c r="B2537" s="656"/>
    </row>
    <row r="2538" spans="1:2">
      <c r="A2538" s="67"/>
      <c r="B2538" s="656"/>
    </row>
    <row r="2539" spans="1:2">
      <c r="A2539" s="67"/>
      <c r="B2539" s="656"/>
    </row>
    <row r="2540" spans="1:2">
      <c r="A2540" s="67"/>
      <c r="B2540" s="656"/>
    </row>
    <row r="2541" spans="1:2">
      <c r="A2541" s="67"/>
      <c r="B2541" s="656"/>
    </row>
    <row r="2542" spans="1:2">
      <c r="A2542" s="67"/>
      <c r="B2542" s="656"/>
    </row>
    <row r="2543" spans="1:2">
      <c r="A2543" s="67"/>
      <c r="B2543" s="656"/>
    </row>
    <row r="2544" spans="1:2">
      <c r="A2544" s="67"/>
      <c r="B2544" s="656"/>
    </row>
    <row r="2545" spans="1:2">
      <c r="A2545" s="67"/>
      <c r="B2545" s="656"/>
    </row>
    <row r="2546" spans="1:2">
      <c r="A2546" s="67"/>
      <c r="B2546" s="656"/>
    </row>
    <row r="2547" spans="1:2">
      <c r="A2547" s="67"/>
      <c r="B2547" s="656"/>
    </row>
    <row r="2548" spans="1:2">
      <c r="A2548" s="67"/>
      <c r="B2548" s="656"/>
    </row>
    <row r="2549" spans="1:2">
      <c r="A2549" s="67"/>
      <c r="B2549" s="656"/>
    </row>
    <row r="2550" spans="1:2">
      <c r="A2550" s="67"/>
      <c r="B2550" s="656"/>
    </row>
    <row r="2551" spans="1:2">
      <c r="A2551" s="67"/>
      <c r="B2551" s="656"/>
    </row>
    <row r="2552" spans="1:2">
      <c r="A2552" s="67"/>
      <c r="B2552" s="656"/>
    </row>
    <row r="2553" spans="1:2">
      <c r="A2553" s="67"/>
      <c r="B2553" s="656"/>
    </row>
    <row r="2554" spans="1:2">
      <c r="A2554" s="67"/>
      <c r="B2554" s="656"/>
    </row>
    <row r="2555" spans="1:2">
      <c r="A2555" s="67"/>
      <c r="B2555" s="656"/>
    </row>
    <row r="2556" spans="1:2">
      <c r="A2556" s="67"/>
      <c r="B2556" s="656"/>
    </row>
    <row r="2557" spans="1:2">
      <c r="A2557" s="67"/>
      <c r="B2557" s="656"/>
    </row>
    <row r="2558" spans="1:2">
      <c r="A2558" s="67"/>
      <c r="B2558" s="656"/>
    </row>
    <row r="2559" spans="1:2">
      <c r="A2559" s="67"/>
      <c r="B2559" s="656"/>
    </row>
    <row r="2560" spans="1:2">
      <c r="A2560" s="67"/>
      <c r="B2560" s="656"/>
    </row>
    <row r="2561" spans="1:2">
      <c r="A2561" s="67"/>
      <c r="B2561" s="656"/>
    </row>
    <row r="2562" spans="1:2">
      <c r="A2562" s="67"/>
      <c r="B2562" s="656"/>
    </row>
    <row r="2563" spans="1:2">
      <c r="A2563" s="67"/>
      <c r="B2563" s="656"/>
    </row>
    <row r="2564" spans="1:2">
      <c r="A2564" s="67"/>
      <c r="B2564" s="656"/>
    </row>
    <row r="2565" spans="1:2">
      <c r="A2565" s="67"/>
      <c r="B2565" s="656"/>
    </row>
    <row r="2566" spans="1:2">
      <c r="A2566" s="67"/>
      <c r="B2566" s="656"/>
    </row>
    <row r="2567" spans="1:2">
      <c r="A2567" s="67"/>
      <c r="B2567" s="656"/>
    </row>
    <row r="2568" spans="1:2">
      <c r="A2568" s="67"/>
      <c r="B2568" s="656"/>
    </row>
    <row r="2569" spans="1:2">
      <c r="A2569" s="67"/>
      <c r="B2569" s="656"/>
    </row>
    <row r="2570" spans="1:2">
      <c r="A2570" s="67"/>
      <c r="B2570" s="656"/>
    </row>
    <row r="2571" spans="1:2">
      <c r="A2571" s="67"/>
      <c r="B2571" s="656"/>
    </row>
    <row r="2572" spans="1:2">
      <c r="A2572" s="67"/>
      <c r="B2572" s="656"/>
    </row>
    <row r="2573" spans="1:2">
      <c r="A2573" s="67"/>
      <c r="B2573" s="656"/>
    </row>
    <row r="2574" spans="1:2">
      <c r="A2574" s="67"/>
      <c r="B2574" s="656"/>
    </row>
    <row r="2575" spans="1:2">
      <c r="A2575" s="67"/>
      <c r="B2575" s="656"/>
    </row>
    <row r="2576" spans="1:2">
      <c r="A2576" s="67"/>
      <c r="B2576" s="656"/>
    </row>
    <row r="2577" spans="1:2">
      <c r="A2577" s="67"/>
      <c r="B2577" s="656"/>
    </row>
    <row r="2578" spans="1:2">
      <c r="A2578" s="67"/>
      <c r="B2578" s="656"/>
    </row>
    <row r="2579" spans="1:2">
      <c r="A2579" s="67"/>
      <c r="B2579" s="656"/>
    </row>
    <row r="2580" spans="1:2">
      <c r="A2580" s="67"/>
      <c r="B2580" s="656"/>
    </row>
    <row r="2581" spans="1:2">
      <c r="A2581" s="67"/>
      <c r="B2581" s="656"/>
    </row>
    <row r="2582" spans="1:2">
      <c r="A2582" s="67"/>
      <c r="B2582" s="656"/>
    </row>
    <row r="2583" spans="1:2">
      <c r="A2583" s="67"/>
      <c r="B2583" s="656"/>
    </row>
    <row r="2584" spans="1:2">
      <c r="A2584" s="67"/>
      <c r="B2584" s="656"/>
    </row>
    <row r="2585" spans="1:2">
      <c r="A2585" s="67"/>
      <c r="B2585" s="656"/>
    </row>
    <row r="2586" spans="1:2">
      <c r="A2586" s="67"/>
      <c r="B2586" s="656"/>
    </row>
    <row r="2587" spans="1:2">
      <c r="A2587" s="67"/>
      <c r="B2587" s="656"/>
    </row>
    <row r="2588" spans="1:2">
      <c r="A2588" s="67"/>
      <c r="B2588" s="656"/>
    </row>
    <row r="2589" spans="1:2">
      <c r="A2589" s="67"/>
      <c r="B2589" s="656"/>
    </row>
    <row r="2590" spans="1:2">
      <c r="A2590" s="67"/>
      <c r="B2590" s="656"/>
    </row>
    <row r="2591" spans="1:2">
      <c r="A2591" s="67"/>
      <c r="B2591" s="656"/>
    </row>
    <row r="2592" spans="1:2">
      <c r="A2592" s="67"/>
      <c r="B2592" s="656"/>
    </row>
    <row r="2593" spans="1:2">
      <c r="A2593" s="67"/>
      <c r="B2593" s="656"/>
    </row>
    <row r="2594" spans="1:2">
      <c r="A2594" s="67"/>
      <c r="B2594" s="656"/>
    </row>
    <row r="2595" spans="1:2">
      <c r="A2595" s="67"/>
      <c r="B2595" s="656"/>
    </row>
    <row r="2596" spans="1:2">
      <c r="A2596" s="67"/>
      <c r="B2596" s="656"/>
    </row>
    <row r="2597" spans="1:2">
      <c r="A2597" s="67"/>
      <c r="B2597" s="656"/>
    </row>
    <row r="2598" spans="1:2">
      <c r="A2598" s="67"/>
      <c r="B2598" s="656"/>
    </row>
    <row r="2599" spans="1:2">
      <c r="A2599" s="67"/>
      <c r="B2599" s="656"/>
    </row>
    <row r="2600" spans="1:2">
      <c r="A2600" s="67"/>
      <c r="B2600" s="656"/>
    </row>
    <row r="2601" spans="1:2">
      <c r="A2601" s="67"/>
      <c r="B2601" s="656"/>
    </row>
    <row r="2602" spans="1:2">
      <c r="A2602" s="67"/>
      <c r="B2602" s="656"/>
    </row>
    <row r="2603" spans="1:2">
      <c r="A2603" s="67"/>
      <c r="B2603" s="656"/>
    </row>
    <row r="2604" spans="1:2">
      <c r="A2604" s="67"/>
      <c r="B2604" s="656"/>
    </row>
    <row r="2605" spans="1:2">
      <c r="A2605" s="67"/>
      <c r="B2605" s="656"/>
    </row>
    <row r="2606" spans="1:2">
      <c r="A2606" s="67"/>
      <c r="B2606" s="656"/>
    </row>
    <row r="2607" spans="1:2">
      <c r="A2607" s="67"/>
      <c r="B2607" s="656"/>
    </row>
    <row r="2608" spans="1:2">
      <c r="A2608" s="67"/>
      <c r="B2608" s="656"/>
    </row>
    <row r="2609" spans="1:2">
      <c r="A2609" s="67"/>
      <c r="B2609" s="656"/>
    </row>
    <row r="2610" spans="1:2">
      <c r="A2610" s="67"/>
      <c r="B2610" s="656"/>
    </row>
    <row r="2611" spans="1:2">
      <c r="A2611" s="67"/>
      <c r="B2611" s="656"/>
    </row>
    <row r="2612" spans="1:2">
      <c r="A2612" s="67"/>
      <c r="B2612" s="656"/>
    </row>
    <row r="2613" spans="1:2">
      <c r="A2613" s="67"/>
      <c r="B2613" s="656"/>
    </row>
    <row r="2614" spans="1:2">
      <c r="A2614" s="67"/>
      <c r="B2614" s="656"/>
    </row>
    <row r="2615" spans="1:2">
      <c r="A2615" s="67"/>
      <c r="B2615" s="656"/>
    </row>
    <row r="2616" spans="1:2">
      <c r="A2616" s="67"/>
      <c r="B2616" s="656"/>
    </row>
    <row r="2617" spans="1:2">
      <c r="A2617" s="67"/>
      <c r="B2617" s="656"/>
    </row>
    <row r="2618" spans="1:2">
      <c r="A2618" s="67"/>
      <c r="B2618" s="656"/>
    </row>
    <row r="2619" spans="1:2">
      <c r="A2619" s="67"/>
      <c r="B2619" s="656"/>
    </row>
    <row r="2620" spans="1:2">
      <c r="A2620" s="67"/>
      <c r="B2620" s="656"/>
    </row>
    <row r="2621" spans="1:2">
      <c r="A2621" s="67"/>
      <c r="B2621" s="656"/>
    </row>
    <row r="2622" spans="1:2">
      <c r="A2622" s="67"/>
      <c r="B2622" s="656"/>
    </row>
    <row r="2623" spans="1:2">
      <c r="A2623" s="67"/>
      <c r="B2623" s="656"/>
    </row>
    <row r="2624" spans="1:2">
      <c r="A2624" s="67"/>
      <c r="B2624" s="656"/>
    </row>
    <row r="2625" spans="1:2">
      <c r="A2625" s="67"/>
      <c r="B2625" s="656"/>
    </row>
    <row r="2626" spans="1:2">
      <c r="A2626" s="67"/>
      <c r="B2626" s="656"/>
    </row>
    <row r="2627" spans="1:2">
      <c r="A2627" s="67"/>
      <c r="B2627" s="656"/>
    </row>
    <row r="2628" spans="1:2">
      <c r="A2628" s="67"/>
      <c r="B2628" s="656"/>
    </row>
    <row r="2629" spans="1:2">
      <c r="A2629" s="67"/>
      <c r="B2629" s="656"/>
    </row>
    <row r="2630" spans="1:2">
      <c r="A2630" s="67"/>
      <c r="B2630" s="656"/>
    </row>
    <row r="2631" spans="1:2">
      <c r="A2631" s="67"/>
      <c r="B2631" s="656"/>
    </row>
    <row r="2632" spans="1:2">
      <c r="A2632" s="67"/>
      <c r="B2632" s="656"/>
    </row>
    <row r="2633" spans="1:2">
      <c r="A2633" s="67"/>
      <c r="B2633" s="656"/>
    </row>
    <row r="2634" spans="1:2">
      <c r="A2634" s="67"/>
      <c r="B2634" s="656"/>
    </row>
    <row r="2635" spans="1:2">
      <c r="A2635" s="67"/>
      <c r="B2635" s="656"/>
    </row>
    <row r="2636" spans="1:2">
      <c r="A2636" s="67"/>
      <c r="B2636" s="656"/>
    </row>
    <row r="2637" spans="1:2">
      <c r="A2637" s="67"/>
      <c r="B2637" s="656"/>
    </row>
    <row r="2638" spans="1:2">
      <c r="A2638" s="67"/>
      <c r="B2638" s="656"/>
    </row>
    <row r="2639" spans="1:2">
      <c r="A2639" s="67"/>
      <c r="B2639" s="656"/>
    </row>
    <row r="2640" spans="1:2">
      <c r="A2640" s="67"/>
      <c r="B2640" s="656"/>
    </row>
    <row r="2641" spans="1:2">
      <c r="A2641" s="67"/>
      <c r="B2641" s="656"/>
    </row>
    <row r="2642" spans="1:2">
      <c r="A2642" s="67"/>
      <c r="B2642" s="656"/>
    </row>
    <row r="2643" spans="1:2">
      <c r="A2643" s="67"/>
      <c r="B2643" s="656"/>
    </row>
    <row r="2644" spans="1:2">
      <c r="A2644" s="67"/>
      <c r="B2644" s="656"/>
    </row>
    <row r="2645" spans="1:2">
      <c r="A2645" s="67"/>
      <c r="B2645" s="656"/>
    </row>
    <row r="2646" spans="1:2">
      <c r="A2646" s="67"/>
      <c r="B2646" s="656"/>
    </row>
    <row r="2647" spans="1:2">
      <c r="A2647" s="67"/>
      <c r="B2647" s="656"/>
    </row>
    <row r="2648" spans="1:2">
      <c r="A2648" s="67"/>
      <c r="B2648" s="656"/>
    </row>
    <row r="2649" spans="1:2">
      <c r="A2649" s="67"/>
      <c r="B2649" s="656"/>
    </row>
    <row r="2650" spans="1:2">
      <c r="A2650" s="67"/>
      <c r="B2650" s="656"/>
    </row>
    <row r="2651" spans="1:2">
      <c r="A2651" s="67"/>
      <c r="B2651" s="656"/>
    </row>
    <row r="2652" spans="1:2">
      <c r="A2652" s="67"/>
      <c r="B2652" s="656"/>
    </row>
    <row r="2653" spans="1:2">
      <c r="A2653" s="67"/>
      <c r="B2653" s="656"/>
    </row>
    <row r="2654" spans="1:2">
      <c r="A2654" s="67"/>
      <c r="B2654" s="656"/>
    </row>
    <row r="2655" spans="1:2">
      <c r="A2655" s="67"/>
      <c r="B2655" s="656"/>
    </row>
    <row r="2656" spans="1:2">
      <c r="A2656" s="67"/>
      <c r="B2656" s="656"/>
    </row>
    <row r="2657" spans="1:2">
      <c r="A2657" s="67"/>
      <c r="B2657" s="656"/>
    </row>
    <row r="2658" spans="1:2">
      <c r="A2658" s="67"/>
      <c r="B2658" s="656"/>
    </row>
    <row r="2659" spans="1:2">
      <c r="A2659" s="67"/>
      <c r="B2659" s="656"/>
    </row>
    <row r="2660" spans="1:2">
      <c r="A2660" s="67"/>
      <c r="B2660" s="656"/>
    </row>
    <row r="2661" spans="1:2">
      <c r="A2661" s="67"/>
      <c r="B2661" s="656"/>
    </row>
    <row r="2662" spans="1:2">
      <c r="A2662" s="67"/>
      <c r="B2662" s="656"/>
    </row>
    <row r="2663" spans="1:2">
      <c r="A2663" s="67"/>
      <c r="B2663" s="656"/>
    </row>
    <row r="2664" spans="1:2">
      <c r="A2664" s="67"/>
      <c r="B2664" s="656"/>
    </row>
    <row r="2665" spans="1:2">
      <c r="A2665" s="67"/>
      <c r="B2665" s="656"/>
    </row>
    <row r="2666" spans="1:2">
      <c r="A2666" s="67"/>
      <c r="B2666" s="656"/>
    </row>
    <row r="2667" spans="1:2">
      <c r="A2667" s="67"/>
      <c r="B2667" s="656"/>
    </row>
    <row r="2668" spans="1:2">
      <c r="A2668" s="67"/>
      <c r="B2668" s="656"/>
    </row>
    <row r="2669" spans="1:2">
      <c r="A2669" s="67"/>
      <c r="B2669" s="656"/>
    </row>
    <row r="2670" spans="1:2">
      <c r="A2670" s="67"/>
      <c r="B2670" s="656"/>
    </row>
    <row r="2671" spans="1:2">
      <c r="A2671" s="67"/>
      <c r="B2671" s="656"/>
    </row>
    <row r="2672" spans="1:2">
      <c r="A2672" s="67"/>
      <c r="B2672" s="656"/>
    </row>
    <row r="2673" spans="1:2">
      <c r="A2673" s="67"/>
      <c r="B2673" s="656"/>
    </row>
    <row r="2674" spans="1:2">
      <c r="A2674" s="67"/>
      <c r="B2674" s="656"/>
    </row>
    <row r="2675" spans="1:2">
      <c r="A2675" s="67"/>
      <c r="B2675" s="656"/>
    </row>
    <row r="2676" spans="1:2">
      <c r="A2676" s="67"/>
      <c r="B2676" s="656"/>
    </row>
    <row r="2677" spans="1:2">
      <c r="A2677" s="67"/>
      <c r="B2677" s="656"/>
    </row>
    <row r="2678" spans="1:2">
      <c r="A2678" s="67"/>
      <c r="B2678" s="656"/>
    </row>
    <row r="2679" spans="1:2">
      <c r="A2679" s="67"/>
      <c r="B2679" s="656"/>
    </row>
    <row r="2680" spans="1:2">
      <c r="A2680" s="67"/>
      <c r="B2680" s="656"/>
    </row>
    <row r="2681" spans="1:2">
      <c r="A2681" s="67"/>
      <c r="B2681" s="656"/>
    </row>
    <row r="2682" spans="1:2">
      <c r="A2682" s="67"/>
      <c r="B2682" s="656"/>
    </row>
    <row r="2683" spans="1:2">
      <c r="A2683" s="67"/>
      <c r="B2683" s="656"/>
    </row>
    <row r="2684" spans="1:2">
      <c r="A2684" s="67"/>
      <c r="B2684" s="656"/>
    </row>
    <row r="2685" spans="1:2">
      <c r="A2685" s="67"/>
      <c r="B2685" s="656"/>
    </row>
    <row r="2686" spans="1:2">
      <c r="A2686" s="67"/>
      <c r="B2686" s="656"/>
    </row>
    <row r="2687" spans="1:2">
      <c r="A2687" s="67"/>
      <c r="B2687" s="656"/>
    </row>
    <row r="2688" spans="1:2">
      <c r="A2688" s="67"/>
      <c r="B2688" s="656"/>
    </row>
    <row r="2689" spans="1:2">
      <c r="A2689" s="67"/>
      <c r="B2689" s="656"/>
    </row>
    <row r="2690" spans="1:2">
      <c r="A2690" s="67"/>
      <c r="B2690" s="656"/>
    </row>
    <row r="2691" spans="1:2">
      <c r="A2691" s="67"/>
      <c r="B2691" s="656"/>
    </row>
    <row r="2692" spans="1:2">
      <c r="A2692" s="67"/>
      <c r="B2692" s="656"/>
    </row>
    <row r="2693" spans="1:2">
      <c r="A2693" s="67"/>
      <c r="B2693" s="656"/>
    </row>
    <row r="2694" spans="1:2">
      <c r="A2694" s="67"/>
      <c r="B2694" s="656"/>
    </row>
    <row r="2695" spans="1:2">
      <c r="A2695" s="67"/>
      <c r="B2695" s="656"/>
    </row>
    <row r="2696" spans="1:2">
      <c r="A2696" s="67"/>
      <c r="B2696" s="656"/>
    </row>
    <row r="2697" spans="1:2">
      <c r="A2697" s="67"/>
      <c r="B2697" s="656"/>
    </row>
    <row r="2698" spans="1:2">
      <c r="A2698" s="67"/>
      <c r="B2698" s="656"/>
    </row>
    <row r="2699" spans="1:2">
      <c r="A2699" s="67"/>
      <c r="B2699" s="656"/>
    </row>
    <row r="2700" spans="1:2">
      <c r="A2700" s="67"/>
      <c r="B2700" s="656"/>
    </row>
    <row r="2701" spans="1:2">
      <c r="A2701" s="67"/>
      <c r="B2701" s="656"/>
    </row>
    <row r="2702" spans="1:2">
      <c r="A2702" s="67"/>
      <c r="B2702" s="656"/>
    </row>
    <row r="2703" spans="1:2">
      <c r="A2703" s="67"/>
      <c r="B2703" s="656"/>
    </row>
    <row r="2704" spans="1:2">
      <c r="A2704" s="67"/>
      <c r="B2704" s="656"/>
    </row>
    <row r="2705" spans="1:2">
      <c r="A2705" s="67"/>
      <c r="B2705" s="656"/>
    </row>
    <row r="2706" spans="1:2">
      <c r="A2706" s="67"/>
      <c r="B2706" s="656"/>
    </row>
    <row r="2707" spans="1:2">
      <c r="A2707" s="67"/>
      <c r="B2707" s="656"/>
    </row>
    <row r="2708" spans="1:2">
      <c r="A2708" s="67"/>
      <c r="B2708" s="656"/>
    </row>
    <row r="2709" spans="1:2">
      <c r="A2709" s="67"/>
      <c r="B2709" s="656"/>
    </row>
    <row r="2710" spans="1:2">
      <c r="A2710" s="67"/>
      <c r="B2710" s="656"/>
    </row>
    <row r="2711" spans="1:2">
      <c r="A2711" s="67"/>
      <c r="B2711" s="656"/>
    </row>
    <row r="2712" spans="1:2">
      <c r="A2712" s="67"/>
      <c r="B2712" s="656"/>
    </row>
    <row r="2713" spans="1:2">
      <c r="A2713" s="67"/>
      <c r="B2713" s="656"/>
    </row>
    <row r="2714" spans="1:2">
      <c r="A2714" s="67"/>
      <c r="B2714" s="656"/>
    </row>
    <row r="2715" spans="1:2">
      <c r="A2715" s="67"/>
      <c r="B2715" s="656"/>
    </row>
    <row r="2716" spans="1:2">
      <c r="A2716" s="67"/>
      <c r="B2716" s="656"/>
    </row>
    <row r="2717" spans="1:2">
      <c r="A2717" s="67"/>
      <c r="B2717" s="656"/>
    </row>
    <row r="2718" spans="1:2">
      <c r="A2718" s="67"/>
      <c r="B2718" s="656"/>
    </row>
    <row r="2719" spans="1:2">
      <c r="A2719" s="67"/>
      <c r="B2719" s="656"/>
    </row>
    <row r="2720" spans="1:2">
      <c r="A2720" s="67"/>
      <c r="B2720" s="656"/>
    </row>
    <row r="2721" spans="1:2">
      <c r="A2721" s="67"/>
      <c r="B2721" s="656"/>
    </row>
    <row r="2722" spans="1:2">
      <c r="A2722" s="67"/>
      <c r="B2722" s="656"/>
    </row>
    <row r="2723" spans="1:2">
      <c r="A2723" s="67"/>
      <c r="B2723" s="656"/>
    </row>
    <row r="2724" spans="1:2">
      <c r="A2724" s="67"/>
      <c r="B2724" s="656"/>
    </row>
    <row r="2725" spans="1:2">
      <c r="A2725" s="67"/>
      <c r="B2725" s="656"/>
    </row>
    <row r="2726" spans="1:2">
      <c r="A2726" s="67"/>
      <c r="B2726" s="656"/>
    </row>
    <row r="2727" spans="1:2">
      <c r="A2727" s="67"/>
      <c r="B2727" s="656"/>
    </row>
    <row r="2728" spans="1:2">
      <c r="A2728" s="67"/>
      <c r="B2728" s="656"/>
    </row>
    <row r="2729" spans="1:2">
      <c r="A2729" s="67"/>
      <c r="B2729" s="656"/>
    </row>
    <row r="2730" spans="1:2">
      <c r="A2730" s="67"/>
      <c r="B2730" s="656"/>
    </row>
    <row r="2731" spans="1:2">
      <c r="A2731" s="67"/>
      <c r="B2731" s="656"/>
    </row>
    <row r="2732" spans="1:2">
      <c r="A2732" s="67"/>
      <c r="B2732" s="656"/>
    </row>
    <row r="2733" spans="1:2">
      <c r="A2733" s="67"/>
      <c r="B2733" s="656"/>
    </row>
    <row r="2734" spans="1:2">
      <c r="A2734" s="67"/>
      <c r="B2734" s="656"/>
    </row>
    <row r="2735" spans="1:2">
      <c r="A2735" s="67"/>
      <c r="B2735" s="656"/>
    </row>
    <row r="2736" spans="1:2">
      <c r="A2736" s="67"/>
      <c r="B2736" s="656"/>
    </row>
    <row r="2737" spans="1:2">
      <c r="A2737" s="67"/>
      <c r="B2737" s="656"/>
    </row>
    <row r="2738" spans="1:2">
      <c r="A2738" s="67"/>
      <c r="B2738" s="656"/>
    </row>
    <row r="2739" spans="1:2">
      <c r="A2739" s="67"/>
      <c r="B2739" s="656"/>
    </row>
    <row r="2740" spans="1:2">
      <c r="A2740" s="67"/>
      <c r="B2740" s="656"/>
    </row>
    <row r="2741" spans="1:2">
      <c r="A2741" s="67"/>
      <c r="B2741" s="656"/>
    </row>
    <row r="2742" spans="1:2">
      <c r="A2742" s="67"/>
      <c r="B2742" s="656"/>
    </row>
    <row r="2743" spans="1:2">
      <c r="A2743" s="67"/>
      <c r="B2743" s="656"/>
    </row>
    <row r="2744" spans="1:2">
      <c r="A2744" s="67"/>
      <c r="B2744" s="656"/>
    </row>
    <row r="2745" spans="1:2">
      <c r="A2745" s="67"/>
      <c r="B2745" s="656"/>
    </row>
    <row r="2746" spans="1:2">
      <c r="A2746" s="67"/>
      <c r="B2746" s="656"/>
    </row>
    <row r="2747" spans="1:2">
      <c r="A2747" s="67"/>
      <c r="B2747" s="656"/>
    </row>
    <row r="2748" spans="1:2">
      <c r="A2748" s="67"/>
      <c r="B2748" s="656"/>
    </row>
    <row r="2749" spans="1:2">
      <c r="A2749" s="67"/>
      <c r="B2749" s="656"/>
    </row>
    <row r="2750" spans="1:2">
      <c r="A2750" s="67"/>
      <c r="B2750" s="656"/>
    </row>
    <row r="2751" spans="1:2">
      <c r="A2751" s="67"/>
      <c r="B2751" s="656"/>
    </row>
    <row r="2752" spans="1:2">
      <c r="A2752" s="67"/>
      <c r="B2752" s="656"/>
    </row>
    <row r="2753" spans="1:2">
      <c r="A2753" s="67"/>
      <c r="B2753" s="656"/>
    </row>
    <row r="2754" spans="1:2">
      <c r="A2754" s="67"/>
      <c r="B2754" s="656"/>
    </row>
    <row r="2755" spans="1:2">
      <c r="A2755" s="67"/>
      <c r="B2755" s="656"/>
    </row>
    <row r="2756" spans="1:2">
      <c r="A2756" s="67"/>
      <c r="B2756" s="656"/>
    </row>
    <row r="2757" spans="1:2">
      <c r="A2757" s="67"/>
      <c r="B2757" s="656"/>
    </row>
    <row r="2758" spans="1:2">
      <c r="A2758" s="67"/>
      <c r="B2758" s="656"/>
    </row>
    <row r="2759" spans="1:2">
      <c r="A2759" s="67"/>
      <c r="B2759" s="656"/>
    </row>
    <row r="2760" spans="1:2">
      <c r="A2760" s="67"/>
      <c r="B2760" s="656"/>
    </row>
    <row r="2761" spans="1:2">
      <c r="A2761" s="67"/>
      <c r="B2761" s="656"/>
    </row>
    <row r="2762" spans="1:2">
      <c r="A2762" s="67"/>
      <c r="B2762" s="656"/>
    </row>
    <row r="2763" spans="1:2">
      <c r="A2763" s="67"/>
      <c r="B2763" s="656"/>
    </row>
    <row r="2764" spans="1:2">
      <c r="A2764" s="67"/>
      <c r="B2764" s="656"/>
    </row>
    <row r="2765" spans="1:2">
      <c r="A2765" s="67"/>
      <c r="B2765" s="656"/>
    </row>
    <row r="2766" spans="1:2">
      <c r="A2766" s="67"/>
      <c r="B2766" s="656"/>
    </row>
    <row r="2767" spans="1:2">
      <c r="A2767" s="67"/>
      <c r="B2767" s="656"/>
    </row>
    <row r="2768" spans="1:2">
      <c r="A2768" s="67"/>
      <c r="B2768" s="656"/>
    </row>
    <row r="2769" spans="1:2">
      <c r="A2769" s="67"/>
      <c r="B2769" s="656"/>
    </row>
    <row r="2770" spans="1:2">
      <c r="A2770" s="67"/>
      <c r="B2770" s="656"/>
    </row>
    <row r="2771" spans="1:2">
      <c r="A2771" s="67"/>
      <c r="B2771" s="656"/>
    </row>
    <row r="2772" spans="1:2">
      <c r="A2772" s="67"/>
      <c r="B2772" s="656"/>
    </row>
    <row r="2773" spans="1:2">
      <c r="A2773" s="67"/>
      <c r="B2773" s="656"/>
    </row>
    <row r="2774" spans="1:2">
      <c r="A2774" s="67"/>
      <c r="B2774" s="656"/>
    </row>
    <row r="2775" spans="1:2">
      <c r="A2775" s="67"/>
      <c r="B2775" s="656"/>
    </row>
    <row r="2776" spans="1:2">
      <c r="A2776" s="67"/>
      <c r="B2776" s="656"/>
    </row>
    <row r="2777" spans="1:2">
      <c r="A2777" s="67"/>
      <c r="B2777" s="656"/>
    </row>
    <row r="2778" spans="1:2">
      <c r="A2778" s="67"/>
      <c r="B2778" s="656"/>
    </row>
    <row r="2779" spans="1:2">
      <c r="A2779" s="67"/>
      <c r="B2779" s="656"/>
    </row>
    <row r="2780" spans="1:2">
      <c r="A2780" s="67"/>
      <c r="B2780" s="656"/>
    </row>
    <row r="2781" spans="1:2">
      <c r="A2781" s="67"/>
      <c r="B2781" s="656"/>
    </row>
    <row r="2782" spans="1:2">
      <c r="A2782" s="67"/>
      <c r="B2782" s="656"/>
    </row>
    <row r="2783" spans="1:2">
      <c r="A2783" s="67"/>
      <c r="B2783" s="656"/>
    </row>
    <row r="2784" spans="1:2">
      <c r="A2784" s="67"/>
      <c r="B2784" s="656"/>
    </row>
    <row r="2785" spans="1:2">
      <c r="A2785" s="67"/>
      <c r="B2785" s="656"/>
    </row>
    <row r="2786" spans="1:2">
      <c r="A2786" s="67"/>
      <c r="B2786" s="656"/>
    </row>
    <row r="2787" spans="1:2">
      <c r="A2787" s="67"/>
      <c r="B2787" s="656"/>
    </row>
    <row r="2788" spans="1:2">
      <c r="A2788" s="67"/>
      <c r="B2788" s="656"/>
    </row>
    <row r="2789" spans="1:2">
      <c r="A2789" s="67"/>
      <c r="B2789" s="656"/>
    </row>
    <row r="2790" spans="1:2">
      <c r="A2790" s="67"/>
      <c r="B2790" s="656"/>
    </row>
    <row r="2791" spans="1:2">
      <c r="A2791" s="67"/>
      <c r="B2791" s="656"/>
    </row>
    <row r="2792" spans="1:2">
      <c r="A2792" s="67"/>
      <c r="B2792" s="656"/>
    </row>
    <row r="2793" spans="1:2">
      <c r="A2793" s="67"/>
      <c r="B2793" s="656"/>
    </row>
    <row r="2794" spans="1:2">
      <c r="A2794" s="67"/>
      <c r="B2794" s="656"/>
    </row>
    <row r="2795" spans="1:2">
      <c r="A2795" s="67"/>
      <c r="B2795" s="656"/>
    </row>
    <row r="2796" spans="1:2">
      <c r="A2796" s="67"/>
      <c r="B2796" s="656"/>
    </row>
    <row r="2797" spans="1:2">
      <c r="A2797" s="67"/>
      <c r="B2797" s="656"/>
    </row>
    <row r="2798" spans="1:2">
      <c r="A2798" s="67"/>
      <c r="B2798" s="656"/>
    </row>
    <row r="2799" spans="1:2">
      <c r="A2799" s="67"/>
      <c r="B2799" s="656"/>
    </row>
    <row r="2800" spans="1:2">
      <c r="A2800" s="67"/>
      <c r="B2800" s="656"/>
    </row>
    <row r="2801" spans="1:2">
      <c r="A2801" s="67"/>
      <c r="B2801" s="656"/>
    </row>
    <row r="2802" spans="1:2">
      <c r="A2802" s="67"/>
      <c r="B2802" s="656"/>
    </row>
    <row r="2803" spans="1:2">
      <c r="A2803" s="67"/>
      <c r="B2803" s="656"/>
    </row>
    <row r="2804" spans="1:2">
      <c r="A2804" s="67"/>
      <c r="B2804" s="656"/>
    </row>
    <row r="2805" spans="1:2">
      <c r="A2805" s="67"/>
      <c r="B2805" s="656"/>
    </row>
    <row r="2806" spans="1:2">
      <c r="A2806" s="67"/>
      <c r="B2806" s="656"/>
    </row>
    <row r="2807" spans="1:2">
      <c r="A2807" s="67"/>
      <c r="B2807" s="656"/>
    </row>
    <row r="2808" spans="1:2">
      <c r="A2808" s="67"/>
      <c r="B2808" s="656"/>
    </row>
    <row r="2809" spans="1:2">
      <c r="A2809" s="67"/>
      <c r="B2809" s="656"/>
    </row>
    <row r="2810" spans="1:2">
      <c r="A2810" s="67"/>
      <c r="B2810" s="656"/>
    </row>
    <row r="2811" spans="1:2">
      <c r="A2811" s="67"/>
      <c r="B2811" s="656"/>
    </row>
    <row r="2812" spans="1:2">
      <c r="A2812" s="67"/>
      <c r="B2812" s="656"/>
    </row>
    <row r="2813" spans="1:2">
      <c r="A2813" s="67"/>
      <c r="B2813" s="656"/>
    </row>
    <row r="2814" spans="1:2">
      <c r="A2814" s="67"/>
      <c r="B2814" s="656"/>
    </row>
    <row r="2815" spans="1:2">
      <c r="A2815" s="67"/>
      <c r="B2815" s="656"/>
    </row>
    <row r="2816" spans="1:2">
      <c r="A2816" s="67"/>
      <c r="B2816" s="656"/>
    </row>
    <row r="2817" spans="1:2">
      <c r="A2817" s="67"/>
      <c r="B2817" s="656"/>
    </row>
    <row r="2818" spans="1:2">
      <c r="A2818" s="67"/>
      <c r="B2818" s="656"/>
    </row>
    <row r="2819" spans="1:2">
      <c r="A2819" s="67"/>
      <c r="B2819" s="656"/>
    </row>
    <row r="2820" spans="1:2">
      <c r="A2820" s="67"/>
      <c r="B2820" s="656"/>
    </row>
    <row r="2821" spans="1:2">
      <c r="A2821" s="67"/>
      <c r="B2821" s="656"/>
    </row>
    <row r="2822" spans="1:2">
      <c r="A2822" s="67"/>
      <c r="B2822" s="656"/>
    </row>
    <row r="2823" spans="1:2">
      <c r="A2823" s="67"/>
      <c r="B2823" s="656"/>
    </row>
    <row r="2824" spans="1:2">
      <c r="A2824" s="67"/>
      <c r="B2824" s="656"/>
    </row>
    <row r="2825" spans="1:2">
      <c r="A2825" s="67"/>
      <c r="B2825" s="656"/>
    </row>
    <row r="2826" spans="1:2">
      <c r="A2826" s="67"/>
      <c r="B2826" s="656"/>
    </row>
    <row r="2827" spans="1:2">
      <c r="A2827" s="67"/>
      <c r="B2827" s="656"/>
    </row>
    <row r="2828" spans="1:2">
      <c r="A2828" s="67"/>
      <c r="B2828" s="656"/>
    </row>
    <row r="2829" spans="1:2">
      <c r="A2829" s="67"/>
      <c r="B2829" s="656"/>
    </row>
    <row r="2830" spans="1:2">
      <c r="A2830" s="67"/>
      <c r="B2830" s="656"/>
    </row>
    <row r="2831" spans="1:2">
      <c r="A2831" s="67"/>
      <c r="B2831" s="656"/>
    </row>
    <row r="2832" spans="1:2">
      <c r="A2832" s="67"/>
      <c r="B2832" s="656"/>
    </row>
    <row r="2833" spans="1:2">
      <c r="A2833" s="67"/>
      <c r="B2833" s="656"/>
    </row>
    <row r="2834" spans="1:2">
      <c r="A2834" s="67"/>
      <c r="B2834" s="656"/>
    </row>
    <row r="2835" spans="1:2">
      <c r="A2835" s="67"/>
      <c r="B2835" s="656"/>
    </row>
    <row r="2836" spans="1:2">
      <c r="A2836" s="67"/>
      <c r="B2836" s="656"/>
    </row>
    <row r="2837" spans="1:2">
      <c r="A2837" s="67"/>
      <c r="B2837" s="656"/>
    </row>
    <row r="2838" spans="1:2">
      <c r="A2838" s="67"/>
      <c r="B2838" s="656"/>
    </row>
    <row r="2839" spans="1:2">
      <c r="A2839" s="67"/>
      <c r="B2839" s="656"/>
    </row>
    <row r="2840" spans="1:2">
      <c r="A2840" s="67"/>
      <c r="B2840" s="656"/>
    </row>
    <row r="2841" spans="1:2">
      <c r="A2841" s="67"/>
      <c r="B2841" s="656"/>
    </row>
    <row r="2842" spans="1:2">
      <c r="A2842" s="67"/>
      <c r="B2842" s="656"/>
    </row>
    <row r="2843" spans="1:2">
      <c r="A2843" s="67"/>
      <c r="B2843" s="656"/>
    </row>
    <row r="2844" spans="1:2">
      <c r="A2844" s="67"/>
      <c r="B2844" s="656"/>
    </row>
    <row r="2845" spans="1:2">
      <c r="A2845" s="67"/>
      <c r="B2845" s="656"/>
    </row>
    <row r="2846" spans="1:2">
      <c r="A2846" s="67"/>
      <c r="B2846" s="656"/>
    </row>
    <row r="2847" spans="1:2">
      <c r="A2847" s="67"/>
      <c r="B2847" s="656"/>
    </row>
    <row r="2848" spans="1:2">
      <c r="A2848" s="67"/>
      <c r="B2848" s="656"/>
    </row>
    <row r="2849" spans="1:2">
      <c r="A2849" s="67"/>
      <c r="B2849" s="656"/>
    </row>
    <row r="2850" spans="1:2">
      <c r="A2850" s="67"/>
      <c r="B2850" s="656"/>
    </row>
    <row r="2851" spans="1:2">
      <c r="A2851" s="67"/>
      <c r="B2851" s="656"/>
    </row>
    <row r="2852" spans="1:2">
      <c r="A2852" s="67"/>
      <c r="B2852" s="656"/>
    </row>
    <row r="2853" spans="1:2">
      <c r="A2853" s="67"/>
      <c r="B2853" s="656"/>
    </row>
    <row r="2854" spans="1:2">
      <c r="A2854" s="67"/>
      <c r="B2854" s="656"/>
    </row>
    <row r="2855" spans="1:2">
      <c r="A2855" s="67"/>
      <c r="B2855" s="656"/>
    </row>
    <row r="2856" spans="1:2">
      <c r="A2856" s="67"/>
      <c r="B2856" s="656"/>
    </row>
    <row r="2857" spans="1:2">
      <c r="A2857" s="67"/>
      <c r="B2857" s="656"/>
    </row>
    <row r="2858" spans="1:2">
      <c r="A2858" s="67"/>
      <c r="B2858" s="656"/>
    </row>
    <row r="2859" spans="1:2">
      <c r="A2859" s="67"/>
      <c r="B2859" s="656"/>
    </row>
    <row r="2860" spans="1:2">
      <c r="A2860" s="67"/>
      <c r="B2860" s="656"/>
    </row>
    <row r="2861" spans="1:2">
      <c r="A2861" s="67"/>
      <c r="B2861" s="656"/>
    </row>
    <row r="2862" spans="1:2">
      <c r="A2862" s="67"/>
      <c r="B2862" s="656"/>
    </row>
    <row r="2863" spans="1:2">
      <c r="A2863" s="67"/>
      <c r="B2863" s="656"/>
    </row>
    <row r="2864" spans="1:2">
      <c r="A2864" s="67"/>
      <c r="B2864" s="656"/>
    </row>
    <row r="2865" spans="1:2">
      <c r="A2865" s="67"/>
      <c r="B2865" s="656"/>
    </row>
    <row r="2866" spans="1:2">
      <c r="A2866" s="67"/>
      <c r="B2866" s="656"/>
    </row>
    <row r="2867" spans="1:2">
      <c r="A2867" s="67"/>
      <c r="B2867" s="656"/>
    </row>
    <row r="2868" spans="1:2">
      <c r="A2868" s="67"/>
      <c r="B2868" s="656"/>
    </row>
    <row r="2869" spans="1:2">
      <c r="A2869" s="67"/>
      <c r="B2869" s="656"/>
    </row>
    <row r="2870" spans="1:2">
      <c r="A2870" s="67"/>
      <c r="B2870" s="656"/>
    </row>
    <row r="2871" spans="1:2">
      <c r="A2871" s="67"/>
      <c r="B2871" s="656"/>
    </row>
    <row r="2872" spans="1:2">
      <c r="A2872" s="67"/>
      <c r="B2872" s="656"/>
    </row>
    <row r="2873" spans="1:2">
      <c r="A2873" s="67"/>
      <c r="B2873" s="656"/>
    </row>
    <row r="2874" spans="1:2">
      <c r="A2874" s="67"/>
      <c r="B2874" s="656"/>
    </row>
    <row r="2875" spans="1:2">
      <c r="A2875" s="67"/>
      <c r="B2875" s="656"/>
    </row>
    <row r="2876" spans="1:2">
      <c r="A2876" s="67"/>
      <c r="B2876" s="656"/>
    </row>
    <row r="2877" spans="1:2">
      <c r="A2877" s="67"/>
      <c r="B2877" s="656"/>
    </row>
    <row r="2878" spans="1:2">
      <c r="A2878" s="67"/>
      <c r="B2878" s="656"/>
    </row>
    <row r="2879" spans="1:2">
      <c r="A2879" s="67"/>
      <c r="B2879" s="656"/>
    </row>
    <row r="2880" spans="1:2">
      <c r="A2880" s="67"/>
      <c r="B2880" s="656"/>
    </row>
    <row r="2881" spans="1:2">
      <c r="A2881" s="67"/>
      <c r="B2881" s="656"/>
    </row>
    <row r="2882" spans="1:2">
      <c r="A2882" s="67"/>
      <c r="B2882" s="656"/>
    </row>
    <row r="2883" spans="1:2">
      <c r="A2883" s="67"/>
      <c r="B2883" s="656"/>
    </row>
    <row r="2884" spans="1:2">
      <c r="A2884" s="67"/>
      <c r="B2884" s="656"/>
    </row>
    <row r="2885" spans="1:2">
      <c r="A2885" s="67"/>
      <c r="B2885" s="656"/>
    </row>
    <row r="2886" spans="1:2">
      <c r="A2886" s="67"/>
      <c r="B2886" s="656"/>
    </row>
    <row r="2887" spans="1:2">
      <c r="A2887" s="67"/>
      <c r="B2887" s="656"/>
    </row>
    <row r="2888" spans="1:2">
      <c r="A2888" s="67"/>
      <c r="B2888" s="656"/>
    </row>
    <row r="2889" spans="1:2">
      <c r="A2889" s="67"/>
      <c r="B2889" s="656"/>
    </row>
    <row r="2890" spans="1:2">
      <c r="A2890" s="67"/>
      <c r="B2890" s="656"/>
    </row>
    <row r="2891" spans="1:2">
      <c r="A2891" s="67"/>
      <c r="B2891" s="656"/>
    </row>
    <row r="2892" spans="1:2">
      <c r="A2892" s="67"/>
      <c r="B2892" s="656"/>
    </row>
    <row r="2893" spans="1:2">
      <c r="A2893" s="67"/>
      <c r="B2893" s="656"/>
    </row>
    <row r="2894" spans="1:2">
      <c r="A2894" s="67"/>
      <c r="B2894" s="656"/>
    </row>
    <row r="2895" spans="1:2">
      <c r="A2895" s="67"/>
      <c r="B2895" s="656"/>
    </row>
    <row r="2896" spans="1:2">
      <c r="A2896" s="67"/>
      <c r="B2896" s="656"/>
    </row>
    <row r="2897" spans="1:2">
      <c r="A2897" s="67"/>
      <c r="B2897" s="656"/>
    </row>
    <row r="2898" spans="1:2">
      <c r="A2898" s="67"/>
      <c r="B2898" s="656"/>
    </row>
    <row r="2899" spans="1:2">
      <c r="A2899" s="67"/>
      <c r="B2899" s="656"/>
    </row>
    <row r="2900" spans="1:2">
      <c r="A2900" s="67"/>
      <c r="B2900" s="656"/>
    </row>
    <row r="2901" spans="1:2">
      <c r="A2901" s="67"/>
      <c r="B2901" s="656"/>
    </row>
    <row r="2902" spans="1:2">
      <c r="A2902" s="67"/>
      <c r="B2902" s="656"/>
    </row>
    <row r="2903" spans="1:2">
      <c r="A2903" s="67"/>
      <c r="B2903" s="656"/>
    </row>
    <row r="2904" spans="1:2">
      <c r="A2904" s="67"/>
      <c r="B2904" s="656"/>
    </row>
    <row r="2905" spans="1:2">
      <c r="A2905" s="67"/>
      <c r="B2905" s="656"/>
    </row>
    <row r="2906" spans="1:2">
      <c r="A2906" s="67"/>
      <c r="B2906" s="656"/>
    </row>
    <row r="2907" spans="1:2">
      <c r="A2907" s="67"/>
      <c r="B2907" s="656"/>
    </row>
    <row r="2908" spans="1:2">
      <c r="A2908" s="67"/>
      <c r="B2908" s="656"/>
    </row>
    <row r="2909" spans="1:2">
      <c r="A2909" s="67"/>
      <c r="B2909" s="656"/>
    </row>
    <row r="2910" spans="1:2">
      <c r="A2910" s="67"/>
      <c r="B2910" s="656"/>
    </row>
    <row r="2911" spans="1:2">
      <c r="A2911" s="67"/>
      <c r="B2911" s="656"/>
    </row>
    <row r="2912" spans="1:2">
      <c r="A2912" s="67"/>
      <c r="B2912" s="656"/>
    </row>
    <row r="2913" spans="1:2">
      <c r="A2913" s="67"/>
      <c r="B2913" s="656"/>
    </row>
    <row r="2914" spans="1:2">
      <c r="A2914" s="67"/>
      <c r="B2914" s="656"/>
    </row>
    <row r="2915" spans="1:2">
      <c r="A2915" s="67"/>
      <c r="B2915" s="656"/>
    </row>
    <row r="2916" spans="1:2">
      <c r="A2916" s="67"/>
      <c r="B2916" s="656"/>
    </row>
    <row r="2917" spans="1:2">
      <c r="A2917" s="67"/>
      <c r="B2917" s="656"/>
    </row>
    <row r="2918" spans="1:2">
      <c r="A2918" s="67"/>
      <c r="B2918" s="656"/>
    </row>
    <row r="2919" spans="1:2">
      <c r="A2919" s="67"/>
      <c r="B2919" s="656"/>
    </row>
    <row r="2920" spans="1:2">
      <c r="A2920" s="67"/>
      <c r="B2920" s="656"/>
    </row>
    <row r="2921" spans="1:2">
      <c r="A2921" s="67"/>
      <c r="B2921" s="656"/>
    </row>
    <row r="2922" spans="1:2">
      <c r="A2922" s="67"/>
      <c r="B2922" s="656"/>
    </row>
    <row r="2923" spans="1:2">
      <c r="A2923" s="67"/>
      <c r="B2923" s="656"/>
    </row>
    <row r="2924" spans="1:2">
      <c r="A2924" s="67"/>
      <c r="B2924" s="656"/>
    </row>
    <row r="2925" spans="1:2">
      <c r="A2925" s="67"/>
      <c r="B2925" s="656"/>
    </row>
    <row r="2926" spans="1:2">
      <c r="A2926" s="67"/>
      <c r="B2926" s="656"/>
    </row>
    <row r="2927" spans="1:2">
      <c r="A2927" s="67"/>
      <c r="B2927" s="656"/>
    </row>
    <row r="2928" spans="1:2">
      <c r="A2928" s="67"/>
      <c r="B2928" s="656"/>
    </row>
    <row r="2929" spans="1:2">
      <c r="A2929" s="67"/>
      <c r="B2929" s="656"/>
    </row>
    <row r="2930" spans="1:2">
      <c r="A2930" s="67"/>
      <c r="B2930" s="656"/>
    </row>
    <row r="2931" spans="1:2">
      <c r="A2931" s="67"/>
      <c r="B2931" s="656"/>
    </row>
    <row r="2932" spans="1:2">
      <c r="A2932" s="67"/>
      <c r="B2932" s="656"/>
    </row>
    <row r="2933" spans="1:2">
      <c r="A2933" s="67"/>
      <c r="B2933" s="656"/>
    </row>
    <row r="2934" spans="1:2">
      <c r="A2934" s="67"/>
      <c r="B2934" s="656"/>
    </row>
    <row r="2935" spans="1:2">
      <c r="A2935" s="67"/>
      <c r="B2935" s="656"/>
    </row>
    <row r="2936" spans="1:2">
      <c r="A2936" s="67"/>
      <c r="B2936" s="656"/>
    </row>
    <row r="2937" spans="1:2">
      <c r="A2937" s="67"/>
      <c r="B2937" s="656"/>
    </row>
    <row r="2938" spans="1:2">
      <c r="A2938" s="67"/>
      <c r="B2938" s="656"/>
    </row>
    <row r="2939" spans="1:2">
      <c r="A2939" s="67"/>
      <c r="B2939" s="656"/>
    </row>
    <row r="2940" spans="1:2">
      <c r="A2940" s="67"/>
      <c r="B2940" s="656"/>
    </row>
    <row r="2941" spans="1:2">
      <c r="A2941" s="67"/>
      <c r="B2941" s="656"/>
    </row>
    <row r="2942" spans="1:2">
      <c r="A2942" s="67"/>
      <c r="B2942" s="656"/>
    </row>
    <row r="2943" spans="1:2">
      <c r="A2943" s="67"/>
      <c r="B2943" s="656"/>
    </row>
    <row r="2944" spans="1:2">
      <c r="A2944" s="67"/>
      <c r="B2944" s="656"/>
    </row>
    <row r="2945" spans="1:2">
      <c r="A2945" s="67"/>
      <c r="B2945" s="656"/>
    </row>
    <row r="2946" spans="1:2">
      <c r="A2946" s="67"/>
      <c r="B2946" s="656"/>
    </row>
    <row r="2947" spans="1:2">
      <c r="A2947" s="67"/>
      <c r="B2947" s="656"/>
    </row>
    <row r="2948" spans="1:2">
      <c r="A2948" s="67"/>
      <c r="B2948" s="656"/>
    </row>
    <row r="2949" spans="1:2">
      <c r="A2949" s="67"/>
      <c r="B2949" s="656"/>
    </row>
    <row r="2950" spans="1:2">
      <c r="A2950" s="67"/>
      <c r="B2950" s="656"/>
    </row>
    <row r="2951" spans="1:2">
      <c r="A2951" s="67"/>
      <c r="B2951" s="656"/>
    </row>
    <row r="2952" spans="1:2">
      <c r="A2952" s="67"/>
      <c r="B2952" s="656"/>
    </row>
    <row r="2953" spans="1:2">
      <c r="A2953" s="67"/>
      <c r="B2953" s="656"/>
    </row>
    <row r="2954" spans="1:2">
      <c r="A2954" s="67"/>
      <c r="B2954" s="656"/>
    </row>
    <row r="2955" spans="1:2">
      <c r="A2955" s="67"/>
      <c r="B2955" s="656"/>
    </row>
    <row r="2956" spans="1:2">
      <c r="A2956" s="67"/>
      <c r="B2956" s="656"/>
    </row>
    <row r="2957" spans="1:2">
      <c r="A2957" s="67"/>
      <c r="B2957" s="656"/>
    </row>
    <row r="2958" spans="1:2">
      <c r="A2958" s="67"/>
      <c r="B2958" s="656"/>
    </row>
    <row r="2959" spans="1:2">
      <c r="A2959" s="67"/>
      <c r="B2959" s="656"/>
    </row>
    <row r="2960" spans="1:2">
      <c r="A2960" s="67"/>
      <c r="B2960" s="656"/>
    </row>
    <row r="2961" spans="1:2">
      <c r="A2961" s="67"/>
      <c r="B2961" s="656"/>
    </row>
    <row r="2962" spans="1:2">
      <c r="A2962" s="67"/>
      <c r="B2962" s="656"/>
    </row>
    <row r="2963" spans="1:2">
      <c r="A2963" s="67"/>
      <c r="B2963" s="656"/>
    </row>
    <row r="2964" spans="1:2">
      <c r="A2964" s="67"/>
      <c r="B2964" s="656"/>
    </row>
    <row r="2965" spans="1:2">
      <c r="A2965" s="67"/>
      <c r="B2965" s="656"/>
    </row>
    <row r="2966" spans="1:2">
      <c r="A2966" s="67"/>
      <c r="B2966" s="656"/>
    </row>
    <row r="2967" spans="1:2">
      <c r="A2967" s="67"/>
      <c r="B2967" s="656"/>
    </row>
    <row r="2968" spans="1:2">
      <c r="A2968" s="67"/>
      <c r="B2968" s="656"/>
    </row>
    <row r="2969" spans="1:2">
      <c r="A2969" s="67"/>
      <c r="B2969" s="656"/>
    </row>
    <row r="2970" spans="1:2">
      <c r="A2970" s="67"/>
      <c r="B2970" s="656"/>
    </row>
    <row r="2971" spans="1:2">
      <c r="A2971" s="67"/>
      <c r="B2971" s="656"/>
    </row>
    <row r="2972" spans="1:2">
      <c r="A2972" s="67"/>
      <c r="B2972" s="656"/>
    </row>
    <row r="2973" spans="1:2">
      <c r="A2973" s="67"/>
      <c r="B2973" s="656"/>
    </row>
    <row r="2974" spans="1:2">
      <c r="A2974" s="67"/>
      <c r="B2974" s="656"/>
    </row>
    <row r="2975" spans="1:2">
      <c r="A2975" s="67"/>
      <c r="B2975" s="656"/>
    </row>
    <row r="2976" spans="1:2">
      <c r="A2976" s="67"/>
      <c r="B2976" s="656"/>
    </row>
    <row r="2977" spans="1:2">
      <c r="A2977" s="67"/>
      <c r="B2977" s="656"/>
    </row>
    <row r="2978" spans="1:2">
      <c r="A2978" s="67"/>
      <c r="B2978" s="656"/>
    </row>
    <row r="2979" spans="1:2">
      <c r="A2979" s="67"/>
      <c r="B2979" s="656"/>
    </row>
    <row r="2980" spans="1:2">
      <c r="A2980" s="67"/>
      <c r="B2980" s="656"/>
    </row>
    <row r="2981" spans="1:2">
      <c r="A2981" s="67"/>
      <c r="B2981" s="656"/>
    </row>
    <row r="2982" spans="1:2">
      <c r="A2982" s="67"/>
      <c r="B2982" s="656"/>
    </row>
    <row r="2983" spans="1:2">
      <c r="A2983" s="67"/>
      <c r="B2983" s="656"/>
    </row>
    <row r="2984" spans="1:2">
      <c r="A2984" s="67"/>
      <c r="B2984" s="656"/>
    </row>
    <row r="2985" spans="1:2">
      <c r="A2985" s="67"/>
      <c r="B2985" s="656"/>
    </row>
    <row r="2986" spans="1:2">
      <c r="A2986" s="67"/>
      <c r="B2986" s="656"/>
    </row>
    <row r="2987" spans="1:2">
      <c r="A2987" s="67"/>
      <c r="B2987" s="656"/>
    </row>
    <row r="2988" spans="1:2">
      <c r="A2988" s="67"/>
      <c r="B2988" s="656"/>
    </row>
    <row r="2989" spans="1:2">
      <c r="A2989" s="67"/>
      <c r="B2989" s="656"/>
    </row>
    <row r="2990" spans="1:2">
      <c r="A2990" s="67"/>
      <c r="B2990" s="656"/>
    </row>
    <row r="2991" spans="1:2">
      <c r="A2991" s="67"/>
      <c r="B2991" s="656"/>
    </row>
    <row r="2992" spans="1:2">
      <c r="A2992" s="67"/>
      <c r="B2992" s="656"/>
    </row>
    <row r="2993" spans="1:2">
      <c r="A2993" s="67"/>
      <c r="B2993" s="656"/>
    </row>
    <row r="2994" spans="1:2">
      <c r="A2994" s="67"/>
      <c r="B2994" s="656"/>
    </row>
    <row r="2995" spans="1:2">
      <c r="A2995" s="67"/>
      <c r="B2995" s="656"/>
    </row>
    <row r="2996" spans="1:2">
      <c r="A2996" s="67"/>
      <c r="B2996" s="656"/>
    </row>
    <row r="2997" spans="1:2">
      <c r="A2997" s="67"/>
      <c r="B2997" s="656"/>
    </row>
    <row r="2998" spans="1:2">
      <c r="A2998" s="67"/>
      <c r="B2998" s="656"/>
    </row>
    <row r="2999" spans="1:2">
      <c r="A2999" s="67"/>
      <c r="B2999" s="656"/>
    </row>
    <row r="3000" spans="1:2">
      <c r="A3000" s="67"/>
      <c r="B3000" s="656"/>
    </row>
    <row r="3001" spans="1:2">
      <c r="A3001" s="67"/>
      <c r="B3001" s="656"/>
    </row>
    <row r="3002" spans="1:2">
      <c r="A3002" s="67"/>
      <c r="B3002" s="656"/>
    </row>
    <row r="3003" spans="1:2">
      <c r="A3003" s="67"/>
      <c r="B3003" s="656"/>
    </row>
    <row r="3004" spans="1:2">
      <c r="A3004" s="67"/>
      <c r="B3004" s="656"/>
    </row>
    <row r="3005" spans="1:2">
      <c r="A3005" s="67"/>
      <c r="B3005" s="656"/>
    </row>
    <row r="3006" spans="1:2">
      <c r="A3006" s="67"/>
      <c r="B3006" s="656"/>
    </row>
    <row r="3007" spans="1:2">
      <c r="A3007" s="67"/>
      <c r="B3007" s="656"/>
    </row>
    <row r="3008" spans="1:2">
      <c r="A3008" s="67"/>
      <c r="B3008" s="656"/>
    </row>
    <row r="3009" spans="1:2">
      <c r="A3009" s="67"/>
      <c r="B3009" s="656"/>
    </row>
    <row r="3010" spans="1:2">
      <c r="A3010" s="67"/>
      <c r="B3010" s="656"/>
    </row>
    <row r="3011" spans="1:2">
      <c r="A3011" s="67"/>
      <c r="B3011" s="656"/>
    </row>
    <row r="3012" spans="1:2">
      <c r="A3012" s="67"/>
      <c r="B3012" s="656"/>
    </row>
    <row r="3013" spans="1:2">
      <c r="A3013" s="67"/>
      <c r="B3013" s="656"/>
    </row>
    <row r="3014" spans="1:2">
      <c r="A3014" s="67"/>
      <c r="B3014" s="656"/>
    </row>
    <row r="3015" spans="1:2">
      <c r="A3015" s="67"/>
      <c r="B3015" s="656"/>
    </row>
    <row r="3016" spans="1:2">
      <c r="A3016" s="67"/>
      <c r="B3016" s="656"/>
    </row>
    <row r="3017" spans="1:2">
      <c r="A3017" s="67"/>
      <c r="B3017" s="656"/>
    </row>
    <row r="3018" spans="1:2">
      <c r="A3018" s="67"/>
      <c r="B3018" s="656"/>
    </row>
    <row r="3019" spans="1:2">
      <c r="A3019" s="67"/>
      <c r="B3019" s="656"/>
    </row>
    <row r="3020" spans="1:2">
      <c r="A3020" s="67"/>
      <c r="B3020" s="656"/>
    </row>
    <row r="3021" spans="1:2">
      <c r="A3021" s="67"/>
      <c r="B3021" s="656"/>
    </row>
    <row r="3022" spans="1:2">
      <c r="A3022" s="67"/>
      <c r="B3022" s="656"/>
    </row>
    <row r="3023" spans="1:2">
      <c r="A3023" s="67"/>
      <c r="B3023" s="656"/>
    </row>
    <row r="3024" spans="1:2">
      <c r="A3024" s="67"/>
      <c r="B3024" s="656"/>
    </row>
    <row r="3025" spans="1:2">
      <c r="A3025" s="67"/>
      <c r="B3025" s="656"/>
    </row>
    <row r="3026" spans="1:2">
      <c r="A3026" s="67"/>
      <c r="B3026" s="656"/>
    </row>
    <row r="3027" spans="1:2">
      <c r="A3027" s="67"/>
      <c r="B3027" s="656"/>
    </row>
    <row r="3028" spans="1:2">
      <c r="A3028" s="67"/>
      <c r="B3028" s="656"/>
    </row>
    <row r="3029" spans="1:2">
      <c r="A3029" s="67"/>
      <c r="B3029" s="656"/>
    </row>
    <row r="3030" spans="1:2">
      <c r="A3030" s="67"/>
      <c r="B3030" s="656"/>
    </row>
    <row r="3031" spans="1:2">
      <c r="A3031" s="67"/>
      <c r="B3031" s="656"/>
    </row>
    <row r="3032" spans="1:2">
      <c r="A3032" s="67"/>
      <c r="B3032" s="656"/>
    </row>
    <row r="3033" spans="1:2">
      <c r="A3033" s="67"/>
      <c r="B3033" s="656"/>
    </row>
    <row r="3034" spans="1:2">
      <c r="A3034" s="67"/>
      <c r="B3034" s="656"/>
    </row>
    <row r="3035" spans="1:2">
      <c r="A3035" s="67"/>
      <c r="B3035" s="656"/>
    </row>
    <row r="3036" spans="1:2">
      <c r="A3036" s="67"/>
      <c r="B3036" s="656"/>
    </row>
    <row r="3037" spans="1:2">
      <c r="A3037" s="67"/>
      <c r="B3037" s="656"/>
    </row>
    <row r="3038" spans="1:2">
      <c r="A3038" s="67"/>
      <c r="B3038" s="656"/>
    </row>
    <row r="3039" spans="1:2">
      <c r="A3039" s="67"/>
      <c r="B3039" s="656"/>
    </row>
    <row r="3040" spans="1:2">
      <c r="A3040" s="67"/>
      <c r="B3040" s="656"/>
    </row>
    <row r="3041" spans="1:2">
      <c r="A3041" s="67"/>
      <c r="B3041" s="656"/>
    </row>
    <row r="3042" spans="1:2">
      <c r="A3042" s="67"/>
      <c r="B3042" s="656"/>
    </row>
    <row r="3043" spans="1:2">
      <c r="A3043" s="67"/>
      <c r="B3043" s="656"/>
    </row>
    <row r="3044" spans="1:2">
      <c r="A3044" s="67"/>
      <c r="B3044" s="656"/>
    </row>
    <row r="3045" spans="1:2">
      <c r="A3045" s="67"/>
      <c r="B3045" s="656"/>
    </row>
    <row r="3046" spans="1:2">
      <c r="A3046" s="67"/>
      <c r="B3046" s="656"/>
    </row>
    <row r="3047" spans="1:2">
      <c r="A3047" s="67"/>
      <c r="B3047" s="656"/>
    </row>
    <row r="3048" spans="1:2">
      <c r="A3048" s="67"/>
      <c r="B3048" s="656"/>
    </row>
    <row r="3049" spans="1:2">
      <c r="A3049" s="67"/>
      <c r="B3049" s="656"/>
    </row>
    <row r="3050" spans="1:2">
      <c r="A3050" s="67"/>
      <c r="B3050" s="656"/>
    </row>
    <row r="3051" spans="1:2">
      <c r="A3051" s="67"/>
      <c r="B3051" s="656"/>
    </row>
    <row r="3052" spans="1:2">
      <c r="A3052" s="67"/>
      <c r="B3052" s="656"/>
    </row>
    <row r="3053" spans="1:2">
      <c r="A3053" s="67"/>
      <c r="B3053" s="656"/>
    </row>
    <row r="3054" spans="1:2">
      <c r="A3054" s="67"/>
      <c r="B3054" s="656"/>
    </row>
  </sheetData>
  <mergeCells count="17">
    <mergeCell ref="AL20:AM20"/>
    <mergeCell ref="AP20:AQ20"/>
    <mergeCell ref="AN20:AO20"/>
    <mergeCell ref="Y21:Z21"/>
    <mergeCell ref="AP17:AQ17"/>
    <mergeCell ref="AN17:AO17"/>
    <mergeCell ref="AP19:AQ19"/>
    <mergeCell ref="AP24:AQ24"/>
    <mergeCell ref="AN24:AO24"/>
    <mergeCell ref="AH24:AI24"/>
    <mergeCell ref="AJ24:AK24"/>
    <mergeCell ref="AL24:AM24"/>
    <mergeCell ref="AN19:AO19"/>
    <mergeCell ref="A3:J5"/>
    <mergeCell ref="AH17:AJ17"/>
    <mergeCell ref="AL17:AM17"/>
    <mergeCell ref="AL19:AM19"/>
  </mergeCells>
  <phoneticPr fontId="5" type="noConversion"/>
  <pageMargins left="0.37" right="0.4" top="1" bottom="1" header="0.5" footer="0.5"/>
  <pageSetup paperSize="9" scale="55" orientation="portrait" r:id="rId1"/>
  <headerFooter alignWithMargins="0"/>
  <rowBreaks count="1" manualBreakCount="1">
    <brk id="15" min="1" max="12" man="1"/>
  </rowBreaks>
  <drawing r:id="rId2"/>
  <legacyDrawing r:id="rId3"/>
  <oleObjects>
    <mc:AlternateContent xmlns:mc="http://schemas.openxmlformats.org/markup-compatibility/2006">
      <mc:Choice Requires="x14">
        <oleObject progId="Equation.3" shapeId="202767" r:id="rId4">
          <objectPr defaultSize="0" autoPict="0" r:id="rId5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objectPr>
        </oleObject>
      </mc:Choice>
      <mc:Fallback>
        <oleObject progId="Equation.3" shapeId="202767" r:id="rId4"/>
      </mc:Fallback>
    </mc:AlternateContent>
    <mc:AlternateContent xmlns:mc="http://schemas.openxmlformats.org/markup-compatibility/2006">
      <mc:Choice Requires="x14">
        <oleObject progId="Equation.3" shapeId="202768" r:id="rId6">
          <objectPr defaultSize="0" autoPict="0" r:id="rId7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objectPr>
        </oleObject>
      </mc:Choice>
      <mc:Fallback>
        <oleObject progId="Equation.3" shapeId="202768" r:id="rId6"/>
      </mc:Fallback>
    </mc:AlternateContent>
    <mc:AlternateContent xmlns:mc="http://schemas.openxmlformats.org/markup-compatibility/2006">
      <mc:Choice Requires="x14">
        <oleObject progId="Equation.3" shapeId="202769" r:id="rId8">
          <objectPr defaultSize="0" autoPict="0" r:id="rId9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objectPr>
        </oleObject>
      </mc:Choice>
      <mc:Fallback>
        <oleObject progId="Equation.3" shapeId="202769" r:id="rId8"/>
      </mc:Fallback>
    </mc:AlternateContent>
    <mc:AlternateContent xmlns:mc="http://schemas.openxmlformats.org/markup-compatibility/2006">
      <mc:Choice Requires="x14">
        <oleObject progId="Equation.3" shapeId="202770" r:id="rId10">
          <objectPr defaultSize="0" autoPict="0" r:id="rId11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objectPr>
        </oleObject>
      </mc:Choice>
      <mc:Fallback>
        <oleObject progId="Equation.3" shapeId="202770" r:id="rId10"/>
      </mc:Fallback>
    </mc:AlternateContent>
    <mc:AlternateContent xmlns:mc="http://schemas.openxmlformats.org/markup-compatibility/2006">
      <mc:Choice Requires="x14">
        <oleObject progId="Equation.3" shapeId="202771" r:id="rId12">
          <objectPr defaultSize="0" autoPict="0" r:id="rId13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objectPr>
        </oleObject>
      </mc:Choice>
      <mc:Fallback>
        <oleObject progId="Equation.3" shapeId="202771" r:id="rId12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2773" r:id="rId14" name="Button 2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21</xdr:row>
                    <xdr:rowOff>60960</xdr:rowOff>
                  </from>
                  <to>
                    <xdr:col>0</xdr:col>
                    <xdr:colOff>0</xdr:colOff>
                    <xdr:row>23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1:FK773"/>
  <sheetViews>
    <sheetView topLeftCell="A70" zoomScale="55" zoomScaleNormal="55" workbookViewId="0">
      <selection activeCell="U5" sqref="U5"/>
    </sheetView>
  </sheetViews>
  <sheetFormatPr defaultRowHeight="13.2"/>
  <cols>
    <col min="2" max="2" width="2.6640625" customWidth="1"/>
    <col min="3" max="4" width="20.6640625" style="242" bestFit="1" customWidth="1"/>
    <col min="5" max="5" width="20.44140625" style="242" bestFit="1" customWidth="1"/>
    <col min="6" max="6" width="9.6640625" bestFit="1" customWidth="1"/>
    <col min="7" max="7" width="26.33203125" style="242" bestFit="1" customWidth="1"/>
    <col min="8" max="8" width="23.109375" style="242" bestFit="1" customWidth="1"/>
    <col min="9" max="9" width="8.5546875" style="241" customWidth="1"/>
    <col min="10" max="10" width="8.6640625" style="241" bestFit="1" customWidth="1"/>
    <col min="11" max="11" width="22.88671875" bestFit="1" customWidth="1"/>
    <col min="12" max="12" width="7.6640625" customWidth="1"/>
    <col min="13" max="13" width="7.5546875" customWidth="1"/>
    <col min="16" max="16" width="12.44140625" customWidth="1"/>
    <col min="17" max="17" width="10.109375" bestFit="1" customWidth="1"/>
    <col min="18" max="18" width="10.109375" customWidth="1"/>
    <col min="19" max="19" width="9.109375" style="340"/>
    <col min="20" max="20" width="10.6640625" style="242" customWidth="1"/>
    <col min="21" max="21" width="13.33203125" style="248" bestFit="1" customWidth="1"/>
    <col min="22" max="22" width="13.33203125" bestFit="1" customWidth="1"/>
    <col min="23" max="23" width="22.5546875" bestFit="1" customWidth="1"/>
    <col min="24" max="24" width="13.33203125" bestFit="1" customWidth="1"/>
    <col min="25" max="25" width="15" style="248" bestFit="1" customWidth="1"/>
    <col min="26" max="26" width="13.33203125" bestFit="1" customWidth="1"/>
    <col min="27" max="27" width="12.6640625" bestFit="1" customWidth="1"/>
    <col min="28" max="28" width="13.88671875" bestFit="1" customWidth="1"/>
    <col min="29" max="29" width="12.6640625" bestFit="1" customWidth="1"/>
    <col min="31" max="32" width="12.6640625" bestFit="1" customWidth="1"/>
    <col min="33" max="36" width="12.5546875" bestFit="1" customWidth="1"/>
    <col min="40" max="41" width="12.6640625" bestFit="1" customWidth="1"/>
    <col min="42" max="45" width="12.5546875" bestFit="1" customWidth="1"/>
    <col min="49" max="50" width="12.6640625" bestFit="1" customWidth="1"/>
    <col min="51" max="54" width="12.5546875" bestFit="1" customWidth="1"/>
    <col min="58" max="59" width="12.6640625" bestFit="1" customWidth="1"/>
    <col min="60" max="60" width="18.88671875" bestFit="1" customWidth="1"/>
    <col min="61" max="62" width="12.6640625" bestFit="1" customWidth="1"/>
    <col min="67" max="68" width="12.6640625" bestFit="1" customWidth="1"/>
    <col min="69" max="69" width="18.88671875" bestFit="1" customWidth="1"/>
    <col min="70" max="71" width="12.6640625" bestFit="1" customWidth="1"/>
    <col min="76" max="77" width="12.6640625" bestFit="1" customWidth="1"/>
    <col min="78" max="78" width="18.88671875" bestFit="1" customWidth="1"/>
    <col min="79" max="80" width="12.6640625" bestFit="1" customWidth="1"/>
    <col min="85" max="89" width="12.6640625" bestFit="1" customWidth="1"/>
    <col min="98" max="98" width="13.33203125" bestFit="1" customWidth="1"/>
    <col min="107" max="107" width="13.33203125" bestFit="1" customWidth="1"/>
    <col min="116" max="116" width="13.33203125" bestFit="1" customWidth="1"/>
    <col min="122" max="122" width="12.6640625" bestFit="1" customWidth="1"/>
    <col min="124" max="125" width="12.6640625" bestFit="1" customWidth="1"/>
    <col min="130" max="130" width="31.88671875" bestFit="1" customWidth="1"/>
    <col min="131" max="131" width="4.33203125" customWidth="1"/>
    <col min="132" max="132" width="9.109375" style="242"/>
    <col min="133" max="133" width="16.5546875" style="242" bestFit="1" customWidth="1"/>
    <col min="134" max="134" width="9.6640625" style="242" bestFit="1" customWidth="1"/>
    <col min="135" max="136" width="10.44140625" style="242" bestFit="1" customWidth="1"/>
    <col min="137" max="137" width="9.6640625" style="242" bestFit="1" customWidth="1"/>
    <col min="138" max="139" width="10.44140625" style="242" bestFit="1" customWidth="1"/>
    <col min="140" max="140" width="9.109375" style="242"/>
    <col min="141" max="141" width="9.6640625" bestFit="1" customWidth="1"/>
    <col min="142" max="143" width="10.109375" bestFit="1" customWidth="1"/>
    <col min="145" max="145" width="16.5546875" bestFit="1" customWidth="1"/>
    <col min="148" max="148" width="16.5546875" bestFit="1" customWidth="1"/>
    <col min="152" max="152" width="11.6640625" bestFit="1" customWidth="1"/>
    <col min="153" max="153" width="10" bestFit="1" customWidth="1"/>
    <col min="156" max="156" width="10.6640625" bestFit="1" customWidth="1"/>
    <col min="157" max="157" width="12.44140625" bestFit="1" customWidth="1"/>
    <col min="160" max="160" width="17.88671875" style="227" bestFit="1" customWidth="1"/>
    <col min="161" max="161" width="9.109375" style="227"/>
    <col min="162" max="162" width="11" style="227" bestFit="1" customWidth="1"/>
  </cols>
  <sheetData>
    <row r="1" spans="2:140" ht="13.8" thickBot="1">
      <c r="EB1" s="1202" t="s">
        <v>262</v>
      </c>
      <c r="EC1" s="1203"/>
      <c r="ED1" s="1203"/>
      <c r="EE1" s="1203"/>
      <c r="EF1" s="1203"/>
      <c r="EG1" s="1203"/>
      <c r="EH1" s="1203"/>
      <c r="EI1" s="1203"/>
      <c r="EJ1" s="1204"/>
    </row>
    <row r="2" spans="2:140" ht="16.2" thickBot="1">
      <c r="E2" s="1222"/>
      <c r="F2" s="1222"/>
      <c r="G2" s="1222"/>
      <c r="H2" s="285" t="s">
        <v>303</v>
      </c>
      <c r="I2" s="1212" t="s">
        <v>159</v>
      </c>
      <c r="J2" s="1213"/>
      <c r="K2" s="285" t="s">
        <v>304</v>
      </c>
      <c r="L2" s="1212" t="s">
        <v>159</v>
      </c>
      <c r="M2" s="1213"/>
      <c r="P2" s="1214" t="s">
        <v>183</v>
      </c>
      <c r="Q2" s="1223"/>
      <c r="R2" s="1127"/>
      <c r="S2" s="1214" t="s">
        <v>182</v>
      </c>
      <c r="T2" s="1127"/>
      <c r="U2" s="247"/>
      <c r="W2" s="240"/>
    </row>
    <row r="3" spans="2:140" ht="13.8" thickBot="1">
      <c r="H3" s="289" t="s">
        <v>158</v>
      </c>
      <c r="I3" s="286" t="s">
        <v>188</v>
      </c>
      <c r="J3" s="287" t="s">
        <v>189</v>
      </c>
      <c r="K3" s="289" t="s">
        <v>158</v>
      </c>
      <c r="L3" s="286" t="s">
        <v>188</v>
      </c>
      <c r="M3" s="287" t="s">
        <v>189</v>
      </c>
      <c r="DZ3" s="584" t="s">
        <v>296</v>
      </c>
      <c r="EB3" s="1205" t="s">
        <v>183</v>
      </c>
      <c r="EC3" s="1206"/>
      <c r="ED3" s="1206"/>
      <c r="EE3" s="1206"/>
      <c r="EF3" s="1207"/>
      <c r="EG3" s="1206" t="s">
        <v>182</v>
      </c>
      <c r="EH3" s="1206"/>
      <c r="EI3" s="1206"/>
      <c r="EJ3" s="1207"/>
    </row>
    <row r="4" spans="2:140" ht="13.8" thickBot="1">
      <c r="D4" s="569" t="s">
        <v>302</v>
      </c>
      <c r="E4" s="574" t="s">
        <v>186</v>
      </c>
      <c r="F4" s="577"/>
      <c r="G4" s="578" t="s">
        <v>187</v>
      </c>
      <c r="H4" s="290">
        <f>IF(AND(D7=1000,D8=1000),0,IF(AND($G$5&lt;$D$5,$G$6&lt;=$D$5),ABS($G$5-$G$6),0))</f>
        <v>0</v>
      </c>
      <c r="I4" s="291" t="str">
        <f>IF((H4&lt;&gt;0),$G$5,"")</f>
        <v/>
      </c>
      <c r="J4" s="330" t="str">
        <f>IF((H4&lt;&gt;0),$G$6,"")</f>
        <v/>
      </c>
      <c r="K4" s="313"/>
      <c r="L4" s="292"/>
      <c r="M4" s="293"/>
      <c r="N4" s="253"/>
      <c r="P4" s="239" t="s">
        <v>204</v>
      </c>
      <c r="Q4" s="239" t="s">
        <v>205</v>
      </c>
      <c r="R4" s="239" t="s">
        <v>206</v>
      </c>
      <c r="S4" s="344" t="s">
        <v>215</v>
      </c>
      <c r="T4" s="243" t="s">
        <v>216</v>
      </c>
      <c r="U4" s="239" t="s">
        <v>230</v>
      </c>
      <c r="DZ4" s="570">
        <f>'IN-OUT'!$F$32</f>
        <v>10</v>
      </c>
      <c r="EB4" s="1208" t="s">
        <v>241</v>
      </c>
      <c r="EC4" s="1209"/>
      <c r="ED4" s="1209"/>
      <c r="EE4" s="416" t="s">
        <v>242</v>
      </c>
      <c r="EF4" s="417" t="s">
        <v>243</v>
      </c>
      <c r="EG4" s="1200" t="s">
        <v>244</v>
      </c>
      <c r="EH4" s="1201"/>
      <c r="EI4" s="1201"/>
      <c r="EJ4" s="418" t="s">
        <v>245</v>
      </c>
    </row>
    <row r="5" spans="2:140" ht="13.8" thickBot="1">
      <c r="B5" s="266" t="s">
        <v>184</v>
      </c>
      <c r="C5" s="571">
        <f>IF('transversal subsidence profile'!F6=0,'transversal subsidence profile'!J5,'transversal subsidence profile'!J6)</f>
        <v>6.75</v>
      </c>
      <c r="D5" s="475">
        <f>'transversal subsidence profile'!Y1</f>
        <v>-15</v>
      </c>
      <c r="E5" s="575">
        <f>'IN-OUT'!B12</f>
        <v>-22.198671000000001</v>
      </c>
      <c r="F5" s="579" t="s">
        <v>330</v>
      </c>
      <c r="G5" s="580" t="str">
        <f>IF(AND(D7=1000,D8=1000),"Only 2 inflection points",IF(($E$5&gt;=$E$6),"No valid input",IF((OR($E$5&gt;=($D$8+3*$C$6),E6&lt;=($D$5-3*$C$5))),"No settlment",IF(($E$5)&lt;(($D$5)-(3*$C$5)),(($D$5)-(3*$C$5)),$E$5))))</f>
        <v>Only 2 inflection points</v>
      </c>
      <c r="H5" s="294">
        <f>IF(AND(D7=1000,D8=1000),0,IF(AND($G$5&lt;$D$5,$G$6&gt;$D$5,$G$6&lt;=$D$6),ABS($G$5-$D$5),0))</f>
        <v>0</v>
      </c>
      <c r="I5" s="288" t="str">
        <f>IF((H5&lt;&gt;0),$G$5,"")</f>
        <v/>
      </c>
      <c r="J5" s="295" t="str">
        <f>IF((H5&lt;&gt;0),$D$5,"")</f>
        <v/>
      </c>
      <c r="K5" s="314">
        <f>IF(AND(D7=1000,D8=1000),0,IF(AND($G$5&lt;$D$5,$G$6&gt;$D$5,$G$6&lt;=$D$6),ABS($D$5-$G$6),0))</f>
        <v>0</v>
      </c>
      <c r="L5" s="288" t="str">
        <f>IF((K5&lt;&gt;0),$D$5,"")</f>
        <v/>
      </c>
      <c r="M5" s="295" t="str">
        <f>IF((K5&lt;&gt;0),$G$6,"")</f>
        <v/>
      </c>
      <c r="N5" s="253"/>
      <c r="P5" s="380">
        <f>IF($H$4&lt;&gt;0,$H$4,IF($H$5&lt;&gt;0,$H$5,IF($H$6&lt;&gt;0,$H$6,IF($H$8&lt;&gt;0,$H$8,IF($H$11&lt;&gt;0,$H$11,IF($H$15&lt;&gt;0,$H$15,IF($H$16&lt;&gt;0,$H$16,IF($H$18&lt;&gt;0,$H$18,0))))))))</f>
        <v>0</v>
      </c>
      <c r="Q5" s="381">
        <f>IF($H$7&lt;&gt;0,$H$7,IF($H$9&lt;&gt;0,$H$9,IF($H$12&lt;&gt;0,$H$12,IF($H$19&lt;&gt;0,$H$19,IF($H$23&lt;&gt;0,$H$23,IF($H$32&lt;&gt;0,$H$32,0))))))</f>
        <v>0</v>
      </c>
      <c r="R5" s="382">
        <f>IF($H$13&lt;&gt;0,$H$13,0)</f>
        <v>0</v>
      </c>
      <c r="S5" s="383">
        <f>IF($K$5&lt;&gt;0,$K$5,IF($K$6&lt;&gt;0,$K$6,IF($K$8&lt;&gt;0,$K$8,IF($K$11&lt;&gt;0,$K$11,IF($K$14&lt;&gt;0,$K$14,IF($K$15&lt;&gt;0,$K$15,0))))))</f>
        <v>0</v>
      </c>
      <c r="T5" s="384">
        <f>IF($K$9&lt;&gt;0,$K$9,IF($K$12&lt;&gt;0,$K$12,IF($K$17&lt;&gt;0,$K$17,IF($K$19&lt;&gt;0,$K$19,0))))</f>
        <v>0</v>
      </c>
      <c r="U5" s="243">
        <f>('IN-OUT'!D16+'IN-OUT'!D17)</f>
        <v>7</v>
      </c>
      <c r="V5" s="340"/>
      <c r="EB5" s="401">
        <f>IF($H$4&lt;&gt;0,$I$4,IF($H$5&lt;&gt;0,$I$5,IF($H$6&lt;&gt;0,$I$6,IF($H$8&lt;&gt;0,$I$8,IF($H$11&lt;&gt;0,$I$11,IF($H$15&lt;&gt;0,$I$15,IF($H$16&lt;&gt;0,$I$16,IF($H$18&lt;&gt;0,$I$18,1000))))))))</f>
        <v>1000</v>
      </c>
      <c r="EC5" s="402">
        <f>IF($H$20&lt;&gt;0,$I$20,IF($H$21&lt;&gt;0,$I$21,IF($H$22&lt;&gt;0,$I$22,IF($H$25&lt;&gt;0,$I$25,IF($H$26&lt;&gt;0,$I$26,IF($H$29&lt;&gt;0,$I$29,IF($H$30&lt;&gt;0,$I$30,IF($H$31&lt;&gt;0,$I$31,1000))))))))</f>
        <v>-22.198671000000001</v>
      </c>
      <c r="ED5" s="403">
        <f>IF($H$33&lt;&gt;0,$I$33,IF($H$35&lt;&gt;0,$I$35,1000))</f>
        <v>1000</v>
      </c>
      <c r="EE5" s="404">
        <f>IF($H$7&lt;&gt;0,$I$7,IF($H$9&lt;&gt;0,$I$9,IF($H$12&lt;&gt;0,$I$12,IF($H$19&lt;&gt;0,$I$19,IF($H$23&lt;&gt;0,$I$23,IF($H$32&lt;&gt;0,$I$32,1000))))))</f>
        <v>1000</v>
      </c>
      <c r="EF5" s="407">
        <f>IF($H$13&lt;&gt;0,$I$13,1000)</f>
        <v>1000</v>
      </c>
      <c r="EG5" s="412">
        <f>IF($K$5&lt;&gt;0,$L$5,IF($K$6&lt;&gt;0,$L$6,IF($K$8&lt;&gt;0,$L$8,IF($K$11&lt;&gt;0,$L$11,IF($K$14&lt;&gt;0,$L$14,IF($K$15&lt;&gt;0,$L$15,1000))))))</f>
        <v>1000</v>
      </c>
      <c r="EH5" s="405">
        <f>IF($K$16&lt;&gt;0,$L$16,IF($K$18&lt;&gt;0,$L$18,IF($K$21&lt;&gt;0,$L$21,IF($K$22&lt;&gt;0,$L$22,IF($K$24&lt;&gt;0,$L$24,IF($K$25&lt;&gt;0,$L$25,1000))))))</f>
        <v>1000</v>
      </c>
      <c r="EI5" s="406">
        <f>IF($K$30&lt;&gt;0,$L$30,IF($K$31&lt;&gt;0,$L$31,IF($K$33&lt;&gt;0,$L$33,IF($K$34&lt;&gt;0,$L$34,1000))))</f>
        <v>-15</v>
      </c>
      <c r="EJ5" s="407">
        <f>IF($K$9&lt;&gt;0,$L$9,IF($K$12&lt;&gt;0,$L$12,IF($K$17&lt;&gt;0,$L$17,IF($K$19&lt;&gt;0,$L$19,1000))))</f>
        <v>1000</v>
      </c>
    </row>
    <row r="6" spans="2:140" ht="13.8" thickBot="1">
      <c r="B6" s="572" t="s">
        <v>185</v>
      </c>
      <c r="C6" s="573">
        <f>IF('transversal subsidence profile'!B6=0,'transversal subsidence profile'!J6,'transversal subsidence profile'!J5)</f>
        <v>6.75</v>
      </c>
      <c r="D6" s="475">
        <f>'transversal subsidence profile'!Y2</f>
        <v>5</v>
      </c>
      <c r="E6" s="576">
        <f>'IN-OUT'!B13</f>
        <v>-12.488417999999999</v>
      </c>
      <c r="F6" s="579" t="s">
        <v>331</v>
      </c>
      <c r="G6" s="580" t="str">
        <f>IF(AND(D7=1000,D8=1000),"Only 2 inflection points",IF(($E$5&gt;=$E$6),"No valid input",IF(OR($E$6&lt;=($D$5-3*$C$5),($E$5&gt;=($D$8+3*$C$6))),"No settlment",(IF(($E$6)&gt;(($D$8)+(3*$C$6)),(($D$8)+(3*$C$6)),$E$6)))))</f>
        <v>Only 2 inflection points</v>
      </c>
      <c r="H6" s="296">
        <f>IF(AND(D7=1000,D8=1000),0,IF(AND($G$5&lt;$D$5,$G$6&gt;$D$6,$G$6&lt;=$D$7),ABS($G$5-$D$5),0))</f>
        <v>0</v>
      </c>
      <c r="I6" s="288" t="str">
        <f>IF((H6&lt;&gt;0),$G$5,"")</f>
        <v/>
      </c>
      <c r="J6" s="295" t="str">
        <f>IF((H6&lt;&gt;0),$D$5,"")</f>
        <v/>
      </c>
      <c r="K6" s="315">
        <f>IF(AND(D7=1000,D8=1000),0,IF(AND($G$5&lt;$D$5,$G$6&gt;$D$6,$G$6&lt;=$D$7),ABS($D$5-$D$6),0))</f>
        <v>0</v>
      </c>
      <c r="L6" s="288" t="str">
        <f>IF((K6&lt;&gt;0),$D$5,"")</f>
        <v/>
      </c>
      <c r="M6" s="295" t="str">
        <f>IF((K6&lt;&gt;0),$D$6,"")</f>
        <v/>
      </c>
      <c r="N6" s="253"/>
      <c r="P6" s="385">
        <f>IF($H$20&lt;&gt;0,$H$20,IF($H$21&lt;&gt;0,$H$21,IF($H$22&lt;&gt;0,$H$22,IF($H$25&lt;&gt;0,$H$25,IF($H$26&lt;&gt;0,$H$26,IF($H$29&lt;&gt;0,$H$29,IF($H$30&lt;&gt;0,$H$30,IF($H$31&lt;&gt;0,$H$31,0))))))))</f>
        <v>7.1986710000000009</v>
      </c>
      <c r="Q6" s="288"/>
      <c r="R6" s="288"/>
      <c r="S6" s="379">
        <f>IF($K$16&lt;&gt;0,$K$16,IF($K$18&lt;&gt;0,$K$18,IF($K$21&lt;&gt;0,$K$21,IF($K$22&lt;&gt;0,$K$22,IF($K$24&lt;&gt;0,$K$24,IF($K$25&lt;&gt;0,$K$25,0))))))</f>
        <v>0</v>
      </c>
      <c r="T6" s="295"/>
      <c r="EB6" s="408">
        <f>IF($H$4&lt;&gt;0,$J$4,IF($H$5&lt;&gt;0,$J$5,IF($H$6&lt;&gt;0,$J$6,IF($H$8&lt;&gt;0,$J$8,IF($H$11&lt;&gt;0,$J$11,IF($H$15&lt;&gt;0,$J$15,IF($H$16&lt;&gt;0,$J$16,IF($H$18&lt;&gt;0,$J$18,1000))))))))</f>
        <v>1000</v>
      </c>
      <c r="EC6" s="403">
        <f>IF($H$20&lt;&gt;0,$J$20,IF($H$21&lt;&gt;0,$J$21,IF($H$22&lt;&gt;0,$J$22,IF($H$25&lt;&gt;0,$J$25,IF($H$26&lt;&gt;0,$J$26,IF($H$29&lt;&gt;0,$J$29,IF($H$30&lt;&gt;0,$J$30,IF($H$31&lt;&gt;0,$J$31,1000))))))))</f>
        <v>-15</v>
      </c>
      <c r="ED6" s="403">
        <f>IF($H$33&lt;&gt;0,$J$33,IF($H$35&lt;&gt;0,$J$35,1000))</f>
        <v>1000</v>
      </c>
      <c r="EE6" s="409">
        <f>IF($H$7&lt;&gt;0,$J$7,IF($H$9&lt;&gt;0,$J$9,IF($H$12&lt;&gt;0,$J$12,IF($H$19&lt;&gt;0,$J$19,IF($H$23&lt;&gt;0,$J$23,IF($H$32&lt;&gt;0,$J$32,1000))))))</f>
        <v>1000</v>
      </c>
      <c r="EF6" s="411">
        <f>IF($H$13&lt;&gt;0,$J$13,1000)</f>
        <v>1000</v>
      </c>
      <c r="EG6" s="413">
        <f>IF($K$5&lt;&gt;0,$M$5,IF($K$6&lt;&gt;0,$M$6,IF($K$8&lt;&gt;0,$M$8,IF($K$11&lt;&gt;0,$M$11,IF($K$14&lt;&gt;0,$M$14,IF($K$15&lt;&gt;0,$M$15,1000))))))</f>
        <v>1000</v>
      </c>
      <c r="EH6" s="410">
        <f>IF($K$16&lt;&gt;0,$M$16,IF($K$18&lt;&gt;0,$M$18,IF($K$21&lt;&gt;0,$M$21,IF($K$22&lt;&gt;0,$M$22,IF($K$24&lt;&gt;0,$M$24,IF($K$25&lt;&gt;0,$M$25,1000))))))</f>
        <v>1000</v>
      </c>
      <c r="EI6" s="410">
        <f>IF($K$30&lt;&gt;0,$M$30,IF($K$31&lt;&gt;0,$M$31,IF($K$33&lt;&gt;0,$M$33,IF($K$34&lt;&gt;0,$M$34,1000))))</f>
        <v>-12.488417999999999</v>
      </c>
      <c r="EJ6" s="411">
        <f>IF($K$9&lt;&gt;0,$M$9,IF($K$12&lt;&gt;0,$M$12,IF($K$17&lt;&gt;0,$M$17,IF($K$19&lt;&gt;0,$M$19,1000))))</f>
        <v>1000</v>
      </c>
    </row>
    <row r="7" spans="2:140" ht="13.8" thickBot="1">
      <c r="B7" s="227"/>
      <c r="C7" s="241"/>
      <c r="D7" s="475">
        <f>'transversal subsidence profile'!Y3</f>
        <v>1000</v>
      </c>
      <c r="E7" s="241"/>
      <c r="F7" s="581"/>
      <c r="G7" s="582">
        <f>IF(AND(D7&lt;1000,D8&lt;1000),"4 inflection points",IF($E$5&gt;=$E$6,"No valid input",IF((OR($E$5&gt;=($D$6+3*$C$6),$E$6&lt;=($D$5-3*$C$5))),"No settlment",IF(($E$5)&lt;(($D$5)-(3*$C$5)),(($D$5)-(3*$C$5)),$E$5))))</f>
        <v>-22.198671000000001</v>
      </c>
      <c r="H7" s="296">
        <f>IF(AND(D7=1000,D8=1000),0,IF(AND($G$5&lt;$D$5,$G$6&gt;$D$6,$G$6&lt;=$D$7),ABS($D$6-$E$6),0))</f>
        <v>0</v>
      </c>
      <c r="I7" s="288" t="str">
        <f>IF((H7&lt;&gt;0),$D$6,"")</f>
        <v/>
      </c>
      <c r="J7" s="295" t="str">
        <f>IF((H7&lt;&gt;0),$E$6,"")</f>
        <v/>
      </c>
      <c r="K7" s="316"/>
      <c r="L7" s="288"/>
      <c r="M7" s="295"/>
      <c r="N7" s="253"/>
      <c r="P7" s="386">
        <f>IF($H$33&lt;&gt;0,$H$33,IF($H$35&lt;&gt;0,$H$35,0))</f>
        <v>0</v>
      </c>
      <c r="Q7" s="377"/>
      <c r="R7" s="377"/>
      <c r="S7" s="387">
        <f>IF($K$30&lt;&gt;0,$K$30,IF($K$31&lt;&gt;0,$K$31,IF($K$33&lt;&gt;0,$K$33,IF($K$34&lt;&gt;0,$K$34,0))))</f>
        <v>2.5115820000000006</v>
      </c>
      <c r="T7" s="388"/>
    </row>
    <row r="8" spans="2:140" ht="13.8" thickBot="1">
      <c r="B8" s="227"/>
      <c r="C8" s="241"/>
      <c r="D8" s="570">
        <f>'transversal subsidence profile'!Y4</f>
        <v>1000</v>
      </c>
      <c r="E8" s="241"/>
      <c r="F8" s="572"/>
      <c r="G8" s="583">
        <f>IF(AND(D7&lt;1000,D8&lt;1000),"4 inflection points",IF($E$5&gt;=$E$6,"No valid input",IF((OR($E$5&gt;=($D$6+3*$C$6),$E$6&lt;=($D$5-3*$C$5))),"No settlment",IF(($E$6)&gt;(($D$6)+(3*$C$6)),(($D$6)+(3*$C$6)),$E$6))))</f>
        <v>-12.488417999999999</v>
      </c>
      <c r="H8" s="297">
        <f>IF(AND(D7=1000,D8=1000),0,IF(AND($G$5&lt;$D$5,$G$6&gt;$D$7,$G$6&lt;=$D$8),ABS($G$5-$D$5),0))</f>
        <v>0</v>
      </c>
      <c r="I8" s="288" t="str">
        <f>IF((H8&lt;&gt;0),$G$5,"")</f>
        <v/>
      </c>
      <c r="J8" s="295" t="str">
        <f>IF((H8&lt;&gt;0),$D$5,"")</f>
        <v/>
      </c>
      <c r="K8" s="317">
        <f>IF(AND(D7=1000,D8=1000),0,IF(AND($G$5&lt;$D$5,$G$6&gt;$D$7,$G$6&lt;=$D$8),ABS($D$5-$D$6),0))</f>
        <v>0</v>
      </c>
      <c r="L8" s="288" t="str">
        <f>IF((K8&lt;&gt;0),$D$5,"")</f>
        <v/>
      </c>
      <c r="M8" s="295" t="str">
        <f>IF((K8&lt;&gt;0),$D$6,"")</f>
        <v/>
      </c>
      <c r="N8" s="253"/>
      <c r="EB8" s="474" t="s">
        <v>247</v>
      </c>
      <c r="EC8" s="414"/>
      <c r="ED8" s="414"/>
      <c r="EE8" s="474" t="s">
        <v>248</v>
      </c>
      <c r="EF8" s="474" t="s">
        <v>249</v>
      </c>
      <c r="EG8" s="474" t="s">
        <v>250</v>
      </c>
      <c r="EH8" s="414"/>
      <c r="EI8" s="414"/>
      <c r="EJ8" s="474" t="s">
        <v>251</v>
      </c>
    </row>
    <row r="9" spans="2:140" ht="13.8" thickBot="1">
      <c r="D9" s="243"/>
      <c r="H9" s="297">
        <f>IF(AND(D7=1000,D8=1000),0,IF(AND($G$5&lt;$D$5,$G$6&gt;$D$7,$G$6&lt;=$D$8),ABS($D$7-$D$6),0))</f>
        <v>0</v>
      </c>
      <c r="I9" s="288" t="str">
        <f>IF((H9&lt;&gt;0),$D$6,"")</f>
        <v/>
      </c>
      <c r="J9" s="295" t="str">
        <f>IF((H9&lt;&gt;0),$D$7,"")</f>
        <v/>
      </c>
      <c r="K9" s="317">
        <f>IF(AND(D7=1000,D8=1000),0,IF(AND($G$5&lt;$D$5,$G$6&gt;$D$7,$G$6&lt;=$D$8),ABS($G$6-$D$7),0))</f>
        <v>0</v>
      </c>
      <c r="L9" s="288" t="str">
        <f>IF((K9&lt;&gt;0),$D$7,"")</f>
        <v/>
      </c>
      <c r="M9" s="295" t="str">
        <f>IF((K9&lt;&gt;0),$G$6,"")</f>
        <v/>
      </c>
      <c r="N9" s="253"/>
      <c r="O9" s="193">
        <v>0</v>
      </c>
      <c r="P9" s="1221" t="s">
        <v>28</v>
      </c>
      <c r="Q9" s="1129"/>
      <c r="R9" s="1129"/>
      <c r="S9" s="1129"/>
      <c r="T9" s="1130"/>
      <c r="V9" s="283"/>
      <c r="W9" s="283"/>
      <c r="X9" s="283"/>
      <c r="Y9" s="284"/>
      <c r="Z9" s="283"/>
      <c r="AA9" s="283"/>
      <c r="AB9" s="283"/>
      <c r="AC9" s="283"/>
      <c r="AD9" s="283"/>
      <c r="AE9" s="283"/>
      <c r="AF9" s="283"/>
      <c r="AG9" s="283"/>
      <c r="AH9" s="283"/>
      <c r="AI9" s="283"/>
      <c r="AJ9" s="283"/>
      <c r="AK9" s="283"/>
      <c r="AL9" s="283"/>
      <c r="AM9" s="283"/>
      <c r="AN9" s="283"/>
      <c r="AO9" s="283"/>
      <c r="AP9" s="283"/>
      <c r="AQ9" s="283"/>
      <c r="AR9" s="283"/>
      <c r="AS9" s="283"/>
      <c r="AT9" s="283"/>
      <c r="AU9" s="283"/>
      <c r="AV9" s="283"/>
      <c r="AW9" s="283"/>
      <c r="AX9" s="283"/>
      <c r="AY9" s="283"/>
      <c r="AZ9" s="283"/>
      <c r="BA9" s="283"/>
      <c r="BB9" s="283"/>
      <c r="BC9" s="283"/>
      <c r="BD9" s="283"/>
      <c r="BF9" s="282"/>
      <c r="BG9" s="282"/>
      <c r="BH9" s="282"/>
      <c r="BI9" s="282"/>
      <c r="BJ9" s="282"/>
      <c r="BK9" s="282"/>
      <c r="BL9" s="282"/>
      <c r="BM9" s="282"/>
      <c r="BN9" s="282"/>
      <c r="BO9" s="282"/>
      <c r="BP9" s="282"/>
      <c r="BQ9" s="282"/>
      <c r="BR9" s="282"/>
      <c r="BS9" s="282"/>
      <c r="BT9" s="282"/>
      <c r="BU9" s="282"/>
      <c r="BV9" s="282"/>
      <c r="BW9" s="282"/>
      <c r="BX9" s="282"/>
      <c r="BY9" s="282"/>
      <c r="BZ9" s="282"/>
      <c r="CA9" s="282"/>
      <c r="CB9" s="282"/>
      <c r="CC9" s="282"/>
      <c r="CD9" s="282"/>
      <c r="CE9" s="282"/>
      <c r="CF9" s="282"/>
      <c r="CG9" s="282"/>
      <c r="CH9" s="282"/>
      <c r="CI9" s="282"/>
      <c r="CJ9" s="282"/>
      <c r="CK9" s="282"/>
      <c r="CL9" s="282"/>
      <c r="CM9" s="282"/>
      <c r="CN9" s="282"/>
      <c r="CP9" s="238"/>
      <c r="CQ9" s="238"/>
      <c r="CR9" s="238"/>
      <c r="CS9" s="238"/>
      <c r="CT9" s="238"/>
      <c r="CU9" s="238"/>
      <c r="CV9" s="238"/>
      <c r="CW9" s="238"/>
      <c r="CX9" s="238"/>
      <c r="CY9" s="238"/>
      <c r="CZ9" s="238"/>
      <c r="DA9" s="238"/>
      <c r="DB9" s="238"/>
      <c r="DC9" s="238"/>
      <c r="DD9" s="238"/>
      <c r="DE9" s="238"/>
      <c r="DF9" s="238"/>
      <c r="DG9" s="238"/>
      <c r="DH9" s="238"/>
      <c r="DI9" s="238"/>
      <c r="DJ9" s="238"/>
      <c r="DK9" s="238"/>
      <c r="DL9" s="238"/>
      <c r="DM9" s="238"/>
      <c r="DN9" s="238"/>
      <c r="DO9" s="238"/>
      <c r="DP9" s="238"/>
      <c r="DQ9" s="238"/>
      <c r="DR9" s="238"/>
      <c r="DS9" s="238"/>
      <c r="DT9" s="238"/>
      <c r="DU9" s="238"/>
      <c r="DV9" s="238"/>
      <c r="DW9" s="238"/>
      <c r="DX9" s="238"/>
      <c r="EA9" s="239" t="s">
        <v>21</v>
      </c>
      <c r="EB9" s="475">
        <f>IF(EB5&lt;1000,EB5,IF(EC5&lt;1000,EC5,IF(ED5&lt;1000,ED5,0)))</f>
        <v>-22.198671000000001</v>
      </c>
      <c r="EC9" s="370"/>
      <c r="ED9" s="370"/>
      <c r="EE9" s="475">
        <f>IF(EE5&lt;1000,EE5,0)</f>
        <v>0</v>
      </c>
      <c r="EF9" s="475">
        <f>IF(EF5&lt;1000,EF5,0)</f>
        <v>0</v>
      </c>
      <c r="EG9" s="475">
        <f>IF(EG5&lt;1000,EG5,IF(EH5&lt;1000,EH5,IF(EI5&lt;1000,EI5,0)))</f>
        <v>-15</v>
      </c>
      <c r="EH9" s="370"/>
      <c r="EI9" s="370"/>
      <c r="EJ9" s="475">
        <f>IF(EJ5&lt;1000,EJ5,0)</f>
        <v>0</v>
      </c>
    </row>
    <row r="10" spans="2:140" ht="13.8" thickBot="1">
      <c r="D10" s="243"/>
      <c r="H10" s="297"/>
      <c r="I10" s="288"/>
      <c r="J10" s="295"/>
      <c r="K10" s="317"/>
      <c r="L10" s="288"/>
      <c r="M10" s="295"/>
      <c r="N10" s="253"/>
      <c r="P10" s="332" t="s">
        <v>217</v>
      </c>
      <c r="Q10" s="333" t="s">
        <v>218</v>
      </c>
      <c r="R10" s="333" t="s">
        <v>219</v>
      </c>
      <c r="S10" s="345" t="s">
        <v>220</v>
      </c>
      <c r="T10" s="330" t="s">
        <v>221</v>
      </c>
      <c r="V10" s="283"/>
      <c r="W10" s="283"/>
      <c r="X10" s="283"/>
      <c r="Y10" s="284"/>
      <c r="Z10" s="283"/>
      <c r="AA10" s="283"/>
      <c r="AB10" s="283"/>
      <c r="AC10" s="283"/>
      <c r="AD10" s="283"/>
      <c r="AE10" s="283"/>
      <c r="AF10" s="283"/>
      <c r="AG10" s="283"/>
      <c r="AH10" s="283"/>
      <c r="AI10" s="283"/>
      <c r="AJ10" s="283"/>
      <c r="AK10" s="283"/>
      <c r="AL10" s="283"/>
      <c r="AM10" s="283"/>
      <c r="AN10" s="283"/>
      <c r="AO10" s="283"/>
      <c r="AP10" s="283"/>
      <c r="AQ10" s="283"/>
      <c r="AR10" s="283"/>
      <c r="AS10" s="283"/>
      <c r="AT10" s="283"/>
      <c r="AU10" s="283"/>
      <c r="AV10" s="283"/>
      <c r="AW10" s="283"/>
      <c r="AX10" s="283"/>
      <c r="AY10" s="283"/>
      <c r="AZ10" s="283"/>
      <c r="BA10" s="283"/>
      <c r="BB10" s="283"/>
      <c r="BC10" s="283"/>
      <c r="BD10" s="283"/>
      <c r="BF10" s="282"/>
      <c r="BG10" s="282"/>
      <c r="BH10" s="282"/>
      <c r="BI10" s="282"/>
      <c r="BJ10" s="282"/>
      <c r="BK10" s="282"/>
      <c r="BL10" s="282"/>
      <c r="BM10" s="282"/>
      <c r="BN10" s="282"/>
      <c r="BO10" s="282"/>
      <c r="BP10" s="282"/>
      <c r="BQ10" s="282"/>
      <c r="BR10" s="282"/>
      <c r="BS10" s="282"/>
      <c r="BT10" s="282"/>
      <c r="BU10" s="282"/>
      <c r="BV10" s="282"/>
      <c r="BW10" s="282"/>
      <c r="BX10" s="282"/>
      <c r="BY10" s="282"/>
      <c r="BZ10" s="282"/>
      <c r="CA10" s="282"/>
      <c r="CB10" s="282"/>
      <c r="CC10" s="282"/>
      <c r="CD10" s="282"/>
      <c r="CE10" s="282"/>
      <c r="CF10" s="282"/>
      <c r="CG10" s="282"/>
      <c r="CH10" s="282"/>
      <c r="CI10" s="282"/>
      <c r="CJ10" s="282"/>
      <c r="CK10" s="282"/>
      <c r="CL10" s="282"/>
      <c r="CM10" s="282"/>
      <c r="CN10" s="282"/>
      <c r="CP10" s="238"/>
      <c r="CQ10" s="238"/>
      <c r="CR10" s="238"/>
      <c r="CS10" s="238"/>
      <c r="CT10" s="238"/>
      <c r="CU10" s="238"/>
      <c r="CV10" s="238"/>
      <c r="CW10" s="238"/>
      <c r="CX10" s="238"/>
      <c r="CY10" s="238"/>
      <c r="CZ10" s="238"/>
      <c r="DA10" s="238"/>
      <c r="DB10" s="238"/>
      <c r="DC10" s="238"/>
      <c r="DD10" s="238"/>
      <c r="DE10" s="238"/>
      <c r="DF10" s="238"/>
      <c r="DG10" s="238"/>
      <c r="DH10" s="238"/>
      <c r="DI10" s="238"/>
      <c r="DJ10" s="238"/>
      <c r="DK10" s="238"/>
      <c r="DL10" s="238"/>
      <c r="DM10" s="238"/>
      <c r="DN10" s="238"/>
      <c r="DO10" s="238"/>
      <c r="DP10" s="238"/>
      <c r="DQ10" s="238"/>
      <c r="DR10" s="238"/>
      <c r="DS10" s="238"/>
      <c r="DT10" s="238"/>
      <c r="DU10" s="238"/>
      <c r="DV10" s="238"/>
      <c r="DW10" s="238"/>
      <c r="DX10" s="238"/>
      <c r="EA10" s="239" t="s">
        <v>25</v>
      </c>
      <c r="EB10" s="475">
        <f>IF(EB6&lt;1000,EB6,IF(EC6&lt;1000,EC6,IF(ED6&lt;1000,ED6,0)))</f>
        <v>-15</v>
      </c>
      <c r="EC10" s="370"/>
      <c r="ED10" s="370"/>
      <c r="EE10" s="475">
        <f>IF(EE6&lt;1000,EE6,0)</f>
        <v>0</v>
      </c>
      <c r="EF10" s="475">
        <f>IF(EF6&lt;1000,EF6,0)</f>
        <v>0</v>
      </c>
      <c r="EG10" s="475">
        <f>IF(EG6&lt;1000,EG6,IF(EH6&lt;1000,EH6,IF(EI6&lt;1000,EI6,0)))</f>
        <v>-12.488417999999999</v>
      </c>
      <c r="EH10" s="370"/>
      <c r="EI10" s="370"/>
      <c r="EJ10" s="475">
        <f>IF(EJ6&lt;1000,EJ6,0)</f>
        <v>0</v>
      </c>
    </row>
    <row r="11" spans="2:140" ht="26.4" customHeight="1" thickBot="1">
      <c r="D11" s="243"/>
      <c r="H11" s="298">
        <f>IF(AND(D7=1000,D8=1000),0,IF(AND($G$5&lt;$D$5,$G$6&gt;$D$8),ABS($G$5-$D$5),0))</f>
        <v>0</v>
      </c>
      <c r="I11" s="288" t="str">
        <f>IF((H12&lt;&gt;0),$G$5,"")</f>
        <v/>
      </c>
      <c r="J11" s="295" t="str">
        <f>IF((H12&lt;&gt;0),$D$5,"")</f>
        <v/>
      </c>
      <c r="K11" s="318">
        <f>IF(AND(D7=1000,D8=1000),0,IF(AND($G$5&lt;$D$5,$E$6&gt;$D$8),ABS($D$6-$D$5),0))</f>
        <v>0</v>
      </c>
      <c r="L11" s="288" t="str">
        <f>IF((K11&lt;&gt;0),$D$5,"")</f>
        <v/>
      </c>
      <c r="M11" s="295" t="str">
        <f>IF((K11&lt;&gt;0),$D$6,"")</f>
        <v/>
      </c>
      <c r="N11" s="253"/>
      <c r="P11" s="390">
        <f>IF(AND($P$5=0,$P$6=0,$P$7=0),"No building",IF($P$5&lt;&gt;0,$P$5/$U$5,IF($P$6&lt;&gt;0,$P$6/$U$5,IF($P$7&lt;&gt;0,$P$7/$U$5))))</f>
        <v>1.0283815714285716</v>
      </c>
      <c r="Q11" s="391" t="str">
        <f>IF(AND($Q$5=0,$Q$6=0),"No building",IF($Q$5&lt;&gt;0,$Q$5/$U$5,$Q$6/$U$5))</f>
        <v>No building</v>
      </c>
      <c r="R11" s="391" t="str">
        <f>IF(AND($R$5=0,$R$6=0),"No building",IF($R$5&lt;&gt;0,$R$5/$U$5,$R$6/$U$5))</f>
        <v>No building</v>
      </c>
      <c r="S11" s="391">
        <f>IF(AND($S$5=0,$S$6=0,$S$7=0),"No building",IF($S$5&lt;&gt;0,$S$5/$U$5,IF(S6&lt;&gt;0,$S$6/$U$5,IF(S7&lt;&gt;0,S7/U5))))</f>
        <v>0.35879742857142866</v>
      </c>
      <c r="T11" s="392" t="str">
        <f>IF(AND(T5=0,T6=0),"No building",IF(T5&lt;&gt;0,T5/$U$5,T6/$U$5))</f>
        <v>No building</v>
      </c>
      <c r="V11" s="1194" t="s">
        <v>198</v>
      </c>
      <c r="W11" s="1195"/>
      <c r="X11" s="1195"/>
      <c r="Y11" s="1195"/>
      <c r="Z11" s="1195"/>
      <c r="AA11" s="1195"/>
      <c r="AB11" s="1195"/>
      <c r="AC11" s="1196"/>
      <c r="AE11" s="1198" t="s">
        <v>199</v>
      </c>
      <c r="AF11" s="1195"/>
      <c r="AG11" s="1195"/>
      <c r="AH11" s="1195"/>
      <c r="AI11" s="1195"/>
      <c r="AJ11" s="1195"/>
      <c r="AK11" s="1195"/>
      <c r="AL11" s="1196"/>
      <c r="AN11" s="1199" t="s">
        <v>200</v>
      </c>
      <c r="AO11" s="1195"/>
      <c r="AP11" s="1195"/>
      <c r="AQ11" s="1195"/>
      <c r="AR11" s="1195"/>
      <c r="AS11" s="1195"/>
      <c r="AT11" s="1195"/>
      <c r="AU11" s="1196"/>
      <c r="AW11" s="1197" t="s">
        <v>201</v>
      </c>
      <c r="AX11" s="1195"/>
      <c r="AY11" s="1195"/>
      <c r="AZ11" s="1195"/>
      <c r="BA11" s="1195"/>
      <c r="BB11" s="1195"/>
      <c r="BC11" s="1195"/>
      <c r="BD11" s="1196"/>
      <c r="BF11" s="1194" t="s">
        <v>198</v>
      </c>
      <c r="BG11" s="1195"/>
      <c r="BH11" s="1195"/>
      <c r="BI11" s="1195"/>
      <c r="BJ11" s="1195"/>
      <c r="BK11" s="1195"/>
      <c r="BL11" s="1195"/>
      <c r="BM11" s="1196"/>
      <c r="BO11" s="1198" t="s">
        <v>199</v>
      </c>
      <c r="BP11" s="1195"/>
      <c r="BQ11" s="1195"/>
      <c r="BR11" s="1195"/>
      <c r="BS11" s="1195"/>
      <c r="BT11" s="1195"/>
      <c r="BU11" s="1195"/>
      <c r="BV11" s="1196"/>
      <c r="BX11" s="1199" t="s">
        <v>200</v>
      </c>
      <c r="BY11" s="1195"/>
      <c r="BZ11" s="1195"/>
      <c r="CA11" s="1195"/>
      <c r="CB11" s="1195"/>
      <c r="CC11" s="1195"/>
      <c r="CD11" s="1195"/>
      <c r="CE11" s="1196"/>
      <c r="CG11" s="1197" t="s">
        <v>201</v>
      </c>
      <c r="CH11" s="1195"/>
      <c r="CI11" s="1195"/>
      <c r="CJ11" s="1195"/>
      <c r="CK11" s="1195"/>
      <c r="CL11" s="1195"/>
      <c r="CM11" s="1195"/>
      <c r="CN11" s="1196"/>
      <c r="CP11" s="1194" t="s">
        <v>198</v>
      </c>
      <c r="CQ11" s="1195"/>
      <c r="CR11" s="1195"/>
      <c r="CS11" s="1195"/>
      <c r="CT11" s="1195"/>
      <c r="CU11" s="1195"/>
      <c r="CV11" s="1195"/>
      <c r="CW11" s="1196"/>
      <c r="CY11" s="1198" t="s">
        <v>199</v>
      </c>
      <c r="CZ11" s="1195"/>
      <c r="DA11" s="1195"/>
      <c r="DB11" s="1195"/>
      <c r="DC11" s="1195"/>
      <c r="DD11" s="1195"/>
      <c r="DE11" s="1195"/>
      <c r="DF11" s="1196"/>
      <c r="DH11" s="1199" t="s">
        <v>200</v>
      </c>
      <c r="DI11" s="1195"/>
      <c r="DJ11" s="1195"/>
      <c r="DK11" s="1195"/>
      <c r="DL11" s="1195"/>
      <c r="DM11" s="1195"/>
      <c r="DN11" s="1195"/>
      <c r="DO11" s="1196"/>
      <c r="DQ11" s="1197" t="s">
        <v>201</v>
      </c>
      <c r="DR11" s="1195"/>
      <c r="DS11" s="1195"/>
      <c r="DT11" s="1195"/>
      <c r="DU11" s="1195"/>
      <c r="DV11" s="1195"/>
      <c r="DW11" s="1195"/>
      <c r="DX11" s="1196"/>
      <c r="EB11" s="474" t="s">
        <v>236</v>
      </c>
      <c r="EC11" s="473"/>
      <c r="ED11" s="473"/>
      <c r="EE11" s="474" t="s">
        <v>237</v>
      </c>
      <c r="EF11" s="474" t="s">
        <v>238</v>
      </c>
      <c r="EG11" s="474" t="s">
        <v>239</v>
      </c>
      <c r="EH11" s="473"/>
      <c r="EI11" s="473"/>
      <c r="EJ11" s="474" t="s">
        <v>240</v>
      </c>
    </row>
    <row r="12" spans="2:140" ht="13.8" thickBot="1">
      <c r="H12" s="298">
        <f>IF(AND(D7=1000,D8=1000),0,IF(AND($G$5&lt;$D$5,$E$6&gt;$D$8),ABS($D$7-$D$6),0))</f>
        <v>0</v>
      </c>
      <c r="I12" s="288" t="str">
        <f>IF((H11&lt;&gt;0),$D$6,"")</f>
        <v/>
      </c>
      <c r="J12" s="295" t="str">
        <f>IF((H11&lt;&gt;0),$D$7,"")</f>
        <v/>
      </c>
      <c r="K12" s="318">
        <f>IF(AND(D7=1000,D8=1000),0,IF(AND($G$5&lt;$D$5,$G$6&gt;$D$8),ABS($D$8-$D$7),0))</f>
        <v>0</v>
      </c>
      <c r="L12" s="288" t="str">
        <f>IF((K12&lt;&gt;0),$D$7,"")</f>
        <v/>
      </c>
      <c r="M12" s="295" t="str">
        <f>IF((K12&lt;&gt;0),$D$8,"")</f>
        <v/>
      </c>
      <c r="N12" s="253"/>
      <c r="V12" s="281"/>
      <c r="W12" s="260"/>
      <c r="X12" s="260"/>
      <c r="Y12" s="259"/>
      <c r="Z12" s="260"/>
      <c r="AA12" s="260"/>
      <c r="AB12" s="260"/>
      <c r="AC12" s="261"/>
      <c r="AE12" s="280"/>
      <c r="AF12" s="260"/>
      <c r="AG12" s="260"/>
      <c r="AH12" s="259"/>
      <c r="AI12" s="260"/>
      <c r="AJ12" s="260"/>
      <c r="AK12" s="260"/>
      <c r="AL12" s="261"/>
      <c r="AN12" s="280"/>
      <c r="AO12" s="260"/>
      <c r="AP12" s="260"/>
      <c r="AQ12" s="259"/>
      <c r="AR12" s="260"/>
      <c r="AS12" s="260"/>
      <c r="AT12" s="260"/>
      <c r="AU12" s="261"/>
      <c r="AW12" s="280"/>
      <c r="AX12" s="260"/>
      <c r="AY12" s="260"/>
      <c r="AZ12" s="259"/>
      <c r="BA12" s="260"/>
      <c r="BB12" s="260"/>
      <c r="BC12" s="260"/>
      <c r="BD12" s="261"/>
      <c r="BF12" s="281"/>
      <c r="BG12" s="260"/>
      <c r="BH12" s="260"/>
      <c r="BI12" s="259"/>
      <c r="BJ12" s="260"/>
      <c r="BK12" s="260"/>
      <c r="BL12" s="260"/>
      <c r="BM12" s="261"/>
      <c r="BO12" s="280"/>
      <c r="BP12" s="260"/>
      <c r="BQ12" s="260"/>
      <c r="BR12" s="259"/>
      <c r="BS12" s="260"/>
      <c r="BT12" s="260"/>
      <c r="BU12" s="260"/>
      <c r="BV12" s="261"/>
      <c r="BX12" s="280"/>
      <c r="BY12" s="260"/>
      <c r="BZ12" s="260"/>
      <c r="CA12" s="259"/>
      <c r="CB12" s="260"/>
      <c r="CC12" s="260"/>
      <c r="CD12" s="260"/>
      <c r="CE12" s="261"/>
      <c r="CG12" s="280"/>
      <c r="CH12" s="260"/>
      <c r="CI12" s="260"/>
      <c r="CJ12" s="259"/>
      <c r="CK12" s="260"/>
      <c r="CL12" s="260"/>
      <c r="CM12" s="260"/>
      <c r="CN12" s="261"/>
      <c r="CP12" s="281"/>
      <c r="CQ12" s="260"/>
      <c r="CR12" s="260"/>
      <c r="CS12" s="259"/>
      <c r="CT12" s="260"/>
      <c r="CU12" s="260"/>
      <c r="CV12" s="260"/>
      <c r="CW12" s="261"/>
      <c r="CY12" s="280"/>
      <c r="CZ12" s="260"/>
      <c r="DA12" s="260"/>
      <c r="DB12" s="259"/>
      <c r="DC12" s="260"/>
      <c r="DD12" s="260"/>
      <c r="DE12" s="260"/>
      <c r="DF12" s="261"/>
      <c r="DH12" s="280"/>
      <c r="DI12" s="260"/>
      <c r="DJ12" s="260"/>
      <c r="DK12" s="259"/>
      <c r="DL12" s="260"/>
      <c r="DM12" s="260"/>
      <c r="DN12" s="260"/>
      <c r="DO12" s="261"/>
      <c r="DQ12" s="280"/>
      <c r="DR12" s="260"/>
      <c r="DS12" s="260"/>
      <c r="DT12" s="259"/>
      <c r="DU12" s="260"/>
      <c r="DV12" s="260"/>
      <c r="DW12" s="260"/>
      <c r="DX12" s="261"/>
      <c r="EB12" s="476">
        <f>IF(EB9="","",0)</f>
        <v>0</v>
      </c>
      <c r="EC12" s="371"/>
      <c r="ED12" s="371"/>
      <c r="EE12" s="476">
        <f t="shared" ref="EE12:EG13" si="0">IF(EE9="","",0)</f>
        <v>0</v>
      </c>
      <c r="EF12" s="476">
        <f t="shared" si="0"/>
        <v>0</v>
      </c>
      <c r="EG12" s="476">
        <f t="shared" si="0"/>
        <v>0</v>
      </c>
      <c r="EH12" s="371"/>
      <c r="EI12" s="371"/>
      <c r="EJ12" s="476">
        <f>IF(EJ9="","",0)</f>
        <v>0</v>
      </c>
    </row>
    <row r="13" spans="2:140" ht="13.8" thickBot="1">
      <c r="H13" s="298">
        <f>IF(AND(D7=1000,D8=1000),0,IF(AND($G$5&lt;$D$5,$G$6&gt;$D$8),ABS($G$6-$D$8),0))</f>
        <v>0</v>
      </c>
      <c r="I13" s="288" t="str">
        <f>IF((H13&lt;&gt;0),$D$8,"")</f>
        <v/>
      </c>
      <c r="J13" s="295" t="str">
        <f>IF((H13&lt;&gt;0),$G$6,"")</f>
        <v/>
      </c>
      <c r="K13" s="319"/>
      <c r="L13" s="288"/>
      <c r="M13" s="295"/>
      <c r="N13" s="253"/>
      <c r="P13" s="1214" t="s">
        <v>207</v>
      </c>
      <c r="Q13" s="1215"/>
      <c r="R13" s="1215"/>
      <c r="S13" s="1215"/>
      <c r="T13" s="1216"/>
      <c r="V13" s="266"/>
      <c r="W13" s="267"/>
      <c r="X13" s="267"/>
      <c r="Y13" s="268"/>
      <c r="Z13" s="252"/>
      <c r="AA13" s="267"/>
      <c r="AB13" s="267"/>
      <c r="AC13" s="269"/>
      <c r="AE13" s="266"/>
      <c r="AF13" s="267"/>
      <c r="AG13" s="267"/>
      <c r="AH13" s="268"/>
      <c r="AI13" s="252"/>
      <c r="AJ13" s="267"/>
      <c r="AK13" s="267"/>
      <c r="AL13" s="269"/>
      <c r="AN13" s="266"/>
      <c r="AO13" s="267"/>
      <c r="AP13" s="267"/>
      <c r="AQ13" s="268"/>
      <c r="AR13" s="252"/>
      <c r="AS13" s="267"/>
      <c r="AT13" s="267"/>
      <c r="AU13" s="269"/>
      <c r="AW13" s="266"/>
      <c r="AX13" s="267"/>
      <c r="AY13" s="267"/>
      <c r="AZ13" s="268"/>
      <c r="BA13" s="252"/>
      <c r="BB13" s="267"/>
      <c r="BC13" s="267"/>
      <c r="BD13" s="269"/>
      <c r="BF13" s="266"/>
      <c r="BG13" s="267"/>
      <c r="BH13" s="267"/>
      <c r="BI13" s="268"/>
      <c r="BJ13" s="252"/>
      <c r="BK13" s="267"/>
      <c r="BL13" s="267"/>
      <c r="BM13" s="269"/>
      <c r="BO13" s="266"/>
      <c r="BP13" s="267"/>
      <c r="BQ13" s="267"/>
      <c r="BR13" s="268"/>
      <c r="BS13" s="252"/>
      <c r="BT13" s="267"/>
      <c r="BU13" s="267"/>
      <c r="BV13" s="269"/>
      <c r="BX13" s="266"/>
      <c r="BY13" s="267"/>
      <c r="BZ13" s="267"/>
      <c r="CA13" s="268"/>
      <c r="CB13" s="252"/>
      <c r="CC13" s="267"/>
      <c r="CD13" s="267"/>
      <c r="CE13" s="269"/>
      <c r="CG13" s="266"/>
      <c r="CH13" s="267"/>
      <c r="CI13" s="267"/>
      <c r="CJ13" s="268"/>
      <c r="CK13" s="252"/>
      <c r="CL13" s="267"/>
      <c r="CM13" s="267"/>
      <c r="CN13" s="269"/>
      <c r="CP13" s="266"/>
      <c r="CQ13" s="267"/>
      <c r="CR13" s="267"/>
      <c r="CS13" s="268"/>
      <c r="CT13" s="252"/>
      <c r="CU13" s="267"/>
      <c r="CV13" s="267"/>
      <c r="CW13" s="269"/>
      <c r="CY13" s="266"/>
      <c r="CZ13" s="267"/>
      <c r="DA13" s="267"/>
      <c r="DB13" s="268"/>
      <c r="DC13" s="252"/>
      <c r="DD13" s="267"/>
      <c r="DE13" s="267"/>
      <c r="DF13" s="269"/>
      <c r="DH13" s="266"/>
      <c r="DI13" s="267"/>
      <c r="DJ13" s="267"/>
      <c r="DK13" s="268"/>
      <c r="DL13" s="252"/>
      <c r="DM13" s="267"/>
      <c r="DN13" s="267"/>
      <c r="DO13" s="269"/>
      <c r="DQ13" s="266"/>
      <c r="DR13" s="267"/>
      <c r="DS13" s="267"/>
      <c r="DT13" s="268"/>
      <c r="DU13" s="252"/>
      <c r="DV13" s="267"/>
      <c r="DW13" s="267"/>
      <c r="DX13" s="269"/>
      <c r="EB13" s="477">
        <f>IF(EB10="","",0)</f>
        <v>0</v>
      </c>
      <c r="EC13" s="472"/>
      <c r="ED13" s="472"/>
      <c r="EE13" s="477">
        <f t="shared" si="0"/>
        <v>0</v>
      </c>
      <c r="EF13" s="477">
        <f t="shared" si="0"/>
        <v>0</v>
      </c>
      <c r="EG13" s="477">
        <f t="shared" si="0"/>
        <v>0</v>
      </c>
      <c r="EH13" s="472"/>
      <c r="EI13" s="472"/>
      <c r="EJ13" s="477">
        <f>IF(EJ10="","",0)</f>
        <v>0</v>
      </c>
    </row>
    <row r="14" spans="2:140" ht="15.6">
      <c r="H14" s="299"/>
      <c r="I14" s="288" t="str">
        <f>IF((H14&lt;&gt;0),$D$8,"")</f>
        <v/>
      </c>
      <c r="J14" s="295" t="str">
        <f>IF((H14&lt;&gt;0),$G$6,"")</f>
        <v/>
      </c>
      <c r="K14" s="315">
        <f>IF(AND(D7=1000,D8=1000),0,IF(AND($G$5&gt;=$D$5,$G$5&lt;=$D$6,$G$6&gt;$D$5,$G$6&lt;=$D$6),($G$6-$G$5),0))</f>
        <v>0</v>
      </c>
      <c r="L14" s="288" t="str">
        <f>IF((K14&lt;&gt;0),$G$5,"")</f>
        <v/>
      </c>
      <c r="M14" s="295" t="str">
        <f>IF((K14&lt;&gt;0),$G$6,"")</f>
        <v/>
      </c>
      <c r="N14" s="253"/>
      <c r="P14" s="332" t="s">
        <v>209</v>
      </c>
      <c r="Q14" s="333" t="s">
        <v>210</v>
      </c>
      <c r="R14" s="333" t="s">
        <v>211</v>
      </c>
      <c r="S14" s="345" t="s">
        <v>222</v>
      </c>
      <c r="T14" s="333" t="s">
        <v>223</v>
      </c>
      <c r="V14" s="264" t="s">
        <v>191</v>
      </c>
      <c r="W14" s="263" t="s">
        <v>192</v>
      </c>
      <c r="X14" s="1193" t="s">
        <v>197</v>
      </c>
      <c r="Y14" s="1193"/>
      <c r="Z14" s="270"/>
      <c r="AA14" s="270"/>
      <c r="AB14" s="270"/>
      <c r="AC14" s="271"/>
      <c r="AE14" s="264" t="s">
        <v>191</v>
      </c>
      <c r="AF14" s="263" t="s">
        <v>192</v>
      </c>
      <c r="AG14" s="1193" t="s">
        <v>197</v>
      </c>
      <c r="AH14" s="1193"/>
      <c r="AI14" s="270"/>
      <c r="AJ14" s="270"/>
      <c r="AK14" s="270"/>
      <c r="AL14" s="271"/>
      <c r="AN14" s="264" t="s">
        <v>191</v>
      </c>
      <c r="AO14" s="263" t="s">
        <v>192</v>
      </c>
      <c r="AP14" s="1193" t="s">
        <v>197</v>
      </c>
      <c r="AQ14" s="1193"/>
      <c r="AR14" s="270"/>
      <c r="AS14" s="270"/>
      <c r="AT14" s="270"/>
      <c r="AU14" s="271"/>
      <c r="AW14" s="264" t="s">
        <v>191</v>
      </c>
      <c r="AX14" s="263" t="s">
        <v>192</v>
      </c>
      <c r="AY14" s="1193" t="s">
        <v>197</v>
      </c>
      <c r="AZ14" s="1193"/>
      <c r="BA14" s="270"/>
      <c r="BB14" s="270"/>
      <c r="BC14" s="270"/>
      <c r="BD14" s="271"/>
      <c r="BF14" s="264" t="s">
        <v>191</v>
      </c>
      <c r="BG14" s="263" t="s">
        <v>192</v>
      </c>
      <c r="BH14" s="263" t="s">
        <v>197</v>
      </c>
      <c r="BI14" s="263"/>
      <c r="BJ14" s="270"/>
      <c r="BK14" s="270"/>
      <c r="BL14" s="270"/>
      <c r="BM14" s="271"/>
      <c r="BO14" s="264" t="s">
        <v>191</v>
      </c>
      <c r="BP14" s="263" t="s">
        <v>192</v>
      </c>
      <c r="BQ14" s="263" t="s">
        <v>197</v>
      </c>
      <c r="BR14" s="263"/>
      <c r="BS14" s="270"/>
      <c r="BT14" s="270"/>
      <c r="BU14" s="270"/>
      <c r="BV14" s="271"/>
      <c r="BX14" s="264" t="s">
        <v>191</v>
      </c>
      <c r="BY14" s="263" t="s">
        <v>192</v>
      </c>
      <c r="BZ14" s="263" t="s">
        <v>197</v>
      </c>
      <c r="CA14" s="263"/>
      <c r="CB14" s="270"/>
      <c r="CC14" s="270"/>
      <c r="CD14" s="270"/>
      <c r="CE14" s="271"/>
      <c r="CG14" s="264" t="s">
        <v>191</v>
      </c>
      <c r="CH14" s="263" t="s">
        <v>192</v>
      </c>
      <c r="CI14" s="1193" t="s">
        <v>197</v>
      </c>
      <c r="CJ14" s="1193"/>
      <c r="CK14" s="270"/>
      <c r="CL14" s="270"/>
      <c r="CM14" s="270"/>
      <c r="CN14" s="271"/>
      <c r="CP14" s="264" t="s">
        <v>191</v>
      </c>
      <c r="CQ14" s="263" t="s">
        <v>192</v>
      </c>
      <c r="CR14" s="263" t="s">
        <v>197</v>
      </c>
      <c r="CS14" s="263"/>
      <c r="CT14" s="270"/>
      <c r="CU14" s="270"/>
      <c r="CV14" s="270"/>
      <c r="CW14" s="271"/>
      <c r="CY14" s="264" t="s">
        <v>191</v>
      </c>
      <c r="CZ14" s="263" t="s">
        <v>192</v>
      </c>
      <c r="DA14" s="1193" t="s">
        <v>197</v>
      </c>
      <c r="DB14" s="1193"/>
      <c r="DC14" s="270"/>
      <c r="DD14" s="270"/>
      <c r="DE14" s="270"/>
      <c r="DF14" s="271"/>
      <c r="DH14" s="264" t="s">
        <v>191</v>
      </c>
      <c r="DI14" s="263" t="s">
        <v>192</v>
      </c>
      <c r="DJ14" s="1193" t="s">
        <v>197</v>
      </c>
      <c r="DK14" s="1193"/>
      <c r="DL14" s="270"/>
      <c r="DM14" s="270"/>
      <c r="DN14" s="270"/>
      <c r="DO14" s="271"/>
      <c r="DQ14" s="264" t="s">
        <v>191</v>
      </c>
      <c r="DR14" s="263" t="s">
        <v>192</v>
      </c>
      <c r="DS14" s="1193" t="s">
        <v>197</v>
      </c>
      <c r="DT14" s="1193"/>
      <c r="DU14" s="270"/>
      <c r="DV14" s="270"/>
      <c r="DW14" s="270"/>
      <c r="DX14" s="271"/>
    </row>
    <row r="15" spans="2:140" ht="16.2" thickBot="1">
      <c r="H15" s="300">
        <f>IF(AND(D7=1000,D8=1000),0,IF(AND($G$5&gt;=$D$5,$G$5&lt;=$D$6,$G$6&gt;$D$6,$G$6&lt;=$D$7),ABS($G$6-$D$6),0))</f>
        <v>0</v>
      </c>
      <c r="I15" s="288" t="str">
        <f>IF((H15&lt;&gt;0),$D$6,"")</f>
        <v/>
      </c>
      <c r="J15" s="295" t="str">
        <f>IF((H15&lt;&gt;0),$G$6,"")</f>
        <v/>
      </c>
      <c r="K15" s="320">
        <f>IF(AND(D7=1000,D8=1000),0,IF(AND($G$5&gt;=$D$5,$G$5&lt;=$D$6,$G$6&gt;$D$6,$G$6&lt;=$D$7),ABS($D$6-$G$5),0))</f>
        <v>0</v>
      </c>
      <c r="L15" s="288" t="str">
        <f>IF((K15&lt;&gt;0),$G$5,"")</f>
        <v/>
      </c>
      <c r="M15" s="295" t="str">
        <f>IF((K15&lt;&gt;0),$D$6,"")</f>
        <v/>
      </c>
      <c r="N15" s="253"/>
      <c r="P15" s="334">
        <f>IF('IN-OUT'!$F$15=0.5,'Burland damage classification'!$U$5^3/3,'Burland damage classification'!$U$5^3/12)</f>
        <v>28.583333333333332</v>
      </c>
      <c r="Q15" s="335">
        <f>IF('IN-OUT'!$F$15=0.5,'Burland damage classification'!$U$5^3/3,'Burland damage classification'!$U$5^3/12)</f>
        <v>28.583333333333332</v>
      </c>
      <c r="R15" s="335">
        <f>IF('IN-OUT'!$F$15=0.5,'Burland damage classification'!$U$5^3/3,'Burland damage classification'!$U$5^3/12)</f>
        <v>28.583333333333332</v>
      </c>
      <c r="S15" s="346">
        <f>($U$5^3)/12</f>
        <v>28.583333333333332</v>
      </c>
      <c r="T15" s="335">
        <f>$U$5^3/12</f>
        <v>28.583333333333332</v>
      </c>
      <c r="V15" s="256" t="s">
        <v>190</v>
      </c>
      <c r="W15" s="250" t="s">
        <v>190</v>
      </c>
      <c r="X15" s="250" t="s">
        <v>194</v>
      </c>
      <c r="Y15" s="250" t="s">
        <v>195</v>
      </c>
      <c r="Z15" s="249" t="s">
        <v>202</v>
      </c>
      <c r="AA15" s="249" t="s">
        <v>203</v>
      </c>
      <c r="AB15" s="249" t="s">
        <v>193</v>
      </c>
      <c r="AC15" s="257" t="s">
        <v>196</v>
      </c>
      <c r="AE15" s="256" t="s">
        <v>190</v>
      </c>
      <c r="AF15" s="250" t="s">
        <v>190</v>
      </c>
      <c r="AG15" s="250" t="s">
        <v>194</v>
      </c>
      <c r="AH15" s="250" t="s">
        <v>195</v>
      </c>
      <c r="AI15" s="249" t="s">
        <v>202</v>
      </c>
      <c r="AJ15" s="249" t="s">
        <v>203</v>
      </c>
      <c r="AK15" s="249" t="s">
        <v>193</v>
      </c>
      <c r="AL15" s="257" t="s">
        <v>196</v>
      </c>
      <c r="AN15" s="256" t="s">
        <v>190</v>
      </c>
      <c r="AO15" s="250" t="s">
        <v>190</v>
      </c>
      <c r="AP15" s="250" t="s">
        <v>194</v>
      </c>
      <c r="AQ15" s="250" t="s">
        <v>195</v>
      </c>
      <c r="AR15" s="249" t="s">
        <v>202</v>
      </c>
      <c r="AS15" s="249" t="s">
        <v>203</v>
      </c>
      <c r="AT15" s="249" t="s">
        <v>193</v>
      </c>
      <c r="AU15" s="257" t="s">
        <v>196</v>
      </c>
      <c r="AW15" s="256" t="s">
        <v>190</v>
      </c>
      <c r="AX15" s="250" t="s">
        <v>190</v>
      </c>
      <c r="AY15" s="250" t="s">
        <v>194</v>
      </c>
      <c r="AZ15" s="250" t="s">
        <v>195</v>
      </c>
      <c r="BA15" s="249" t="s">
        <v>202</v>
      </c>
      <c r="BB15" s="249" t="s">
        <v>203</v>
      </c>
      <c r="BC15" s="249" t="s">
        <v>193</v>
      </c>
      <c r="BD15" s="257" t="s">
        <v>196</v>
      </c>
      <c r="BF15" s="256" t="s">
        <v>190</v>
      </c>
      <c r="BG15" s="250" t="s">
        <v>190</v>
      </c>
      <c r="BH15" s="250" t="s">
        <v>194</v>
      </c>
      <c r="BI15" s="250" t="s">
        <v>195</v>
      </c>
      <c r="BJ15" s="249" t="s">
        <v>202</v>
      </c>
      <c r="BK15" s="249" t="s">
        <v>203</v>
      </c>
      <c r="BL15" s="249" t="s">
        <v>193</v>
      </c>
      <c r="BM15" s="257" t="s">
        <v>196</v>
      </c>
      <c r="BO15" s="256" t="s">
        <v>190</v>
      </c>
      <c r="BP15" s="250" t="s">
        <v>190</v>
      </c>
      <c r="BQ15" s="250" t="s">
        <v>194</v>
      </c>
      <c r="BR15" s="250" t="s">
        <v>195</v>
      </c>
      <c r="BS15" s="249" t="s">
        <v>202</v>
      </c>
      <c r="BT15" s="249" t="s">
        <v>203</v>
      </c>
      <c r="BU15" s="249" t="s">
        <v>193</v>
      </c>
      <c r="BV15" s="257" t="s">
        <v>196</v>
      </c>
      <c r="BX15" s="256" t="s">
        <v>190</v>
      </c>
      <c r="BY15" s="250" t="s">
        <v>190</v>
      </c>
      <c r="BZ15" s="250" t="s">
        <v>194</v>
      </c>
      <c r="CA15" s="250" t="s">
        <v>195</v>
      </c>
      <c r="CB15" s="249" t="s">
        <v>202</v>
      </c>
      <c r="CC15" s="249" t="s">
        <v>203</v>
      </c>
      <c r="CD15" s="249" t="s">
        <v>193</v>
      </c>
      <c r="CE15" s="257" t="s">
        <v>196</v>
      </c>
      <c r="CG15" s="256" t="s">
        <v>190</v>
      </c>
      <c r="CH15" s="250" t="s">
        <v>190</v>
      </c>
      <c r="CI15" s="250" t="s">
        <v>194</v>
      </c>
      <c r="CJ15" s="250" t="s">
        <v>195</v>
      </c>
      <c r="CK15" s="249" t="s">
        <v>202</v>
      </c>
      <c r="CL15" s="249" t="s">
        <v>203</v>
      </c>
      <c r="CM15" s="249" t="s">
        <v>193</v>
      </c>
      <c r="CN15" s="257" t="s">
        <v>196</v>
      </c>
      <c r="CP15" s="256" t="s">
        <v>190</v>
      </c>
      <c r="CQ15" s="250" t="s">
        <v>190</v>
      </c>
      <c r="CR15" s="250" t="s">
        <v>194</v>
      </c>
      <c r="CS15" s="250" t="s">
        <v>195</v>
      </c>
      <c r="CT15" s="249" t="s">
        <v>202</v>
      </c>
      <c r="CU15" s="249" t="s">
        <v>203</v>
      </c>
      <c r="CV15" s="249" t="s">
        <v>193</v>
      </c>
      <c r="CW15" s="257" t="s">
        <v>196</v>
      </c>
      <c r="CY15" s="256" t="s">
        <v>190</v>
      </c>
      <c r="CZ15" s="250" t="s">
        <v>190</v>
      </c>
      <c r="DA15" s="250" t="s">
        <v>194</v>
      </c>
      <c r="DB15" s="250" t="s">
        <v>195</v>
      </c>
      <c r="DC15" s="249" t="s">
        <v>202</v>
      </c>
      <c r="DD15" s="249" t="s">
        <v>203</v>
      </c>
      <c r="DE15" s="249" t="s">
        <v>193</v>
      </c>
      <c r="DF15" s="257" t="s">
        <v>196</v>
      </c>
      <c r="DH15" s="256" t="s">
        <v>190</v>
      </c>
      <c r="DI15" s="250" t="s">
        <v>190</v>
      </c>
      <c r="DJ15" s="250" t="s">
        <v>194</v>
      </c>
      <c r="DK15" s="250" t="s">
        <v>195</v>
      </c>
      <c r="DL15" s="249" t="s">
        <v>202</v>
      </c>
      <c r="DM15" s="249" t="s">
        <v>203</v>
      </c>
      <c r="DN15" s="249" t="s">
        <v>193</v>
      </c>
      <c r="DO15" s="257" t="s">
        <v>196</v>
      </c>
      <c r="DQ15" s="256" t="s">
        <v>190</v>
      </c>
      <c r="DR15" s="250" t="s">
        <v>190</v>
      </c>
      <c r="DS15" s="250" t="s">
        <v>194</v>
      </c>
      <c r="DT15" s="250" t="s">
        <v>195</v>
      </c>
      <c r="DU15" s="249" t="s">
        <v>202</v>
      </c>
      <c r="DV15" s="249" t="s">
        <v>203</v>
      </c>
      <c r="DW15" s="249" t="s">
        <v>193</v>
      </c>
      <c r="DX15" s="257" t="s">
        <v>196</v>
      </c>
    </row>
    <row r="16" spans="2:140" ht="13.8" thickBot="1">
      <c r="H16" s="301">
        <f>IF(AND(D7=1000,D8=1000),0,IF(AND($G$5&gt;=$D$5,$G$5&lt;=$D$6,$G$6&gt;$D$7,$G$6&lt;=$D$8),ABS($D$7-$D$6),0))</f>
        <v>0</v>
      </c>
      <c r="I16" s="288" t="str">
        <f>IF((H16&lt;&gt;0),$D$6,"")</f>
        <v/>
      </c>
      <c r="J16" s="295" t="str">
        <f>IF((H16&lt;&gt;0),$D$7,"")</f>
        <v/>
      </c>
      <c r="K16" s="321">
        <f>IF(AND(D7=1000,D8=1000),0,IF(AND($G$5&gt;=$D$5,$G$5&lt;=$D$6,$G$6&gt;$D$7,$G$6&lt;=$D$8),ABS($D$6-$G$5),0))</f>
        <v>0</v>
      </c>
      <c r="L16" s="288" t="str">
        <f>IF((K16&lt;&gt;0),$G$5,"")</f>
        <v/>
      </c>
      <c r="M16" s="295" t="str">
        <f>IF((K16&lt;&gt;0),$D$6,"")</f>
        <v/>
      </c>
      <c r="N16" s="253"/>
      <c r="P16" s="270"/>
      <c r="Q16" s="270"/>
      <c r="R16" s="270"/>
      <c r="S16" s="347"/>
      <c r="T16" s="241"/>
      <c r="V16" s="258">
        <f>(((IF($P$5&lt;&gt;0,$P$5,IF($P$6&lt;&gt;0,$P$6,IF($P$7&lt;&gt;0,$P$7,0))))/(12*$P$19))+(((3*$P$15)/(2*(IF($P$5&lt;&gt;0,$P$5,IF($P$6&lt;&gt;0,$P$6,IF($P$7&lt;&gt;0,$P$7,0))))*$U$5*$P$19))*'IN-OUT'!$F$15))*'Burland damage classification'!Z16</f>
        <v>1.070050758869066E-3</v>
      </c>
      <c r="W16" s="262">
        <f>(1+(((IF($P$5&lt;&gt;0,$P$5^2,IF($P$6&lt;&gt;0,$P$6^2,IF($P$7&lt;&gt;0,$P$7^2))))*$U$5)/(18*$P$15))*('IN-OUT'!$F$15^(-1)))*AA16</f>
        <v>3.5213455389251371E-4</v>
      </c>
      <c r="X16" s="262">
        <f t="shared" ref="X16:X47" si="1">MIN(V16,W16)</f>
        <v>3.5213455389251371E-4</v>
      </c>
      <c r="Y16" s="262">
        <f>X16*100</f>
        <v>3.5213455389251372E-2</v>
      </c>
      <c r="Z16" s="916">
        <f>$P$25</f>
        <v>3.3333333333333332E-4</v>
      </c>
      <c r="AA16" s="270">
        <f t="shared" ref="AA16:AA47" si="2">($P$25^2-(2*0.35*$P$25*AB16))^0.5</f>
        <v>3.3333333333333332E-4</v>
      </c>
      <c r="AB16" s="270">
        <f>0</f>
        <v>0</v>
      </c>
      <c r="AC16" s="271">
        <f>AB16*100</f>
        <v>0</v>
      </c>
      <c r="AE16" s="258">
        <f>(((IF($P$5&lt;&gt;0,$P$5,IF($P$6&lt;&gt;0,$P$6,IF($P$7&lt;&gt;0,$P$7,0))))/(12*$P$19))+(((3*$P$15)/(2*(IF($P$5&lt;&gt;0,$P$5,IF($P$6&lt;&gt;0,$P$6,IF($P$7&lt;&gt;0,$P$7,0))))*$U$5*$P$19))*'IN-OUT'!$F$15))*'Burland damage classification'!AI16</f>
        <v>1.605076138303599E-3</v>
      </c>
      <c r="AF16" s="254">
        <f>(1+(((IF($P$5&lt;&gt;0,$P$5^2,IF($P$6&lt;&gt;0,$P$6^2,IF($P$7&lt;&gt;0,$P$7^2))))*$U$5)/(18*$P$15))*('IN-OUT'!$F$15^(-1)))*AJ16</f>
        <v>5.2820183083877056E-4</v>
      </c>
      <c r="AG16" s="254">
        <f t="shared" ref="AG16:AG47" si="3">MIN(AE16,AF16)</f>
        <v>5.2820183083877056E-4</v>
      </c>
      <c r="AH16" s="254">
        <f>AG16*100</f>
        <v>5.2820183083877058E-2</v>
      </c>
      <c r="AI16" s="254">
        <f>$P$26</f>
        <v>5.0000000000000001E-4</v>
      </c>
      <c r="AJ16" s="253">
        <f t="shared" ref="AJ16:AJ47" si="4">($P$26^2-(2*0.35*$P$26*AK16))^0.5</f>
        <v>5.0000000000000001E-4</v>
      </c>
      <c r="AK16" s="253">
        <f>0</f>
        <v>0</v>
      </c>
      <c r="AL16" s="255">
        <f>AK16*100</f>
        <v>0</v>
      </c>
      <c r="AN16" s="258">
        <f>(((IF($P$5&lt;&gt;0,$P$5,IF($P$6&lt;&gt;0,$P$6,IF($P$7&lt;&gt;0,$P$7,0))))/(12*$P$19))+(((3*$P$15)/(2*(IF($P$5&lt;&gt;0,$P$5,IF($P$6&lt;&gt;0,$P$6,IF($P$7&lt;&gt;0,$P$7,0))))*$U$5*$P$19))*'IN-OUT'!$F$15))*'Burland damage classification'!AR16</f>
        <v>3.2101522766071981E-3</v>
      </c>
      <c r="AO16" s="254">
        <f>(1+(((IF($P$5&lt;&gt;0,$P$5^2,IF($P$6&lt;&gt;0,$P$6^2,IF($P$7&lt;&gt;0,$P$7^2))))*$U$5)/(18*$P$15))*('IN-OUT'!$F$15^(-1)))*AS16</f>
        <v>1.0564036616775411E-3</v>
      </c>
      <c r="AP16" s="254">
        <f t="shared" ref="AP16:AP47" si="5">MIN(AN16,AO16)</f>
        <v>1.0564036616775411E-3</v>
      </c>
      <c r="AQ16" s="254">
        <f>AP16*100</f>
        <v>0.10564036616775412</v>
      </c>
      <c r="AR16" s="254">
        <f>$P$27</f>
        <v>1E-3</v>
      </c>
      <c r="AS16" s="253">
        <f t="shared" ref="AS16:AS47" si="6">($P$27^2-(2*0.35*$P$27*AT16))^0.5</f>
        <v>1E-3</v>
      </c>
      <c r="AT16" s="253">
        <f>0</f>
        <v>0</v>
      </c>
      <c r="AU16" s="255">
        <f>AT16*100</f>
        <v>0</v>
      </c>
      <c r="AW16" s="258">
        <f>(((IF($P$5&lt;&gt;0,$P$5,IF($P$6&lt;&gt;0,$P$6,IF($P$7&lt;&gt;0,$P$7,0))))/(12*$P$19))+(((3*$P$15)/(2*(IF($P$5&lt;&gt;0,$P$5,IF($P$6&lt;&gt;0,$P$6,IF($P$7&lt;&gt;0,$P$7,0))))*$U$5*$P$19))*'IN-OUT'!$F$15))*'Burland damage classification'!BA16</f>
        <v>6.4203045532143961E-3</v>
      </c>
      <c r="AX16" s="254">
        <f>(1+(((IF($P$5&lt;&gt;0,$P$5^2,IF($P$6&lt;&gt;0,$P$6^2,IF($P$7&lt;&gt;0,$P$7^2))))*$U$5)/(18*$P$15))*('IN-OUT'!$F$15^(-1)))*BB16</f>
        <v>2.1128073233550823E-3</v>
      </c>
      <c r="AY16" s="254">
        <f t="shared" ref="AY16:AY47" si="7">MIN(AW16,AX16)</f>
        <v>2.1128073233550823E-3</v>
      </c>
      <c r="AZ16" s="254">
        <f>AY16*100</f>
        <v>0.21128073233550823</v>
      </c>
      <c r="BA16" s="254">
        <f>$P$28</f>
        <v>2E-3</v>
      </c>
      <c r="BB16" s="270">
        <f t="shared" ref="BB16:BB79" si="8">($P$28^2-(2*0.35*$P$28*BC16))^0.5</f>
        <v>2E-3</v>
      </c>
      <c r="BC16" s="253">
        <f>0</f>
        <v>0</v>
      </c>
      <c r="BD16" s="255">
        <f>BC16*100</f>
        <v>0</v>
      </c>
      <c r="BF16" s="258" t="e">
        <f>((((IF($Q$5=0,$Q$6,$Q$5)))/(12*$Q$19))+(((3*$Q$15)/(2*IF($Q$5=0,$Q$6,$Q$5)*$U$5*$Q$19))*'IN-OUT'!$F$15))*'Burland damage classification'!BJ16</f>
        <v>#DIV/0!</v>
      </c>
      <c r="BG16" s="262">
        <f>(1+(((IF($Q$5=0,$Q$6^2,$Q$5^2))*$U$5)/(18*$Q$15))*('IN-OUT'!$F$15^(-1)))*BK16</f>
        <v>3.3333333333333332E-4</v>
      </c>
      <c r="BH16" s="262" t="e">
        <f t="shared" ref="BH16:BH47" si="9">MIN(BF16,BG16)</f>
        <v>#DIV/0!</v>
      </c>
      <c r="BI16" s="262" t="e">
        <f>BH16*100</f>
        <v>#DIV/0!</v>
      </c>
      <c r="BJ16" s="262">
        <f>$P$25</f>
        <v>3.3333333333333332E-4</v>
      </c>
      <c r="BK16" s="270">
        <f t="shared" ref="BK16:BK47" si="10">($P$25^2-(2*0.35*$P$25*BL16))^0.5</f>
        <v>3.3333333333333332E-4</v>
      </c>
      <c r="BL16" s="270">
        <f>0</f>
        <v>0</v>
      </c>
      <c r="BM16" s="271">
        <f>BL16*100</f>
        <v>0</v>
      </c>
      <c r="BO16" s="258" t="e">
        <f>((((IF($Q$5=0,$Q$6,$Q$5)))/(12*$Q$19))+(((3*$Q$15)/(2*IF($Q$5=0,$Q$6,$Q$5)*$U$5*$Q$19))*'IN-OUT'!$F$15))*'Burland damage classification'!BS16</f>
        <v>#DIV/0!</v>
      </c>
      <c r="BP16" s="262">
        <f>(1+(((IF($Q$5=0,$Q$6^2,$Q$5^2))*$U$5)/(18*$Q$15))*('IN-OUT'!$F$15^(-1)))*BT16</f>
        <v>5.0000000000000001E-4</v>
      </c>
      <c r="BQ16" s="254" t="e">
        <f t="shared" ref="BQ16:BQ79" si="11">MIN(BO16,BP16)</f>
        <v>#DIV/0!</v>
      </c>
      <c r="BR16" s="254" t="e">
        <f>BQ16*100</f>
        <v>#DIV/0!</v>
      </c>
      <c r="BS16" s="254">
        <f>$P$26</f>
        <v>5.0000000000000001E-4</v>
      </c>
      <c r="BT16" s="253">
        <f t="shared" ref="BT16:BT47" si="12">($P$26^2-(2*0.35*$P$26*BU16))^0.5</f>
        <v>5.0000000000000001E-4</v>
      </c>
      <c r="BU16" s="253">
        <f>0</f>
        <v>0</v>
      </c>
      <c r="BV16" s="255">
        <f>BU16*100</f>
        <v>0</v>
      </c>
      <c r="BX16" s="258" t="e">
        <f>((((IF($Q$5=0,$Q$6,$Q$5)))/(12*$Q$19))+(((3*$Q$15)/(2*IF($Q$5=0,$Q$6,$Q$5)*$U$5*$Q$19))*'IN-OUT'!$F$15))*'Burland damage classification'!CB16</f>
        <v>#DIV/0!</v>
      </c>
      <c r="BY16" s="262">
        <f>(1+(((IF($Q$5=0,$Q$6^2,$Q$5^2))*$U$5)/(18*$Q$15))*('IN-OUT'!$F$15^(-1)))*CC16</f>
        <v>1E-3</v>
      </c>
      <c r="BZ16" s="254" t="e">
        <f t="shared" ref="BZ16:BZ79" si="13">MIN(BX16,BY16)</f>
        <v>#DIV/0!</v>
      </c>
      <c r="CA16" s="254" t="e">
        <f>BZ16*100</f>
        <v>#DIV/0!</v>
      </c>
      <c r="CB16" s="254">
        <f>$P$27</f>
        <v>1E-3</v>
      </c>
      <c r="CC16" s="253">
        <f t="shared" ref="CC16:CC47" si="14">($P$27^2-(2*0.35*$P$27*CD16))^0.5</f>
        <v>1E-3</v>
      </c>
      <c r="CD16" s="253">
        <f>0</f>
        <v>0</v>
      </c>
      <c r="CE16" s="255">
        <f>CD16*100</f>
        <v>0</v>
      </c>
      <c r="CG16" s="258" t="e">
        <f>((((IF($Q$5=0,$Q$6,$Q$5)))/(12*$Q$19))+(((3*$Q$15)/(2*IF($Q$5=0,$Q$6,$Q$5)*$U$5*$Q$19))*'IN-OUT'!$F$15))*'Burland damage classification'!CK16</f>
        <v>#DIV/0!</v>
      </c>
      <c r="CH16" s="262">
        <f>(1+(((IF($Q$5=0,$Q$6^2,$Q$5^2))*$U$5)/(18*$Q$15))*('IN-OUT'!$F$15^(-1)))*CL16</f>
        <v>2E-3</v>
      </c>
      <c r="CI16" s="254" t="e">
        <f t="shared" ref="CI16:CI79" si="15">MIN(CG16,CH16)</f>
        <v>#DIV/0!</v>
      </c>
      <c r="CJ16" s="254" t="e">
        <f>CI16*100</f>
        <v>#DIV/0!</v>
      </c>
      <c r="CK16" s="254">
        <f>$P$28</f>
        <v>2E-3</v>
      </c>
      <c r="CL16" s="270">
        <f t="shared" ref="CL16:CL79" si="16">($P$28^2-(2*0.35*$P$28*CM16))^0.5</f>
        <v>2E-3</v>
      </c>
      <c r="CM16" s="253">
        <f>0</f>
        <v>0</v>
      </c>
      <c r="CN16" s="255">
        <f>CM16*100</f>
        <v>0</v>
      </c>
      <c r="CP16" s="258" t="e">
        <f>((((IF($R$5=0,$R$6,$R$5)))/(12*$R$19))+(((3*$R$15)/(2*IF($R$5=0,$R$6,$R$5)*$U$5*$R$19))*'IN-OUT'!$F$15))*'Burland damage classification'!CT16</f>
        <v>#DIV/0!</v>
      </c>
      <c r="CQ16" s="262">
        <f>(1+(((IF($R$5=0,$R$6^2,$R$5^2))*$U$5)/(18*$R$15))*('IN-OUT'!$F$15^(-1)))*CU16</f>
        <v>3.3333333333333332E-4</v>
      </c>
      <c r="CR16" s="262" t="e">
        <f t="shared" ref="CR16:CR47" si="17">MIN(CP16,CQ16)</f>
        <v>#DIV/0!</v>
      </c>
      <c r="CS16" s="262" t="e">
        <f>CR16*100</f>
        <v>#DIV/0!</v>
      </c>
      <c r="CT16" s="262">
        <f>$P$25</f>
        <v>3.3333333333333332E-4</v>
      </c>
      <c r="CU16" s="270">
        <f t="shared" ref="CU16:CU47" si="18">($P$25^2-(2*0.35*$P$25*CV16))^0.5</f>
        <v>3.3333333333333332E-4</v>
      </c>
      <c r="CV16" s="270">
        <f>0</f>
        <v>0</v>
      </c>
      <c r="CW16" s="271">
        <f>CV16*100</f>
        <v>0</v>
      </c>
      <c r="CY16" s="258" t="e">
        <f>((((IF($R$5=0,$R$6,$R$5)))/(12*$R$19))+(((3*$R$15)/(2*IF($R$5=0,$R$6,$R$5)*$U$5*$R$19))*'IN-OUT'!$F$15))*'Burland damage classification'!DC16</f>
        <v>#DIV/0!</v>
      </c>
      <c r="CZ16" s="262">
        <f>(1+(((IF($R$5=0,$R$6^2,$R$5^2))*$U$5)/(18*$R$15))*('IN-OUT'!$F$15^(-1)))*DD16</f>
        <v>5.0000000000000001E-4</v>
      </c>
      <c r="DA16" s="254" t="e">
        <f t="shared" ref="DA16:DA79" si="19">MIN(CY16,CZ16)</f>
        <v>#DIV/0!</v>
      </c>
      <c r="DB16" s="254" t="e">
        <f>DA16*100</f>
        <v>#DIV/0!</v>
      </c>
      <c r="DC16" s="254">
        <f>$P$26</f>
        <v>5.0000000000000001E-4</v>
      </c>
      <c r="DD16" s="253">
        <f t="shared" ref="DD16:DD47" si="20">($P$26^2-(2*0.35*$P$26*DE16))^0.5</f>
        <v>5.0000000000000001E-4</v>
      </c>
      <c r="DE16" s="253">
        <f>0</f>
        <v>0</v>
      </c>
      <c r="DF16" s="255">
        <f>DE16*100</f>
        <v>0</v>
      </c>
      <c r="DH16" s="258" t="e">
        <f>((((IF($R$5=0,$R$6,$R$5)))/(12*$R$19))+(((3*$R$15)/(2*IF($R$5=0,$R$6,$R$5)*$U$5*$R$19))*'IN-OUT'!$F$15))*'Burland damage classification'!DL16</f>
        <v>#DIV/0!</v>
      </c>
      <c r="DI16" s="262">
        <f>(1+(((IF($R$5=0,$R$6^2,$R$5^2))*$U$5)/(18*$R$15))*('IN-OUT'!$F$15^(-1)))*DM16</f>
        <v>1E-3</v>
      </c>
      <c r="DJ16" s="254" t="e">
        <f t="shared" ref="DJ16:DJ79" si="21">MIN(DH16,DI16)</f>
        <v>#DIV/0!</v>
      </c>
      <c r="DK16" s="254" t="e">
        <f>DJ16*100</f>
        <v>#DIV/0!</v>
      </c>
      <c r="DL16" s="254">
        <f>$P$27</f>
        <v>1E-3</v>
      </c>
      <c r="DM16" s="253">
        <f t="shared" ref="DM16:DM47" si="22">($P$27^2-(2*0.35*$P$27*DN16))^0.5</f>
        <v>1E-3</v>
      </c>
      <c r="DN16" s="253">
        <f>0</f>
        <v>0</v>
      </c>
      <c r="DO16" s="255">
        <f>DN16*100</f>
        <v>0</v>
      </c>
      <c r="DQ16" s="258" t="e">
        <f>((((IF($R$5=0,$R$6,$R$5)))/(12*$R$19))+(((3*$R$15)/(2*IF($R$5=0,$R$6,$R$5)*$U$5*$R$19))*'IN-OUT'!$F$15))*'Burland damage classification'!DU16</f>
        <v>#DIV/0!</v>
      </c>
      <c r="DR16" s="262">
        <f>(1+(((IF($R$5=0,$R$6^2,$R$5^2))*$U$5)/(18*$R$15))*('IN-OUT'!$F$15^(-1)))*DV16</f>
        <v>2E-3</v>
      </c>
      <c r="DS16" s="254" t="e">
        <f t="shared" ref="DS16:DS79" si="23">MIN(DQ16,DR16)</f>
        <v>#DIV/0!</v>
      </c>
      <c r="DT16" s="254" t="e">
        <f>DS16*100</f>
        <v>#DIV/0!</v>
      </c>
      <c r="DU16" s="254">
        <f>$P$28</f>
        <v>2E-3</v>
      </c>
      <c r="DV16" s="270">
        <f t="shared" ref="DV16:DV79" si="24">($P$28^2-(2*0.35*$P$28*DW16))^0.5</f>
        <v>2E-3</v>
      </c>
      <c r="DW16" s="253">
        <f>0</f>
        <v>0</v>
      </c>
      <c r="DX16" s="255">
        <f>DW16*100</f>
        <v>0</v>
      </c>
    </row>
    <row r="17" spans="8:167" ht="13.8" thickBot="1">
      <c r="H17" s="302"/>
      <c r="I17" s="288"/>
      <c r="J17" s="295"/>
      <c r="K17" s="321">
        <f>IF(AND(D7=1000,D8=1000),0,IF(AND($G$5&gt;=$D$5,$G$5&lt;=$D$6,$G$6&gt;$D$7,$G$6&lt;=$D$8),ABS($G$6-$D$7),0))</f>
        <v>0</v>
      </c>
      <c r="L17" s="288" t="str">
        <f>IF((K17&lt;&gt;0),$D$7,"")</f>
        <v/>
      </c>
      <c r="M17" s="295" t="str">
        <f>IF((K17&lt;&gt;0),$G$6,"")</f>
        <v/>
      </c>
      <c r="N17" s="253"/>
      <c r="P17" s="1214" t="s">
        <v>208</v>
      </c>
      <c r="Q17" s="1215"/>
      <c r="R17" s="1215"/>
      <c r="S17" s="1215"/>
      <c r="T17" s="1216"/>
      <c r="V17" s="258">
        <f>(((IF($P$5&lt;&gt;0,$P$5,IF($P$6&lt;&gt;0,$P$6,IF($P$7&lt;&gt;0,$P$7,0))))/(12*$P$19))+(((3*$P$15)/(2*(IF($P$5&lt;&gt;0,$P$5,IF($P$6&lt;&gt;0,$P$6,IF($P$7&lt;&gt;0,$P$7,0))))*$U$5*$P$19))*'IN-OUT'!$F$15))*'Burland damage classification'!Z17</f>
        <v>1.0486497436916846E-3</v>
      </c>
      <c r="W17" s="262">
        <f>(1+(((IF($P$5&lt;&gt;0,$P$5^2,IF($P$6&lt;&gt;0,$P$6^2,IF($P$7&lt;&gt;0,$P$7^2))))*$U$5)/(18*$P$15))*('IN-OUT'!$F$15^(-1)))*AA17</f>
        <v>3.4966092379396435E-4</v>
      </c>
      <c r="X17" s="262">
        <f t="shared" si="1"/>
        <v>3.4966092379396435E-4</v>
      </c>
      <c r="Y17" s="262">
        <f t="shared" ref="Y17:Y66" si="25">X17*100</f>
        <v>3.4966092379396435E-2</v>
      </c>
      <c r="Z17" s="916">
        <f>Z16-($P$25/50)</f>
        <v>3.2666666666666667E-4</v>
      </c>
      <c r="AA17" s="270">
        <f t="shared" si="2"/>
        <v>3.3099177566150425E-4</v>
      </c>
      <c r="AB17" s="270">
        <f>AB16+($P$25/50)</f>
        <v>6.6666666666666666E-6</v>
      </c>
      <c r="AC17" s="271">
        <f t="shared" ref="AC17:AC66" si="26">AB17*100</f>
        <v>6.6666666666666664E-4</v>
      </c>
      <c r="AE17" s="258">
        <f>(((IF($P$5&lt;&gt;0,$P$5,IF($P$6&lt;&gt;0,$P$6,IF($P$7&lt;&gt;0,$P$7,0))))/(12*$P$19))+(((3*$P$15)/(2*(IF($P$5&lt;&gt;0,$P$5,IF($P$6&lt;&gt;0,$P$6,IF($P$7&lt;&gt;0,$P$7,0))))*$U$5*$P$19))*'IN-OUT'!$F$15))*'Burland damage classification'!AI17</f>
        <v>1.5836751231262177E-3</v>
      </c>
      <c r="AF17" s="254">
        <f>(1+(((IF($P$5&lt;&gt;0,$P$5^2,IF($P$6&lt;&gt;0,$P$6^2,IF($P$7&lt;&gt;0,$P$7^2))))*$U$5)/(18*$P$15))*('IN-OUT'!$F$15^(-1)))*AJ17</f>
        <v>5.2573111043239824E-4</v>
      </c>
      <c r="AG17" s="254">
        <f t="shared" si="3"/>
        <v>5.2573111043239824E-4</v>
      </c>
      <c r="AH17" s="254">
        <f t="shared" ref="AH17:AH80" si="27">AG17*100</f>
        <v>5.257311104323982E-2</v>
      </c>
      <c r="AI17" s="254">
        <f>AI16-($P$26/75)</f>
        <v>4.9333333333333336E-4</v>
      </c>
      <c r="AJ17" s="253">
        <f t="shared" si="4"/>
        <v>4.9766119666562979E-4</v>
      </c>
      <c r="AK17" s="253">
        <f>AK16+($P$26/75)</f>
        <v>6.6666666666666666E-6</v>
      </c>
      <c r="AL17" s="255">
        <f t="shared" ref="AL17:AL80" si="28">AK17*100</f>
        <v>6.6666666666666664E-4</v>
      </c>
      <c r="AN17" s="258">
        <f>(((IF($P$5&lt;&gt;0,$P$5,IF($P$6&lt;&gt;0,$P$6,IF($P$7&lt;&gt;0,$P$7,0))))/(12*$P$19))+(((3*$P$15)/(2*(IF($P$5&lt;&gt;0,$P$5,IF($P$6&lt;&gt;0,$P$6,IF($P$7&lt;&gt;0,$P$7,0))))*$U$5*$P$19))*'IN-OUT'!$F$15))*'Burland damage classification'!AR17</f>
        <v>3.1887512614298162E-3</v>
      </c>
      <c r="AO17" s="254">
        <f>(1+(((IF($P$5&lt;&gt;0,$P$5^2,IF($P$6&lt;&gt;0,$P$6^2,IF($P$7&lt;&gt;0,$P$7^2))))*$U$5)/(18*$P$15))*('IN-OUT'!$F$15^(-1)))*AS17</f>
        <v>1.0539358373050152E-3</v>
      </c>
      <c r="AP17" s="254">
        <f t="shared" si="5"/>
        <v>1.0539358373050152E-3</v>
      </c>
      <c r="AQ17" s="254">
        <f t="shared" ref="AQ17:AQ80" si="29">AP17*100</f>
        <v>0.10539358373050152</v>
      </c>
      <c r="AR17" s="254">
        <f>AR16-($P$27/150)</f>
        <v>9.9333333333333326E-4</v>
      </c>
      <c r="AS17" s="253">
        <f t="shared" si="6"/>
        <v>9.9766393807400561E-4</v>
      </c>
      <c r="AT17" s="253">
        <f>AT16+($P$27/150)</f>
        <v>6.6666666666666666E-6</v>
      </c>
      <c r="AU17" s="255">
        <f t="shared" ref="AU17:AU80" si="30">AT17*100</f>
        <v>6.6666666666666664E-4</v>
      </c>
      <c r="AW17" s="258">
        <f>(((IF($P$5&lt;&gt;0,$P$5,IF($P$6&lt;&gt;0,$P$6,IF($P$7&lt;&gt;0,$P$7,0))))/(12*$P$19))+(((3*$P$15)/(2*(IF($P$5&lt;&gt;0,$P$5,IF($P$6&lt;&gt;0,$P$6,IF($P$7&lt;&gt;0,$P$7,0))))*$U$5*$P$19))*'IN-OUT'!$F$15))*'Burland damage classification'!BA17</f>
        <v>6.3989035380370152E-3</v>
      </c>
      <c r="AX17" s="254">
        <f>(1+(((IF($P$5&lt;&gt;0,$P$5^2,IF($P$6&lt;&gt;0,$P$6^2,IF($P$7&lt;&gt;0,$P$7^2))))*$U$5)/(18*$P$15))*('IN-OUT'!$F$15^(-1)))*BB17</f>
        <v>2.1103409419150928E-3</v>
      </c>
      <c r="AY17" s="254">
        <f t="shared" si="7"/>
        <v>2.1103409419150928E-3</v>
      </c>
      <c r="AZ17" s="254">
        <f t="shared" ref="AZ17:AZ80" si="31">AY17*100</f>
        <v>0.21103409419150929</v>
      </c>
      <c r="BA17" s="254">
        <f>BA16-($P$28/300)</f>
        <v>1.9933333333333335E-3</v>
      </c>
      <c r="BB17" s="270">
        <f t="shared" si="8"/>
        <v>1.9976653039652731E-3</v>
      </c>
      <c r="BC17" s="253">
        <f>BC16+($P$28/300)</f>
        <v>6.6666666666666666E-6</v>
      </c>
      <c r="BD17" s="255">
        <f t="shared" ref="BD17:BD80" si="32">BC17*100</f>
        <v>6.6666666666666664E-4</v>
      </c>
      <c r="BF17" s="258" t="e">
        <f>((((IF($Q$5=0,$Q$6,$Q$5)))/(12*$Q$19))+(((3*$Q$15)/(2*IF($Q$5=0,$Q$6,$Q$5)*$U$5*$Q$19))*'IN-OUT'!$F$15))*'Burland damage classification'!BJ17</f>
        <v>#DIV/0!</v>
      </c>
      <c r="BG17" s="262">
        <f>(1+(((IF($Q$5=0,$Q$6^2,$Q$5^2))*$U$5)/(18*$Q$15))*('IN-OUT'!$F$15^(-1)))*BK17</f>
        <v>3.3099177566150425E-4</v>
      </c>
      <c r="BH17" s="262" t="e">
        <f t="shared" si="9"/>
        <v>#DIV/0!</v>
      </c>
      <c r="BI17" s="262" t="e">
        <f t="shared" ref="BI17:BI66" si="33">BH17*100</f>
        <v>#DIV/0!</v>
      </c>
      <c r="BJ17" s="262">
        <f>BJ16-($P$25/50)</f>
        <v>3.2666666666666667E-4</v>
      </c>
      <c r="BK17" s="270">
        <f t="shared" si="10"/>
        <v>3.3099177566150425E-4</v>
      </c>
      <c r="BL17" s="270">
        <f>BL16+($P$25/50)</f>
        <v>6.6666666666666666E-6</v>
      </c>
      <c r="BM17" s="271">
        <f t="shared" ref="BM17:BM66" si="34">BL17*100</f>
        <v>6.6666666666666664E-4</v>
      </c>
      <c r="BO17" s="258" t="e">
        <f>((((IF($Q$5=0,$Q$6,$Q$5)))/(12*$Q$19))+(((3*$Q$15)/(2*IF($Q$5=0,$Q$6,$Q$5)*$U$5*$Q$19))*'IN-OUT'!$F$15))*'Burland damage classification'!BS17</f>
        <v>#DIV/0!</v>
      </c>
      <c r="BP17" s="262">
        <f>(1+(((IF($Q$5=0,$Q$6^2,$Q$5^2))*$U$5)/(18*$Q$15))*('IN-OUT'!$F$15^(-1)))*BT17</f>
        <v>4.9766119666562979E-4</v>
      </c>
      <c r="BQ17" s="254" t="e">
        <f t="shared" si="11"/>
        <v>#DIV/0!</v>
      </c>
      <c r="BR17" s="254" t="e">
        <f t="shared" ref="BR17:BR80" si="35">BQ17*100</f>
        <v>#DIV/0!</v>
      </c>
      <c r="BS17" s="254">
        <f>BS16-($P$26/75)</f>
        <v>4.9333333333333336E-4</v>
      </c>
      <c r="BT17" s="253">
        <f t="shared" si="12"/>
        <v>4.9766119666562979E-4</v>
      </c>
      <c r="BU17" s="253">
        <f>BU16+($P$26/75)</f>
        <v>6.6666666666666666E-6</v>
      </c>
      <c r="BV17" s="255">
        <f t="shared" ref="BV17:BV80" si="36">BU17*100</f>
        <v>6.6666666666666664E-4</v>
      </c>
      <c r="BX17" s="258" t="e">
        <f>((((IF($Q$5=0,$Q$6,$Q$5)))/(12*$Q$19))+(((3*$Q$15)/(2*IF($Q$5=0,$Q$6,$Q$5)*$U$5*$Q$19))*'IN-OUT'!$F$15))*'Burland damage classification'!CB17</f>
        <v>#DIV/0!</v>
      </c>
      <c r="BY17" s="262">
        <f>(1+(((IF($Q$5=0,$Q$6^2,$Q$5^2))*$U$5)/(18*$Q$15))*('IN-OUT'!$F$15^(-1)))*CC17</f>
        <v>9.9766393807400561E-4</v>
      </c>
      <c r="BZ17" s="254" t="e">
        <f t="shared" si="13"/>
        <v>#DIV/0!</v>
      </c>
      <c r="CA17" s="254" t="e">
        <f t="shared" ref="CA17:CA80" si="37">BZ17*100</f>
        <v>#DIV/0!</v>
      </c>
      <c r="CB17" s="254">
        <f>CB16-($P$27/150)</f>
        <v>9.9333333333333326E-4</v>
      </c>
      <c r="CC17" s="253">
        <f t="shared" si="14"/>
        <v>9.9766393807400561E-4</v>
      </c>
      <c r="CD17" s="253">
        <f>CD16+($P$27/150)</f>
        <v>6.6666666666666666E-6</v>
      </c>
      <c r="CE17" s="255">
        <f t="shared" ref="CE17:CE80" si="38">CD17*100</f>
        <v>6.6666666666666664E-4</v>
      </c>
      <c r="CG17" s="258" t="e">
        <f>((((IF($Q$5=0,$Q$6,$Q$5)))/(12*$Q$19))+(((3*$Q$15)/(2*IF($Q$5=0,$Q$6,$Q$5)*$U$5*$Q$19))*'IN-OUT'!$F$15))*'Burland damage classification'!CK17</f>
        <v>#DIV/0!</v>
      </c>
      <c r="CH17" s="262">
        <f>(1+(((IF($Q$5=0,$Q$6^2,$Q$5^2))*$U$5)/(18*$Q$15))*('IN-OUT'!$F$15^(-1)))*CL17</f>
        <v>1.9976653039652731E-3</v>
      </c>
      <c r="CI17" s="254" t="e">
        <f t="shared" si="15"/>
        <v>#DIV/0!</v>
      </c>
      <c r="CJ17" s="254" t="e">
        <f t="shared" ref="CJ17:CJ80" si="39">CI17*100</f>
        <v>#DIV/0!</v>
      </c>
      <c r="CK17" s="254">
        <f>CK16-($P$28/300)</f>
        <v>1.9933333333333335E-3</v>
      </c>
      <c r="CL17" s="270">
        <f t="shared" si="16"/>
        <v>1.9976653039652731E-3</v>
      </c>
      <c r="CM17" s="253">
        <f>CM16+($P$28/300)</f>
        <v>6.6666666666666666E-6</v>
      </c>
      <c r="CN17" s="255">
        <f t="shared" ref="CN17:CN80" si="40">CM17*100</f>
        <v>6.6666666666666664E-4</v>
      </c>
      <c r="CP17" s="258" t="e">
        <f>((((IF($R$5=0,$R$6,$R$5)))/(12*$R$19))+(((3*$R$15)/(2*IF($R$5=0,$R$6,$R$5)*$U$5*$R$19))*'IN-OUT'!$F$15))*'Burland damage classification'!CT17</f>
        <v>#DIV/0!</v>
      </c>
      <c r="CQ17" s="262">
        <f>(1+(((IF($R$5=0,$R$6^2,$R$5^2))*$U$5)/(18*$R$15))*('IN-OUT'!$F$15^(-1)))*CU17</f>
        <v>3.3099177566150425E-4</v>
      </c>
      <c r="CR17" s="262" t="e">
        <f t="shared" si="17"/>
        <v>#DIV/0!</v>
      </c>
      <c r="CS17" s="262" t="e">
        <f t="shared" ref="CS17:CS66" si="41">CR17*100</f>
        <v>#DIV/0!</v>
      </c>
      <c r="CT17" s="262">
        <f>CT16-($P$25/50)</f>
        <v>3.2666666666666667E-4</v>
      </c>
      <c r="CU17" s="270">
        <f t="shared" si="18"/>
        <v>3.3099177566150425E-4</v>
      </c>
      <c r="CV17" s="270">
        <f>CV16+($P$25/50)</f>
        <v>6.6666666666666666E-6</v>
      </c>
      <c r="CW17" s="271">
        <f t="shared" ref="CW17:CW66" si="42">CV17*100</f>
        <v>6.6666666666666664E-4</v>
      </c>
      <c r="CY17" s="258" t="e">
        <f>((((IF($R$5=0,$R$6,$R$5)))/(12*$R$19))+(((3*$R$15)/(2*IF($R$5=0,$R$6,$R$5)*$U$5*$R$19))*'IN-OUT'!$F$15))*'Burland damage classification'!DC17</f>
        <v>#DIV/0!</v>
      </c>
      <c r="CZ17" s="262">
        <f>(1+(((IF($R$5=0,$R$6^2,$R$5^2))*$U$5)/(18*$R$15))*('IN-OUT'!$F$15^(-1)))*DD17</f>
        <v>4.9766119666562979E-4</v>
      </c>
      <c r="DA17" s="254" t="e">
        <f t="shared" si="19"/>
        <v>#DIV/0!</v>
      </c>
      <c r="DB17" s="254" t="e">
        <f t="shared" ref="DB17:DB80" si="43">DA17*100</f>
        <v>#DIV/0!</v>
      </c>
      <c r="DC17" s="254">
        <f>DC16-($P$26/75)</f>
        <v>4.9333333333333336E-4</v>
      </c>
      <c r="DD17" s="253">
        <f t="shared" si="20"/>
        <v>4.9766119666562979E-4</v>
      </c>
      <c r="DE17" s="253">
        <f>DE16+($P$26/75)</f>
        <v>6.6666666666666666E-6</v>
      </c>
      <c r="DF17" s="255">
        <f t="shared" ref="DF17:DF80" si="44">DE17*100</f>
        <v>6.6666666666666664E-4</v>
      </c>
      <c r="DH17" s="258" t="e">
        <f>((((IF($R$5=0,$R$6,$R$5)))/(12*$R$19))+(((3*$R$15)/(2*IF($R$5=0,$R$6,$R$5)*$U$5*$R$19))*'IN-OUT'!$F$15))*'Burland damage classification'!DL17</f>
        <v>#DIV/0!</v>
      </c>
      <c r="DI17" s="262">
        <f>(1+(((IF($R$5=0,$R$6^2,$R$5^2))*$U$5)/(18*$R$15))*('IN-OUT'!$F$15^(-1)))*DM17</f>
        <v>9.9766393807400561E-4</v>
      </c>
      <c r="DJ17" s="254" t="e">
        <f t="shared" si="21"/>
        <v>#DIV/0!</v>
      </c>
      <c r="DK17" s="254" t="e">
        <f t="shared" ref="DK17:DK80" si="45">DJ17*100</f>
        <v>#DIV/0!</v>
      </c>
      <c r="DL17" s="254">
        <f>DL16-($P$27/150)</f>
        <v>9.9333333333333326E-4</v>
      </c>
      <c r="DM17" s="253">
        <f t="shared" si="22"/>
        <v>9.9766393807400561E-4</v>
      </c>
      <c r="DN17" s="253">
        <f>DN16+($P$27/150)</f>
        <v>6.6666666666666666E-6</v>
      </c>
      <c r="DO17" s="255">
        <f t="shared" ref="DO17:DO80" si="46">DN17*100</f>
        <v>6.6666666666666664E-4</v>
      </c>
      <c r="DQ17" s="258" t="e">
        <f>((((IF($R$5=0,$R$6,$R$5)))/(12*$R$19))+(((3*$R$15)/(2*IF($R$5=0,$R$6,$R$5)*$U$5*$R$19))*'IN-OUT'!$F$15))*'Burland damage classification'!DU17</f>
        <v>#DIV/0!</v>
      </c>
      <c r="DR17" s="262">
        <f>(1+(((IF($R$5=0,$R$6^2,$R$5^2))*$U$5)/(18*$R$15))*('IN-OUT'!$F$15^(-1)))*DV17</f>
        <v>1.9976653039652731E-3</v>
      </c>
      <c r="DS17" s="254" t="e">
        <f t="shared" si="23"/>
        <v>#DIV/0!</v>
      </c>
      <c r="DT17" s="254" t="e">
        <f t="shared" ref="DT17:DT80" si="47">DS17*100</f>
        <v>#DIV/0!</v>
      </c>
      <c r="DU17" s="254">
        <f>DU16-($P$28/300)</f>
        <v>1.9933333333333335E-3</v>
      </c>
      <c r="DV17" s="270">
        <f t="shared" si="24"/>
        <v>1.9976653039652731E-3</v>
      </c>
      <c r="DW17" s="253">
        <f>DW16+($P$28/300)</f>
        <v>6.6666666666666666E-6</v>
      </c>
      <c r="DX17" s="255">
        <f t="shared" ref="DX17:DX80" si="48">DW17*100</f>
        <v>6.6666666666666664E-4</v>
      </c>
      <c r="DZ17" s="491" t="s">
        <v>297</v>
      </c>
      <c r="EA17" s="332">
        <v>1</v>
      </c>
      <c r="EB17" s="480">
        <f>((EB10-EB9)/6)+EB9</f>
        <v>-20.9988925</v>
      </c>
      <c r="EC17" s="480"/>
      <c r="ED17" s="480"/>
      <c r="EE17" s="480">
        <f>((EE10-EE9)/6)+EE9</f>
        <v>0</v>
      </c>
      <c r="EF17" s="480">
        <f>((EF10-EF9)/6)+EF9</f>
        <v>0</v>
      </c>
      <c r="EG17" s="480">
        <f>((EG10-EG9)/6)+EG9</f>
        <v>-14.581403</v>
      </c>
      <c r="EH17" s="480"/>
      <c r="EI17" s="480"/>
      <c r="EJ17" s="481">
        <f>((EJ10-EJ9)/6)+EJ9</f>
        <v>0</v>
      </c>
    </row>
    <row r="18" spans="8:167">
      <c r="H18" s="303">
        <f>IF(AND(D7=1000,D8=1000),0,IF(AND($G$5&gt;=$D$5,$G$5&lt;=$D$6,$G$6&gt;$D$8),ABS($D$7-$D$6),0))</f>
        <v>0</v>
      </c>
      <c r="I18" s="288" t="str">
        <f>IF((H18&lt;&gt;0),$D$6,"")</f>
        <v/>
      </c>
      <c r="J18" s="295" t="str">
        <f>IF((H18&lt;&gt;0),$D$7,"")</f>
        <v/>
      </c>
      <c r="K18" s="322">
        <f>IF(AND(D7=1000,D8=1000),0,IF(AND($G$5&gt;=$D$5,$G$5&lt;=$D$6,$G$6&gt;$D$8),ABS($D$6-$G$5),0))</f>
        <v>0</v>
      </c>
      <c r="L18" s="288" t="str">
        <f>IF((K18&lt;&gt;0),$G$5,"")</f>
        <v/>
      </c>
      <c r="M18" s="295" t="str">
        <f>IF((K18&lt;&gt;0),$D$6,"")</f>
        <v/>
      </c>
      <c r="N18" s="253"/>
      <c r="P18" s="332" t="s">
        <v>214</v>
      </c>
      <c r="Q18" s="333" t="s">
        <v>212</v>
      </c>
      <c r="R18" s="333" t="s">
        <v>213</v>
      </c>
      <c r="S18" s="345" t="s">
        <v>224</v>
      </c>
      <c r="T18" s="333" t="s">
        <v>225</v>
      </c>
      <c r="V18" s="258">
        <f>(((IF($P$5&lt;&gt;0,$P$5,IF($P$6&lt;&gt;0,$P$6,IF($P$7&lt;&gt;0,$P$7,0))))/(12*$P$19))+(((3*$P$15)/(2*(IF($P$5&lt;&gt;0,$P$5,IF($P$6&lt;&gt;0,$P$6,IF($P$7&lt;&gt;0,$P$7,0))))*$U$5*$P$19))*'IN-OUT'!$F$15))*'Burland damage classification'!Z18</f>
        <v>1.0272487285143035E-3</v>
      </c>
      <c r="W18" s="262">
        <f>(1+(((IF($P$5&lt;&gt;0,$P$5^2,IF($P$6&lt;&gt;0,$P$6^2,IF($P$7&lt;&gt;0,$P$7^2))))*$U$5)/(18*$P$15))*('IN-OUT'!$F$15^(-1)))*AA18</f>
        <v>3.4716966919910703E-4</v>
      </c>
      <c r="X18" s="262">
        <f t="shared" si="1"/>
        <v>3.4716966919910703E-4</v>
      </c>
      <c r="Y18" s="262">
        <f t="shared" si="25"/>
        <v>3.4716966919910705E-2</v>
      </c>
      <c r="Z18" s="916">
        <f t="shared" ref="Z18:Z66" si="49">Z17-($P$25/50)</f>
        <v>3.2000000000000003E-4</v>
      </c>
      <c r="AA18" s="270">
        <f t="shared" si="2"/>
        <v>3.2863353450309965E-4</v>
      </c>
      <c r="AB18" s="270">
        <f t="shared" ref="AB18:AB66" si="50">AB17+($P$25/50)</f>
        <v>1.3333333333333333E-5</v>
      </c>
      <c r="AC18" s="271">
        <f t="shared" si="26"/>
        <v>1.3333333333333333E-3</v>
      </c>
      <c r="AE18" s="258">
        <f>(((IF($P$5&lt;&gt;0,$P$5,IF($P$6&lt;&gt;0,$P$6,IF($P$7&lt;&gt;0,$P$7,0))))/(12*$P$19))+(((3*$P$15)/(2*(IF($P$5&lt;&gt;0,$P$5,IF($P$6&lt;&gt;0,$P$6,IF($P$7&lt;&gt;0,$P$7,0))))*$U$5*$P$19))*'IN-OUT'!$F$15))*'Burland damage classification'!AI18</f>
        <v>1.5622741079488365E-3</v>
      </c>
      <c r="AF18" s="254">
        <f>(1+(((IF($P$5&lt;&gt;0,$P$5^2,IF($P$6&lt;&gt;0,$P$6^2,IF($P$7&lt;&gt;0,$P$7^2))))*$U$5)/(18*$P$15))*('IN-OUT'!$F$15^(-1)))*AJ18</f>
        <v>5.2324872369795218E-4</v>
      </c>
      <c r="AG18" s="254">
        <f t="shared" si="3"/>
        <v>5.2324872369795218E-4</v>
      </c>
      <c r="AH18" s="254">
        <f t="shared" si="27"/>
        <v>5.2324872369795217E-2</v>
      </c>
      <c r="AI18" s="254">
        <f t="shared" ref="AI18:AI81" si="51">AI17-($P$26/75)</f>
        <v>4.8666666666666671E-4</v>
      </c>
      <c r="AJ18" s="253">
        <f t="shared" si="4"/>
        <v>4.9531134989351229E-4</v>
      </c>
      <c r="AK18" s="253">
        <f t="shared" ref="AK18:AK81" si="52">AK17+($P$26/75)</f>
        <v>1.3333333333333333E-5</v>
      </c>
      <c r="AL18" s="255">
        <f t="shared" si="28"/>
        <v>1.3333333333333333E-3</v>
      </c>
      <c r="AN18" s="258">
        <f>(((IF($P$5&lt;&gt;0,$P$5,IF($P$6&lt;&gt;0,$P$6,IF($P$7&lt;&gt;0,$P$7,0))))/(12*$P$19))+(((3*$P$15)/(2*(IF($P$5&lt;&gt;0,$P$5,IF($P$6&lt;&gt;0,$P$6,IF($P$7&lt;&gt;0,$P$7,0))))*$U$5*$P$19))*'IN-OUT'!$F$15))*'Burland damage classification'!AR18</f>
        <v>3.1673502462524349E-3</v>
      </c>
      <c r="AO18" s="254">
        <f>(1+(((IF($P$5&lt;&gt;0,$P$5^2,IF($P$6&lt;&gt;0,$P$6^2,IF($P$7&lt;&gt;0,$P$7^2))))*$U$5)/(18*$P$15))*('IN-OUT'!$F$15^(-1)))*AS18</f>
        <v>1.0514622208647965E-3</v>
      </c>
      <c r="AP18" s="254">
        <f t="shared" si="5"/>
        <v>1.0514622208647965E-3</v>
      </c>
      <c r="AQ18" s="254">
        <f t="shared" si="29"/>
        <v>0.10514622208647964</v>
      </c>
      <c r="AR18" s="254">
        <f t="shared" ref="AR18:AR81" si="53">AR17-($P$27/150)</f>
        <v>9.8666666666666651E-4</v>
      </c>
      <c r="AS18" s="253">
        <f t="shared" si="6"/>
        <v>9.9532239333125958E-4</v>
      </c>
      <c r="AT18" s="253">
        <f t="shared" ref="AT18:AT81" si="54">AT17+($P$27/150)</f>
        <v>1.3333333333333333E-5</v>
      </c>
      <c r="AU18" s="255">
        <f t="shared" si="30"/>
        <v>1.3333333333333333E-3</v>
      </c>
      <c r="AW18" s="258">
        <f>(((IF($P$5&lt;&gt;0,$P$5,IF($P$6&lt;&gt;0,$P$6,IF($P$7&lt;&gt;0,$P$7,0))))/(12*$P$19))+(((3*$P$15)/(2*(IF($P$5&lt;&gt;0,$P$5,IF($P$6&lt;&gt;0,$P$6,IF($P$7&lt;&gt;0,$P$7,0))))*$U$5*$P$19))*'IN-OUT'!$F$15))*'Burland damage classification'!BA18</f>
        <v>6.3775025228596342E-3</v>
      </c>
      <c r="AX18" s="254">
        <f>(1+(((IF($P$5&lt;&gt;0,$P$5^2,IF($P$6&lt;&gt;0,$P$6^2,IF($P$7&lt;&gt;0,$P$7^2))))*$U$5)/(18*$P$15))*('IN-OUT'!$F$15^(-1)))*BB18</f>
        <v>2.1078716746100305E-3</v>
      </c>
      <c r="AY18" s="254">
        <f t="shared" si="7"/>
        <v>2.1078716746100305E-3</v>
      </c>
      <c r="AZ18" s="254">
        <f t="shared" si="31"/>
        <v>0.21078716746100304</v>
      </c>
      <c r="BA18" s="254">
        <f t="shared" ref="BA18:BA81" si="55">BA17-($P$28/300)</f>
        <v>1.986666666666667E-3</v>
      </c>
      <c r="BB18" s="270">
        <f t="shared" si="8"/>
        <v>1.9953278761480112E-3</v>
      </c>
      <c r="BC18" s="253">
        <f t="shared" ref="BC18:BC81" si="56">BC17+($P$28/300)</f>
        <v>1.3333333333333333E-5</v>
      </c>
      <c r="BD18" s="255">
        <f t="shared" si="32"/>
        <v>1.3333333333333333E-3</v>
      </c>
      <c r="BF18" s="258" t="e">
        <f>((((IF($Q$5=0,$Q$6,$Q$5)))/(12*$Q$19))+(((3*$Q$15)/(2*IF($Q$5=0,$Q$6,$Q$5)*$U$5*$Q$19))*'IN-OUT'!$F$15))*'Burland damage classification'!BJ18</f>
        <v>#DIV/0!</v>
      </c>
      <c r="BG18" s="262">
        <f>(1+(((IF($Q$5=0,$Q$6^2,$Q$5^2))*$U$5)/(18*$Q$15))*('IN-OUT'!$F$15^(-1)))*BK18</f>
        <v>3.2863353450309965E-4</v>
      </c>
      <c r="BH18" s="262" t="e">
        <f t="shared" si="9"/>
        <v>#DIV/0!</v>
      </c>
      <c r="BI18" s="262" t="e">
        <f t="shared" si="33"/>
        <v>#DIV/0!</v>
      </c>
      <c r="BJ18" s="262">
        <f t="shared" ref="BJ18:BJ66" si="57">BJ17-($P$25/50)</f>
        <v>3.2000000000000003E-4</v>
      </c>
      <c r="BK18" s="270">
        <f t="shared" si="10"/>
        <v>3.2863353450309965E-4</v>
      </c>
      <c r="BL18" s="270">
        <f t="shared" ref="BL18:BL66" si="58">BL17+($P$25/50)</f>
        <v>1.3333333333333333E-5</v>
      </c>
      <c r="BM18" s="271">
        <f t="shared" si="34"/>
        <v>1.3333333333333333E-3</v>
      </c>
      <c r="BO18" s="258" t="e">
        <f>((((IF($Q$5=0,$Q$6,$Q$5)))/(12*$Q$19))+(((3*$Q$15)/(2*IF($Q$5=0,$Q$6,$Q$5)*$U$5*$Q$19))*'IN-OUT'!$F$15))*'Burland damage classification'!BS18</f>
        <v>#DIV/0!</v>
      </c>
      <c r="BP18" s="262">
        <f>(1+(((IF($Q$5=0,$Q$6^2,$Q$5^2))*$U$5)/(18*$Q$15))*('IN-OUT'!$F$15^(-1)))*BT18</f>
        <v>4.9531134989351229E-4</v>
      </c>
      <c r="BQ18" s="254" t="e">
        <f t="shared" si="11"/>
        <v>#DIV/0!</v>
      </c>
      <c r="BR18" s="254" t="e">
        <f t="shared" si="35"/>
        <v>#DIV/0!</v>
      </c>
      <c r="BS18" s="254">
        <f t="shared" ref="BS18:BS81" si="59">BS17-($P$26/75)</f>
        <v>4.8666666666666671E-4</v>
      </c>
      <c r="BT18" s="253">
        <f t="shared" si="12"/>
        <v>4.9531134989351229E-4</v>
      </c>
      <c r="BU18" s="253">
        <f t="shared" ref="BU18:BU81" si="60">BU17+($P$26/75)</f>
        <v>1.3333333333333333E-5</v>
      </c>
      <c r="BV18" s="255">
        <f t="shared" si="36"/>
        <v>1.3333333333333333E-3</v>
      </c>
      <c r="BX18" s="258" t="e">
        <f>((((IF($Q$5=0,$Q$6,$Q$5)))/(12*$Q$19))+(((3*$Q$15)/(2*IF($Q$5=0,$Q$6,$Q$5)*$U$5*$Q$19))*'IN-OUT'!$F$15))*'Burland damage classification'!CB18</f>
        <v>#DIV/0!</v>
      </c>
      <c r="BY18" s="262">
        <f>(1+(((IF($Q$5=0,$Q$6^2,$Q$5^2))*$U$5)/(18*$Q$15))*('IN-OUT'!$F$15^(-1)))*CC18</f>
        <v>9.9532239333125958E-4</v>
      </c>
      <c r="BZ18" s="254" t="e">
        <f t="shared" si="13"/>
        <v>#DIV/0!</v>
      </c>
      <c r="CA18" s="254" t="e">
        <f t="shared" si="37"/>
        <v>#DIV/0!</v>
      </c>
      <c r="CB18" s="254">
        <f t="shared" ref="CB18:CB81" si="61">CB17-($P$27/150)</f>
        <v>9.8666666666666651E-4</v>
      </c>
      <c r="CC18" s="253">
        <f t="shared" si="14"/>
        <v>9.9532239333125958E-4</v>
      </c>
      <c r="CD18" s="253">
        <f t="shared" ref="CD18:CD81" si="62">CD17+($P$27/150)</f>
        <v>1.3333333333333333E-5</v>
      </c>
      <c r="CE18" s="255">
        <f t="shared" si="38"/>
        <v>1.3333333333333333E-3</v>
      </c>
      <c r="CG18" s="258" t="e">
        <f>((((IF($Q$5=0,$Q$6,$Q$5)))/(12*$Q$19))+(((3*$Q$15)/(2*IF($Q$5=0,$Q$6,$Q$5)*$U$5*$Q$19))*'IN-OUT'!$F$15))*'Burland damage classification'!CK18</f>
        <v>#DIV/0!</v>
      </c>
      <c r="CH18" s="262">
        <f>(1+(((IF($Q$5=0,$Q$6^2,$Q$5^2))*$U$5)/(18*$Q$15))*('IN-OUT'!$F$15^(-1)))*CL18</f>
        <v>1.9953278761480112E-3</v>
      </c>
      <c r="CI18" s="254" t="e">
        <f t="shared" si="15"/>
        <v>#DIV/0!</v>
      </c>
      <c r="CJ18" s="254" t="e">
        <f t="shared" si="39"/>
        <v>#DIV/0!</v>
      </c>
      <c r="CK18" s="254">
        <f t="shared" ref="CK18:CK81" si="63">CK17-($P$28/300)</f>
        <v>1.986666666666667E-3</v>
      </c>
      <c r="CL18" s="270">
        <f t="shared" si="16"/>
        <v>1.9953278761480112E-3</v>
      </c>
      <c r="CM18" s="253">
        <f t="shared" ref="CM18:CM81" si="64">CM17+($P$28/300)</f>
        <v>1.3333333333333333E-5</v>
      </c>
      <c r="CN18" s="255">
        <f t="shared" si="40"/>
        <v>1.3333333333333333E-3</v>
      </c>
      <c r="CP18" s="258" t="e">
        <f>((((IF($R$5=0,$R$6,$R$5)))/(12*$R$19))+(((3*$R$15)/(2*IF($R$5=0,$R$6,$R$5)*$U$5*$R$19))*'IN-OUT'!$F$15))*'Burland damage classification'!CT18</f>
        <v>#DIV/0!</v>
      </c>
      <c r="CQ18" s="262">
        <f>(1+(((IF($R$5=0,$R$6^2,$R$5^2))*$U$5)/(18*$R$15))*('IN-OUT'!$F$15^(-1)))*CU18</f>
        <v>3.2863353450309965E-4</v>
      </c>
      <c r="CR18" s="262" t="e">
        <f t="shared" si="17"/>
        <v>#DIV/0!</v>
      </c>
      <c r="CS18" s="262" t="e">
        <f t="shared" si="41"/>
        <v>#DIV/0!</v>
      </c>
      <c r="CT18" s="262">
        <f t="shared" ref="CT18:CT66" si="65">CT17-($P$25/50)</f>
        <v>3.2000000000000003E-4</v>
      </c>
      <c r="CU18" s="270">
        <f t="shared" si="18"/>
        <v>3.2863353450309965E-4</v>
      </c>
      <c r="CV18" s="270">
        <f t="shared" ref="CV18:CV66" si="66">CV17+($P$25/50)</f>
        <v>1.3333333333333333E-5</v>
      </c>
      <c r="CW18" s="271">
        <f t="shared" si="42"/>
        <v>1.3333333333333333E-3</v>
      </c>
      <c r="CY18" s="258" t="e">
        <f>((((IF($R$5=0,$R$6,$R$5)))/(12*$R$19))+(((3*$R$15)/(2*IF($R$5=0,$R$6,$R$5)*$U$5*$R$19))*'IN-OUT'!$F$15))*'Burland damage classification'!DC18</f>
        <v>#DIV/0!</v>
      </c>
      <c r="CZ18" s="262">
        <f>(1+(((IF($R$5=0,$R$6^2,$R$5^2))*$U$5)/(18*$R$15))*('IN-OUT'!$F$15^(-1)))*DD18</f>
        <v>4.9531134989351229E-4</v>
      </c>
      <c r="DA18" s="254" t="e">
        <f t="shared" si="19"/>
        <v>#DIV/0!</v>
      </c>
      <c r="DB18" s="254" t="e">
        <f t="shared" si="43"/>
        <v>#DIV/0!</v>
      </c>
      <c r="DC18" s="254">
        <f t="shared" ref="DC18:DC81" si="67">DC17-($P$26/75)</f>
        <v>4.8666666666666671E-4</v>
      </c>
      <c r="DD18" s="253">
        <f t="shared" si="20"/>
        <v>4.9531134989351229E-4</v>
      </c>
      <c r="DE18" s="253">
        <f t="shared" ref="DE18:DE81" si="68">DE17+($P$26/75)</f>
        <v>1.3333333333333333E-5</v>
      </c>
      <c r="DF18" s="255">
        <f t="shared" si="44"/>
        <v>1.3333333333333333E-3</v>
      </c>
      <c r="DH18" s="258" t="e">
        <f>((((IF($R$5=0,$R$6,$R$5)))/(12*$R$19))+(((3*$R$15)/(2*IF($R$5=0,$R$6,$R$5)*$U$5*$R$19))*'IN-OUT'!$F$15))*'Burland damage classification'!DL18</f>
        <v>#DIV/0!</v>
      </c>
      <c r="DI18" s="262">
        <f>(1+(((IF($R$5=0,$R$6^2,$R$5^2))*$U$5)/(18*$R$15))*('IN-OUT'!$F$15^(-1)))*DM18</f>
        <v>9.9532239333125958E-4</v>
      </c>
      <c r="DJ18" s="254" t="e">
        <f t="shared" si="21"/>
        <v>#DIV/0!</v>
      </c>
      <c r="DK18" s="254" t="e">
        <f t="shared" si="45"/>
        <v>#DIV/0!</v>
      </c>
      <c r="DL18" s="254">
        <f t="shared" ref="DL18:DL81" si="69">DL17-($P$27/150)</f>
        <v>9.8666666666666651E-4</v>
      </c>
      <c r="DM18" s="253">
        <f t="shared" si="22"/>
        <v>9.9532239333125958E-4</v>
      </c>
      <c r="DN18" s="253">
        <f t="shared" ref="DN18:DN81" si="70">DN17+($P$27/150)</f>
        <v>1.3333333333333333E-5</v>
      </c>
      <c r="DO18" s="255">
        <f t="shared" si="46"/>
        <v>1.3333333333333333E-3</v>
      </c>
      <c r="DQ18" s="258" t="e">
        <f>((((IF($R$5=0,$R$6,$R$5)))/(12*$R$19))+(((3*$R$15)/(2*IF($R$5=0,$R$6,$R$5)*$U$5*$R$19))*'IN-OUT'!$F$15))*'Burland damage classification'!DU18</f>
        <v>#DIV/0!</v>
      </c>
      <c r="DR18" s="262">
        <f>(1+(((IF($R$5=0,$R$6^2,$R$5^2))*$U$5)/(18*$R$15))*('IN-OUT'!$F$15^(-1)))*DV18</f>
        <v>1.9953278761480112E-3</v>
      </c>
      <c r="DS18" s="254" t="e">
        <f t="shared" si="23"/>
        <v>#DIV/0!</v>
      </c>
      <c r="DT18" s="254" t="e">
        <f t="shared" si="47"/>
        <v>#DIV/0!</v>
      </c>
      <c r="DU18" s="254">
        <f t="shared" ref="DU18:DU81" si="71">DU17-($P$28/300)</f>
        <v>1.986666666666667E-3</v>
      </c>
      <c r="DV18" s="270">
        <f t="shared" si="24"/>
        <v>1.9953278761480112E-3</v>
      </c>
      <c r="DW18" s="253">
        <f t="shared" ref="DW18:DW81" si="72">DW17+($P$28/300)</f>
        <v>1.3333333333333333E-5</v>
      </c>
      <c r="DX18" s="255">
        <f t="shared" si="48"/>
        <v>1.3333333333333333E-3</v>
      </c>
      <c r="EA18" s="482">
        <v>2</v>
      </c>
      <c r="EB18" s="478">
        <f>EB17+((EB10-EB9)/6)</f>
        <v>-19.799113999999999</v>
      </c>
      <c r="EC18" s="479"/>
      <c r="ED18" s="479"/>
      <c r="EE18" s="478">
        <f>EE17+((EE10-EE9)/6)</f>
        <v>0</v>
      </c>
      <c r="EF18" s="478">
        <f>EF17+((EF10-EF9)/6)</f>
        <v>0</v>
      </c>
      <c r="EG18" s="478">
        <f>EG17+((EG10-EG9)/6)</f>
        <v>-14.162806</v>
      </c>
      <c r="EH18" s="479"/>
      <c r="EI18" s="479"/>
      <c r="EJ18" s="483">
        <f>EJ17+((EJ10-EJ9)/6)</f>
        <v>0</v>
      </c>
    </row>
    <row r="19" spans="8:167" ht="13.8" thickBot="1">
      <c r="H19" s="303">
        <f>IF(AND(D7=1000,D8=1000),0,IF(AND($G$5&gt;=$D$5,$G$5&lt;=$D$6,$G$6&gt;$D$8),ABS($G$6-$D$8),0))</f>
        <v>0</v>
      </c>
      <c r="I19" s="288" t="str">
        <f>IF((H19&lt;&gt;0),$D$8,"")</f>
        <v/>
      </c>
      <c r="J19" s="295" t="str">
        <f>IF((H19&lt;&gt;0),$G$6,"")</f>
        <v/>
      </c>
      <c r="K19" s="322">
        <f>IF(AND(D7=1000,D8=1000),0,IF(AND($G$5&gt;=$D$5,$G$5&lt;=$D$6,$G$6&gt;$D$8),ABS($D$8-$D$7),0))</f>
        <v>0</v>
      </c>
      <c r="L19" s="288" t="str">
        <f>IF((K19&lt;&gt;0),$D$7,"")</f>
        <v/>
      </c>
      <c r="M19" s="295" t="str">
        <f>IF((K19&lt;&gt;0),$D$8,"")</f>
        <v/>
      </c>
      <c r="N19" s="253"/>
      <c r="P19" s="334">
        <f>IF('IN-OUT'!$F$15=0.5,'Burland damage classification'!$U$5,'Burland damage classification'!$U$5/2)</f>
        <v>3.5</v>
      </c>
      <c r="Q19" s="335">
        <f>IF('IN-OUT'!$F$15=0.5,'Burland damage classification'!$U$5,'Burland damage classification'!$U$5/2)</f>
        <v>3.5</v>
      </c>
      <c r="R19" s="335">
        <f>IF('IN-OUT'!$F$15=0.5,'Burland damage classification'!$U$5,'Burland damage classification'!$U$5/2)</f>
        <v>3.5</v>
      </c>
      <c r="S19" s="346">
        <f>U5/2</f>
        <v>3.5</v>
      </c>
      <c r="T19" s="343">
        <f>U5/2</f>
        <v>3.5</v>
      </c>
      <c r="V19" s="258">
        <f>(((IF($P$5&lt;&gt;0,$P$5,IF($P$6&lt;&gt;0,$P$6,IF($P$7&lt;&gt;0,$P$7,0))))/(12*$P$19))+(((3*$P$15)/(2*(IF($P$5&lt;&gt;0,$P$5,IF($P$6&lt;&gt;0,$P$6,IF($P$7&lt;&gt;0,$P$7,0))))*$U$5*$P$19))*'IN-OUT'!$F$15))*'Burland damage classification'!Z19</f>
        <v>1.0058477133369221E-3</v>
      </c>
      <c r="W19" s="262">
        <f>(1+(((IF($P$5&lt;&gt;0,$P$5^2,IF($P$6&lt;&gt;0,$P$6^2,IF($P$7&lt;&gt;0,$P$7^2))))*$U$5)/(18*$P$15))*('IN-OUT'!$F$15^(-1)))*AA19</f>
        <v>3.446604079310333E-4</v>
      </c>
      <c r="X19" s="262">
        <f t="shared" si="1"/>
        <v>3.446604079310333E-4</v>
      </c>
      <c r="Y19" s="262">
        <f t="shared" si="25"/>
        <v>3.4466040793103329E-2</v>
      </c>
      <c r="Z19" s="916">
        <f t="shared" si="49"/>
        <v>3.1333333333333338E-4</v>
      </c>
      <c r="AA19" s="270">
        <f t="shared" si="2"/>
        <v>3.2625824808645747E-4</v>
      </c>
      <c r="AB19" s="270">
        <f t="shared" si="50"/>
        <v>1.9999999999999998E-5</v>
      </c>
      <c r="AC19" s="271">
        <f t="shared" si="26"/>
        <v>2E-3</v>
      </c>
      <c r="AE19" s="258">
        <f>(((IF($P$5&lt;&gt;0,$P$5,IF($P$6&lt;&gt;0,$P$6,IF($P$7&lt;&gt;0,$P$7,0))))/(12*$P$19))+(((3*$P$15)/(2*(IF($P$5&lt;&gt;0,$P$5,IF($P$6&lt;&gt;0,$P$6,IF($P$7&lt;&gt;0,$P$7,0))))*$U$5*$P$19))*'IN-OUT'!$F$15))*'Burland damage classification'!AI19</f>
        <v>1.5408730927714551E-3</v>
      </c>
      <c r="AF19" s="254">
        <f>(1+(((IF($P$5&lt;&gt;0,$P$5^2,IF($P$6&lt;&gt;0,$P$6^2,IF($P$7&lt;&gt;0,$P$7^2))))*$U$5)/(18*$P$15))*('IN-OUT'!$F$15^(-1)))*AJ19</f>
        <v>5.2075450379866057E-4</v>
      </c>
      <c r="AG19" s="254">
        <f t="shared" si="3"/>
        <v>5.2075450379866057E-4</v>
      </c>
      <c r="AH19" s="254">
        <f t="shared" si="27"/>
        <v>5.2075450379866058E-2</v>
      </c>
      <c r="AI19" s="254">
        <f t="shared" si="51"/>
        <v>4.8000000000000007E-4</v>
      </c>
      <c r="AJ19" s="253">
        <f t="shared" si="4"/>
        <v>4.9295030175464951E-4</v>
      </c>
      <c r="AK19" s="253">
        <f t="shared" si="52"/>
        <v>1.9999999999999998E-5</v>
      </c>
      <c r="AL19" s="255">
        <f t="shared" si="28"/>
        <v>2E-3</v>
      </c>
      <c r="AN19" s="258">
        <f>(((IF($P$5&lt;&gt;0,$P$5,IF($P$6&lt;&gt;0,$P$6,IF($P$7&lt;&gt;0,$P$7,0))))/(12*$P$19))+(((3*$P$15)/(2*(IF($P$5&lt;&gt;0,$P$5,IF($P$6&lt;&gt;0,$P$6,IF($P$7&lt;&gt;0,$P$7,0))))*$U$5*$P$19))*'IN-OUT'!$F$15))*'Burland damage classification'!AR19</f>
        <v>3.1459492310750531E-3</v>
      </c>
      <c r="AO19" s="254">
        <f>(1+(((IF($P$5&lt;&gt;0,$P$5^2,IF($P$6&lt;&gt;0,$P$6^2,IF($P$7&lt;&gt;0,$P$7^2))))*$U$5)/(18*$P$15))*('IN-OUT'!$F$15^(-1)))*AS19</f>
        <v>1.048982771381893E-3</v>
      </c>
      <c r="AP19" s="254">
        <f t="shared" si="5"/>
        <v>1.048982771381893E-3</v>
      </c>
      <c r="AQ19" s="254">
        <f t="shared" si="29"/>
        <v>0.10489827713818931</v>
      </c>
      <c r="AR19" s="254">
        <f t="shared" si="53"/>
        <v>9.7999999999999975E-4</v>
      </c>
      <c r="AS19" s="253">
        <f t="shared" si="6"/>
        <v>9.9297532698451271E-4</v>
      </c>
      <c r="AT19" s="253">
        <f t="shared" si="54"/>
        <v>1.9999999999999998E-5</v>
      </c>
      <c r="AU19" s="255">
        <f t="shared" si="30"/>
        <v>2E-3</v>
      </c>
      <c r="AW19" s="258">
        <f>(((IF($P$5&lt;&gt;0,$P$5,IF($P$6&lt;&gt;0,$P$6,IF($P$7&lt;&gt;0,$P$7,0))))/(12*$P$19))+(((3*$P$15)/(2*(IF($P$5&lt;&gt;0,$P$5,IF($P$6&lt;&gt;0,$P$6,IF($P$7&lt;&gt;0,$P$7,0))))*$U$5*$P$19))*'IN-OUT'!$F$15))*'Burland damage classification'!BA19</f>
        <v>6.3561015076822533E-3</v>
      </c>
      <c r="AX19" s="254">
        <f>(1+(((IF($P$5&lt;&gt;0,$P$5^2,IF($P$6&lt;&gt;0,$P$6^2,IF($P$7&lt;&gt;0,$P$7^2))))*$U$5)/(18*$P$15))*('IN-OUT'!$F$15^(-1)))*BB19</f>
        <v>2.1053995112860426E-3</v>
      </c>
      <c r="AY19" s="254">
        <f t="shared" si="7"/>
        <v>2.1053995112860426E-3</v>
      </c>
      <c r="AZ19" s="254">
        <f t="shared" si="31"/>
        <v>0.21053995112860427</v>
      </c>
      <c r="BA19" s="254">
        <f t="shared" si="55"/>
        <v>1.9800000000000004E-3</v>
      </c>
      <c r="BB19" s="270">
        <f t="shared" si="8"/>
        <v>1.9929877069364979E-3</v>
      </c>
      <c r="BC19" s="253">
        <f t="shared" si="56"/>
        <v>1.9999999999999998E-5</v>
      </c>
      <c r="BD19" s="255">
        <f t="shared" si="32"/>
        <v>2E-3</v>
      </c>
      <c r="BF19" s="258" t="e">
        <f>((((IF($Q$5=0,$Q$6,$Q$5)))/(12*$Q$19))+(((3*$Q$15)/(2*IF($Q$5=0,$Q$6,$Q$5)*$U$5*$Q$19))*'IN-OUT'!$F$15))*'Burland damage classification'!BJ19</f>
        <v>#DIV/0!</v>
      </c>
      <c r="BG19" s="262">
        <f>(1+(((IF($Q$5=0,$Q$6^2,$Q$5^2))*$U$5)/(18*$Q$15))*('IN-OUT'!$F$15^(-1)))*BK19</f>
        <v>3.2625824808645747E-4</v>
      </c>
      <c r="BH19" s="262" t="e">
        <f t="shared" si="9"/>
        <v>#DIV/0!</v>
      </c>
      <c r="BI19" s="262" t="e">
        <f t="shared" si="33"/>
        <v>#DIV/0!</v>
      </c>
      <c r="BJ19" s="262">
        <f t="shared" si="57"/>
        <v>3.1333333333333338E-4</v>
      </c>
      <c r="BK19" s="270">
        <f t="shared" si="10"/>
        <v>3.2625824808645747E-4</v>
      </c>
      <c r="BL19" s="270">
        <f t="shared" si="58"/>
        <v>1.9999999999999998E-5</v>
      </c>
      <c r="BM19" s="271">
        <f t="shared" si="34"/>
        <v>2E-3</v>
      </c>
      <c r="BO19" s="258" t="e">
        <f>((((IF($Q$5=0,$Q$6,$Q$5)))/(12*$Q$19))+(((3*$Q$15)/(2*IF($Q$5=0,$Q$6,$Q$5)*$U$5*$Q$19))*'IN-OUT'!$F$15))*'Burland damage classification'!BS19</f>
        <v>#DIV/0!</v>
      </c>
      <c r="BP19" s="262">
        <f>(1+(((IF($Q$5=0,$Q$6^2,$Q$5^2))*$U$5)/(18*$Q$15))*('IN-OUT'!$F$15^(-1)))*BT19</f>
        <v>4.9295030175464951E-4</v>
      </c>
      <c r="BQ19" s="254" t="e">
        <f t="shared" si="11"/>
        <v>#DIV/0!</v>
      </c>
      <c r="BR19" s="254" t="e">
        <f t="shared" si="35"/>
        <v>#DIV/0!</v>
      </c>
      <c r="BS19" s="254">
        <f t="shared" si="59"/>
        <v>4.8000000000000007E-4</v>
      </c>
      <c r="BT19" s="253">
        <f t="shared" si="12"/>
        <v>4.9295030175464951E-4</v>
      </c>
      <c r="BU19" s="253">
        <f t="shared" si="60"/>
        <v>1.9999999999999998E-5</v>
      </c>
      <c r="BV19" s="255">
        <f t="shared" si="36"/>
        <v>2E-3</v>
      </c>
      <c r="BX19" s="258" t="e">
        <f>((((IF($Q$5=0,$Q$6,$Q$5)))/(12*$Q$19))+(((3*$Q$15)/(2*IF($Q$5=0,$Q$6,$Q$5)*$U$5*$Q$19))*'IN-OUT'!$F$15))*'Burland damage classification'!CB19</f>
        <v>#DIV/0!</v>
      </c>
      <c r="BY19" s="262">
        <f>(1+(((IF($Q$5=0,$Q$6^2,$Q$5^2))*$U$5)/(18*$Q$15))*('IN-OUT'!$F$15^(-1)))*CC19</f>
        <v>9.9297532698451271E-4</v>
      </c>
      <c r="BZ19" s="254" t="e">
        <f t="shared" si="13"/>
        <v>#DIV/0!</v>
      </c>
      <c r="CA19" s="254" t="e">
        <f t="shared" si="37"/>
        <v>#DIV/0!</v>
      </c>
      <c r="CB19" s="254">
        <f t="shared" si="61"/>
        <v>9.7999999999999975E-4</v>
      </c>
      <c r="CC19" s="253">
        <f t="shared" si="14"/>
        <v>9.9297532698451271E-4</v>
      </c>
      <c r="CD19" s="253">
        <f t="shared" si="62"/>
        <v>1.9999999999999998E-5</v>
      </c>
      <c r="CE19" s="255">
        <f t="shared" si="38"/>
        <v>2E-3</v>
      </c>
      <c r="CG19" s="258" t="e">
        <f>((((IF($Q$5=0,$Q$6,$Q$5)))/(12*$Q$19))+(((3*$Q$15)/(2*IF($Q$5=0,$Q$6,$Q$5)*$U$5*$Q$19))*'IN-OUT'!$F$15))*'Burland damage classification'!CK19</f>
        <v>#DIV/0!</v>
      </c>
      <c r="CH19" s="262">
        <f>(1+(((IF($Q$5=0,$Q$6^2,$Q$5^2))*$U$5)/(18*$Q$15))*('IN-OUT'!$F$15^(-1)))*CL19</f>
        <v>1.9929877069364979E-3</v>
      </c>
      <c r="CI19" s="254" t="e">
        <f t="shared" si="15"/>
        <v>#DIV/0!</v>
      </c>
      <c r="CJ19" s="254" t="e">
        <f t="shared" si="39"/>
        <v>#DIV/0!</v>
      </c>
      <c r="CK19" s="254">
        <f t="shared" si="63"/>
        <v>1.9800000000000004E-3</v>
      </c>
      <c r="CL19" s="270">
        <f t="shared" si="16"/>
        <v>1.9929877069364979E-3</v>
      </c>
      <c r="CM19" s="253">
        <f t="shared" si="64"/>
        <v>1.9999999999999998E-5</v>
      </c>
      <c r="CN19" s="255">
        <f t="shared" si="40"/>
        <v>2E-3</v>
      </c>
      <c r="CP19" s="258" t="e">
        <f>((((IF($R$5=0,$R$6,$R$5)))/(12*$R$19))+(((3*$R$15)/(2*IF($R$5=0,$R$6,$R$5)*$U$5*$R$19))*'IN-OUT'!$F$15))*'Burland damage classification'!CT19</f>
        <v>#DIV/0!</v>
      </c>
      <c r="CQ19" s="262">
        <f>(1+(((IF($R$5=0,$R$6^2,$R$5^2))*$U$5)/(18*$R$15))*('IN-OUT'!$F$15^(-1)))*CU19</f>
        <v>3.2625824808645747E-4</v>
      </c>
      <c r="CR19" s="262" t="e">
        <f t="shared" si="17"/>
        <v>#DIV/0!</v>
      </c>
      <c r="CS19" s="262" t="e">
        <f t="shared" si="41"/>
        <v>#DIV/0!</v>
      </c>
      <c r="CT19" s="262">
        <f t="shared" si="65"/>
        <v>3.1333333333333338E-4</v>
      </c>
      <c r="CU19" s="270">
        <f t="shared" si="18"/>
        <v>3.2625824808645747E-4</v>
      </c>
      <c r="CV19" s="270">
        <f t="shared" si="66"/>
        <v>1.9999999999999998E-5</v>
      </c>
      <c r="CW19" s="271">
        <f t="shared" si="42"/>
        <v>2E-3</v>
      </c>
      <c r="CY19" s="258" t="e">
        <f>((((IF($R$5=0,$R$6,$R$5)))/(12*$R$19))+(((3*$R$15)/(2*IF($R$5=0,$R$6,$R$5)*$U$5*$R$19))*'IN-OUT'!$F$15))*'Burland damage classification'!DC19</f>
        <v>#DIV/0!</v>
      </c>
      <c r="CZ19" s="262">
        <f>(1+(((IF($R$5=0,$R$6^2,$R$5^2))*$U$5)/(18*$R$15))*('IN-OUT'!$F$15^(-1)))*DD19</f>
        <v>4.9295030175464951E-4</v>
      </c>
      <c r="DA19" s="254" t="e">
        <f t="shared" si="19"/>
        <v>#DIV/0!</v>
      </c>
      <c r="DB19" s="254" t="e">
        <f t="shared" si="43"/>
        <v>#DIV/0!</v>
      </c>
      <c r="DC19" s="254">
        <f t="shared" si="67"/>
        <v>4.8000000000000007E-4</v>
      </c>
      <c r="DD19" s="253">
        <f t="shared" si="20"/>
        <v>4.9295030175464951E-4</v>
      </c>
      <c r="DE19" s="253">
        <f t="shared" si="68"/>
        <v>1.9999999999999998E-5</v>
      </c>
      <c r="DF19" s="255">
        <f t="shared" si="44"/>
        <v>2E-3</v>
      </c>
      <c r="DH19" s="258" t="e">
        <f>((((IF($R$5=0,$R$6,$R$5)))/(12*$R$19))+(((3*$R$15)/(2*IF($R$5=0,$R$6,$R$5)*$U$5*$R$19))*'IN-OUT'!$F$15))*'Burland damage classification'!DL19</f>
        <v>#DIV/0!</v>
      </c>
      <c r="DI19" s="262">
        <f>(1+(((IF($R$5=0,$R$6^2,$R$5^2))*$U$5)/(18*$R$15))*('IN-OUT'!$F$15^(-1)))*DM19</f>
        <v>9.9297532698451271E-4</v>
      </c>
      <c r="DJ19" s="254" t="e">
        <f t="shared" si="21"/>
        <v>#DIV/0!</v>
      </c>
      <c r="DK19" s="254" t="e">
        <f t="shared" si="45"/>
        <v>#DIV/0!</v>
      </c>
      <c r="DL19" s="254">
        <f t="shared" si="69"/>
        <v>9.7999999999999975E-4</v>
      </c>
      <c r="DM19" s="253">
        <f t="shared" si="22"/>
        <v>9.9297532698451271E-4</v>
      </c>
      <c r="DN19" s="253">
        <f t="shared" si="70"/>
        <v>1.9999999999999998E-5</v>
      </c>
      <c r="DO19" s="255">
        <f t="shared" si="46"/>
        <v>2E-3</v>
      </c>
      <c r="DQ19" s="258" t="e">
        <f>((((IF($R$5=0,$R$6,$R$5)))/(12*$R$19))+(((3*$R$15)/(2*IF($R$5=0,$R$6,$R$5)*$U$5*$R$19))*'IN-OUT'!$F$15))*'Burland damage classification'!DU19</f>
        <v>#DIV/0!</v>
      </c>
      <c r="DR19" s="262">
        <f>(1+(((IF($R$5=0,$R$6^2,$R$5^2))*$U$5)/(18*$R$15))*('IN-OUT'!$F$15^(-1)))*DV19</f>
        <v>1.9929877069364979E-3</v>
      </c>
      <c r="DS19" s="254" t="e">
        <f t="shared" si="23"/>
        <v>#DIV/0!</v>
      </c>
      <c r="DT19" s="254" t="e">
        <f t="shared" si="47"/>
        <v>#DIV/0!</v>
      </c>
      <c r="DU19" s="254">
        <f t="shared" si="71"/>
        <v>1.9800000000000004E-3</v>
      </c>
      <c r="DV19" s="270">
        <f t="shared" si="24"/>
        <v>1.9929877069364979E-3</v>
      </c>
      <c r="DW19" s="253">
        <f t="shared" si="72"/>
        <v>1.9999999999999998E-5</v>
      </c>
      <c r="DX19" s="255">
        <f t="shared" si="48"/>
        <v>2E-3</v>
      </c>
      <c r="EA19" s="482">
        <v>3</v>
      </c>
      <c r="EB19" s="478">
        <f>EB18+((EB10-EB9)/6)</f>
        <v>-18.599335499999999</v>
      </c>
      <c r="EC19" s="479"/>
      <c r="ED19" s="479"/>
      <c r="EE19" s="478">
        <f>EE18+((EE10-EE9)/6)</f>
        <v>0</v>
      </c>
      <c r="EF19" s="478">
        <f>EF18+((EF10-EF9)/6)</f>
        <v>0</v>
      </c>
      <c r="EG19" s="478">
        <f>EG18+((EG10-EG9)/6)</f>
        <v>-13.744209</v>
      </c>
      <c r="EH19" s="479"/>
      <c r="EI19" s="479"/>
      <c r="EJ19" s="483">
        <f>EJ18+((EJ10-EJ9)/6)</f>
        <v>0</v>
      </c>
    </row>
    <row r="20" spans="8:167">
      <c r="H20" s="304">
        <f>IF(AND(D7=1000,D8=1000),0,IF(AND($G$5&gt;$D$6,$G$5&lt;=$D$7,$G$6&gt;$D$6,$G$6&lt;=$D$7),ABS($G$6-$G$5),0))</f>
        <v>0</v>
      </c>
      <c r="I20" s="288" t="str">
        <f>IF((H20&lt;&gt;0),$G$5,"")</f>
        <v/>
      </c>
      <c r="J20" s="295" t="str">
        <f>IF((H20&lt;&gt;0),$G$6,"")</f>
        <v/>
      </c>
      <c r="K20" s="323"/>
      <c r="L20" s="288"/>
      <c r="M20" s="295"/>
      <c r="N20" s="253"/>
      <c r="V20" s="258">
        <f>(((IF($P$5&lt;&gt;0,$P$5,IF($P$6&lt;&gt;0,$P$6,IF($P$7&lt;&gt;0,$P$7,0))))/(12*$P$19))+(((3*$P$15)/(2*(IF($P$5&lt;&gt;0,$P$5,IF($P$6&lt;&gt;0,$P$6,IF($P$7&lt;&gt;0,$P$7,0))))*$U$5*$P$19))*'IN-OUT'!$F$15))*'Burland damage classification'!Z20</f>
        <v>9.8444669815954096E-4</v>
      </c>
      <c r="W20" s="262">
        <f>(1+(((IF($P$5&lt;&gt;0,$P$5^2,IF($P$6&lt;&gt;0,$P$6^2,IF($P$7&lt;&gt;0,$P$7^2))))*$U$5)/(18*$P$15))*('IN-OUT'!$F$15^(-1)))*AA20</f>
        <v>3.4213274379771839E-4</v>
      </c>
      <c r="X20" s="262">
        <f t="shared" si="1"/>
        <v>3.4213274379771839E-4</v>
      </c>
      <c r="Y20" s="262">
        <f t="shared" si="25"/>
        <v>3.4213274379771841E-2</v>
      </c>
      <c r="Z20" s="916">
        <f t="shared" si="49"/>
        <v>3.0666666666666673E-4</v>
      </c>
      <c r="AA20" s="270">
        <f t="shared" si="2"/>
        <v>3.2386554137309653E-4</v>
      </c>
      <c r="AB20" s="270">
        <f t="shared" si="50"/>
        <v>2.6666666666666667E-5</v>
      </c>
      <c r="AC20" s="271">
        <f t="shared" si="26"/>
        <v>2.6666666666666666E-3</v>
      </c>
      <c r="AE20" s="258">
        <f>(((IF($P$5&lt;&gt;0,$P$5,IF($P$6&lt;&gt;0,$P$6,IF($P$7&lt;&gt;0,$P$7,0))))/(12*$P$19))+(((3*$P$15)/(2*(IF($P$5&lt;&gt;0,$P$5,IF($P$6&lt;&gt;0,$P$6,IF($P$7&lt;&gt;0,$P$7,0))))*$U$5*$P$19))*'IN-OUT'!$F$15))*'Burland damage classification'!AI20</f>
        <v>1.519472077594074E-3</v>
      </c>
      <c r="AF20" s="254">
        <f>(1+(((IF($P$5&lt;&gt;0,$P$5^2,IF($P$6&lt;&gt;0,$P$6^2,IF($P$7&lt;&gt;0,$P$7^2))))*$U$5)/(18*$P$15))*('IN-OUT'!$F$15^(-1)))*AJ20</f>
        <v>5.182482798829558E-4</v>
      </c>
      <c r="AG20" s="254">
        <f t="shared" si="3"/>
        <v>5.182482798829558E-4</v>
      </c>
      <c r="AH20" s="254">
        <f t="shared" si="27"/>
        <v>5.1824827988295581E-2</v>
      </c>
      <c r="AI20" s="254">
        <f t="shared" si="51"/>
        <v>4.7333333333333342E-4</v>
      </c>
      <c r="AJ20" s="253">
        <f t="shared" si="4"/>
        <v>4.9057789051960615E-4</v>
      </c>
      <c r="AK20" s="253">
        <f t="shared" si="52"/>
        <v>2.6666666666666667E-5</v>
      </c>
      <c r="AL20" s="255">
        <f t="shared" si="28"/>
        <v>2.6666666666666666E-3</v>
      </c>
      <c r="AN20" s="258">
        <f>(((IF($P$5&lt;&gt;0,$P$5,IF($P$6&lt;&gt;0,$P$6,IF($P$7&lt;&gt;0,$P$7,0))))/(12*$P$19))+(((3*$P$15)/(2*(IF($P$5&lt;&gt;0,$P$5,IF($P$6&lt;&gt;0,$P$6,IF($P$7&lt;&gt;0,$P$7,0))))*$U$5*$P$19))*'IN-OUT'!$F$15))*'Burland damage classification'!AR20</f>
        <v>3.1245482158976717E-3</v>
      </c>
      <c r="AO20" s="254">
        <f>(1+(((IF($P$5&lt;&gt;0,$P$5^2,IF($P$6&lt;&gt;0,$P$6^2,IF($P$7&lt;&gt;0,$P$7^2))))*$U$5)/(18*$P$15))*('IN-OUT'!$F$15^(-1)))*AS20</f>
        <v>1.0464974473959044E-3</v>
      </c>
      <c r="AP20" s="254">
        <f t="shared" si="5"/>
        <v>1.0464974473959044E-3</v>
      </c>
      <c r="AQ20" s="254">
        <f t="shared" si="29"/>
        <v>0.10464974473959043</v>
      </c>
      <c r="AR20" s="254">
        <f t="shared" si="53"/>
        <v>9.733333333333331E-4</v>
      </c>
      <c r="AS20" s="253">
        <f t="shared" si="6"/>
        <v>9.9062269978702458E-4</v>
      </c>
      <c r="AT20" s="253">
        <f t="shared" si="54"/>
        <v>2.6666666666666667E-5</v>
      </c>
      <c r="AU20" s="255">
        <f t="shared" si="30"/>
        <v>2.6666666666666666E-3</v>
      </c>
      <c r="AW20" s="258">
        <f>(((IF($P$5&lt;&gt;0,$P$5,IF($P$6&lt;&gt;0,$P$6,IF($P$7&lt;&gt;0,$P$7,0))))/(12*$P$19))+(((3*$P$15)/(2*(IF($P$5&lt;&gt;0,$P$5,IF($P$6&lt;&gt;0,$P$6,IF($P$7&lt;&gt;0,$P$7,0))))*$U$5*$P$19))*'IN-OUT'!$F$15))*'Burland damage classification'!BA20</f>
        <v>6.3347004925048724E-3</v>
      </c>
      <c r="AX20" s="254">
        <f>(1+(((IF($P$5&lt;&gt;0,$P$5^2,IF($P$6&lt;&gt;0,$P$6^2,IF($P$7&lt;&gt;0,$P$7^2))))*$U$5)/(18*$P$15))*('IN-OUT'!$F$15^(-1)))*BB20</f>
        <v>2.1029244417295929E-3</v>
      </c>
      <c r="AY20" s="254">
        <f t="shared" si="7"/>
        <v>2.1029244417295929E-3</v>
      </c>
      <c r="AZ20" s="254">
        <f t="shared" si="31"/>
        <v>0.21029244417295928</v>
      </c>
      <c r="BA20" s="254">
        <f t="shared" si="55"/>
        <v>1.9733333333333339E-3</v>
      </c>
      <c r="BB20" s="270">
        <f t="shared" si="8"/>
        <v>1.9906447866625192E-3</v>
      </c>
      <c r="BC20" s="253">
        <f t="shared" si="56"/>
        <v>2.6666666666666667E-5</v>
      </c>
      <c r="BD20" s="255">
        <f t="shared" si="32"/>
        <v>2.6666666666666666E-3</v>
      </c>
      <c r="BF20" s="258" t="e">
        <f>((((IF($Q$5=0,$Q$6,$Q$5)))/(12*$Q$19))+(((3*$Q$15)/(2*IF($Q$5=0,$Q$6,$Q$5)*$U$5*$Q$19))*'IN-OUT'!$F$15))*'Burland damage classification'!BJ20</f>
        <v>#DIV/0!</v>
      </c>
      <c r="BG20" s="262">
        <f>(1+(((IF($Q$5=0,$Q$6^2,$Q$5^2))*$U$5)/(18*$Q$15))*('IN-OUT'!$F$15^(-1)))*BK20</f>
        <v>3.2386554137309653E-4</v>
      </c>
      <c r="BH20" s="262" t="e">
        <f t="shared" si="9"/>
        <v>#DIV/0!</v>
      </c>
      <c r="BI20" s="262" t="e">
        <f t="shared" si="33"/>
        <v>#DIV/0!</v>
      </c>
      <c r="BJ20" s="262">
        <f t="shared" si="57"/>
        <v>3.0666666666666673E-4</v>
      </c>
      <c r="BK20" s="270">
        <f t="shared" si="10"/>
        <v>3.2386554137309653E-4</v>
      </c>
      <c r="BL20" s="270">
        <f t="shared" si="58"/>
        <v>2.6666666666666667E-5</v>
      </c>
      <c r="BM20" s="271">
        <f t="shared" si="34"/>
        <v>2.6666666666666666E-3</v>
      </c>
      <c r="BO20" s="258" t="e">
        <f>((((IF($Q$5=0,$Q$6,$Q$5)))/(12*$Q$19))+(((3*$Q$15)/(2*IF($Q$5=0,$Q$6,$Q$5)*$U$5*$Q$19))*'IN-OUT'!$F$15))*'Burland damage classification'!BS20</f>
        <v>#DIV/0!</v>
      </c>
      <c r="BP20" s="262">
        <f>(1+(((IF($Q$5=0,$Q$6^2,$Q$5^2))*$U$5)/(18*$Q$15))*('IN-OUT'!$F$15^(-1)))*BT20</f>
        <v>4.9057789051960615E-4</v>
      </c>
      <c r="BQ20" s="254" t="e">
        <f t="shared" si="11"/>
        <v>#DIV/0!</v>
      </c>
      <c r="BR20" s="254" t="e">
        <f t="shared" si="35"/>
        <v>#DIV/0!</v>
      </c>
      <c r="BS20" s="254">
        <f t="shared" si="59"/>
        <v>4.7333333333333342E-4</v>
      </c>
      <c r="BT20" s="253">
        <f t="shared" si="12"/>
        <v>4.9057789051960615E-4</v>
      </c>
      <c r="BU20" s="253">
        <f t="shared" si="60"/>
        <v>2.6666666666666667E-5</v>
      </c>
      <c r="BV20" s="255">
        <f t="shared" si="36"/>
        <v>2.6666666666666666E-3</v>
      </c>
      <c r="BX20" s="258" t="e">
        <f>((((IF($Q$5=0,$Q$6,$Q$5)))/(12*$Q$19))+(((3*$Q$15)/(2*IF($Q$5=0,$Q$6,$Q$5)*$U$5*$Q$19))*'IN-OUT'!$F$15))*'Burland damage classification'!CB20</f>
        <v>#DIV/0!</v>
      </c>
      <c r="BY20" s="262">
        <f>(1+(((IF($Q$5=0,$Q$6^2,$Q$5^2))*$U$5)/(18*$Q$15))*('IN-OUT'!$F$15^(-1)))*CC20</f>
        <v>9.9062269978702458E-4</v>
      </c>
      <c r="BZ20" s="254" t="e">
        <f t="shared" si="13"/>
        <v>#DIV/0!</v>
      </c>
      <c r="CA20" s="254" t="e">
        <f t="shared" si="37"/>
        <v>#DIV/0!</v>
      </c>
      <c r="CB20" s="254">
        <f t="shared" si="61"/>
        <v>9.733333333333331E-4</v>
      </c>
      <c r="CC20" s="253">
        <f t="shared" si="14"/>
        <v>9.9062269978702458E-4</v>
      </c>
      <c r="CD20" s="253">
        <f t="shared" si="62"/>
        <v>2.6666666666666667E-5</v>
      </c>
      <c r="CE20" s="255">
        <f t="shared" si="38"/>
        <v>2.6666666666666666E-3</v>
      </c>
      <c r="CG20" s="258" t="e">
        <f>((((IF($Q$5=0,$Q$6,$Q$5)))/(12*$Q$19))+(((3*$Q$15)/(2*IF($Q$5=0,$Q$6,$Q$5)*$U$5*$Q$19))*'IN-OUT'!$F$15))*'Burland damage classification'!CK20</f>
        <v>#DIV/0!</v>
      </c>
      <c r="CH20" s="262">
        <f>(1+(((IF($Q$5=0,$Q$6^2,$Q$5^2))*$U$5)/(18*$Q$15))*('IN-OUT'!$F$15^(-1)))*CL20</f>
        <v>1.9906447866625192E-3</v>
      </c>
      <c r="CI20" s="254" t="e">
        <f t="shared" si="15"/>
        <v>#DIV/0!</v>
      </c>
      <c r="CJ20" s="254" t="e">
        <f t="shared" si="39"/>
        <v>#DIV/0!</v>
      </c>
      <c r="CK20" s="254">
        <f t="shared" si="63"/>
        <v>1.9733333333333339E-3</v>
      </c>
      <c r="CL20" s="270">
        <f t="shared" si="16"/>
        <v>1.9906447866625192E-3</v>
      </c>
      <c r="CM20" s="253">
        <f t="shared" si="64"/>
        <v>2.6666666666666667E-5</v>
      </c>
      <c r="CN20" s="255">
        <f t="shared" si="40"/>
        <v>2.6666666666666666E-3</v>
      </c>
      <c r="CP20" s="258" t="e">
        <f>((((IF($R$5=0,$R$6,$R$5)))/(12*$R$19))+(((3*$R$15)/(2*IF($R$5=0,$R$6,$R$5)*$U$5*$R$19))*'IN-OUT'!$F$15))*'Burland damage classification'!CT20</f>
        <v>#DIV/0!</v>
      </c>
      <c r="CQ20" s="262">
        <f>(1+(((IF($R$5=0,$R$6^2,$R$5^2))*$U$5)/(18*$R$15))*('IN-OUT'!$F$15^(-1)))*CU20</f>
        <v>3.2386554137309653E-4</v>
      </c>
      <c r="CR20" s="262" t="e">
        <f t="shared" si="17"/>
        <v>#DIV/0!</v>
      </c>
      <c r="CS20" s="262" t="e">
        <f t="shared" si="41"/>
        <v>#DIV/0!</v>
      </c>
      <c r="CT20" s="262">
        <f t="shared" si="65"/>
        <v>3.0666666666666673E-4</v>
      </c>
      <c r="CU20" s="270">
        <f t="shared" si="18"/>
        <v>3.2386554137309653E-4</v>
      </c>
      <c r="CV20" s="270">
        <f t="shared" si="66"/>
        <v>2.6666666666666667E-5</v>
      </c>
      <c r="CW20" s="271">
        <f t="shared" si="42"/>
        <v>2.6666666666666666E-3</v>
      </c>
      <c r="CY20" s="258" t="e">
        <f>((((IF($R$5=0,$R$6,$R$5)))/(12*$R$19))+(((3*$R$15)/(2*IF($R$5=0,$R$6,$R$5)*$U$5*$R$19))*'IN-OUT'!$F$15))*'Burland damage classification'!DC20</f>
        <v>#DIV/0!</v>
      </c>
      <c r="CZ20" s="262">
        <f>(1+(((IF($R$5=0,$R$6^2,$R$5^2))*$U$5)/(18*$R$15))*('IN-OUT'!$F$15^(-1)))*DD20</f>
        <v>4.9057789051960615E-4</v>
      </c>
      <c r="DA20" s="254" t="e">
        <f t="shared" si="19"/>
        <v>#DIV/0!</v>
      </c>
      <c r="DB20" s="254" t="e">
        <f t="shared" si="43"/>
        <v>#DIV/0!</v>
      </c>
      <c r="DC20" s="254">
        <f t="shared" si="67"/>
        <v>4.7333333333333342E-4</v>
      </c>
      <c r="DD20" s="253">
        <f t="shared" si="20"/>
        <v>4.9057789051960615E-4</v>
      </c>
      <c r="DE20" s="253">
        <f t="shared" si="68"/>
        <v>2.6666666666666667E-5</v>
      </c>
      <c r="DF20" s="255">
        <f t="shared" si="44"/>
        <v>2.6666666666666666E-3</v>
      </c>
      <c r="DH20" s="258" t="e">
        <f>((((IF($R$5=0,$R$6,$R$5)))/(12*$R$19))+(((3*$R$15)/(2*IF($R$5=0,$R$6,$R$5)*$U$5*$R$19))*'IN-OUT'!$F$15))*'Burland damage classification'!DL20</f>
        <v>#DIV/0!</v>
      </c>
      <c r="DI20" s="262">
        <f>(1+(((IF($R$5=0,$R$6^2,$R$5^2))*$U$5)/(18*$R$15))*('IN-OUT'!$F$15^(-1)))*DM20</f>
        <v>9.9062269978702458E-4</v>
      </c>
      <c r="DJ20" s="254" t="e">
        <f t="shared" si="21"/>
        <v>#DIV/0!</v>
      </c>
      <c r="DK20" s="254" t="e">
        <f t="shared" si="45"/>
        <v>#DIV/0!</v>
      </c>
      <c r="DL20" s="254">
        <f t="shared" si="69"/>
        <v>9.733333333333331E-4</v>
      </c>
      <c r="DM20" s="253">
        <f t="shared" si="22"/>
        <v>9.9062269978702458E-4</v>
      </c>
      <c r="DN20" s="253">
        <f t="shared" si="70"/>
        <v>2.6666666666666667E-5</v>
      </c>
      <c r="DO20" s="255">
        <f t="shared" si="46"/>
        <v>2.6666666666666666E-3</v>
      </c>
      <c r="DQ20" s="258" t="e">
        <f>((((IF($R$5=0,$R$6,$R$5)))/(12*$R$19))+(((3*$R$15)/(2*IF($R$5=0,$R$6,$R$5)*$U$5*$R$19))*'IN-OUT'!$F$15))*'Burland damage classification'!DU20</f>
        <v>#DIV/0!</v>
      </c>
      <c r="DR20" s="262">
        <f>(1+(((IF($R$5=0,$R$6^2,$R$5^2))*$U$5)/(18*$R$15))*('IN-OUT'!$F$15^(-1)))*DV20</f>
        <v>1.9906447866625192E-3</v>
      </c>
      <c r="DS20" s="254" t="e">
        <f t="shared" si="23"/>
        <v>#DIV/0!</v>
      </c>
      <c r="DT20" s="254" t="e">
        <f t="shared" si="47"/>
        <v>#DIV/0!</v>
      </c>
      <c r="DU20" s="254">
        <f t="shared" si="71"/>
        <v>1.9733333333333339E-3</v>
      </c>
      <c r="DV20" s="270">
        <f t="shared" si="24"/>
        <v>1.9906447866625192E-3</v>
      </c>
      <c r="DW20" s="253">
        <f t="shared" si="72"/>
        <v>2.6666666666666667E-5</v>
      </c>
      <c r="DX20" s="255">
        <f t="shared" si="48"/>
        <v>2.6666666666666666E-3</v>
      </c>
      <c r="EA20" s="482">
        <v>4</v>
      </c>
      <c r="EB20" s="478">
        <f>EB19+((EB10-EB9)/6)</f>
        <v>-17.399556999999998</v>
      </c>
      <c r="EC20" s="479"/>
      <c r="ED20" s="479"/>
      <c r="EE20" s="478">
        <f>EE19+((EE10-EE9)/6)</f>
        <v>0</v>
      </c>
      <c r="EF20" s="478">
        <f>EF19+((EF10-EF9)/6)</f>
        <v>0</v>
      </c>
      <c r="EG20" s="478">
        <f>EG19+((EG10-EG9)/6)</f>
        <v>-13.325612</v>
      </c>
      <c r="EH20" s="479"/>
      <c r="EI20" s="479"/>
      <c r="EJ20" s="483">
        <f>EJ19+((EJ10-EJ9)/6)</f>
        <v>0</v>
      </c>
    </row>
    <row r="21" spans="8:167" ht="12.75" customHeight="1" thickBot="1">
      <c r="H21" s="305">
        <f>IF(AND(D7=1000,D8=1000),0,IF(AND($G$5&gt;$D$6,$G$5&lt;=$D$7,$G$6&gt;$D$7,$G$6&lt;=$D$8),ABS($D$7-$G$5),0))</f>
        <v>0</v>
      </c>
      <c r="I21" s="288" t="str">
        <f>IF((H21&lt;&gt;0),$G$5,"")</f>
        <v/>
      </c>
      <c r="J21" s="295" t="str">
        <f>IF((H21&lt;&gt;0),$D$7,"")</f>
        <v/>
      </c>
      <c r="K21" s="324">
        <f>IF(AND(D7=1000,D8=1000),0,IF(AND($G$5&gt;$D$6,$G$5&lt;=$D$7,$G$6&gt;$D$7,$G$6&lt;=$D$8),ABS($G$6-$D$7),0))</f>
        <v>0</v>
      </c>
      <c r="L21" s="288" t="str">
        <f>IF((K21&lt;&gt;0),$D$7,"")</f>
        <v/>
      </c>
      <c r="M21" s="295" t="str">
        <f>IF((K21&lt;&gt;0),$G$6,"")</f>
        <v/>
      </c>
      <c r="N21" s="253"/>
      <c r="P21" s="9"/>
      <c r="V21" s="258">
        <f>(((IF($P$5&lt;&gt;0,$P$5,IF($P$6&lt;&gt;0,$P$6,IF($P$7&lt;&gt;0,$P$7,0))))/(12*$P$19))+(((3*$P$15)/(2*(IF($P$5&lt;&gt;0,$P$5,IF($P$6&lt;&gt;0,$P$6,IF($P$7&lt;&gt;0,$P$7,0))))*$U$5*$P$19))*'IN-OUT'!$F$15))*'Burland damage classification'!Z21</f>
        <v>9.6304568298215959E-4</v>
      </c>
      <c r="W21" s="262">
        <f>(1+(((IF($P$5&lt;&gt;0,$P$5^2,IF($P$6&lt;&gt;0,$P$6^2,IF($P$7&lt;&gt;0,$P$7^2))))*$U$5)/(18*$P$15))*('IN-OUT'!$F$15^(-1)))*AA21</f>
        <v>3.395862658617455E-4</v>
      </c>
      <c r="X21" s="262">
        <f t="shared" si="1"/>
        <v>3.395862658617455E-4</v>
      </c>
      <c r="Y21" s="262">
        <f t="shared" si="25"/>
        <v>3.3958626586174552E-2</v>
      </c>
      <c r="Z21" s="916">
        <f t="shared" si="49"/>
        <v>3.0000000000000008E-4</v>
      </c>
      <c r="AA21" s="270">
        <f t="shared" si="2"/>
        <v>3.2145502536643183E-4</v>
      </c>
      <c r="AB21" s="270">
        <f t="shared" si="50"/>
        <v>3.3333333333333335E-5</v>
      </c>
      <c r="AC21" s="271">
        <f t="shared" si="26"/>
        <v>3.3333333333333335E-3</v>
      </c>
      <c r="AE21" s="258">
        <f>(((IF($P$5&lt;&gt;0,$P$5,IF($P$6&lt;&gt;0,$P$6,IF($P$7&lt;&gt;0,$P$7,0))))/(12*$P$19))+(((3*$P$15)/(2*(IF($P$5&lt;&gt;0,$P$5,IF($P$6&lt;&gt;0,$P$6,IF($P$7&lt;&gt;0,$P$7,0))))*$U$5*$P$19))*'IN-OUT'!$F$15))*'Burland damage classification'!AI21</f>
        <v>1.4980710624166926E-3</v>
      </c>
      <c r="AF21" s="254">
        <f>(1+(((IF($P$5&lt;&gt;0,$P$5^2,IF($P$6&lt;&gt;0,$P$6^2,IF($P$7&lt;&gt;0,$P$7^2))))*$U$5)/(18*$P$15))*('IN-OUT'!$F$15^(-1)))*AJ21</f>
        <v>5.1572987694789975E-4</v>
      </c>
      <c r="AG21" s="254">
        <f t="shared" si="3"/>
        <v>5.1572987694789975E-4</v>
      </c>
      <c r="AH21" s="254">
        <f t="shared" si="27"/>
        <v>5.1572987694789976E-2</v>
      </c>
      <c r="AI21" s="254">
        <f t="shared" si="51"/>
        <v>4.6666666666666677E-4</v>
      </c>
      <c r="AJ21" s="253">
        <f t="shared" si="4"/>
        <v>4.8819395052922699E-4</v>
      </c>
      <c r="AK21" s="253">
        <f t="shared" si="52"/>
        <v>3.3333333333333335E-5</v>
      </c>
      <c r="AL21" s="255">
        <f t="shared" si="28"/>
        <v>3.3333333333333335E-3</v>
      </c>
      <c r="AN21" s="258">
        <f>(((IF($P$5&lt;&gt;0,$P$5,IF($P$6&lt;&gt;0,$P$6,IF($P$7&lt;&gt;0,$P$7,0))))/(12*$P$19))+(((3*$P$15)/(2*(IF($P$5&lt;&gt;0,$P$5,IF($P$6&lt;&gt;0,$P$6,IF($P$7&lt;&gt;0,$P$7,0))))*$U$5*$P$19))*'IN-OUT'!$F$15))*'Burland damage classification'!AR21</f>
        <v>3.1031472007202908E-3</v>
      </c>
      <c r="AO21" s="254">
        <f>(1+(((IF($P$5&lt;&gt;0,$P$5^2,IF($P$6&lt;&gt;0,$P$6^2,IF($P$7&lt;&gt;0,$P$7^2))))*$U$5)/(18*$P$15))*('IN-OUT'!$F$15^(-1)))*AS21</f>
        <v>1.044006206952933E-3</v>
      </c>
      <c r="AP21" s="254">
        <f t="shared" si="5"/>
        <v>1.044006206952933E-3</v>
      </c>
      <c r="AQ21" s="254">
        <f t="shared" si="29"/>
        <v>0.10440062069529329</v>
      </c>
      <c r="AR21" s="254">
        <f t="shared" si="53"/>
        <v>9.6666666666666646E-4</v>
      </c>
      <c r="AS21" s="253">
        <f t="shared" si="6"/>
        <v>9.8826447202490634E-4</v>
      </c>
      <c r="AT21" s="253">
        <f t="shared" si="54"/>
        <v>3.3333333333333335E-5</v>
      </c>
      <c r="AU21" s="255">
        <f t="shared" si="30"/>
        <v>3.3333333333333335E-3</v>
      </c>
      <c r="AW21" s="258">
        <f>(((IF($P$5&lt;&gt;0,$P$5,IF($P$6&lt;&gt;0,$P$6,IF($P$7&lt;&gt;0,$P$7,0))))/(12*$P$19))+(((3*$P$15)/(2*(IF($P$5&lt;&gt;0,$P$5,IF($P$6&lt;&gt;0,$P$6,IF($P$7&lt;&gt;0,$P$7,0))))*$U$5*$P$19))*'IN-OUT'!$F$15))*'Burland damage classification'!BA21</f>
        <v>6.3132994773274914E-3</v>
      </c>
      <c r="AX21" s="254">
        <f>(1+(((IF($P$5&lt;&gt;0,$P$5^2,IF($P$6&lt;&gt;0,$P$6^2,IF($P$7&lt;&gt;0,$P$7^2))))*$U$5)/(18*$P$15))*('IN-OUT'!$F$15^(-1)))*BB21</f>
        <v>2.1004464556669692E-3</v>
      </c>
      <c r="AY21" s="254">
        <f t="shared" si="7"/>
        <v>2.1004464556669692E-3</v>
      </c>
      <c r="AZ21" s="254">
        <f t="shared" si="31"/>
        <v>0.21004464556669691</v>
      </c>
      <c r="BA21" s="254">
        <f t="shared" si="55"/>
        <v>1.9666666666666673E-3</v>
      </c>
      <c r="BB21" s="270">
        <f t="shared" si="8"/>
        <v>1.9882991056008985E-3</v>
      </c>
      <c r="BC21" s="253">
        <f t="shared" si="56"/>
        <v>3.3333333333333335E-5</v>
      </c>
      <c r="BD21" s="255">
        <f t="shared" si="32"/>
        <v>3.3333333333333335E-3</v>
      </c>
      <c r="BF21" s="258" t="e">
        <f>((((IF($Q$5=0,$Q$6,$Q$5)))/(12*$Q$19))+(((3*$Q$15)/(2*IF($Q$5=0,$Q$6,$Q$5)*$U$5*$Q$19))*'IN-OUT'!$F$15))*'Burland damage classification'!BJ21</f>
        <v>#DIV/0!</v>
      </c>
      <c r="BG21" s="262">
        <f>(1+(((IF($Q$5=0,$Q$6^2,$Q$5^2))*$U$5)/(18*$Q$15))*('IN-OUT'!$F$15^(-1)))*BK21</f>
        <v>3.2145502536643183E-4</v>
      </c>
      <c r="BH21" s="262" t="e">
        <f t="shared" si="9"/>
        <v>#DIV/0!</v>
      </c>
      <c r="BI21" s="262" t="e">
        <f t="shared" si="33"/>
        <v>#DIV/0!</v>
      </c>
      <c r="BJ21" s="262">
        <f t="shared" si="57"/>
        <v>3.0000000000000008E-4</v>
      </c>
      <c r="BK21" s="270">
        <f t="shared" si="10"/>
        <v>3.2145502536643183E-4</v>
      </c>
      <c r="BL21" s="270">
        <f t="shared" si="58"/>
        <v>3.3333333333333335E-5</v>
      </c>
      <c r="BM21" s="271">
        <f t="shared" si="34"/>
        <v>3.3333333333333335E-3</v>
      </c>
      <c r="BO21" s="258" t="e">
        <f>((((IF($Q$5=0,$Q$6,$Q$5)))/(12*$Q$19))+(((3*$Q$15)/(2*IF($Q$5=0,$Q$6,$Q$5)*$U$5*$Q$19))*'IN-OUT'!$F$15))*'Burland damage classification'!BS21</f>
        <v>#DIV/0!</v>
      </c>
      <c r="BP21" s="262">
        <f>(1+(((IF($Q$5=0,$Q$6^2,$Q$5^2))*$U$5)/(18*$Q$15))*('IN-OUT'!$F$15^(-1)))*BT21</f>
        <v>4.8819395052922699E-4</v>
      </c>
      <c r="BQ21" s="254" t="e">
        <f t="shared" si="11"/>
        <v>#DIV/0!</v>
      </c>
      <c r="BR21" s="254" t="e">
        <f t="shared" si="35"/>
        <v>#DIV/0!</v>
      </c>
      <c r="BS21" s="254">
        <f t="shared" si="59"/>
        <v>4.6666666666666677E-4</v>
      </c>
      <c r="BT21" s="253">
        <f t="shared" si="12"/>
        <v>4.8819395052922699E-4</v>
      </c>
      <c r="BU21" s="253">
        <f t="shared" si="60"/>
        <v>3.3333333333333335E-5</v>
      </c>
      <c r="BV21" s="255">
        <f t="shared" si="36"/>
        <v>3.3333333333333335E-3</v>
      </c>
      <c r="BX21" s="258" t="e">
        <f>((((IF($Q$5=0,$Q$6,$Q$5)))/(12*$Q$19))+(((3*$Q$15)/(2*IF($Q$5=0,$Q$6,$Q$5)*$U$5*$Q$19))*'IN-OUT'!$F$15))*'Burland damage classification'!CB21</f>
        <v>#DIV/0!</v>
      </c>
      <c r="BY21" s="262">
        <f>(1+(((IF($Q$5=0,$Q$6^2,$Q$5^2))*$U$5)/(18*$Q$15))*('IN-OUT'!$F$15^(-1)))*CC21</f>
        <v>9.8826447202490634E-4</v>
      </c>
      <c r="BZ21" s="254" t="e">
        <f t="shared" si="13"/>
        <v>#DIV/0!</v>
      </c>
      <c r="CA21" s="254" t="e">
        <f t="shared" si="37"/>
        <v>#DIV/0!</v>
      </c>
      <c r="CB21" s="254">
        <f t="shared" si="61"/>
        <v>9.6666666666666646E-4</v>
      </c>
      <c r="CC21" s="253">
        <f t="shared" si="14"/>
        <v>9.8826447202490634E-4</v>
      </c>
      <c r="CD21" s="253">
        <f t="shared" si="62"/>
        <v>3.3333333333333335E-5</v>
      </c>
      <c r="CE21" s="255">
        <f t="shared" si="38"/>
        <v>3.3333333333333335E-3</v>
      </c>
      <c r="CG21" s="258" t="e">
        <f>((((IF($Q$5=0,$Q$6,$Q$5)))/(12*$Q$19))+(((3*$Q$15)/(2*IF($Q$5=0,$Q$6,$Q$5)*$U$5*$Q$19))*'IN-OUT'!$F$15))*'Burland damage classification'!CK21</f>
        <v>#DIV/0!</v>
      </c>
      <c r="CH21" s="262">
        <f>(1+(((IF($Q$5=0,$Q$6^2,$Q$5^2))*$U$5)/(18*$Q$15))*('IN-OUT'!$F$15^(-1)))*CL21</f>
        <v>1.9882991056008985E-3</v>
      </c>
      <c r="CI21" s="254" t="e">
        <f t="shared" si="15"/>
        <v>#DIV/0!</v>
      </c>
      <c r="CJ21" s="254" t="e">
        <f t="shared" si="39"/>
        <v>#DIV/0!</v>
      </c>
      <c r="CK21" s="254">
        <f t="shared" si="63"/>
        <v>1.9666666666666673E-3</v>
      </c>
      <c r="CL21" s="270">
        <f t="shared" si="16"/>
        <v>1.9882991056008985E-3</v>
      </c>
      <c r="CM21" s="253">
        <f t="shared" si="64"/>
        <v>3.3333333333333335E-5</v>
      </c>
      <c r="CN21" s="255">
        <f t="shared" si="40"/>
        <v>3.3333333333333335E-3</v>
      </c>
      <c r="CP21" s="258" t="e">
        <f>((((IF($R$5=0,$R$6,$R$5)))/(12*$R$19))+(((3*$R$15)/(2*IF($R$5=0,$R$6,$R$5)*$U$5*$R$19))*'IN-OUT'!$F$15))*'Burland damage classification'!CT21</f>
        <v>#DIV/0!</v>
      </c>
      <c r="CQ21" s="262">
        <f>(1+(((IF($R$5=0,$R$6^2,$R$5^2))*$U$5)/(18*$R$15))*('IN-OUT'!$F$15^(-1)))*CU21</f>
        <v>3.2145502536643183E-4</v>
      </c>
      <c r="CR21" s="262" t="e">
        <f t="shared" si="17"/>
        <v>#DIV/0!</v>
      </c>
      <c r="CS21" s="262" t="e">
        <f t="shared" si="41"/>
        <v>#DIV/0!</v>
      </c>
      <c r="CT21" s="262">
        <f t="shared" si="65"/>
        <v>3.0000000000000008E-4</v>
      </c>
      <c r="CU21" s="270">
        <f t="shared" si="18"/>
        <v>3.2145502536643183E-4</v>
      </c>
      <c r="CV21" s="270">
        <f t="shared" si="66"/>
        <v>3.3333333333333335E-5</v>
      </c>
      <c r="CW21" s="271">
        <f t="shared" si="42"/>
        <v>3.3333333333333335E-3</v>
      </c>
      <c r="CY21" s="258" t="e">
        <f>((((IF($R$5=0,$R$6,$R$5)))/(12*$R$19))+(((3*$R$15)/(2*IF($R$5=0,$R$6,$R$5)*$U$5*$R$19))*'IN-OUT'!$F$15))*'Burland damage classification'!DC21</f>
        <v>#DIV/0!</v>
      </c>
      <c r="CZ21" s="262">
        <f>(1+(((IF($R$5=0,$R$6^2,$R$5^2))*$U$5)/(18*$R$15))*('IN-OUT'!$F$15^(-1)))*DD21</f>
        <v>4.8819395052922699E-4</v>
      </c>
      <c r="DA21" s="254" t="e">
        <f t="shared" si="19"/>
        <v>#DIV/0!</v>
      </c>
      <c r="DB21" s="254" t="e">
        <f t="shared" si="43"/>
        <v>#DIV/0!</v>
      </c>
      <c r="DC21" s="254">
        <f t="shared" si="67"/>
        <v>4.6666666666666677E-4</v>
      </c>
      <c r="DD21" s="253">
        <f t="shared" si="20"/>
        <v>4.8819395052922699E-4</v>
      </c>
      <c r="DE21" s="253">
        <f t="shared" si="68"/>
        <v>3.3333333333333335E-5</v>
      </c>
      <c r="DF21" s="255">
        <f t="shared" si="44"/>
        <v>3.3333333333333335E-3</v>
      </c>
      <c r="DH21" s="258" t="e">
        <f>((((IF($R$5=0,$R$6,$R$5)))/(12*$R$19))+(((3*$R$15)/(2*IF($R$5=0,$R$6,$R$5)*$U$5*$R$19))*'IN-OUT'!$F$15))*'Burland damage classification'!DL21</f>
        <v>#DIV/0!</v>
      </c>
      <c r="DI21" s="262">
        <f>(1+(((IF($R$5=0,$R$6^2,$R$5^2))*$U$5)/(18*$R$15))*('IN-OUT'!$F$15^(-1)))*DM21</f>
        <v>9.8826447202490634E-4</v>
      </c>
      <c r="DJ21" s="254" t="e">
        <f t="shared" si="21"/>
        <v>#DIV/0!</v>
      </c>
      <c r="DK21" s="254" t="e">
        <f t="shared" si="45"/>
        <v>#DIV/0!</v>
      </c>
      <c r="DL21" s="254">
        <f t="shared" si="69"/>
        <v>9.6666666666666646E-4</v>
      </c>
      <c r="DM21" s="253">
        <f t="shared" si="22"/>
        <v>9.8826447202490634E-4</v>
      </c>
      <c r="DN21" s="253">
        <f t="shared" si="70"/>
        <v>3.3333333333333335E-5</v>
      </c>
      <c r="DO21" s="255">
        <f t="shared" si="46"/>
        <v>3.3333333333333335E-3</v>
      </c>
      <c r="DQ21" s="258" t="e">
        <f>((((IF($R$5=0,$R$6,$R$5)))/(12*$R$19))+(((3*$R$15)/(2*IF($R$5=0,$R$6,$R$5)*$U$5*$R$19))*'IN-OUT'!$F$15))*'Burland damage classification'!DU21</f>
        <v>#DIV/0!</v>
      </c>
      <c r="DR21" s="262">
        <f>(1+(((IF($R$5=0,$R$6^2,$R$5^2))*$U$5)/(18*$R$15))*('IN-OUT'!$F$15^(-1)))*DV21</f>
        <v>1.9882991056008985E-3</v>
      </c>
      <c r="DS21" s="254" t="e">
        <f t="shared" si="23"/>
        <v>#DIV/0!</v>
      </c>
      <c r="DT21" s="254" t="e">
        <f t="shared" si="47"/>
        <v>#DIV/0!</v>
      </c>
      <c r="DU21" s="254">
        <f t="shared" si="71"/>
        <v>1.9666666666666673E-3</v>
      </c>
      <c r="DV21" s="270">
        <f t="shared" si="24"/>
        <v>1.9882991056008985E-3</v>
      </c>
      <c r="DW21" s="253">
        <f t="shared" si="72"/>
        <v>3.3333333333333335E-5</v>
      </c>
      <c r="DX21" s="255">
        <f t="shared" si="48"/>
        <v>3.3333333333333335E-3</v>
      </c>
      <c r="EA21" s="484">
        <v>5</v>
      </c>
      <c r="EB21" s="485">
        <f>EB20+((EB10-EB9)/6)</f>
        <v>-16.199778499999997</v>
      </c>
      <c r="EC21" s="486"/>
      <c r="ED21" s="486"/>
      <c r="EE21" s="485">
        <f>EE20+((EE10-EE9)/6)</f>
        <v>0</v>
      </c>
      <c r="EF21" s="485">
        <f>EF20+((EF10-EF9)/6)</f>
        <v>0</v>
      </c>
      <c r="EG21" s="485">
        <f>EG20+((EG10-EG9)/6)</f>
        <v>-12.907014999999999</v>
      </c>
      <c r="EH21" s="486"/>
      <c r="EI21" s="486"/>
      <c r="EJ21" s="487">
        <f>EJ20+((EJ10-EJ9)/6)</f>
        <v>0</v>
      </c>
    </row>
    <row r="22" spans="8:167" ht="12.75" customHeight="1">
      <c r="H22" s="306">
        <f>IF(AND(D7=1000,D8=1000),0,IF(AND($G$5&gt;$D$6,$G$5&lt;=$D$7,$G$6&gt;$D$8),ABS($D$7-$G$5),0))</f>
        <v>0</v>
      </c>
      <c r="I22" s="288" t="str">
        <f>IF((H22&lt;&gt;0),$G$5,"")</f>
        <v/>
      </c>
      <c r="J22" s="295" t="str">
        <f>IF((H22&lt;&gt;0),$D$7,"")</f>
        <v/>
      </c>
      <c r="K22" s="325">
        <f>IF(AND(D7=1000,D8=1000),0,IF(AND($G$5&gt;$D$6,$G$5&lt;=$D$7,$G$6&gt;$D$8),ABS($D$8-$D$7),0))</f>
        <v>0</v>
      </c>
      <c r="L22" s="288" t="str">
        <f>IF((K22&lt;&gt;0),$D$7,"")</f>
        <v/>
      </c>
      <c r="M22" s="295" t="str">
        <f>IF((K22&lt;&gt;0),$D$8,"")</f>
        <v/>
      </c>
      <c r="N22" s="253"/>
      <c r="P22" s="1217" t="s">
        <v>29</v>
      </c>
      <c r="Q22" s="1218"/>
      <c r="V22" s="258">
        <f>(((IF($P$5&lt;&gt;0,$P$5,IF($P$6&lt;&gt;0,$P$6,IF($P$7&lt;&gt;0,$P$7,0))))/(12*$P$19))+(((3*$P$15)/(2*(IF($P$5&lt;&gt;0,$P$5,IF($P$6&lt;&gt;0,$P$6,IF($P$7&lt;&gt;0,$P$7,0))))*$U$5*$P$19))*'IN-OUT'!$F$15))*'Burland damage classification'!Z22</f>
        <v>9.4164466780477843E-4</v>
      </c>
      <c r="W22" s="262">
        <f>(1+(((IF($P$5&lt;&gt;0,$P$5^2,IF($P$6&lt;&gt;0,$P$6^2,IF($P$7&lt;&gt;0,$P$7^2))))*$U$5)/(18*$P$15))*('IN-OUT'!$F$15^(-1)))*AA22</f>
        <v>3.3702054766036589E-4</v>
      </c>
      <c r="X22" s="262">
        <f t="shared" si="1"/>
        <v>3.3702054766036589E-4</v>
      </c>
      <c r="Y22" s="262">
        <f t="shared" si="25"/>
        <v>3.370205476603659E-2</v>
      </c>
      <c r="Z22" s="916">
        <f t="shared" si="49"/>
        <v>2.9333333333333343E-4</v>
      </c>
      <c r="AA22" s="270">
        <f t="shared" si="2"/>
        <v>3.1902629637347728E-4</v>
      </c>
      <c r="AB22" s="270">
        <f t="shared" si="50"/>
        <v>4.0000000000000003E-5</v>
      </c>
      <c r="AC22" s="271">
        <f t="shared" si="26"/>
        <v>4.0000000000000001E-3</v>
      </c>
      <c r="AE22" s="258">
        <f>(((IF($P$5&lt;&gt;0,$P$5,IF($P$6&lt;&gt;0,$P$6,IF($P$7&lt;&gt;0,$P$7,0))))/(12*$P$19))+(((3*$P$15)/(2*(IF($P$5&lt;&gt;0,$P$5,IF($P$6&lt;&gt;0,$P$6,IF($P$7&lt;&gt;0,$P$7,0))))*$U$5*$P$19))*'IN-OUT'!$F$15))*'Burland damage classification'!AI22</f>
        <v>1.4766700472393114E-3</v>
      </c>
      <c r="AF22" s="254">
        <f>(1+(((IF($P$5&lt;&gt;0,$P$5^2,IF($P$6&lt;&gt;0,$P$6^2,IF($P$7&lt;&gt;0,$P$7^2))))*$U$5)/(18*$P$15))*('IN-OUT'!$F$15^(-1)))*AJ22</f>
        <v>5.1319911569657753E-4</v>
      </c>
      <c r="AG22" s="254">
        <f t="shared" si="3"/>
        <v>5.1319911569657753E-4</v>
      </c>
      <c r="AH22" s="254">
        <f t="shared" si="27"/>
        <v>5.1319911569657754E-2</v>
      </c>
      <c r="AI22" s="254">
        <f t="shared" si="51"/>
        <v>4.6000000000000012E-4</v>
      </c>
      <c r="AJ22" s="253">
        <f t="shared" si="4"/>
        <v>4.8579831205964474E-4</v>
      </c>
      <c r="AK22" s="253">
        <f t="shared" si="52"/>
        <v>4.0000000000000003E-5</v>
      </c>
      <c r="AL22" s="255">
        <f t="shared" si="28"/>
        <v>4.0000000000000001E-3</v>
      </c>
      <c r="AN22" s="258">
        <f>(((IF($P$5&lt;&gt;0,$P$5,IF($P$6&lt;&gt;0,$P$6,IF($P$7&lt;&gt;0,$P$7,0))))/(12*$P$19))+(((3*$P$15)/(2*(IF($P$5&lt;&gt;0,$P$5,IF($P$6&lt;&gt;0,$P$6,IF($P$7&lt;&gt;0,$P$7,0))))*$U$5*$P$19))*'IN-OUT'!$F$15))*'Burland damage classification'!AR22</f>
        <v>3.0817461855429094E-3</v>
      </c>
      <c r="AO22" s="254">
        <f>(1+(((IF($P$5&lt;&gt;0,$P$5^2,IF($P$6&lt;&gt;0,$P$6^2,IF($P$7&lt;&gt;0,$P$7^2))))*$U$5)/(18*$P$15))*('IN-OUT'!$F$15^(-1)))*AS22</f>
        <v>1.0415090075973211E-3</v>
      </c>
      <c r="AP22" s="254">
        <f t="shared" si="5"/>
        <v>1.0415090075973211E-3</v>
      </c>
      <c r="AQ22" s="254">
        <f t="shared" si="29"/>
        <v>0.10415090075973212</v>
      </c>
      <c r="AR22" s="254">
        <f t="shared" si="53"/>
        <v>9.5999999999999981E-4</v>
      </c>
      <c r="AS22" s="253">
        <f t="shared" si="6"/>
        <v>9.8590060350929902E-4</v>
      </c>
      <c r="AT22" s="253">
        <f t="shared" si="54"/>
        <v>4.0000000000000003E-5</v>
      </c>
      <c r="AU22" s="255">
        <f t="shared" si="30"/>
        <v>4.0000000000000001E-3</v>
      </c>
      <c r="AW22" s="258">
        <f>(((IF($P$5&lt;&gt;0,$P$5,IF($P$6&lt;&gt;0,$P$6,IF($P$7&lt;&gt;0,$P$7,0))))/(12*$P$19))+(((3*$P$15)/(2*(IF($P$5&lt;&gt;0,$P$5,IF($P$6&lt;&gt;0,$P$6,IF($P$7&lt;&gt;0,$P$7,0))))*$U$5*$P$19))*'IN-OUT'!$F$15))*'Burland damage classification'!BA22</f>
        <v>6.2918984621501105E-3</v>
      </c>
      <c r="AX22" s="254">
        <f>(1+(((IF($P$5&lt;&gt;0,$P$5^2,IF($P$6&lt;&gt;0,$P$6^2,IF($P$7&lt;&gt;0,$P$7^2))))*$U$5)/(18*$P$15))*('IN-OUT'!$F$15^(-1)))*BB22</f>
        <v>2.097965542763786E-3</v>
      </c>
      <c r="AY22" s="254">
        <f t="shared" si="7"/>
        <v>2.097965542763786E-3</v>
      </c>
      <c r="AZ22" s="254">
        <f t="shared" si="31"/>
        <v>0.20979655427637861</v>
      </c>
      <c r="BA22" s="254">
        <f t="shared" si="55"/>
        <v>1.9600000000000008E-3</v>
      </c>
      <c r="BB22" s="270">
        <f t="shared" si="8"/>
        <v>1.9859506539690254E-3</v>
      </c>
      <c r="BC22" s="253">
        <f t="shared" si="56"/>
        <v>4.0000000000000003E-5</v>
      </c>
      <c r="BD22" s="255">
        <f t="shared" si="32"/>
        <v>4.0000000000000001E-3</v>
      </c>
      <c r="BF22" s="258" t="e">
        <f>((((IF($Q$5=0,$Q$6,$Q$5)))/(12*$Q$19))+(((3*$Q$15)/(2*IF($Q$5=0,$Q$6,$Q$5)*$U$5*$Q$19))*'IN-OUT'!$F$15))*'Burland damage classification'!BJ22</f>
        <v>#DIV/0!</v>
      </c>
      <c r="BG22" s="262">
        <f>(1+(((IF($Q$5=0,$Q$6^2,$Q$5^2))*$U$5)/(18*$Q$15))*('IN-OUT'!$F$15^(-1)))*BK22</f>
        <v>3.1902629637347728E-4</v>
      </c>
      <c r="BH22" s="262" t="e">
        <f t="shared" si="9"/>
        <v>#DIV/0!</v>
      </c>
      <c r="BI22" s="262" t="e">
        <f t="shared" si="33"/>
        <v>#DIV/0!</v>
      </c>
      <c r="BJ22" s="262">
        <f t="shared" si="57"/>
        <v>2.9333333333333343E-4</v>
      </c>
      <c r="BK22" s="270">
        <f t="shared" si="10"/>
        <v>3.1902629637347728E-4</v>
      </c>
      <c r="BL22" s="270">
        <f t="shared" si="58"/>
        <v>4.0000000000000003E-5</v>
      </c>
      <c r="BM22" s="271">
        <f t="shared" si="34"/>
        <v>4.0000000000000001E-3</v>
      </c>
      <c r="BO22" s="258" t="e">
        <f>((((IF($Q$5=0,$Q$6,$Q$5)))/(12*$Q$19))+(((3*$Q$15)/(2*IF($Q$5=0,$Q$6,$Q$5)*$U$5*$Q$19))*'IN-OUT'!$F$15))*'Burland damage classification'!BS22</f>
        <v>#DIV/0!</v>
      </c>
      <c r="BP22" s="262">
        <f>(1+(((IF($Q$5=0,$Q$6^2,$Q$5^2))*$U$5)/(18*$Q$15))*('IN-OUT'!$F$15^(-1)))*BT22</f>
        <v>4.8579831205964474E-4</v>
      </c>
      <c r="BQ22" s="254" t="e">
        <f t="shared" si="11"/>
        <v>#DIV/0!</v>
      </c>
      <c r="BR22" s="254" t="e">
        <f t="shared" si="35"/>
        <v>#DIV/0!</v>
      </c>
      <c r="BS22" s="254">
        <f t="shared" si="59"/>
        <v>4.6000000000000012E-4</v>
      </c>
      <c r="BT22" s="253">
        <f t="shared" si="12"/>
        <v>4.8579831205964474E-4</v>
      </c>
      <c r="BU22" s="253">
        <f t="shared" si="60"/>
        <v>4.0000000000000003E-5</v>
      </c>
      <c r="BV22" s="255">
        <f t="shared" si="36"/>
        <v>4.0000000000000001E-3</v>
      </c>
      <c r="BX22" s="258" t="e">
        <f>((((IF($Q$5=0,$Q$6,$Q$5)))/(12*$Q$19))+(((3*$Q$15)/(2*IF($Q$5=0,$Q$6,$Q$5)*$U$5*$Q$19))*'IN-OUT'!$F$15))*'Burland damage classification'!CB22</f>
        <v>#DIV/0!</v>
      </c>
      <c r="BY22" s="262">
        <f>(1+(((IF($Q$5=0,$Q$6^2,$Q$5^2))*$U$5)/(18*$Q$15))*('IN-OUT'!$F$15^(-1)))*CC22</f>
        <v>9.8590060350929902E-4</v>
      </c>
      <c r="BZ22" s="254" t="e">
        <f t="shared" si="13"/>
        <v>#DIV/0!</v>
      </c>
      <c r="CA22" s="254" t="e">
        <f t="shared" si="37"/>
        <v>#DIV/0!</v>
      </c>
      <c r="CB22" s="254">
        <f t="shared" si="61"/>
        <v>9.5999999999999981E-4</v>
      </c>
      <c r="CC22" s="253">
        <f t="shared" si="14"/>
        <v>9.8590060350929902E-4</v>
      </c>
      <c r="CD22" s="253">
        <f t="shared" si="62"/>
        <v>4.0000000000000003E-5</v>
      </c>
      <c r="CE22" s="255">
        <f t="shared" si="38"/>
        <v>4.0000000000000001E-3</v>
      </c>
      <c r="CG22" s="258" t="e">
        <f>((((IF($Q$5=0,$Q$6,$Q$5)))/(12*$Q$19))+(((3*$Q$15)/(2*IF($Q$5=0,$Q$6,$Q$5)*$U$5*$Q$19))*'IN-OUT'!$F$15))*'Burland damage classification'!CK22</f>
        <v>#DIV/0!</v>
      </c>
      <c r="CH22" s="262">
        <f>(1+(((IF($Q$5=0,$Q$6^2,$Q$5^2))*$U$5)/(18*$Q$15))*('IN-OUT'!$F$15^(-1)))*CL22</f>
        <v>1.9859506539690254E-3</v>
      </c>
      <c r="CI22" s="254" t="e">
        <f t="shared" si="15"/>
        <v>#DIV/0!</v>
      </c>
      <c r="CJ22" s="254" t="e">
        <f t="shared" si="39"/>
        <v>#DIV/0!</v>
      </c>
      <c r="CK22" s="254">
        <f t="shared" si="63"/>
        <v>1.9600000000000008E-3</v>
      </c>
      <c r="CL22" s="270">
        <f t="shared" si="16"/>
        <v>1.9859506539690254E-3</v>
      </c>
      <c r="CM22" s="253">
        <f t="shared" si="64"/>
        <v>4.0000000000000003E-5</v>
      </c>
      <c r="CN22" s="255">
        <f t="shared" si="40"/>
        <v>4.0000000000000001E-3</v>
      </c>
      <c r="CP22" s="258" t="e">
        <f>((((IF($R$5=0,$R$6,$R$5)))/(12*$R$19))+(((3*$R$15)/(2*IF($R$5=0,$R$6,$R$5)*$U$5*$R$19))*'IN-OUT'!$F$15))*'Burland damage classification'!CT22</f>
        <v>#DIV/0!</v>
      </c>
      <c r="CQ22" s="262">
        <f>(1+(((IF($R$5=0,$R$6^2,$R$5^2))*$U$5)/(18*$R$15))*('IN-OUT'!$F$15^(-1)))*CU22</f>
        <v>3.1902629637347728E-4</v>
      </c>
      <c r="CR22" s="262" t="e">
        <f t="shared" si="17"/>
        <v>#DIV/0!</v>
      </c>
      <c r="CS22" s="262" t="e">
        <f t="shared" si="41"/>
        <v>#DIV/0!</v>
      </c>
      <c r="CT22" s="262">
        <f t="shared" si="65"/>
        <v>2.9333333333333343E-4</v>
      </c>
      <c r="CU22" s="270">
        <f t="shared" si="18"/>
        <v>3.1902629637347728E-4</v>
      </c>
      <c r="CV22" s="270">
        <f t="shared" si="66"/>
        <v>4.0000000000000003E-5</v>
      </c>
      <c r="CW22" s="271">
        <f t="shared" si="42"/>
        <v>4.0000000000000001E-3</v>
      </c>
      <c r="CY22" s="258" t="e">
        <f>((((IF($R$5=0,$R$6,$R$5)))/(12*$R$19))+(((3*$R$15)/(2*IF($R$5=0,$R$6,$R$5)*$U$5*$R$19))*'IN-OUT'!$F$15))*'Burland damage classification'!DC22</f>
        <v>#DIV/0!</v>
      </c>
      <c r="CZ22" s="262">
        <f>(1+(((IF($R$5=0,$R$6^2,$R$5^2))*$U$5)/(18*$R$15))*('IN-OUT'!$F$15^(-1)))*DD22</f>
        <v>4.8579831205964474E-4</v>
      </c>
      <c r="DA22" s="254" t="e">
        <f t="shared" si="19"/>
        <v>#DIV/0!</v>
      </c>
      <c r="DB22" s="254" t="e">
        <f t="shared" si="43"/>
        <v>#DIV/0!</v>
      </c>
      <c r="DC22" s="254">
        <f t="shared" si="67"/>
        <v>4.6000000000000012E-4</v>
      </c>
      <c r="DD22" s="253">
        <f t="shared" si="20"/>
        <v>4.8579831205964474E-4</v>
      </c>
      <c r="DE22" s="253">
        <f t="shared" si="68"/>
        <v>4.0000000000000003E-5</v>
      </c>
      <c r="DF22" s="255">
        <f t="shared" si="44"/>
        <v>4.0000000000000001E-3</v>
      </c>
      <c r="DH22" s="258" t="e">
        <f>((((IF($R$5=0,$R$6,$R$5)))/(12*$R$19))+(((3*$R$15)/(2*IF($R$5=0,$R$6,$R$5)*$U$5*$R$19))*'IN-OUT'!$F$15))*'Burland damage classification'!DL22</f>
        <v>#DIV/0!</v>
      </c>
      <c r="DI22" s="262">
        <f>(1+(((IF($R$5=0,$R$6^2,$R$5^2))*$U$5)/(18*$R$15))*('IN-OUT'!$F$15^(-1)))*DM22</f>
        <v>9.8590060350929902E-4</v>
      </c>
      <c r="DJ22" s="254" t="e">
        <f t="shared" si="21"/>
        <v>#DIV/0!</v>
      </c>
      <c r="DK22" s="254" t="e">
        <f t="shared" si="45"/>
        <v>#DIV/0!</v>
      </c>
      <c r="DL22" s="254">
        <f t="shared" si="69"/>
        <v>9.5999999999999981E-4</v>
      </c>
      <c r="DM22" s="253">
        <f t="shared" si="22"/>
        <v>9.8590060350929902E-4</v>
      </c>
      <c r="DN22" s="253">
        <f t="shared" si="70"/>
        <v>4.0000000000000003E-5</v>
      </c>
      <c r="DO22" s="255">
        <f t="shared" si="46"/>
        <v>4.0000000000000001E-3</v>
      </c>
      <c r="DQ22" s="258" t="e">
        <f>((((IF($R$5=0,$R$6,$R$5)))/(12*$R$19))+(((3*$R$15)/(2*IF($R$5=0,$R$6,$R$5)*$U$5*$R$19))*'IN-OUT'!$F$15))*'Burland damage classification'!DU22</f>
        <v>#DIV/0!</v>
      </c>
      <c r="DR22" s="262">
        <f>(1+(((IF($R$5=0,$R$6^2,$R$5^2))*$U$5)/(18*$R$15))*('IN-OUT'!$F$15^(-1)))*DV22</f>
        <v>1.9859506539690254E-3</v>
      </c>
      <c r="DS22" s="254" t="e">
        <f t="shared" si="23"/>
        <v>#DIV/0!</v>
      </c>
      <c r="DT22" s="254" t="e">
        <f t="shared" si="47"/>
        <v>#DIV/0!</v>
      </c>
      <c r="DU22" s="254">
        <f t="shared" si="71"/>
        <v>1.9600000000000008E-3</v>
      </c>
      <c r="DV22" s="270">
        <f t="shared" si="24"/>
        <v>1.9859506539690254E-3</v>
      </c>
      <c r="DW22" s="253">
        <f t="shared" si="72"/>
        <v>4.0000000000000003E-5</v>
      </c>
      <c r="DX22" s="255">
        <f t="shared" si="48"/>
        <v>4.0000000000000001E-3</v>
      </c>
    </row>
    <row r="23" spans="8:167" ht="13.8" thickBot="1">
      <c r="H23" s="306">
        <f>IF(AND(D7=1000,D8=1000),0,IF(AND($G$5&gt;$D$6,$G$5&lt;=$D$7,$G$6&gt;$D$8),ABS($G$6-$D$8),0))</f>
        <v>0</v>
      </c>
      <c r="I23" s="288" t="str">
        <f>IF((H23&lt;&gt;0),$D$8,"")</f>
        <v/>
      </c>
      <c r="J23" s="295" t="str">
        <f>IF((H23&lt;&gt;0),$G$6,"")</f>
        <v/>
      </c>
      <c r="K23" s="326"/>
      <c r="L23" s="288"/>
      <c r="M23" s="295"/>
      <c r="N23" s="253"/>
      <c r="P23" s="1219"/>
      <c r="Q23" s="1220"/>
      <c r="V23" s="258">
        <f>(((IF($P$5&lt;&gt;0,$P$5,IF($P$6&lt;&gt;0,$P$6,IF($P$7&lt;&gt;0,$P$7,0))))/(12*$P$19))+(((3*$P$15)/(2*(IF($P$5&lt;&gt;0,$P$5,IF($P$6&lt;&gt;0,$P$6,IF($P$7&lt;&gt;0,$P$7,0))))*$U$5*$P$19))*'IN-OUT'!$F$15))*'Burland damage classification'!Z23</f>
        <v>9.2024365262739717E-4</v>
      </c>
      <c r="W23" s="262">
        <f>(1+(((IF($P$5&lt;&gt;0,$P$5^2,IF($P$6&lt;&gt;0,$P$6^2,IF($P$7&lt;&gt;0,$P$7^2))))*$U$5)/(18*$P$15))*('IN-OUT'!$F$15^(-1)))*AA23</f>
        <v>3.3443514637170215E-4</v>
      </c>
      <c r="X23" s="262">
        <f t="shared" si="1"/>
        <v>3.3443514637170215E-4</v>
      </c>
      <c r="Y23" s="262">
        <f t="shared" si="25"/>
        <v>3.3443514637170213E-2</v>
      </c>
      <c r="Z23" s="916">
        <f t="shared" si="49"/>
        <v>2.8666666666666679E-4</v>
      </c>
      <c r="AA23" s="270">
        <f t="shared" si="2"/>
        <v>3.1657893521556707E-4</v>
      </c>
      <c r="AB23" s="270">
        <f t="shared" si="50"/>
        <v>4.6666666666666672E-5</v>
      </c>
      <c r="AC23" s="271">
        <f t="shared" si="26"/>
        <v>4.6666666666666671E-3</v>
      </c>
      <c r="AE23" s="258">
        <f>(((IF($P$5&lt;&gt;0,$P$5,IF($P$6&lt;&gt;0,$P$6,IF($P$7&lt;&gt;0,$P$7,0))))/(12*$P$19))+(((3*$P$15)/(2*(IF($P$5&lt;&gt;0,$P$5,IF($P$6&lt;&gt;0,$P$6,IF($P$7&lt;&gt;0,$P$7,0))))*$U$5*$P$19))*'IN-OUT'!$F$15))*'Burland damage classification'!AI23</f>
        <v>1.4552690320619303E-3</v>
      </c>
      <c r="AF23" s="254">
        <f>(1+(((IF($P$5&lt;&gt;0,$P$5^2,IF($P$6&lt;&gt;0,$P$6^2,IF($P$7&lt;&gt;0,$P$7^2))))*$U$5)/(18*$P$15))*('IN-OUT'!$F$15^(-1)))*AJ23</f>
        <v>5.1065581238913019E-4</v>
      </c>
      <c r="AG23" s="254">
        <f t="shared" si="3"/>
        <v>5.1065581238913019E-4</v>
      </c>
      <c r="AH23" s="254">
        <f t="shared" si="27"/>
        <v>5.106558123891302E-2</v>
      </c>
      <c r="AI23" s="254">
        <f t="shared" si="51"/>
        <v>4.5333333333333347E-4</v>
      </c>
      <c r="AJ23" s="253">
        <f t="shared" si="4"/>
        <v>4.8339080118126645E-4</v>
      </c>
      <c r="AK23" s="253">
        <f t="shared" si="52"/>
        <v>4.6666666666666672E-5</v>
      </c>
      <c r="AL23" s="255">
        <f t="shared" si="28"/>
        <v>4.6666666666666671E-3</v>
      </c>
      <c r="AN23" s="258">
        <f>(((IF($P$5&lt;&gt;0,$P$5,IF($P$6&lt;&gt;0,$P$6,IF($P$7&lt;&gt;0,$P$7,0))))/(12*$P$19))+(((3*$P$15)/(2*(IF($P$5&lt;&gt;0,$P$5,IF($P$6&lt;&gt;0,$P$6,IF($P$7&lt;&gt;0,$P$7,0))))*$U$5*$P$19))*'IN-OUT'!$F$15))*'Burland damage classification'!AR23</f>
        <v>3.060345170365528E-3</v>
      </c>
      <c r="AO23" s="254">
        <f>(1+(((IF($P$5&lt;&gt;0,$P$5^2,IF($P$6&lt;&gt;0,$P$6^2,IF($P$7&lt;&gt;0,$P$7^2))))*$U$5)/(18*$P$15))*('IN-OUT'!$F$15^(-1)))*AS23</f>
        <v>1.0390058063632097E-3</v>
      </c>
      <c r="AP23" s="254">
        <f t="shared" si="5"/>
        <v>1.0390058063632097E-3</v>
      </c>
      <c r="AQ23" s="254">
        <f t="shared" si="29"/>
        <v>0.10390058063632096</v>
      </c>
      <c r="AR23" s="254">
        <f t="shared" si="53"/>
        <v>9.5333333333333316E-4</v>
      </c>
      <c r="AS23" s="253">
        <f t="shared" si="6"/>
        <v>9.8353105356838296E-4</v>
      </c>
      <c r="AT23" s="253">
        <f t="shared" si="54"/>
        <v>4.6666666666666672E-5</v>
      </c>
      <c r="AU23" s="255">
        <f t="shared" si="30"/>
        <v>4.6666666666666671E-3</v>
      </c>
      <c r="AW23" s="258">
        <f>(((IF($P$5&lt;&gt;0,$P$5,IF($P$6&lt;&gt;0,$P$6,IF($P$7&lt;&gt;0,$P$7,0))))/(12*$P$19))+(((3*$P$15)/(2*(IF($P$5&lt;&gt;0,$P$5,IF($P$6&lt;&gt;0,$P$6,IF($P$7&lt;&gt;0,$P$7,0))))*$U$5*$P$19))*'IN-OUT'!$F$15))*'Burland damage classification'!BA23</f>
        <v>6.2704974469727295E-3</v>
      </c>
      <c r="AX23" s="254">
        <f>(1+(((IF($P$5&lt;&gt;0,$P$5^2,IF($P$6&lt;&gt;0,$P$6^2,IF($P$7&lt;&gt;0,$P$7^2))))*$U$5)/(18*$P$15))*('IN-OUT'!$F$15^(-1)))*BB23</f>
        <v>2.0954816926244809E-3</v>
      </c>
      <c r="AY23" s="254">
        <f t="shared" si="7"/>
        <v>2.0954816926244809E-3</v>
      </c>
      <c r="AZ23" s="254">
        <f t="shared" si="31"/>
        <v>0.2095481692624481</v>
      </c>
      <c r="BA23" s="254">
        <f t="shared" si="55"/>
        <v>1.9533333333333343E-3</v>
      </c>
      <c r="BB23" s="270">
        <f t="shared" si="8"/>
        <v>1.9835994219263792E-3</v>
      </c>
      <c r="BC23" s="253">
        <f t="shared" si="56"/>
        <v>4.6666666666666672E-5</v>
      </c>
      <c r="BD23" s="255">
        <f t="shared" si="32"/>
        <v>4.6666666666666671E-3</v>
      </c>
      <c r="BF23" s="258" t="e">
        <f>((((IF($Q$5=0,$Q$6,$Q$5)))/(12*$Q$19))+(((3*$Q$15)/(2*IF($Q$5=0,$Q$6,$Q$5)*$U$5*$Q$19))*'IN-OUT'!$F$15))*'Burland damage classification'!BJ23</f>
        <v>#DIV/0!</v>
      </c>
      <c r="BG23" s="262">
        <f>(1+(((IF($Q$5=0,$Q$6^2,$Q$5^2))*$U$5)/(18*$Q$15))*('IN-OUT'!$F$15^(-1)))*BK23</f>
        <v>3.1657893521556707E-4</v>
      </c>
      <c r="BH23" s="262" t="e">
        <f t="shared" si="9"/>
        <v>#DIV/0!</v>
      </c>
      <c r="BI23" s="262" t="e">
        <f t="shared" si="33"/>
        <v>#DIV/0!</v>
      </c>
      <c r="BJ23" s="262">
        <f t="shared" si="57"/>
        <v>2.8666666666666679E-4</v>
      </c>
      <c r="BK23" s="270">
        <f t="shared" si="10"/>
        <v>3.1657893521556707E-4</v>
      </c>
      <c r="BL23" s="270">
        <f t="shared" si="58"/>
        <v>4.6666666666666672E-5</v>
      </c>
      <c r="BM23" s="271">
        <f t="shared" si="34"/>
        <v>4.6666666666666671E-3</v>
      </c>
      <c r="BO23" s="258" t="e">
        <f>((((IF($Q$5=0,$Q$6,$Q$5)))/(12*$Q$19))+(((3*$Q$15)/(2*IF($Q$5=0,$Q$6,$Q$5)*$U$5*$Q$19))*'IN-OUT'!$F$15))*'Burland damage classification'!BS23</f>
        <v>#DIV/0!</v>
      </c>
      <c r="BP23" s="262">
        <f>(1+(((IF($Q$5=0,$Q$6^2,$Q$5^2))*$U$5)/(18*$Q$15))*('IN-OUT'!$F$15^(-1)))*BT23</f>
        <v>4.8339080118126645E-4</v>
      </c>
      <c r="BQ23" s="254" t="e">
        <f t="shared" si="11"/>
        <v>#DIV/0!</v>
      </c>
      <c r="BR23" s="254" t="e">
        <f t="shared" si="35"/>
        <v>#DIV/0!</v>
      </c>
      <c r="BS23" s="254">
        <f t="shared" si="59"/>
        <v>4.5333333333333347E-4</v>
      </c>
      <c r="BT23" s="253">
        <f t="shared" si="12"/>
        <v>4.8339080118126645E-4</v>
      </c>
      <c r="BU23" s="253">
        <f t="shared" si="60"/>
        <v>4.6666666666666672E-5</v>
      </c>
      <c r="BV23" s="255">
        <f t="shared" si="36"/>
        <v>4.6666666666666671E-3</v>
      </c>
      <c r="BX23" s="258" t="e">
        <f>((((IF($Q$5=0,$Q$6,$Q$5)))/(12*$Q$19))+(((3*$Q$15)/(2*IF($Q$5=0,$Q$6,$Q$5)*$U$5*$Q$19))*'IN-OUT'!$F$15))*'Burland damage classification'!CB23</f>
        <v>#DIV/0!</v>
      </c>
      <c r="BY23" s="262">
        <f>(1+(((IF($Q$5=0,$Q$6^2,$Q$5^2))*$U$5)/(18*$Q$15))*('IN-OUT'!$F$15^(-1)))*CC23</f>
        <v>9.8353105356838296E-4</v>
      </c>
      <c r="BZ23" s="254" t="e">
        <f t="shared" si="13"/>
        <v>#DIV/0!</v>
      </c>
      <c r="CA23" s="254" t="e">
        <f t="shared" si="37"/>
        <v>#DIV/0!</v>
      </c>
      <c r="CB23" s="254">
        <f t="shared" si="61"/>
        <v>9.5333333333333316E-4</v>
      </c>
      <c r="CC23" s="253">
        <f t="shared" si="14"/>
        <v>9.8353105356838296E-4</v>
      </c>
      <c r="CD23" s="253">
        <f t="shared" si="62"/>
        <v>4.6666666666666672E-5</v>
      </c>
      <c r="CE23" s="255">
        <f t="shared" si="38"/>
        <v>4.6666666666666671E-3</v>
      </c>
      <c r="CG23" s="258" t="e">
        <f>((((IF($Q$5=0,$Q$6,$Q$5)))/(12*$Q$19))+(((3*$Q$15)/(2*IF($Q$5=0,$Q$6,$Q$5)*$U$5*$Q$19))*'IN-OUT'!$F$15))*'Burland damage classification'!CK23</f>
        <v>#DIV/0!</v>
      </c>
      <c r="CH23" s="262">
        <f>(1+(((IF($Q$5=0,$Q$6^2,$Q$5^2))*$U$5)/(18*$Q$15))*('IN-OUT'!$F$15^(-1)))*CL23</f>
        <v>1.9835994219263792E-3</v>
      </c>
      <c r="CI23" s="254" t="e">
        <f t="shared" si="15"/>
        <v>#DIV/0!</v>
      </c>
      <c r="CJ23" s="254" t="e">
        <f t="shared" si="39"/>
        <v>#DIV/0!</v>
      </c>
      <c r="CK23" s="254">
        <f t="shared" si="63"/>
        <v>1.9533333333333343E-3</v>
      </c>
      <c r="CL23" s="270">
        <f t="shared" si="16"/>
        <v>1.9835994219263792E-3</v>
      </c>
      <c r="CM23" s="253">
        <f t="shared" si="64"/>
        <v>4.6666666666666672E-5</v>
      </c>
      <c r="CN23" s="255">
        <f t="shared" si="40"/>
        <v>4.6666666666666671E-3</v>
      </c>
      <c r="CP23" s="258" t="e">
        <f>((((IF($R$5=0,$R$6,$R$5)))/(12*$R$19))+(((3*$R$15)/(2*IF($R$5=0,$R$6,$R$5)*$U$5*$R$19))*'IN-OUT'!$F$15))*'Burland damage classification'!CT23</f>
        <v>#DIV/0!</v>
      </c>
      <c r="CQ23" s="262">
        <f>(1+(((IF($R$5=0,$R$6^2,$R$5^2))*$U$5)/(18*$R$15))*('IN-OUT'!$F$15^(-1)))*CU23</f>
        <v>3.1657893521556707E-4</v>
      </c>
      <c r="CR23" s="262" t="e">
        <f t="shared" si="17"/>
        <v>#DIV/0!</v>
      </c>
      <c r="CS23" s="262" t="e">
        <f t="shared" si="41"/>
        <v>#DIV/0!</v>
      </c>
      <c r="CT23" s="262">
        <f t="shared" si="65"/>
        <v>2.8666666666666679E-4</v>
      </c>
      <c r="CU23" s="270">
        <f t="shared" si="18"/>
        <v>3.1657893521556707E-4</v>
      </c>
      <c r="CV23" s="270">
        <f t="shared" si="66"/>
        <v>4.6666666666666672E-5</v>
      </c>
      <c r="CW23" s="271">
        <f t="shared" si="42"/>
        <v>4.6666666666666671E-3</v>
      </c>
      <c r="CY23" s="258" t="e">
        <f>((((IF($R$5=0,$R$6,$R$5)))/(12*$R$19))+(((3*$R$15)/(2*IF($R$5=0,$R$6,$R$5)*$U$5*$R$19))*'IN-OUT'!$F$15))*'Burland damage classification'!DC23</f>
        <v>#DIV/0!</v>
      </c>
      <c r="CZ23" s="262">
        <f>(1+(((IF($R$5=0,$R$6^2,$R$5^2))*$U$5)/(18*$R$15))*('IN-OUT'!$F$15^(-1)))*DD23</f>
        <v>4.8339080118126645E-4</v>
      </c>
      <c r="DA23" s="254" t="e">
        <f t="shared" si="19"/>
        <v>#DIV/0!</v>
      </c>
      <c r="DB23" s="254" t="e">
        <f t="shared" si="43"/>
        <v>#DIV/0!</v>
      </c>
      <c r="DC23" s="254">
        <f t="shared" si="67"/>
        <v>4.5333333333333347E-4</v>
      </c>
      <c r="DD23" s="253">
        <f t="shared" si="20"/>
        <v>4.8339080118126645E-4</v>
      </c>
      <c r="DE23" s="253">
        <f t="shared" si="68"/>
        <v>4.6666666666666672E-5</v>
      </c>
      <c r="DF23" s="255">
        <f t="shared" si="44"/>
        <v>4.6666666666666671E-3</v>
      </c>
      <c r="DH23" s="258" t="e">
        <f>((((IF($R$5=0,$R$6,$R$5)))/(12*$R$19))+(((3*$R$15)/(2*IF($R$5=0,$R$6,$R$5)*$U$5*$R$19))*'IN-OUT'!$F$15))*'Burland damage classification'!DL23</f>
        <v>#DIV/0!</v>
      </c>
      <c r="DI23" s="262">
        <f>(1+(((IF($R$5=0,$R$6^2,$R$5^2))*$U$5)/(18*$R$15))*('IN-OUT'!$F$15^(-1)))*DM23</f>
        <v>9.8353105356838296E-4</v>
      </c>
      <c r="DJ23" s="254" t="e">
        <f t="shared" si="21"/>
        <v>#DIV/0!</v>
      </c>
      <c r="DK23" s="254" t="e">
        <f t="shared" si="45"/>
        <v>#DIV/0!</v>
      </c>
      <c r="DL23" s="254">
        <f t="shared" si="69"/>
        <v>9.5333333333333316E-4</v>
      </c>
      <c r="DM23" s="253">
        <f t="shared" si="22"/>
        <v>9.8353105356838296E-4</v>
      </c>
      <c r="DN23" s="253">
        <f t="shared" si="70"/>
        <v>4.6666666666666672E-5</v>
      </c>
      <c r="DO23" s="255">
        <f t="shared" si="46"/>
        <v>4.6666666666666671E-3</v>
      </c>
      <c r="DQ23" s="258" t="e">
        <f>((((IF($R$5=0,$R$6,$R$5)))/(12*$R$19))+(((3*$R$15)/(2*IF($R$5=0,$R$6,$R$5)*$U$5*$R$19))*'IN-OUT'!$F$15))*'Burland damage classification'!DU23</f>
        <v>#DIV/0!</v>
      </c>
      <c r="DR23" s="262">
        <f>(1+(((IF($R$5=0,$R$6^2,$R$5^2))*$U$5)/(18*$R$15))*('IN-OUT'!$F$15^(-1)))*DV23</f>
        <v>1.9835994219263792E-3</v>
      </c>
      <c r="DS23" s="254" t="e">
        <f t="shared" si="23"/>
        <v>#DIV/0!</v>
      </c>
      <c r="DT23" s="254" t="e">
        <f t="shared" si="47"/>
        <v>#DIV/0!</v>
      </c>
      <c r="DU23" s="254">
        <f t="shared" si="71"/>
        <v>1.9533333333333343E-3</v>
      </c>
      <c r="DV23" s="270">
        <f t="shared" si="24"/>
        <v>1.9835994219263792E-3</v>
      </c>
      <c r="DW23" s="253">
        <f t="shared" si="72"/>
        <v>4.6666666666666672E-5</v>
      </c>
      <c r="DX23" s="255">
        <f t="shared" si="48"/>
        <v>4.6666666666666671E-3</v>
      </c>
    </row>
    <row r="24" spans="8:167" ht="13.8" thickBot="1">
      <c r="H24" s="307"/>
      <c r="I24" s="288"/>
      <c r="J24" s="295"/>
      <c r="K24" s="327">
        <f>IF(AND(D7=1000,D8=1000),0,IF(AND($G$5&gt;$D$7,$G$5&lt;=$D$8,$G$6&gt;$D$7,$G$6&lt;=$D$8),ABS($G$6-$G$5),0))</f>
        <v>0</v>
      </c>
      <c r="L24" s="288" t="str">
        <f>IF((K24&lt;&gt;0),$G$5,"")</f>
        <v/>
      </c>
      <c r="M24" s="295" t="str">
        <f>IF((K24&lt;&gt;0),$G$6,"")</f>
        <v/>
      </c>
      <c r="N24" s="253"/>
      <c r="P24" s="336" t="s">
        <v>13</v>
      </c>
      <c r="Q24" s="251" t="s">
        <v>30</v>
      </c>
      <c r="V24" s="258">
        <f>(((IF($P$5&lt;&gt;0,$P$5,IF($P$6&lt;&gt;0,$P$6,IF($P$7&lt;&gt;0,$P$7,0))))/(12*$P$19))+(((3*$P$15)/(2*(IF($P$5&lt;&gt;0,$P$5,IF($P$6&lt;&gt;0,$P$6,IF($P$7&lt;&gt;0,$P$7,0))))*$U$5*$P$19))*'IN-OUT'!$F$15))*'Burland damage classification'!Z24</f>
        <v>8.9884263745001591E-4</v>
      </c>
      <c r="W24" s="262">
        <f>(1+(((IF($P$5&lt;&gt;0,$P$5^2,IF($P$6&lt;&gt;0,$P$6^2,IF($P$7&lt;&gt;0,$P$7^2))))*$U$5)/(18*$P$15))*('IN-OUT'!$F$15^(-1)))*AA24</f>
        <v>3.3182960192247878E-4</v>
      </c>
      <c r="X24" s="262">
        <f t="shared" si="1"/>
        <v>3.3182960192247878E-4</v>
      </c>
      <c r="Y24" s="262">
        <f t="shared" si="25"/>
        <v>3.3182960192247875E-2</v>
      </c>
      <c r="Z24" s="916">
        <f t="shared" si="49"/>
        <v>2.8000000000000014E-4</v>
      </c>
      <c r="AA24" s="270">
        <f t="shared" si="2"/>
        <v>3.1411250638372658E-4</v>
      </c>
      <c r="AB24" s="270">
        <f t="shared" si="50"/>
        <v>5.333333333333334E-5</v>
      </c>
      <c r="AC24" s="271">
        <f t="shared" si="26"/>
        <v>5.333333333333334E-3</v>
      </c>
      <c r="AE24" s="258">
        <f>(((IF($P$5&lt;&gt;0,$P$5,IF($P$6&lt;&gt;0,$P$6,IF($P$7&lt;&gt;0,$P$7,0))))/(12*$P$19))+(((3*$P$15)/(2*(IF($P$5&lt;&gt;0,$P$5,IF($P$6&lt;&gt;0,$P$6,IF($P$7&lt;&gt;0,$P$7,0))))*$U$5*$P$19))*'IN-OUT'!$F$15))*'Burland damage classification'!AI24</f>
        <v>1.4338680168845489E-3</v>
      </c>
      <c r="AF24" s="254">
        <f>(1+(((IF($P$5&lt;&gt;0,$P$5^2,IF($P$6&lt;&gt;0,$P$6^2,IF($P$7&lt;&gt;0,$P$7^2))))*$U$5)/(18*$P$15))*('IN-OUT'!$F$15^(-1)))*AJ24</f>
        <v>5.0809977868707622E-4</v>
      </c>
      <c r="AG24" s="254">
        <f t="shared" si="3"/>
        <v>5.0809977868707622E-4</v>
      </c>
      <c r="AH24" s="254">
        <f t="shared" si="27"/>
        <v>5.0809977868707619E-2</v>
      </c>
      <c r="AI24" s="254">
        <f t="shared" si="51"/>
        <v>4.4666666666666683E-4</v>
      </c>
      <c r="AJ24" s="253">
        <f t="shared" si="4"/>
        <v>4.8097123961140685E-4</v>
      </c>
      <c r="AK24" s="253">
        <f t="shared" si="52"/>
        <v>5.333333333333334E-5</v>
      </c>
      <c r="AL24" s="255">
        <f t="shared" si="28"/>
        <v>5.333333333333334E-3</v>
      </c>
      <c r="AN24" s="258">
        <f>(((IF($P$5&lt;&gt;0,$P$5,IF($P$6&lt;&gt;0,$P$6,IF($P$7&lt;&gt;0,$P$7,0))))/(12*$P$19))+(((3*$P$15)/(2*(IF($P$5&lt;&gt;0,$P$5,IF($P$6&lt;&gt;0,$P$6,IF($P$7&lt;&gt;0,$P$7,0))))*$U$5*$P$19))*'IN-OUT'!$F$15))*'Burland damage classification'!AR24</f>
        <v>3.0389441551881471E-3</v>
      </c>
      <c r="AO24" s="254">
        <f>(1+(((IF($P$5&lt;&gt;0,$P$5^2,IF($P$6&lt;&gt;0,$P$6^2,IF($P$7&lt;&gt;0,$P$7^2))))*$U$5)/(18*$P$15))*('IN-OUT'!$F$15^(-1)))*AS24</f>
        <v>1.0364965597659116E-3</v>
      </c>
      <c r="AP24" s="254">
        <f t="shared" si="5"/>
        <v>1.0364965597659116E-3</v>
      </c>
      <c r="AQ24" s="254">
        <f t="shared" si="29"/>
        <v>0.10364965597659116</v>
      </c>
      <c r="AR24" s="254">
        <f t="shared" si="53"/>
        <v>9.4666666666666651E-4</v>
      </c>
      <c r="AS24" s="253">
        <f t="shared" si="6"/>
        <v>9.811557810392123E-4</v>
      </c>
      <c r="AT24" s="253">
        <f t="shared" si="54"/>
        <v>5.333333333333334E-5</v>
      </c>
      <c r="AU24" s="255">
        <f t="shared" si="30"/>
        <v>5.333333333333334E-3</v>
      </c>
      <c r="AW24" s="258">
        <f>(((IF($P$5&lt;&gt;0,$P$5,IF($P$6&lt;&gt;0,$P$6,IF($P$7&lt;&gt;0,$P$7,0))))/(12*$P$19))+(((3*$P$15)/(2*(IF($P$5&lt;&gt;0,$P$5,IF($P$6&lt;&gt;0,$P$6,IF($P$7&lt;&gt;0,$P$7,0))))*$U$5*$P$19))*'IN-OUT'!$F$15))*'Burland damage classification'!BA24</f>
        <v>6.2490964317953477E-3</v>
      </c>
      <c r="AX24" s="254">
        <f>(1+(((IF($P$5&lt;&gt;0,$P$5^2,IF($P$6&lt;&gt;0,$P$6^2,IF($P$7&lt;&gt;0,$P$7^2))))*$U$5)/(18*$P$15))*('IN-OUT'!$F$15^(-1)))*BB24</f>
        <v>2.0929948947918087E-3</v>
      </c>
      <c r="AY24" s="254">
        <f t="shared" si="7"/>
        <v>2.0929948947918087E-3</v>
      </c>
      <c r="AZ24" s="254">
        <f t="shared" si="31"/>
        <v>0.20929948947918087</v>
      </c>
      <c r="BA24" s="254">
        <f t="shared" si="55"/>
        <v>1.9466666666666675E-3</v>
      </c>
      <c r="BB24" s="270">
        <f t="shared" si="8"/>
        <v>1.9812453995740492E-3</v>
      </c>
      <c r="BC24" s="253">
        <f t="shared" si="56"/>
        <v>5.333333333333334E-5</v>
      </c>
      <c r="BD24" s="255">
        <f t="shared" si="32"/>
        <v>5.333333333333334E-3</v>
      </c>
      <c r="BF24" s="258" t="e">
        <f>((((IF($Q$5=0,$Q$6,$Q$5)))/(12*$Q$19))+(((3*$Q$15)/(2*IF($Q$5=0,$Q$6,$Q$5)*$U$5*$Q$19))*'IN-OUT'!$F$15))*'Burland damage classification'!BJ24</f>
        <v>#DIV/0!</v>
      </c>
      <c r="BG24" s="262">
        <f>(1+(((IF($Q$5=0,$Q$6^2,$Q$5^2))*$U$5)/(18*$Q$15))*('IN-OUT'!$F$15^(-1)))*BK24</f>
        <v>3.1411250638372658E-4</v>
      </c>
      <c r="BH24" s="262" t="e">
        <f t="shared" si="9"/>
        <v>#DIV/0!</v>
      </c>
      <c r="BI24" s="262" t="e">
        <f t="shared" si="33"/>
        <v>#DIV/0!</v>
      </c>
      <c r="BJ24" s="262">
        <f t="shared" si="57"/>
        <v>2.8000000000000014E-4</v>
      </c>
      <c r="BK24" s="270">
        <f t="shared" si="10"/>
        <v>3.1411250638372658E-4</v>
      </c>
      <c r="BL24" s="270">
        <f t="shared" si="58"/>
        <v>5.333333333333334E-5</v>
      </c>
      <c r="BM24" s="271">
        <f t="shared" si="34"/>
        <v>5.333333333333334E-3</v>
      </c>
      <c r="BO24" s="258" t="e">
        <f>((((IF($Q$5=0,$Q$6,$Q$5)))/(12*$Q$19))+(((3*$Q$15)/(2*IF($Q$5=0,$Q$6,$Q$5)*$U$5*$Q$19))*'IN-OUT'!$F$15))*'Burland damage classification'!BS24</f>
        <v>#DIV/0!</v>
      </c>
      <c r="BP24" s="262">
        <f>(1+(((IF($Q$5=0,$Q$6^2,$Q$5^2))*$U$5)/(18*$Q$15))*('IN-OUT'!$F$15^(-1)))*BT24</f>
        <v>4.8097123961140685E-4</v>
      </c>
      <c r="BQ24" s="254" t="e">
        <f t="shared" si="11"/>
        <v>#DIV/0!</v>
      </c>
      <c r="BR24" s="254" t="e">
        <f t="shared" si="35"/>
        <v>#DIV/0!</v>
      </c>
      <c r="BS24" s="254">
        <f t="shared" si="59"/>
        <v>4.4666666666666683E-4</v>
      </c>
      <c r="BT24" s="253">
        <f t="shared" si="12"/>
        <v>4.8097123961140685E-4</v>
      </c>
      <c r="BU24" s="253">
        <f t="shared" si="60"/>
        <v>5.333333333333334E-5</v>
      </c>
      <c r="BV24" s="255">
        <f t="shared" si="36"/>
        <v>5.333333333333334E-3</v>
      </c>
      <c r="BX24" s="258" t="e">
        <f>((((IF($Q$5=0,$Q$6,$Q$5)))/(12*$Q$19))+(((3*$Q$15)/(2*IF($Q$5=0,$Q$6,$Q$5)*$U$5*$Q$19))*'IN-OUT'!$F$15))*'Burland damage classification'!CB24</f>
        <v>#DIV/0!</v>
      </c>
      <c r="BY24" s="262">
        <f>(1+(((IF($Q$5=0,$Q$6^2,$Q$5^2))*$U$5)/(18*$Q$15))*('IN-OUT'!$F$15^(-1)))*CC24</f>
        <v>9.811557810392123E-4</v>
      </c>
      <c r="BZ24" s="254" t="e">
        <f t="shared" si="13"/>
        <v>#DIV/0!</v>
      </c>
      <c r="CA24" s="254" t="e">
        <f t="shared" si="37"/>
        <v>#DIV/0!</v>
      </c>
      <c r="CB24" s="254">
        <f t="shared" si="61"/>
        <v>9.4666666666666651E-4</v>
      </c>
      <c r="CC24" s="253">
        <f t="shared" si="14"/>
        <v>9.811557810392123E-4</v>
      </c>
      <c r="CD24" s="253">
        <f t="shared" si="62"/>
        <v>5.333333333333334E-5</v>
      </c>
      <c r="CE24" s="255">
        <f t="shared" si="38"/>
        <v>5.333333333333334E-3</v>
      </c>
      <c r="CG24" s="258" t="e">
        <f>((((IF($Q$5=0,$Q$6,$Q$5)))/(12*$Q$19))+(((3*$Q$15)/(2*IF($Q$5=0,$Q$6,$Q$5)*$U$5*$Q$19))*'IN-OUT'!$F$15))*'Burland damage classification'!CK24</f>
        <v>#DIV/0!</v>
      </c>
      <c r="CH24" s="262">
        <f>(1+(((IF($Q$5=0,$Q$6^2,$Q$5^2))*$U$5)/(18*$Q$15))*('IN-OUT'!$F$15^(-1)))*CL24</f>
        <v>1.9812453995740492E-3</v>
      </c>
      <c r="CI24" s="254" t="e">
        <f t="shared" si="15"/>
        <v>#DIV/0!</v>
      </c>
      <c r="CJ24" s="254" t="e">
        <f t="shared" si="39"/>
        <v>#DIV/0!</v>
      </c>
      <c r="CK24" s="254">
        <f t="shared" si="63"/>
        <v>1.9466666666666675E-3</v>
      </c>
      <c r="CL24" s="270">
        <f t="shared" si="16"/>
        <v>1.9812453995740492E-3</v>
      </c>
      <c r="CM24" s="253">
        <f t="shared" si="64"/>
        <v>5.333333333333334E-5</v>
      </c>
      <c r="CN24" s="255">
        <f t="shared" si="40"/>
        <v>5.333333333333334E-3</v>
      </c>
      <c r="CP24" s="258" t="e">
        <f>((((IF($R$5=0,$R$6,$R$5)))/(12*$R$19))+(((3*$R$15)/(2*IF($R$5=0,$R$6,$R$5)*$U$5*$R$19))*'IN-OUT'!$F$15))*'Burland damage classification'!CT24</f>
        <v>#DIV/0!</v>
      </c>
      <c r="CQ24" s="262">
        <f>(1+(((IF($R$5=0,$R$6^2,$R$5^2))*$U$5)/(18*$R$15))*('IN-OUT'!$F$15^(-1)))*CU24</f>
        <v>3.1411250638372658E-4</v>
      </c>
      <c r="CR24" s="262" t="e">
        <f t="shared" si="17"/>
        <v>#DIV/0!</v>
      </c>
      <c r="CS24" s="262" t="e">
        <f t="shared" si="41"/>
        <v>#DIV/0!</v>
      </c>
      <c r="CT24" s="262">
        <f t="shared" si="65"/>
        <v>2.8000000000000014E-4</v>
      </c>
      <c r="CU24" s="270">
        <f t="shared" si="18"/>
        <v>3.1411250638372658E-4</v>
      </c>
      <c r="CV24" s="270">
        <f t="shared" si="66"/>
        <v>5.333333333333334E-5</v>
      </c>
      <c r="CW24" s="271">
        <f t="shared" si="42"/>
        <v>5.333333333333334E-3</v>
      </c>
      <c r="CY24" s="258" t="e">
        <f>((((IF($R$5=0,$R$6,$R$5)))/(12*$R$19))+(((3*$R$15)/(2*IF($R$5=0,$R$6,$R$5)*$U$5*$R$19))*'IN-OUT'!$F$15))*'Burland damage classification'!DC24</f>
        <v>#DIV/0!</v>
      </c>
      <c r="CZ24" s="262">
        <f>(1+(((IF($R$5=0,$R$6^2,$R$5^2))*$U$5)/(18*$R$15))*('IN-OUT'!$F$15^(-1)))*DD24</f>
        <v>4.8097123961140685E-4</v>
      </c>
      <c r="DA24" s="254" t="e">
        <f t="shared" si="19"/>
        <v>#DIV/0!</v>
      </c>
      <c r="DB24" s="254" t="e">
        <f t="shared" si="43"/>
        <v>#DIV/0!</v>
      </c>
      <c r="DC24" s="254">
        <f t="shared" si="67"/>
        <v>4.4666666666666683E-4</v>
      </c>
      <c r="DD24" s="253">
        <f t="shared" si="20"/>
        <v>4.8097123961140685E-4</v>
      </c>
      <c r="DE24" s="253">
        <f t="shared" si="68"/>
        <v>5.333333333333334E-5</v>
      </c>
      <c r="DF24" s="255">
        <f t="shared" si="44"/>
        <v>5.333333333333334E-3</v>
      </c>
      <c r="DH24" s="258" t="e">
        <f>((((IF($R$5=0,$R$6,$R$5)))/(12*$R$19))+(((3*$R$15)/(2*IF($R$5=0,$R$6,$R$5)*$U$5*$R$19))*'IN-OUT'!$F$15))*'Burland damage classification'!DL24</f>
        <v>#DIV/0!</v>
      </c>
      <c r="DI24" s="262">
        <f>(1+(((IF($R$5=0,$R$6^2,$R$5^2))*$U$5)/(18*$R$15))*('IN-OUT'!$F$15^(-1)))*DM24</f>
        <v>9.811557810392123E-4</v>
      </c>
      <c r="DJ24" s="254" t="e">
        <f t="shared" si="21"/>
        <v>#DIV/0!</v>
      </c>
      <c r="DK24" s="254" t="e">
        <f t="shared" si="45"/>
        <v>#DIV/0!</v>
      </c>
      <c r="DL24" s="254">
        <f t="shared" si="69"/>
        <v>9.4666666666666651E-4</v>
      </c>
      <c r="DM24" s="253">
        <f t="shared" si="22"/>
        <v>9.811557810392123E-4</v>
      </c>
      <c r="DN24" s="253">
        <f t="shared" si="70"/>
        <v>5.333333333333334E-5</v>
      </c>
      <c r="DO24" s="255">
        <f t="shared" si="46"/>
        <v>5.333333333333334E-3</v>
      </c>
      <c r="DQ24" s="258" t="e">
        <f>((((IF($R$5=0,$R$6,$R$5)))/(12*$R$19))+(((3*$R$15)/(2*IF($R$5=0,$R$6,$R$5)*$U$5*$R$19))*'IN-OUT'!$F$15))*'Burland damage classification'!DU24</f>
        <v>#DIV/0!</v>
      </c>
      <c r="DR24" s="262">
        <f>(1+(((IF($R$5=0,$R$6^2,$R$5^2))*$U$5)/(18*$R$15))*('IN-OUT'!$F$15^(-1)))*DV24</f>
        <v>1.9812453995740492E-3</v>
      </c>
      <c r="DS24" s="254" t="e">
        <f t="shared" si="23"/>
        <v>#DIV/0!</v>
      </c>
      <c r="DT24" s="254" t="e">
        <f t="shared" si="47"/>
        <v>#DIV/0!</v>
      </c>
      <c r="DU24" s="254">
        <f t="shared" si="71"/>
        <v>1.9466666666666675E-3</v>
      </c>
      <c r="DV24" s="270">
        <f t="shared" si="24"/>
        <v>1.9812453995740492E-3</v>
      </c>
      <c r="DW24" s="253">
        <f t="shared" si="72"/>
        <v>5.333333333333334E-5</v>
      </c>
      <c r="DX24" s="255">
        <f t="shared" si="48"/>
        <v>5.333333333333334E-3</v>
      </c>
      <c r="DZ24" s="492" t="s">
        <v>298</v>
      </c>
      <c r="EB24" s="488">
        <f>(ABS(EB9-EB10)/6)</f>
        <v>1.1997785000000001</v>
      </c>
      <c r="EC24" s="489"/>
      <c r="ED24" s="489"/>
      <c r="EE24" s="489">
        <f>(ABS(EE9-EE10)/6)</f>
        <v>0</v>
      </c>
      <c r="EF24" s="489">
        <f>(ABS(EF9-EF10)/6)</f>
        <v>0</v>
      </c>
      <c r="EG24" s="489">
        <f>(ABS(EG9-EG10)/6)</f>
        <v>0.41859700000000011</v>
      </c>
      <c r="EH24" s="489"/>
      <c r="EI24" s="489"/>
      <c r="EJ24" s="490">
        <f>(ABS(EJ9-EJ10)/6)</f>
        <v>0</v>
      </c>
    </row>
    <row r="25" spans="8:167">
      <c r="H25" s="308">
        <f>IF(AND(D7=1000,D8=1000),0,IF(AND($G$5&gt;$D$7,$G$5&lt;=$D$8,$G$6&gt;$D$8),ABS($G$6-$D$8),0))</f>
        <v>0</v>
      </c>
      <c r="I25" s="288" t="str">
        <f>IF((H25&lt;&gt;0),$D$8,"")</f>
        <v/>
      </c>
      <c r="J25" s="295" t="str">
        <f>IF((H25&lt;&gt;0),$G$6,"")</f>
        <v/>
      </c>
      <c r="K25" s="328">
        <f>IF(AND(D7=1000,D8=1000),0,IF(AND($G$5&gt;$D$7,$G$5&lt;=$D$8,$G$6&gt;$D$8),ABS($D$8-$G$5),0))</f>
        <v>0</v>
      </c>
      <c r="L25" s="288" t="str">
        <f>IF((K25&lt;&gt;0),$G$5,"")</f>
        <v/>
      </c>
      <c r="M25" s="295" t="str">
        <f>IF((K25&lt;&gt;0),$D$8,"")</f>
        <v/>
      </c>
      <c r="N25" s="253"/>
      <c r="P25" s="129">
        <f>IF(AND('IN-OUT'!$D$13&gt;0,'IN-OUT'!$D$13&lt;=1.99),'Burland damage classification'!S25,IF(AND('IN-OUT'!$D$13&gt;=2,'IN-OUT'!$D$13&lt;=3.99),'Burland damage classification'!S25/1.25,IF(AND('IN-OUT'!$D$13&gt;=4,'IN-OUT'!$D$13&lt;=5.99),'Burland damage classification'!S25/1.5,IF(AND('IN-OUT'!$D$13&gt;=6,'IN-OUT'!$D$13&lt;=7.99),'Burland damage classification'!S25/1.75,IF(AND('IN-OUT'!$D$13&gt;=8,'IN-OUT'!$D$13&lt;=10),'Burland damage classification'!S25/2)))))</f>
        <v>3.3333333333333332E-4</v>
      </c>
      <c r="Q25" s="186">
        <v>0</v>
      </c>
      <c r="S25" s="709">
        <v>5.0000000000000001E-4</v>
      </c>
      <c r="V25" s="258">
        <f>(((IF($P$5&lt;&gt;0,$P$5,IF($P$6&lt;&gt;0,$P$6,IF($P$7&lt;&gt;0,$P$7,0))))/(12*$P$19))+(((3*$P$15)/(2*(IF($P$5&lt;&gt;0,$P$5,IF($P$6&lt;&gt;0,$P$6,IF($P$7&lt;&gt;0,$P$7,0))))*$U$5*$P$19))*'IN-OUT'!$F$15))*'Burland damage classification'!Z25</f>
        <v>8.7744162227263464E-4</v>
      </c>
      <c r="W25" s="262">
        <f>(1+(((IF($P$5&lt;&gt;0,$P$5^2,IF($P$6&lt;&gt;0,$P$6^2,IF($P$7&lt;&gt;0,$P$7^2))))*$U$5)/(18*$P$15))*('IN-OUT'!$F$15^(-1)))*AA25</f>
        <v>3.2920343603218911E-4</v>
      </c>
      <c r="X25" s="262">
        <f t="shared" si="1"/>
        <v>3.2920343603218911E-4</v>
      </c>
      <c r="Y25" s="262">
        <f t="shared" si="25"/>
        <v>3.292034360321891E-2</v>
      </c>
      <c r="Z25" s="916">
        <f t="shared" si="49"/>
        <v>2.7333333333333349E-4</v>
      </c>
      <c r="AA25" s="270">
        <f t="shared" si="2"/>
        <v>3.1162655713387318E-4</v>
      </c>
      <c r="AB25" s="270">
        <f t="shared" si="50"/>
        <v>6.0000000000000008E-5</v>
      </c>
      <c r="AC25" s="271">
        <f t="shared" si="26"/>
        <v>6.000000000000001E-3</v>
      </c>
      <c r="AE25" s="258">
        <f>(((IF($P$5&lt;&gt;0,$P$5,IF($P$6&lt;&gt;0,$P$6,IF($P$7&lt;&gt;0,$P$7,0))))/(12*$P$19))+(((3*$P$15)/(2*(IF($P$5&lt;&gt;0,$P$5,IF($P$6&lt;&gt;0,$P$6,IF($P$7&lt;&gt;0,$P$7,0))))*$U$5*$P$19))*'IN-OUT'!$F$15))*'Burland damage classification'!AI25</f>
        <v>1.4124670017071678E-3</v>
      </c>
      <c r="AF25" s="254">
        <f>(1+(((IF($P$5&lt;&gt;0,$P$5^2,IF($P$6&lt;&gt;0,$P$6^2,IF($P$7&lt;&gt;0,$P$7^2))))*$U$5)/(18*$P$15))*('IN-OUT'!$F$15^(-1)))*AJ25</f>
        <v>5.0553082149054889E-4</v>
      </c>
      <c r="AG25" s="254">
        <f t="shared" si="3"/>
        <v>5.0553082149054889E-4</v>
      </c>
      <c r="AH25" s="254">
        <f t="shared" si="27"/>
        <v>5.0553082149054893E-2</v>
      </c>
      <c r="AI25" s="254">
        <f t="shared" si="51"/>
        <v>4.4000000000000018E-4</v>
      </c>
      <c r="AJ25" s="253">
        <f t="shared" si="4"/>
        <v>4.7853944456021594E-4</v>
      </c>
      <c r="AK25" s="253">
        <f t="shared" si="52"/>
        <v>6.0000000000000008E-5</v>
      </c>
      <c r="AL25" s="255">
        <f t="shared" si="28"/>
        <v>6.000000000000001E-3</v>
      </c>
      <c r="AN25" s="258">
        <f>(((IF($P$5&lt;&gt;0,$P$5,IF($P$6&lt;&gt;0,$P$6,IF($P$7&lt;&gt;0,$P$7,0))))/(12*$P$19))+(((3*$P$15)/(2*(IF($P$5&lt;&gt;0,$P$5,IF($P$6&lt;&gt;0,$P$6,IF($P$7&lt;&gt;0,$P$7,0))))*$U$5*$P$19))*'IN-OUT'!$F$15))*'Burland damage classification'!AR25</f>
        <v>3.0175431400107657E-3</v>
      </c>
      <c r="AO25" s="254">
        <f>(1+(((IF($P$5&lt;&gt;0,$P$5^2,IF($P$6&lt;&gt;0,$P$6^2,IF($P$7&lt;&gt;0,$P$7^2))))*$U$5)/(18*$P$15))*('IN-OUT'!$F$15^(-1)))*AS25</f>
        <v>1.0339812237930999E-3</v>
      </c>
      <c r="AP25" s="254">
        <f t="shared" si="5"/>
        <v>1.0339812237930999E-3</v>
      </c>
      <c r="AQ25" s="254">
        <f t="shared" si="29"/>
        <v>0.10339812237931</v>
      </c>
      <c r="AR25" s="254">
        <f t="shared" si="53"/>
        <v>9.3999999999999986E-4</v>
      </c>
      <c r="AS25" s="253">
        <f t="shared" si="6"/>
        <v>9.7877474425937241E-4</v>
      </c>
      <c r="AT25" s="253">
        <f t="shared" si="54"/>
        <v>6.0000000000000008E-5</v>
      </c>
      <c r="AU25" s="255">
        <f t="shared" si="30"/>
        <v>6.000000000000001E-3</v>
      </c>
      <c r="AW25" s="258">
        <f>(((IF($P$5&lt;&gt;0,$P$5,IF($P$6&lt;&gt;0,$P$6,IF($P$7&lt;&gt;0,$P$7,0))))/(12*$P$19))+(((3*$P$15)/(2*(IF($P$5&lt;&gt;0,$P$5,IF($P$6&lt;&gt;0,$P$6,IF($P$7&lt;&gt;0,$P$7,0))))*$U$5*$P$19))*'IN-OUT'!$F$15))*'Burland damage classification'!BA25</f>
        <v>6.2276954166179668E-3</v>
      </c>
      <c r="AX25" s="254">
        <f>(1+(((IF($P$5&lt;&gt;0,$P$5^2,IF($P$6&lt;&gt;0,$P$6^2,IF($P$7&lt;&gt;0,$P$7^2))))*$U$5)/(18*$P$15))*('IN-OUT'!$F$15^(-1)))*BB25</f>
        <v>2.0905051387463238E-3</v>
      </c>
      <c r="AY25" s="254">
        <f t="shared" si="7"/>
        <v>2.0905051387463238E-3</v>
      </c>
      <c r="AZ25" s="254">
        <f t="shared" si="31"/>
        <v>0.20905051387463239</v>
      </c>
      <c r="BA25" s="254">
        <f t="shared" si="55"/>
        <v>1.9400000000000008E-3</v>
      </c>
      <c r="BB25" s="270">
        <f t="shared" si="8"/>
        <v>1.9788885769542455E-3</v>
      </c>
      <c r="BC25" s="253">
        <f t="shared" si="56"/>
        <v>6.0000000000000008E-5</v>
      </c>
      <c r="BD25" s="255">
        <f t="shared" si="32"/>
        <v>6.000000000000001E-3</v>
      </c>
      <c r="BF25" s="258" t="e">
        <f>((((IF($Q$5=0,$Q$6,$Q$5)))/(12*$Q$19))+(((3*$Q$15)/(2*IF($Q$5=0,$Q$6,$Q$5)*$U$5*$Q$19))*'IN-OUT'!$F$15))*'Burland damage classification'!BJ25</f>
        <v>#DIV/0!</v>
      </c>
      <c r="BG25" s="262">
        <f>(1+(((IF($Q$5=0,$Q$6^2,$Q$5^2))*$U$5)/(18*$Q$15))*('IN-OUT'!$F$15^(-1)))*BK25</f>
        <v>3.1162655713387318E-4</v>
      </c>
      <c r="BH25" s="262" t="e">
        <f t="shared" si="9"/>
        <v>#DIV/0!</v>
      </c>
      <c r="BI25" s="262" t="e">
        <f t="shared" si="33"/>
        <v>#DIV/0!</v>
      </c>
      <c r="BJ25" s="262">
        <f t="shared" si="57"/>
        <v>2.7333333333333349E-4</v>
      </c>
      <c r="BK25" s="270">
        <f t="shared" si="10"/>
        <v>3.1162655713387318E-4</v>
      </c>
      <c r="BL25" s="270">
        <f t="shared" si="58"/>
        <v>6.0000000000000008E-5</v>
      </c>
      <c r="BM25" s="271">
        <f t="shared" si="34"/>
        <v>6.000000000000001E-3</v>
      </c>
      <c r="BO25" s="258" t="e">
        <f>((((IF($Q$5=0,$Q$6,$Q$5)))/(12*$Q$19))+(((3*$Q$15)/(2*IF($Q$5=0,$Q$6,$Q$5)*$U$5*$Q$19))*'IN-OUT'!$F$15))*'Burland damage classification'!BS25</f>
        <v>#DIV/0!</v>
      </c>
      <c r="BP25" s="262">
        <f>(1+(((IF($Q$5=0,$Q$6^2,$Q$5^2))*$U$5)/(18*$Q$15))*('IN-OUT'!$F$15^(-1)))*BT25</f>
        <v>4.7853944456021594E-4</v>
      </c>
      <c r="BQ25" s="254" t="e">
        <f t="shared" si="11"/>
        <v>#DIV/0!</v>
      </c>
      <c r="BR25" s="254" t="e">
        <f t="shared" si="35"/>
        <v>#DIV/0!</v>
      </c>
      <c r="BS25" s="254">
        <f t="shared" si="59"/>
        <v>4.4000000000000018E-4</v>
      </c>
      <c r="BT25" s="253">
        <f t="shared" si="12"/>
        <v>4.7853944456021594E-4</v>
      </c>
      <c r="BU25" s="253">
        <f t="shared" si="60"/>
        <v>6.0000000000000008E-5</v>
      </c>
      <c r="BV25" s="255">
        <f t="shared" si="36"/>
        <v>6.000000000000001E-3</v>
      </c>
      <c r="BX25" s="258" t="e">
        <f>((((IF($Q$5=0,$Q$6,$Q$5)))/(12*$Q$19))+(((3*$Q$15)/(2*IF($Q$5=0,$Q$6,$Q$5)*$U$5*$Q$19))*'IN-OUT'!$F$15))*'Burland damage classification'!CB25</f>
        <v>#DIV/0!</v>
      </c>
      <c r="BY25" s="262">
        <f>(1+(((IF($Q$5=0,$Q$6^2,$Q$5^2))*$U$5)/(18*$Q$15))*('IN-OUT'!$F$15^(-1)))*CC25</f>
        <v>9.7877474425937241E-4</v>
      </c>
      <c r="BZ25" s="254" t="e">
        <f t="shared" si="13"/>
        <v>#DIV/0!</v>
      </c>
      <c r="CA25" s="254" t="e">
        <f t="shared" si="37"/>
        <v>#DIV/0!</v>
      </c>
      <c r="CB25" s="254">
        <f t="shared" si="61"/>
        <v>9.3999999999999986E-4</v>
      </c>
      <c r="CC25" s="253">
        <f t="shared" si="14"/>
        <v>9.7877474425937241E-4</v>
      </c>
      <c r="CD25" s="253">
        <f t="shared" si="62"/>
        <v>6.0000000000000008E-5</v>
      </c>
      <c r="CE25" s="255">
        <f t="shared" si="38"/>
        <v>6.000000000000001E-3</v>
      </c>
      <c r="CG25" s="258" t="e">
        <f>((((IF($Q$5=0,$Q$6,$Q$5)))/(12*$Q$19))+(((3*$Q$15)/(2*IF($Q$5=0,$Q$6,$Q$5)*$U$5*$Q$19))*'IN-OUT'!$F$15))*'Burland damage classification'!CK25</f>
        <v>#DIV/0!</v>
      </c>
      <c r="CH25" s="262">
        <f>(1+(((IF($Q$5=0,$Q$6^2,$Q$5^2))*$U$5)/(18*$Q$15))*('IN-OUT'!$F$15^(-1)))*CL25</f>
        <v>1.9788885769542455E-3</v>
      </c>
      <c r="CI25" s="254" t="e">
        <f t="shared" si="15"/>
        <v>#DIV/0!</v>
      </c>
      <c r="CJ25" s="254" t="e">
        <f t="shared" si="39"/>
        <v>#DIV/0!</v>
      </c>
      <c r="CK25" s="254">
        <f t="shared" si="63"/>
        <v>1.9400000000000008E-3</v>
      </c>
      <c r="CL25" s="270">
        <f t="shared" si="16"/>
        <v>1.9788885769542455E-3</v>
      </c>
      <c r="CM25" s="253">
        <f t="shared" si="64"/>
        <v>6.0000000000000008E-5</v>
      </c>
      <c r="CN25" s="255">
        <f t="shared" si="40"/>
        <v>6.000000000000001E-3</v>
      </c>
      <c r="CP25" s="258" t="e">
        <f>((((IF($R$5=0,$R$6,$R$5)))/(12*$R$19))+(((3*$R$15)/(2*IF($R$5=0,$R$6,$R$5)*$U$5*$R$19))*'IN-OUT'!$F$15))*'Burland damage classification'!CT25</f>
        <v>#DIV/0!</v>
      </c>
      <c r="CQ25" s="262">
        <f>(1+(((IF($R$5=0,$R$6^2,$R$5^2))*$U$5)/(18*$R$15))*('IN-OUT'!$F$15^(-1)))*CU25</f>
        <v>3.1162655713387318E-4</v>
      </c>
      <c r="CR25" s="262" t="e">
        <f t="shared" si="17"/>
        <v>#DIV/0!</v>
      </c>
      <c r="CS25" s="262" t="e">
        <f t="shared" si="41"/>
        <v>#DIV/0!</v>
      </c>
      <c r="CT25" s="262">
        <f t="shared" si="65"/>
        <v>2.7333333333333349E-4</v>
      </c>
      <c r="CU25" s="270">
        <f t="shared" si="18"/>
        <v>3.1162655713387318E-4</v>
      </c>
      <c r="CV25" s="270">
        <f t="shared" si="66"/>
        <v>6.0000000000000008E-5</v>
      </c>
      <c r="CW25" s="271">
        <f t="shared" si="42"/>
        <v>6.000000000000001E-3</v>
      </c>
      <c r="CY25" s="258" t="e">
        <f>((((IF($R$5=0,$R$6,$R$5)))/(12*$R$19))+(((3*$R$15)/(2*IF($R$5=0,$R$6,$R$5)*$U$5*$R$19))*'IN-OUT'!$F$15))*'Burland damage classification'!DC25</f>
        <v>#DIV/0!</v>
      </c>
      <c r="CZ25" s="262">
        <f>(1+(((IF($R$5=0,$R$6^2,$R$5^2))*$U$5)/(18*$R$15))*('IN-OUT'!$F$15^(-1)))*DD25</f>
        <v>4.7853944456021594E-4</v>
      </c>
      <c r="DA25" s="254" t="e">
        <f t="shared" si="19"/>
        <v>#DIV/0!</v>
      </c>
      <c r="DB25" s="254" t="e">
        <f t="shared" si="43"/>
        <v>#DIV/0!</v>
      </c>
      <c r="DC25" s="254">
        <f t="shared" si="67"/>
        <v>4.4000000000000018E-4</v>
      </c>
      <c r="DD25" s="253">
        <f t="shared" si="20"/>
        <v>4.7853944456021594E-4</v>
      </c>
      <c r="DE25" s="253">
        <f t="shared" si="68"/>
        <v>6.0000000000000008E-5</v>
      </c>
      <c r="DF25" s="255">
        <f t="shared" si="44"/>
        <v>6.000000000000001E-3</v>
      </c>
      <c r="DH25" s="258" t="e">
        <f>((((IF($R$5=0,$R$6,$R$5)))/(12*$R$19))+(((3*$R$15)/(2*IF($R$5=0,$R$6,$R$5)*$U$5*$R$19))*'IN-OUT'!$F$15))*'Burland damage classification'!DL25</f>
        <v>#DIV/0!</v>
      </c>
      <c r="DI25" s="262">
        <f>(1+(((IF($R$5=0,$R$6^2,$R$5^2))*$U$5)/(18*$R$15))*('IN-OUT'!$F$15^(-1)))*DM25</f>
        <v>9.7877474425937241E-4</v>
      </c>
      <c r="DJ25" s="254" t="e">
        <f t="shared" si="21"/>
        <v>#DIV/0!</v>
      </c>
      <c r="DK25" s="254" t="e">
        <f t="shared" si="45"/>
        <v>#DIV/0!</v>
      </c>
      <c r="DL25" s="254">
        <f t="shared" si="69"/>
        <v>9.3999999999999986E-4</v>
      </c>
      <c r="DM25" s="253">
        <f t="shared" si="22"/>
        <v>9.7877474425937241E-4</v>
      </c>
      <c r="DN25" s="253">
        <f t="shared" si="70"/>
        <v>6.0000000000000008E-5</v>
      </c>
      <c r="DO25" s="255">
        <f t="shared" si="46"/>
        <v>6.000000000000001E-3</v>
      </c>
      <c r="DQ25" s="258" t="e">
        <f>((((IF($R$5=0,$R$6,$R$5)))/(12*$R$19))+(((3*$R$15)/(2*IF($R$5=0,$R$6,$R$5)*$U$5*$R$19))*'IN-OUT'!$F$15))*'Burland damage classification'!DU25</f>
        <v>#DIV/0!</v>
      </c>
      <c r="DR25" s="262">
        <f>(1+(((IF($R$5=0,$R$6^2,$R$5^2))*$U$5)/(18*$R$15))*('IN-OUT'!$F$15^(-1)))*DV25</f>
        <v>1.9788885769542455E-3</v>
      </c>
      <c r="DS25" s="254" t="e">
        <f t="shared" si="23"/>
        <v>#DIV/0!</v>
      </c>
      <c r="DT25" s="254" t="e">
        <f t="shared" si="47"/>
        <v>#DIV/0!</v>
      </c>
      <c r="DU25" s="254">
        <f t="shared" si="71"/>
        <v>1.9400000000000008E-3</v>
      </c>
      <c r="DV25" s="270">
        <f t="shared" si="24"/>
        <v>1.9788885769542455E-3</v>
      </c>
      <c r="DW25" s="253">
        <f t="shared" si="72"/>
        <v>6.0000000000000008E-5</v>
      </c>
      <c r="DX25" s="255">
        <f t="shared" si="48"/>
        <v>6.000000000000001E-3</v>
      </c>
    </row>
    <row r="26" spans="8:167" ht="13.8" thickBot="1">
      <c r="H26" s="309">
        <f>IF(AND(D7=1000,D8=1000),0,IF(G5="no settlment",0,IF(AND($G$5&gt;=$D$8,$G$6&gt;$D$8),ABS($G$6-$G$5),0)))</f>
        <v>0</v>
      </c>
      <c r="I26" s="310" t="str">
        <f>IF((H26&lt;&gt;0),$G$5,"")</f>
        <v/>
      </c>
      <c r="J26" s="331" t="str">
        <f>IF((H26&lt;&gt;0),$G$6,"")</f>
        <v/>
      </c>
      <c r="K26" s="329"/>
      <c r="L26" s="311"/>
      <c r="M26" s="312"/>
      <c r="N26" s="253"/>
      <c r="P26" s="129">
        <f>IF(AND('IN-OUT'!$D$13&gt;0,'IN-OUT'!$D$13&lt;=1.99),'Burland damage classification'!S26,IF(AND('IN-OUT'!$D$13&gt;=2,'IN-OUT'!$D$13&lt;=3.99),'Burland damage classification'!S26/1.25,IF(AND('IN-OUT'!$D$13&gt;=4,'IN-OUT'!$D$13&lt;=5.99),'Burland damage classification'!S26/1.5,IF(AND('IN-OUT'!$D$13&gt;=6,'IN-OUT'!$D$13&lt;=7.99),'Burland damage classification'!S26/1.75,IF(AND('IN-OUT'!$D$13&gt;=8,'IN-OUT'!$D$13&lt;=10),'Burland damage classification'!S26/2)))))</f>
        <v>5.0000000000000001E-4</v>
      </c>
      <c r="Q26" s="186">
        <v>1</v>
      </c>
      <c r="S26" s="708">
        <v>7.5000000000000002E-4</v>
      </c>
      <c r="V26" s="258">
        <f>(((IF($P$5&lt;&gt;0,$P$5,IF($P$6&lt;&gt;0,$P$6,IF($P$7&lt;&gt;0,$P$7,0))))/(12*$P$19))+(((3*$P$15)/(2*(IF($P$5&lt;&gt;0,$P$5,IF($P$6&lt;&gt;0,$P$6,IF($P$7&lt;&gt;0,$P$7,0))))*$U$5*$P$19))*'IN-OUT'!$F$15))*'Burland damage classification'!Z26</f>
        <v>8.5604060709525338E-4</v>
      </c>
      <c r="W26" s="262">
        <f>(1+(((IF($P$5&lt;&gt;0,$P$5^2,IF($P$6&lt;&gt;0,$P$6^2,IF($P$7&lt;&gt;0,$P$7^2))))*$U$5)/(18*$P$15))*('IN-OUT'!$F$15^(-1)))*AA26</f>
        <v>3.2655615118807441E-4</v>
      </c>
      <c r="X26" s="262">
        <f t="shared" si="1"/>
        <v>3.2655615118807441E-4</v>
      </c>
      <c r="Y26" s="262">
        <f t="shared" si="25"/>
        <v>3.2655615118807442E-2</v>
      </c>
      <c r="Z26" s="916">
        <f t="shared" si="49"/>
        <v>2.6666666666666684E-4</v>
      </c>
      <c r="AA26" s="270">
        <f t="shared" si="2"/>
        <v>3.0912061651652346E-4</v>
      </c>
      <c r="AB26" s="270">
        <f t="shared" si="50"/>
        <v>6.666666666666667E-5</v>
      </c>
      <c r="AC26" s="271">
        <f t="shared" si="26"/>
        <v>6.6666666666666671E-3</v>
      </c>
      <c r="AE26" s="258">
        <f>(((IF($P$5&lt;&gt;0,$P$5,IF($P$6&lt;&gt;0,$P$6,IF($P$7&lt;&gt;0,$P$7,0))))/(12*$P$19))+(((3*$P$15)/(2*(IF($P$5&lt;&gt;0,$P$5,IF($P$6&lt;&gt;0,$P$6,IF($P$7&lt;&gt;0,$P$7,0))))*$U$5*$P$19))*'IN-OUT'!$F$15))*'Burland damage classification'!AI26</f>
        <v>1.3910659865297864E-3</v>
      </c>
      <c r="AF26" s="254">
        <f>(1+(((IF($P$5&lt;&gt;0,$P$5^2,IF($P$6&lt;&gt;0,$P$6^2,IF($P$7&lt;&gt;0,$P$7^2))))*$U$5)/(18*$P$15))*('IN-OUT'!$F$15^(-1)))*AJ26</f>
        <v>5.0294874276805032E-4</v>
      </c>
      <c r="AG26" s="254">
        <f t="shared" si="3"/>
        <v>5.0294874276805032E-4</v>
      </c>
      <c r="AH26" s="254">
        <f t="shared" si="27"/>
        <v>5.0294874276805034E-2</v>
      </c>
      <c r="AI26" s="254">
        <f t="shared" si="51"/>
        <v>4.3333333333333353E-4</v>
      </c>
      <c r="AJ26" s="253">
        <f t="shared" si="4"/>
        <v>4.7609522856952334E-4</v>
      </c>
      <c r="AK26" s="253">
        <f t="shared" si="52"/>
        <v>6.666666666666667E-5</v>
      </c>
      <c r="AL26" s="255">
        <f t="shared" si="28"/>
        <v>6.6666666666666671E-3</v>
      </c>
      <c r="AN26" s="258">
        <f>(((IF($P$5&lt;&gt;0,$P$5,IF($P$6&lt;&gt;0,$P$6,IF($P$7&lt;&gt;0,$P$7,0))))/(12*$P$19))+(((3*$P$15)/(2*(IF($P$5&lt;&gt;0,$P$5,IF($P$6&lt;&gt;0,$P$6,IF($P$7&lt;&gt;0,$P$7,0))))*$U$5*$P$19))*'IN-OUT'!$F$15))*'Burland damage classification'!AR26</f>
        <v>2.9961421248333843E-3</v>
      </c>
      <c r="AO26" s="254">
        <f>(1+(((IF($P$5&lt;&gt;0,$P$5^2,IF($P$6&lt;&gt;0,$P$6^2,IF($P$7&lt;&gt;0,$P$7^2))))*$U$5)/(18*$P$15))*('IN-OUT'!$F$15^(-1)))*AS26</f>
        <v>1.0314597538957995E-3</v>
      </c>
      <c r="AP26" s="254">
        <f t="shared" si="5"/>
        <v>1.0314597538957995E-3</v>
      </c>
      <c r="AQ26" s="254">
        <f t="shared" si="29"/>
        <v>0.10314597538957995</v>
      </c>
      <c r="AR26" s="254">
        <f t="shared" si="53"/>
        <v>9.3333333333333322E-4</v>
      </c>
      <c r="AS26" s="253">
        <f t="shared" si="6"/>
        <v>9.7638790105845398E-4</v>
      </c>
      <c r="AT26" s="253">
        <f t="shared" si="54"/>
        <v>6.666666666666667E-5</v>
      </c>
      <c r="AU26" s="255">
        <f t="shared" si="30"/>
        <v>6.6666666666666671E-3</v>
      </c>
      <c r="AW26" s="258">
        <f>(((IF($P$5&lt;&gt;0,$P$5,IF($P$6&lt;&gt;0,$P$6,IF($P$7&lt;&gt;0,$P$7,0))))/(12*$P$19))+(((3*$P$15)/(2*(IF($P$5&lt;&gt;0,$P$5,IF($P$6&lt;&gt;0,$P$6,IF($P$7&lt;&gt;0,$P$7,0))))*$U$5*$P$19))*'IN-OUT'!$F$15))*'Burland damage classification'!BA26</f>
        <v>6.206294401440585E-3</v>
      </c>
      <c r="AX26" s="254">
        <f>(1+(((IF($P$5&lt;&gt;0,$P$5^2,IF($P$6&lt;&gt;0,$P$6^2,IF($P$7&lt;&gt;0,$P$7^2))))*$U$5)/(18*$P$15))*('IN-OUT'!$F$15^(-1)))*BB26</f>
        <v>2.0880124139058659E-3</v>
      </c>
      <c r="AY26" s="254">
        <f t="shared" si="7"/>
        <v>2.0880124139058659E-3</v>
      </c>
      <c r="AZ26" s="254">
        <f t="shared" si="31"/>
        <v>0.20880124139058659</v>
      </c>
      <c r="BA26" s="254">
        <f t="shared" si="55"/>
        <v>1.933333333333334E-3</v>
      </c>
      <c r="BB26" s="270">
        <f t="shared" si="8"/>
        <v>1.9765289440498127E-3</v>
      </c>
      <c r="BC26" s="253">
        <f t="shared" si="56"/>
        <v>6.666666666666667E-5</v>
      </c>
      <c r="BD26" s="255">
        <f t="shared" si="32"/>
        <v>6.6666666666666671E-3</v>
      </c>
      <c r="BF26" s="258" t="e">
        <f>((((IF($Q$5=0,$Q$6,$Q$5)))/(12*$Q$19))+(((3*$Q$15)/(2*IF($Q$5=0,$Q$6,$Q$5)*$U$5*$Q$19))*'IN-OUT'!$F$15))*'Burland damage classification'!BJ26</f>
        <v>#DIV/0!</v>
      </c>
      <c r="BG26" s="262">
        <f>(1+(((IF($Q$5=0,$Q$6^2,$Q$5^2))*$U$5)/(18*$Q$15))*('IN-OUT'!$F$15^(-1)))*BK26</f>
        <v>3.0912061651652346E-4</v>
      </c>
      <c r="BH26" s="262" t="e">
        <f t="shared" si="9"/>
        <v>#DIV/0!</v>
      </c>
      <c r="BI26" s="262" t="e">
        <f t="shared" si="33"/>
        <v>#DIV/0!</v>
      </c>
      <c r="BJ26" s="262">
        <f t="shared" si="57"/>
        <v>2.6666666666666684E-4</v>
      </c>
      <c r="BK26" s="270">
        <f t="shared" si="10"/>
        <v>3.0912061651652346E-4</v>
      </c>
      <c r="BL26" s="270">
        <f t="shared" si="58"/>
        <v>6.666666666666667E-5</v>
      </c>
      <c r="BM26" s="271">
        <f t="shared" si="34"/>
        <v>6.6666666666666671E-3</v>
      </c>
      <c r="BO26" s="258" t="e">
        <f>((((IF($Q$5=0,$Q$6,$Q$5)))/(12*$Q$19))+(((3*$Q$15)/(2*IF($Q$5=0,$Q$6,$Q$5)*$U$5*$Q$19))*'IN-OUT'!$F$15))*'Burland damage classification'!BS26</f>
        <v>#DIV/0!</v>
      </c>
      <c r="BP26" s="262">
        <f>(1+(((IF($Q$5=0,$Q$6^2,$Q$5^2))*$U$5)/(18*$Q$15))*('IN-OUT'!$F$15^(-1)))*BT26</f>
        <v>4.7609522856952334E-4</v>
      </c>
      <c r="BQ26" s="254" t="e">
        <f t="shared" si="11"/>
        <v>#DIV/0!</v>
      </c>
      <c r="BR26" s="254" t="e">
        <f t="shared" si="35"/>
        <v>#DIV/0!</v>
      </c>
      <c r="BS26" s="254">
        <f t="shared" si="59"/>
        <v>4.3333333333333353E-4</v>
      </c>
      <c r="BT26" s="253">
        <f t="shared" si="12"/>
        <v>4.7609522856952334E-4</v>
      </c>
      <c r="BU26" s="253">
        <f t="shared" si="60"/>
        <v>6.666666666666667E-5</v>
      </c>
      <c r="BV26" s="255">
        <f t="shared" si="36"/>
        <v>6.6666666666666671E-3</v>
      </c>
      <c r="BX26" s="258" t="e">
        <f>((((IF($Q$5=0,$Q$6,$Q$5)))/(12*$Q$19))+(((3*$Q$15)/(2*IF($Q$5=0,$Q$6,$Q$5)*$U$5*$Q$19))*'IN-OUT'!$F$15))*'Burland damage classification'!CB26</f>
        <v>#DIV/0!</v>
      </c>
      <c r="BY26" s="262">
        <f>(1+(((IF($Q$5=0,$Q$6^2,$Q$5^2))*$U$5)/(18*$Q$15))*('IN-OUT'!$F$15^(-1)))*CC26</f>
        <v>9.7638790105845398E-4</v>
      </c>
      <c r="BZ26" s="254" t="e">
        <f t="shared" si="13"/>
        <v>#DIV/0!</v>
      </c>
      <c r="CA26" s="254" t="e">
        <f t="shared" si="37"/>
        <v>#DIV/0!</v>
      </c>
      <c r="CB26" s="254">
        <f t="shared" si="61"/>
        <v>9.3333333333333322E-4</v>
      </c>
      <c r="CC26" s="253">
        <f t="shared" si="14"/>
        <v>9.7638790105845398E-4</v>
      </c>
      <c r="CD26" s="253">
        <f t="shared" si="62"/>
        <v>6.666666666666667E-5</v>
      </c>
      <c r="CE26" s="255">
        <f t="shared" si="38"/>
        <v>6.6666666666666671E-3</v>
      </c>
      <c r="CG26" s="258" t="e">
        <f>((((IF($Q$5=0,$Q$6,$Q$5)))/(12*$Q$19))+(((3*$Q$15)/(2*IF($Q$5=0,$Q$6,$Q$5)*$U$5*$Q$19))*'IN-OUT'!$F$15))*'Burland damage classification'!CK26</f>
        <v>#DIV/0!</v>
      </c>
      <c r="CH26" s="262">
        <f>(1+(((IF($Q$5=0,$Q$6^2,$Q$5^2))*$U$5)/(18*$Q$15))*('IN-OUT'!$F$15^(-1)))*CL26</f>
        <v>1.9765289440498127E-3</v>
      </c>
      <c r="CI26" s="254" t="e">
        <f t="shared" si="15"/>
        <v>#DIV/0!</v>
      </c>
      <c r="CJ26" s="254" t="e">
        <f t="shared" si="39"/>
        <v>#DIV/0!</v>
      </c>
      <c r="CK26" s="254">
        <f t="shared" si="63"/>
        <v>1.933333333333334E-3</v>
      </c>
      <c r="CL26" s="270">
        <f t="shared" si="16"/>
        <v>1.9765289440498127E-3</v>
      </c>
      <c r="CM26" s="253">
        <f t="shared" si="64"/>
        <v>6.666666666666667E-5</v>
      </c>
      <c r="CN26" s="255">
        <f t="shared" si="40"/>
        <v>6.6666666666666671E-3</v>
      </c>
      <c r="CP26" s="258" t="e">
        <f>((((IF($R$5=0,$R$6,$R$5)))/(12*$R$19))+(((3*$R$15)/(2*IF($R$5=0,$R$6,$R$5)*$U$5*$R$19))*'IN-OUT'!$F$15))*'Burland damage classification'!CT26</f>
        <v>#DIV/0!</v>
      </c>
      <c r="CQ26" s="262">
        <f>(1+(((IF($R$5=0,$R$6^2,$R$5^2))*$U$5)/(18*$R$15))*('IN-OUT'!$F$15^(-1)))*CU26</f>
        <v>3.0912061651652346E-4</v>
      </c>
      <c r="CR26" s="262" t="e">
        <f t="shared" si="17"/>
        <v>#DIV/0!</v>
      </c>
      <c r="CS26" s="262" t="e">
        <f t="shared" si="41"/>
        <v>#DIV/0!</v>
      </c>
      <c r="CT26" s="262">
        <f t="shared" si="65"/>
        <v>2.6666666666666684E-4</v>
      </c>
      <c r="CU26" s="270">
        <f t="shared" si="18"/>
        <v>3.0912061651652346E-4</v>
      </c>
      <c r="CV26" s="270">
        <f t="shared" si="66"/>
        <v>6.666666666666667E-5</v>
      </c>
      <c r="CW26" s="271">
        <f t="shared" si="42"/>
        <v>6.6666666666666671E-3</v>
      </c>
      <c r="CY26" s="258" t="e">
        <f>((((IF($R$5=0,$R$6,$R$5)))/(12*$R$19))+(((3*$R$15)/(2*IF($R$5=0,$R$6,$R$5)*$U$5*$R$19))*'IN-OUT'!$F$15))*'Burland damage classification'!DC26</f>
        <v>#DIV/0!</v>
      </c>
      <c r="CZ26" s="262">
        <f>(1+(((IF($R$5=0,$R$6^2,$R$5^2))*$U$5)/(18*$R$15))*('IN-OUT'!$F$15^(-1)))*DD26</f>
        <v>4.7609522856952334E-4</v>
      </c>
      <c r="DA26" s="254" t="e">
        <f t="shared" si="19"/>
        <v>#DIV/0!</v>
      </c>
      <c r="DB26" s="254" t="e">
        <f t="shared" si="43"/>
        <v>#DIV/0!</v>
      </c>
      <c r="DC26" s="254">
        <f t="shared" si="67"/>
        <v>4.3333333333333353E-4</v>
      </c>
      <c r="DD26" s="253">
        <f t="shared" si="20"/>
        <v>4.7609522856952334E-4</v>
      </c>
      <c r="DE26" s="253">
        <f t="shared" si="68"/>
        <v>6.666666666666667E-5</v>
      </c>
      <c r="DF26" s="255">
        <f t="shared" si="44"/>
        <v>6.6666666666666671E-3</v>
      </c>
      <c r="DH26" s="258" t="e">
        <f>((((IF($R$5=0,$R$6,$R$5)))/(12*$R$19))+(((3*$R$15)/(2*IF($R$5=0,$R$6,$R$5)*$U$5*$R$19))*'IN-OUT'!$F$15))*'Burland damage classification'!DL26</f>
        <v>#DIV/0!</v>
      </c>
      <c r="DI26" s="262">
        <f>(1+(((IF($R$5=0,$R$6^2,$R$5^2))*$U$5)/(18*$R$15))*('IN-OUT'!$F$15^(-1)))*DM26</f>
        <v>9.7638790105845398E-4</v>
      </c>
      <c r="DJ26" s="254" t="e">
        <f t="shared" si="21"/>
        <v>#DIV/0!</v>
      </c>
      <c r="DK26" s="254" t="e">
        <f t="shared" si="45"/>
        <v>#DIV/0!</v>
      </c>
      <c r="DL26" s="254">
        <f t="shared" si="69"/>
        <v>9.3333333333333322E-4</v>
      </c>
      <c r="DM26" s="253">
        <f t="shared" si="22"/>
        <v>9.7638790105845398E-4</v>
      </c>
      <c r="DN26" s="253">
        <f t="shared" si="70"/>
        <v>6.666666666666667E-5</v>
      </c>
      <c r="DO26" s="255">
        <f t="shared" si="46"/>
        <v>6.6666666666666671E-3</v>
      </c>
      <c r="DQ26" s="258" t="e">
        <f>((((IF($R$5=0,$R$6,$R$5)))/(12*$R$19))+(((3*$R$15)/(2*IF($R$5=0,$R$6,$R$5)*$U$5*$R$19))*'IN-OUT'!$F$15))*'Burland damage classification'!DU26</f>
        <v>#DIV/0!</v>
      </c>
      <c r="DR26" s="262">
        <f>(1+(((IF($R$5=0,$R$6^2,$R$5^2))*$U$5)/(18*$R$15))*('IN-OUT'!$F$15^(-1)))*DV26</f>
        <v>1.9765289440498127E-3</v>
      </c>
      <c r="DS26" s="254" t="e">
        <f t="shared" si="23"/>
        <v>#DIV/0!</v>
      </c>
      <c r="DT26" s="254" t="e">
        <f t="shared" si="47"/>
        <v>#DIV/0!</v>
      </c>
      <c r="DU26" s="254">
        <f t="shared" si="71"/>
        <v>1.933333333333334E-3</v>
      </c>
      <c r="DV26" s="270">
        <f t="shared" si="24"/>
        <v>1.9765289440498127E-3</v>
      </c>
      <c r="DW26" s="253">
        <f t="shared" si="72"/>
        <v>6.666666666666667E-5</v>
      </c>
      <c r="DX26" s="255">
        <f t="shared" si="48"/>
        <v>6.6666666666666671E-3</v>
      </c>
    </row>
    <row r="27" spans="8:167" ht="13.8" thickBot="1">
      <c r="I27" s="241" t="str">
        <f>IF((H27&lt;&gt;0),$D$8,"")</f>
        <v/>
      </c>
      <c r="J27" s="244"/>
      <c r="P27" s="129">
        <f>IF(AND('IN-OUT'!$D$13&gt;0,'IN-OUT'!$D$13&lt;=1.99),'Burland damage classification'!S27,IF(AND('IN-OUT'!$D$13&gt;=2,'IN-OUT'!$D$13&lt;=3.99),'Burland damage classification'!S27/1.25,IF(AND('IN-OUT'!$D$13&gt;=4,'IN-OUT'!$D$13&lt;=5.99),'Burland damage classification'!S27/1.5,IF(AND('IN-OUT'!$D$13&gt;=6,'IN-OUT'!$D$13&lt;=7.99),'Burland damage classification'!S27/1.75,IF(AND('IN-OUT'!$D$13&gt;=8,'IN-OUT'!$D$13&lt;=10),'Burland damage classification'!S27/2)))))</f>
        <v>1E-3</v>
      </c>
      <c r="Q27" s="186">
        <v>2</v>
      </c>
      <c r="S27" s="709">
        <v>1.5E-3</v>
      </c>
      <c r="V27" s="258">
        <f>(((IF($P$5&lt;&gt;0,$P$5,IF($P$6&lt;&gt;0,$P$6,IF($P$7&lt;&gt;0,$P$7,0))))/(12*$P$19))+(((3*$P$15)/(2*(IF($P$5&lt;&gt;0,$P$5,IF($P$6&lt;&gt;0,$P$6,IF($P$7&lt;&gt;0,$P$7,0))))*$U$5*$P$19))*'IN-OUT'!$F$15))*'Burland damage classification'!Z27</f>
        <v>8.3463959191787211E-4</v>
      </c>
      <c r="W27" s="262">
        <f>(1+(((IF($P$5&lt;&gt;0,$P$5^2,IF($P$6&lt;&gt;0,$P$6^2,IF($P$7&lt;&gt;0,$P$7^2))))*$U$5)/(18*$P$15))*('IN-OUT'!$F$15^(-1)))*AA27</f>
        <v>3.238872295446941E-4</v>
      </c>
      <c r="X27" s="262">
        <f t="shared" si="1"/>
        <v>3.238872295446941E-4</v>
      </c>
      <c r="Y27" s="262">
        <f t="shared" si="25"/>
        <v>3.2388722954469408E-2</v>
      </c>
      <c r="Z27" s="916">
        <f t="shared" si="49"/>
        <v>2.6000000000000019E-4</v>
      </c>
      <c r="AA27" s="270">
        <f t="shared" si="2"/>
        <v>3.0659419433511781E-4</v>
      </c>
      <c r="AB27" s="270">
        <f t="shared" si="50"/>
        <v>7.3333333333333331E-5</v>
      </c>
      <c r="AC27" s="271">
        <f t="shared" si="26"/>
        <v>7.3333333333333332E-3</v>
      </c>
      <c r="AE27" s="258">
        <f>(((IF($P$5&lt;&gt;0,$P$5,IF($P$6&lt;&gt;0,$P$6,IF($P$7&lt;&gt;0,$P$7,0))))/(12*$P$19))+(((3*$P$15)/(2*(IF($P$5&lt;&gt;0,$P$5,IF($P$6&lt;&gt;0,$P$6,IF($P$7&lt;&gt;0,$P$7,0))))*$U$5*$P$19))*'IN-OUT'!$F$15))*'Burland damage classification'!AI27</f>
        <v>1.3696649713524052E-3</v>
      </c>
      <c r="AF27" s="254">
        <f>(1+(((IF($P$5&lt;&gt;0,$P$5^2,IF($P$6&lt;&gt;0,$P$6^2,IF($P$7&lt;&gt;0,$P$7^2))))*$U$5)/(18*$P$15))*('IN-OUT'!$F$15^(-1)))*AJ27</f>
        <v>5.0035333937829959E-4</v>
      </c>
      <c r="AG27" s="254">
        <f t="shared" si="3"/>
        <v>5.0035333937829959E-4</v>
      </c>
      <c r="AH27" s="254">
        <f t="shared" si="27"/>
        <v>5.0035333937829961E-2</v>
      </c>
      <c r="AI27" s="254">
        <f t="shared" si="51"/>
        <v>4.2666666666666688E-4</v>
      </c>
      <c r="AJ27" s="253">
        <f t="shared" si="4"/>
        <v>4.7363839934419733E-4</v>
      </c>
      <c r="AK27" s="253">
        <f t="shared" si="52"/>
        <v>7.3333333333333331E-5</v>
      </c>
      <c r="AL27" s="255">
        <f t="shared" si="28"/>
        <v>7.3333333333333332E-3</v>
      </c>
      <c r="AN27" s="258">
        <f>(((IF($P$5&lt;&gt;0,$P$5,IF($P$6&lt;&gt;0,$P$6,IF($P$7&lt;&gt;0,$P$7,0))))/(12*$P$19))+(((3*$P$15)/(2*(IF($P$5&lt;&gt;0,$P$5,IF($P$6&lt;&gt;0,$P$6,IF($P$7&lt;&gt;0,$P$7,0))))*$U$5*$P$19))*'IN-OUT'!$F$15))*'Burland damage classification'!AR27</f>
        <v>2.974741109656003E-3</v>
      </c>
      <c r="AO27" s="254">
        <f>(1+(((IF($P$5&lt;&gt;0,$P$5^2,IF($P$6&lt;&gt;0,$P$6^2,IF($P$7&lt;&gt;0,$P$7^2))))*$U$5)/(18*$P$15))*('IN-OUT'!$F$15^(-1)))*AS27</f>
        <v>1.0289321049791818E-3</v>
      </c>
      <c r="AP27" s="254">
        <f t="shared" si="5"/>
        <v>1.0289321049791818E-3</v>
      </c>
      <c r="AQ27" s="254">
        <f t="shared" si="29"/>
        <v>0.10289321049791818</v>
      </c>
      <c r="AR27" s="254">
        <f t="shared" si="53"/>
        <v>9.2666666666666657E-4</v>
      </c>
      <c r="AS27" s="253">
        <f t="shared" si="6"/>
        <v>9.7399520874933809E-4</v>
      </c>
      <c r="AT27" s="253">
        <f t="shared" si="54"/>
        <v>7.3333333333333331E-5</v>
      </c>
      <c r="AU27" s="255">
        <f t="shared" si="30"/>
        <v>7.3333333333333332E-3</v>
      </c>
      <c r="AW27" s="258">
        <f>(((IF($P$5&lt;&gt;0,$P$5,IF($P$6&lt;&gt;0,$P$6,IF($P$7&lt;&gt;0,$P$7,0))))/(12*$P$19))+(((3*$P$15)/(2*(IF($P$5&lt;&gt;0,$P$5,IF($P$6&lt;&gt;0,$P$6,IF($P$7&lt;&gt;0,$P$7,0))))*$U$5*$P$19))*'IN-OUT'!$F$15))*'Burland damage classification'!BA27</f>
        <v>6.1848933862632032E-3</v>
      </c>
      <c r="AX27" s="254">
        <f>(1+(((IF($P$5&lt;&gt;0,$P$5^2,IF($P$6&lt;&gt;0,$P$6^2,IF($P$7&lt;&gt;0,$P$7^2))))*$U$5)/(18*$P$15))*('IN-OUT'!$F$15^(-1)))*BB27</f>
        <v>2.0855167096250305E-3</v>
      </c>
      <c r="AY27" s="254">
        <f t="shared" si="7"/>
        <v>2.0855167096250305E-3</v>
      </c>
      <c r="AZ27" s="254">
        <f t="shared" si="31"/>
        <v>0.20855167096250304</v>
      </c>
      <c r="BA27" s="254">
        <f t="shared" si="55"/>
        <v>1.9266666666666672E-3</v>
      </c>
      <c r="BB27" s="270">
        <f t="shared" si="8"/>
        <v>1.9741664907837264E-3</v>
      </c>
      <c r="BC27" s="253">
        <f t="shared" si="56"/>
        <v>7.3333333333333331E-5</v>
      </c>
      <c r="BD27" s="255">
        <f t="shared" si="32"/>
        <v>7.3333333333333332E-3</v>
      </c>
      <c r="BF27" s="258" t="e">
        <f>((((IF($Q$5=0,$Q$6,$Q$5)))/(12*$Q$19))+(((3*$Q$15)/(2*IF($Q$5=0,$Q$6,$Q$5)*$U$5*$Q$19))*'IN-OUT'!$F$15))*'Burland damage classification'!BJ27</f>
        <v>#DIV/0!</v>
      </c>
      <c r="BG27" s="262">
        <f>(1+(((IF($Q$5=0,$Q$6^2,$Q$5^2))*$U$5)/(18*$Q$15))*('IN-OUT'!$F$15^(-1)))*BK27</f>
        <v>3.0659419433511781E-4</v>
      </c>
      <c r="BH27" s="262" t="e">
        <f t="shared" si="9"/>
        <v>#DIV/0!</v>
      </c>
      <c r="BI27" s="262" t="e">
        <f t="shared" si="33"/>
        <v>#DIV/0!</v>
      </c>
      <c r="BJ27" s="262">
        <f t="shared" si="57"/>
        <v>2.6000000000000019E-4</v>
      </c>
      <c r="BK27" s="270">
        <f t="shared" si="10"/>
        <v>3.0659419433511781E-4</v>
      </c>
      <c r="BL27" s="270">
        <f t="shared" si="58"/>
        <v>7.3333333333333331E-5</v>
      </c>
      <c r="BM27" s="271">
        <f t="shared" si="34"/>
        <v>7.3333333333333332E-3</v>
      </c>
      <c r="BO27" s="258" t="e">
        <f>((((IF($Q$5=0,$Q$6,$Q$5)))/(12*$Q$19))+(((3*$Q$15)/(2*IF($Q$5=0,$Q$6,$Q$5)*$U$5*$Q$19))*'IN-OUT'!$F$15))*'Burland damage classification'!BS27</f>
        <v>#DIV/0!</v>
      </c>
      <c r="BP27" s="262">
        <f>(1+(((IF($Q$5=0,$Q$6^2,$Q$5^2))*$U$5)/(18*$Q$15))*('IN-OUT'!$F$15^(-1)))*BT27</f>
        <v>4.7363839934419733E-4</v>
      </c>
      <c r="BQ27" s="254" t="e">
        <f t="shared" si="11"/>
        <v>#DIV/0!</v>
      </c>
      <c r="BR27" s="254" t="e">
        <f t="shared" si="35"/>
        <v>#DIV/0!</v>
      </c>
      <c r="BS27" s="254">
        <f t="shared" si="59"/>
        <v>4.2666666666666688E-4</v>
      </c>
      <c r="BT27" s="253">
        <f t="shared" si="12"/>
        <v>4.7363839934419733E-4</v>
      </c>
      <c r="BU27" s="253">
        <f t="shared" si="60"/>
        <v>7.3333333333333331E-5</v>
      </c>
      <c r="BV27" s="255">
        <f t="shared" si="36"/>
        <v>7.3333333333333332E-3</v>
      </c>
      <c r="BX27" s="258" t="e">
        <f>((((IF($Q$5=0,$Q$6,$Q$5)))/(12*$Q$19))+(((3*$Q$15)/(2*IF($Q$5=0,$Q$6,$Q$5)*$U$5*$Q$19))*'IN-OUT'!$F$15))*'Burland damage classification'!CB27</f>
        <v>#DIV/0!</v>
      </c>
      <c r="BY27" s="262">
        <f>(1+(((IF($Q$5=0,$Q$6^2,$Q$5^2))*$U$5)/(18*$Q$15))*('IN-OUT'!$F$15^(-1)))*CC27</f>
        <v>9.7399520874933809E-4</v>
      </c>
      <c r="BZ27" s="254" t="e">
        <f t="shared" si="13"/>
        <v>#DIV/0!</v>
      </c>
      <c r="CA27" s="254" t="e">
        <f t="shared" si="37"/>
        <v>#DIV/0!</v>
      </c>
      <c r="CB27" s="254">
        <f t="shared" si="61"/>
        <v>9.2666666666666657E-4</v>
      </c>
      <c r="CC27" s="253">
        <f t="shared" si="14"/>
        <v>9.7399520874933809E-4</v>
      </c>
      <c r="CD27" s="253">
        <f t="shared" si="62"/>
        <v>7.3333333333333331E-5</v>
      </c>
      <c r="CE27" s="255">
        <f t="shared" si="38"/>
        <v>7.3333333333333332E-3</v>
      </c>
      <c r="CG27" s="258" t="e">
        <f>((((IF($Q$5=0,$Q$6,$Q$5)))/(12*$Q$19))+(((3*$Q$15)/(2*IF($Q$5=0,$Q$6,$Q$5)*$U$5*$Q$19))*'IN-OUT'!$F$15))*'Burland damage classification'!CK27</f>
        <v>#DIV/0!</v>
      </c>
      <c r="CH27" s="262">
        <f>(1+(((IF($Q$5=0,$Q$6^2,$Q$5^2))*$U$5)/(18*$Q$15))*('IN-OUT'!$F$15^(-1)))*CL27</f>
        <v>1.9741664907837264E-3</v>
      </c>
      <c r="CI27" s="254" t="e">
        <f t="shared" si="15"/>
        <v>#DIV/0!</v>
      </c>
      <c r="CJ27" s="254" t="e">
        <f t="shared" si="39"/>
        <v>#DIV/0!</v>
      </c>
      <c r="CK27" s="254">
        <f t="shared" si="63"/>
        <v>1.9266666666666672E-3</v>
      </c>
      <c r="CL27" s="270">
        <f t="shared" si="16"/>
        <v>1.9741664907837264E-3</v>
      </c>
      <c r="CM27" s="253">
        <f t="shared" si="64"/>
        <v>7.3333333333333331E-5</v>
      </c>
      <c r="CN27" s="255">
        <f t="shared" si="40"/>
        <v>7.3333333333333332E-3</v>
      </c>
      <c r="CP27" s="258" t="e">
        <f>((((IF($R$5=0,$R$6,$R$5)))/(12*$R$19))+(((3*$R$15)/(2*IF($R$5=0,$R$6,$R$5)*$U$5*$R$19))*'IN-OUT'!$F$15))*'Burland damage classification'!CT27</f>
        <v>#DIV/0!</v>
      </c>
      <c r="CQ27" s="262">
        <f>(1+(((IF($R$5=0,$R$6^2,$R$5^2))*$U$5)/(18*$R$15))*('IN-OUT'!$F$15^(-1)))*CU27</f>
        <v>3.0659419433511781E-4</v>
      </c>
      <c r="CR27" s="262" t="e">
        <f t="shared" si="17"/>
        <v>#DIV/0!</v>
      </c>
      <c r="CS27" s="262" t="e">
        <f t="shared" si="41"/>
        <v>#DIV/0!</v>
      </c>
      <c r="CT27" s="262">
        <f t="shared" si="65"/>
        <v>2.6000000000000019E-4</v>
      </c>
      <c r="CU27" s="270">
        <f t="shared" si="18"/>
        <v>3.0659419433511781E-4</v>
      </c>
      <c r="CV27" s="270">
        <f t="shared" si="66"/>
        <v>7.3333333333333331E-5</v>
      </c>
      <c r="CW27" s="271">
        <f t="shared" si="42"/>
        <v>7.3333333333333332E-3</v>
      </c>
      <c r="CY27" s="258" t="e">
        <f>((((IF($R$5=0,$R$6,$R$5)))/(12*$R$19))+(((3*$R$15)/(2*IF($R$5=0,$R$6,$R$5)*$U$5*$R$19))*'IN-OUT'!$F$15))*'Burland damage classification'!DC27</f>
        <v>#DIV/0!</v>
      </c>
      <c r="CZ27" s="262">
        <f>(1+(((IF($R$5=0,$R$6^2,$R$5^2))*$U$5)/(18*$R$15))*('IN-OUT'!$F$15^(-1)))*DD27</f>
        <v>4.7363839934419733E-4</v>
      </c>
      <c r="DA27" s="254" t="e">
        <f t="shared" si="19"/>
        <v>#DIV/0!</v>
      </c>
      <c r="DB27" s="254" t="e">
        <f t="shared" si="43"/>
        <v>#DIV/0!</v>
      </c>
      <c r="DC27" s="254">
        <f t="shared" si="67"/>
        <v>4.2666666666666688E-4</v>
      </c>
      <c r="DD27" s="253">
        <f t="shared" si="20"/>
        <v>4.7363839934419733E-4</v>
      </c>
      <c r="DE27" s="253">
        <f t="shared" si="68"/>
        <v>7.3333333333333331E-5</v>
      </c>
      <c r="DF27" s="255">
        <f t="shared" si="44"/>
        <v>7.3333333333333332E-3</v>
      </c>
      <c r="DH27" s="258" t="e">
        <f>((((IF($R$5=0,$R$6,$R$5)))/(12*$R$19))+(((3*$R$15)/(2*IF($R$5=0,$R$6,$R$5)*$U$5*$R$19))*'IN-OUT'!$F$15))*'Burland damage classification'!DL27</f>
        <v>#DIV/0!</v>
      </c>
      <c r="DI27" s="262">
        <f>(1+(((IF($R$5=0,$R$6^2,$R$5^2))*$U$5)/(18*$R$15))*('IN-OUT'!$F$15^(-1)))*DM27</f>
        <v>9.7399520874933809E-4</v>
      </c>
      <c r="DJ27" s="254" t="e">
        <f t="shared" si="21"/>
        <v>#DIV/0!</v>
      </c>
      <c r="DK27" s="254" t="e">
        <f t="shared" si="45"/>
        <v>#DIV/0!</v>
      </c>
      <c r="DL27" s="254">
        <f t="shared" si="69"/>
        <v>9.2666666666666657E-4</v>
      </c>
      <c r="DM27" s="253">
        <f t="shared" si="22"/>
        <v>9.7399520874933809E-4</v>
      </c>
      <c r="DN27" s="253">
        <f t="shared" si="70"/>
        <v>7.3333333333333331E-5</v>
      </c>
      <c r="DO27" s="255">
        <f t="shared" si="46"/>
        <v>7.3333333333333332E-3</v>
      </c>
      <c r="DQ27" s="258" t="e">
        <f>((((IF($R$5=0,$R$6,$R$5)))/(12*$R$19))+(((3*$R$15)/(2*IF($R$5=0,$R$6,$R$5)*$U$5*$R$19))*'IN-OUT'!$F$15))*'Burland damage classification'!DU27</f>
        <v>#DIV/0!</v>
      </c>
      <c r="DR27" s="262">
        <f>(1+(((IF($R$5=0,$R$6^2,$R$5^2))*$U$5)/(18*$R$15))*('IN-OUT'!$F$15^(-1)))*DV27</f>
        <v>1.9741664907837264E-3</v>
      </c>
      <c r="DS27" s="254" t="e">
        <f t="shared" si="23"/>
        <v>#DIV/0!</v>
      </c>
      <c r="DT27" s="254" t="e">
        <f t="shared" si="47"/>
        <v>#DIV/0!</v>
      </c>
      <c r="DU27" s="254">
        <f t="shared" si="71"/>
        <v>1.9266666666666672E-3</v>
      </c>
      <c r="DV27" s="270">
        <f t="shared" si="24"/>
        <v>1.9741664907837264E-3</v>
      </c>
      <c r="DW27" s="253">
        <f t="shared" si="72"/>
        <v>7.3333333333333331E-5</v>
      </c>
      <c r="DX27" s="255">
        <f t="shared" si="48"/>
        <v>7.3333333333333332E-3</v>
      </c>
      <c r="EE27" s="193"/>
    </row>
    <row r="28" spans="8:167" ht="13.8" thickBot="1">
      <c r="H28" s="1210" t="s">
        <v>231</v>
      </c>
      <c r="I28" s="1211"/>
      <c r="J28" s="1211"/>
      <c r="K28" s="1211"/>
      <c r="L28" s="1211"/>
      <c r="M28" s="1211"/>
      <c r="P28" s="129">
        <f>IF(AND('IN-OUT'!$D$13&gt;0,'IN-OUT'!$D$13&lt;=1.99),'Burland damage classification'!S28,IF(AND('IN-OUT'!$D$13&gt;=2,'IN-OUT'!$D$13&lt;=3.99),'Burland damage classification'!S28/1.25,IF(AND('IN-OUT'!$D$13&gt;=4,'IN-OUT'!$D$13&lt;=5.99),'Burland damage classification'!S28/1.5,IF(AND('IN-OUT'!$D$13&gt;=6,'IN-OUT'!$D$13&lt;=7.99),'Burland damage classification'!S28/1.75,IF(AND('IN-OUT'!$D$13&gt;=8,'IN-OUT'!$D$13&lt;=10),'Burland damage classification'!S28/2)))))</f>
        <v>2E-3</v>
      </c>
      <c r="Q28" s="186">
        <v>3</v>
      </c>
      <c r="S28" s="710">
        <v>3.0000000000000001E-3</v>
      </c>
      <c r="V28" s="258">
        <f>(((IF($P$5&lt;&gt;0,$P$5,IF($P$6&lt;&gt;0,$P$6,IF($P$7&lt;&gt;0,$P$7,0))))/(12*$P$19))+(((3*$P$15)/(2*(IF($P$5&lt;&gt;0,$P$5,IF($P$6&lt;&gt;0,$P$6,IF($P$7&lt;&gt;0,$P$7,0))))*$U$5*$P$19))*'IN-OUT'!$F$15))*'Burland damage classification'!Z28</f>
        <v>8.1323857674049085E-4</v>
      </c>
      <c r="W28" s="262">
        <f>(1+(((IF($P$5&lt;&gt;0,$P$5^2,IF($P$6&lt;&gt;0,$P$6^2,IF($P$7&lt;&gt;0,$P$7^2))))*$U$5)/(18*$P$15))*('IN-OUT'!$F$15^(-1)))*AA28</f>
        <v>3.2119613174119374E-4</v>
      </c>
      <c r="X28" s="262">
        <f t="shared" si="1"/>
        <v>3.2119613174119374E-4</v>
      </c>
      <c r="Y28" s="262">
        <f t="shared" si="25"/>
        <v>3.2119613174119377E-2</v>
      </c>
      <c r="Z28" s="916">
        <f t="shared" si="49"/>
        <v>2.5333333333333355E-4</v>
      </c>
      <c r="AA28" s="270">
        <f t="shared" si="2"/>
        <v>3.0404678002643682E-4</v>
      </c>
      <c r="AB28" s="270">
        <f t="shared" si="50"/>
        <v>7.9999999999999993E-5</v>
      </c>
      <c r="AC28" s="271">
        <f t="shared" si="26"/>
        <v>8.0000000000000002E-3</v>
      </c>
      <c r="AE28" s="258">
        <f>(((IF($P$5&lt;&gt;0,$P$5,IF($P$6&lt;&gt;0,$P$6,IF($P$7&lt;&gt;0,$P$7,0))))/(12*$P$19))+(((3*$P$15)/(2*(IF($P$5&lt;&gt;0,$P$5,IF($P$6&lt;&gt;0,$P$6,IF($P$7&lt;&gt;0,$P$7,0))))*$U$5*$P$19))*'IN-OUT'!$F$15))*'Burland damage classification'!AI28</f>
        <v>1.3482639561750239E-3</v>
      </c>
      <c r="AF28" s="254">
        <f>(1+(((IF($P$5&lt;&gt;0,$P$5^2,IF($P$6&lt;&gt;0,$P$6^2,IF($P$7&lt;&gt;0,$P$7^2))))*$U$5)/(18*$P$15))*('IN-OUT'!$F$15^(-1)))*AJ28</f>
        <v>4.9774440288371819E-4</v>
      </c>
      <c r="AG28" s="254">
        <f t="shared" si="3"/>
        <v>4.9774440288371819E-4</v>
      </c>
      <c r="AH28" s="254">
        <f t="shared" si="27"/>
        <v>4.9774440288371816E-2</v>
      </c>
      <c r="AI28" s="254">
        <f t="shared" si="51"/>
        <v>4.2000000000000023E-4</v>
      </c>
      <c r="AJ28" s="253">
        <f t="shared" si="4"/>
        <v>4.7116875957558987E-4</v>
      </c>
      <c r="AK28" s="253">
        <f t="shared" si="52"/>
        <v>7.9999999999999993E-5</v>
      </c>
      <c r="AL28" s="255">
        <f t="shared" si="28"/>
        <v>8.0000000000000002E-3</v>
      </c>
      <c r="AN28" s="258">
        <f>(((IF($P$5&lt;&gt;0,$P$5,IF($P$6&lt;&gt;0,$P$6,IF($P$7&lt;&gt;0,$P$7,0))))/(12*$P$19))+(((3*$P$15)/(2*(IF($P$5&lt;&gt;0,$P$5,IF($P$6&lt;&gt;0,$P$6,IF($P$7&lt;&gt;0,$P$7,0))))*$U$5*$P$19))*'IN-OUT'!$F$15))*'Burland damage classification'!AR28</f>
        <v>2.953340094478622E-3</v>
      </c>
      <c r="AO28" s="254">
        <f>(1+(((IF($P$5&lt;&gt;0,$P$5^2,IF($P$6&lt;&gt;0,$P$6^2,IF($P$7&lt;&gt;0,$P$7^2))))*$U$5)/(18*$P$15))*('IN-OUT'!$F$15^(-1)))*AS28</f>
        <v>1.0263982313931551E-3</v>
      </c>
      <c r="AP28" s="254">
        <f t="shared" si="5"/>
        <v>1.0263982313931551E-3</v>
      </c>
      <c r="AQ28" s="254">
        <f t="shared" si="29"/>
        <v>0.10263982313931551</v>
      </c>
      <c r="AR28" s="254">
        <f t="shared" si="53"/>
        <v>9.1999999999999992E-4</v>
      </c>
      <c r="AS28" s="253">
        <f t="shared" si="6"/>
        <v>9.7159662411928948E-4</v>
      </c>
      <c r="AT28" s="253">
        <f t="shared" si="54"/>
        <v>7.9999999999999993E-5</v>
      </c>
      <c r="AU28" s="255">
        <f t="shared" si="30"/>
        <v>8.0000000000000002E-3</v>
      </c>
      <c r="AW28" s="258">
        <f>(((IF($P$5&lt;&gt;0,$P$5,IF($P$6&lt;&gt;0,$P$6,IF($P$7&lt;&gt;0,$P$7,0))))/(12*$P$19))+(((3*$P$15)/(2*(IF($P$5&lt;&gt;0,$P$5,IF($P$6&lt;&gt;0,$P$6,IF($P$7&lt;&gt;0,$P$7,0))))*$U$5*$P$19))*'IN-OUT'!$F$15))*'Burland damage classification'!BA28</f>
        <v>6.1634923710858214E-3</v>
      </c>
      <c r="AX28" s="254">
        <f>(1+(((IF($P$5&lt;&gt;0,$P$5^2,IF($P$6&lt;&gt;0,$P$6^2,IF($P$7&lt;&gt;0,$P$7^2))))*$U$5)/(18*$P$15))*('IN-OUT'!$F$15^(-1)))*BB28</f>
        <v>2.0830180151946423E-3</v>
      </c>
      <c r="AY28" s="254">
        <f t="shared" si="7"/>
        <v>2.0830180151946423E-3</v>
      </c>
      <c r="AZ28" s="254">
        <f t="shared" si="31"/>
        <v>0.20830180151946423</v>
      </c>
      <c r="BA28" s="254">
        <f t="shared" si="55"/>
        <v>1.9200000000000005E-3</v>
      </c>
      <c r="BB28" s="270">
        <f t="shared" si="8"/>
        <v>1.971801207018598E-3</v>
      </c>
      <c r="BC28" s="253">
        <f t="shared" si="56"/>
        <v>7.9999999999999993E-5</v>
      </c>
      <c r="BD28" s="255">
        <f t="shared" si="32"/>
        <v>8.0000000000000002E-3</v>
      </c>
      <c r="BF28" s="258" t="e">
        <f>((((IF($Q$5=0,$Q$6,$Q$5)))/(12*$Q$19))+(((3*$Q$15)/(2*IF($Q$5=0,$Q$6,$Q$5)*$U$5*$Q$19))*'IN-OUT'!$F$15))*'Burland damage classification'!BJ28</f>
        <v>#DIV/0!</v>
      </c>
      <c r="BG28" s="262">
        <f>(1+(((IF($Q$5=0,$Q$6^2,$Q$5^2))*$U$5)/(18*$Q$15))*('IN-OUT'!$F$15^(-1)))*BK28</f>
        <v>3.0404678002643682E-4</v>
      </c>
      <c r="BH28" s="262" t="e">
        <f t="shared" si="9"/>
        <v>#DIV/0!</v>
      </c>
      <c r="BI28" s="262" t="e">
        <f t="shared" si="33"/>
        <v>#DIV/0!</v>
      </c>
      <c r="BJ28" s="262">
        <f t="shared" si="57"/>
        <v>2.5333333333333355E-4</v>
      </c>
      <c r="BK28" s="270">
        <f t="shared" si="10"/>
        <v>3.0404678002643682E-4</v>
      </c>
      <c r="BL28" s="270">
        <f t="shared" si="58"/>
        <v>7.9999999999999993E-5</v>
      </c>
      <c r="BM28" s="271">
        <f t="shared" si="34"/>
        <v>8.0000000000000002E-3</v>
      </c>
      <c r="BO28" s="258" t="e">
        <f>((((IF($Q$5=0,$Q$6,$Q$5)))/(12*$Q$19))+(((3*$Q$15)/(2*IF($Q$5=0,$Q$6,$Q$5)*$U$5*$Q$19))*'IN-OUT'!$F$15))*'Burland damage classification'!BS28</f>
        <v>#DIV/0!</v>
      </c>
      <c r="BP28" s="262">
        <f>(1+(((IF($Q$5=0,$Q$6^2,$Q$5^2))*$U$5)/(18*$Q$15))*('IN-OUT'!$F$15^(-1)))*BT28</f>
        <v>4.7116875957558987E-4</v>
      </c>
      <c r="BQ28" s="254" t="e">
        <f t="shared" si="11"/>
        <v>#DIV/0!</v>
      </c>
      <c r="BR28" s="254" t="e">
        <f t="shared" si="35"/>
        <v>#DIV/0!</v>
      </c>
      <c r="BS28" s="254">
        <f t="shared" si="59"/>
        <v>4.2000000000000023E-4</v>
      </c>
      <c r="BT28" s="253">
        <f t="shared" si="12"/>
        <v>4.7116875957558987E-4</v>
      </c>
      <c r="BU28" s="253">
        <f t="shared" si="60"/>
        <v>7.9999999999999993E-5</v>
      </c>
      <c r="BV28" s="255">
        <f t="shared" si="36"/>
        <v>8.0000000000000002E-3</v>
      </c>
      <c r="BX28" s="258" t="e">
        <f>((((IF($Q$5=0,$Q$6,$Q$5)))/(12*$Q$19))+(((3*$Q$15)/(2*IF($Q$5=0,$Q$6,$Q$5)*$U$5*$Q$19))*'IN-OUT'!$F$15))*'Burland damage classification'!CB28</f>
        <v>#DIV/0!</v>
      </c>
      <c r="BY28" s="262">
        <f>(1+(((IF($Q$5=0,$Q$6^2,$Q$5^2))*$U$5)/(18*$Q$15))*('IN-OUT'!$F$15^(-1)))*CC28</f>
        <v>9.7159662411928948E-4</v>
      </c>
      <c r="BZ28" s="254" t="e">
        <f t="shared" si="13"/>
        <v>#DIV/0!</v>
      </c>
      <c r="CA28" s="254" t="e">
        <f t="shared" si="37"/>
        <v>#DIV/0!</v>
      </c>
      <c r="CB28" s="254">
        <f t="shared" si="61"/>
        <v>9.1999999999999992E-4</v>
      </c>
      <c r="CC28" s="253">
        <f t="shared" si="14"/>
        <v>9.7159662411928948E-4</v>
      </c>
      <c r="CD28" s="253">
        <f t="shared" si="62"/>
        <v>7.9999999999999993E-5</v>
      </c>
      <c r="CE28" s="255">
        <f t="shared" si="38"/>
        <v>8.0000000000000002E-3</v>
      </c>
      <c r="CG28" s="258" t="e">
        <f>((((IF($Q$5=0,$Q$6,$Q$5)))/(12*$Q$19))+(((3*$Q$15)/(2*IF($Q$5=0,$Q$6,$Q$5)*$U$5*$Q$19))*'IN-OUT'!$F$15))*'Burland damage classification'!CK28</f>
        <v>#DIV/0!</v>
      </c>
      <c r="CH28" s="262">
        <f>(1+(((IF($Q$5=0,$Q$6^2,$Q$5^2))*$U$5)/(18*$Q$15))*('IN-OUT'!$F$15^(-1)))*CL28</f>
        <v>1.971801207018598E-3</v>
      </c>
      <c r="CI28" s="254" t="e">
        <f t="shared" si="15"/>
        <v>#DIV/0!</v>
      </c>
      <c r="CJ28" s="254" t="e">
        <f t="shared" si="39"/>
        <v>#DIV/0!</v>
      </c>
      <c r="CK28" s="254">
        <f t="shared" si="63"/>
        <v>1.9200000000000005E-3</v>
      </c>
      <c r="CL28" s="270">
        <f t="shared" si="16"/>
        <v>1.971801207018598E-3</v>
      </c>
      <c r="CM28" s="253">
        <f t="shared" si="64"/>
        <v>7.9999999999999993E-5</v>
      </c>
      <c r="CN28" s="255">
        <f t="shared" si="40"/>
        <v>8.0000000000000002E-3</v>
      </c>
      <c r="CP28" s="258" t="e">
        <f>((((IF($R$5=0,$R$6,$R$5)))/(12*$R$19))+(((3*$R$15)/(2*IF($R$5=0,$R$6,$R$5)*$U$5*$R$19))*'IN-OUT'!$F$15))*'Burland damage classification'!CT28</f>
        <v>#DIV/0!</v>
      </c>
      <c r="CQ28" s="262">
        <f>(1+(((IF($R$5=0,$R$6^2,$R$5^2))*$U$5)/(18*$R$15))*('IN-OUT'!$F$15^(-1)))*CU28</f>
        <v>3.0404678002643682E-4</v>
      </c>
      <c r="CR28" s="262" t="e">
        <f t="shared" si="17"/>
        <v>#DIV/0!</v>
      </c>
      <c r="CS28" s="262" t="e">
        <f t="shared" si="41"/>
        <v>#DIV/0!</v>
      </c>
      <c r="CT28" s="262">
        <f t="shared" si="65"/>
        <v>2.5333333333333355E-4</v>
      </c>
      <c r="CU28" s="270">
        <f t="shared" si="18"/>
        <v>3.0404678002643682E-4</v>
      </c>
      <c r="CV28" s="270">
        <f t="shared" si="66"/>
        <v>7.9999999999999993E-5</v>
      </c>
      <c r="CW28" s="271">
        <f t="shared" si="42"/>
        <v>8.0000000000000002E-3</v>
      </c>
      <c r="CY28" s="258" t="e">
        <f>((((IF($R$5=0,$R$6,$R$5)))/(12*$R$19))+(((3*$R$15)/(2*IF($R$5=0,$R$6,$R$5)*$U$5*$R$19))*'IN-OUT'!$F$15))*'Burland damage classification'!DC28</f>
        <v>#DIV/0!</v>
      </c>
      <c r="CZ28" s="262">
        <f>(1+(((IF($R$5=0,$R$6^2,$R$5^2))*$U$5)/(18*$R$15))*('IN-OUT'!$F$15^(-1)))*DD28</f>
        <v>4.7116875957558987E-4</v>
      </c>
      <c r="DA28" s="254" t="e">
        <f t="shared" si="19"/>
        <v>#DIV/0!</v>
      </c>
      <c r="DB28" s="254" t="e">
        <f t="shared" si="43"/>
        <v>#DIV/0!</v>
      </c>
      <c r="DC28" s="254">
        <f t="shared" si="67"/>
        <v>4.2000000000000023E-4</v>
      </c>
      <c r="DD28" s="253">
        <f t="shared" si="20"/>
        <v>4.7116875957558987E-4</v>
      </c>
      <c r="DE28" s="253">
        <f t="shared" si="68"/>
        <v>7.9999999999999993E-5</v>
      </c>
      <c r="DF28" s="255">
        <f t="shared" si="44"/>
        <v>8.0000000000000002E-3</v>
      </c>
      <c r="DH28" s="258" t="e">
        <f>((((IF($R$5=0,$R$6,$R$5)))/(12*$R$19))+(((3*$R$15)/(2*IF($R$5=0,$R$6,$R$5)*$U$5*$R$19))*'IN-OUT'!$F$15))*'Burland damage classification'!DL28</f>
        <v>#DIV/0!</v>
      </c>
      <c r="DI28" s="262">
        <f>(1+(((IF($R$5=0,$R$6^2,$R$5^2))*$U$5)/(18*$R$15))*('IN-OUT'!$F$15^(-1)))*DM28</f>
        <v>9.7159662411928948E-4</v>
      </c>
      <c r="DJ28" s="254" t="e">
        <f t="shared" si="21"/>
        <v>#DIV/0!</v>
      </c>
      <c r="DK28" s="254" t="e">
        <f t="shared" si="45"/>
        <v>#DIV/0!</v>
      </c>
      <c r="DL28" s="254">
        <f t="shared" si="69"/>
        <v>9.1999999999999992E-4</v>
      </c>
      <c r="DM28" s="253">
        <f t="shared" si="22"/>
        <v>9.7159662411928948E-4</v>
      </c>
      <c r="DN28" s="253">
        <f t="shared" si="70"/>
        <v>7.9999999999999993E-5</v>
      </c>
      <c r="DO28" s="255">
        <f t="shared" si="46"/>
        <v>8.0000000000000002E-3</v>
      </c>
      <c r="DQ28" s="258" t="e">
        <f>((((IF($R$5=0,$R$6,$R$5)))/(12*$R$19))+(((3*$R$15)/(2*IF($R$5=0,$R$6,$R$5)*$U$5*$R$19))*'IN-OUT'!$F$15))*'Burland damage classification'!DU28</f>
        <v>#DIV/0!</v>
      </c>
      <c r="DR28" s="262">
        <f>(1+(((IF($R$5=0,$R$6^2,$R$5^2))*$U$5)/(18*$R$15))*('IN-OUT'!$F$15^(-1)))*DV28</f>
        <v>1.971801207018598E-3</v>
      </c>
      <c r="DS28" s="254" t="e">
        <f t="shared" si="23"/>
        <v>#DIV/0!</v>
      </c>
      <c r="DT28" s="254" t="e">
        <f t="shared" si="47"/>
        <v>#DIV/0!</v>
      </c>
      <c r="DU28" s="254">
        <f t="shared" si="71"/>
        <v>1.9200000000000005E-3</v>
      </c>
      <c r="DV28" s="270">
        <f t="shared" si="24"/>
        <v>1.971801207018598E-3</v>
      </c>
      <c r="DW28" s="253">
        <f t="shared" si="72"/>
        <v>7.9999999999999993E-5</v>
      </c>
      <c r="DX28" s="255">
        <f t="shared" si="48"/>
        <v>8.0000000000000002E-3</v>
      </c>
      <c r="ED28" s="1181" t="s">
        <v>22</v>
      </c>
      <c r="EE28" s="1182"/>
      <c r="EF28" s="1183"/>
      <c r="EG28" s="1184" t="s">
        <v>23</v>
      </c>
      <c r="EH28" s="1182"/>
      <c r="EI28" s="1183"/>
      <c r="EK28" s="1214" t="s">
        <v>246</v>
      </c>
      <c r="EL28" s="1223"/>
      <c r="EM28" s="1127"/>
    </row>
    <row r="29" spans="8:167" ht="13.8" thickBot="1">
      <c r="H29" s="290">
        <f>IF(AND($D$7&lt;1000,$D$8&lt;1000),0,IF(AND($G$7&lt;$D$5,$G$8&lt;=$D$5),ABS($G$7-$G$8),0))</f>
        <v>0</v>
      </c>
      <c r="I29" s="291" t="str">
        <f>IF((H29&lt;&gt;0),$G$7,"")</f>
        <v/>
      </c>
      <c r="J29" s="291" t="str">
        <f>IF((H29&lt;&gt;0),$G$8,"")</f>
        <v/>
      </c>
      <c r="K29" s="375"/>
      <c r="L29" s="375"/>
      <c r="M29" s="376"/>
      <c r="P29" s="337" t="str">
        <f>+"&gt;"&amp;P28</f>
        <v>&gt;0.002</v>
      </c>
      <c r="Q29" s="338" t="s">
        <v>11</v>
      </c>
      <c r="S29" s="708"/>
      <c r="V29" s="258">
        <f>(((IF($P$5&lt;&gt;0,$P$5,IF($P$6&lt;&gt;0,$P$6,IF($P$7&lt;&gt;0,$P$7,0))))/(12*$P$19))+(((3*$P$15)/(2*(IF($P$5&lt;&gt;0,$P$5,IF($P$6&lt;&gt;0,$P$6,IF($P$7&lt;&gt;0,$P$7,0))))*$U$5*$P$19))*'IN-OUT'!$F$15))*'Burland damage classification'!Z29</f>
        <v>7.9183756156310959E-4</v>
      </c>
      <c r="W29" s="262">
        <f>(1+(((IF($P$5&lt;&gt;0,$P$5^2,IF($P$6&lt;&gt;0,$P$6^2,IF($P$7&lt;&gt;0,$P$7^2))))*$U$5)/(18*$P$15))*('IN-OUT'!$F$15^(-1)))*AA29</f>
        <v>3.1848229562861916E-4</v>
      </c>
      <c r="X29" s="262">
        <f t="shared" si="1"/>
        <v>3.1848229562861916E-4</v>
      </c>
      <c r="Y29" s="262">
        <f t="shared" si="25"/>
        <v>3.1848229562861916E-2</v>
      </c>
      <c r="Z29" s="916">
        <f t="shared" si="49"/>
        <v>2.466666666666669E-4</v>
      </c>
      <c r="AA29" s="270">
        <f t="shared" si="2"/>
        <v>3.0147784145586703E-4</v>
      </c>
      <c r="AB29" s="270">
        <f t="shared" si="50"/>
        <v>8.6666666666666655E-5</v>
      </c>
      <c r="AC29" s="271">
        <f t="shared" si="26"/>
        <v>8.6666666666666663E-3</v>
      </c>
      <c r="AE29" s="258">
        <f>(((IF($P$5&lt;&gt;0,$P$5,IF($P$6&lt;&gt;0,$P$6,IF($P$7&lt;&gt;0,$P$7,0))))/(12*$P$19))+(((3*$P$15)/(2*(IF($P$5&lt;&gt;0,$P$5,IF($P$6&lt;&gt;0,$P$6,IF($P$7&lt;&gt;0,$P$7,0))))*$U$5*$P$19))*'IN-OUT'!$F$15))*'Burland damage classification'!AI29</f>
        <v>1.3268629409976427E-3</v>
      </c>
      <c r="AF29" s="254">
        <f>(1+(((IF($P$5&lt;&gt;0,$P$5^2,IF($P$6&lt;&gt;0,$P$6^2,IF($P$7&lt;&gt;0,$P$7^2))))*$U$5)/(18*$P$15))*('IN-OUT'!$F$15^(-1)))*AJ29</f>
        <v>4.9512171935507177E-4</v>
      </c>
      <c r="AG29" s="254">
        <f t="shared" si="3"/>
        <v>4.9512171935507177E-4</v>
      </c>
      <c r="AH29" s="254">
        <f t="shared" si="27"/>
        <v>4.9512171935507179E-2</v>
      </c>
      <c r="AI29" s="254">
        <f t="shared" si="51"/>
        <v>4.1333333333333359E-4</v>
      </c>
      <c r="AJ29" s="253">
        <f t="shared" si="4"/>
        <v>4.6868610675660812E-4</v>
      </c>
      <c r="AK29" s="253">
        <f t="shared" si="52"/>
        <v>8.6666666666666655E-5</v>
      </c>
      <c r="AL29" s="255">
        <f t="shared" si="28"/>
        <v>8.6666666666666663E-3</v>
      </c>
      <c r="AN29" s="258">
        <f>(((IF($P$5&lt;&gt;0,$P$5,IF($P$6&lt;&gt;0,$P$6,IF($P$7&lt;&gt;0,$P$7,0))))/(12*$P$19))+(((3*$P$15)/(2*(IF($P$5&lt;&gt;0,$P$5,IF($P$6&lt;&gt;0,$P$6,IF($P$7&lt;&gt;0,$P$7,0))))*$U$5*$P$19))*'IN-OUT'!$F$15))*'Burland damage classification'!AR29</f>
        <v>2.9319390793012406E-3</v>
      </c>
      <c r="AO29" s="254">
        <f>(1+(((IF($P$5&lt;&gt;0,$P$5^2,IF($P$6&lt;&gt;0,$P$6^2,IF($P$7&lt;&gt;0,$P$7^2))))*$U$5)/(18*$P$15))*('IN-OUT'!$F$15^(-1)))*AS29</f>
        <v>1.0238580869227451E-3</v>
      </c>
      <c r="AP29" s="254">
        <f t="shared" si="5"/>
        <v>1.0238580869227451E-3</v>
      </c>
      <c r="AQ29" s="254">
        <f t="shared" si="29"/>
        <v>0.10238580869227451</v>
      </c>
      <c r="AR29" s="254">
        <f t="shared" si="53"/>
        <v>9.1333333333333327E-4</v>
      </c>
      <c r="AS29" s="253">
        <f t="shared" si="6"/>
        <v>9.6919210342085089E-4</v>
      </c>
      <c r="AT29" s="253">
        <f t="shared" si="54"/>
        <v>8.6666666666666655E-5</v>
      </c>
      <c r="AU29" s="255">
        <f t="shared" si="30"/>
        <v>8.6666666666666663E-3</v>
      </c>
      <c r="AW29" s="258">
        <f>(((IF($P$5&lt;&gt;0,$P$5,IF($P$6&lt;&gt;0,$P$6,IF($P$7&lt;&gt;0,$P$7,0))))/(12*$P$19))+(((3*$P$15)/(2*(IF($P$5&lt;&gt;0,$P$5,IF($P$6&lt;&gt;0,$P$6,IF($P$7&lt;&gt;0,$P$7,0))))*$U$5*$P$19))*'IN-OUT'!$F$15))*'Burland damage classification'!BA29</f>
        <v>6.1420913559084396E-3</v>
      </c>
      <c r="AX29" s="254">
        <f>(1+(((IF($P$5&lt;&gt;0,$P$5^2,IF($P$6&lt;&gt;0,$P$6^2,IF($P$7&lt;&gt;0,$P$7^2))))*$U$5)/(18*$P$15))*('IN-OUT'!$F$15^(-1)))*BB29</f>
        <v>2.080516319841217E-3</v>
      </c>
      <c r="AY29" s="254">
        <f t="shared" si="7"/>
        <v>2.080516319841217E-3</v>
      </c>
      <c r="AZ29" s="254">
        <f t="shared" si="31"/>
        <v>0.20805163198412169</v>
      </c>
      <c r="BA29" s="254">
        <f t="shared" si="55"/>
        <v>1.9133333333333337E-3</v>
      </c>
      <c r="BB29" s="270">
        <f t="shared" si="8"/>
        <v>1.969433082556162E-3</v>
      </c>
      <c r="BC29" s="253">
        <f t="shared" si="56"/>
        <v>8.6666666666666655E-5</v>
      </c>
      <c r="BD29" s="255">
        <f t="shared" si="32"/>
        <v>8.6666666666666663E-3</v>
      </c>
      <c r="BF29" s="258" t="e">
        <f>((((IF($Q$5=0,$Q$6,$Q$5)))/(12*$Q$19))+(((3*$Q$15)/(2*IF($Q$5=0,$Q$6,$Q$5)*$U$5*$Q$19))*'IN-OUT'!$F$15))*'Burland damage classification'!BJ29</f>
        <v>#DIV/0!</v>
      </c>
      <c r="BG29" s="262">
        <f>(1+(((IF($Q$5=0,$Q$6^2,$Q$5^2))*$U$5)/(18*$Q$15))*('IN-OUT'!$F$15^(-1)))*BK29</f>
        <v>3.0147784145586703E-4</v>
      </c>
      <c r="BH29" s="262" t="e">
        <f t="shared" si="9"/>
        <v>#DIV/0!</v>
      </c>
      <c r="BI29" s="262" t="e">
        <f t="shared" si="33"/>
        <v>#DIV/0!</v>
      </c>
      <c r="BJ29" s="262">
        <f t="shared" si="57"/>
        <v>2.466666666666669E-4</v>
      </c>
      <c r="BK29" s="270">
        <f t="shared" si="10"/>
        <v>3.0147784145586703E-4</v>
      </c>
      <c r="BL29" s="270">
        <f t="shared" si="58"/>
        <v>8.6666666666666655E-5</v>
      </c>
      <c r="BM29" s="271">
        <f t="shared" si="34"/>
        <v>8.6666666666666663E-3</v>
      </c>
      <c r="BO29" s="258" t="e">
        <f>((((IF($Q$5=0,$Q$6,$Q$5)))/(12*$Q$19))+(((3*$Q$15)/(2*IF($Q$5=0,$Q$6,$Q$5)*$U$5*$Q$19))*'IN-OUT'!$F$15))*'Burland damage classification'!BS29</f>
        <v>#DIV/0!</v>
      </c>
      <c r="BP29" s="262">
        <f>(1+(((IF($Q$5=0,$Q$6^2,$Q$5^2))*$U$5)/(18*$Q$15))*('IN-OUT'!$F$15^(-1)))*BT29</f>
        <v>4.6868610675660812E-4</v>
      </c>
      <c r="BQ29" s="254" t="e">
        <f t="shared" si="11"/>
        <v>#DIV/0!</v>
      </c>
      <c r="BR29" s="254" t="e">
        <f t="shared" si="35"/>
        <v>#DIV/0!</v>
      </c>
      <c r="BS29" s="254">
        <f t="shared" si="59"/>
        <v>4.1333333333333359E-4</v>
      </c>
      <c r="BT29" s="253">
        <f t="shared" si="12"/>
        <v>4.6868610675660812E-4</v>
      </c>
      <c r="BU29" s="253">
        <f t="shared" si="60"/>
        <v>8.6666666666666655E-5</v>
      </c>
      <c r="BV29" s="255">
        <f t="shared" si="36"/>
        <v>8.6666666666666663E-3</v>
      </c>
      <c r="BX29" s="258" t="e">
        <f>((((IF($Q$5=0,$Q$6,$Q$5)))/(12*$Q$19))+(((3*$Q$15)/(2*IF($Q$5=0,$Q$6,$Q$5)*$U$5*$Q$19))*'IN-OUT'!$F$15))*'Burland damage classification'!CB29</f>
        <v>#DIV/0!</v>
      </c>
      <c r="BY29" s="262">
        <f>(1+(((IF($Q$5=0,$Q$6^2,$Q$5^2))*$U$5)/(18*$Q$15))*('IN-OUT'!$F$15^(-1)))*CC29</f>
        <v>9.6919210342085089E-4</v>
      </c>
      <c r="BZ29" s="254" t="e">
        <f t="shared" si="13"/>
        <v>#DIV/0!</v>
      </c>
      <c r="CA29" s="254" t="e">
        <f t="shared" si="37"/>
        <v>#DIV/0!</v>
      </c>
      <c r="CB29" s="254">
        <f t="shared" si="61"/>
        <v>9.1333333333333327E-4</v>
      </c>
      <c r="CC29" s="253">
        <f t="shared" si="14"/>
        <v>9.6919210342085089E-4</v>
      </c>
      <c r="CD29" s="253">
        <f t="shared" si="62"/>
        <v>8.6666666666666655E-5</v>
      </c>
      <c r="CE29" s="255">
        <f t="shared" si="38"/>
        <v>8.6666666666666663E-3</v>
      </c>
      <c r="CG29" s="258" t="e">
        <f>((((IF($Q$5=0,$Q$6,$Q$5)))/(12*$Q$19))+(((3*$Q$15)/(2*IF($Q$5=0,$Q$6,$Q$5)*$U$5*$Q$19))*'IN-OUT'!$F$15))*'Burland damage classification'!CK29</f>
        <v>#DIV/0!</v>
      </c>
      <c r="CH29" s="262">
        <f>(1+(((IF($Q$5=0,$Q$6^2,$Q$5^2))*$U$5)/(18*$Q$15))*('IN-OUT'!$F$15^(-1)))*CL29</f>
        <v>1.969433082556162E-3</v>
      </c>
      <c r="CI29" s="254" t="e">
        <f t="shared" si="15"/>
        <v>#DIV/0!</v>
      </c>
      <c r="CJ29" s="254" t="e">
        <f t="shared" si="39"/>
        <v>#DIV/0!</v>
      </c>
      <c r="CK29" s="254">
        <f t="shared" si="63"/>
        <v>1.9133333333333337E-3</v>
      </c>
      <c r="CL29" s="270">
        <f t="shared" si="16"/>
        <v>1.969433082556162E-3</v>
      </c>
      <c r="CM29" s="253">
        <f t="shared" si="64"/>
        <v>8.6666666666666655E-5</v>
      </c>
      <c r="CN29" s="255">
        <f t="shared" si="40"/>
        <v>8.6666666666666663E-3</v>
      </c>
      <c r="CP29" s="258" t="e">
        <f>((((IF($R$5=0,$R$6,$R$5)))/(12*$R$19))+(((3*$R$15)/(2*IF($R$5=0,$R$6,$R$5)*$U$5*$R$19))*'IN-OUT'!$F$15))*'Burland damage classification'!CT29</f>
        <v>#DIV/0!</v>
      </c>
      <c r="CQ29" s="262">
        <f>(1+(((IF($R$5=0,$R$6^2,$R$5^2))*$U$5)/(18*$R$15))*('IN-OUT'!$F$15^(-1)))*CU29</f>
        <v>3.0147784145586703E-4</v>
      </c>
      <c r="CR29" s="262" t="e">
        <f t="shared" si="17"/>
        <v>#DIV/0!</v>
      </c>
      <c r="CS29" s="262" t="e">
        <f t="shared" si="41"/>
        <v>#DIV/0!</v>
      </c>
      <c r="CT29" s="262">
        <f t="shared" si="65"/>
        <v>2.466666666666669E-4</v>
      </c>
      <c r="CU29" s="270">
        <f t="shared" si="18"/>
        <v>3.0147784145586703E-4</v>
      </c>
      <c r="CV29" s="270">
        <f t="shared" si="66"/>
        <v>8.6666666666666655E-5</v>
      </c>
      <c r="CW29" s="271">
        <f t="shared" si="42"/>
        <v>8.6666666666666663E-3</v>
      </c>
      <c r="CY29" s="258" t="e">
        <f>((((IF($R$5=0,$R$6,$R$5)))/(12*$R$19))+(((3*$R$15)/(2*IF($R$5=0,$R$6,$R$5)*$U$5*$R$19))*'IN-OUT'!$F$15))*'Burland damage classification'!DC29</f>
        <v>#DIV/0!</v>
      </c>
      <c r="CZ29" s="262">
        <f>(1+(((IF($R$5=0,$R$6^2,$R$5^2))*$U$5)/(18*$R$15))*('IN-OUT'!$F$15^(-1)))*DD29</f>
        <v>4.6868610675660812E-4</v>
      </c>
      <c r="DA29" s="254" t="e">
        <f t="shared" si="19"/>
        <v>#DIV/0!</v>
      </c>
      <c r="DB29" s="254" t="e">
        <f t="shared" si="43"/>
        <v>#DIV/0!</v>
      </c>
      <c r="DC29" s="254">
        <f t="shared" si="67"/>
        <v>4.1333333333333359E-4</v>
      </c>
      <c r="DD29" s="253">
        <f t="shared" si="20"/>
        <v>4.6868610675660812E-4</v>
      </c>
      <c r="DE29" s="253">
        <f t="shared" si="68"/>
        <v>8.6666666666666655E-5</v>
      </c>
      <c r="DF29" s="255">
        <f t="shared" si="44"/>
        <v>8.6666666666666663E-3</v>
      </c>
      <c r="DH29" s="258" t="e">
        <f>((((IF($R$5=0,$R$6,$R$5)))/(12*$R$19))+(((3*$R$15)/(2*IF($R$5=0,$R$6,$R$5)*$U$5*$R$19))*'IN-OUT'!$F$15))*'Burland damage classification'!DL29</f>
        <v>#DIV/0!</v>
      </c>
      <c r="DI29" s="262">
        <f>(1+(((IF($R$5=0,$R$6^2,$R$5^2))*$U$5)/(18*$R$15))*('IN-OUT'!$F$15^(-1)))*DM29</f>
        <v>9.6919210342085089E-4</v>
      </c>
      <c r="DJ29" s="254" t="e">
        <f t="shared" si="21"/>
        <v>#DIV/0!</v>
      </c>
      <c r="DK29" s="254" t="e">
        <f t="shared" si="45"/>
        <v>#DIV/0!</v>
      </c>
      <c r="DL29" s="254">
        <f t="shared" si="69"/>
        <v>9.1333333333333327E-4</v>
      </c>
      <c r="DM29" s="253">
        <f t="shared" si="22"/>
        <v>9.6919210342085089E-4</v>
      </c>
      <c r="DN29" s="253">
        <f t="shared" si="70"/>
        <v>8.6666666666666655E-5</v>
      </c>
      <c r="DO29" s="255">
        <f t="shared" si="46"/>
        <v>8.6666666666666663E-3</v>
      </c>
      <c r="DQ29" s="258" t="e">
        <f>((((IF($R$5=0,$R$6,$R$5)))/(12*$R$19))+(((3*$R$15)/(2*IF($R$5=0,$R$6,$R$5)*$U$5*$R$19))*'IN-OUT'!$F$15))*'Burland damage classification'!DU29</f>
        <v>#DIV/0!</v>
      </c>
      <c r="DR29" s="262">
        <f>(1+(((IF($R$5=0,$R$6^2,$R$5^2))*$U$5)/(18*$R$15))*('IN-OUT'!$F$15^(-1)))*DV29</f>
        <v>1.969433082556162E-3</v>
      </c>
      <c r="DS29" s="254" t="e">
        <f t="shared" si="23"/>
        <v>#DIV/0!</v>
      </c>
      <c r="DT29" s="254" t="e">
        <f t="shared" si="47"/>
        <v>#DIV/0!</v>
      </c>
      <c r="DU29" s="254">
        <f t="shared" si="71"/>
        <v>1.9133333333333337E-3</v>
      </c>
      <c r="DV29" s="270">
        <f t="shared" si="24"/>
        <v>1.969433082556162E-3</v>
      </c>
      <c r="DW29" s="253">
        <f t="shared" si="72"/>
        <v>8.6666666666666655E-5</v>
      </c>
      <c r="DX29" s="255">
        <f t="shared" si="48"/>
        <v>8.6666666666666663E-3</v>
      </c>
      <c r="ED29" s="432" t="s">
        <v>257</v>
      </c>
      <c r="EE29" s="433" t="s">
        <v>258</v>
      </c>
      <c r="EF29" s="434" t="s">
        <v>259</v>
      </c>
      <c r="EG29" s="437" t="s">
        <v>257</v>
      </c>
      <c r="EH29" s="438" t="s">
        <v>258</v>
      </c>
      <c r="EI29" s="439" t="s">
        <v>260</v>
      </c>
      <c r="EK29" s="442" t="s">
        <v>257</v>
      </c>
      <c r="EL29" s="443" t="s">
        <v>258</v>
      </c>
      <c r="EM29" s="444" t="s">
        <v>261</v>
      </c>
    </row>
    <row r="30" spans="8:167" ht="14.4" thickBot="1">
      <c r="H30" s="294">
        <f>IF(AND(D7&lt;1000,D8&lt;1000),0,IF(AND($G$7&lt;$D$5,$G$8&gt;$D$5,$G$8&lt;=$D$6),ABS($G$7-$D$5),0))</f>
        <v>7.1986710000000009</v>
      </c>
      <c r="I30" s="288">
        <f>IF((H30&lt;&gt;0),$G$7,"")</f>
        <v>-22.198671000000001</v>
      </c>
      <c r="J30" s="288">
        <f>IF((H30&lt;&gt;0),$D$5,"")</f>
        <v>-15</v>
      </c>
      <c r="K30" s="372">
        <f>IF(AND(D7&lt;1000,D8&lt;1000),0,IF(AND($G$7&lt;$D$5,$G$8&gt;$D$5,$G$8&lt;=$D$6),ABS($D$5-$G$8),0))</f>
        <v>2.5115820000000006</v>
      </c>
      <c r="L30" s="288">
        <f>IF((K30&lt;&gt;0),$D$5,"")</f>
        <v>-15</v>
      </c>
      <c r="M30" s="295">
        <f>IF((K30&lt;&gt;0),$G$8,"")</f>
        <v>-12.488417999999999</v>
      </c>
      <c r="S30" s="503"/>
      <c r="V30" s="258">
        <f>(((IF($P$5&lt;&gt;0,$P$5,IF($P$6&lt;&gt;0,$P$6,IF($P$7&lt;&gt;0,$P$7,0))))/(12*$P$19))+(((3*$P$15)/(2*(IF($P$5&lt;&gt;0,$P$5,IF($P$6&lt;&gt;0,$P$6,IF($P$7&lt;&gt;0,$P$7,0))))*$U$5*$P$19))*'IN-OUT'!$F$15))*'Burland damage classification'!Z30</f>
        <v>7.7043654638572821E-4</v>
      </c>
      <c r="W30" s="262">
        <f>(1+(((IF($P$5&lt;&gt;0,$P$5^2,IF($P$6&lt;&gt;0,$P$6^2,IF($P$7&lt;&gt;0,$P$7^2))))*$U$5)/(18*$P$15))*('IN-OUT'!$F$15^(-1)))*AA30</f>
        <v>3.1574513489877252E-4</v>
      </c>
      <c r="X30" s="262">
        <f t="shared" si="1"/>
        <v>3.1574513489877252E-4</v>
      </c>
      <c r="Y30" s="262">
        <f t="shared" si="25"/>
        <v>3.1574513489877255E-2</v>
      </c>
      <c r="Z30" s="916">
        <f t="shared" si="49"/>
        <v>2.4000000000000022E-4</v>
      </c>
      <c r="AA30" s="270">
        <f t="shared" si="2"/>
        <v>2.9888682361946527E-4</v>
      </c>
      <c r="AB30" s="270">
        <f t="shared" si="50"/>
        <v>9.3333333333333316E-5</v>
      </c>
      <c r="AC30" s="271">
        <f t="shared" si="26"/>
        <v>9.3333333333333324E-3</v>
      </c>
      <c r="AE30" s="258">
        <f>(((IF($P$5&lt;&gt;0,$P$5,IF($P$6&lt;&gt;0,$P$6,IF($P$7&lt;&gt;0,$P$7,0))))/(12*$P$19))+(((3*$P$15)/(2*(IF($P$5&lt;&gt;0,$P$5,IF($P$6&lt;&gt;0,$P$6,IF($P$7&lt;&gt;0,$P$7,0))))*$U$5*$P$19))*'IN-OUT'!$F$15))*'Burland damage classification'!AI30</f>
        <v>1.3054619258202613E-3</v>
      </c>
      <c r="AF30" s="254">
        <f>(1+(((IF($P$5&lt;&gt;0,$P$5^2,IF($P$6&lt;&gt;0,$P$6^2,IF($P$7&lt;&gt;0,$P$7^2))))*$U$5)/(18*$P$15))*('IN-OUT'!$F$15^(-1)))*AJ30</f>
        <v>4.9248506916674728E-4</v>
      </c>
      <c r="AG30" s="254">
        <f t="shared" si="3"/>
        <v>4.9248506916674728E-4</v>
      </c>
      <c r="AH30" s="254">
        <f t="shared" si="27"/>
        <v>4.9248506916674727E-2</v>
      </c>
      <c r="AI30" s="254">
        <f t="shared" si="51"/>
        <v>4.0666666666666694E-4</v>
      </c>
      <c r="AJ30" s="253">
        <f t="shared" si="4"/>
        <v>4.6619023298792236E-4</v>
      </c>
      <c r="AK30" s="253">
        <f t="shared" si="52"/>
        <v>9.3333333333333316E-5</v>
      </c>
      <c r="AL30" s="255">
        <f t="shared" si="28"/>
        <v>9.3333333333333324E-3</v>
      </c>
      <c r="AN30" s="258">
        <f>(((IF($P$5&lt;&gt;0,$P$5,IF($P$6&lt;&gt;0,$P$6,IF($P$7&lt;&gt;0,$P$7,0))))/(12*$P$19))+(((3*$P$15)/(2*(IF($P$5&lt;&gt;0,$P$5,IF($P$6&lt;&gt;0,$P$6,IF($P$7&lt;&gt;0,$P$7,0))))*$U$5*$P$19))*'IN-OUT'!$F$15))*'Burland damage classification'!AR30</f>
        <v>2.9105380641238593E-3</v>
      </c>
      <c r="AO30" s="254">
        <f>(1+(((IF($P$5&lt;&gt;0,$P$5^2,IF($P$6&lt;&gt;0,$P$6^2,IF($P$7&lt;&gt;0,$P$7^2))))*$U$5)/(18*$P$15))*('IN-OUT'!$F$15^(-1)))*AS30</f>
        <v>1.0213116247782604E-3</v>
      </c>
      <c r="AP30" s="254">
        <f t="shared" si="5"/>
        <v>1.0213116247782604E-3</v>
      </c>
      <c r="AQ30" s="254">
        <f t="shared" si="29"/>
        <v>0.10213116247782604</v>
      </c>
      <c r="AR30" s="254">
        <f t="shared" si="53"/>
        <v>9.0666666666666662E-4</v>
      </c>
      <c r="AS30" s="253">
        <f t="shared" si="6"/>
        <v>9.667816023625329E-4</v>
      </c>
      <c r="AT30" s="253">
        <f t="shared" si="54"/>
        <v>9.3333333333333316E-5</v>
      </c>
      <c r="AU30" s="255">
        <f t="shared" si="30"/>
        <v>9.3333333333333324E-3</v>
      </c>
      <c r="AW30" s="258">
        <f>(((IF($P$5&lt;&gt;0,$P$5,IF($P$6&lt;&gt;0,$P$6,IF($P$7&lt;&gt;0,$P$7,0))))/(12*$P$19))+(((3*$P$15)/(2*(IF($P$5&lt;&gt;0,$P$5,IF($P$6&lt;&gt;0,$P$6,IF($P$7&lt;&gt;0,$P$7,0))))*$U$5*$P$19))*'IN-OUT'!$F$15))*'Burland damage classification'!BA30</f>
        <v>6.1206903407310586E-3</v>
      </c>
      <c r="AX30" s="254">
        <f>(1+(((IF($P$5&lt;&gt;0,$P$5^2,IF($P$6&lt;&gt;0,$P$6^2,IF($P$7&lt;&gt;0,$P$7^2))))*$U$5)/(18*$P$15))*('IN-OUT'!$F$15^(-1)))*BB30</f>
        <v>2.0780116127264193E-3</v>
      </c>
      <c r="AY30" s="254">
        <f t="shared" si="7"/>
        <v>2.0780116127264193E-3</v>
      </c>
      <c r="AZ30" s="254">
        <f t="shared" si="31"/>
        <v>0.20780116127264192</v>
      </c>
      <c r="BA30" s="254">
        <f t="shared" si="55"/>
        <v>1.906666666666667E-3</v>
      </c>
      <c r="BB30" s="270">
        <f t="shared" si="8"/>
        <v>1.9670621071367659E-3</v>
      </c>
      <c r="BC30" s="253">
        <f t="shared" si="56"/>
        <v>9.3333333333333316E-5</v>
      </c>
      <c r="BD30" s="255">
        <f t="shared" si="32"/>
        <v>9.3333333333333324E-3</v>
      </c>
      <c r="BF30" s="258" t="e">
        <f>((((IF($Q$5=0,$Q$6,$Q$5)))/(12*$Q$19))+(((3*$Q$15)/(2*IF($Q$5=0,$Q$6,$Q$5)*$U$5*$Q$19))*'IN-OUT'!$F$15))*'Burland damage classification'!BJ30</f>
        <v>#DIV/0!</v>
      </c>
      <c r="BG30" s="262">
        <f>(1+(((IF($Q$5=0,$Q$6^2,$Q$5^2))*$U$5)/(18*$Q$15))*('IN-OUT'!$F$15^(-1)))*BK30</f>
        <v>2.9888682361946527E-4</v>
      </c>
      <c r="BH30" s="262" t="e">
        <f t="shared" si="9"/>
        <v>#DIV/0!</v>
      </c>
      <c r="BI30" s="262" t="e">
        <f t="shared" si="33"/>
        <v>#DIV/0!</v>
      </c>
      <c r="BJ30" s="262">
        <f t="shared" si="57"/>
        <v>2.4000000000000022E-4</v>
      </c>
      <c r="BK30" s="270">
        <f t="shared" si="10"/>
        <v>2.9888682361946527E-4</v>
      </c>
      <c r="BL30" s="270">
        <f t="shared" si="58"/>
        <v>9.3333333333333316E-5</v>
      </c>
      <c r="BM30" s="271">
        <f t="shared" si="34"/>
        <v>9.3333333333333324E-3</v>
      </c>
      <c r="BO30" s="258" t="e">
        <f>((((IF($Q$5=0,$Q$6,$Q$5)))/(12*$Q$19))+(((3*$Q$15)/(2*IF($Q$5=0,$Q$6,$Q$5)*$U$5*$Q$19))*'IN-OUT'!$F$15))*'Burland damage classification'!BS30</f>
        <v>#DIV/0!</v>
      </c>
      <c r="BP30" s="262">
        <f>(1+(((IF($Q$5=0,$Q$6^2,$Q$5^2))*$U$5)/(18*$Q$15))*('IN-OUT'!$F$15^(-1)))*BT30</f>
        <v>4.6619023298792236E-4</v>
      </c>
      <c r="BQ30" s="254" t="e">
        <f t="shared" si="11"/>
        <v>#DIV/0!</v>
      </c>
      <c r="BR30" s="254" t="e">
        <f t="shared" si="35"/>
        <v>#DIV/0!</v>
      </c>
      <c r="BS30" s="254">
        <f t="shared" si="59"/>
        <v>4.0666666666666694E-4</v>
      </c>
      <c r="BT30" s="253">
        <f t="shared" si="12"/>
        <v>4.6619023298792236E-4</v>
      </c>
      <c r="BU30" s="253">
        <f t="shared" si="60"/>
        <v>9.3333333333333316E-5</v>
      </c>
      <c r="BV30" s="255">
        <f t="shared" si="36"/>
        <v>9.3333333333333324E-3</v>
      </c>
      <c r="BX30" s="258" t="e">
        <f>((((IF($Q$5=0,$Q$6,$Q$5)))/(12*$Q$19))+(((3*$Q$15)/(2*IF($Q$5=0,$Q$6,$Q$5)*$U$5*$Q$19))*'IN-OUT'!$F$15))*'Burland damage classification'!CB30</f>
        <v>#DIV/0!</v>
      </c>
      <c r="BY30" s="262">
        <f>(1+(((IF($Q$5=0,$Q$6^2,$Q$5^2))*$U$5)/(18*$Q$15))*('IN-OUT'!$F$15^(-1)))*CC30</f>
        <v>9.667816023625329E-4</v>
      </c>
      <c r="BZ30" s="254" t="e">
        <f t="shared" si="13"/>
        <v>#DIV/0!</v>
      </c>
      <c r="CA30" s="254" t="e">
        <f t="shared" si="37"/>
        <v>#DIV/0!</v>
      </c>
      <c r="CB30" s="254">
        <f t="shared" si="61"/>
        <v>9.0666666666666662E-4</v>
      </c>
      <c r="CC30" s="253">
        <f t="shared" si="14"/>
        <v>9.667816023625329E-4</v>
      </c>
      <c r="CD30" s="253">
        <f t="shared" si="62"/>
        <v>9.3333333333333316E-5</v>
      </c>
      <c r="CE30" s="255">
        <f t="shared" si="38"/>
        <v>9.3333333333333324E-3</v>
      </c>
      <c r="CG30" s="258" t="e">
        <f>((((IF($Q$5=0,$Q$6,$Q$5)))/(12*$Q$19))+(((3*$Q$15)/(2*IF($Q$5=0,$Q$6,$Q$5)*$U$5*$Q$19))*'IN-OUT'!$F$15))*'Burland damage classification'!CK30</f>
        <v>#DIV/0!</v>
      </c>
      <c r="CH30" s="262">
        <f>(1+(((IF($Q$5=0,$Q$6^2,$Q$5^2))*$U$5)/(18*$Q$15))*('IN-OUT'!$F$15^(-1)))*CL30</f>
        <v>1.9670621071367659E-3</v>
      </c>
      <c r="CI30" s="254" t="e">
        <f t="shared" si="15"/>
        <v>#DIV/0!</v>
      </c>
      <c r="CJ30" s="254" t="e">
        <f t="shared" si="39"/>
        <v>#DIV/0!</v>
      </c>
      <c r="CK30" s="254">
        <f t="shared" si="63"/>
        <v>1.906666666666667E-3</v>
      </c>
      <c r="CL30" s="270">
        <f t="shared" si="16"/>
        <v>1.9670621071367659E-3</v>
      </c>
      <c r="CM30" s="253">
        <f t="shared" si="64"/>
        <v>9.3333333333333316E-5</v>
      </c>
      <c r="CN30" s="255">
        <f t="shared" si="40"/>
        <v>9.3333333333333324E-3</v>
      </c>
      <c r="CP30" s="258" t="e">
        <f>((((IF($R$5=0,$R$6,$R$5)))/(12*$R$19))+(((3*$R$15)/(2*IF($R$5=0,$R$6,$R$5)*$U$5*$R$19))*'IN-OUT'!$F$15))*'Burland damage classification'!CT30</f>
        <v>#DIV/0!</v>
      </c>
      <c r="CQ30" s="262">
        <f>(1+(((IF($R$5=0,$R$6^2,$R$5^2))*$U$5)/(18*$R$15))*('IN-OUT'!$F$15^(-1)))*CU30</f>
        <v>2.9888682361946527E-4</v>
      </c>
      <c r="CR30" s="262" t="e">
        <f t="shared" si="17"/>
        <v>#DIV/0!</v>
      </c>
      <c r="CS30" s="262" t="e">
        <f t="shared" si="41"/>
        <v>#DIV/0!</v>
      </c>
      <c r="CT30" s="262">
        <f t="shared" si="65"/>
        <v>2.4000000000000022E-4</v>
      </c>
      <c r="CU30" s="270">
        <f t="shared" si="18"/>
        <v>2.9888682361946527E-4</v>
      </c>
      <c r="CV30" s="270">
        <f t="shared" si="66"/>
        <v>9.3333333333333316E-5</v>
      </c>
      <c r="CW30" s="271">
        <f t="shared" si="42"/>
        <v>9.3333333333333324E-3</v>
      </c>
      <c r="CY30" s="258" t="e">
        <f>((((IF($R$5=0,$R$6,$R$5)))/(12*$R$19))+(((3*$R$15)/(2*IF($R$5=0,$R$6,$R$5)*$U$5*$R$19))*'IN-OUT'!$F$15))*'Burland damage classification'!DC30</f>
        <v>#DIV/0!</v>
      </c>
      <c r="CZ30" s="262">
        <f>(1+(((IF($R$5=0,$R$6^2,$R$5^2))*$U$5)/(18*$R$15))*('IN-OUT'!$F$15^(-1)))*DD30</f>
        <v>4.6619023298792236E-4</v>
      </c>
      <c r="DA30" s="254" t="e">
        <f t="shared" si="19"/>
        <v>#DIV/0!</v>
      </c>
      <c r="DB30" s="254" t="e">
        <f t="shared" si="43"/>
        <v>#DIV/0!</v>
      </c>
      <c r="DC30" s="254">
        <f t="shared" si="67"/>
        <v>4.0666666666666694E-4</v>
      </c>
      <c r="DD30" s="253">
        <f t="shared" si="20"/>
        <v>4.6619023298792236E-4</v>
      </c>
      <c r="DE30" s="253">
        <f t="shared" si="68"/>
        <v>9.3333333333333316E-5</v>
      </c>
      <c r="DF30" s="255">
        <f t="shared" si="44"/>
        <v>9.3333333333333324E-3</v>
      </c>
      <c r="DH30" s="258" t="e">
        <f>((((IF($R$5=0,$R$6,$R$5)))/(12*$R$19))+(((3*$R$15)/(2*IF($R$5=0,$R$6,$R$5)*$U$5*$R$19))*'IN-OUT'!$F$15))*'Burland damage classification'!DL30</f>
        <v>#DIV/0!</v>
      </c>
      <c r="DI30" s="262">
        <f>(1+(((IF($R$5=0,$R$6^2,$R$5^2))*$U$5)/(18*$R$15))*('IN-OUT'!$F$15^(-1)))*DM30</f>
        <v>9.667816023625329E-4</v>
      </c>
      <c r="DJ30" s="254" t="e">
        <f t="shared" si="21"/>
        <v>#DIV/0!</v>
      </c>
      <c r="DK30" s="254" t="e">
        <f t="shared" si="45"/>
        <v>#DIV/0!</v>
      </c>
      <c r="DL30" s="254">
        <f t="shared" si="69"/>
        <v>9.0666666666666662E-4</v>
      </c>
      <c r="DM30" s="253">
        <f t="shared" si="22"/>
        <v>9.667816023625329E-4</v>
      </c>
      <c r="DN30" s="253">
        <f t="shared" si="70"/>
        <v>9.3333333333333316E-5</v>
      </c>
      <c r="DO30" s="255">
        <f t="shared" si="46"/>
        <v>9.3333333333333324E-3</v>
      </c>
      <c r="DQ30" s="258" t="e">
        <f>((((IF($R$5=0,$R$6,$R$5)))/(12*$R$19))+(((3*$R$15)/(2*IF($R$5=0,$R$6,$R$5)*$U$5*$R$19))*'IN-OUT'!$F$15))*'Burland damage classification'!DU30</f>
        <v>#DIV/0!</v>
      </c>
      <c r="DR30" s="262">
        <f>(1+(((IF($R$5=0,$R$6^2,$R$5^2))*$U$5)/(18*$R$15))*('IN-OUT'!$F$15^(-1)))*DV30</f>
        <v>1.9670621071367659E-3</v>
      </c>
      <c r="DS30" s="254" t="e">
        <f t="shared" si="23"/>
        <v>#DIV/0!</v>
      </c>
      <c r="DT30" s="254" t="e">
        <f t="shared" si="47"/>
        <v>#DIV/0!</v>
      </c>
      <c r="DU30" s="254">
        <f t="shared" si="71"/>
        <v>1.906666666666667E-3</v>
      </c>
      <c r="DV30" s="270">
        <f t="shared" si="24"/>
        <v>1.9670621071367659E-3</v>
      </c>
      <c r="DW30" s="253">
        <f t="shared" si="72"/>
        <v>9.3333333333333316E-5</v>
      </c>
      <c r="DX30" s="255">
        <f t="shared" si="48"/>
        <v>9.3333333333333324E-3</v>
      </c>
      <c r="EA30" s="1236" t="s">
        <v>183</v>
      </c>
      <c r="EB30" s="1244" t="s">
        <v>241</v>
      </c>
      <c r="EC30" s="449" t="s">
        <v>21</v>
      </c>
      <c r="ED30" s="428">
        <f>'transversal subsidence profile'!$L$5*EXP(-(EB9^2)/(2*'transversal subsidence profile'!$J$5^2))*100</f>
        <v>1.1733125404899502E-2</v>
      </c>
      <c r="EE30" s="428">
        <f>'transversal subsidence profile'!$L$5*EB9/'transversal subsidence profile'!$B$5*EXP(-(EB9^2)/(2*'transversal subsidence profile'!$J$5^2))*100</f>
        <v>-1.736398604434039E-2</v>
      </c>
      <c r="EF30" s="436">
        <f>('transversal subsidence profile'!$L$5/'transversal subsidence profile'!$B$5)*(1-((EB9^2)/(('transversal subsidence profile'!$J$5)^2)))*EXP(-(EB9^2)/(2*(('transversal subsidence profile'!$J$5)^2)))*100</f>
        <v>-7.6777623051746836E-3</v>
      </c>
      <c r="EG30" s="440">
        <f>'transversal subsidence profile'!$L$6*EXP(-(((EB9+$DZ$4))^2)/(2*'transversal subsidence profile'!$J$6^2))*100</f>
        <v>0.51140338346351466</v>
      </c>
      <c r="EH30" s="429">
        <f>'transversal subsidence profile'!$L$6*(EB9+$DZ$4)/'transversal subsidence profile'!$F$5*EXP(-((EB9+$DZ$4)^2)/(2*'transversal subsidence profile'!$J$6^2))*100</f>
        <v>-0.41589610821055029</v>
      </c>
      <c r="EI30" s="441">
        <f>('transversal subsidence profile'!$L$6/'transversal subsidence profile'!$F$5)*(1-(EB9+$DZ$4)^2/(('transversal subsidence profile'!$J$6)^2))*EXP(-((EB9+DZ4)^2)/(2*(('transversal subsidence profile'!$J$6)^2)))*100</f>
        <v>-7.7256340564509793E-2</v>
      </c>
      <c r="EJ30" s="430"/>
      <c r="EK30" s="445">
        <f>IF('IN-OUT'!$F$26=0,EG30,IF('IN-OUT'!$F$35=0,ED30,ED30+EG30))</f>
        <v>0.52313650886841412</v>
      </c>
      <c r="EL30" s="445">
        <f>IF('IN-OUT'!$F$26=0,EH30,IF('IN-OUT'!$F$35=0,EE30,EE30+EH30))</f>
        <v>-0.43326009425489065</v>
      </c>
      <c r="EM30" s="563">
        <f>IF('IN-OUT'!$F$26=0,EI30,IF('IN-OUT'!$F$35=0,EF30,EF30+EI30))</f>
        <v>-8.4934102869684475E-2</v>
      </c>
      <c r="EV30" s="1242" t="s">
        <v>263</v>
      </c>
      <c r="EW30" s="1243"/>
      <c r="FE30" s="1214" t="s">
        <v>321</v>
      </c>
      <c r="FF30" s="1127"/>
    </row>
    <row r="31" spans="8:167" ht="13.8" thickBot="1">
      <c r="H31" s="296">
        <f>IF(AND(D7&lt;1000,D8&lt;1000),0,IF(AND($G$7&lt;$D$5,$G$8&gt;$D$6),ABS($G$7-$D$5),0))</f>
        <v>0</v>
      </c>
      <c r="I31" s="288" t="str">
        <f>IF((H31&lt;&gt;0),$G$7,"")</f>
        <v/>
      </c>
      <c r="J31" s="288" t="str">
        <f>IF((H31&lt;&gt;0),$D$5,"")</f>
        <v/>
      </c>
      <c r="K31" s="373">
        <f>IF(AND(D7&lt;1000,D8&lt;1000),0,IF(AND($G$7&lt;$D$5,$G$8&gt;$D$6),ABS($D$6-$D$5),0))</f>
        <v>0</v>
      </c>
      <c r="L31" s="288" t="str">
        <f>IF((K31&lt;&gt;0),$D$5,"")</f>
        <v/>
      </c>
      <c r="M31" s="295" t="str">
        <f>IF((K31&lt;&gt;0),$D$6,"")</f>
        <v/>
      </c>
      <c r="S31" s="503"/>
      <c r="V31" s="258">
        <f>(((IF($P$5&lt;&gt;0,$P$5,IF($P$6&lt;&gt;0,$P$6,IF($P$7&lt;&gt;0,$P$7,0))))/(12*$P$19))+(((3*$P$15)/(2*(IF($P$5&lt;&gt;0,$P$5,IF($P$6&lt;&gt;0,$P$6,IF($P$7&lt;&gt;0,$P$7,0))))*$U$5*$P$19))*'IN-OUT'!$F$15))*'Burland damage classification'!Z31</f>
        <v>7.4903553120834684E-4</v>
      </c>
      <c r="W31" s="262">
        <f>(1+(((IF($P$5&lt;&gt;0,$P$5^2,IF($P$6&lt;&gt;0,$P$6^2,IF($P$7&lt;&gt;0,$P$7^2))))*$U$5)/(18*$P$15))*('IN-OUT'!$F$15^(-1)))*AA31</f>
        <v>3.1298403760513557E-4</v>
      </c>
      <c r="X31" s="262">
        <f t="shared" si="1"/>
        <v>3.1298403760513557E-4</v>
      </c>
      <c r="Y31" s="262">
        <f t="shared" si="25"/>
        <v>3.1298403760513557E-2</v>
      </c>
      <c r="Z31" s="916">
        <f t="shared" si="49"/>
        <v>2.3333333333333355E-4</v>
      </c>
      <c r="AA31" s="270">
        <f t="shared" si="2"/>
        <v>2.9627314724385296E-4</v>
      </c>
      <c r="AB31" s="270">
        <f t="shared" si="50"/>
        <v>9.9999999999999978E-5</v>
      </c>
      <c r="AC31" s="271">
        <f t="shared" si="26"/>
        <v>9.9999999999999985E-3</v>
      </c>
      <c r="AE31" s="258">
        <f>(((IF($P$5&lt;&gt;0,$P$5,IF($P$6&lt;&gt;0,$P$6,IF($P$7&lt;&gt;0,$P$7,0))))/(12*$P$19))+(((3*$P$15)/(2*(IF($P$5&lt;&gt;0,$P$5,IF($P$6&lt;&gt;0,$P$6,IF($P$7&lt;&gt;0,$P$7,0))))*$U$5*$P$19))*'IN-OUT'!$F$15))*'Burland damage classification'!AI31</f>
        <v>1.2840609106428802E-3</v>
      </c>
      <c r="AF31" s="254">
        <f>(1+(((IF($P$5&lt;&gt;0,$P$5^2,IF($P$6&lt;&gt;0,$P$6^2,IF($P$7&lt;&gt;0,$P$7^2))))*$U$5)/(18*$P$15))*('IN-OUT'!$F$15^(-1)))*AJ31</f>
        <v>4.8983422678211162E-4</v>
      </c>
      <c r="AG31" s="254">
        <f t="shared" si="3"/>
        <v>4.8983422678211162E-4</v>
      </c>
      <c r="AH31" s="254">
        <f t="shared" si="27"/>
        <v>4.898342267821116E-2</v>
      </c>
      <c r="AI31" s="254">
        <f t="shared" si="51"/>
        <v>4.0000000000000029E-4</v>
      </c>
      <c r="AJ31" s="253">
        <f t="shared" si="4"/>
        <v>4.6368092477478518E-4</v>
      </c>
      <c r="AK31" s="253">
        <f t="shared" si="52"/>
        <v>9.9999999999999978E-5</v>
      </c>
      <c r="AL31" s="255">
        <f t="shared" si="28"/>
        <v>9.9999999999999985E-3</v>
      </c>
      <c r="AN31" s="258">
        <f>(((IF($P$5&lt;&gt;0,$P$5,IF($P$6&lt;&gt;0,$P$6,IF($P$7&lt;&gt;0,$P$7,0))))/(12*$P$19))+(((3*$P$15)/(2*(IF($P$5&lt;&gt;0,$P$5,IF($P$6&lt;&gt;0,$P$6,IF($P$7&lt;&gt;0,$P$7,0))))*$U$5*$P$19))*'IN-OUT'!$F$15))*'Burland damage classification'!AR31</f>
        <v>2.8891370489464779E-3</v>
      </c>
      <c r="AO31" s="254">
        <f>(1+(((IF($P$5&lt;&gt;0,$P$5^2,IF($P$6&lt;&gt;0,$P$6^2,IF($P$7&lt;&gt;0,$P$7^2))))*$U$5)/(18*$P$15))*('IN-OUT'!$F$15^(-1)))*AS31</f>
        <v>1.0187587975852364E-3</v>
      </c>
      <c r="AP31" s="254">
        <f t="shared" si="5"/>
        <v>1.0187587975852364E-3</v>
      </c>
      <c r="AQ31" s="254">
        <f t="shared" si="29"/>
        <v>0.10187587975852364</v>
      </c>
      <c r="AR31" s="254">
        <f t="shared" si="53"/>
        <v>8.9999999999999998E-4</v>
      </c>
      <c r="AS31" s="253">
        <f t="shared" si="6"/>
        <v>9.643650760992955E-4</v>
      </c>
      <c r="AT31" s="253">
        <f t="shared" si="54"/>
        <v>9.9999999999999978E-5</v>
      </c>
      <c r="AU31" s="255">
        <f t="shared" si="30"/>
        <v>9.9999999999999985E-3</v>
      </c>
      <c r="AW31" s="258">
        <f>(((IF($P$5&lt;&gt;0,$P$5,IF($P$6&lt;&gt;0,$P$6,IF($P$7&lt;&gt;0,$P$7,0))))/(12*$P$19))+(((3*$P$15)/(2*(IF($P$5&lt;&gt;0,$P$5,IF($P$6&lt;&gt;0,$P$6,IF($P$7&lt;&gt;0,$P$7,0))))*$U$5*$P$19))*'IN-OUT'!$F$15))*'Burland damage classification'!BA31</f>
        <v>6.0992893255536768E-3</v>
      </c>
      <c r="AX31" s="254">
        <f>(1+(((IF($P$5&lt;&gt;0,$P$5^2,IF($P$6&lt;&gt;0,$P$6^2,IF($P$7&lt;&gt;0,$P$7^2))))*$U$5)/(18*$P$15))*('IN-OUT'!$F$15^(-1)))*BB31</f>
        <v>2.0755038829465161E-3</v>
      </c>
      <c r="AY31" s="254">
        <f t="shared" si="7"/>
        <v>2.0755038829465161E-3</v>
      </c>
      <c r="AZ31" s="254">
        <f t="shared" si="31"/>
        <v>0.20755038829465161</v>
      </c>
      <c r="BA31" s="254">
        <f t="shared" si="55"/>
        <v>1.9000000000000002E-3</v>
      </c>
      <c r="BB31" s="270">
        <f t="shared" si="8"/>
        <v>1.9646882704388497E-3</v>
      </c>
      <c r="BC31" s="253">
        <f t="shared" si="56"/>
        <v>9.9999999999999978E-5</v>
      </c>
      <c r="BD31" s="255">
        <f t="shared" si="32"/>
        <v>9.9999999999999985E-3</v>
      </c>
      <c r="BF31" s="258" t="e">
        <f>((((IF($Q$5=0,$Q$6,$Q$5)))/(12*$Q$19))+(((3*$Q$15)/(2*IF($Q$5=0,$Q$6,$Q$5)*$U$5*$Q$19))*'IN-OUT'!$F$15))*'Burland damage classification'!BJ31</f>
        <v>#DIV/0!</v>
      </c>
      <c r="BG31" s="262">
        <f>(1+(((IF($Q$5=0,$Q$6^2,$Q$5^2))*$U$5)/(18*$Q$15))*('IN-OUT'!$F$15^(-1)))*BK31</f>
        <v>2.9627314724385296E-4</v>
      </c>
      <c r="BH31" s="262" t="e">
        <f t="shared" si="9"/>
        <v>#DIV/0!</v>
      </c>
      <c r="BI31" s="262" t="e">
        <f t="shared" si="33"/>
        <v>#DIV/0!</v>
      </c>
      <c r="BJ31" s="262">
        <f t="shared" si="57"/>
        <v>2.3333333333333355E-4</v>
      </c>
      <c r="BK31" s="270">
        <f t="shared" si="10"/>
        <v>2.9627314724385296E-4</v>
      </c>
      <c r="BL31" s="270">
        <f t="shared" si="58"/>
        <v>9.9999999999999978E-5</v>
      </c>
      <c r="BM31" s="271">
        <f t="shared" si="34"/>
        <v>9.9999999999999985E-3</v>
      </c>
      <c r="BO31" s="258" t="e">
        <f>((((IF($Q$5=0,$Q$6,$Q$5)))/(12*$Q$19))+(((3*$Q$15)/(2*IF($Q$5=0,$Q$6,$Q$5)*$U$5*$Q$19))*'IN-OUT'!$F$15))*'Burland damage classification'!BS31</f>
        <v>#DIV/0!</v>
      </c>
      <c r="BP31" s="262">
        <f>(1+(((IF($Q$5=0,$Q$6^2,$Q$5^2))*$U$5)/(18*$Q$15))*('IN-OUT'!$F$15^(-1)))*BT31</f>
        <v>4.6368092477478518E-4</v>
      </c>
      <c r="BQ31" s="254" t="e">
        <f t="shared" si="11"/>
        <v>#DIV/0!</v>
      </c>
      <c r="BR31" s="254" t="e">
        <f t="shared" si="35"/>
        <v>#DIV/0!</v>
      </c>
      <c r="BS31" s="254">
        <f t="shared" si="59"/>
        <v>4.0000000000000029E-4</v>
      </c>
      <c r="BT31" s="253">
        <f t="shared" si="12"/>
        <v>4.6368092477478518E-4</v>
      </c>
      <c r="BU31" s="253">
        <f t="shared" si="60"/>
        <v>9.9999999999999978E-5</v>
      </c>
      <c r="BV31" s="255">
        <f t="shared" si="36"/>
        <v>9.9999999999999985E-3</v>
      </c>
      <c r="BX31" s="258" t="e">
        <f>((((IF($Q$5=0,$Q$6,$Q$5)))/(12*$Q$19))+(((3*$Q$15)/(2*IF($Q$5=0,$Q$6,$Q$5)*$U$5*$Q$19))*'IN-OUT'!$F$15))*'Burland damage classification'!CB31</f>
        <v>#DIV/0!</v>
      </c>
      <c r="BY31" s="262">
        <f>(1+(((IF($Q$5=0,$Q$6^2,$Q$5^2))*$U$5)/(18*$Q$15))*('IN-OUT'!$F$15^(-1)))*CC31</f>
        <v>9.643650760992955E-4</v>
      </c>
      <c r="BZ31" s="254" t="e">
        <f t="shared" si="13"/>
        <v>#DIV/0!</v>
      </c>
      <c r="CA31" s="254" t="e">
        <f t="shared" si="37"/>
        <v>#DIV/0!</v>
      </c>
      <c r="CB31" s="254">
        <f t="shared" si="61"/>
        <v>8.9999999999999998E-4</v>
      </c>
      <c r="CC31" s="253">
        <f t="shared" si="14"/>
        <v>9.643650760992955E-4</v>
      </c>
      <c r="CD31" s="253">
        <f t="shared" si="62"/>
        <v>9.9999999999999978E-5</v>
      </c>
      <c r="CE31" s="255">
        <f t="shared" si="38"/>
        <v>9.9999999999999985E-3</v>
      </c>
      <c r="CG31" s="258" t="e">
        <f>((((IF($Q$5=0,$Q$6,$Q$5)))/(12*$Q$19))+(((3*$Q$15)/(2*IF($Q$5=0,$Q$6,$Q$5)*$U$5*$Q$19))*'IN-OUT'!$F$15))*'Burland damage classification'!CK31</f>
        <v>#DIV/0!</v>
      </c>
      <c r="CH31" s="262">
        <f>(1+(((IF($Q$5=0,$Q$6^2,$Q$5^2))*$U$5)/(18*$Q$15))*('IN-OUT'!$F$15^(-1)))*CL31</f>
        <v>1.9646882704388497E-3</v>
      </c>
      <c r="CI31" s="254" t="e">
        <f t="shared" si="15"/>
        <v>#DIV/0!</v>
      </c>
      <c r="CJ31" s="254" t="e">
        <f t="shared" si="39"/>
        <v>#DIV/0!</v>
      </c>
      <c r="CK31" s="254">
        <f t="shared" si="63"/>
        <v>1.9000000000000002E-3</v>
      </c>
      <c r="CL31" s="270">
        <f t="shared" si="16"/>
        <v>1.9646882704388497E-3</v>
      </c>
      <c r="CM31" s="253">
        <f t="shared" si="64"/>
        <v>9.9999999999999978E-5</v>
      </c>
      <c r="CN31" s="255">
        <f t="shared" si="40"/>
        <v>9.9999999999999985E-3</v>
      </c>
      <c r="CP31" s="258" t="e">
        <f>((((IF($R$5=0,$R$6,$R$5)))/(12*$R$19))+(((3*$R$15)/(2*IF($R$5=0,$R$6,$R$5)*$U$5*$R$19))*'IN-OUT'!$F$15))*'Burland damage classification'!CT31</f>
        <v>#DIV/0!</v>
      </c>
      <c r="CQ31" s="262">
        <f>(1+(((IF($R$5=0,$R$6^2,$R$5^2))*$U$5)/(18*$R$15))*('IN-OUT'!$F$15^(-1)))*CU31</f>
        <v>2.9627314724385296E-4</v>
      </c>
      <c r="CR31" s="262" t="e">
        <f t="shared" si="17"/>
        <v>#DIV/0!</v>
      </c>
      <c r="CS31" s="262" t="e">
        <f t="shared" si="41"/>
        <v>#DIV/0!</v>
      </c>
      <c r="CT31" s="262">
        <f t="shared" si="65"/>
        <v>2.3333333333333355E-4</v>
      </c>
      <c r="CU31" s="270">
        <f t="shared" si="18"/>
        <v>2.9627314724385296E-4</v>
      </c>
      <c r="CV31" s="270">
        <f t="shared" si="66"/>
        <v>9.9999999999999978E-5</v>
      </c>
      <c r="CW31" s="271">
        <f t="shared" si="42"/>
        <v>9.9999999999999985E-3</v>
      </c>
      <c r="CY31" s="258" t="e">
        <f>((((IF($R$5=0,$R$6,$R$5)))/(12*$R$19))+(((3*$R$15)/(2*IF($R$5=0,$R$6,$R$5)*$U$5*$R$19))*'IN-OUT'!$F$15))*'Burland damage classification'!DC31</f>
        <v>#DIV/0!</v>
      </c>
      <c r="CZ31" s="262">
        <f>(1+(((IF($R$5=0,$R$6^2,$R$5^2))*$U$5)/(18*$R$15))*('IN-OUT'!$F$15^(-1)))*DD31</f>
        <v>4.6368092477478518E-4</v>
      </c>
      <c r="DA31" s="254" t="e">
        <f t="shared" si="19"/>
        <v>#DIV/0!</v>
      </c>
      <c r="DB31" s="254" t="e">
        <f t="shared" si="43"/>
        <v>#DIV/0!</v>
      </c>
      <c r="DC31" s="254">
        <f t="shared" si="67"/>
        <v>4.0000000000000029E-4</v>
      </c>
      <c r="DD31" s="253">
        <f t="shared" si="20"/>
        <v>4.6368092477478518E-4</v>
      </c>
      <c r="DE31" s="253">
        <f t="shared" si="68"/>
        <v>9.9999999999999978E-5</v>
      </c>
      <c r="DF31" s="255">
        <f t="shared" si="44"/>
        <v>9.9999999999999985E-3</v>
      </c>
      <c r="DH31" s="258" t="e">
        <f>((((IF($R$5=0,$R$6,$R$5)))/(12*$R$19))+(((3*$R$15)/(2*IF($R$5=0,$R$6,$R$5)*$U$5*$R$19))*'IN-OUT'!$F$15))*'Burland damage classification'!DL31</f>
        <v>#DIV/0!</v>
      </c>
      <c r="DI31" s="262">
        <f>(1+(((IF($R$5=0,$R$6^2,$R$5^2))*$U$5)/(18*$R$15))*('IN-OUT'!$F$15^(-1)))*DM31</f>
        <v>9.643650760992955E-4</v>
      </c>
      <c r="DJ31" s="254" t="e">
        <f t="shared" si="21"/>
        <v>#DIV/0!</v>
      </c>
      <c r="DK31" s="254" t="e">
        <f t="shared" si="45"/>
        <v>#DIV/0!</v>
      </c>
      <c r="DL31" s="254">
        <f t="shared" si="69"/>
        <v>8.9999999999999998E-4</v>
      </c>
      <c r="DM31" s="253">
        <f t="shared" si="22"/>
        <v>9.643650760992955E-4</v>
      </c>
      <c r="DN31" s="253">
        <f t="shared" si="70"/>
        <v>9.9999999999999978E-5</v>
      </c>
      <c r="DO31" s="255">
        <f t="shared" si="46"/>
        <v>9.9999999999999985E-3</v>
      </c>
      <c r="DQ31" s="258" t="e">
        <f>((((IF($R$5=0,$R$6,$R$5)))/(12*$R$19))+(((3*$R$15)/(2*IF($R$5=0,$R$6,$R$5)*$U$5*$R$19))*'IN-OUT'!$F$15))*'Burland damage classification'!DU31</f>
        <v>#DIV/0!</v>
      </c>
      <c r="DR31" s="262">
        <f>(1+(((IF($R$5=0,$R$6^2,$R$5^2))*$U$5)/(18*$R$15))*('IN-OUT'!$F$15^(-1)))*DV31</f>
        <v>1.9646882704388497E-3</v>
      </c>
      <c r="DS31" s="254" t="e">
        <f t="shared" si="23"/>
        <v>#DIV/0!</v>
      </c>
      <c r="DT31" s="254" t="e">
        <f t="shared" si="47"/>
        <v>#DIV/0!</v>
      </c>
      <c r="DU31" s="254">
        <f t="shared" si="71"/>
        <v>1.9000000000000002E-3</v>
      </c>
      <c r="DV31" s="270">
        <f t="shared" si="24"/>
        <v>1.9646882704388497E-3</v>
      </c>
      <c r="DW31" s="253">
        <f t="shared" si="72"/>
        <v>9.9999999999999978E-5</v>
      </c>
      <c r="DX31" s="255">
        <f t="shared" si="48"/>
        <v>9.9999999999999985E-3</v>
      </c>
      <c r="EA31" s="1237"/>
      <c r="EB31" s="1245"/>
      <c r="EC31" s="450" t="s">
        <v>25</v>
      </c>
      <c r="ED31" s="428">
        <f>'transversal subsidence profile'!$L$5*EXP(-(EB10^2)/(2*'transversal subsidence profile'!$J$5^2))*100</f>
        <v>0.22163409593685704</v>
      </c>
      <c r="EE31" s="428">
        <f>'transversal subsidence profile'!$L$5*EB10/'transversal subsidence profile'!$B$5*EXP(-(EB10^2)/(2*'transversal subsidence profile'!$J$5^2))*100</f>
        <v>-0.22163409593685704</v>
      </c>
      <c r="EF31" s="436">
        <f>('transversal subsidence profile'!$L$5/'transversal subsidence profile'!$B$5)*(1-((EB10^2)/(('transversal subsidence profile'!$J$5)^2)))*EXP(-(EB10^2)/(2*(('transversal subsidence profile'!$J$5)^2)))*100</f>
        <v>-5.8190351114285908E-2</v>
      </c>
      <c r="EG31" s="440">
        <f>'transversal subsidence profile'!$L$6*EXP(-(((EB10+$DZ$4))^2)/(2*'transversal subsidence profile'!$J$6^2))*100</f>
        <v>1.9898512885235582</v>
      </c>
      <c r="EH31" s="429">
        <f>'transversal subsidence profile'!$L$6*(EB10+$DZ$4)/'transversal subsidence profile'!$F$5*EXP(-((EB10+$DZ$4)^2)/(2*'transversal subsidence profile'!$J$6^2))*100</f>
        <v>-0.66328376284118618</v>
      </c>
      <c r="EI31" s="441">
        <f>('transversal subsidence profile'!$L$6/'transversal subsidence profile'!$F$5)*(1-(EB10+$DZ$4)^2/(('transversal subsidence profile'!$J$6)^2))*EXP(-((EB10+$DZ$4)^2)/(2*(('transversal subsidence profile'!$J$6)^2)))*100</f>
        <v>5.9868410967009664E-2</v>
      </c>
      <c r="EJ31" s="430"/>
      <c r="EK31" s="445">
        <f>IF('IN-OUT'!$F$26=0,EG31,IF('IN-OUT'!$F$35=0,ED31,ED31+EG31))</f>
        <v>2.2114853844604152</v>
      </c>
      <c r="EL31" s="445">
        <f>IF('IN-OUT'!$F$26=0,EH31,IF('IN-OUT'!$F$35=0,EE31,EE31+EH31))</f>
        <v>-0.88491785877804319</v>
      </c>
      <c r="EM31" s="563">
        <f>IF('IN-OUT'!$F$26=0,EI31,IF('IN-OUT'!$F$35=0,EF31,EF31+EI31))</f>
        <v>1.6780598527237553E-3</v>
      </c>
      <c r="EO31" s="285" t="s">
        <v>252</v>
      </c>
      <c r="EP31" s="414" t="s">
        <v>253</v>
      </c>
      <c r="EQ31" s="414" t="s">
        <v>255</v>
      </c>
      <c r="ER31" s="414" t="s">
        <v>254</v>
      </c>
      <c r="ES31" s="446" t="s">
        <v>256</v>
      </c>
      <c r="EV31" s="494" t="s">
        <v>7</v>
      </c>
      <c r="EW31" s="495" t="s">
        <v>136</v>
      </c>
      <c r="EZ31" t="s">
        <v>318</v>
      </c>
      <c r="FA31" t="s">
        <v>317</v>
      </c>
      <c r="FB31" t="s">
        <v>319</v>
      </c>
      <c r="FC31" t="s">
        <v>320</v>
      </c>
      <c r="FD31" s="239" t="s">
        <v>323</v>
      </c>
      <c r="FE31" s="270"/>
      <c r="FF31" s="270"/>
    </row>
    <row r="32" spans="8:167" ht="13.8" thickBot="1">
      <c r="H32" s="296">
        <f>IF(AND(D7&lt;1000,D8&lt;1000),0,IF(AND($G$7&lt;$D$5,$G$8&gt;$D$6),ABS($G$8-$D$6),0))</f>
        <v>0</v>
      </c>
      <c r="I32" s="288" t="str">
        <f>IF((H32&lt;&gt;0),$D$6,"")</f>
        <v/>
      </c>
      <c r="J32" s="586" t="str">
        <f>IF((H32&lt;&gt;0),$G$8,"")</f>
        <v/>
      </c>
      <c r="K32" s="288"/>
      <c r="L32" s="288"/>
      <c r="M32" s="295"/>
      <c r="V32" s="258">
        <f>(((IF($P$5&lt;&gt;0,$P$5,IF($P$6&lt;&gt;0,$P$6,IF($P$7&lt;&gt;0,$P$7,0))))/(12*$P$19))+(((3*$P$15)/(2*(IF($P$5&lt;&gt;0,$P$5,IF($P$6&lt;&gt;0,$P$6,IF($P$7&lt;&gt;0,$P$7,0))))*$U$5*$P$19))*'IN-OUT'!$F$15))*'Burland damage classification'!Z32</f>
        <v>7.2763451603096558E-4</v>
      </c>
      <c r="W32" s="262">
        <f>(1+(((IF($P$5&lt;&gt;0,$P$5^2,IF($P$6&lt;&gt;0,$P$6^2,IF($P$7&lt;&gt;0,$P$7^2))))*$U$5)/(18*$P$15))*('IN-OUT'!$F$15^(-1)))*AA32</f>
        <v>3.1019836456529204E-4</v>
      </c>
      <c r="X32" s="262">
        <f t="shared" si="1"/>
        <v>3.1019836456529204E-4</v>
      </c>
      <c r="Y32" s="262">
        <f t="shared" si="25"/>
        <v>3.1019836456529205E-2</v>
      </c>
      <c r="Z32" s="916">
        <f t="shared" si="49"/>
        <v>2.2666666666666687E-4</v>
      </c>
      <c r="AA32" s="270">
        <f t="shared" si="2"/>
        <v>2.9363620727393657E-4</v>
      </c>
      <c r="AB32" s="270">
        <f t="shared" si="50"/>
        <v>1.0666666666666664E-4</v>
      </c>
      <c r="AC32" s="271">
        <f t="shared" si="26"/>
        <v>1.0666666666666665E-2</v>
      </c>
      <c r="AE32" s="258">
        <f>(((IF($P$5&lt;&gt;0,$P$5,IF($P$6&lt;&gt;0,$P$6,IF($P$7&lt;&gt;0,$P$7,0))))/(12*$P$19))+(((3*$P$15)/(2*(IF($P$5&lt;&gt;0,$P$5,IF($P$6&lt;&gt;0,$P$6,IF($P$7&lt;&gt;0,$P$7,0))))*$U$5*$P$19))*'IN-OUT'!$F$15))*'Burland damage classification'!AI32</f>
        <v>1.2626598954654988E-3</v>
      </c>
      <c r="AF32" s="254">
        <f>(1+(((IF($P$5&lt;&gt;0,$P$5^2,IF($P$6&lt;&gt;0,$P$6^2,IF($P$7&lt;&gt;0,$P$7^2))))*$U$5)/(18*$P$15))*('IN-OUT'!$F$15^(-1)))*AJ32</f>
        <v>4.8716896052835966E-4</v>
      </c>
      <c r="AG32" s="254">
        <f t="shared" si="3"/>
        <v>4.8716896052835966E-4</v>
      </c>
      <c r="AH32" s="254">
        <f t="shared" si="27"/>
        <v>4.8716896052835967E-2</v>
      </c>
      <c r="AI32" s="254">
        <f t="shared" si="51"/>
        <v>3.9333333333333364E-4</v>
      </c>
      <c r="AJ32" s="253">
        <f t="shared" si="4"/>
        <v>4.6115796281390029E-4</v>
      </c>
      <c r="AK32" s="253">
        <f t="shared" si="52"/>
        <v>1.0666666666666664E-4</v>
      </c>
      <c r="AL32" s="255">
        <f t="shared" si="28"/>
        <v>1.0666666666666665E-2</v>
      </c>
      <c r="AN32" s="258">
        <f>(((IF($P$5&lt;&gt;0,$P$5,IF($P$6&lt;&gt;0,$P$6,IF($P$7&lt;&gt;0,$P$7,0))))/(12*$P$19))+(((3*$P$15)/(2*(IF($P$5&lt;&gt;0,$P$5,IF($P$6&lt;&gt;0,$P$6,IF($P$7&lt;&gt;0,$P$7,0))))*$U$5*$P$19))*'IN-OUT'!$F$15))*'Burland damage classification'!AR32</f>
        <v>2.867736033769097E-3</v>
      </c>
      <c r="AO32" s="254">
        <f>(1+(((IF($P$5&lt;&gt;0,$P$5^2,IF($P$6&lt;&gt;0,$P$6^2,IF($P$7&lt;&gt;0,$P$7^2))))*$U$5)/(18*$P$15))*('IN-OUT'!$F$15^(-1)))*AS32</f>
        <v>1.0161995573741524E-3</v>
      </c>
      <c r="AP32" s="254">
        <f t="shared" si="5"/>
        <v>1.0161995573741524E-3</v>
      </c>
      <c r="AQ32" s="254">
        <f t="shared" si="29"/>
        <v>0.10161995573741524</v>
      </c>
      <c r="AR32" s="254">
        <f t="shared" si="53"/>
        <v>8.9333333333333333E-4</v>
      </c>
      <c r="AS32" s="253">
        <f t="shared" si="6"/>
        <v>9.6194247922281369E-4</v>
      </c>
      <c r="AT32" s="253">
        <f t="shared" si="54"/>
        <v>1.0666666666666664E-4</v>
      </c>
      <c r="AU32" s="255">
        <f t="shared" si="30"/>
        <v>1.0666666666666665E-2</v>
      </c>
      <c r="AW32" s="258">
        <f>(((IF($P$5&lt;&gt;0,$P$5,IF($P$6&lt;&gt;0,$P$6,IF($P$7&lt;&gt;0,$P$7,0))))/(12*$P$19))+(((3*$P$15)/(2*(IF($P$5&lt;&gt;0,$P$5,IF($P$6&lt;&gt;0,$P$6,IF($P$7&lt;&gt;0,$P$7,0))))*$U$5*$P$19))*'IN-OUT'!$F$15))*'Burland damage classification'!BA32</f>
        <v>6.077888310376295E-3</v>
      </c>
      <c r="AX32" s="254">
        <f>(1+(((IF($P$5&lt;&gt;0,$P$5^2,IF($P$6&lt;&gt;0,$P$6^2,IF($P$7&lt;&gt;0,$P$7^2))))*$U$5)/(18*$P$15))*('IN-OUT'!$F$15^(-1)))*BB32</f>
        <v>2.0729931195318232E-3</v>
      </c>
      <c r="AY32" s="254">
        <f t="shared" si="7"/>
        <v>2.0729931195318232E-3</v>
      </c>
      <c r="AZ32" s="254">
        <f t="shared" si="31"/>
        <v>0.20729931195318232</v>
      </c>
      <c r="BA32" s="254">
        <f t="shared" si="55"/>
        <v>1.8933333333333335E-3</v>
      </c>
      <c r="BB32" s="270">
        <f t="shared" si="8"/>
        <v>1.9623115620784246E-3</v>
      </c>
      <c r="BC32" s="253">
        <f t="shared" si="56"/>
        <v>1.0666666666666664E-4</v>
      </c>
      <c r="BD32" s="255">
        <f t="shared" si="32"/>
        <v>1.0666666666666665E-2</v>
      </c>
      <c r="BF32" s="258" t="e">
        <f>((((IF($Q$5=0,$Q$6,$Q$5)))/(12*$Q$19))+(((3*$Q$15)/(2*IF($Q$5=0,$Q$6,$Q$5)*$U$5*$Q$19))*'IN-OUT'!$F$15))*'Burland damage classification'!BJ32</f>
        <v>#DIV/0!</v>
      </c>
      <c r="BG32" s="262">
        <f>(1+(((IF($Q$5=0,$Q$6^2,$Q$5^2))*$U$5)/(18*$Q$15))*('IN-OUT'!$F$15^(-1)))*BK32</f>
        <v>2.9363620727393657E-4</v>
      </c>
      <c r="BH32" s="262" t="e">
        <f t="shared" si="9"/>
        <v>#DIV/0!</v>
      </c>
      <c r="BI32" s="262" t="e">
        <f t="shared" si="33"/>
        <v>#DIV/0!</v>
      </c>
      <c r="BJ32" s="262">
        <f t="shared" si="57"/>
        <v>2.2666666666666687E-4</v>
      </c>
      <c r="BK32" s="270">
        <f t="shared" si="10"/>
        <v>2.9363620727393657E-4</v>
      </c>
      <c r="BL32" s="270">
        <f t="shared" si="58"/>
        <v>1.0666666666666664E-4</v>
      </c>
      <c r="BM32" s="271">
        <f t="shared" si="34"/>
        <v>1.0666666666666665E-2</v>
      </c>
      <c r="BO32" s="258" t="e">
        <f>((((IF($Q$5=0,$Q$6,$Q$5)))/(12*$Q$19))+(((3*$Q$15)/(2*IF($Q$5=0,$Q$6,$Q$5)*$U$5*$Q$19))*'IN-OUT'!$F$15))*'Burland damage classification'!BS32</f>
        <v>#DIV/0!</v>
      </c>
      <c r="BP32" s="262">
        <f>(1+(((IF($Q$5=0,$Q$6^2,$Q$5^2))*$U$5)/(18*$Q$15))*('IN-OUT'!$F$15^(-1)))*BT32</f>
        <v>4.6115796281390029E-4</v>
      </c>
      <c r="BQ32" s="254" t="e">
        <f t="shared" si="11"/>
        <v>#DIV/0!</v>
      </c>
      <c r="BR32" s="254" t="e">
        <f t="shared" si="35"/>
        <v>#DIV/0!</v>
      </c>
      <c r="BS32" s="254">
        <f t="shared" si="59"/>
        <v>3.9333333333333364E-4</v>
      </c>
      <c r="BT32" s="253">
        <f t="shared" si="12"/>
        <v>4.6115796281390029E-4</v>
      </c>
      <c r="BU32" s="253">
        <f t="shared" si="60"/>
        <v>1.0666666666666664E-4</v>
      </c>
      <c r="BV32" s="255">
        <f t="shared" si="36"/>
        <v>1.0666666666666665E-2</v>
      </c>
      <c r="BX32" s="258" t="e">
        <f>((((IF($Q$5=0,$Q$6,$Q$5)))/(12*$Q$19))+(((3*$Q$15)/(2*IF($Q$5=0,$Q$6,$Q$5)*$U$5*$Q$19))*'IN-OUT'!$F$15))*'Burland damage classification'!CB32</f>
        <v>#DIV/0!</v>
      </c>
      <c r="BY32" s="262">
        <f>(1+(((IF($Q$5=0,$Q$6^2,$Q$5^2))*$U$5)/(18*$Q$15))*('IN-OUT'!$F$15^(-1)))*CC32</f>
        <v>9.6194247922281369E-4</v>
      </c>
      <c r="BZ32" s="254" t="e">
        <f t="shared" si="13"/>
        <v>#DIV/0!</v>
      </c>
      <c r="CA32" s="254" t="e">
        <f t="shared" si="37"/>
        <v>#DIV/0!</v>
      </c>
      <c r="CB32" s="254">
        <f t="shared" si="61"/>
        <v>8.9333333333333333E-4</v>
      </c>
      <c r="CC32" s="253">
        <f t="shared" si="14"/>
        <v>9.6194247922281369E-4</v>
      </c>
      <c r="CD32" s="253">
        <f t="shared" si="62"/>
        <v>1.0666666666666664E-4</v>
      </c>
      <c r="CE32" s="255">
        <f t="shared" si="38"/>
        <v>1.0666666666666665E-2</v>
      </c>
      <c r="CG32" s="258" t="e">
        <f>((((IF($Q$5=0,$Q$6,$Q$5)))/(12*$Q$19))+(((3*$Q$15)/(2*IF($Q$5=0,$Q$6,$Q$5)*$U$5*$Q$19))*'IN-OUT'!$F$15))*'Burland damage classification'!CK32</f>
        <v>#DIV/0!</v>
      </c>
      <c r="CH32" s="262">
        <f>(1+(((IF($Q$5=0,$Q$6^2,$Q$5^2))*$U$5)/(18*$Q$15))*('IN-OUT'!$F$15^(-1)))*CL32</f>
        <v>1.9623115620784246E-3</v>
      </c>
      <c r="CI32" s="254" t="e">
        <f t="shared" si="15"/>
        <v>#DIV/0!</v>
      </c>
      <c r="CJ32" s="254" t="e">
        <f t="shared" si="39"/>
        <v>#DIV/0!</v>
      </c>
      <c r="CK32" s="254">
        <f t="shared" si="63"/>
        <v>1.8933333333333335E-3</v>
      </c>
      <c r="CL32" s="270">
        <f t="shared" si="16"/>
        <v>1.9623115620784246E-3</v>
      </c>
      <c r="CM32" s="253">
        <f t="shared" si="64"/>
        <v>1.0666666666666664E-4</v>
      </c>
      <c r="CN32" s="255">
        <f t="shared" si="40"/>
        <v>1.0666666666666665E-2</v>
      </c>
      <c r="CP32" s="258" t="e">
        <f>((((IF($R$5=0,$R$6,$R$5)))/(12*$R$19))+(((3*$R$15)/(2*IF($R$5=0,$R$6,$R$5)*$U$5*$R$19))*'IN-OUT'!$F$15))*'Burland damage classification'!CT32</f>
        <v>#DIV/0!</v>
      </c>
      <c r="CQ32" s="262">
        <f>(1+(((IF($R$5=0,$R$6^2,$R$5^2))*$U$5)/(18*$R$15))*('IN-OUT'!$F$15^(-1)))*CU32</f>
        <v>2.9363620727393657E-4</v>
      </c>
      <c r="CR32" s="262" t="e">
        <f t="shared" si="17"/>
        <v>#DIV/0!</v>
      </c>
      <c r="CS32" s="262" t="e">
        <f t="shared" si="41"/>
        <v>#DIV/0!</v>
      </c>
      <c r="CT32" s="262">
        <f t="shared" si="65"/>
        <v>2.2666666666666687E-4</v>
      </c>
      <c r="CU32" s="270">
        <f t="shared" si="18"/>
        <v>2.9363620727393657E-4</v>
      </c>
      <c r="CV32" s="270">
        <f t="shared" si="66"/>
        <v>1.0666666666666664E-4</v>
      </c>
      <c r="CW32" s="271">
        <f t="shared" si="42"/>
        <v>1.0666666666666665E-2</v>
      </c>
      <c r="CY32" s="258" t="e">
        <f>((((IF($R$5=0,$R$6,$R$5)))/(12*$R$19))+(((3*$R$15)/(2*IF($R$5=0,$R$6,$R$5)*$U$5*$R$19))*'IN-OUT'!$F$15))*'Burland damage classification'!DC32</f>
        <v>#DIV/0!</v>
      </c>
      <c r="CZ32" s="262">
        <f>(1+(((IF($R$5=0,$R$6^2,$R$5^2))*$U$5)/(18*$R$15))*('IN-OUT'!$F$15^(-1)))*DD32</f>
        <v>4.6115796281390029E-4</v>
      </c>
      <c r="DA32" s="254" t="e">
        <f t="shared" si="19"/>
        <v>#DIV/0!</v>
      </c>
      <c r="DB32" s="254" t="e">
        <f t="shared" si="43"/>
        <v>#DIV/0!</v>
      </c>
      <c r="DC32" s="254">
        <f t="shared" si="67"/>
        <v>3.9333333333333364E-4</v>
      </c>
      <c r="DD32" s="253">
        <f t="shared" si="20"/>
        <v>4.6115796281390029E-4</v>
      </c>
      <c r="DE32" s="253">
        <f t="shared" si="68"/>
        <v>1.0666666666666664E-4</v>
      </c>
      <c r="DF32" s="255">
        <f t="shared" si="44"/>
        <v>1.0666666666666665E-2</v>
      </c>
      <c r="DH32" s="258" t="e">
        <f>((((IF($R$5=0,$R$6,$R$5)))/(12*$R$19))+(((3*$R$15)/(2*IF($R$5=0,$R$6,$R$5)*$U$5*$R$19))*'IN-OUT'!$F$15))*'Burland damage classification'!DL32</f>
        <v>#DIV/0!</v>
      </c>
      <c r="DI32" s="262">
        <f>(1+(((IF($R$5=0,$R$6^2,$R$5^2))*$U$5)/(18*$R$15))*('IN-OUT'!$F$15^(-1)))*DM32</f>
        <v>9.6194247922281369E-4</v>
      </c>
      <c r="DJ32" s="254" t="e">
        <f t="shared" si="21"/>
        <v>#DIV/0!</v>
      </c>
      <c r="DK32" s="254" t="e">
        <f t="shared" si="45"/>
        <v>#DIV/0!</v>
      </c>
      <c r="DL32" s="254">
        <f t="shared" si="69"/>
        <v>8.9333333333333333E-4</v>
      </c>
      <c r="DM32" s="253">
        <f t="shared" si="22"/>
        <v>9.6194247922281369E-4</v>
      </c>
      <c r="DN32" s="253">
        <f t="shared" si="70"/>
        <v>1.0666666666666664E-4</v>
      </c>
      <c r="DO32" s="255">
        <f t="shared" si="46"/>
        <v>1.0666666666666665E-2</v>
      </c>
      <c r="DQ32" s="258" t="e">
        <f>((((IF($R$5=0,$R$6,$R$5)))/(12*$R$19))+(((3*$R$15)/(2*IF($R$5=0,$R$6,$R$5)*$U$5*$R$19))*'IN-OUT'!$F$15))*'Burland damage classification'!DU32</f>
        <v>#DIV/0!</v>
      </c>
      <c r="DR32" s="262">
        <f>(1+(((IF($R$5=0,$R$6^2,$R$5^2))*$U$5)/(18*$R$15))*('IN-OUT'!$F$15^(-1)))*DV32</f>
        <v>1.9623115620784246E-3</v>
      </c>
      <c r="DS32" s="254" t="e">
        <f t="shared" si="23"/>
        <v>#DIV/0!</v>
      </c>
      <c r="DT32" s="254" t="e">
        <f t="shared" si="47"/>
        <v>#DIV/0!</v>
      </c>
      <c r="DU32" s="254">
        <f t="shared" si="71"/>
        <v>1.8933333333333335E-3</v>
      </c>
      <c r="DV32" s="270">
        <f t="shared" si="24"/>
        <v>1.9623115620784246E-3</v>
      </c>
      <c r="DW32" s="253">
        <f t="shared" si="72"/>
        <v>1.0666666666666664E-4</v>
      </c>
      <c r="DX32" s="255">
        <f t="shared" si="48"/>
        <v>1.0666666666666665E-2</v>
      </c>
      <c r="EA32" s="1237"/>
      <c r="EB32" s="1246"/>
      <c r="EC32" s="451">
        <v>1</v>
      </c>
      <c r="ED32" s="466">
        <f>'transversal subsidence profile'!$L$5*EXP(-(EB17^2)/(2*'transversal subsidence profile'!$J$5^2))*100</f>
        <v>2.0721418478038153E-2</v>
      </c>
      <c r="EE32" s="466">
        <f>'transversal subsidence profile'!$L$5*EB17/'transversal subsidence profile'!$B$5*EXP(-(EB17^2)/(2*'transversal subsidence profile'!$J$5^2))*100</f>
        <v>-2.9008455937855782E-2</v>
      </c>
      <c r="EF32" s="436">
        <f>('transversal subsidence profile'!$L$5/'transversal subsidence profile'!$B$5)*(1-((EB17^2)/(('transversal subsidence profile'!$J$5)^2)))*EXP(-(EB17^2)/(2*(('transversal subsidence profile'!$J$5)^2)))*100</f>
        <v>-1.1988019516114773E-2</v>
      </c>
      <c r="EG32" s="467">
        <f>'transversal subsidence profile'!$L$6*EXP(-(((EB17+$DZ$4))^2)/(2*'transversal subsidence profile'!$J$6^2))*100</f>
        <v>0.694078182920432</v>
      </c>
      <c r="EH32" s="468">
        <f>'transversal subsidence profile'!$L$6*(EB17+$DZ$4)/'transversal subsidence profile'!$F$5*EXP(-((EB17+$DZ$4)^2)/(2*'transversal subsidence profile'!$J$6^2))*100</f>
        <v>-0.5089394213691445</v>
      </c>
      <c r="EI32" s="441">
        <f>('transversal subsidence profile'!$L$6/'transversal subsidence profile'!$F$5)*(1-(EB17+$DZ$4)^2/(('transversal subsidence profile'!$J$6)^2))*EXP(-((EB17+$DZ$4)^2)/(2*(('transversal subsidence profile'!$J$6)^2)))*100</f>
        <v>-7.6587270321659504E-2</v>
      </c>
      <c r="EJ32" s="430"/>
      <c r="EK32" s="445">
        <f>IF('IN-OUT'!$F$26=0,EG32,IF('IN-OUT'!$F$35=0,ED32,ED32+EG32))</f>
        <v>0.7147996013984701</v>
      </c>
      <c r="EL32" s="445">
        <f>IF('IN-OUT'!$F$26=0,EH32,IF('IN-OUT'!$F$35=0,EE32,EE32+EH32))</f>
        <v>-0.53794787730700033</v>
      </c>
      <c r="EM32" s="563">
        <f>IF('IN-OUT'!$F$26=0,EI32,IF('IN-OUT'!$F$35=0,EF32,EF32+EI32))</f>
        <v>-8.8575289837774282E-2</v>
      </c>
      <c r="EO32" s="463">
        <f>IF(AND($EK$30=$EK$31,$EK$34&gt;$EK$30),$EK$34-$EK$30,IF(AND($EK$30=$EK$31,$EK$34&lt;$EK$30),$EK$30-$EK$34,0))</f>
        <v>0</v>
      </c>
      <c r="EP32" s="370">
        <f>IF($EK$30&lt;$EK$31,($EK$31-$EK$30)/($EB$10-$EB$9),($EK$30-$EK$31)/($EB$10-$EB$9))</f>
        <v>0.23453619085967409</v>
      </c>
      <c r="EQ32" s="370">
        <f>IF($EK$30&lt;$EK$31,(EA17*$EB$24*$EP$32)+$EK$30,((($EB$10-$EB$9)-(EA17*$EB$24))*$EP$32)+$EK$31)</f>
        <v>0.80452798813374771</v>
      </c>
      <c r="ER32" s="370">
        <f>IF(EK30=EK31,0,IF($EQ$32&gt;$EK$32,($EQ$32-$EK$32),($EK$32-$EQ$32)))</f>
        <v>8.972838673527761E-2</v>
      </c>
      <c r="ES32" s="447">
        <f>MAX(ER32,EO32)</f>
        <v>8.972838673527761E-2</v>
      </c>
      <c r="EV32" s="566" t="s">
        <v>265</v>
      </c>
      <c r="EW32" s="567" t="s">
        <v>264</v>
      </c>
      <c r="EZ32">
        <f>EV34/(((MAX(P5:P7)/(12*P19)+((((3*P15)/(2*P19*MAX(P5:P7)*U5))*'IN-OUT'!F15)))))</f>
        <v>6.3025125222815259E-3</v>
      </c>
      <c r="FA32">
        <f>EV34/(1+(((U5*(MAX(P5:P7))^2)/(18*P15))*('IN-OUT'!F15^-1)))</f>
        <v>1.9151793633145391E-2</v>
      </c>
      <c r="FB32">
        <f>EZ32+EW34</f>
        <v>6.9044338690355103E-2</v>
      </c>
      <c r="FC32">
        <f>EW34*0.35+((EW34^2*(0.35^2))+FA32^2)^0.5</f>
        <v>5.1097534610495252E-2</v>
      </c>
      <c r="FD32" s="689">
        <f>IF(P11="No building","",MAX(FB32:FC32))</f>
        <v>6.9044338690355103E-2</v>
      </c>
      <c r="FE32" s="652">
        <f>IF( P11="no building","",IF(FD32&lt;($P$25*100),0,IF(FD32&lt;($P$26*100),1,IF(FD32&lt;($P$27*100),2,IF(FD32&lt;($P$28*100),3,IF(FD32&gt;($P$28*100),4))))))</f>
        <v>2</v>
      </c>
      <c r="FF32" s="651" t="str">
        <f>IF(P11="no building","",IF(FE32=0,"Negligible",IF(FE32=1,"Very Slight",IF(FE32=2,"Slight",IF(FE32=3,"Moderate",IF(FE32=4,"Severe"))))))</f>
        <v>Slight</v>
      </c>
      <c r="FI32" s="671">
        <v>0</v>
      </c>
      <c r="FJ32" s="672" t="s">
        <v>162</v>
      </c>
      <c r="FK32" s="673" t="s">
        <v>163</v>
      </c>
    </row>
    <row r="33" spans="7:167">
      <c r="H33" s="300">
        <f>IF(AND(D7&lt;1000,D8&lt;1000),0,IF(AND($G$7&gt;=$D$5,$G$7&lt;=$D$6,$G$8&gt;$D$6),ABS($G$8-$D$6),0))</f>
        <v>0</v>
      </c>
      <c r="I33" s="585" t="str">
        <f>IF((H33&lt;&gt;0),$D$6,"")</f>
        <v/>
      </c>
      <c r="J33" s="288" t="str">
        <f>IF((H33&lt;&gt;0),$G$8,"")</f>
        <v/>
      </c>
      <c r="K33" s="320">
        <f>IF(AND(D7&lt;1000,D8&lt;1000),0,IF(AND($G$7&gt;=$D$5,$G$7&lt;=$D$6,$G$8&gt;$D$6),ABS($D$6-$G$7),0))</f>
        <v>0</v>
      </c>
      <c r="L33" s="288" t="str">
        <f>IF((K33&lt;&gt;0),$G$7,"")</f>
        <v/>
      </c>
      <c r="M33" s="295" t="str">
        <f>IF((K33&lt;&gt;0),$D$6,"")</f>
        <v/>
      </c>
      <c r="O33" s="249"/>
      <c r="P33" s="249"/>
      <c r="V33" s="258">
        <f>(((IF($P$5&lt;&gt;0,$P$5,IF($P$6&lt;&gt;0,$P$6,IF($P$7&lt;&gt;0,$P$7,0))))/(12*$P$19))+(((3*$P$15)/(2*(IF($P$5&lt;&gt;0,$P$5,IF($P$6&lt;&gt;0,$P$6,IF($P$7&lt;&gt;0,$P$7,0))))*$U$5*$P$19))*'IN-OUT'!$F$15))*'Burland damage classification'!Z33</f>
        <v>7.0623350085358421E-4</v>
      </c>
      <c r="W33" s="262">
        <f>(1+(((IF($P$5&lt;&gt;0,$P$5^2,IF($P$6&lt;&gt;0,$P$6^2,IF($P$7&lt;&gt;0,$P$7^2))))*$U$5)/(18*$P$15))*('IN-OUT'!$F$15^(-1)))*AA33</f>
        <v>3.0738744763303318E-4</v>
      </c>
      <c r="X33" s="262">
        <f t="shared" si="1"/>
        <v>3.0738744763303318E-4</v>
      </c>
      <c r="Y33" s="262">
        <f t="shared" si="25"/>
        <v>3.0738744763303318E-2</v>
      </c>
      <c r="Z33" s="916">
        <f t="shared" si="49"/>
        <v>2.200000000000002E-4</v>
      </c>
      <c r="AA33" s="270">
        <f t="shared" si="2"/>
        <v>2.9097537123726929E-4</v>
      </c>
      <c r="AB33" s="270">
        <f t="shared" si="50"/>
        <v>1.133333333333333E-4</v>
      </c>
      <c r="AC33" s="271">
        <f t="shared" si="26"/>
        <v>1.1333333333333331E-2</v>
      </c>
      <c r="AE33" s="258">
        <f>(((IF($P$5&lt;&gt;0,$P$5,IF($P$6&lt;&gt;0,$P$6,IF($P$7&lt;&gt;0,$P$7,0))))/(12*$P$19))+(((3*$P$15)/(2*(IF($P$5&lt;&gt;0,$P$5,IF($P$6&lt;&gt;0,$P$6,IF($P$7&lt;&gt;0,$P$7,0))))*$U$5*$P$19))*'IN-OUT'!$F$15))*'Burland damage classification'!AI33</f>
        <v>1.2412588802881176E-3</v>
      </c>
      <c r="AF33" s="254">
        <f>(1+(((IF($P$5&lt;&gt;0,$P$5^2,IF($P$6&lt;&gt;0,$P$6^2,IF($P$7&lt;&gt;0,$P$7^2))))*$U$5)/(18*$P$15))*('IN-OUT'!$F$15^(-1)))*AJ33</f>
        <v>4.8448903236021331E-4</v>
      </c>
      <c r="AG33" s="254">
        <f t="shared" si="3"/>
        <v>4.8448903236021331E-4</v>
      </c>
      <c r="AH33" s="254">
        <f t="shared" si="27"/>
        <v>4.8448903236021329E-2</v>
      </c>
      <c r="AI33" s="254">
        <f t="shared" si="51"/>
        <v>3.8666666666666699E-4</v>
      </c>
      <c r="AJ33" s="253">
        <f t="shared" si="4"/>
        <v>4.5862112176973854E-4</v>
      </c>
      <c r="AK33" s="253">
        <f t="shared" si="52"/>
        <v>1.133333333333333E-4</v>
      </c>
      <c r="AL33" s="255">
        <f t="shared" si="28"/>
        <v>1.1333333333333331E-2</v>
      </c>
      <c r="AN33" s="258">
        <f>(((IF($P$5&lt;&gt;0,$P$5,IF($P$6&lt;&gt;0,$P$6,IF($P$7&lt;&gt;0,$P$7,0))))/(12*$P$19))+(((3*$P$15)/(2*(IF($P$5&lt;&gt;0,$P$5,IF($P$6&lt;&gt;0,$P$6,IF($P$7&lt;&gt;0,$P$7,0))))*$U$5*$P$19))*'IN-OUT'!$F$15))*'Burland damage classification'!AR33</f>
        <v>2.8463350185917156E-3</v>
      </c>
      <c r="AO33" s="254">
        <f>(1+(((IF($P$5&lt;&gt;0,$P$5^2,IF($P$6&lt;&gt;0,$P$6^2,IF($P$7&lt;&gt;0,$P$7^2))))*$U$5)/(18*$P$15))*('IN-OUT'!$F$15^(-1)))*AS33</f>
        <v>1.0136338555699143E-3</v>
      </c>
      <c r="AP33" s="254">
        <f t="shared" si="5"/>
        <v>1.0136338555699143E-3</v>
      </c>
      <c r="AQ33" s="254">
        <f t="shared" si="29"/>
        <v>0.10136338555699143</v>
      </c>
      <c r="AR33" s="254">
        <f t="shared" si="53"/>
        <v>8.8666666666666668E-4</v>
      </c>
      <c r="AS33" s="253">
        <f t="shared" si="6"/>
        <v>9.5951376575152203E-4</v>
      </c>
      <c r="AT33" s="253">
        <f t="shared" si="54"/>
        <v>1.133333333333333E-4</v>
      </c>
      <c r="AU33" s="255">
        <f t="shared" si="30"/>
        <v>1.1333333333333331E-2</v>
      </c>
      <c r="AW33" s="258">
        <f>(((IF($P$5&lt;&gt;0,$P$5,IF($P$6&lt;&gt;0,$P$6,IF($P$7&lt;&gt;0,$P$7,0))))/(12*$P$19))+(((3*$P$15)/(2*(IF($P$5&lt;&gt;0,$P$5,IF($P$6&lt;&gt;0,$P$6,IF($P$7&lt;&gt;0,$P$7,0))))*$U$5*$P$19))*'IN-OUT'!$F$15))*'Burland damage classification'!BA33</f>
        <v>6.0564872951989132E-3</v>
      </c>
      <c r="AX33" s="254">
        <f>(1+(((IF($P$5&lt;&gt;0,$P$5^2,IF($P$6&lt;&gt;0,$P$6^2,IF($P$7&lt;&gt;0,$P$7^2))))*$U$5)/(18*$P$15))*('IN-OUT'!$F$15^(-1)))*BB33</f>
        <v>2.0704793114461428E-3</v>
      </c>
      <c r="AY33" s="254">
        <f t="shared" si="7"/>
        <v>2.0704793114461428E-3</v>
      </c>
      <c r="AZ33" s="254">
        <f t="shared" si="31"/>
        <v>0.20704793114461428</v>
      </c>
      <c r="BA33" s="254">
        <f t="shared" si="55"/>
        <v>1.8866666666666667E-3</v>
      </c>
      <c r="BB33" s="270">
        <f t="shared" si="8"/>
        <v>1.9599319716085387E-3</v>
      </c>
      <c r="BC33" s="253">
        <f t="shared" si="56"/>
        <v>1.133333333333333E-4</v>
      </c>
      <c r="BD33" s="255">
        <f t="shared" si="32"/>
        <v>1.1333333333333331E-2</v>
      </c>
      <c r="BF33" s="258" t="e">
        <f>((((IF($Q$5=0,$Q$6,$Q$5)))/(12*$Q$19))+(((3*$Q$15)/(2*IF($Q$5=0,$Q$6,$Q$5)*$U$5*$Q$19))*'IN-OUT'!$F$15))*'Burland damage classification'!BJ33</f>
        <v>#DIV/0!</v>
      </c>
      <c r="BG33" s="262">
        <f>(1+(((IF($Q$5=0,$Q$6^2,$Q$5^2))*$U$5)/(18*$Q$15))*('IN-OUT'!$F$15^(-1)))*BK33</f>
        <v>2.9097537123726929E-4</v>
      </c>
      <c r="BH33" s="262" t="e">
        <f t="shared" si="9"/>
        <v>#DIV/0!</v>
      </c>
      <c r="BI33" s="262" t="e">
        <f t="shared" si="33"/>
        <v>#DIV/0!</v>
      </c>
      <c r="BJ33" s="262">
        <f t="shared" si="57"/>
        <v>2.200000000000002E-4</v>
      </c>
      <c r="BK33" s="270">
        <f t="shared" si="10"/>
        <v>2.9097537123726929E-4</v>
      </c>
      <c r="BL33" s="270">
        <f t="shared" si="58"/>
        <v>1.133333333333333E-4</v>
      </c>
      <c r="BM33" s="271">
        <f t="shared" si="34"/>
        <v>1.1333333333333331E-2</v>
      </c>
      <c r="BO33" s="258" t="e">
        <f>((((IF($Q$5=0,$Q$6,$Q$5)))/(12*$Q$19))+(((3*$Q$15)/(2*IF($Q$5=0,$Q$6,$Q$5)*$U$5*$Q$19))*'IN-OUT'!$F$15))*'Burland damage classification'!BS33</f>
        <v>#DIV/0!</v>
      </c>
      <c r="BP33" s="262">
        <f>(1+(((IF($Q$5=0,$Q$6^2,$Q$5^2))*$U$5)/(18*$Q$15))*('IN-OUT'!$F$15^(-1)))*BT33</f>
        <v>4.5862112176973854E-4</v>
      </c>
      <c r="BQ33" s="254" t="e">
        <f t="shared" si="11"/>
        <v>#DIV/0!</v>
      </c>
      <c r="BR33" s="254" t="e">
        <f t="shared" si="35"/>
        <v>#DIV/0!</v>
      </c>
      <c r="BS33" s="254">
        <f t="shared" si="59"/>
        <v>3.8666666666666699E-4</v>
      </c>
      <c r="BT33" s="253">
        <f t="shared" si="12"/>
        <v>4.5862112176973854E-4</v>
      </c>
      <c r="BU33" s="253">
        <f t="shared" si="60"/>
        <v>1.133333333333333E-4</v>
      </c>
      <c r="BV33" s="255">
        <f t="shared" si="36"/>
        <v>1.1333333333333331E-2</v>
      </c>
      <c r="BX33" s="258" t="e">
        <f>((((IF($Q$5=0,$Q$6,$Q$5)))/(12*$Q$19))+(((3*$Q$15)/(2*IF($Q$5=0,$Q$6,$Q$5)*$U$5*$Q$19))*'IN-OUT'!$F$15))*'Burland damage classification'!CB33</f>
        <v>#DIV/0!</v>
      </c>
      <c r="BY33" s="262">
        <f>(1+(((IF($Q$5=0,$Q$6^2,$Q$5^2))*$U$5)/(18*$Q$15))*('IN-OUT'!$F$15^(-1)))*CC33</f>
        <v>9.5951376575152203E-4</v>
      </c>
      <c r="BZ33" s="254" t="e">
        <f t="shared" si="13"/>
        <v>#DIV/0!</v>
      </c>
      <c r="CA33" s="254" t="e">
        <f t="shared" si="37"/>
        <v>#DIV/0!</v>
      </c>
      <c r="CB33" s="254">
        <f t="shared" si="61"/>
        <v>8.8666666666666668E-4</v>
      </c>
      <c r="CC33" s="253">
        <f t="shared" si="14"/>
        <v>9.5951376575152203E-4</v>
      </c>
      <c r="CD33" s="253">
        <f t="shared" si="62"/>
        <v>1.133333333333333E-4</v>
      </c>
      <c r="CE33" s="255">
        <f t="shared" si="38"/>
        <v>1.1333333333333331E-2</v>
      </c>
      <c r="CG33" s="258" t="e">
        <f>((((IF($Q$5=0,$Q$6,$Q$5)))/(12*$Q$19))+(((3*$Q$15)/(2*IF($Q$5=0,$Q$6,$Q$5)*$U$5*$Q$19))*'IN-OUT'!$F$15))*'Burland damage classification'!CK33</f>
        <v>#DIV/0!</v>
      </c>
      <c r="CH33" s="262">
        <f>(1+(((IF($Q$5=0,$Q$6^2,$Q$5^2))*$U$5)/(18*$Q$15))*('IN-OUT'!$F$15^(-1)))*CL33</f>
        <v>1.9599319716085387E-3</v>
      </c>
      <c r="CI33" s="254" t="e">
        <f t="shared" si="15"/>
        <v>#DIV/0!</v>
      </c>
      <c r="CJ33" s="254" t="e">
        <f t="shared" si="39"/>
        <v>#DIV/0!</v>
      </c>
      <c r="CK33" s="254">
        <f t="shared" si="63"/>
        <v>1.8866666666666667E-3</v>
      </c>
      <c r="CL33" s="270">
        <f t="shared" si="16"/>
        <v>1.9599319716085387E-3</v>
      </c>
      <c r="CM33" s="253">
        <f t="shared" si="64"/>
        <v>1.133333333333333E-4</v>
      </c>
      <c r="CN33" s="255">
        <f t="shared" si="40"/>
        <v>1.1333333333333331E-2</v>
      </c>
      <c r="CP33" s="258" t="e">
        <f>((((IF($R$5=0,$R$6,$R$5)))/(12*$R$19))+(((3*$R$15)/(2*IF($R$5=0,$R$6,$R$5)*$U$5*$R$19))*'IN-OUT'!$F$15))*'Burland damage classification'!CT33</f>
        <v>#DIV/0!</v>
      </c>
      <c r="CQ33" s="262">
        <f>(1+(((IF($R$5=0,$R$6^2,$R$5^2))*$U$5)/(18*$R$15))*('IN-OUT'!$F$15^(-1)))*CU33</f>
        <v>2.9097537123726929E-4</v>
      </c>
      <c r="CR33" s="262" t="e">
        <f t="shared" si="17"/>
        <v>#DIV/0!</v>
      </c>
      <c r="CS33" s="262" t="e">
        <f t="shared" si="41"/>
        <v>#DIV/0!</v>
      </c>
      <c r="CT33" s="262">
        <f t="shared" si="65"/>
        <v>2.200000000000002E-4</v>
      </c>
      <c r="CU33" s="270">
        <f t="shared" si="18"/>
        <v>2.9097537123726929E-4</v>
      </c>
      <c r="CV33" s="270">
        <f t="shared" si="66"/>
        <v>1.133333333333333E-4</v>
      </c>
      <c r="CW33" s="271">
        <f t="shared" si="42"/>
        <v>1.1333333333333331E-2</v>
      </c>
      <c r="CY33" s="258" t="e">
        <f>((((IF($R$5=0,$R$6,$R$5)))/(12*$R$19))+(((3*$R$15)/(2*IF($R$5=0,$R$6,$R$5)*$U$5*$R$19))*'IN-OUT'!$F$15))*'Burland damage classification'!DC33</f>
        <v>#DIV/0!</v>
      </c>
      <c r="CZ33" s="262">
        <f>(1+(((IF($R$5=0,$R$6^2,$R$5^2))*$U$5)/(18*$R$15))*('IN-OUT'!$F$15^(-1)))*DD33</f>
        <v>4.5862112176973854E-4</v>
      </c>
      <c r="DA33" s="254" t="e">
        <f t="shared" si="19"/>
        <v>#DIV/0!</v>
      </c>
      <c r="DB33" s="254" t="e">
        <f t="shared" si="43"/>
        <v>#DIV/0!</v>
      </c>
      <c r="DC33" s="254">
        <f t="shared" si="67"/>
        <v>3.8666666666666699E-4</v>
      </c>
      <c r="DD33" s="253">
        <f t="shared" si="20"/>
        <v>4.5862112176973854E-4</v>
      </c>
      <c r="DE33" s="253">
        <f t="shared" si="68"/>
        <v>1.133333333333333E-4</v>
      </c>
      <c r="DF33" s="255">
        <f t="shared" si="44"/>
        <v>1.1333333333333331E-2</v>
      </c>
      <c r="DH33" s="258" t="e">
        <f>((((IF($R$5=0,$R$6,$R$5)))/(12*$R$19))+(((3*$R$15)/(2*IF($R$5=0,$R$6,$R$5)*$U$5*$R$19))*'IN-OUT'!$F$15))*'Burland damage classification'!DL33</f>
        <v>#DIV/0!</v>
      </c>
      <c r="DI33" s="262">
        <f>(1+(((IF($R$5=0,$R$6^2,$R$5^2))*$U$5)/(18*$R$15))*('IN-OUT'!$F$15^(-1)))*DM33</f>
        <v>9.5951376575152203E-4</v>
      </c>
      <c r="DJ33" s="254" t="e">
        <f t="shared" si="21"/>
        <v>#DIV/0!</v>
      </c>
      <c r="DK33" s="254" t="e">
        <f t="shared" si="45"/>
        <v>#DIV/0!</v>
      </c>
      <c r="DL33" s="254">
        <f t="shared" si="69"/>
        <v>8.8666666666666668E-4</v>
      </c>
      <c r="DM33" s="253">
        <f t="shared" si="22"/>
        <v>9.5951376575152203E-4</v>
      </c>
      <c r="DN33" s="253">
        <f t="shared" si="70"/>
        <v>1.133333333333333E-4</v>
      </c>
      <c r="DO33" s="255">
        <f t="shared" si="46"/>
        <v>1.1333333333333331E-2</v>
      </c>
      <c r="DQ33" s="258" t="e">
        <f>((((IF($R$5=0,$R$6,$R$5)))/(12*$R$19))+(((3*$R$15)/(2*IF($R$5=0,$R$6,$R$5)*$U$5*$R$19))*'IN-OUT'!$F$15))*'Burland damage classification'!DU33</f>
        <v>#DIV/0!</v>
      </c>
      <c r="DR33" s="262">
        <f>(1+(((IF($R$5=0,$R$6^2,$R$5^2))*$U$5)/(18*$R$15))*('IN-OUT'!$F$15^(-1)))*DV33</f>
        <v>1.9599319716085387E-3</v>
      </c>
      <c r="DS33" s="254" t="e">
        <f t="shared" si="23"/>
        <v>#DIV/0!</v>
      </c>
      <c r="DT33" s="254" t="e">
        <f t="shared" si="47"/>
        <v>#DIV/0!</v>
      </c>
      <c r="DU33" s="254">
        <f t="shared" si="71"/>
        <v>1.8866666666666667E-3</v>
      </c>
      <c r="DV33" s="270">
        <f t="shared" si="24"/>
        <v>1.9599319716085387E-3</v>
      </c>
      <c r="DW33" s="253">
        <f t="shared" si="72"/>
        <v>1.133333333333333E-4</v>
      </c>
      <c r="DX33" s="255">
        <f t="shared" si="48"/>
        <v>1.1333333333333331E-2</v>
      </c>
      <c r="EA33" s="1237"/>
      <c r="EB33" s="1246"/>
      <c r="EC33" s="452">
        <v>2</v>
      </c>
      <c r="ED33" s="466">
        <f>'transversal subsidence profile'!$L$5*EXP(-(EB18^2)/(2*'transversal subsidence profile'!$J$5^2))*100</f>
        <v>3.5457202448104061E-2</v>
      </c>
      <c r="EE33" s="466">
        <f>'transversal subsidence profile'!$L$5*EB18/'transversal subsidence profile'!$B$5*EXP(-(EB18^2)/(2*'transversal subsidence profile'!$J$5^2))*100</f>
        <v>-4.6801412892739418E-2</v>
      </c>
      <c r="EF33" s="436">
        <f>('transversal subsidence profile'!$L$5/'transversal subsidence profile'!$B$5)*(1-((EB18^2)/(('transversal subsidence profile'!$J$5)^2)))*EXP(-(EB18^2)/(2*(('transversal subsidence profile'!$J$5)^2)))*100</f>
        <v>-1.7973668187397564E-2</v>
      </c>
      <c r="EG33" s="467">
        <f>'transversal subsidence profile'!$L$6*EXP(-(((EB18+$DZ$4))^2)/(2*'transversal subsidence profile'!$J$6^2))*100</f>
        <v>0.9127091535471098</v>
      </c>
      <c r="EH33" s="468">
        <f>'transversal subsidence profile'!$L$6*(EB18+$DZ$4)/'transversal subsidence profile'!$F$5*EXP(-((EB18+$DZ$4)^2)/(2*'transversal subsidence profile'!$J$6^2))*100</f>
        <v>-0.59624940296344209</v>
      </c>
      <c r="EI33" s="441">
        <f>('transversal subsidence profile'!$L$6/'transversal subsidence profile'!$F$5)*(1-(EB18+$DZ$4)^2/(('transversal subsidence profile'!$J$6)^2))*EXP(-((EB18+$DZ$4)^2)/(2*(('transversal subsidence profile'!$J$6)^2)))*100</f>
        <v>-6.7387913704721233E-2</v>
      </c>
      <c r="EJ33" s="430"/>
      <c r="EK33" s="445">
        <f>IF('IN-OUT'!$F$26=0,EG33,IF('IN-OUT'!$F$35=0,ED33,ED33+EG33))</f>
        <v>0.94816635599521382</v>
      </c>
      <c r="EL33" s="445">
        <f>IF('IN-OUT'!$F$26=0,EH33,IF('IN-OUT'!$F$35=0,EE33,EE33+EH33))</f>
        <v>-0.64305081585618151</v>
      </c>
      <c r="EM33" s="563">
        <f>IF('IN-OUT'!$F$26=0,EI33,IF('IN-OUT'!$F$35=0,EF33,EF33+EI33))</f>
        <v>-8.5361581892118801E-2</v>
      </c>
      <c r="EO33" s="463">
        <f>IF(AND($EK$30=$EK$31,$EK$34&gt;$EK$30),$EK$34-$EK$30,IF(AND($EK$30=$EK$31,$EK$34&lt;$EK$30),$EK$30-$EK$34,0))</f>
        <v>0</v>
      </c>
      <c r="EP33" s="370">
        <f>IF($EK$30&lt;$EK$31,($EK$31-$EK$30)/($EB$10-$EB$9),($EK$30-$EK$31)/($EB$10-$EB$9))</f>
        <v>0.23453619085967409</v>
      </c>
      <c r="EQ33" s="370">
        <f>IF($EK$30&lt;$EK$31,(EA18*$EB$24*$EP$32)+$EK$30,((($EB$10-$EB$9)-(EA18*$EB$24))*$EP$32)+$EK$31)</f>
        <v>1.0859194673990813</v>
      </c>
      <c r="ER33" s="370">
        <f>IF(EK30=EK31,0,IF($EQ$33&gt;$EK$33,($EQ$33-$EK$33),($EK$33-$EQ$33)))</f>
        <v>0.13775311140386748</v>
      </c>
      <c r="ES33" s="447">
        <f>MAX(ER33,EO33)</f>
        <v>0.13775311140386748</v>
      </c>
      <c r="EV33" s="568"/>
      <c r="EW33" s="255"/>
      <c r="FE33" s="681"/>
      <c r="FF33" s="681"/>
      <c r="FI33" s="667">
        <v>1</v>
      </c>
      <c r="FJ33" s="668" t="s">
        <v>164</v>
      </c>
      <c r="FK33" s="674" t="s">
        <v>165</v>
      </c>
    </row>
    <row r="34" spans="7:167" ht="13.8" thickBot="1">
      <c r="H34" s="307"/>
      <c r="I34" s="374"/>
      <c r="J34" s="587"/>
      <c r="K34" s="373">
        <f>IF(AND(D7&lt;1000,D8&lt;1000),0,IF(AND($G$7&gt;=$D$5,$G$7&lt;=$D$6,$G$8&gt;$D$5,$G$8&lt;=$D$6),($G$8-$G$7),0))</f>
        <v>0</v>
      </c>
      <c r="L34" s="288" t="str">
        <f>IF((K34&lt;&gt;0),$G$7,"")</f>
        <v/>
      </c>
      <c r="M34" s="295" t="str">
        <f>IF((K34&lt;&gt;0),$G$8,"")</f>
        <v/>
      </c>
      <c r="Q34" t="s">
        <v>336</v>
      </c>
      <c r="R34" s="721">
        <f>P25*100</f>
        <v>3.3333333333333333E-2</v>
      </c>
      <c r="S34" s="340" t="s">
        <v>337</v>
      </c>
      <c r="V34" s="258">
        <f>(((IF($P$5&lt;&gt;0,$P$5,IF($P$6&lt;&gt;0,$P$6,IF($P$7&lt;&gt;0,$P$7,0))))/(12*$P$19))+(((3*$P$15)/(2*(IF($P$5&lt;&gt;0,$P$5,IF($P$6&lt;&gt;0,$P$6,IF($P$7&lt;&gt;0,$P$7,0))))*$U$5*$P$19))*'IN-OUT'!$F$15))*'Burland damage classification'!Z34</f>
        <v>6.8483248567620283E-4</v>
      </c>
      <c r="W34" s="262">
        <f>(1+(((IF($P$5&lt;&gt;0,$P$5^2,IF($P$6&lt;&gt;0,$P$6^2,IF($P$7&lt;&gt;0,$P$7^2))))*$U$5)/(18*$P$15))*('IN-OUT'!$F$15^(-1)))*AA34</f>
        <v>3.0455058782691524E-4</v>
      </c>
      <c r="X34" s="262">
        <f t="shared" si="1"/>
        <v>3.0455058782691524E-4</v>
      </c>
      <c r="Y34" s="262">
        <f t="shared" si="25"/>
        <v>3.0455058782691523E-2</v>
      </c>
      <c r="Z34" s="916">
        <f t="shared" si="49"/>
        <v>2.1333333333333352E-4</v>
      </c>
      <c r="AA34" s="270">
        <f t="shared" si="2"/>
        <v>2.8828997747252876E-4</v>
      </c>
      <c r="AB34" s="270">
        <f t="shared" si="50"/>
        <v>1.1999999999999996E-4</v>
      </c>
      <c r="AC34" s="271">
        <f t="shared" si="26"/>
        <v>1.1999999999999997E-2</v>
      </c>
      <c r="AE34" s="258">
        <f>(((IF($P$5&lt;&gt;0,$P$5,IF($P$6&lt;&gt;0,$P$6,IF($P$7&lt;&gt;0,$P$7,0))))/(12*$P$19))+(((3*$P$15)/(2*(IF($P$5&lt;&gt;0,$P$5,IF($P$6&lt;&gt;0,$P$6,IF($P$7&lt;&gt;0,$P$7,0))))*$U$5*$P$19))*'IN-OUT'!$F$15))*'Burland damage classification'!AI34</f>
        <v>1.2198578651107363E-3</v>
      </c>
      <c r="AF34" s="254">
        <f>(1+(((IF($P$5&lt;&gt;0,$P$5^2,IF($P$6&lt;&gt;0,$P$6^2,IF($P$7&lt;&gt;0,$P$7^2))))*$U$5)/(18*$P$15))*('IN-OUT'!$F$15^(-1)))*AJ34</f>
        <v>4.8179419761179061E-4</v>
      </c>
      <c r="AG34" s="254">
        <f t="shared" si="3"/>
        <v>4.8179419761179061E-4</v>
      </c>
      <c r="AH34" s="254">
        <f t="shared" si="27"/>
        <v>4.8179419761179058E-2</v>
      </c>
      <c r="AI34" s="254">
        <f t="shared" si="51"/>
        <v>3.8000000000000035E-4</v>
      </c>
      <c r="AJ34" s="253">
        <f t="shared" si="4"/>
        <v>4.560701700396552E-4</v>
      </c>
      <c r="AK34" s="253">
        <f t="shared" si="52"/>
        <v>1.1999999999999996E-4</v>
      </c>
      <c r="AL34" s="255">
        <f t="shared" si="28"/>
        <v>1.1999999999999997E-2</v>
      </c>
      <c r="AN34" s="258">
        <f>(((IF($P$5&lt;&gt;0,$P$5,IF($P$6&lt;&gt;0,$P$6,IF($P$7&lt;&gt;0,$P$7,0))))/(12*$P$19))+(((3*$P$15)/(2*(IF($P$5&lt;&gt;0,$P$5,IF($P$6&lt;&gt;0,$P$6,IF($P$7&lt;&gt;0,$P$7,0))))*$U$5*$P$19))*'IN-OUT'!$F$15))*'Burland damage classification'!AR34</f>
        <v>2.8249340034143342E-3</v>
      </c>
      <c r="AO34" s="254">
        <f>(1+(((IF($P$5&lt;&gt;0,$P$5^2,IF($P$6&lt;&gt;0,$P$6^2,IF($P$7&lt;&gt;0,$P$7^2))))*$U$5)/(18*$P$15))*('IN-OUT'!$F$15^(-1)))*AS34</f>
        <v>1.0110616429810978E-3</v>
      </c>
      <c r="AP34" s="254">
        <f t="shared" si="5"/>
        <v>1.0110616429810978E-3</v>
      </c>
      <c r="AQ34" s="254">
        <f t="shared" si="29"/>
        <v>0.10110616429810979</v>
      </c>
      <c r="AR34" s="254">
        <f t="shared" si="53"/>
        <v>8.8000000000000003E-4</v>
      </c>
      <c r="AS34" s="253">
        <f t="shared" si="6"/>
        <v>9.5707888912043189E-4</v>
      </c>
      <c r="AT34" s="253">
        <f t="shared" si="54"/>
        <v>1.1999999999999996E-4</v>
      </c>
      <c r="AU34" s="255">
        <f t="shared" si="30"/>
        <v>1.1999999999999997E-2</v>
      </c>
      <c r="AW34" s="258">
        <f>(((IF($P$5&lt;&gt;0,$P$5,IF($P$6&lt;&gt;0,$P$6,IF($P$7&lt;&gt;0,$P$7,0))))/(12*$P$19))+(((3*$P$15)/(2*(IF($P$5&lt;&gt;0,$P$5,IF($P$6&lt;&gt;0,$P$6,IF($P$7&lt;&gt;0,$P$7,0))))*$U$5*$P$19))*'IN-OUT'!$F$15))*'Burland damage classification'!BA34</f>
        <v>6.0350862800215323E-3</v>
      </c>
      <c r="AX34" s="254">
        <f>(1+(((IF($P$5&lt;&gt;0,$P$5^2,IF($P$6&lt;&gt;0,$P$6^2,IF($P$7&lt;&gt;0,$P$7^2))))*$U$5)/(18*$P$15))*('IN-OUT'!$F$15^(-1)))*BB34</f>
        <v>2.0679624475861999E-3</v>
      </c>
      <c r="AY34" s="254">
        <f t="shared" si="7"/>
        <v>2.0679624475861999E-3</v>
      </c>
      <c r="AZ34" s="254">
        <f t="shared" si="31"/>
        <v>0.20679624475861999</v>
      </c>
      <c r="BA34" s="254">
        <f t="shared" si="55"/>
        <v>1.8799999999999999E-3</v>
      </c>
      <c r="BB34" s="270">
        <f t="shared" si="8"/>
        <v>1.9575494885187448E-3</v>
      </c>
      <c r="BC34" s="253">
        <f t="shared" si="56"/>
        <v>1.1999999999999996E-4</v>
      </c>
      <c r="BD34" s="255">
        <f t="shared" si="32"/>
        <v>1.1999999999999997E-2</v>
      </c>
      <c r="BF34" s="258" t="e">
        <f>((((IF($Q$5=0,$Q$6,$Q$5)))/(12*$Q$19))+(((3*$Q$15)/(2*IF($Q$5=0,$Q$6,$Q$5)*$U$5*$Q$19))*'IN-OUT'!$F$15))*'Burland damage classification'!BJ34</f>
        <v>#DIV/0!</v>
      </c>
      <c r="BG34" s="262">
        <f>(1+(((IF($Q$5=0,$Q$6^2,$Q$5^2))*$U$5)/(18*$Q$15))*('IN-OUT'!$F$15^(-1)))*BK34</f>
        <v>2.8828997747252876E-4</v>
      </c>
      <c r="BH34" s="262" t="e">
        <f t="shared" si="9"/>
        <v>#DIV/0!</v>
      </c>
      <c r="BI34" s="262" t="e">
        <f t="shared" si="33"/>
        <v>#DIV/0!</v>
      </c>
      <c r="BJ34" s="262">
        <f t="shared" si="57"/>
        <v>2.1333333333333352E-4</v>
      </c>
      <c r="BK34" s="270">
        <f t="shared" si="10"/>
        <v>2.8828997747252876E-4</v>
      </c>
      <c r="BL34" s="270">
        <f t="shared" si="58"/>
        <v>1.1999999999999996E-4</v>
      </c>
      <c r="BM34" s="271">
        <f t="shared" si="34"/>
        <v>1.1999999999999997E-2</v>
      </c>
      <c r="BO34" s="258" t="e">
        <f>((((IF($Q$5=0,$Q$6,$Q$5)))/(12*$Q$19))+(((3*$Q$15)/(2*IF($Q$5=0,$Q$6,$Q$5)*$U$5*$Q$19))*'IN-OUT'!$F$15))*'Burland damage classification'!BS34</f>
        <v>#DIV/0!</v>
      </c>
      <c r="BP34" s="262">
        <f>(1+(((IF($Q$5=0,$Q$6^2,$Q$5^2))*$U$5)/(18*$Q$15))*('IN-OUT'!$F$15^(-1)))*BT34</f>
        <v>4.560701700396552E-4</v>
      </c>
      <c r="BQ34" s="254" t="e">
        <f t="shared" si="11"/>
        <v>#DIV/0!</v>
      </c>
      <c r="BR34" s="254" t="e">
        <f t="shared" si="35"/>
        <v>#DIV/0!</v>
      </c>
      <c r="BS34" s="254">
        <f t="shared" si="59"/>
        <v>3.8000000000000035E-4</v>
      </c>
      <c r="BT34" s="253">
        <f t="shared" si="12"/>
        <v>4.560701700396552E-4</v>
      </c>
      <c r="BU34" s="253">
        <f t="shared" si="60"/>
        <v>1.1999999999999996E-4</v>
      </c>
      <c r="BV34" s="255">
        <f t="shared" si="36"/>
        <v>1.1999999999999997E-2</v>
      </c>
      <c r="BX34" s="258" t="e">
        <f>((((IF($Q$5=0,$Q$6,$Q$5)))/(12*$Q$19))+(((3*$Q$15)/(2*IF($Q$5=0,$Q$6,$Q$5)*$U$5*$Q$19))*'IN-OUT'!$F$15))*'Burland damage classification'!CB34</f>
        <v>#DIV/0!</v>
      </c>
      <c r="BY34" s="262">
        <f>(1+(((IF($Q$5=0,$Q$6^2,$Q$5^2))*$U$5)/(18*$Q$15))*('IN-OUT'!$F$15^(-1)))*CC34</f>
        <v>9.5707888912043189E-4</v>
      </c>
      <c r="BZ34" s="254" t="e">
        <f t="shared" si="13"/>
        <v>#DIV/0!</v>
      </c>
      <c r="CA34" s="254" t="e">
        <f t="shared" si="37"/>
        <v>#DIV/0!</v>
      </c>
      <c r="CB34" s="254">
        <f t="shared" si="61"/>
        <v>8.8000000000000003E-4</v>
      </c>
      <c r="CC34" s="253">
        <f t="shared" si="14"/>
        <v>9.5707888912043189E-4</v>
      </c>
      <c r="CD34" s="253">
        <f t="shared" si="62"/>
        <v>1.1999999999999996E-4</v>
      </c>
      <c r="CE34" s="255">
        <f t="shared" si="38"/>
        <v>1.1999999999999997E-2</v>
      </c>
      <c r="CG34" s="258" t="e">
        <f>((((IF($Q$5=0,$Q$6,$Q$5)))/(12*$Q$19))+(((3*$Q$15)/(2*IF($Q$5=0,$Q$6,$Q$5)*$U$5*$Q$19))*'IN-OUT'!$F$15))*'Burland damage classification'!CK34</f>
        <v>#DIV/0!</v>
      </c>
      <c r="CH34" s="262">
        <f>(1+(((IF($Q$5=0,$Q$6^2,$Q$5^2))*$U$5)/(18*$Q$15))*('IN-OUT'!$F$15^(-1)))*CL34</f>
        <v>1.9575494885187448E-3</v>
      </c>
      <c r="CI34" s="254" t="e">
        <f t="shared" si="15"/>
        <v>#DIV/0!</v>
      </c>
      <c r="CJ34" s="254" t="e">
        <f t="shared" si="39"/>
        <v>#DIV/0!</v>
      </c>
      <c r="CK34" s="254">
        <f t="shared" si="63"/>
        <v>1.8799999999999999E-3</v>
      </c>
      <c r="CL34" s="270">
        <f t="shared" si="16"/>
        <v>1.9575494885187448E-3</v>
      </c>
      <c r="CM34" s="253">
        <f t="shared" si="64"/>
        <v>1.1999999999999996E-4</v>
      </c>
      <c r="CN34" s="255">
        <f t="shared" si="40"/>
        <v>1.1999999999999997E-2</v>
      </c>
      <c r="CP34" s="258" t="e">
        <f>((((IF($R$5=0,$R$6,$R$5)))/(12*$R$19))+(((3*$R$15)/(2*IF($R$5=0,$R$6,$R$5)*$U$5*$R$19))*'IN-OUT'!$F$15))*'Burland damage classification'!CT34</f>
        <v>#DIV/0!</v>
      </c>
      <c r="CQ34" s="262">
        <f>(1+(((IF($R$5=0,$R$6^2,$R$5^2))*$U$5)/(18*$R$15))*('IN-OUT'!$F$15^(-1)))*CU34</f>
        <v>2.8828997747252876E-4</v>
      </c>
      <c r="CR34" s="262" t="e">
        <f t="shared" si="17"/>
        <v>#DIV/0!</v>
      </c>
      <c r="CS34" s="262" t="e">
        <f t="shared" si="41"/>
        <v>#DIV/0!</v>
      </c>
      <c r="CT34" s="262">
        <f t="shared" si="65"/>
        <v>2.1333333333333352E-4</v>
      </c>
      <c r="CU34" s="270">
        <f t="shared" si="18"/>
        <v>2.8828997747252876E-4</v>
      </c>
      <c r="CV34" s="270">
        <f t="shared" si="66"/>
        <v>1.1999999999999996E-4</v>
      </c>
      <c r="CW34" s="271">
        <f t="shared" si="42"/>
        <v>1.1999999999999997E-2</v>
      </c>
      <c r="CY34" s="258" t="e">
        <f>((((IF($R$5=0,$R$6,$R$5)))/(12*$R$19))+(((3*$R$15)/(2*IF($R$5=0,$R$6,$R$5)*$U$5*$R$19))*'IN-OUT'!$F$15))*'Burland damage classification'!DC34</f>
        <v>#DIV/0!</v>
      </c>
      <c r="CZ34" s="262">
        <f>(1+(((IF($R$5=0,$R$6^2,$R$5^2))*$U$5)/(18*$R$15))*('IN-OUT'!$F$15^(-1)))*DD34</f>
        <v>4.560701700396552E-4</v>
      </c>
      <c r="DA34" s="254" t="e">
        <f t="shared" si="19"/>
        <v>#DIV/0!</v>
      </c>
      <c r="DB34" s="254" t="e">
        <f t="shared" si="43"/>
        <v>#DIV/0!</v>
      </c>
      <c r="DC34" s="254">
        <f t="shared" si="67"/>
        <v>3.8000000000000035E-4</v>
      </c>
      <c r="DD34" s="253">
        <f t="shared" si="20"/>
        <v>4.560701700396552E-4</v>
      </c>
      <c r="DE34" s="253">
        <f t="shared" si="68"/>
        <v>1.1999999999999996E-4</v>
      </c>
      <c r="DF34" s="255">
        <f t="shared" si="44"/>
        <v>1.1999999999999997E-2</v>
      </c>
      <c r="DH34" s="258" t="e">
        <f>((((IF($R$5=0,$R$6,$R$5)))/(12*$R$19))+(((3*$R$15)/(2*IF($R$5=0,$R$6,$R$5)*$U$5*$R$19))*'IN-OUT'!$F$15))*'Burland damage classification'!DL34</f>
        <v>#DIV/0!</v>
      </c>
      <c r="DI34" s="262">
        <f>(1+(((IF($R$5=0,$R$6^2,$R$5^2))*$U$5)/(18*$R$15))*('IN-OUT'!$F$15^(-1)))*DM34</f>
        <v>9.5707888912043189E-4</v>
      </c>
      <c r="DJ34" s="254" t="e">
        <f t="shared" si="21"/>
        <v>#DIV/0!</v>
      </c>
      <c r="DK34" s="254" t="e">
        <f t="shared" si="45"/>
        <v>#DIV/0!</v>
      </c>
      <c r="DL34" s="254">
        <f t="shared" si="69"/>
        <v>8.8000000000000003E-4</v>
      </c>
      <c r="DM34" s="253">
        <f t="shared" si="22"/>
        <v>9.5707888912043189E-4</v>
      </c>
      <c r="DN34" s="253">
        <f t="shared" si="70"/>
        <v>1.1999999999999996E-4</v>
      </c>
      <c r="DO34" s="255">
        <f t="shared" si="46"/>
        <v>1.1999999999999997E-2</v>
      </c>
      <c r="DQ34" s="258" t="e">
        <f>((((IF($R$5=0,$R$6,$R$5)))/(12*$R$19))+(((3*$R$15)/(2*IF($R$5=0,$R$6,$R$5)*$U$5*$R$19))*'IN-OUT'!$F$15))*'Burland damage classification'!DU34</f>
        <v>#DIV/0!</v>
      </c>
      <c r="DR34" s="262">
        <f>(1+(((IF($R$5=0,$R$6^2,$R$5^2))*$U$5)/(18*$R$15))*('IN-OUT'!$F$15^(-1)))*DV34</f>
        <v>1.9575494885187448E-3</v>
      </c>
      <c r="DS34" s="254" t="e">
        <f t="shared" si="23"/>
        <v>#DIV/0!</v>
      </c>
      <c r="DT34" s="254" t="e">
        <f t="shared" si="47"/>
        <v>#DIV/0!</v>
      </c>
      <c r="DU34" s="254">
        <f t="shared" si="71"/>
        <v>1.8799999999999999E-3</v>
      </c>
      <c r="DV34" s="270">
        <f t="shared" si="24"/>
        <v>1.9575494885187448E-3</v>
      </c>
      <c r="DW34" s="253">
        <f t="shared" si="72"/>
        <v>1.1999999999999996E-4</v>
      </c>
      <c r="DX34" s="255">
        <f t="shared" si="48"/>
        <v>1.1999999999999997E-2</v>
      </c>
      <c r="EA34" s="1237"/>
      <c r="EB34" s="1246"/>
      <c r="EC34" s="452">
        <v>3</v>
      </c>
      <c r="ED34" s="466">
        <f>'transversal subsidence profile'!$L$5*EXP(-(EB19^2)/(2*'transversal subsidence profile'!$J$5^2))*100</f>
        <v>5.8785290523917164E-2</v>
      </c>
      <c r="EE34" s="466">
        <f>'transversal subsidence profile'!$L$5*EB19/'transversal subsidence profile'!$B$5*EXP(-(EB19^2)/(2*'transversal subsidence profile'!$J$5^2))*100</f>
        <v>-7.2891156061287071E-2</v>
      </c>
      <c r="EF34" s="436">
        <f>('transversal subsidence profile'!$L$5/'transversal subsidence profile'!$B$5)*(1-((EB19^2)/(('transversal subsidence profile'!$J$5)^2)))*EXP(-(EB19^2)/(2*(('transversal subsidence profile'!$J$5)^2)))*100</f>
        <v>-2.5836307195617848E-2</v>
      </c>
      <c r="EG34" s="467">
        <f>'transversal subsidence profile'!$L$6*EXP(-(((EB19+$DZ$4))^2)/(2*'transversal subsidence profile'!$J$6^2))*100</f>
        <v>1.162881965065037</v>
      </c>
      <c r="EH34" s="468">
        <f>'transversal subsidence profile'!$L$6*(EB19+$DZ$4)/'transversal subsidence profile'!$F$5*EXP(-((EB19+$DZ$4)^2)/(2*'transversal subsidence profile'!$J$6^2))*100</f>
        <v>-0.66666747763290213</v>
      </c>
      <c r="EI34" s="441">
        <f>('transversal subsidence profile'!$L$6/'transversal subsidence profile'!$F$5)*(1-(EB19+$DZ$4)^2/(('transversal subsidence profile'!$J$6)^2))*EXP(-((EB19+$DZ$4)^2)/(2*(('transversal subsidence profile'!$J$6)^2)))*100</f>
        <v>-4.8299442265438031E-2</v>
      </c>
      <c r="EJ34" s="430"/>
      <c r="EK34" s="445">
        <f>IF('IN-OUT'!$F$26=0,EG34,IF('IN-OUT'!$F$35=0,ED34,ED34+EG34))</f>
        <v>1.2216672555889543</v>
      </c>
      <c r="EL34" s="445">
        <f>IF('IN-OUT'!$F$26=0,EH34,IF('IN-OUT'!$F$35=0,EE34,EE34+EH34))</f>
        <v>-0.73955863369418917</v>
      </c>
      <c r="EM34" s="563">
        <f>IF('IN-OUT'!$F$26=0,EI34,IF('IN-OUT'!$F$35=0,EF34,EF34+EI34))</f>
        <v>-7.4135749461055875E-2</v>
      </c>
      <c r="EO34" s="463">
        <f>IF(AND($EK$30=$EK$31,$EK$34&gt;$EK$30),$EK$34-$EK$30,IF(AND($EK$30=$EK$31,$EK$34&lt;$EK$30),$EK$30-$EK$34,0))</f>
        <v>0</v>
      </c>
      <c r="EP34" s="370">
        <f>IF($EK$30&lt;$EK$31,($EK$31-$EK$30)/($EB$10-$EB$9),($EK$30-$EK$31)/($EB$10-$EB$9))</f>
        <v>0.23453619085967409</v>
      </c>
      <c r="EQ34" s="370">
        <f>IF($EK$30&lt;$EK$31,(EA19*$EB$24*$EP$32)+$EK$30,((($EB$10-$EB$9)-(EA19*$EB$24))*$EP$32)+$EK$31)</f>
        <v>1.3673109466644147</v>
      </c>
      <c r="ER34" s="370">
        <f>IF(EK30=EK31,0,IF($EQ$34&gt;$EK$34,($EQ$34-$EK$34),($EK$34-$EQ$34)))</f>
        <v>0.14564369107546038</v>
      </c>
      <c r="ES34" s="447">
        <f>MAX(ER34,EO34)</f>
        <v>0.14564369107546038</v>
      </c>
      <c r="EV34" s="281">
        <f>IF(OR(P5&gt;0,P6&gt;0,P7&gt;0),(MAX(ES32:ES36)/MAX(P5:P7)),0)</f>
        <v>2.0232024921747412E-2</v>
      </c>
      <c r="EW34" s="261">
        <f>IF(OR('IN-OUT'!$F$26=0,'IN-OUT'!$F$35=0),-(('Burland damage classification'!EL31-'Burland damage classification'!EL30)/(MAX('Burland damage classification'!P5:P7))),IF((((EE31-EE30)+(EH31-EH30))/MAX(P5:P7)&lt;0),-(((EE31-EE30)+(EH31-EH30))/MAX(P5:P7)),0))</f>
        <v>6.2741826168073583E-2</v>
      </c>
      <c r="FE34" s="681"/>
      <c r="FF34" s="681"/>
      <c r="FI34" s="667">
        <v>2</v>
      </c>
      <c r="FJ34" s="668" t="s">
        <v>166</v>
      </c>
      <c r="FK34" s="674" t="s">
        <v>167</v>
      </c>
    </row>
    <row r="35" spans="7:167" ht="13.8" thickBot="1">
      <c r="H35" s="309">
        <f>IF(AND(D7&lt;1000,D8&lt;1000),0,IF(G7="no settlment",0,IF(AND($G$7&gt;=$D$6,$G$8&gt;$D$6),ABS($G$8-$G$7),0)))</f>
        <v>0</v>
      </c>
      <c r="I35" s="310" t="str">
        <f>IF((H35&lt;&gt;0),$G$7,"")</f>
        <v/>
      </c>
      <c r="J35" s="310" t="str">
        <f>IF((H35&lt;&gt;0),$G$8,"")</f>
        <v/>
      </c>
      <c r="K35" s="377"/>
      <c r="L35" s="377"/>
      <c r="M35" s="378"/>
      <c r="Q35" t="s">
        <v>336</v>
      </c>
      <c r="R35" s="721">
        <f>P26*100</f>
        <v>0.05</v>
      </c>
      <c r="S35" s="340" t="s">
        <v>337</v>
      </c>
      <c r="V35" s="258">
        <f>(((IF($P$5&lt;&gt;0,$P$5,IF($P$6&lt;&gt;0,$P$6,IF($P$7&lt;&gt;0,$P$7,0))))/(12*$P$19))+(((3*$P$15)/(2*(IF($P$5&lt;&gt;0,$P$5,IF($P$6&lt;&gt;0,$P$6,IF($P$7&lt;&gt;0,$P$7,0))))*$U$5*$P$19))*'IN-OUT'!$F$15))*'Burland damage classification'!Z35</f>
        <v>6.6343147049882146E-4</v>
      </c>
      <c r="W35" s="262">
        <f>(1+(((IF($P$5&lt;&gt;0,$P$5^2,IF($P$6&lt;&gt;0,$P$6^2,IF($P$7&lt;&gt;0,$P$7^2))))*$U$5)/(18*$P$15))*('IN-OUT'!$F$15^(-1)))*AA35</f>
        <v>3.0168705330041673E-4</v>
      </c>
      <c r="X35" s="262">
        <f t="shared" si="1"/>
        <v>3.0168705330041673E-4</v>
      </c>
      <c r="Y35" s="262">
        <f t="shared" si="25"/>
        <v>3.0168705330041672E-2</v>
      </c>
      <c r="Z35" s="916">
        <f t="shared" si="49"/>
        <v>2.0666666666666685E-4</v>
      </c>
      <c r="AA35" s="270">
        <f t="shared" si="2"/>
        <v>2.8557933320805197E-4</v>
      </c>
      <c r="AB35" s="270">
        <f t="shared" si="50"/>
        <v>1.2666666666666664E-4</v>
      </c>
      <c r="AC35" s="271">
        <f t="shared" si="26"/>
        <v>1.2666666666666663E-2</v>
      </c>
      <c r="AE35" s="258">
        <f>(((IF($P$5&lt;&gt;0,$P$5,IF($P$6&lt;&gt;0,$P$6,IF($P$7&lt;&gt;0,$P$7,0))))/(12*$P$19))+(((3*$P$15)/(2*(IF($P$5&lt;&gt;0,$P$5,IF($P$6&lt;&gt;0,$P$6,IF($P$7&lt;&gt;0,$P$7,0))))*$U$5*$P$19))*'IN-OUT'!$F$15))*'Burland damage classification'!AI35</f>
        <v>1.1984568499333551E-3</v>
      </c>
      <c r="AF35" s="254">
        <f>(1+(((IF($P$5&lt;&gt;0,$P$5^2,IF($P$6&lt;&gt;0,$P$6^2,IF($P$7&lt;&gt;0,$P$7^2))))*$U$5)/(18*$P$15))*('IN-OUT'!$F$15^(-1)))*AJ35</f>
        <v>4.7908420473591324E-4</v>
      </c>
      <c r="AG35" s="254">
        <f t="shared" si="3"/>
        <v>4.7908420473591324E-4</v>
      </c>
      <c r="AH35" s="254">
        <f t="shared" si="27"/>
        <v>4.7908420473591326E-2</v>
      </c>
      <c r="AI35" s="254">
        <f t="shared" si="51"/>
        <v>3.733333333333337E-4</v>
      </c>
      <c r="AJ35" s="253">
        <f t="shared" si="4"/>
        <v>4.535048695071164E-4</v>
      </c>
      <c r="AK35" s="253">
        <f t="shared" si="52"/>
        <v>1.2666666666666664E-4</v>
      </c>
      <c r="AL35" s="255">
        <f t="shared" si="28"/>
        <v>1.2666666666666663E-2</v>
      </c>
      <c r="AN35" s="258">
        <f>(((IF($P$5&lt;&gt;0,$P$5,IF($P$6&lt;&gt;0,$P$6,IF($P$7&lt;&gt;0,$P$7,0))))/(12*$P$19))+(((3*$P$15)/(2*(IF($P$5&lt;&gt;0,$P$5,IF($P$6&lt;&gt;0,$P$6,IF($P$7&lt;&gt;0,$P$7,0))))*$U$5*$P$19))*'IN-OUT'!$F$15))*'Burland damage classification'!AR35</f>
        <v>2.8035329882369528E-3</v>
      </c>
      <c r="AO35" s="254">
        <f>(1+(((IF($P$5&lt;&gt;0,$P$5^2,IF($P$6&lt;&gt;0,$P$6^2,IF($P$7&lt;&gt;0,$P$7^2))))*$U$5)/(18*$P$15))*('IN-OUT'!$F$15^(-1)))*AS35</f>
        <v>1.0084828697889436E-3</v>
      </c>
      <c r="AP35" s="254">
        <f t="shared" si="5"/>
        <v>1.0084828697889436E-3</v>
      </c>
      <c r="AQ35" s="254">
        <f t="shared" si="29"/>
        <v>0.10084828697889435</v>
      </c>
      <c r="AR35" s="254">
        <f t="shared" si="53"/>
        <v>8.7333333333333338E-4</v>
      </c>
      <c r="AS35" s="253">
        <f t="shared" si="6"/>
        <v>9.5463780217071499E-4</v>
      </c>
      <c r="AT35" s="253">
        <f t="shared" si="54"/>
        <v>1.2666666666666664E-4</v>
      </c>
      <c r="AU35" s="255">
        <f t="shared" si="30"/>
        <v>1.2666666666666663E-2</v>
      </c>
      <c r="AW35" s="258">
        <f>(((IF($P$5&lt;&gt;0,$P$5,IF($P$6&lt;&gt;0,$P$6,IF($P$7&lt;&gt;0,$P$7,0))))/(12*$P$19))+(((3*$P$15)/(2*(IF($P$5&lt;&gt;0,$P$5,IF($P$6&lt;&gt;0,$P$6,IF($P$7&lt;&gt;0,$P$7,0))))*$U$5*$P$19))*'IN-OUT'!$F$15))*'Burland damage classification'!BA35</f>
        <v>6.0136852648441505E-3</v>
      </c>
      <c r="AX35" s="254">
        <f>(1+(((IF($P$5&lt;&gt;0,$P$5^2,IF($P$6&lt;&gt;0,$P$6^2,IF($P$7&lt;&gt;0,$P$7^2))))*$U$5)/(18*$P$15))*('IN-OUT'!$F$15^(-1)))*BB35</f>
        <v>2.0654425167810696E-3</v>
      </c>
      <c r="AY35" s="254">
        <f t="shared" si="7"/>
        <v>2.0654425167810696E-3</v>
      </c>
      <c r="AZ35" s="254">
        <f t="shared" si="31"/>
        <v>0.20654425167810694</v>
      </c>
      <c r="BA35" s="254">
        <f t="shared" si="55"/>
        <v>1.8733333333333332E-3</v>
      </c>
      <c r="BB35" s="270">
        <f t="shared" si="8"/>
        <v>1.9551641022345582E-3</v>
      </c>
      <c r="BC35" s="253">
        <f t="shared" si="56"/>
        <v>1.2666666666666664E-4</v>
      </c>
      <c r="BD35" s="255">
        <f t="shared" si="32"/>
        <v>1.2666666666666663E-2</v>
      </c>
      <c r="BF35" s="258" t="e">
        <f>((((IF($Q$5=0,$Q$6,$Q$5)))/(12*$Q$19))+(((3*$Q$15)/(2*IF($Q$5=0,$Q$6,$Q$5)*$U$5*$Q$19))*'IN-OUT'!$F$15))*'Burland damage classification'!BJ35</f>
        <v>#DIV/0!</v>
      </c>
      <c r="BG35" s="262">
        <f>(1+(((IF($Q$5=0,$Q$6^2,$Q$5^2))*$U$5)/(18*$Q$15))*('IN-OUT'!$F$15^(-1)))*BK35</f>
        <v>2.8557933320805197E-4</v>
      </c>
      <c r="BH35" s="262" t="e">
        <f t="shared" si="9"/>
        <v>#DIV/0!</v>
      </c>
      <c r="BI35" s="262" t="e">
        <f t="shared" si="33"/>
        <v>#DIV/0!</v>
      </c>
      <c r="BJ35" s="262">
        <f t="shared" si="57"/>
        <v>2.0666666666666685E-4</v>
      </c>
      <c r="BK35" s="270">
        <f t="shared" si="10"/>
        <v>2.8557933320805197E-4</v>
      </c>
      <c r="BL35" s="270">
        <f t="shared" si="58"/>
        <v>1.2666666666666664E-4</v>
      </c>
      <c r="BM35" s="271">
        <f t="shared" si="34"/>
        <v>1.2666666666666663E-2</v>
      </c>
      <c r="BO35" s="258" t="e">
        <f>((((IF($Q$5=0,$Q$6,$Q$5)))/(12*$Q$19))+(((3*$Q$15)/(2*IF($Q$5=0,$Q$6,$Q$5)*$U$5*$Q$19))*'IN-OUT'!$F$15))*'Burland damage classification'!BS35</f>
        <v>#DIV/0!</v>
      </c>
      <c r="BP35" s="262">
        <f>(1+(((IF($Q$5=0,$Q$6^2,$Q$5^2))*$U$5)/(18*$Q$15))*('IN-OUT'!$F$15^(-1)))*BT35</f>
        <v>4.535048695071164E-4</v>
      </c>
      <c r="BQ35" s="254" t="e">
        <f t="shared" si="11"/>
        <v>#DIV/0!</v>
      </c>
      <c r="BR35" s="254" t="e">
        <f t="shared" si="35"/>
        <v>#DIV/0!</v>
      </c>
      <c r="BS35" s="254">
        <f t="shared" si="59"/>
        <v>3.733333333333337E-4</v>
      </c>
      <c r="BT35" s="253">
        <f t="shared" si="12"/>
        <v>4.535048695071164E-4</v>
      </c>
      <c r="BU35" s="253">
        <f t="shared" si="60"/>
        <v>1.2666666666666664E-4</v>
      </c>
      <c r="BV35" s="255">
        <f t="shared" si="36"/>
        <v>1.2666666666666663E-2</v>
      </c>
      <c r="BX35" s="258" t="e">
        <f>((((IF($Q$5=0,$Q$6,$Q$5)))/(12*$Q$19))+(((3*$Q$15)/(2*IF($Q$5=0,$Q$6,$Q$5)*$U$5*$Q$19))*'IN-OUT'!$F$15))*'Burland damage classification'!CB35</f>
        <v>#DIV/0!</v>
      </c>
      <c r="BY35" s="262">
        <f>(1+(((IF($Q$5=0,$Q$6^2,$Q$5^2))*$U$5)/(18*$Q$15))*('IN-OUT'!$F$15^(-1)))*CC35</f>
        <v>9.5463780217071499E-4</v>
      </c>
      <c r="BZ35" s="254" t="e">
        <f t="shared" si="13"/>
        <v>#DIV/0!</v>
      </c>
      <c r="CA35" s="254" t="e">
        <f t="shared" si="37"/>
        <v>#DIV/0!</v>
      </c>
      <c r="CB35" s="254">
        <f t="shared" si="61"/>
        <v>8.7333333333333338E-4</v>
      </c>
      <c r="CC35" s="253">
        <f t="shared" si="14"/>
        <v>9.5463780217071499E-4</v>
      </c>
      <c r="CD35" s="253">
        <f t="shared" si="62"/>
        <v>1.2666666666666664E-4</v>
      </c>
      <c r="CE35" s="255">
        <f t="shared" si="38"/>
        <v>1.2666666666666663E-2</v>
      </c>
      <c r="CG35" s="258" t="e">
        <f>((((IF($Q$5=0,$Q$6,$Q$5)))/(12*$Q$19))+(((3*$Q$15)/(2*IF($Q$5=0,$Q$6,$Q$5)*$U$5*$Q$19))*'IN-OUT'!$F$15))*'Burland damage classification'!CK35</f>
        <v>#DIV/0!</v>
      </c>
      <c r="CH35" s="262">
        <f>(1+(((IF($Q$5=0,$Q$6^2,$Q$5^2))*$U$5)/(18*$Q$15))*('IN-OUT'!$F$15^(-1)))*CL35</f>
        <v>1.9551641022345582E-3</v>
      </c>
      <c r="CI35" s="254" t="e">
        <f t="shared" si="15"/>
        <v>#DIV/0!</v>
      </c>
      <c r="CJ35" s="254" t="e">
        <f t="shared" si="39"/>
        <v>#DIV/0!</v>
      </c>
      <c r="CK35" s="254">
        <f t="shared" si="63"/>
        <v>1.8733333333333332E-3</v>
      </c>
      <c r="CL35" s="270">
        <f t="shared" si="16"/>
        <v>1.9551641022345582E-3</v>
      </c>
      <c r="CM35" s="253">
        <f t="shared" si="64"/>
        <v>1.2666666666666664E-4</v>
      </c>
      <c r="CN35" s="255">
        <f t="shared" si="40"/>
        <v>1.2666666666666663E-2</v>
      </c>
      <c r="CP35" s="258" t="e">
        <f>((((IF($R$5=0,$R$6,$R$5)))/(12*$R$19))+(((3*$R$15)/(2*IF($R$5=0,$R$6,$R$5)*$U$5*$R$19))*'IN-OUT'!$F$15))*'Burland damage classification'!CT35</f>
        <v>#DIV/0!</v>
      </c>
      <c r="CQ35" s="262">
        <f>(1+(((IF($R$5=0,$R$6^2,$R$5^2))*$U$5)/(18*$R$15))*('IN-OUT'!$F$15^(-1)))*CU35</f>
        <v>2.8557933320805197E-4</v>
      </c>
      <c r="CR35" s="262" t="e">
        <f t="shared" si="17"/>
        <v>#DIV/0!</v>
      </c>
      <c r="CS35" s="262" t="e">
        <f t="shared" si="41"/>
        <v>#DIV/0!</v>
      </c>
      <c r="CT35" s="262">
        <f t="shared" si="65"/>
        <v>2.0666666666666685E-4</v>
      </c>
      <c r="CU35" s="270">
        <f t="shared" si="18"/>
        <v>2.8557933320805197E-4</v>
      </c>
      <c r="CV35" s="270">
        <f t="shared" si="66"/>
        <v>1.2666666666666664E-4</v>
      </c>
      <c r="CW35" s="271">
        <f t="shared" si="42"/>
        <v>1.2666666666666663E-2</v>
      </c>
      <c r="CY35" s="258" t="e">
        <f>((((IF($R$5=0,$R$6,$R$5)))/(12*$R$19))+(((3*$R$15)/(2*IF($R$5=0,$R$6,$R$5)*$U$5*$R$19))*'IN-OUT'!$F$15))*'Burland damage classification'!DC35</f>
        <v>#DIV/0!</v>
      </c>
      <c r="CZ35" s="262">
        <f>(1+(((IF($R$5=0,$R$6^2,$R$5^2))*$U$5)/(18*$R$15))*('IN-OUT'!$F$15^(-1)))*DD35</f>
        <v>4.535048695071164E-4</v>
      </c>
      <c r="DA35" s="254" t="e">
        <f t="shared" si="19"/>
        <v>#DIV/0!</v>
      </c>
      <c r="DB35" s="254" t="e">
        <f t="shared" si="43"/>
        <v>#DIV/0!</v>
      </c>
      <c r="DC35" s="254">
        <f t="shared" si="67"/>
        <v>3.733333333333337E-4</v>
      </c>
      <c r="DD35" s="253">
        <f t="shared" si="20"/>
        <v>4.535048695071164E-4</v>
      </c>
      <c r="DE35" s="253">
        <f t="shared" si="68"/>
        <v>1.2666666666666664E-4</v>
      </c>
      <c r="DF35" s="255">
        <f t="shared" si="44"/>
        <v>1.2666666666666663E-2</v>
      </c>
      <c r="DH35" s="258" t="e">
        <f>((((IF($R$5=0,$R$6,$R$5)))/(12*$R$19))+(((3*$R$15)/(2*IF($R$5=0,$R$6,$R$5)*$U$5*$R$19))*'IN-OUT'!$F$15))*'Burland damage classification'!DL35</f>
        <v>#DIV/0!</v>
      </c>
      <c r="DI35" s="262">
        <f>(1+(((IF($R$5=0,$R$6^2,$R$5^2))*$U$5)/(18*$R$15))*('IN-OUT'!$F$15^(-1)))*DM35</f>
        <v>9.5463780217071499E-4</v>
      </c>
      <c r="DJ35" s="254" t="e">
        <f t="shared" si="21"/>
        <v>#DIV/0!</v>
      </c>
      <c r="DK35" s="254" t="e">
        <f t="shared" si="45"/>
        <v>#DIV/0!</v>
      </c>
      <c r="DL35" s="254">
        <f t="shared" si="69"/>
        <v>8.7333333333333338E-4</v>
      </c>
      <c r="DM35" s="253">
        <f t="shared" si="22"/>
        <v>9.5463780217071499E-4</v>
      </c>
      <c r="DN35" s="253">
        <f t="shared" si="70"/>
        <v>1.2666666666666664E-4</v>
      </c>
      <c r="DO35" s="255">
        <f t="shared" si="46"/>
        <v>1.2666666666666663E-2</v>
      </c>
      <c r="DQ35" s="258" t="e">
        <f>((((IF($R$5=0,$R$6,$R$5)))/(12*$R$19))+(((3*$R$15)/(2*IF($R$5=0,$R$6,$R$5)*$U$5*$R$19))*'IN-OUT'!$F$15))*'Burland damage classification'!DU35</f>
        <v>#DIV/0!</v>
      </c>
      <c r="DR35" s="262">
        <f>(1+(((IF($R$5=0,$R$6^2,$R$5^2))*$U$5)/(18*$R$15))*('IN-OUT'!$F$15^(-1)))*DV35</f>
        <v>1.9551641022345582E-3</v>
      </c>
      <c r="DS35" s="254" t="e">
        <f t="shared" si="23"/>
        <v>#DIV/0!</v>
      </c>
      <c r="DT35" s="254" t="e">
        <f t="shared" si="47"/>
        <v>#DIV/0!</v>
      </c>
      <c r="DU35" s="254">
        <f t="shared" si="71"/>
        <v>1.8733333333333332E-3</v>
      </c>
      <c r="DV35" s="270">
        <f t="shared" si="24"/>
        <v>1.9551641022345582E-3</v>
      </c>
      <c r="DW35" s="253">
        <f t="shared" si="72"/>
        <v>1.2666666666666664E-4</v>
      </c>
      <c r="DX35" s="255">
        <f t="shared" si="48"/>
        <v>1.2666666666666663E-2</v>
      </c>
      <c r="EA35" s="1237"/>
      <c r="EB35" s="1246"/>
      <c r="EC35" s="452">
        <v>4</v>
      </c>
      <c r="ED35" s="466">
        <f>'transversal subsidence profile'!$L$5*EXP(-(EB20^2)/(2*'transversal subsidence profile'!$J$5^2))*100</f>
        <v>9.4430456042035871E-2</v>
      </c>
      <c r="EE35" s="466">
        <f>'transversal subsidence profile'!$L$5*EB20/'transversal subsidence profile'!$B$5*EXP(-(EB20^2)/(2*'transversal subsidence profile'!$J$5^2))*100</f>
        <v>-0.10953654016262648</v>
      </c>
      <c r="EF35" s="436">
        <f>('transversal subsidence profile'!$L$5/'transversal subsidence profile'!$B$5)*(1-((EB20^2)/(('transversal subsidence profile'!$J$5)^2)))*EXP(-(EB20^2)/(2*(('transversal subsidence profile'!$J$5)^2)))*100</f>
        <v>-3.5534809633244985E-2</v>
      </c>
      <c r="EG35" s="467">
        <f>'transversal subsidence profile'!$L$6*EXP(-(((EB20+$DZ$4))^2)/(2*'transversal subsidence profile'!$J$6^2))*100</f>
        <v>1.4355491971595786</v>
      </c>
      <c r="EH35" s="468">
        <f>'transversal subsidence profile'!$L$6*(EB20+$DZ$4)/'transversal subsidence profile'!$F$5*EXP(-((EB20+$DZ$4)^2)/(2*'transversal subsidence profile'!$J$6^2))*100</f>
        <v>-0.70816187404576914</v>
      </c>
      <c r="EI35" s="441">
        <f>('transversal subsidence profile'!$L$6/'transversal subsidence profile'!$F$5)*(1-(EB20+$DZ$4)^2/(('transversal subsidence profile'!$J$6)^2))*EXP(-((EB20+$DZ$4)^2)/(2*(('transversal subsidence profile'!$J$6)^2)))*100</f>
        <v>-1.9305425862414658E-2</v>
      </c>
      <c r="EJ35" s="430"/>
      <c r="EK35" s="445">
        <f>IF('IN-OUT'!$F$26=0,EG35,IF('IN-OUT'!$F$35=0,ED35,ED35+EG35))</f>
        <v>1.5299796532016146</v>
      </c>
      <c r="EL35" s="445">
        <f>IF('IN-OUT'!$F$26=0,EH35,IF('IN-OUT'!$F$35=0,EE35,EE35+EH35))</f>
        <v>-0.81769841420839562</v>
      </c>
      <c r="EM35" s="563">
        <f>IF('IN-OUT'!$F$26=0,EI35,IF('IN-OUT'!$F$35=0,EF35,EF35+EI35))</f>
        <v>-5.4840235495659639E-2</v>
      </c>
      <c r="EO35" s="463">
        <f>IF(AND($EK$30=$EK$31,$EK$34&gt;$EK$30),$EK$34-$EK$30,IF(AND($EK$30=$EK$31,$EK$34&lt;$EK$30),$EK$30-$EK$34,0))</f>
        <v>0</v>
      </c>
      <c r="EP35" s="370">
        <f>IF($EK$30&lt;$EK$31,($EK$31-$EK$30)/($EB$10-$EB$9),($EK$30-$EK$31)/($EB$10-$EB$9))</f>
        <v>0.23453619085967409</v>
      </c>
      <c r="EQ35" s="370">
        <f>IF($EK$30&lt;$EK$31,(EA20*$EB$24*$EP$32)+$EK$30,((($EB$10-$EB$9)-(EA20*$EB$24))*$EP$32)+$EK$31)</f>
        <v>1.6487024259297482</v>
      </c>
      <c r="ER35" s="370">
        <f>IF(EK30=EK31,0,IF($EQ$35&gt;$EK$35,($EQ$35-$EK$35),($EK$35-$EQ$35)))</f>
        <v>0.1187227727281337</v>
      </c>
      <c r="ES35" s="447">
        <f>MAX(ER35,EO35)</f>
        <v>0.1187227727281337</v>
      </c>
      <c r="FE35" s="681"/>
      <c r="FF35" s="681"/>
      <c r="FI35" s="667">
        <v>3</v>
      </c>
      <c r="FJ35" s="668" t="s">
        <v>168</v>
      </c>
      <c r="FK35" s="674" t="s">
        <v>169</v>
      </c>
    </row>
    <row r="36" spans="7:167" ht="17.399999999999999" thickBot="1">
      <c r="G36" s="245"/>
      <c r="H36" s="245"/>
      <c r="I36" s="246"/>
      <c r="Q36" t="s">
        <v>336</v>
      </c>
      <c r="R36" s="721">
        <f>P27*100</f>
        <v>0.1</v>
      </c>
      <c r="S36" s="340" t="s">
        <v>337</v>
      </c>
      <c r="V36" s="258">
        <f>(((IF($P$5&lt;&gt;0,$P$5,IF($P$6&lt;&gt;0,$P$6,IF($P$7&lt;&gt;0,$P$7,0))))/(12*$P$19))+(((3*$P$15)/(2*(IF($P$5&lt;&gt;0,$P$5,IF($P$6&lt;&gt;0,$P$6,IF($P$7&lt;&gt;0,$P$7,0))))*$U$5*$P$19))*'IN-OUT'!$F$15))*'Burland damage classification'!Z36</f>
        <v>6.4203045532144009E-4</v>
      </c>
      <c r="W36" s="262">
        <f>(1+(((IF($P$5&lt;&gt;0,$P$5^2,IF($P$6&lt;&gt;0,$P$6^2,IF($P$7&lt;&gt;0,$P$7^2))))*$U$5)/(18*$P$15))*('IN-OUT'!$F$15^(-1)))*AA36</f>
        <v>2.9879607713699546E-4</v>
      </c>
      <c r="X36" s="262">
        <f t="shared" si="1"/>
        <v>2.9879607713699546E-4</v>
      </c>
      <c r="Y36" s="262">
        <f t="shared" si="25"/>
        <v>2.9879607713699546E-2</v>
      </c>
      <c r="Z36" s="916">
        <f t="shared" si="49"/>
        <v>2.0000000000000017E-4</v>
      </c>
      <c r="AA36" s="270">
        <f t="shared" si="2"/>
        <v>2.8284271247461902E-4</v>
      </c>
      <c r="AB36" s="270">
        <f t="shared" si="50"/>
        <v>1.3333333333333331E-4</v>
      </c>
      <c r="AC36" s="271">
        <f t="shared" si="26"/>
        <v>1.3333333333333331E-2</v>
      </c>
      <c r="AE36" s="258">
        <f>(((IF($P$5&lt;&gt;0,$P$5,IF($P$6&lt;&gt;0,$P$6,IF($P$7&lt;&gt;0,$P$7,0))))/(12*$P$19))+(((3*$P$15)/(2*(IF($P$5&lt;&gt;0,$P$5,IF($P$6&lt;&gt;0,$P$6,IF($P$7&lt;&gt;0,$P$7,0))))*$U$5*$P$19))*'IN-OUT'!$F$15))*'Burland damage classification'!AI36</f>
        <v>1.1770558347559737E-3</v>
      </c>
      <c r="AF36" s="254">
        <f>(1+(((IF($P$5&lt;&gt;0,$P$5^2,IF($P$6&lt;&gt;0,$P$6^2,IF($P$7&lt;&gt;0,$P$7^2))))*$U$5)/(18*$P$15))*('IN-OUT'!$F$15^(-1)))*AJ36</f>
        <v>4.763587950300653E-4</v>
      </c>
      <c r="AG36" s="254">
        <f t="shared" si="3"/>
        <v>4.763587950300653E-4</v>
      </c>
      <c r="AH36" s="254">
        <f t="shared" si="27"/>
        <v>4.7635879503006531E-2</v>
      </c>
      <c r="AI36" s="254">
        <f t="shared" si="51"/>
        <v>3.6666666666666705E-4</v>
      </c>
      <c r="AJ36" s="253">
        <f t="shared" si="4"/>
        <v>4.509249752822894E-4</v>
      </c>
      <c r="AK36" s="253">
        <f t="shared" si="52"/>
        <v>1.3333333333333331E-4</v>
      </c>
      <c r="AL36" s="255">
        <f t="shared" si="28"/>
        <v>1.3333333333333331E-2</v>
      </c>
      <c r="AN36" s="258">
        <f>(((IF($P$5&lt;&gt;0,$P$5,IF($P$6&lt;&gt;0,$P$6,IF($P$7&lt;&gt;0,$P$7,0))))/(12*$P$19))+(((3*$P$15)/(2*(IF($P$5&lt;&gt;0,$P$5,IF($P$6&lt;&gt;0,$P$6,IF($P$7&lt;&gt;0,$P$7,0))))*$U$5*$P$19))*'IN-OUT'!$F$15))*'Burland damage classification'!AR36</f>
        <v>2.7821319730595719E-3</v>
      </c>
      <c r="AO36" s="254">
        <f>(1+(((IF($P$5&lt;&gt;0,$P$5^2,IF($P$6&lt;&gt;0,$P$6^2,IF($P$7&lt;&gt;0,$P$7^2))))*$U$5)/(18*$P$15))*('IN-OUT'!$F$15^(-1)))*AS36</f>
        <v>1.0058974855361006E-3</v>
      </c>
      <c r="AP36" s="254">
        <f t="shared" si="5"/>
        <v>1.0058974855361006E-3</v>
      </c>
      <c r="AQ36" s="254">
        <f t="shared" si="29"/>
        <v>0.10058974855361007</v>
      </c>
      <c r="AR36" s="254">
        <f t="shared" si="53"/>
        <v>8.6666666666666674E-4</v>
      </c>
      <c r="AS36" s="253">
        <f t="shared" si="6"/>
        <v>9.5219045713904667E-4</v>
      </c>
      <c r="AT36" s="253">
        <f t="shared" si="54"/>
        <v>1.3333333333333331E-4</v>
      </c>
      <c r="AU36" s="255">
        <f t="shared" si="30"/>
        <v>1.3333333333333331E-2</v>
      </c>
      <c r="AW36" s="258">
        <f>(((IF($P$5&lt;&gt;0,$P$5,IF($P$6&lt;&gt;0,$P$6,IF($P$7&lt;&gt;0,$P$7,0))))/(12*$P$19))+(((3*$P$15)/(2*(IF($P$5&lt;&gt;0,$P$5,IF($P$6&lt;&gt;0,$P$6,IF($P$7&lt;&gt;0,$P$7,0))))*$U$5*$P$19))*'IN-OUT'!$F$15))*'Burland damage classification'!BA36</f>
        <v>5.9922842496667687E-3</v>
      </c>
      <c r="AX36" s="254">
        <f>(1+(((IF($P$5&lt;&gt;0,$P$5^2,IF($P$6&lt;&gt;0,$P$6^2,IF($P$7&lt;&gt;0,$P$7^2))))*$U$5)/(18*$P$15))*('IN-OUT'!$F$15^(-1)))*BB36</f>
        <v>2.062919507791599E-3</v>
      </c>
      <c r="AY36" s="254">
        <f t="shared" si="7"/>
        <v>2.062919507791599E-3</v>
      </c>
      <c r="AZ36" s="254">
        <f t="shared" si="31"/>
        <v>0.2062919507791599</v>
      </c>
      <c r="BA36" s="254">
        <f t="shared" si="55"/>
        <v>1.8666666666666664E-3</v>
      </c>
      <c r="BB36" s="270">
        <f t="shared" si="8"/>
        <v>1.952775802116908E-3</v>
      </c>
      <c r="BC36" s="253">
        <f t="shared" si="56"/>
        <v>1.3333333333333331E-4</v>
      </c>
      <c r="BD36" s="255">
        <f t="shared" si="32"/>
        <v>1.3333333333333331E-2</v>
      </c>
      <c r="BF36" s="258" t="e">
        <f>((((IF($Q$5=0,$Q$6,$Q$5)))/(12*$Q$19))+(((3*$Q$15)/(2*IF($Q$5=0,$Q$6,$Q$5)*$U$5*$Q$19))*'IN-OUT'!$F$15))*'Burland damage classification'!BJ36</f>
        <v>#DIV/0!</v>
      </c>
      <c r="BG36" s="262">
        <f>(1+(((IF($Q$5=0,$Q$6^2,$Q$5^2))*$U$5)/(18*$Q$15))*('IN-OUT'!$F$15^(-1)))*BK36</f>
        <v>2.8284271247461902E-4</v>
      </c>
      <c r="BH36" s="262" t="e">
        <f t="shared" si="9"/>
        <v>#DIV/0!</v>
      </c>
      <c r="BI36" s="262" t="e">
        <f t="shared" si="33"/>
        <v>#DIV/0!</v>
      </c>
      <c r="BJ36" s="262">
        <f t="shared" si="57"/>
        <v>2.0000000000000017E-4</v>
      </c>
      <c r="BK36" s="270">
        <f t="shared" si="10"/>
        <v>2.8284271247461902E-4</v>
      </c>
      <c r="BL36" s="270">
        <f t="shared" si="58"/>
        <v>1.3333333333333331E-4</v>
      </c>
      <c r="BM36" s="271">
        <f t="shared" si="34"/>
        <v>1.3333333333333331E-2</v>
      </c>
      <c r="BO36" s="258" t="e">
        <f>((((IF($Q$5=0,$Q$6,$Q$5)))/(12*$Q$19))+(((3*$Q$15)/(2*IF($Q$5=0,$Q$6,$Q$5)*$U$5*$Q$19))*'IN-OUT'!$F$15))*'Burland damage classification'!BS36</f>
        <v>#DIV/0!</v>
      </c>
      <c r="BP36" s="262">
        <f>(1+(((IF($Q$5=0,$Q$6^2,$Q$5^2))*$U$5)/(18*$Q$15))*('IN-OUT'!$F$15^(-1)))*BT36</f>
        <v>4.509249752822894E-4</v>
      </c>
      <c r="BQ36" s="254" t="e">
        <f t="shared" si="11"/>
        <v>#DIV/0!</v>
      </c>
      <c r="BR36" s="254" t="e">
        <f t="shared" si="35"/>
        <v>#DIV/0!</v>
      </c>
      <c r="BS36" s="254">
        <f t="shared" si="59"/>
        <v>3.6666666666666705E-4</v>
      </c>
      <c r="BT36" s="253">
        <f t="shared" si="12"/>
        <v>4.509249752822894E-4</v>
      </c>
      <c r="BU36" s="253">
        <f t="shared" si="60"/>
        <v>1.3333333333333331E-4</v>
      </c>
      <c r="BV36" s="255">
        <f t="shared" si="36"/>
        <v>1.3333333333333331E-2</v>
      </c>
      <c r="BX36" s="258" t="e">
        <f>((((IF($Q$5=0,$Q$6,$Q$5)))/(12*$Q$19))+(((3*$Q$15)/(2*IF($Q$5=0,$Q$6,$Q$5)*$U$5*$Q$19))*'IN-OUT'!$F$15))*'Burland damage classification'!CB36</f>
        <v>#DIV/0!</v>
      </c>
      <c r="BY36" s="262">
        <f>(1+(((IF($Q$5=0,$Q$6^2,$Q$5^2))*$U$5)/(18*$Q$15))*('IN-OUT'!$F$15^(-1)))*CC36</f>
        <v>9.5219045713904667E-4</v>
      </c>
      <c r="BZ36" s="254" t="e">
        <f t="shared" si="13"/>
        <v>#DIV/0!</v>
      </c>
      <c r="CA36" s="254" t="e">
        <f t="shared" si="37"/>
        <v>#DIV/0!</v>
      </c>
      <c r="CB36" s="254">
        <f t="shared" si="61"/>
        <v>8.6666666666666674E-4</v>
      </c>
      <c r="CC36" s="253">
        <f t="shared" si="14"/>
        <v>9.5219045713904667E-4</v>
      </c>
      <c r="CD36" s="253">
        <f t="shared" si="62"/>
        <v>1.3333333333333331E-4</v>
      </c>
      <c r="CE36" s="255">
        <f t="shared" si="38"/>
        <v>1.3333333333333331E-2</v>
      </c>
      <c r="CG36" s="258" t="e">
        <f>((((IF($Q$5=0,$Q$6,$Q$5)))/(12*$Q$19))+(((3*$Q$15)/(2*IF($Q$5=0,$Q$6,$Q$5)*$U$5*$Q$19))*'IN-OUT'!$F$15))*'Burland damage classification'!CK36</f>
        <v>#DIV/0!</v>
      </c>
      <c r="CH36" s="262">
        <f>(1+(((IF($Q$5=0,$Q$6^2,$Q$5^2))*$U$5)/(18*$Q$15))*('IN-OUT'!$F$15^(-1)))*CL36</f>
        <v>1.952775802116908E-3</v>
      </c>
      <c r="CI36" s="254" t="e">
        <f t="shared" si="15"/>
        <v>#DIV/0!</v>
      </c>
      <c r="CJ36" s="254" t="e">
        <f t="shared" si="39"/>
        <v>#DIV/0!</v>
      </c>
      <c r="CK36" s="254">
        <f t="shared" si="63"/>
        <v>1.8666666666666664E-3</v>
      </c>
      <c r="CL36" s="270">
        <f t="shared" si="16"/>
        <v>1.952775802116908E-3</v>
      </c>
      <c r="CM36" s="253">
        <f t="shared" si="64"/>
        <v>1.3333333333333331E-4</v>
      </c>
      <c r="CN36" s="255">
        <f t="shared" si="40"/>
        <v>1.3333333333333331E-2</v>
      </c>
      <c r="CP36" s="258" t="e">
        <f>((((IF($R$5=0,$R$6,$R$5)))/(12*$R$19))+(((3*$R$15)/(2*IF($R$5=0,$R$6,$R$5)*$U$5*$R$19))*'IN-OUT'!$F$15))*'Burland damage classification'!CT36</f>
        <v>#DIV/0!</v>
      </c>
      <c r="CQ36" s="262">
        <f>(1+(((IF($R$5=0,$R$6^2,$R$5^2))*$U$5)/(18*$R$15))*('IN-OUT'!$F$15^(-1)))*CU36</f>
        <v>2.8284271247461902E-4</v>
      </c>
      <c r="CR36" s="262" t="e">
        <f t="shared" si="17"/>
        <v>#DIV/0!</v>
      </c>
      <c r="CS36" s="262" t="e">
        <f t="shared" si="41"/>
        <v>#DIV/0!</v>
      </c>
      <c r="CT36" s="262">
        <f t="shared" si="65"/>
        <v>2.0000000000000017E-4</v>
      </c>
      <c r="CU36" s="270">
        <f t="shared" si="18"/>
        <v>2.8284271247461902E-4</v>
      </c>
      <c r="CV36" s="270">
        <f t="shared" si="66"/>
        <v>1.3333333333333331E-4</v>
      </c>
      <c r="CW36" s="271">
        <f t="shared" si="42"/>
        <v>1.3333333333333331E-2</v>
      </c>
      <c r="CY36" s="258" t="e">
        <f>((((IF($R$5=0,$R$6,$R$5)))/(12*$R$19))+(((3*$R$15)/(2*IF($R$5=0,$R$6,$R$5)*$U$5*$R$19))*'IN-OUT'!$F$15))*'Burland damage classification'!DC36</f>
        <v>#DIV/0!</v>
      </c>
      <c r="CZ36" s="262">
        <f>(1+(((IF($R$5=0,$R$6^2,$R$5^2))*$U$5)/(18*$R$15))*('IN-OUT'!$F$15^(-1)))*DD36</f>
        <v>4.509249752822894E-4</v>
      </c>
      <c r="DA36" s="254" t="e">
        <f t="shared" si="19"/>
        <v>#DIV/0!</v>
      </c>
      <c r="DB36" s="254" t="e">
        <f t="shared" si="43"/>
        <v>#DIV/0!</v>
      </c>
      <c r="DC36" s="254">
        <f t="shared" si="67"/>
        <v>3.6666666666666705E-4</v>
      </c>
      <c r="DD36" s="253">
        <f t="shared" si="20"/>
        <v>4.509249752822894E-4</v>
      </c>
      <c r="DE36" s="253">
        <f t="shared" si="68"/>
        <v>1.3333333333333331E-4</v>
      </c>
      <c r="DF36" s="255">
        <f t="shared" si="44"/>
        <v>1.3333333333333331E-2</v>
      </c>
      <c r="DH36" s="258" t="e">
        <f>((((IF($R$5=0,$R$6,$R$5)))/(12*$R$19))+(((3*$R$15)/(2*IF($R$5=0,$R$6,$R$5)*$U$5*$R$19))*'IN-OUT'!$F$15))*'Burland damage classification'!DL36</f>
        <v>#DIV/0!</v>
      </c>
      <c r="DI36" s="262">
        <f>(1+(((IF($R$5=0,$R$6^2,$R$5^2))*$U$5)/(18*$R$15))*('IN-OUT'!$F$15^(-1)))*DM36</f>
        <v>9.5219045713904667E-4</v>
      </c>
      <c r="DJ36" s="254" t="e">
        <f t="shared" si="21"/>
        <v>#DIV/0!</v>
      </c>
      <c r="DK36" s="254" t="e">
        <f t="shared" si="45"/>
        <v>#DIV/0!</v>
      </c>
      <c r="DL36" s="254">
        <f t="shared" si="69"/>
        <v>8.6666666666666674E-4</v>
      </c>
      <c r="DM36" s="253">
        <f t="shared" si="22"/>
        <v>9.5219045713904667E-4</v>
      </c>
      <c r="DN36" s="253">
        <f t="shared" si="70"/>
        <v>1.3333333333333331E-4</v>
      </c>
      <c r="DO36" s="255">
        <f t="shared" si="46"/>
        <v>1.3333333333333331E-2</v>
      </c>
      <c r="DQ36" s="258" t="e">
        <f>((((IF($R$5=0,$R$6,$R$5)))/(12*$R$19))+(((3*$R$15)/(2*IF($R$5=0,$R$6,$R$5)*$U$5*$R$19))*'IN-OUT'!$F$15))*'Burland damage classification'!DU36</f>
        <v>#DIV/0!</v>
      </c>
      <c r="DR36" s="262">
        <f>(1+(((IF($R$5=0,$R$6^2,$R$5^2))*$U$5)/(18*$R$15))*('IN-OUT'!$F$15^(-1)))*DV36</f>
        <v>1.952775802116908E-3</v>
      </c>
      <c r="DS36" s="254" t="e">
        <f t="shared" si="23"/>
        <v>#DIV/0!</v>
      </c>
      <c r="DT36" s="254" t="e">
        <f t="shared" si="47"/>
        <v>#DIV/0!</v>
      </c>
      <c r="DU36" s="254">
        <f t="shared" si="71"/>
        <v>1.8666666666666664E-3</v>
      </c>
      <c r="DV36" s="270">
        <f t="shared" si="24"/>
        <v>1.952775802116908E-3</v>
      </c>
      <c r="DW36" s="253">
        <f t="shared" si="72"/>
        <v>1.3333333333333331E-4</v>
      </c>
      <c r="DX36" s="255">
        <f t="shared" si="48"/>
        <v>1.3333333333333331E-2</v>
      </c>
      <c r="EA36" s="1237"/>
      <c r="EB36" s="1247"/>
      <c r="EC36" s="453">
        <v>5</v>
      </c>
      <c r="ED36" s="469">
        <f>'transversal subsidence profile'!$L$5*EXP(-(EB21^2)/(2*'transversal subsidence profile'!$J$5^2))*100</f>
        <v>0.14697203977200524</v>
      </c>
      <c r="EE36" s="469">
        <f>'transversal subsidence profile'!$L$5*EB21/'transversal subsidence profile'!$B$5*EXP(-(EB21^2)/(2*'transversal subsidence profile'!$J$5^2))*100</f>
        <v>-0.158727632666645</v>
      </c>
      <c r="EF36" s="456">
        <f>('transversal subsidence profile'!$L$5/'transversal subsidence profile'!$B$5)*(1-((EB21^2)/(('transversal subsidence profile'!$J$5)^2)))*EXP(-(EB21^2)/(2*(('transversal subsidence profile'!$J$5)^2)))*100</f>
        <v>-4.66375839829146E-2</v>
      </c>
      <c r="EG36" s="470">
        <f>'transversal subsidence profile'!$L$6*EXP(-(((EB21+$DZ$4))^2)/(2*'transversal subsidence profile'!$J$6^2))*100</f>
        <v>1.7170373506267169</v>
      </c>
      <c r="EH36" s="471">
        <f>'transversal subsidence profile'!$L$6*(EB21+$DZ$4)/'transversal subsidence profile'!$F$5*EXP(-((EB21+$DZ$4)^2)/(2*'transversal subsidence profile'!$J$6^2))*100</f>
        <v>-0.70968341667416512</v>
      </c>
      <c r="EI36" s="459">
        <f>('transversal subsidence profile'!$L$6/'transversal subsidence profile'!$F$5)*(1-(EB21+$DZ$4)^2/(('transversal subsidence profile'!$J$6)^2))*EXP(-((EB21+$DZ$4)^2)/(2*(('transversal subsidence profile'!$J$6)^2)))*100</f>
        <v>1.7901145986844971E-2</v>
      </c>
      <c r="EJ36" s="430"/>
      <c r="EK36" s="564">
        <f>IF('IN-OUT'!$F$26=0,EG36,IF('IN-OUT'!$F$35=0,ED36,ED36+EG36))</f>
        <v>1.864009390398722</v>
      </c>
      <c r="EL36" s="564">
        <f>IF('IN-OUT'!$F$26=0,EH36,IF('IN-OUT'!$F$35=0,EE36,EE36+EH36))</f>
        <v>-0.86841104934081015</v>
      </c>
      <c r="EM36" s="565">
        <f>IF('IN-OUT'!$F$26=0,EI36,IF('IN-OUT'!$F$35=0,EF36,EF36+EI36))</f>
        <v>-2.873643799606963E-2</v>
      </c>
      <c r="EO36" s="465">
        <f>IF(AND($EK$30=$EK$31,$EK$34&gt;$EK$30),$EK$34-$EK$30,IF(AND($EK$30=$EK$31,$EK$34&lt;$EK$30),$EK$30-$EK$34,0))</f>
        <v>0</v>
      </c>
      <c r="EP36" s="415">
        <f>IF($EK$30&lt;$EK$31,($EK$31-$EK$30)/($EB$10-$EB$9),($EK$30-$EK$31)/($EB$10-$EB$9))</f>
        <v>0.23453619085967409</v>
      </c>
      <c r="EQ36" s="415">
        <f>IF($EK$30&lt;$EK$31,(EA21*$EB$24*$EP$32)+$EK$30,((($EB$10-$EB$9)-(EA21*$EB$24))*$EP$32)+$EK$31)</f>
        <v>1.9300939051950816</v>
      </c>
      <c r="ER36" s="415">
        <f>IF(EK30=EK31,0,IF($EQ$36&gt;$EK$36,($EQ$36-$EK$36),($EK$36-$EQ$36)))</f>
        <v>6.6084514796359572E-2</v>
      </c>
      <c r="ES36" s="448">
        <f>MAX(ER36,EO36)</f>
        <v>6.6084514796359572E-2</v>
      </c>
      <c r="FE36" s="681"/>
      <c r="FF36" s="681"/>
      <c r="FI36" s="667">
        <v>4</v>
      </c>
      <c r="FJ36" s="668" t="s">
        <v>170</v>
      </c>
      <c r="FK36" s="674" t="s">
        <v>171</v>
      </c>
    </row>
    <row r="37" spans="7:167" ht="13.8" thickBot="1">
      <c r="Q37" t="s">
        <v>336</v>
      </c>
      <c r="R37" s="721">
        <f>P28*100</f>
        <v>0.2</v>
      </c>
      <c r="S37" s="340" t="s">
        <v>337</v>
      </c>
      <c r="V37" s="258">
        <f>(((IF($P$5&lt;&gt;0,$P$5,IF($P$6&lt;&gt;0,$P$6,IF($P$7&lt;&gt;0,$P$7,0))))/(12*$P$19))+(((3*$P$15)/(2*(IF($P$5&lt;&gt;0,$P$5,IF($P$6&lt;&gt;0,$P$6,IF($P$7&lt;&gt;0,$P$7,0))))*$U$5*$P$19))*'IN-OUT'!$F$15))*'Burland damage classification'!Z37</f>
        <v>6.2062944014405882E-4</v>
      </c>
      <c r="W37" s="262">
        <f>(1+(((IF($P$5&lt;&gt;0,$P$5^2,IF($P$6&lt;&gt;0,$P$6^2,IF($P$7&lt;&gt;0,$P$7^2))))*$U$5)/(18*$P$15))*('IN-OUT'!$F$15^(-1)))*AA37</f>
        <v>2.9587685495122162E-4</v>
      </c>
      <c r="X37" s="262">
        <f t="shared" si="1"/>
        <v>2.9587685495122162E-4</v>
      </c>
      <c r="Y37" s="262">
        <f t="shared" si="25"/>
        <v>2.9587685495122161E-2</v>
      </c>
      <c r="Z37" s="916">
        <f t="shared" si="49"/>
        <v>1.933333333333335E-4</v>
      </c>
      <c r="AA37" s="270">
        <f t="shared" si="2"/>
        <v>2.8007935383466673E-4</v>
      </c>
      <c r="AB37" s="270">
        <f t="shared" si="50"/>
        <v>1.3999999999999999E-4</v>
      </c>
      <c r="AC37" s="271">
        <f t="shared" si="26"/>
        <v>1.3999999999999999E-2</v>
      </c>
      <c r="AE37" s="258">
        <f>(((IF($P$5&lt;&gt;0,$P$5,IF($P$6&lt;&gt;0,$P$6,IF($P$7&lt;&gt;0,$P$7,0))))/(12*$P$19))+(((3*$P$15)/(2*(IF($P$5&lt;&gt;0,$P$5,IF($P$6&lt;&gt;0,$P$6,IF($P$7&lt;&gt;0,$P$7,0))))*$U$5*$P$19))*'IN-OUT'!$F$15))*'Burland damage classification'!AI37</f>
        <v>1.1556548195785926E-3</v>
      </c>
      <c r="AF37" s="254">
        <f>(1+(((IF($P$5&lt;&gt;0,$P$5^2,IF($P$6&lt;&gt;0,$P$6^2,IF($P$7&lt;&gt;0,$P$7^2))))*$U$5)/(18*$P$15))*('IN-OUT'!$F$15^(-1)))*AJ37</f>
        <v>4.7361770234815876E-4</v>
      </c>
      <c r="AG37" s="254">
        <f t="shared" si="3"/>
        <v>4.7361770234815876E-4</v>
      </c>
      <c r="AH37" s="254">
        <f t="shared" si="27"/>
        <v>4.7361770234815873E-2</v>
      </c>
      <c r="AI37" s="254">
        <f t="shared" si="51"/>
        <v>3.600000000000004E-4</v>
      </c>
      <c r="AJ37" s="253">
        <f t="shared" si="4"/>
        <v>4.4833023542919788E-4</v>
      </c>
      <c r="AK37" s="253">
        <f t="shared" si="52"/>
        <v>1.3999999999999999E-4</v>
      </c>
      <c r="AL37" s="255">
        <f t="shared" si="28"/>
        <v>1.3999999999999999E-2</v>
      </c>
      <c r="AN37" s="258">
        <f>(((IF($P$5&lt;&gt;0,$P$5,IF($P$6&lt;&gt;0,$P$6,IF($P$7&lt;&gt;0,$P$7,0))))/(12*$P$19))+(((3*$P$15)/(2*(IF($P$5&lt;&gt;0,$P$5,IF($P$6&lt;&gt;0,$P$6,IF($P$7&lt;&gt;0,$P$7,0))))*$U$5*$P$19))*'IN-OUT'!$F$15))*'Burland damage classification'!AR37</f>
        <v>2.7607309578821905E-3</v>
      </c>
      <c r="AO37" s="254">
        <f>(1+(((IF($P$5&lt;&gt;0,$P$5^2,IF($P$6&lt;&gt;0,$P$6^2,IF($P$7&lt;&gt;0,$P$7^2))))*$U$5)/(18*$P$15))*('IN-OUT'!$F$15^(-1)))*AS37</f>
        <v>1.0033054391151064E-3</v>
      </c>
      <c r="AP37" s="254">
        <f t="shared" si="5"/>
        <v>1.0033054391151064E-3</v>
      </c>
      <c r="AQ37" s="254">
        <f t="shared" si="29"/>
        <v>0.10033054391151064</v>
      </c>
      <c r="AR37" s="254">
        <f t="shared" si="53"/>
        <v>8.6000000000000009E-4</v>
      </c>
      <c r="AS37" s="253">
        <f t="shared" si="6"/>
        <v>9.4973680564670122E-4</v>
      </c>
      <c r="AT37" s="253">
        <f t="shared" si="54"/>
        <v>1.3999999999999999E-4</v>
      </c>
      <c r="AU37" s="255">
        <f t="shared" si="30"/>
        <v>1.3999999999999999E-2</v>
      </c>
      <c r="AW37" s="258">
        <f>(((IF($P$5&lt;&gt;0,$P$5,IF($P$6&lt;&gt;0,$P$6,IF($P$7&lt;&gt;0,$P$7,0))))/(12*$P$19))+(((3*$P$15)/(2*(IF($P$5&lt;&gt;0,$P$5,IF($P$6&lt;&gt;0,$P$6,IF($P$7&lt;&gt;0,$P$7,0))))*$U$5*$P$19))*'IN-OUT'!$F$15))*'Burland damage classification'!BA37</f>
        <v>5.9708832344893869E-3</v>
      </c>
      <c r="AX37" s="254">
        <f>(1+(((IF($P$5&lt;&gt;0,$P$5^2,IF($P$6&lt;&gt;0,$P$6^2,IF($P$7&lt;&gt;0,$P$7^2))))*$U$5)/(18*$P$15))*('IN-OUT'!$F$15^(-1)))*BB37</f>
        <v>2.0603934093098211E-3</v>
      </c>
      <c r="AY37" s="254">
        <f t="shared" si="7"/>
        <v>2.0603934093098211E-3</v>
      </c>
      <c r="AZ37" s="254">
        <f t="shared" si="31"/>
        <v>0.20603934093098211</v>
      </c>
      <c r="BA37" s="254">
        <f t="shared" si="55"/>
        <v>1.8599999999999997E-3</v>
      </c>
      <c r="BB37" s="270">
        <f t="shared" si="8"/>
        <v>1.9503845774615836E-3</v>
      </c>
      <c r="BC37" s="253">
        <f t="shared" si="56"/>
        <v>1.3999999999999999E-4</v>
      </c>
      <c r="BD37" s="255">
        <f t="shared" si="32"/>
        <v>1.3999999999999999E-2</v>
      </c>
      <c r="BF37" s="258" t="e">
        <f>((((IF($Q$5=0,$Q$6,$Q$5)))/(12*$Q$19))+(((3*$Q$15)/(2*IF($Q$5=0,$Q$6,$Q$5)*$U$5*$Q$19))*'IN-OUT'!$F$15))*'Burland damage classification'!BJ37</f>
        <v>#DIV/0!</v>
      </c>
      <c r="BG37" s="262">
        <f>(1+(((IF($Q$5=0,$Q$6^2,$Q$5^2))*$U$5)/(18*$Q$15))*('IN-OUT'!$F$15^(-1)))*BK37</f>
        <v>2.8007935383466673E-4</v>
      </c>
      <c r="BH37" s="262" t="e">
        <f t="shared" si="9"/>
        <v>#DIV/0!</v>
      </c>
      <c r="BI37" s="262" t="e">
        <f t="shared" si="33"/>
        <v>#DIV/0!</v>
      </c>
      <c r="BJ37" s="262">
        <f t="shared" si="57"/>
        <v>1.933333333333335E-4</v>
      </c>
      <c r="BK37" s="270">
        <f t="shared" si="10"/>
        <v>2.8007935383466673E-4</v>
      </c>
      <c r="BL37" s="270">
        <f t="shared" si="58"/>
        <v>1.3999999999999999E-4</v>
      </c>
      <c r="BM37" s="271">
        <f t="shared" si="34"/>
        <v>1.3999999999999999E-2</v>
      </c>
      <c r="BO37" s="258" t="e">
        <f>((((IF($Q$5=0,$Q$6,$Q$5)))/(12*$Q$19))+(((3*$Q$15)/(2*IF($Q$5=0,$Q$6,$Q$5)*$U$5*$Q$19))*'IN-OUT'!$F$15))*'Burland damage classification'!BS37</f>
        <v>#DIV/0!</v>
      </c>
      <c r="BP37" s="262">
        <f>(1+(((IF($Q$5=0,$Q$6^2,$Q$5^2))*$U$5)/(18*$Q$15))*('IN-OUT'!$F$15^(-1)))*BT37</f>
        <v>4.4833023542919788E-4</v>
      </c>
      <c r="BQ37" s="254" t="e">
        <f t="shared" si="11"/>
        <v>#DIV/0!</v>
      </c>
      <c r="BR37" s="254" t="e">
        <f t="shared" si="35"/>
        <v>#DIV/0!</v>
      </c>
      <c r="BS37" s="254">
        <f t="shared" si="59"/>
        <v>3.600000000000004E-4</v>
      </c>
      <c r="BT37" s="253">
        <f t="shared" si="12"/>
        <v>4.4833023542919788E-4</v>
      </c>
      <c r="BU37" s="253">
        <f t="shared" si="60"/>
        <v>1.3999999999999999E-4</v>
      </c>
      <c r="BV37" s="255">
        <f t="shared" si="36"/>
        <v>1.3999999999999999E-2</v>
      </c>
      <c r="BX37" s="258" t="e">
        <f>((((IF($Q$5=0,$Q$6,$Q$5)))/(12*$Q$19))+(((3*$Q$15)/(2*IF($Q$5=0,$Q$6,$Q$5)*$U$5*$Q$19))*'IN-OUT'!$F$15))*'Burland damage classification'!CB37</f>
        <v>#DIV/0!</v>
      </c>
      <c r="BY37" s="262">
        <f>(1+(((IF($Q$5=0,$Q$6^2,$Q$5^2))*$U$5)/(18*$Q$15))*('IN-OUT'!$F$15^(-1)))*CC37</f>
        <v>9.4973680564670122E-4</v>
      </c>
      <c r="BZ37" s="254" t="e">
        <f t="shared" si="13"/>
        <v>#DIV/0!</v>
      </c>
      <c r="CA37" s="254" t="e">
        <f t="shared" si="37"/>
        <v>#DIV/0!</v>
      </c>
      <c r="CB37" s="254">
        <f t="shared" si="61"/>
        <v>8.6000000000000009E-4</v>
      </c>
      <c r="CC37" s="253">
        <f t="shared" si="14"/>
        <v>9.4973680564670122E-4</v>
      </c>
      <c r="CD37" s="253">
        <f t="shared" si="62"/>
        <v>1.3999999999999999E-4</v>
      </c>
      <c r="CE37" s="255">
        <f t="shared" si="38"/>
        <v>1.3999999999999999E-2</v>
      </c>
      <c r="CG37" s="258" t="e">
        <f>((((IF($Q$5=0,$Q$6,$Q$5)))/(12*$Q$19))+(((3*$Q$15)/(2*IF($Q$5=0,$Q$6,$Q$5)*$U$5*$Q$19))*'IN-OUT'!$F$15))*'Burland damage classification'!CK37</f>
        <v>#DIV/0!</v>
      </c>
      <c r="CH37" s="262">
        <f>(1+(((IF($Q$5=0,$Q$6^2,$Q$5^2))*$U$5)/(18*$Q$15))*('IN-OUT'!$F$15^(-1)))*CL37</f>
        <v>1.9503845774615836E-3</v>
      </c>
      <c r="CI37" s="254" t="e">
        <f t="shared" si="15"/>
        <v>#DIV/0!</v>
      </c>
      <c r="CJ37" s="254" t="e">
        <f t="shared" si="39"/>
        <v>#DIV/0!</v>
      </c>
      <c r="CK37" s="254">
        <f t="shared" si="63"/>
        <v>1.8599999999999997E-3</v>
      </c>
      <c r="CL37" s="270">
        <f t="shared" si="16"/>
        <v>1.9503845774615836E-3</v>
      </c>
      <c r="CM37" s="253">
        <f t="shared" si="64"/>
        <v>1.3999999999999999E-4</v>
      </c>
      <c r="CN37" s="255">
        <f t="shared" si="40"/>
        <v>1.3999999999999999E-2</v>
      </c>
      <c r="CP37" s="258" t="e">
        <f>((((IF($R$5=0,$R$6,$R$5)))/(12*$R$19))+(((3*$R$15)/(2*IF($R$5=0,$R$6,$R$5)*$U$5*$R$19))*'IN-OUT'!$F$15))*'Burland damage classification'!CT37</f>
        <v>#DIV/0!</v>
      </c>
      <c r="CQ37" s="262">
        <f>(1+(((IF($R$5=0,$R$6^2,$R$5^2))*$U$5)/(18*$R$15))*('IN-OUT'!$F$15^(-1)))*CU37</f>
        <v>2.8007935383466673E-4</v>
      </c>
      <c r="CR37" s="262" t="e">
        <f t="shared" si="17"/>
        <v>#DIV/0!</v>
      </c>
      <c r="CS37" s="262" t="e">
        <f t="shared" si="41"/>
        <v>#DIV/0!</v>
      </c>
      <c r="CT37" s="262">
        <f t="shared" si="65"/>
        <v>1.933333333333335E-4</v>
      </c>
      <c r="CU37" s="270">
        <f t="shared" si="18"/>
        <v>2.8007935383466673E-4</v>
      </c>
      <c r="CV37" s="270">
        <f t="shared" si="66"/>
        <v>1.3999999999999999E-4</v>
      </c>
      <c r="CW37" s="271">
        <f t="shared" si="42"/>
        <v>1.3999999999999999E-2</v>
      </c>
      <c r="CY37" s="258" t="e">
        <f>((((IF($R$5=0,$R$6,$R$5)))/(12*$R$19))+(((3*$R$15)/(2*IF($R$5=0,$R$6,$R$5)*$U$5*$R$19))*'IN-OUT'!$F$15))*'Burland damage classification'!DC37</f>
        <v>#DIV/0!</v>
      </c>
      <c r="CZ37" s="262">
        <f>(1+(((IF($R$5=0,$R$6^2,$R$5^2))*$U$5)/(18*$R$15))*('IN-OUT'!$F$15^(-1)))*DD37</f>
        <v>4.4833023542919788E-4</v>
      </c>
      <c r="DA37" s="254" t="e">
        <f t="shared" si="19"/>
        <v>#DIV/0!</v>
      </c>
      <c r="DB37" s="254" t="e">
        <f t="shared" si="43"/>
        <v>#DIV/0!</v>
      </c>
      <c r="DC37" s="254">
        <f t="shared" si="67"/>
        <v>3.600000000000004E-4</v>
      </c>
      <c r="DD37" s="253">
        <f t="shared" si="20"/>
        <v>4.4833023542919788E-4</v>
      </c>
      <c r="DE37" s="253">
        <f t="shared" si="68"/>
        <v>1.3999999999999999E-4</v>
      </c>
      <c r="DF37" s="255">
        <f t="shared" si="44"/>
        <v>1.3999999999999999E-2</v>
      </c>
      <c r="DH37" s="258" t="e">
        <f>((((IF($R$5=0,$R$6,$R$5)))/(12*$R$19))+(((3*$R$15)/(2*IF($R$5=0,$R$6,$R$5)*$U$5*$R$19))*'IN-OUT'!$F$15))*'Burland damage classification'!DL37</f>
        <v>#DIV/0!</v>
      </c>
      <c r="DI37" s="262">
        <f>(1+(((IF($R$5=0,$R$6^2,$R$5^2))*$U$5)/(18*$R$15))*('IN-OUT'!$F$15^(-1)))*DM37</f>
        <v>9.4973680564670122E-4</v>
      </c>
      <c r="DJ37" s="254" t="e">
        <f t="shared" si="21"/>
        <v>#DIV/0!</v>
      </c>
      <c r="DK37" s="254" t="e">
        <f t="shared" si="45"/>
        <v>#DIV/0!</v>
      </c>
      <c r="DL37" s="254">
        <f t="shared" si="69"/>
        <v>8.6000000000000009E-4</v>
      </c>
      <c r="DM37" s="253">
        <f t="shared" si="22"/>
        <v>9.4973680564670122E-4</v>
      </c>
      <c r="DN37" s="253">
        <f t="shared" si="70"/>
        <v>1.3999999999999999E-4</v>
      </c>
      <c r="DO37" s="255">
        <f t="shared" si="46"/>
        <v>1.3999999999999999E-2</v>
      </c>
      <c r="DQ37" s="258" t="e">
        <f>((((IF($R$5=0,$R$6,$R$5)))/(12*$R$19))+(((3*$R$15)/(2*IF($R$5=0,$R$6,$R$5)*$U$5*$R$19))*'IN-OUT'!$F$15))*'Burland damage classification'!DU37</f>
        <v>#DIV/0!</v>
      </c>
      <c r="DR37" s="262">
        <f>(1+(((IF($R$5=0,$R$6^2,$R$5^2))*$U$5)/(18*$R$15))*('IN-OUT'!$F$15^(-1)))*DV37</f>
        <v>1.9503845774615836E-3</v>
      </c>
      <c r="DS37" s="254" t="e">
        <f t="shared" si="23"/>
        <v>#DIV/0!</v>
      </c>
      <c r="DT37" s="254" t="e">
        <f t="shared" si="47"/>
        <v>#DIV/0!</v>
      </c>
      <c r="DU37" s="254">
        <f t="shared" si="71"/>
        <v>1.8599999999999997E-3</v>
      </c>
      <c r="DV37" s="270">
        <f t="shared" si="24"/>
        <v>1.9503845774615836E-3</v>
      </c>
      <c r="DW37" s="253">
        <f t="shared" si="72"/>
        <v>1.3999999999999999E-4</v>
      </c>
      <c r="DX37" s="255">
        <f t="shared" si="48"/>
        <v>1.3999999999999999E-2</v>
      </c>
      <c r="EA37" s="1237"/>
      <c r="EO37" s="430"/>
      <c r="FE37" s="681"/>
      <c r="FF37" s="681"/>
      <c r="FI37" s="669">
        <v>5</v>
      </c>
      <c r="FJ37" s="670" t="s">
        <v>172</v>
      </c>
      <c r="FK37" s="675"/>
    </row>
    <row r="38" spans="7:167" ht="13.8" thickBot="1">
      <c r="V38" s="258">
        <f>(((IF($P$5&lt;&gt;0,$P$5,IF($P$6&lt;&gt;0,$P$6,IF($P$7&lt;&gt;0,$P$7,0))))/(12*$P$19))+(((3*$P$15)/(2*(IF($P$5&lt;&gt;0,$P$5,IF($P$6&lt;&gt;0,$P$6,IF($P$7&lt;&gt;0,$P$7,0))))*$U$5*$P$19))*'IN-OUT'!$F$15))*'Burland damage classification'!Z38</f>
        <v>5.9922842496667745E-4</v>
      </c>
      <c r="W38" s="262">
        <f>(1+(((IF($P$5&lt;&gt;0,$P$5^2,IF($P$6&lt;&gt;0,$P$6^2,IF($P$7&lt;&gt;0,$P$7^2))))*$U$5)/(18*$P$15))*('IN-OUT'!$F$15^(-1)))*AA38</f>
        <v>2.9292854227472461E-4</v>
      </c>
      <c r="X38" s="262">
        <f t="shared" si="1"/>
        <v>2.9292854227472461E-4</v>
      </c>
      <c r="Y38" s="262">
        <f t="shared" si="25"/>
        <v>2.9292854227472461E-2</v>
      </c>
      <c r="Z38" s="916">
        <f t="shared" si="49"/>
        <v>1.8666666666666682E-4</v>
      </c>
      <c r="AA38" s="270">
        <f t="shared" si="2"/>
        <v>2.7728845790780563E-4</v>
      </c>
      <c r="AB38" s="270">
        <f t="shared" si="50"/>
        <v>1.4666666666666666E-4</v>
      </c>
      <c r="AC38" s="271">
        <f t="shared" si="26"/>
        <v>1.4666666666666666E-2</v>
      </c>
      <c r="AE38" s="258">
        <f>(((IF($P$5&lt;&gt;0,$P$5,IF($P$6&lt;&gt;0,$P$6,IF($P$7&lt;&gt;0,$P$7,0))))/(12*$P$19))+(((3*$P$15)/(2*(IF($P$5&lt;&gt;0,$P$5,IF($P$6&lt;&gt;0,$P$6,IF($P$7&lt;&gt;0,$P$7,0))))*$U$5*$P$19))*'IN-OUT'!$F$15))*'Burland damage classification'!AI38</f>
        <v>1.1342538044012112E-3</v>
      </c>
      <c r="AF38" s="254">
        <f>(1+(((IF($P$5&lt;&gt;0,$P$5^2,IF($P$6&lt;&gt;0,$P$6^2,IF($P$7&lt;&gt;0,$P$7^2))))*$U$5)/(18*$P$15))*('IN-OUT'!$F$15^(-1)))*AJ38</f>
        <v>4.7086065279719686E-4</v>
      </c>
      <c r="AG38" s="254">
        <f t="shared" si="3"/>
        <v>4.7086065279719686E-4</v>
      </c>
      <c r="AH38" s="254">
        <f t="shared" si="27"/>
        <v>4.7086065279719688E-2</v>
      </c>
      <c r="AI38" s="254">
        <f t="shared" si="51"/>
        <v>3.5333333333333375E-4</v>
      </c>
      <c r="AJ38" s="253">
        <f t="shared" si="4"/>
        <v>4.4572039067858072E-4</v>
      </c>
      <c r="AK38" s="253">
        <f t="shared" si="52"/>
        <v>1.4666666666666666E-4</v>
      </c>
      <c r="AL38" s="255">
        <f t="shared" si="28"/>
        <v>1.4666666666666666E-2</v>
      </c>
      <c r="AN38" s="258">
        <f>(((IF($P$5&lt;&gt;0,$P$5,IF($P$6&lt;&gt;0,$P$6,IF($P$7&lt;&gt;0,$P$7,0))))/(12*$P$19))+(((3*$P$15)/(2*(IF($P$5&lt;&gt;0,$P$5,IF($P$6&lt;&gt;0,$P$6,IF($P$7&lt;&gt;0,$P$7,0))))*$U$5*$P$19))*'IN-OUT'!$F$15))*'Burland damage classification'!AR38</f>
        <v>2.7393299427048092E-3</v>
      </c>
      <c r="AO38" s="254">
        <f>(1+(((IF($P$5&lt;&gt;0,$P$5^2,IF($P$6&lt;&gt;0,$P$6^2,IF($P$7&lt;&gt;0,$P$7^2))))*$U$5)/(18*$P$15))*('IN-OUT'!$F$15^(-1)))*AS38</f>
        <v>1.0007066787565992E-3</v>
      </c>
      <c r="AP38" s="254">
        <f t="shared" si="5"/>
        <v>1.0007066787565992E-3</v>
      </c>
      <c r="AQ38" s="254">
        <f t="shared" si="29"/>
        <v>0.10007066787565992</v>
      </c>
      <c r="AR38" s="254">
        <f t="shared" si="53"/>
        <v>8.5333333333333344E-4</v>
      </c>
      <c r="AS38" s="253">
        <f t="shared" si="6"/>
        <v>9.4727679868839465E-4</v>
      </c>
      <c r="AT38" s="253">
        <f t="shared" si="54"/>
        <v>1.4666666666666666E-4</v>
      </c>
      <c r="AU38" s="255">
        <f t="shared" si="30"/>
        <v>1.4666666666666666E-2</v>
      </c>
      <c r="AW38" s="258">
        <f>(((IF($P$5&lt;&gt;0,$P$5,IF($P$6&lt;&gt;0,$P$6,IF($P$7&lt;&gt;0,$P$7,0))))/(12*$P$19))+(((3*$P$15)/(2*(IF($P$5&lt;&gt;0,$P$5,IF($P$6&lt;&gt;0,$P$6,IF($P$7&lt;&gt;0,$P$7,0))))*$U$5*$P$19))*'IN-OUT'!$F$15))*'Burland damage classification'!BA38</f>
        <v>5.9494822193120059E-3</v>
      </c>
      <c r="AX38" s="254">
        <f>(1+(((IF($P$5&lt;&gt;0,$P$5^2,IF($P$6&lt;&gt;0,$P$6^2,IF($P$7&lt;&gt;0,$P$7^2))))*$U$5)/(18*$P$15))*('IN-OUT'!$F$15^(-1)))*BB38</f>
        <v>2.0578642099583636E-3</v>
      </c>
      <c r="AY38" s="254">
        <f t="shared" si="7"/>
        <v>2.0578642099583636E-3</v>
      </c>
      <c r="AZ38" s="254">
        <f t="shared" si="31"/>
        <v>0.20578642099583636</v>
      </c>
      <c r="BA38" s="254">
        <f t="shared" si="55"/>
        <v>1.8533333333333329E-3</v>
      </c>
      <c r="BB38" s="270">
        <f t="shared" si="8"/>
        <v>1.9479904174986762E-3</v>
      </c>
      <c r="BC38" s="253">
        <f t="shared" si="56"/>
        <v>1.4666666666666666E-4</v>
      </c>
      <c r="BD38" s="255">
        <f t="shared" si="32"/>
        <v>1.4666666666666666E-2</v>
      </c>
      <c r="BF38" s="258" t="e">
        <f>((((IF($Q$5=0,$Q$6,$Q$5)))/(12*$Q$19))+(((3*$Q$15)/(2*IF($Q$5=0,$Q$6,$Q$5)*$U$5*$Q$19))*'IN-OUT'!$F$15))*'Burland damage classification'!BJ38</f>
        <v>#DIV/0!</v>
      </c>
      <c r="BG38" s="262">
        <f>(1+(((IF($Q$5=0,$Q$6^2,$Q$5^2))*$U$5)/(18*$Q$15))*('IN-OUT'!$F$15^(-1)))*BK38</f>
        <v>2.7728845790780563E-4</v>
      </c>
      <c r="BH38" s="262" t="e">
        <f t="shared" si="9"/>
        <v>#DIV/0!</v>
      </c>
      <c r="BI38" s="262" t="e">
        <f t="shared" si="33"/>
        <v>#DIV/0!</v>
      </c>
      <c r="BJ38" s="262">
        <f t="shared" si="57"/>
        <v>1.8666666666666682E-4</v>
      </c>
      <c r="BK38" s="270">
        <f t="shared" si="10"/>
        <v>2.7728845790780563E-4</v>
      </c>
      <c r="BL38" s="270">
        <f t="shared" si="58"/>
        <v>1.4666666666666666E-4</v>
      </c>
      <c r="BM38" s="271">
        <f t="shared" si="34"/>
        <v>1.4666666666666666E-2</v>
      </c>
      <c r="BO38" s="258" t="e">
        <f>((((IF($Q$5=0,$Q$6,$Q$5)))/(12*$Q$19))+(((3*$Q$15)/(2*IF($Q$5=0,$Q$6,$Q$5)*$U$5*$Q$19))*'IN-OUT'!$F$15))*'Burland damage classification'!BS38</f>
        <v>#DIV/0!</v>
      </c>
      <c r="BP38" s="262">
        <f>(1+(((IF($Q$5=0,$Q$6^2,$Q$5^2))*$U$5)/(18*$Q$15))*('IN-OUT'!$F$15^(-1)))*BT38</f>
        <v>4.4572039067858072E-4</v>
      </c>
      <c r="BQ38" s="254" t="e">
        <f t="shared" si="11"/>
        <v>#DIV/0!</v>
      </c>
      <c r="BR38" s="254" t="e">
        <f t="shared" si="35"/>
        <v>#DIV/0!</v>
      </c>
      <c r="BS38" s="254">
        <f t="shared" si="59"/>
        <v>3.5333333333333375E-4</v>
      </c>
      <c r="BT38" s="253">
        <f t="shared" si="12"/>
        <v>4.4572039067858072E-4</v>
      </c>
      <c r="BU38" s="253">
        <f t="shared" si="60"/>
        <v>1.4666666666666666E-4</v>
      </c>
      <c r="BV38" s="255">
        <f t="shared" si="36"/>
        <v>1.4666666666666666E-2</v>
      </c>
      <c r="BX38" s="258" t="e">
        <f>((((IF($Q$5=0,$Q$6,$Q$5)))/(12*$Q$19))+(((3*$Q$15)/(2*IF($Q$5=0,$Q$6,$Q$5)*$U$5*$Q$19))*'IN-OUT'!$F$15))*'Burland damage classification'!CB38</f>
        <v>#DIV/0!</v>
      </c>
      <c r="BY38" s="262">
        <f>(1+(((IF($Q$5=0,$Q$6^2,$Q$5^2))*$U$5)/(18*$Q$15))*('IN-OUT'!$F$15^(-1)))*CC38</f>
        <v>9.4727679868839465E-4</v>
      </c>
      <c r="BZ38" s="254" t="e">
        <f t="shared" si="13"/>
        <v>#DIV/0!</v>
      </c>
      <c r="CA38" s="254" t="e">
        <f t="shared" si="37"/>
        <v>#DIV/0!</v>
      </c>
      <c r="CB38" s="254">
        <f t="shared" si="61"/>
        <v>8.5333333333333344E-4</v>
      </c>
      <c r="CC38" s="253">
        <f t="shared" si="14"/>
        <v>9.4727679868839465E-4</v>
      </c>
      <c r="CD38" s="253">
        <f t="shared" si="62"/>
        <v>1.4666666666666666E-4</v>
      </c>
      <c r="CE38" s="255">
        <f t="shared" si="38"/>
        <v>1.4666666666666666E-2</v>
      </c>
      <c r="CG38" s="258" t="e">
        <f>((((IF($Q$5=0,$Q$6,$Q$5)))/(12*$Q$19))+(((3*$Q$15)/(2*IF($Q$5=0,$Q$6,$Q$5)*$U$5*$Q$19))*'IN-OUT'!$F$15))*'Burland damage classification'!CK38</f>
        <v>#DIV/0!</v>
      </c>
      <c r="CH38" s="262">
        <f>(1+(((IF($Q$5=0,$Q$6^2,$Q$5^2))*$U$5)/(18*$Q$15))*('IN-OUT'!$F$15^(-1)))*CL38</f>
        <v>1.9479904174986762E-3</v>
      </c>
      <c r="CI38" s="254" t="e">
        <f t="shared" si="15"/>
        <v>#DIV/0!</v>
      </c>
      <c r="CJ38" s="254" t="e">
        <f t="shared" si="39"/>
        <v>#DIV/0!</v>
      </c>
      <c r="CK38" s="254">
        <f t="shared" si="63"/>
        <v>1.8533333333333329E-3</v>
      </c>
      <c r="CL38" s="270">
        <f t="shared" si="16"/>
        <v>1.9479904174986762E-3</v>
      </c>
      <c r="CM38" s="253">
        <f t="shared" si="64"/>
        <v>1.4666666666666666E-4</v>
      </c>
      <c r="CN38" s="255">
        <f t="shared" si="40"/>
        <v>1.4666666666666666E-2</v>
      </c>
      <c r="CP38" s="258" t="e">
        <f>((((IF($R$5=0,$R$6,$R$5)))/(12*$R$19))+(((3*$R$15)/(2*IF($R$5=0,$R$6,$R$5)*$U$5*$R$19))*'IN-OUT'!$F$15))*'Burland damage classification'!CT38</f>
        <v>#DIV/0!</v>
      </c>
      <c r="CQ38" s="262">
        <f>(1+(((IF($R$5=0,$R$6^2,$R$5^2))*$U$5)/(18*$R$15))*('IN-OUT'!$F$15^(-1)))*CU38</f>
        <v>2.7728845790780563E-4</v>
      </c>
      <c r="CR38" s="262" t="e">
        <f t="shared" si="17"/>
        <v>#DIV/0!</v>
      </c>
      <c r="CS38" s="262" t="e">
        <f t="shared" si="41"/>
        <v>#DIV/0!</v>
      </c>
      <c r="CT38" s="262">
        <f t="shared" si="65"/>
        <v>1.8666666666666682E-4</v>
      </c>
      <c r="CU38" s="270">
        <f t="shared" si="18"/>
        <v>2.7728845790780563E-4</v>
      </c>
      <c r="CV38" s="270">
        <f t="shared" si="66"/>
        <v>1.4666666666666666E-4</v>
      </c>
      <c r="CW38" s="271">
        <f t="shared" si="42"/>
        <v>1.4666666666666666E-2</v>
      </c>
      <c r="CY38" s="258" t="e">
        <f>((((IF($R$5=0,$R$6,$R$5)))/(12*$R$19))+(((3*$R$15)/(2*IF($R$5=0,$R$6,$R$5)*$U$5*$R$19))*'IN-OUT'!$F$15))*'Burland damage classification'!DC38</f>
        <v>#DIV/0!</v>
      </c>
      <c r="CZ38" s="262">
        <f>(1+(((IF($R$5=0,$R$6^2,$R$5^2))*$U$5)/(18*$R$15))*('IN-OUT'!$F$15^(-1)))*DD38</f>
        <v>4.4572039067858072E-4</v>
      </c>
      <c r="DA38" s="254" t="e">
        <f t="shared" si="19"/>
        <v>#DIV/0!</v>
      </c>
      <c r="DB38" s="254" t="e">
        <f t="shared" si="43"/>
        <v>#DIV/0!</v>
      </c>
      <c r="DC38" s="254">
        <f t="shared" si="67"/>
        <v>3.5333333333333375E-4</v>
      </c>
      <c r="DD38" s="253">
        <f t="shared" si="20"/>
        <v>4.4572039067858072E-4</v>
      </c>
      <c r="DE38" s="253">
        <f t="shared" si="68"/>
        <v>1.4666666666666666E-4</v>
      </c>
      <c r="DF38" s="255">
        <f t="shared" si="44"/>
        <v>1.4666666666666666E-2</v>
      </c>
      <c r="DH38" s="258" t="e">
        <f>((((IF($R$5=0,$R$6,$R$5)))/(12*$R$19))+(((3*$R$15)/(2*IF($R$5=0,$R$6,$R$5)*$U$5*$R$19))*'IN-OUT'!$F$15))*'Burland damage classification'!DL38</f>
        <v>#DIV/0!</v>
      </c>
      <c r="DI38" s="262">
        <f>(1+(((IF($R$5=0,$R$6^2,$R$5^2))*$U$5)/(18*$R$15))*('IN-OUT'!$F$15^(-1)))*DM38</f>
        <v>9.4727679868839465E-4</v>
      </c>
      <c r="DJ38" s="254" t="e">
        <f t="shared" si="21"/>
        <v>#DIV/0!</v>
      </c>
      <c r="DK38" s="254" t="e">
        <f t="shared" si="45"/>
        <v>#DIV/0!</v>
      </c>
      <c r="DL38" s="254">
        <f t="shared" si="69"/>
        <v>8.5333333333333344E-4</v>
      </c>
      <c r="DM38" s="253">
        <f t="shared" si="22"/>
        <v>9.4727679868839465E-4</v>
      </c>
      <c r="DN38" s="253">
        <f t="shared" si="70"/>
        <v>1.4666666666666666E-4</v>
      </c>
      <c r="DO38" s="255">
        <f t="shared" si="46"/>
        <v>1.4666666666666666E-2</v>
      </c>
      <c r="DQ38" s="258" t="e">
        <f>((((IF($R$5=0,$R$6,$R$5)))/(12*$R$19))+(((3*$R$15)/(2*IF($R$5=0,$R$6,$R$5)*$U$5*$R$19))*'IN-OUT'!$F$15))*'Burland damage classification'!DU38</f>
        <v>#DIV/0!</v>
      </c>
      <c r="DR38" s="262">
        <f>(1+(((IF($R$5=0,$R$6^2,$R$5^2))*$U$5)/(18*$R$15))*('IN-OUT'!$F$15^(-1)))*DV38</f>
        <v>1.9479904174986762E-3</v>
      </c>
      <c r="DS38" s="254" t="e">
        <f t="shared" si="23"/>
        <v>#DIV/0!</v>
      </c>
      <c r="DT38" s="254" t="e">
        <f t="shared" si="47"/>
        <v>#DIV/0!</v>
      </c>
      <c r="DU38" s="254">
        <f t="shared" si="71"/>
        <v>1.8533333333333329E-3</v>
      </c>
      <c r="DV38" s="270">
        <f t="shared" si="24"/>
        <v>1.9479904174986762E-3</v>
      </c>
      <c r="DW38" s="253">
        <f t="shared" si="72"/>
        <v>1.4666666666666666E-4</v>
      </c>
      <c r="DX38" s="255">
        <f t="shared" si="48"/>
        <v>1.4666666666666666E-2</v>
      </c>
      <c r="EA38" s="1237"/>
      <c r="EO38" s="430"/>
      <c r="FE38" s="681"/>
      <c r="FF38" s="681"/>
    </row>
    <row r="39" spans="7:167" ht="13.8" thickBot="1">
      <c r="L39" s="370"/>
      <c r="M39" s="253"/>
      <c r="N39" s="253"/>
      <c r="O39" s="253"/>
      <c r="P39" s="253"/>
      <c r="Q39" s="370"/>
      <c r="V39" s="258">
        <f>(((IF($P$5&lt;&gt;0,$P$5,IF($P$6&lt;&gt;0,$P$6,IF($P$7&lt;&gt;0,$P$7,0))))/(12*$P$19))+(((3*$P$15)/(2*(IF($P$5&lt;&gt;0,$P$5,IF($P$6&lt;&gt;0,$P$6,IF($P$7&lt;&gt;0,$P$7,0))))*$U$5*$P$19))*'IN-OUT'!$F$15))*'Burland damage classification'!Z39</f>
        <v>5.7782740978929608E-4</v>
      </c>
      <c r="W39" s="262">
        <f>(1+(((IF($P$5&lt;&gt;0,$P$5^2,IF($P$6&lt;&gt;0,$P$6^2,IF($P$7&lt;&gt;0,$P$7^2))))*$U$5)/(18*$P$15))*('IN-OUT'!$F$15^(-1)))*AA39</f>
        <v>2.899502517028809E-4</v>
      </c>
      <c r="X39" s="262">
        <f t="shared" si="1"/>
        <v>2.899502517028809E-4</v>
      </c>
      <c r="Y39" s="262">
        <f t="shared" si="25"/>
        <v>2.899502517028809E-2</v>
      </c>
      <c r="Z39" s="916">
        <f t="shared" si="49"/>
        <v>1.8000000000000015E-4</v>
      </c>
      <c r="AA39" s="270">
        <f t="shared" si="2"/>
        <v>2.7446918466985201E-4</v>
      </c>
      <c r="AB39" s="270">
        <f t="shared" si="50"/>
        <v>1.5333333333333334E-4</v>
      </c>
      <c r="AC39" s="271">
        <f t="shared" si="26"/>
        <v>1.5333333333333334E-2</v>
      </c>
      <c r="AE39" s="258">
        <f>(((IF($P$5&lt;&gt;0,$P$5,IF($P$6&lt;&gt;0,$P$6,IF($P$7&lt;&gt;0,$P$7,0))))/(12*$P$19))+(((3*$P$15)/(2*(IF($P$5&lt;&gt;0,$P$5,IF($P$6&lt;&gt;0,$P$6,IF($P$7&lt;&gt;0,$P$7,0))))*$U$5*$P$19))*'IN-OUT'!$F$15))*'Burland damage classification'!AI39</f>
        <v>1.1128527892238301E-3</v>
      </c>
      <c r="AF39" s="254">
        <f>(1+(((IF($P$5&lt;&gt;0,$P$5^2,IF($P$6&lt;&gt;0,$P$6^2,IF($P$7&lt;&gt;0,$P$7^2))))*$U$5)/(18*$P$15))*('IN-OUT'!$F$15^(-1)))*AJ39</f>
        <v>4.6808736441785712E-4</v>
      </c>
      <c r="AG39" s="254">
        <f t="shared" si="3"/>
        <v>4.6808736441785712E-4</v>
      </c>
      <c r="AH39" s="254">
        <f t="shared" si="27"/>
        <v>4.6808736441785709E-2</v>
      </c>
      <c r="AI39" s="254">
        <f t="shared" si="51"/>
        <v>3.4666666666666711E-4</v>
      </c>
      <c r="AJ39" s="253">
        <f t="shared" si="4"/>
        <v>4.4309517412552955E-4</v>
      </c>
      <c r="AK39" s="253">
        <f t="shared" si="52"/>
        <v>1.5333333333333334E-4</v>
      </c>
      <c r="AL39" s="255">
        <f t="shared" si="28"/>
        <v>1.5333333333333334E-2</v>
      </c>
      <c r="AN39" s="258">
        <f>(((IF($P$5&lt;&gt;0,$P$5,IF($P$6&lt;&gt;0,$P$6,IF($P$7&lt;&gt;0,$P$7,0))))/(12*$P$19))+(((3*$P$15)/(2*(IF($P$5&lt;&gt;0,$P$5,IF($P$6&lt;&gt;0,$P$6,IF($P$7&lt;&gt;0,$P$7,0))))*$U$5*$P$19))*'IN-OUT'!$F$15))*'Burland damage classification'!AR39</f>
        <v>2.7179289275274278E-3</v>
      </c>
      <c r="AO39" s="254">
        <f>(1+(((IF($P$5&lt;&gt;0,$P$5^2,IF($P$6&lt;&gt;0,$P$6^2,IF($P$7&lt;&gt;0,$P$7^2))))*$U$5)/(18*$P$15))*('IN-OUT'!$F$15^(-1)))*AS39</f>
        <v>9.9810115201725419E-4</v>
      </c>
      <c r="AP39" s="254">
        <f t="shared" si="5"/>
        <v>9.9810115201725419E-4</v>
      </c>
      <c r="AQ39" s="254">
        <f t="shared" si="29"/>
        <v>9.9810115201725419E-2</v>
      </c>
      <c r="AR39" s="254">
        <f t="shared" si="53"/>
        <v>8.4666666666666679E-4</v>
      </c>
      <c r="AS39" s="253">
        <f t="shared" si="6"/>
        <v>9.4481038662086404E-4</v>
      </c>
      <c r="AT39" s="253">
        <f t="shared" si="54"/>
        <v>1.5333333333333334E-4</v>
      </c>
      <c r="AU39" s="255">
        <f t="shared" si="30"/>
        <v>1.5333333333333334E-2</v>
      </c>
      <c r="AW39" s="258">
        <f>(((IF($P$5&lt;&gt;0,$P$5,IF($P$6&lt;&gt;0,$P$6,IF($P$7&lt;&gt;0,$P$7,0))))/(12*$P$19))+(((3*$P$15)/(2*(IF($P$5&lt;&gt;0,$P$5,IF($P$6&lt;&gt;0,$P$6,IF($P$7&lt;&gt;0,$P$7,0))))*$U$5*$P$19))*'IN-OUT'!$F$15))*'Burland damage classification'!BA39</f>
        <v>5.9280812041346241E-3</v>
      </c>
      <c r="AX39" s="254">
        <f>(1+(((IF($P$5&lt;&gt;0,$P$5^2,IF($P$6&lt;&gt;0,$P$6^2,IF($P$7&lt;&gt;0,$P$7^2))))*$U$5)/(18*$P$15))*('IN-OUT'!$F$15^(-1)))*BB39</f>
        <v>2.0553318982898536E-3</v>
      </c>
      <c r="AY39" s="254">
        <f t="shared" si="7"/>
        <v>2.0553318982898536E-3</v>
      </c>
      <c r="AZ39" s="254">
        <f t="shared" si="31"/>
        <v>0.20553318982898536</v>
      </c>
      <c r="BA39" s="254">
        <f t="shared" si="55"/>
        <v>1.8466666666666662E-3</v>
      </c>
      <c r="BB39" s="270">
        <f t="shared" si="8"/>
        <v>1.9455933113920116E-3</v>
      </c>
      <c r="BC39" s="253">
        <f t="shared" si="56"/>
        <v>1.5333333333333334E-4</v>
      </c>
      <c r="BD39" s="255">
        <f t="shared" si="32"/>
        <v>1.5333333333333334E-2</v>
      </c>
      <c r="BF39" s="258" t="e">
        <f>((((IF($Q$5=0,$Q$6,$Q$5)))/(12*$Q$19))+(((3*$Q$15)/(2*IF($Q$5=0,$Q$6,$Q$5)*$U$5*$Q$19))*'IN-OUT'!$F$15))*'Burland damage classification'!BJ39</f>
        <v>#DIV/0!</v>
      </c>
      <c r="BG39" s="262">
        <f>(1+(((IF($Q$5=0,$Q$6^2,$Q$5^2))*$U$5)/(18*$Q$15))*('IN-OUT'!$F$15^(-1)))*BK39</f>
        <v>2.7446918466985201E-4</v>
      </c>
      <c r="BH39" s="262" t="e">
        <f t="shared" si="9"/>
        <v>#DIV/0!</v>
      </c>
      <c r="BI39" s="262" t="e">
        <f t="shared" si="33"/>
        <v>#DIV/0!</v>
      </c>
      <c r="BJ39" s="262">
        <f t="shared" si="57"/>
        <v>1.8000000000000015E-4</v>
      </c>
      <c r="BK39" s="270">
        <f t="shared" si="10"/>
        <v>2.7446918466985201E-4</v>
      </c>
      <c r="BL39" s="270">
        <f t="shared" si="58"/>
        <v>1.5333333333333334E-4</v>
      </c>
      <c r="BM39" s="271">
        <f t="shared" si="34"/>
        <v>1.5333333333333334E-2</v>
      </c>
      <c r="BO39" s="258" t="e">
        <f>((((IF($Q$5=0,$Q$6,$Q$5)))/(12*$Q$19))+(((3*$Q$15)/(2*IF($Q$5=0,$Q$6,$Q$5)*$U$5*$Q$19))*'IN-OUT'!$F$15))*'Burland damage classification'!BS39</f>
        <v>#DIV/0!</v>
      </c>
      <c r="BP39" s="262">
        <f>(1+(((IF($Q$5=0,$Q$6^2,$Q$5^2))*$U$5)/(18*$Q$15))*('IN-OUT'!$F$15^(-1)))*BT39</f>
        <v>4.4309517412552955E-4</v>
      </c>
      <c r="BQ39" s="254" t="e">
        <f t="shared" si="11"/>
        <v>#DIV/0!</v>
      </c>
      <c r="BR39" s="254" t="e">
        <f t="shared" si="35"/>
        <v>#DIV/0!</v>
      </c>
      <c r="BS39" s="254">
        <f t="shared" si="59"/>
        <v>3.4666666666666711E-4</v>
      </c>
      <c r="BT39" s="253">
        <f t="shared" si="12"/>
        <v>4.4309517412552955E-4</v>
      </c>
      <c r="BU39" s="253">
        <f t="shared" si="60"/>
        <v>1.5333333333333334E-4</v>
      </c>
      <c r="BV39" s="255">
        <f t="shared" si="36"/>
        <v>1.5333333333333334E-2</v>
      </c>
      <c r="BX39" s="258" t="e">
        <f>((((IF($Q$5=0,$Q$6,$Q$5)))/(12*$Q$19))+(((3*$Q$15)/(2*IF($Q$5=0,$Q$6,$Q$5)*$U$5*$Q$19))*'IN-OUT'!$F$15))*'Burland damage classification'!CB39</f>
        <v>#DIV/0!</v>
      </c>
      <c r="BY39" s="262">
        <f>(1+(((IF($Q$5=0,$Q$6^2,$Q$5^2))*$U$5)/(18*$Q$15))*('IN-OUT'!$F$15^(-1)))*CC39</f>
        <v>9.4481038662086404E-4</v>
      </c>
      <c r="BZ39" s="254" t="e">
        <f t="shared" si="13"/>
        <v>#DIV/0!</v>
      </c>
      <c r="CA39" s="254" t="e">
        <f t="shared" si="37"/>
        <v>#DIV/0!</v>
      </c>
      <c r="CB39" s="254">
        <f t="shared" si="61"/>
        <v>8.4666666666666679E-4</v>
      </c>
      <c r="CC39" s="253">
        <f t="shared" si="14"/>
        <v>9.4481038662086404E-4</v>
      </c>
      <c r="CD39" s="253">
        <f t="shared" si="62"/>
        <v>1.5333333333333334E-4</v>
      </c>
      <c r="CE39" s="255">
        <f t="shared" si="38"/>
        <v>1.5333333333333334E-2</v>
      </c>
      <c r="CG39" s="258" t="e">
        <f>((((IF($Q$5=0,$Q$6,$Q$5)))/(12*$Q$19))+(((3*$Q$15)/(2*IF($Q$5=0,$Q$6,$Q$5)*$U$5*$Q$19))*'IN-OUT'!$F$15))*'Burland damage classification'!CK39</f>
        <v>#DIV/0!</v>
      </c>
      <c r="CH39" s="262">
        <f>(1+(((IF($Q$5=0,$Q$6^2,$Q$5^2))*$U$5)/(18*$Q$15))*('IN-OUT'!$F$15^(-1)))*CL39</f>
        <v>1.9455933113920116E-3</v>
      </c>
      <c r="CI39" s="254" t="e">
        <f t="shared" si="15"/>
        <v>#DIV/0!</v>
      </c>
      <c r="CJ39" s="254" t="e">
        <f t="shared" si="39"/>
        <v>#DIV/0!</v>
      </c>
      <c r="CK39" s="254">
        <f t="shared" si="63"/>
        <v>1.8466666666666662E-3</v>
      </c>
      <c r="CL39" s="270">
        <f t="shared" si="16"/>
        <v>1.9455933113920116E-3</v>
      </c>
      <c r="CM39" s="253">
        <f t="shared" si="64"/>
        <v>1.5333333333333334E-4</v>
      </c>
      <c r="CN39" s="255">
        <f t="shared" si="40"/>
        <v>1.5333333333333334E-2</v>
      </c>
      <c r="CP39" s="258" t="e">
        <f>((((IF($R$5=0,$R$6,$R$5)))/(12*$R$19))+(((3*$R$15)/(2*IF($R$5=0,$R$6,$R$5)*$U$5*$R$19))*'IN-OUT'!$F$15))*'Burland damage classification'!CT39</f>
        <v>#DIV/0!</v>
      </c>
      <c r="CQ39" s="262">
        <f>(1+(((IF($R$5=0,$R$6^2,$R$5^2))*$U$5)/(18*$R$15))*('IN-OUT'!$F$15^(-1)))*CU39</f>
        <v>2.7446918466985201E-4</v>
      </c>
      <c r="CR39" s="262" t="e">
        <f t="shared" si="17"/>
        <v>#DIV/0!</v>
      </c>
      <c r="CS39" s="262" t="e">
        <f t="shared" si="41"/>
        <v>#DIV/0!</v>
      </c>
      <c r="CT39" s="262">
        <f t="shared" si="65"/>
        <v>1.8000000000000015E-4</v>
      </c>
      <c r="CU39" s="270">
        <f t="shared" si="18"/>
        <v>2.7446918466985201E-4</v>
      </c>
      <c r="CV39" s="270">
        <f t="shared" si="66"/>
        <v>1.5333333333333334E-4</v>
      </c>
      <c r="CW39" s="271">
        <f t="shared" si="42"/>
        <v>1.5333333333333334E-2</v>
      </c>
      <c r="CY39" s="258" t="e">
        <f>((((IF($R$5=0,$R$6,$R$5)))/(12*$R$19))+(((3*$R$15)/(2*IF($R$5=0,$R$6,$R$5)*$U$5*$R$19))*'IN-OUT'!$F$15))*'Burland damage classification'!DC39</f>
        <v>#DIV/0!</v>
      </c>
      <c r="CZ39" s="262">
        <f>(1+(((IF($R$5=0,$R$6^2,$R$5^2))*$U$5)/(18*$R$15))*('IN-OUT'!$F$15^(-1)))*DD39</f>
        <v>4.4309517412552955E-4</v>
      </c>
      <c r="DA39" s="254" t="e">
        <f t="shared" si="19"/>
        <v>#DIV/0!</v>
      </c>
      <c r="DB39" s="254" t="e">
        <f t="shared" si="43"/>
        <v>#DIV/0!</v>
      </c>
      <c r="DC39" s="254">
        <f t="shared" si="67"/>
        <v>3.4666666666666711E-4</v>
      </c>
      <c r="DD39" s="253">
        <f t="shared" si="20"/>
        <v>4.4309517412552955E-4</v>
      </c>
      <c r="DE39" s="253">
        <f t="shared" si="68"/>
        <v>1.5333333333333334E-4</v>
      </c>
      <c r="DF39" s="255">
        <f t="shared" si="44"/>
        <v>1.5333333333333334E-2</v>
      </c>
      <c r="DH39" s="258" t="e">
        <f>((((IF($R$5=0,$R$6,$R$5)))/(12*$R$19))+(((3*$R$15)/(2*IF($R$5=0,$R$6,$R$5)*$U$5*$R$19))*'IN-OUT'!$F$15))*'Burland damage classification'!DL39</f>
        <v>#DIV/0!</v>
      </c>
      <c r="DI39" s="262">
        <f>(1+(((IF($R$5=0,$R$6^2,$R$5^2))*$U$5)/(18*$R$15))*('IN-OUT'!$F$15^(-1)))*DM39</f>
        <v>9.4481038662086404E-4</v>
      </c>
      <c r="DJ39" s="254" t="e">
        <f t="shared" si="21"/>
        <v>#DIV/0!</v>
      </c>
      <c r="DK39" s="254" t="e">
        <f t="shared" si="45"/>
        <v>#DIV/0!</v>
      </c>
      <c r="DL39" s="254">
        <f t="shared" si="69"/>
        <v>8.4666666666666679E-4</v>
      </c>
      <c r="DM39" s="253">
        <f t="shared" si="22"/>
        <v>9.4481038662086404E-4</v>
      </c>
      <c r="DN39" s="253">
        <f t="shared" si="70"/>
        <v>1.5333333333333334E-4</v>
      </c>
      <c r="DO39" s="255">
        <f t="shared" si="46"/>
        <v>1.5333333333333334E-2</v>
      </c>
      <c r="DQ39" s="258" t="e">
        <f>((((IF($R$5=0,$R$6,$R$5)))/(12*$R$19))+(((3*$R$15)/(2*IF($R$5=0,$R$6,$R$5)*$U$5*$R$19))*'IN-OUT'!$F$15))*'Burland damage classification'!DU39</f>
        <v>#DIV/0!</v>
      </c>
      <c r="DR39" s="262">
        <f>(1+(((IF($R$5=0,$R$6^2,$R$5^2))*$U$5)/(18*$R$15))*('IN-OUT'!$F$15^(-1)))*DV39</f>
        <v>1.9455933113920116E-3</v>
      </c>
      <c r="DS39" s="254" t="e">
        <f t="shared" si="23"/>
        <v>#DIV/0!</v>
      </c>
      <c r="DT39" s="254" t="e">
        <f t="shared" si="47"/>
        <v>#DIV/0!</v>
      </c>
      <c r="DU39" s="254">
        <f t="shared" si="71"/>
        <v>1.8466666666666662E-3</v>
      </c>
      <c r="DV39" s="270">
        <f t="shared" si="24"/>
        <v>1.9455933113920116E-3</v>
      </c>
      <c r="DW39" s="253">
        <f t="shared" si="72"/>
        <v>1.5333333333333334E-4</v>
      </c>
      <c r="DX39" s="255">
        <f t="shared" si="48"/>
        <v>1.5333333333333334E-2</v>
      </c>
      <c r="EA39" s="1237"/>
      <c r="ED39" s="1181" t="s">
        <v>22</v>
      </c>
      <c r="EE39" s="1182"/>
      <c r="EF39" s="1183"/>
      <c r="EG39" s="1184" t="s">
        <v>23</v>
      </c>
      <c r="EH39" s="1182"/>
      <c r="EI39" s="1183"/>
      <c r="EK39" s="1214" t="s">
        <v>246</v>
      </c>
      <c r="EL39" s="1223"/>
      <c r="EM39" s="1127"/>
      <c r="EO39" s="430"/>
      <c r="FE39" s="681"/>
      <c r="FF39" s="681"/>
    </row>
    <row r="40" spans="7:167" ht="13.8" thickBot="1">
      <c r="J40" s="253"/>
      <c r="L40" s="253"/>
      <c r="M40" s="253"/>
      <c r="N40" s="253"/>
      <c r="O40" s="253"/>
      <c r="P40" s="253"/>
      <c r="Q40" s="371"/>
      <c r="V40" s="258">
        <f>(((IF($P$5&lt;&gt;0,$P$5,IF($P$6&lt;&gt;0,$P$6,IF($P$7&lt;&gt;0,$P$7,0))))/(12*$P$19))+(((3*$P$15)/(2*(IF($P$5&lt;&gt;0,$P$5,IF($P$6&lt;&gt;0,$P$6,IF($P$7&lt;&gt;0,$P$7,0))))*$U$5*$P$19))*'IN-OUT'!$F$15))*'Burland damage classification'!Z40</f>
        <v>5.5642639461191471E-4</v>
      </c>
      <c r="W40" s="262">
        <f>(1+(((IF($P$5&lt;&gt;0,$P$5^2,IF($P$6&lt;&gt;0,$P$6^2,IF($P$7&lt;&gt;0,$P$7^2))))*$U$5)/(18*$P$15))*('IN-OUT'!$F$15^(-1)))*AA40</f>
        <v>2.8694104977491962E-4</v>
      </c>
      <c r="X40" s="262">
        <f t="shared" si="1"/>
        <v>2.8694104977491962E-4</v>
      </c>
      <c r="Y40" s="262">
        <f t="shared" si="25"/>
        <v>2.869410497749196E-2</v>
      </c>
      <c r="Z40" s="916">
        <f t="shared" si="49"/>
        <v>1.7333333333333347E-4</v>
      </c>
      <c r="AA40" s="270">
        <f t="shared" si="2"/>
        <v>2.7162065049951149E-4</v>
      </c>
      <c r="AB40" s="270">
        <f t="shared" si="50"/>
        <v>1.6000000000000001E-4</v>
      </c>
      <c r="AC40" s="271">
        <f t="shared" si="26"/>
        <v>1.6E-2</v>
      </c>
      <c r="AE40" s="258">
        <f>(((IF($P$5&lt;&gt;0,$P$5,IF($P$6&lt;&gt;0,$P$6,IF($P$7&lt;&gt;0,$P$7,0))))/(12*$P$19))+(((3*$P$15)/(2*(IF($P$5&lt;&gt;0,$P$5,IF($P$6&lt;&gt;0,$P$6,IF($P$7&lt;&gt;0,$P$7,0))))*$U$5*$P$19))*'IN-OUT'!$F$15))*'Burland damage classification'!AI40</f>
        <v>1.0914517740464487E-3</v>
      </c>
      <c r="AF40" s="254">
        <f>(1+(((IF($P$5&lt;&gt;0,$P$5^2,IF($P$6&lt;&gt;0,$P$6^2,IF($P$7&lt;&gt;0,$P$7^2))))*$U$5)/(18*$P$15))*('IN-OUT'!$F$15^(-1)))*AJ40</f>
        <v>4.6529754684793801E-4</v>
      </c>
      <c r="AG40" s="254">
        <f t="shared" si="3"/>
        <v>4.6529754684793801E-4</v>
      </c>
      <c r="AH40" s="254">
        <f t="shared" si="27"/>
        <v>4.6529754684793805E-2</v>
      </c>
      <c r="AI40" s="254">
        <f t="shared" si="51"/>
        <v>3.4000000000000046E-4</v>
      </c>
      <c r="AJ40" s="253">
        <f t="shared" si="4"/>
        <v>4.4045431091090478E-4</v>
      </c>
      <c r="AK40" s="253">
        <f t="shared" si="52"/>
        <v>1.6000000000000001E-4</v>
      </c>
      <c r="AL40" s="255">
        <f t="shared" si="28"/>
        <v>1.6E-2</v>
      </c>
      <c r="AN40" s="258">
        <f>(((IF($P$5&lt;&gt;0,$P$5,IF($P$6&lt;&gt;0,$P$6,IF($P$7&lt;&gt;0,$P$7,0))))/(12*$P$19))+(((3*$P$15)/(2*(IF($P$5&lt;&gt;0,$P$5,IF($P$6&lt;&gt;0,$P$6,IF($P$7&lt;&gt;0,$P$7,0))))*$U$5*$P$19))*'IN-OUT'!$F$15))*'Burland damage classification'!AR40</f>
        <v>2.6965279123500469E-3</v>
      </c>
      <c r="AO40" s="254">
        <f>(1+(((IF($P$5&lt;&gt;0,$P$5^2,IF($P$6&lt;&gt;0,$P$6^2,IF($P$7&lt;&gt;0,$P$7^2))))*$U$5)/(18*$P$15))*('IN-OUT'!$F$15^(-1)))*AS40</f>
        <v>9.9548880576743617E-4</v>
      </c>
      <c r="AP40" s="254">
        <f t="shared" si="5"/>
        <v>9.9548880576743617E-4</v>
      </c>
      <c r="AQ40" s="254">
        <f t="shared" si="29"/>
        <v>9.9548880576743617E-2</v>
      </c>
      <c r="AR40" s="254">
        <f t="shared" si="53"/>
        <v>8.4000000000000014E-4</v>
      </c>
      <c r="AS40" s="253">
        <f t="shared" si="6"/>
        <v>9.4233751915117963E-4</v>
      </c>
      <c r="AT40" s="253">
        <f t="shared" si="54"/>
        <v>1.6000000000000001E-4</v>
      </c>
      <c r="AU40" s="255">
        <f t="shared" si="30"/>
        <v>1.6E-2</v>
      </c>
      <c r="AW40" s="258">
        <f>(((IF($P$5&lt;&gt;0,$P$5,IF($P$6&lt;&gt;0,$P$6,IF($P$7&lt;&gt;0,$P$7,0))))/(12*$P$19))+(((3*$P$15)/(2*(IF($P$5&lt;&gt;0,$P$5,IF($P$6&lt;&gt;0,$P$6,IF($P$7&lt;&gt;0,$P$7,0))))*$U$5*$P$19))*'IN-OUT'!$F$15))*'Burland damage classification'!BA40</f>
        <v>5.9066801889572423E-3</v>
      </c>
      <c r="AX40" s="254">
        <f>(1+(((IF($P$5&lt;&gt;0,$P$5^2,IF($P$6&lt;&gt;0,$P$6^2,IF($P$7&lt;&gt;0,$P$7^2))))*$U$5)/(18*$P$15))*('IN-OUT'!$F$15^(-1)))*BB40</f>
        <v>2.0527964627863101E-3</v>
      </c>
      <c r="AY40" s="254">
        <f t="shared" si="7"/>
        <v>2.0527964627863101E-3</v>
      </c>
      <c r="AZ40" s="254">
        <f t="shared" si="31"/>
        <v>0.20527964627863102</v>
      </c>
      <c r="BA40" s="254">
        <f t="shared" si="55"/>
        <v>1.8399999999999994E-3</v>
      </c>
      <c r="BB40" s="270">
        <f t="shared" si="8"/>
        <v>1.943193248238579E-3</v>
      </c>
      <c r="BC40" s="253">
        <f t="shared" si="56"/>
        <v>1.6000000000000001E-4</v>
      </c>
      <c r="BD40" s="255">
        <f t="shared" si="32"/>
        <v>1.6E-2</v>
      </c>
      <c r="BF40" s="258" t="e">
        <f>((((IF($Q$5=0,$Q$6,$Q$5)))/(12*$Q$19))+(((3*$Q$15)/(2*IF($Q$5=0,$Q$6,$Q$5)*$U$5*$Q$19))*'IN-OUT'!$F$15))*'Burland damage classification'!BJ40</f>
        <v>#DIV/0!</v>
      </c>
      <c r="BG40" s="262">
        <f>(1+(((IF($Q$5=0,$Q$6^2,$Q$5^2))*$U$5)/(18*$Q$15))*('IN-OUT'!$F$15^(-1)))*BK40</f>
        <v>2.7162065049951149E-4</v>
      </c>
      <c r="BH40" s="262" t="e">
        <f t="shared" si="9"/>
        <v>#DIV/0!</v>
      </c>
      <c r="BI40" s="262" t="e">
        <f t="shared" si="33"/>
        <v>#DIV/0!</v>
      </c>
      <c r="BJ40" s="262">
        <f t="shared" si="57"/>
        <v>1.7333333333333347E-4</v>
      </c>
      <c r="BK40" s="270">
        <f t="shared" si="10"/>
        <v>2.7162065049951149E-4</v>
      </c>
      <c r="BL40" s="270">
        <f t="shared" si="58"/>
        <v>1.6000000000000001E-4</v>
      </c>
      <c r="BM40" s="271">
        <f t="shared" si="34"/>
        <v>1.6E-2</v>
      </c>
      <c r="BO40" s="258" t="e">
        <f>((((IF($Q$5=0,$Q$6,$Q$5)))/(12*$Q$19))+(((3*$Q$15)/(2*IF($Q$5=0,$Q$6,$Q$5)*$U$5*$Q$19))*'IN-OUT'!$F$15))*'Burland damage classification'!BS40</f>
        <v>#DIV/0!</v>
      </c>
      <c r="BP40" s="262">
        <f>(1+(((IF($Q$5=0,$Q$6^2,$Q$5^2))*$U$5)/(18*$Q$15))*('IN-OUT'!$F$15^(-1)))*BT40</f>
        <v>4.4045431091090478E-4</v>
      </c>
      <c r="BQ40" s="254" t="e">
        <f t="shared" si="11"/>
        <v>#DIV/0!</v>
      </c>
      <c r="BR40" s="254" t="e">
        <f t="shared" si="35"/>
        <v>#DIV/0!</v>
      </c>
      <c r="BS40" s="254">
        <f t="shared" si="59"/>
        <v>3.4000000000000046E-4</v>
      </c>
      <c r="BT40" s="253">
        <f t="shared" si="12"/>
        <v>4.4045431091090478E-4</v>
      </c>
      <c r="BU40" s="253">
        <f t="shared" si="60"/>
        <v>1.6000000000000001E-4</v>
      </c>
      <c r="BV40" s="255">
        <f t="shared" si="36"/>
        <v>1.6E-2</v>
      </c>
      <c r="BX40" s="258" t="e">
        <f>((((IF($Q$5=0,$Q$6,$Q$5)))/(12*$Q$19))+(((3*$Q$15)/(2*IF($Q$5=0,$Q$6,$Q$5)*$U$5*$Q$19))*'IN-OUT'!$F$15))*'Burland damage classification'!CB40</f>
        <v>#DIV/0!</v>
      </c>
      <c r="BY40" s="262">
        <f>(1+(((IF($Q$5=0,$Q$6^2,$Q$5^2))*$U$5)/(18*$Q$15))*('IN-OUT'!$F$15^(-1)))*CC40</f>
        <v>9.4233751915117963E-4</v>
      </c>
      <c r="BZ40" s="254" t="e">
        <f t="shared" si="13"/>
        <v>#DIV/0!</v>
      </c>
      <c r="CA40" s="254" t="e">
        <f t="shared" si="37"/>
        <v>#DIV/0!</v>
      </c>
      <c r="CB40" s="254">
        <f t="shared" si="61"/>
        <v>8.4000000000000014E-4</v>
      </c>
      <c r="CC40" s="253">
        <f t="shared" si="14"/>
        <v>9.4233751915117963E-4</v>
      </c>
      <c r="CD40" s="253">
        <f t="shared" si="62"/>
        <v>1.6000000000000001E-4</v>
      </c>
      <c r="CE40" s="255">
        <f t="shared" si="38"/>
        <v>1.6E-2</v>
      </c>
      <c r="CG40" s="258" t="e">
        <f>((((IF($Q$5=0,$Q$6,$Q$5)))/(12*$Q$19))+(((3*$Q$15)/(2*IF($Q$5=0,$Q$6,$Q$5)*$U$5*$Q$19))*'IN-OUT'!$F$15))*'Burland damage classification'!CK40</f>
        <v>#DIV/0!</v>
      </c>
      <c r="CH40" s="262">
        <f>(1+(((IF($Q$5=0,$Q$6^2,$Q$5^2))*$U$5)/(18*$Q$15))*('IN-OUT'!$F$15^(-1)))*CL40</f>
        <v>1.943193248238579E-3</v>
      </c>
      <c r="CI40" s="254" t="e">
        <f t="shared" si="15"/>
        <v>#DIV/0!</v>
      </c>
      <c r="CJ40" s="254" t="e">
        <f t="shared" si="39"/>
        <v>#DIV/0!</v>
      </c>
      <c r="CK40" s="254">
        <f t="shared" si="63"/>
        <v>1.8399999999999994E-3</v>
      </c>
      <c r="CL40" s="270">
        <f t="shared" si="16"/>
        <v>1.943193248238579E-3</v>
      </c>
      <c r="CM40" s="253">
        <f t="shared" si="64"/>
        <v>1.6000000000000001E-4</v>
      </c>
      <c r="CN40" s="255">
        <f t="shared" si="40"/>
        <v>1.6E-2</v>
      </c>
      <c r="CP40" s="258" t="e">
        <f>((((IF($R$5=0,$R$6,$R$5)))/(12*$R$19))+(((3*$R$15)/(2*IF($R$5=0,$R$6,$R$5)*$U$5*$R$19))*'IN-OUT'!$F$15))*'Burland damage classification'!CT40</f>
        <v>#DIV/0!</v>
      </c>
      <c r="CQ40" s="262">
        <f>(1+(((IF($R$5=0,$R$6^2,$R$5^2))*$U$5)/(18*$R$15))*('IN-OUT'!$F$15^(-1)))*CU40</f>
        <v>2.7162065049951149E-4</v>
      </c>
      <c r="CR40" s="262" t="e">
        <f t="shared" si="17"/>
        <v>#DIV/0!</v>
      </c>
      <c r="CS40" s="262" t="e">
        <f t="shared" si="41"/>
        <v>#DIV/0!</v>
      </c>
      <c r="CT40" s="262">
        <f t="shared" si="65"/>
        <v>1.7333333333333347E-4</v>
      </c>
      <c r="CU40" s="270">
        <f t="shared" si="18"/>
        <v>2.7162065049951149E-4</v>
      </c>
      <c r="CV40" s="270">
        <f t="shared" si="66"/>
        <v>1.6000000000000001E-4</v>
      </c>
      <c r="CW40" s="271">
        <f t="shared" si="42"/>
        <v>1.6E-2</v>
      </c>
      <c r="CY40" s="258" t="e">
        <f>((((IF($R$5=0,$R$6,$R$5)))/(12*$R$19))+(((3*$R$15)/(2*IF($R$5=0,$R$6,$R$5)*$U$5*$R$19))*'IN-OUT'!$F$15))*'Burland damage classification'!DC40</f>
        <v>#DIV/0!</v>
      </c>
      <c r="CZ40" s="262">
        <f>(1+(((IF($R$5=0,$R$6^2,$R$5^2))*$U$5)/(18*$R$15))*('IN-OUT'!$F$15^(-1)))*DD40</f>
        <v>4.4045431091090478E-4</v>
      </c>
      <c r="DA40" s="254" t="e">
        <f t="shared" si="19"/>
        <v>#DIV/0!</v>
      </c>
      <c r="DB40" s="254" t="e">
        <f t="shared" si="43"/>
        <v>#DIV/0!</v>
      </c>
      <c r="DC40" s="254">
        <f t="shared" si="67"/>
        <v>3.4000000000000046E-4</v>
      </c>
      <c r="DD40" s="253">
        <f t="shared" si="20"/>
        <v>4.4045431091090478E-4</v>
      </c>
      <c r="DE40" s="253">
        <f t="shared" si="68"/>
        <v>1.6000000000000001E-4</v>
      </c>
      <c r="DF40" s="255">
        <f t="shared" si="44"/>
        <v>1.6E-2</v>
      </c>
      <c r="DH40" s="258" t="e">
        <f>((((IF($R$5=0,$R$6,$R$5)))/(12*$R$19))+(((3*$R$15)/(2*IF($R$5=0,$R$6,$R$5)*$U$5*$R$19))*'IN-OUT'!$F$15))*'Burland damage classification'!DL40</f>
        <v>#DIV/0!</v>
      </c>
      <c r="DI40" s="262">
        <f>(1+(((IF($R$5=0,$R$6^2,$R$5^2))*$U$5)/(18*$R$15))*('IN-OUT'!$F$15^(-1)))*DM40</f>
        <v>9.4233751915117963E-4</v>
      </c>
      <c r="DJ40" s="254" t="e">
        <f t="shared" si="21"/>
        <v>#DIV/0!</v>
      </c>
      <c r="DK40" s="254" t="e">
        <f t="shared" si="45"/>
        <v>#DIV/0!</v>
      </c>
      <c r="DL40" s="254">
        <f t="shared" si="69"/>
        <v>8.4000000000000014E-4</v>
      </c>
      <c r="DM40" s="253">
        <f t="shared" si="22"/>
        <v>9.4233751915117963E-4</v>
      </c>
      <c r="DN40" s="253">
        <f t="shared" si="70"/>
        <v>1.6000000000000001E-4</v>
      </c>
      <c r="DO40" s="255">
        <f t="shared" si="46"/>
        <v>1.6E-2</v>
      </c>
      <c r="DQ40" s="258" t="e">
        <f>((((IF($R$5=0,$R$6,$R$5)))/(12*$R$19))+(((3*$R$15)/(2*IF($R$5=0,$R$6,$R$5)*$U$5*$R$19))*'IN-OUT'!$F$15))*'Burland damage classification'!DU40</f>
        <v>#DIV/0!</v>
      </c>
      <c r="DR40" s="262">
        <f>(1+(((IF($R$5=0,$R$6^2,$R$5^2))*$U$5)/(18*$R$15))*('IN-OUT'!$F$15^(-1)))*DV40</f>
        <v>1.943193248238579E-3</v>
      </c>
      <c r="DS40" s="254" t="e">
        <f t="shared" si="23"/>
        <v>#DIV/0!</v>
      </c>
      <c r="DT40" s="254" t="e">
        <f t="shared" si="47"/>
        <v>#DIV/0!</v>
      </c>
      <c r="DU40" s="254">
        <f t="shared" si="71"/>
        <v>1.8399999999999994E-3</v>
      </c>
      <c r="DV40" s="270">
        <f t="shared" si="24"/>
        <v>1.943193248238579E-3</v>
      </c>
      <c r="DW40" s="253">
        <f t="shared" si="72"/>
        <v>1.6000000000000001E-4</v>
      </c>
      <c r="DX40" s="255">
        <f t="shared" si="48"/>
        <v>1.6E-2</v>
      </c>
      <c r="EA40" s="1237"/>
      <c r="ED40" s="432" t="s">
        <v>257</v>
      </c>
      <c r="EE40" s="433" t="s">
        <v>258</v>
      </c>
      <c r="EF40" s="434" t="s">
        <v>259</v>
      </c>
      <c r="EG40" s="437" t="s">
        <v>257</v>
      </c>
      <c r="EH40" s="438" t="s">
        <v>258</v>
      </c>
      <c r="EI40" s="439" t="s">
        <v>260</v>
      </c>
      <c r="EK40" s="442" t="s">
        <v>257</v>
      </c>
      <c r="EL40" s="443" t="s">
        <v>258</v>
      </c>
      <c r="EM40" s="444" t="s">
        <v>261</v>
      </c>
      <c r="EO40" s="430"/>
      <c r="FE40" s="681"/>
      <c r="FF40" s="681"/>
    </row>
    <row r="41" spans="7:167" ht="14.4" thickBot="1">
      <c r="V41" s="258">
        <f>(((IF($P$5&lt;&gt;0,$P$5,IF($P$6&lt;&gt;0,$P$6,IF($P$7&lt;&gt;0,$P$7,0))))/(12*$P$19))+(((3*$P$15)/(2*(IF($P$5&lt;&gt;0,$P$5,IF($P$6&lt;&gt;0,$P$6,IF($P$7&lt;&gt;0,$P$7,0))))*$U$5*$P$19))*'IN-OUT'!$F$15))*'Burland damage classification'!Z41</f>
        <v>5.3502537943453344E-4</v>
      </c>
      <c r="W41" s="262">
        <f>(1+(((IF($P$5&lt;&gt;0,$P$5^2,IF($P$6&lt;&gt;0,$P$6^2,IF($P$7&lt;&gt;0,$P$7^2))))*$U$5)/(18*$P$15))*('IN-OUT'!$F$15^(-1)))*AA41</f>
        <v>2.8389995355635725E-4</v>
      </c>
      <c r="X41" s="262">
        <f t="shared" si="1"/>
        <v>2.8389995355635725E-4</v>
      </c>
      <c r="Y41" s="262">
        <f t="shared" si="25"/>
        <v>2.8389995355635723E-2</v>
      </c>
      <c r="Z41" s="916">
        <f t="shared" si="49"/>
        <v>1.666666666666668E-4</v>
      </c>
      <c r="AA41" s="270">
        <f t="shared" si="2"/>
        <v>2.6874192494328502E-4</v>
      </c>
      <c r="AB41" s="270">
        <f t="shared" si="50"/>
        <v>1.6666666666666669E-4</v>
      </c>
      <c r="AC41" s="271">
        <f t="shared" si="26"/>
        <v>1.666666666666667E-2</v>
      </c>
      <c r="AE41" s="258">
        <f>(((IF($P$5&lt;&gt;0,$P$5,IF($P$6&lt;&gt;0,$P$6,IF($P$7&lt;&gt;0,$P$7,0))))/(12*$P$19))+(((3*$P$15)/(2*(IF($P$5&lt;&gt;0,$P$5,IF($P$6&lt;&gt;0,$P$6,IF($P$7&lt;&gt;0,$P$7,0))))*$U$5*$P$19))*'IN-OUT'!$F$15))*'Burland damage classification'!AI41</f>
        <v>1.0700507588690675E-3</v>
      </c>
      <c r="AF41" s="254">
        <f>(1+(((IF($P$5&lt;&gt;0,$P$5^2,IF($P$6&lt;&gt;0,$P$6^2,IF($P$7&lt;&gt;0,$P$7^2))))*$U$5)/(18*$P$15))*('IN-OUT'!$F$15^(-1)))*AJ41</f>
        <v>4.6249090096753514E-4</v>
      </c>
      <c r="AG41" s="254">
        <f t="shared" si="3"/>
        <v>4.6249090096753514E-4</v>
      </c>
      <c r="AH41" s="254">
        <f t="shared" si="27"/>
        <v>4.6249090096753515E-2</v>
      </c>
      <c r="AI41" s="254">
        <f t="shared" si="51"/>
        <v>3.3333333333333381E-4</v>
      </c>
      <c r="AJ41" s="253">
        <f t="shared" si="4"/>
        <v>4.3779751788545655E-4</v>
      </c>
      <c r="AK41" s="253">
        <f t="shared" si="52"/>
        <v>1.6666666666666669E-4</v>
      </c>
      <c r="AL41" s="255">
        <f t="shared" si="28"/>
        <v>1.666666666666667E-2</v>
      </c>
      <c r="AN41" s="258">
        <f>(((IF($P$5&lt;&gt;0,$P$5,IF($P$6&lt;&gt;0,$P$6,IF($P$7&lt;&gt;0,$P$7,0))))/(12*$P$19))+(((3*$P$15)/(2*(IF($P$5&lt;&gt;0,$P$5,IF($P$6&lt;&gt;0,$P$6,IF($P$7&lt;&gt;0,$P$7,0))))*$U$5*$P$19))*'IN-OUT'!$F$15))*'Burland damage classification'!AR41</f>
        <v>2.6751268971726655E-3</v>
      </c>
      <c r="AO41" s="254">
        <f>(1+(((IF($P$5&lt;&gt;0,$P$5^2,IF($P$6&lt;&gt;0,$P$6^2,IF($P$7&lt;&gt;0,$P$7^2))))*$U$5)/(18*$P$15))*('IN-OUT'!$F$15^(-1)))*AS41</f>
        <v>9.9286958617855899E-4</v>
      </c>
      <c r="AP41" s="254">
        <f t="shared" si="5"/>
        <v>9.9286958617855899E-4</v>
      </c>
      <c r="AQ41" s="254">
        <f t="shared" si="29"/>
        <v>9.92869586178559E-2</v>
      </c>
      <c r="AR41" s="254">
        <f t="shared" si="53"/>
        <v>8.333333333333335E-4</v>
      </c>
      <c r="AS41" s="253">
        <f t="shared" si="6"/>
        <v>9.3985814532477892E-4</v>
      </c>
      <c r="AT41" s="253">
        <f t="shared" si="54"/>
        <v>1.6666666666666669E-4</v>
      </c>
      <c r="AU41" s="255">
        <f t="shared" si="30"/>
        <v>1.666666666666667E-2</v>
      </c>
      <c r="AW41" s="258">
        <f>(((IF($P$5&lt;&gt;0,$P$5,IF($P$6&lt;&gt;0,$P$6,IF($P$7&lt;&gt;0,$P$7,0))))/(12*$P$19))+(((3*$P$15)/(2*(IF($P$5&lt;&gt;0,$P$5,IF($P$6&lt;&gt;0,$P$6,IF($P$7&lt;&gt;0,$P$7,0))))*$U$5*$P$19))*'IN-OUT'!$F$15))*'Burland damage classification'!BA41</f>
        <v>5.8852791737798605E-3</v>
      </c>
      <c r="AX41" s="254">
        <f>(1+(((IF($P$5&lt;&gt;0,$P$5^2,IF($P$6&lt;&gt;0,$P$6^2,IF($P$7&lt;&gt;0,$P$7^2))))*$U$5)/(18*$P$15))*('IN-OUT'!$F$15^(-1)))*BB41</f>
        <v>2.0502578918585338E-3</v>
      </c>
      <c r="AY41" s="254">
        <f t="shared" si="7"/>
        <v>2.0502578918585338E-3</v>
      </c>
      <c r="AZ41" s="254">
        <f t="shared" si="31"/>
        <v>0.20502578918585337</v>
      </c>
      <c r="BA41" s="254">
        <f t="shared" si="55"/>
        <v>1.8333333333333326E-3</v>
      </c>
      <c r="BB41" s="270">
        <f t="shared" si="8"/>
        <v>1.9407902170679515E-3</v>
      </c>
      <c r="BC41" s="253">
        <f t="shared" si="56"/>
        <v>1.6666666666666669E-4</v>
      </c>
      <c r="BD41" s="255">
        <f t="shared" si="32"/>
        <v>1.666666666666667E-2</v>
      </c>
      <c r="BF41" s="258" t="e">
        <f>((((IF($Q$5=0,$Q$6,$Q$5)))/(12*$Q$19))+(((3*$Q$15)/(2*IF($Q$5=0,$Q$6,$Q$5)*$U$5*$Q$19))*'IN-OUT'!$F$15))*'Burland damage classification'!BJ41</f>
        <v>#DIV/0!</v>
      </c>
      <c r="BG41" s="262">
        <f>(1+(((IF($Q$5=0,$Q$6^2,$Q$5^2))*$U$5)/(18*$Q$15))*('IN-OUT'!$F$15^(-1)))*BK41</f>
        <v>2.6874192494328502E-4</v>
      </c>
      <c r="BH41" s="262" t="e">
        <f t="shared" si="9"/>
        <v>#DIV/0!</v>
      </c>
      <c r="BI41" s="262" t="e">
        <f t="shared" si="33"/>
        <v>#DIV/0!</v>
      </c>
      <c r="BJ41" s="262">
        <f t="shared" si="57"/>
        <v>1.666666666666668E-4</v>
      </c>
      <c r="BK41" s="270">
        <f t="shared" si="10"/>
        <v>2.6874192494328502E-4</v>
      </c>
      <c r="BL41" s="270">
        <f t="shared" si="58"/>
        <v>1.6666666666666669E-4</v>
      </c>
      <c r="BM41" s="271">
        <f t="shared" si="34"/>
        <v>1.666666666666667E-2</v>
      </c>
      <c r="BO41" s="258" t="e">
        <f>((((IF($Q$5=0,$Q$6,$Q$5)))/(12*$Q$19))+(((3*$Q$15)/(2*IF($Q$5=0,$Q$6,$Q$5)*$U$5*$Q$19))*'IN-OUT'!$F$15))*'Burland damage classification'!BS41</f>
        <v>#DIV/0!</v>
      </c>
      <c r="BP41" s="262">
        <f>(1+(((IF($Q$5=0,$Q$6^2,$Q$5^2))*$U$5)/(18*$Q$15))*('IN-OUT'!$F$15^(-1)))*BT41</f>
        <v>4.3779751788545655E-4</v>
      </c>
      <c r="BQ41" s="254" t="e">
        <f t="shared" si="11"/>
        <v>#DIV/0!</v>
      </c>
      <c r="BR41" s="254" t="e">
        <f t="shared" si="35"/>
        <v>#DIV/0!</v>
      </c>
      <c r="BS41" s="254">
        <f t="shared" si="59"/>
        <v>3.3333333333333381E-4</v>
      </c>
      <c r="BT41" s="253">
        <f t="shared" si="12"/>
        <v>4.3779751788545655E-4</v>
      </c>
      <c r="BU41" s="253">
        <f t="shared" si="60"/>
        <v>1.6666666666666669E-4</v>
      </c>
      <c r="BV41" s="255">
        <f t="shared" si="36"/>
        <v>1.666666666666667E-2</v>
      </c>
      <c r="BX41" s="258" t="e">
        <f>((((IF($Q$5=0,$Q$6,$Q$5)))/(12*$Q$19))+(((3*$Q$15)/(2*IF($Q$5=0,$Q$6,$Q$5)*$U$5*$Q$19))*'IN-OUT'!$F$15))*'Burland damage classification'!CB41</f>
        <v>#DIV/0!</v>
      </c>
      <c r="BY41" s="262">
        <f>(1+(((IF($Q$5=0,$Q$6^2,$Q$5^2))*$U$5)/(18*$Q$15))*('IN-OUT'!$F$15^(-1)))*CC41</f>
        <v>9.3985814532477892E-4</v>
      </c>
      <c r="BZ41" s="254" t="e">
        <f t="shared" si="13"/>
        <v>#DIV/0!</v>
      </c>
      <c r="CA41" s="254" t="e">
        <f t="shared" si="37"/>
        <v>#DIV/0!</v>
      </c>
      <c r="CB41" s="254">
        <f t="shared" si="61"/>
        <v>8.333333333333335E-4</v>
      </c>
      <c r="CC41" s="253">
        <f t="shared" si="14"/>
        <v>9.3985814532477892E-4</v>
      </c>
      <c r="CD41" s="253">
        <f t="shared" si="62"/>
        <v>1.6666666666666669E-4</v>
      </c>
      <c r="CE41" s="255">
        <f t="shared" si="38"/>
        <v>1.666666666666667E-2</v>
      </c>
      <c r="CG41" s="258" t="e">
        <f>((((IF($Q$5=0,$Q$6,$Q$5)))/(12*$Q$19))+(((3*$Q$15)/(2*IF($Q$5=0,$Q$6,$Q$5)*$U$5*$Q$19))*'IN-OUT'!$F$15))*'Burland damage classification'!CK41</f>
        <v>#DIV/0!</v>
      </c>
      <c r="CH41" s="262">
        <f>(1+(((IF($Q$5=0,$Q$6^2,$Q$5^2))*$U$5)/(18*$Q$15))*('IN-OUT'!$F$15^(-1)))*CL41</f>
        <v>1.9407902170679515E-3</v>
      </c>
      <c r="CI41" s="254" t="e">
        <f t="shared" si="15"/>
        <v>#DIV/0!</v>
      </c>
      <c r="CJ41" s="254" t="e">
        <f t="shared" si="39"/>
        <v>#DIV/0!</v>
      </c>
      <c r="CK41" s="254">
        <f t="shared" si="63"/>
        <v>1.8333333333333326E-3</v>
      </c>
      <c r="CL41" s="270">
        <f t="shared" si="16"/>
        <v>1.9407902170679515E-3</v>
      </c>
      <c r="CM41" s="253">
        <f t="shared" si="64"/>
        <v>1.6666666666666669E-4</v>
      </c>
      <c r="CN41" s="255">
        <f t="shared" si="40"/>
        <v>1.666666666666667E-2</v>
      </c>
      <c r="CP41" s="258" t="e">
        <f>((((IF($R$5=0,$R$6,$R$5)))/(12*$R$19))+(((3*$R$15)/(2*IF($R$5=0,$R$6,$R$5)*$U$5*$R$19))*'IN-OUT'!$F$15))*'Burland damage classification'!CT41</f>
        <v>#DIV/0!</v>
      </c>
      <c r="CQ41" s="262">
        <f>(1+(((IF($R$5=0,$R$6^2,$R$5^2))*$U$5)/(18*$R$15))*('IN-OUT'!$F$15^(-1)))*CU41</f>
        <v>2.6874192494328502E-4</v>
      </c>
      <c r="CR41" s="262" t="e">
        <f t="shared" si="17"/>
        <v>#DIV/0!</v>
      </c>
      <c r="CS41" s="262" t="e">
        <f t="shared" si="41"/>
        <v>#DIV/0!</v>
      </c>
      <c r="CT41" s="262">
        <f t="shared" si="65"/>
        <v>1.666666666666668E-4</v>
      </c>
      <c r="CU41" s="270">
        <f t="shared" si="18"/>
        <v>2.6874192494328502E-4</v>
      </c>
      <c r="CV41" s="270">
        <f t="shared" si="66"/>
        <v>1.6666666666666669E-4</v>
      </c>
      <c r="CW41" s="271">
        <f t="shared" si="42"/>
        <v>1.666666666666667E-2</v>
      </c>
      <c r="CY41" s="258" t="e">
        <f>((((IF($R$5=0,$R$6,$R$5)))/(12*$R$19))+(((3*$R$15)/(2*IF($R$5=0,$R$6,$R$5)*$U$5*$R$19))*'IN-OUT'!$F$15))*'Burland damage classification'!DC41</f>
        <v>#DIV/0!</v>
      </c>
      <c r="CZ41" s="262">
        <f>(1+(((IF($R$5=0,$R$6^2,$R$5^2))*$U$5)/(18*$R$15))*('IN-OUT'!$F$15^(-1)))*DD41</f>
        <v>4.3779751788545655E-4</v>
      </c>
      <c r="DA41" s="254" t="e">
        <f t="shared" si="19"/>
        <v>#DIV/0!</v>
      </c>
      <c r="DB41" s="254" t="e">
        <f t="shared" si="43"/>
        <v>#DIV/0!</v>
      </c>
      <c r="DC41" s="254">
        <f t="shared" si="67"/>
        <v>3.3333333333333381E-4</v>
      </c>
      <c r="DD41" s="253">
        <f t="shared" si="20"/>
        <v>4.3779751788545655E-4</v>
      </c>
      <c r="DE41" s="253">
        <f t="shared" si="68"/>
        <v>1.6666666666666669E-4</v>
      </c>
      <c r="DF41" s="255">
        <f t="shared" si="44"/>
        <v>1.666666666666667E-2</v>
      </c>
      <c r="DH41" s="258" t="e">
        <f>((((IF($R$5=0,$R$6,$R$5)))/(12*$R$19))+(((3*$R$15)/(2*IF($R$5=0,$R$6,$R$5)*$U$5*$R$19))*'IN-OUT'!$F$15))*'Burland damage classification'!DL41</f>
        <v>#DIV/0!</v>
      </c>
      <c r="DI41" s="262">
        <f>(1+(((IF($R$5=0,$R$6^2,$R$5^2))*$U$5)/(18*$R$15))*('IN-OUT'!$F$15^(-1)))*DM41</f>
        <v>9.3985814532477892E-4</v>
      </c>
      <c r="DJ41" s="254" t="e">
        <f t="shared" si="21"/>
        <v>#DIV/0!</v>
      </c>
      <c r="DK41" s="254" t="e">
        <f t="shared" si="45"/>
        <v>#DIV/0!</v>
      </c>
      <c r="DL41" s="254">
        <f t="shared" si="69"/>
        <v>8.333333333333335E-4</v>
      </c>
      <c r="DM41" s="253">
        <f t="shared" si="22"/>
        <v>9.3985814532477892E-4</v>
      </c>
      <c r="DN41" s="253">
        <f t="shared" si="70"/>
        <v>1.6666666666666669E-4</v>
      </c>
      <c r="DO41" s="255">
        <f t="shared" si="46"/>
        <v>1.666666666666667E-2</v>
      </c>
      <c r="DQ41" s="258" t="e">
        <f>((((IF($R$5=0,$R$6,$R$5)))/(12*$R$19))+(((3*$R$15)/(2*IF($R$5=0,$R$6,$R$5)*$U$5*$R$19))*'IN-OUT'!$F$15))*'Burland damage classification'!DU41</f>
        <v>#DIV/0!</v>
      </c>
      <c r="DR41" s="262">
        <f>(1+(((IF($R$5=0,$R$6^2,$R$5^2))*$U$5)/(18*$R$15))*('IN-OUT'!$F$15^(-1)))*DV41</f>
        <v>1.9407902170679515E-3</v>
      </c>
      <c r="DS41" s="254" t="e">
        <f t="shared" si="23"/>
        <v>#DIV/0!</v>
      </c>
      <c r="DT41" s="254" t="e">
        <f t="shared" si="47"/>
        <v>#DIV/0!</v>
      </c>
      <c r="DU41" s="254">
        <f t="shared" si="71"/>
        <v>1.8333333333333326E-3</v>
      </c>
      <c r="DV41" s="270">
        <f t="shared" si="24"/>
        <v>1.9407902170679515E-3</v>
      </c>
      <c r="DW41" s="253">
        <f t="shared" si="72"/>
        <v>1.6666666666666669E-4</v>
      </c>
      <c r="DX41" s="255">
        <f t="shared" si="48"/>
        <v>1.666666666666667E-2</v>
      </c>
      <c r="EA41" s="1237"/>
      <c r="EB41" s="1228" t="s">
        <v>242</v>
      </c>
      <c r="EC41" s="449" t="s">
        <v>21</v>
      </c>
      <c r="ED41" s="435">
        <f>'transversal subsidence profile'!$L$5*EXP(-(EE9^2)/(2*'transversal subsidence profile'!$J$5^2))*100</f>
        <v>2.617993877991494</v>
      </c>
      <c r="EE41" s="428">
        <f>'transversal subsidence profile'!$L$5*EE9/'transversal subsidence profile'!$B$5*EXP(-(EE9^2)/(2*'transversal subsidence profile'!$J$5^2))*100</f>
        <v>0</v>
      </c>
      <c r="EF41" s="436">
        <f>('transversal subsidence profile'!$L$5/'transversal subsidence profile'!$B$5)*(1-((EE9^2)/(('transversal subsidence profile'!$J$5)^2)))*EXP(-(EE9^2)/(2*(('transversal subsidence profile'!$J$5)^2)))*100</f>
        <v>0.17453292519943295</v>
      </c>
      <c r="EG41" s="440">
        <f>'transversal subsidence profile'!$L$6*EXP(-(((EE9+$DZ$4))^2)/(2*'transversal subsidence profile'!$J$6^2))*100</f>
        <v>0.87372870216931453</v>
      </c>
      <c r="EH41" s="429">
        <f>'transversal subsidence profile'!$L$6*(EE9+$DZ$4)/'transversal subsidence profile'!$F$5*EXP(-((EE9+$DZ$4)^2)/(2*'transversal subsidence profile'!$J$6^2))*100</f>
        <v>0.58248580144620965</v>
      </c>
      <c r="EI41" s="441">
        <f>('transversal subsidence profile'!$L$6/'transversal subsidence profile'!$F$5)*(1-(EE9+$DZ$4)^2/(('transversal subsidence profile'!$J$6)^2))*EXP(-((EE9+$DZ$4)^2)/(2*(('transversal subsidence profile'!$J$6)^2)))*100</f>
        <v>-6.9594668458113657E-2</v>
      </c>
      <c r="EK41" s="445">
        <f>IF('IN-OUT'!$F$26=0,EG41,IF('IN-OUT'!$F$35=0,ED41,ED41+EG41))</f>
        <v>3.4917225801608085</v>
      </c>
      <c r="EL41" s="445">
        <f>IF('IN-OUT'!$F$26=0,EH41,IF('IN-OUT'!$F$35=0,EE41,EE41+EH41))</f>
        <v>0.58248580144620965</v>
      </c>
      <c r="EM41" s="563">
        <f>IF('IN-OUT'!$F$26=0,EI41,IF('IN-OUT'!$F$35=0,EF41,EF41+EI41))</f>
        <v>0.10493825674131929</v>
      </c>
      <c r="EO41" s="430"/>
      <c r="EV41" s="1242" t="s">
        <v>266</v>
      </c>
      <c r="EW41" s="1243"/>
      <c r="FE41" s="681"/>
      <c r="FF41" s="681"/>
    </row>
    <row r="42" spans="7:167" ht="13.8" thickBot="1">
      <c r="V42" s="258">
        <f>(((IF($P$5&lt;&gt;0,$P$5,IF($P$6&lt;&gt;0,$P$6,IF($P$7&lt;&gt;0,$P$7,0))))/(12*$P$19))+(((3*$P$15)/(2*(IF($P$5&lt;&gt;0,$P$5,IF($P$6&lt;&gt;0,$P$6,IF($P$7&lt;&gt;0,$P$7,0))))*$U$5*$P$19))*'IN-OUT'!$F$15))*'Burland damage classification'!Z42</f>
        <v>5.1362436425715207E-4</v>
      </c>
      <c r="W42" s="262">
        <f>(1+(((IF($P$5&lt;&gt;0,$P$5^2,IF($P$6&lt;&gt;0,$P$6^2,IF($P$7&lt;&gt;0,$P$7^2))))*$U$5)/(18*$P$15))*('IN-OUT'!$F$15^(-1)))*AA42</f>
        <v>2.8082592688829616E-4</v>
      </c>
      <c r="X42" s="262">
        <f t="shared" si="1"/>
        <v>2.8082592688829616E-4</v>
      </c>
      <c r="Y42" s="262">
        <f t="shared" si="25"/>
        <v>2.8082592688829615E-2</v>
      </c>
      <c r="Z42" s="916">
        <f t="shared" si="49"/>
        <v>1.6000000000000012E-4</v>
      </c>
      <c r="AA42" s="270">
        <f t="shared" si="2"/>
        <v>2.6583202716502514E-4</v>
      </c>
      <c r="AB42" s="270">
        <f t="shared" si="50"/>
        <v>1.7333333333333336E-4</v>
      </c>
      <c r="AC42" s="271">
        <f t="shared" si="26"/>
        <v>1.7333333333333336E-2</v>
      </c>
      <c r="AE42" s="258">
        <f>(((IF($P$5&lt;&gt;0,$P$5,IF($P$6&lt;&gt;0,$P$6,IF($P$7&lt;&gt;0,$P$7,0))))/(12*$P$19))+(((3*$P$15)/(2*(IF($P$5&lt;&gt;0,$P$5,IF($P$6&lt;&gt;0,$P$6,IF($P$7&lt;&gt;0,$P$7,0))))*$U$5*$P$19))*'IN-OUT'!$F$15))*'Burland damage classification'!AI42</f>
        <v>1.0486497436916862E-3</v>
      </c>
      <c r="AF42" s="254">
        <f>(1+(((IF($P$5&lt;&gt;0,$P$5^2,IF($P$6&lt;&gt;0,$P$6^2,IF($P$7&lt;&gt;0,$P$7^2))))*$U$5)/(18*$P$15))*('IN-OUT'!$F$15^(-1)))*AJ42</f>
        <v>4.5966711852471644E-4</v>
      </c>
      <c r="AG42" s="254">
        <f t="shared" si="3"/>
        <v>4.5966711852471644E-4</v>
      </c>
      <c r="AH42" s="254">
        <f t="shared" si="27"/>
        <v>4.5966711852471642E-2</v>
      </c>
      <c r="AI42" s="254">
        <f t="shared" si="51"/>
        <v>3.2666666666666716E-4</v>
      </c>
      <c r="AJ42" s="253">
        <f t="shared" si="4"/>
        <v>4.3512450325548584E-4</v>
      </c>
      <c r="AK42" s="253">
        <f t="shared" si="52"/>
        <v>1.7333333333333336E-4</v>
      </c>
      <c r="AL42" s="255">
        <f t="shared" si="28"/>
        <v>1.7333333333333336E-2</v>
      </c>
      <c r="AN42" s="258">
        <f>(((IF($P$5&lt;&gt;0,$P$5,IF($P$6&lt;&gt;0,$P$6,IF($P$7&lt;&gt;0,$P$7,0))))/(12*$P$19))+(((3*$P$15)/(2*(IF($P$5&lt;&gt;0,$P$5,IF($P$6&lt;&gt;0,$P$6,IF($P$7&lt;&gt;0,$P$7,0))))*$U$5*$P$19))*'IN-OUT'!$F$15))*'Burland damage classification'!AR42</f>
        <v>2.6537258819952841E-3</v>
      </c>
      <c r="AO42" s="254">
        <f>(1+(((IF($P$5&lt;&gt;0,$P$5^2,IF($P$6&lt;&gt;0,$P$6^2,IF($P$7&lt;&gt;0,$P$7^2))))*$U$5)/(18*$P$15))*('IN-OUT'!$F$15^(-1)))*AS42</f>
        <v>9.9024343871014354E-4</v>
      </c>
      <c r="AP42" s="254">
        <f t="shared" si="5"/>
        <v>9.9024343871014354E-4</v>
      </c>
      <c r="AQ42" s="254">
        <f t="shared" si="29"/>
        <v>9.9024343871014359E-2</v>
      </c>
      <c r="AR42" s="254">
        <f t="shared" si="53"/>
        <v>8.2666666666666685E-4</v>
      </c>
      <c r="AS42" s="253">
        <f t="shared" si="6"/>
        <v>9.3737221351321623E-4</v>
      </c>
      <c r="AT42" s="253">
        <f t="shared" si="54"/>
        <v>1.7333333333333336E-4</v>
      </c>
      <c r="AU42" s="255">
        <f t="shared" si="30"/>
        <v>1.7333333333333336E-2</v>
      </c>
      <c r="AW42" s="258">
        <f>(((IF($P$5&lt;&gt;0,$P$5,IF($P$6&lt;&gt;0,$P$6,IF($P$7&lt;&gt;0,$P$7,0))))/(12*$P$19))+(((3*$P$15)/(2*(IF($P$5&lt;&gt;0,$P$5,IF($P$6&lt;&gt;0,$P$6,IF($P$7&lt;&gt;0,$P$7,0))))*$U$5*$P$19))*'IN-OUT'!$F$15))*'Burland damage classification'!BA42</f>
        <v>5.8638781586024787E-3</v>
      </c>
      <c r="AX42" s="254">
        <f>(1+(((IF($P$5&lt;&gt;0,$P$5^2,IF($P$6&lt;&gt;0,$P$6^2,IF($P$7&lt;&gt;0,$P$7^2))))*$U$5)/(18*$P$15))*('IN-OUT'!$F$15^(-1)))*BB42</f>
        <v>2.0477161738454903E-3</v>
      </c>
      <c r="AY42" s="254">
        <f t="shared" si="7"/>
        <v>2.0477161738454903E-3</v>
      </c>
      <c r="AZ42" s="254">
        <f t="shared" si="31"/>
        <v>0.20477161738454902</v>
      </c>
      <c r="BA42" s="254">
        <f t="shared" si="55"/>
        <v>1.8266666666666659E-3</v>
      </c>
      <c r="BB42" s="270">
        <f t="shared" si="8"/>
        <v>1.9383842068417018E-3</v>
      </c>
      <c r="BC42" s="253">
        <f t="shared" si="56"/>
        <v>1.7333333333333336E-4</v>
      </c>
      <c r="BD42" s="255">
        <f t="shared" si="32"/>
        <v>1.7333333333333336E-2</v>
      </c>
      <c r="BF42" s="258" t="e">
        <f>((((IF($Q$5=0,$Q$6,$Q$5)))/(12*$Q$19))+(((3*$Q$15)/(2*IF($Q$5=0,$Q$6,$Q$5)*$U$5*$Q$19))*'IN-OUT'!$F$15))*'Burland damage classification'!BJ42</f>
        <v>#DIV/0!</v>
      </c>
      <c r="BG42" s="262">
        <f>(1+(((IF($Q$5=0,$Q$6^2,$Q$5^2))*$U$5)/(18*$Q$15))*('IN-OUT'!$F$15^(-1)))*BK42</f>
        <v>2.6583202716502514E-4</v>
      </c>
      <c r="BH42" s="262" t="e">
        <f t="shared" si="9"/>
        <v>#DIV/0!</v>
      </c>
      <c r="BI42" s="262" t="e">
        <f t="shared" si="33"/>
        <v>#DIV/0!</v>
      </c>
      <c r="BJ42" s="262">
        <f t="shared" si="57"/>
        <v>1.6000000000000012E-4</v>
      </c>
      <c r="BK42" s="270">
        <f t="shared" si="10"/>
        <v>2.6583202716502514E-4</v>
      </c>
      <c r="BL42" s="270">
        <f t="shared" si="58"/>
        <v>1.7333333333333336E-4</v>
      </c>
      <c r="BM42" s="271">
        <f t="shared" si="34"/>
        <v>1.7333333333333336E-2</v>
      </c>
      <c r="BO42" s="258" t="e">
        <f>((((IF($Q$5=0,$Q$6,$Q$5)))/(12*$Q$19))+(((3*$Q$15)/(2*IF($Q$5=0,$Q$6,$Q$5)*$U$5*$Q$19))*'IN-OUT'!$F$15))*'Burland damage classification'!BS42</f>
        <v>#DIV/0!</v>
      </c>
      <c r="BP42" s="262">
        <f>(1+(((IF($Q$5=0,$Q$6^2,$Q$5^2))*$U$5)/(18*$Q$15))*('IN-OUT'!$F$15^(-1)))*BT42</f>
        <v>4.3512450325548584E-4</v>
      </c>
      <c r="BQ42" s="254" t="e">
        <f t="shared" si="11"/>
        <v>#DIV/0!</v>
      </c>
      <c r="BR42" s="254" t="e">
        <f t="shared" si="35"/>
        <v>#DIV/0!</v>
      </c>
      <c r="BS42" s="254">
        <f t="shared" si="59"/>
        <v>3.2666666666666716E-4</v>
      </c>
      <c r="BT42" s="253">
        <f t="shared" si="12"/>
        <v>4.3512450325548584E-4</v>
      </c>
      <c r="BU42" s="253">
        <f t="shared" si="60"/>
        <v>1.7333333333333336E-4</v>
      </c>
      <c r="BV42" s="255">
        <f t="shared" si="36"/>
        <v>1.7333333333333336E-2</v>
      </c>
      <c r="BX42" s="258" t="e">
        <f>((((IF($Q$5=0,$Q$6,$Q$5)))/(12*$Q$19))+(((3*$Q$15)/(2*IF($Q$5=0,$Q$6,$Q$5)*$U$5*$Q$19))*'IN-OUT'!$F$15))*'Burland damage classification'!CB42</f>
        <v>#DIV/0!</v>
      </c>
      <c r="BY42" s="262">
        <f>(1+(((IF($Q$5=0,$Q$6^2,$Q$5^2))*$U$5)/(18*$Q$15))*('IN-OUT'!$F$15^(-1)))*CC42</f>
        <v>9.3737221351321623E-4</v>
      </c>
      <c r="BZ42" s="254" t="e">
        <f t="shared" si="13"/>
        <v>#DIV/0!</v>
      </c>
      <c r="CA42" s="254" t="e">
        <f t="shared" si="37"/>
        <v>#DIV/0!</v>
      </c>
      <c r="CB42" s="254">
        <f t="shared" si="61"/>
        <v>8.2666666666666685E-4</v>
      </c>
      <c r="CC42" s="253">
        <f t="shared" si="14"/>
        <v>9.3737221351321623E-4</v>
      </c>
      <c r="CD42" s="253">
        <f t="shared" si="62"/>
        <v>1.7333333333333336E-4</v>
      </c>
      <c r="CE42" s="255">
        <f t="shared" si="38"/>
        <v>1.7333333333333336E-2</v>
      </c>
      <c r="CG42" s="258" t="e">
        <f>((((IF($Q$5=0,$Q$6,$Q$5)))/(12*$Q$19))+(((3*$Q$15)/(2*IF($Q$5=0,$Q$6,$Q$5)*$U$5*$Q$19))*'IN-OUT'!$F$15))*'Burland damage classification'!CK42</f>
        <v>#DIV/0!</v>
      </c>
      <c r="CH42" s="262">
        <f>(1+(((IF($Q$5=0,$Q$6^2,$Q$5^2))*$U$5)/(18*$Q$15))*('IN-OUT'!$F$15^(-1)))*CL42</f>
        <v>1.9383842068417018E-3</v>
      </c>
      <c r="CI42" s="254" t="e">
        <f t="shared" si="15"/>
        <v>#DIV/0!</v>
      </c>
      <c r="CJ42" s="254" t="e">
        <f t="shared" si="39"/>
        <v>#DIV/0!</v>
      </c>
      <c r="CK42" s="254">
        <f t="shared" si="63"/>
        <v>1.8266666666666659E-3</v>
      </c>
      <c r="CL42" s="270">
        <f t="shared" si="16"/>
        <v>1.9383842068417018E-3</v>
      </c>
      <c r="CM42" s="253">
        <f t="shared" si="64"/>
        <v>1.7333333333333336E-4</v>
      </c>
      <c r="CN42" s="255">
        <f t="shared" si="40"/>
        <v>1.7333333333333336E-2</v>
      </c>
      <c r="CP42" s="258" t="e">
        <f>((((IF($R$5=0,$R$6,$R$5)))/(12*$R$19))+(((3*$R$15)/(2*IF($R$5=0,$R$6,$R$5)*$U$5*$R$19))*'IN-OUT'!$F$15))*'Burland damage classification'!CT42</f>
        <v>#DIV/0!</v>
      </c>
      <c r="CQ42" s="262">
        <f>(1+(((IF($R$5=0,$R$6^2,$R$5^2))*$U$5)/(18*$R$15))*('IN-OUT'!$F$15^(-1)))*CU42</f>
        <v>2.6583202716502514E-4</v>
      </c>
      <c r="CR42" s="262" t="e">
        <f t="shared" si="17"/>
        <v>#DIV/0!</v>
      </c>
      <c r="CS42" s="262" t="e">
        <f t="shared" si="41"/>
        <v>#DIV/0!</v>
      </c>
      <c r="CT42" s="262">
        <f t="shared" si="65"/>
        <v>1.6000000000000012E-4</v>
      </c>
      <c r="CU42" s="270">
        <f t="shared" si="18"/>
        <v>2.6583202716502514E-4</v>
      </c>
      <c r="CV42" s="270">
        <f t="shared" si="66"/>
        <v>1.7333333333333336E-4</v>
      </c>
      <c r="CW42" s="271">
        <f t="shared" si="42"/>
        <v>1.7333333333333336E-2</v>
      </c>
      <c r="CY42" s="258" t="e">
        <f>((((IF($R$5=0,$R$6,$R$5)))/(12*$R$19))+(((3*$R$15)/(2*IF($R$5=0,$R$6,$R$5)*$U$5*$R$19))*'IN-OUT'!$F$15))*'Burland damage classification'!DC42</f>
        <v>#DIV/0!</v>
      </c>
      <c r="CZ42" s="262">
        <f>(1+(((IF($R$5=0,$R$6^2,$R$5^2))*$U$5)/(18*$R$15))*('IN-OUT'!$F$15^(-1)))*DD42</f>
        <v>4.3512450325548584E-4</v>
      </c>
      <c r="DA42" s="254" t="e">
        <f t="shared" si="19"/>
        <v>#DIV/0!</v>
      </c>
      <c r="DB42" s="254" t="e">
        <f t="shared" si="43"/>
        <v>#DIV/0!</v>
      </c>
      <c r="DC42" s="254">
        <f t="shared" si="67"/>
        <v>3.2666666666666716E-4</v>
      </c>
      <c r="DD42" s="253">
        <f t="shared" si="20"/>
        <v>4.3512450325548584E-4</v>
      </c>
      <c r="DE42" s="253">
        <f t="shared" si="68"/>
        <v>1.7333333333333336E-4</v>
      </c>
      <c r="DF42" s="255">
        <f t="shared" si="44"/>
        <v>1.7333333333333336E-2</v>
      </c>
      <c r="DH42" s="258" t="e">
        <f>((((IF($R$5=0,$R$6,$R$5)))/(12*$R$19))+(((3*$R$15)/(2*IF($R$5=0,$R$6,$R$5)*$U$5*$R$19))*'IN-OUT'!$F$15))*'Burland damage classification'!DL42</f>
        <v>#DIV/0!</v>
      </c>
      <c r="DI42" s="262">
        <f>(1+(((IF($R$5=0,$R$6^2,$R$5^2))*$U$5)/(18*$R$15))*('IN-OUT'!$F$15^(-1)))*DM42</f>
        <v>9.3737221351321623E-4</v>
      </c>
      <c r="DJ42" s="254" t="e">
        <f t="shared" si="21"/>
        <v>#DIV/0!</v>
      </c>
      <c r="DK42" s="254" t="e">
        <f t="shared" si="45"/>
        <v>#DIV/0!</v>
      </c>
      <c r="DL42" s="254">
        <f t="shared" si="69"/>
        <v>8.2666666666666685E-4</v>
      </c>
      <c r="DM42" s="253">
        <f t="shared" si="22"/>
        <v>9.3737221351321623E-4</v>
      </c>
      <c r="DN42" s="253">
        <f t="shared" si="70"/>
        <v>1.7333333333333336E-4</v>
      </c>
      <c r="DO42" s="255">
        <f t="shared" si="46"/>
        <v>1.7333333333333336E-2</v>
      </c>
      <c r="DQ42" s="258" t="e">
        <f>((((IF($R$5=0,$R$6,$R$5)))/(12*$R$19))+(((3*$R$15)/(2*IF($R$5=0,$R$6,$R$5)*$U$5*$R$19))*'IN-OUT'!$F$15))*'Burland damage classification'!DU42</f>
        <v>#DIV/0!</v>
      </c>
      <c r="DR42" s="262">
        <f>(1+(((IF($R$5=0,$R$6^2,$R$5^2))*$U$5)/(18*$R$15))*('IN-OUT'!$F$15^(-1)))*DV42</f>
        <v>1.9383842068417018E-3</v>
      </c>
      <c r="DS42" s="254" t="e">
        <f t="shared" si="23"/>
        <v>#DIV/0!</v>
      </c>
      <c r="DT42" s="254" t="e">
        <f t="shared" si="47"/>
        <v>#DIV/0!</v>
      </c>
      <c r="DU42" s="254">
        <f t="shared" si="71"/>
        <v>1.8266666666666659E-3</v>
      </c>
      <c r="DV42" s="270">
        <f t="shared" si="24"/>
        <v>1.9383842068417018E-3</v>
      </c>
      <c r="DW42" s="253">
        <f t="shared" si="72"/>
        <v>1.7333333333333336E-4</v>
      </c>
      <c r="DX42" s="255">
        <f t="shared" si="48"/>
        <v>1.7333333333333336E-2</v>
      </c>
      <c r="EA42" s="1237"/>
      <c r="EB42" s="1229"/>
      <c r="EC42" s="450" t="s">
        <v>25</v>
      </c>
      <c r="ED42" s="435">
        <f>'transversal subsidence profile'!$L$5*EXP(-(EE10^2)/(2*'transversal subsidence profile'!$J$5^2))*100</f>
        <v>2.617993877991494</v>
      </c>
      <c r="EE42" s="428">
        <f>'transversal subsidence profile'!$L$5*EE10/'transversal subsidence profile'!$B$5*EXP(-(EE10^2)/(2*'transversal subsidence profile'!$J$5^2))*100</f>
        <v>0</v>
      </c>
      <c r="EF42" s="436">
        <f>('transversal subsidence profile'!$L$5/'transversal subsidence profile'!$B$5)*(1-((EE10^2)/(('transversal subsidence profile'!$J$5)^2)))*EXP(-(EE10^2)/(2*(('transversal subsidence profile'!$J$5)^2)))*100</f>
        <v>0.17453292519943295</v>
      </c>
      <c r="EG42" s="440">
        <f>'transversal subsidence profile'!$L$6*EXP(-(((EE10+$DZ$4))^2)/(2*'transversal subsidence profile'!$J$6^2))*100</f>
        <v>0.87372870216931453</v>
      </c>
      <c r="EH42" s="429">
        <f>'transversal subsidence profile'!$L$6*(EE10+$DZ$4)/'transversal subsidence profile'!$F$5*EXP(-((EE10+$DZ$4)^2)/(2*'transversal subsidence profile'!$J$6^2))*100</f>
        <v>0.58248580144620965</v>
      </c>
      <c r="EI42" s="441">
        <f>('transversal subsidence profile'!$L$6/'transversal subsidence profile'!$F$5)*(1-(EE10+$DZ$4)^2/(('transversal subsidence profile'!$J$6)^2))*EXP(-((EE10+$DZ$4)^2)/(2*(('transversal subsidence profile'!$J$6)^2)))*100</f>
        <v>-6.9594668458113657E-2</v>
      </c>
      <c r="EK42" s="445">
        <f>IF('IN-OUT'!$F$26=0,EG42,IF('IN-OUT'!$F$35=0,ED42,ED42+EG42))</f>
        <v>3.4917225801608085</v>
      </c>
      <c r="EL42" s="445">
        <f>IF('IN-OUT'!$F$26=0,EH42,IF('IN-OUT'!$F$35=0,EE42,EE42+EH42))</f>
        <v>0.58248580144620965</v>
      </c>
      <c r="EM42" s="563">
        <f>IF('IN-OUT'!$F$26=0,EI42,IF('IN-OUT'!$F$35=0,EF42,EF42+EI42))</f>
        <v>0.10493825674131929</v>
      </c>
      <c r="EO42" s="464" t="s">
        <v>252</v>
      </c>
      <c r="EP42" s="414" t="s">
        <v>253</v>
      </c>
      <c r="EQ42" s="414" t="s">
        <v>255</v>
      </c>
      <c r="ER42" s="414" t="s">
        <v>254</v>
      </c>
      <c r="ES42" s="446" t="s">
        <v>256</v>
      </c>
      <c r="EV42" s="494" t="s">
        <v>7</v>
      </c>
      <c r="EW42" s="495" t="s">
        <v>136</v>
      </c>
      <c r="EZ42" t="s">
        <v>318</v>
      </c>
      <c r="FA42" t="s">
        <v>317</v>
      </c>
      <c r="FB42" t="s">
        <v>319</v>
      </c>
      <c r="FC42" t="s">
        <v>320</v>
      </c>
      <c r="FD42" s="239" t="s">
        <v>323</v>
      </c>
      <c r="FE42" s="681"/>
      <c r="FF42" s="681"/>
    </row>
    <row r="43" spans="7:167" ht="13.8" thickBot="1">
      <c r="V43" s="258">
        <f>(((IF($P$5&lt;&gt;0,$P$5,IF($P$6&lt;&gt;0,$P$6,IF($P$7&lt;&gt;0,$P$7,0))))/(12*$P$19))+(((3*$P$15)/(2*(IF($P$5&lt;&gt;0,$P$5,IF($P$6&lt;&gt;0,$P$6,IF($P$7&lt;&gt;0,$P$7,0))))*$U$5*$P$19))*'IN-OUT'!$F$15))*'Burland damage classification'!Z43</f>
        <v>4.922233490797707E-4</v>
      </c>
      <c r="W43" s="262">
        <f>(1+(((IF($P$5&lt;&gt;0,$P$5^2,IF($P$6&lt;&gt;0,$P$6^2,IF($P$7&lt;&gt;0,$P$7^2))))*$U$5)/(18*$P$15))*('IN-OUT'!$F$15^(-1)))*AA43</f>
        <v>2.7771787626301541E-4</v>
      </c>
      <c r="X43" s="262">
        <f t="shared" si="1"/>
        <v>2.7771787626301541E-4</v>
      </c>
      <c r="Y43" s="262">
        <f t="shared" si="25"/>
        <v>2.7771787626301541E-2</v>
      </c>
      <c r="Z43" s="916">
        <f t="shared" si="49"/>
        <v>1.5333333333333345E-4</v>
      </c>
      <c r="AA43" s="270">
        <f t="shared" si="2"/>
        <v>2.6288992204173803E-4</v>
      </c>
      <c r="AB43" s="270">
        <f t="shared" si="50"/>
        <v>1.8000000000000004E-4</v>
      </c>
      <c r="AC43" s="271">
        <f t="shared" si="26"/>
        <v>1.8000000000000002E-2</v>
      </c>
      <c r="AE43" s="258">
        <f>(((IF($P$5&lt;&gt;0,$P$5,IF($P$6&lt;&gt;0,$P$6,IF($P$7&lt;&gt;0,$P$7,0))))/(12*$P$19))+(((3*$P$15)/(2*(IF($P$5&lt;&gt;0,$P$5,IF($P$6&lt;&gt;0,$P$6,IF($P$7&lt;&gt;0,$P$7,0))))*$U$5*$P$19))*'IN-OUT'!$F$15))*'Burland damage classification'!AI43</f>
        <v>1.027248728514305E-3</v>
      </c>
      <c r="AF43" s="254">
        <f>(1+(((IF($P$5&lt;&gt;0,$P$5^2,IF($P$6&lt;&gt;0,$P$6^2,IF($P$7&lt;&gt;0,$P$7^2))))*$U$5)/(18*$P$15))*('IN-OUT'!$F$15^(-1)))*AJ43</f>
        <v>4.5682588174037272E-4</v>
      </c>
      <c r="AG43" s="254">
        <f t="shared" si="3"/>
        <v>4.5682588174037272E-4</v>
      </c>
      <c r="AH43" s="254">
        <f t="shared" si="27"/>
        <v>4.5682588174037274E-2</v>
      </c>
      <c r="AI43" s="254">
        <f t="shared" si="51"/>
        <v>3.2000000000000051E-4</v>
      </c>
      <c r="AJ43" s="253">
        <f t="shared" si="4"/>
        <v>4.3243496620879303E-4</v>
      </c>
      <c r="AK43" s="253">
        <f t="shared" si="52"/>
        <v>1.8000000000000004E-4</v>
      </c>
      <c r="AL43" s="255">
        <f t="shared" si="28"/>
        <v>1.8000000000000002E-2</v>
      </c>
      <c r="AN43" s="258">
        <f>(((IF($P$5&lt;&gt;0,$P$5,IF($P$6&lt;&gt;0,$P$6,IF($P$7&lt;&gt;0,$P$7,0))))/(12*$P$19))+(((3*$P$15)/(2*(IF($P$5&lt;&gt;0,$P$5,IF($P$6&lt;&gt;0,$P$6,IF($P$7&lt;&gt;0,$P$7,0))))*$U$5*$P$19))*'IN-OUT'!$F$15))*'Burland damage classification'!AR43</f>
        <v>2.6323248668179027E-3</v>
      </c>
      <c r="AO43" s="254">
        <f>(1+(((IF($P$5&lt;&gt;0,$P$5^2,IF($P$6&lt;&gt;0,$P$6^2,IF($P$7&lt;&gt;0,$P$7^2))))*$U$5)/(18*$P$15))*('IN-OUT'!$F$15^(-1)))*AS43</f>
        <v>9.8761030809656723E-4</v>
      </c>
      <c r="AP43" s="254">
        <f t="shared" si="5"/>
        <v>9.8761030809656723E-4</v>
      </c>
      <c r="AQ43" s="254">
        <f t="shared" si="29"/>
        <v>9.876103080965673E-2</v>
      </c>
      <c r="AR43" s="254">
        <f t="shared" si="53"/>
        <v>8.200000000000002E-4</v>
      </c>
      <c r="AS43" s="253">
        <f t="shared" si="6"/>
        <v>9.3487967140161942E-4</v>
      </c>
      <c r="AT43" s="253">
        <f t="shared" si="54"/>
        <v>1.8000000000000004E-4</v>
      </c>
      <c r="AU43" s="255">
        <f t="shared" si="30"/>
        <v>1.8000000000000002E-2</v>
      </c>
      <c r="AW43" s="258">
        <f>(((IF($P$5&lt;&gt;0,$P$5,IF($P$6&lt;&gt;0,$P$6,IF($P$7&lt;&gt;0,$P$7,0))))/(12*$P$19))+(((3*$P$15)/(2*(IF($P$5&lt;&gt;0,$P$5,IF($P$6&lt;&gt;0,$P$6,IF($P$7&lt;&gt;0,$P$7,0))))*$U$5*$P$19))*'IN-OUT'!$F$15))*'Burland damage classification'!BA43</f>
        <v>5.8424771434250978E-3</v>
      </c>
      <c r="AX43" s="254">
        <f>(1+(((IF($P$5&lt;&gt;0,$P$5^2,IF($P$6&lt;&gt;0,$P$6^2,IF($P$7&lt;&gt;0,$P$7^2))))*$U$5)/(18*$P$15))*('IN-OUT'!$F$15^(-1)))*BB43</f>
        <v>2.045171297013682E-3</v>
      </c>
      <c r="AY43" s="254">
        <f t="shared" si="7"/>
        <v>2.045171297013682E-3</v>
      </c>
      <c r="AZ43" s="254">
        <f t="shared" si="31"/>
        <v>0.20451712970136821</v>
      </c>
      <c r="BA43" s="254">
        <f t="shared" si="55"/>
        <v>1.8199999999999991E-3</v>
      </c>
      <c r="BB43" s="270">
        <f t="shared" si="8"/>
        <v>1.9359752064528099E-3</v>
      </c>
      <c r="BC43" s="253">
        <f t="shared" si="56"/>
        <v>1.8000000000000004E-4</v>
      </c>
      <c r="BD43" s="255">
        <f t="shared" si="32"/>
        <v>1.8000000000000002E-2</v>
      </c>
      <c r="BF43" s="258" t="e">
        <f>((((IF($Q$5=0,$Q$6,$Q$5)))/(12*$Q$19))+(((3*$Q$15)/(2*IF($Q$5=0,$Q$6,$Q$5)*$U$5*$Q$19))*'IN-OUT'!$F$15))*'Burland damage classification'!BJ43</f>
        <v>#DIV/0!</v>
      </c>
      <c r="BG43" s="262">
        <f>(1+(((IF($Q$5=0,$Q$6^2,$Q$5^2))*$U$5)/(18*$Q$15))*('IN-OUT'!$F$15^(-1)))*BK43</f>
        <v>2.6288992204173803E-4</v>
      </c>
      <c r="BH43" s="262" t="e">
        <f t="shared" si="9"/>
        <v>#DIV/0!</v>
      </c>
      <c r="BI43" s="262" t="e">
        <f t="shared" si="33"/>
        <v>#DIV/0!</v>
      </c>
      <c r="BJ43" s="262">
        <f t="shared" si="57"/>
        <v>1.5333333333333345E-4</v>
      </c>
      <c r="BK43" s="270">
        <f t="shared" si="10"/>
        <v>2.6288992204173803E-4</v>
      </c>
      <c r="BL43" s="270">
        <f t="shared" si="58"/>
        <v>1.8000000000000004E-4</v>
      </c>
      <c r="BM43" s="271">
        <f t="shared" si="34"/>
        <v>1.8000000000000002E-2</v>
      </c>
      <c r="BO43" s="258" t="e">
        <f>((((IF($Q$5=0,$Q$6,$Q$5)))/(12*$Q$19))+(((3*$Q$15)/(2*IF($Q$5=0,$Q$6,$Q$5)*$U$5*$Q$19))*'IN-OUT'!$F$15))*'Burland damage classification'!BS43</f>
        <v>#DIV/0!</v>
      </c>
      <c r="BP43" s="262">
        <f>(1+(((IF($Q$5=0,$Q$6^2,$Q$5^2))*$U$5)/(18*$Q$15))*('IN-OUT'!$F$15^(-1)))*BT43</f>
        <v>4.3243496620879303E-4</v>
      </c>
      <c r="BQ43" s="254" t="e">
        <f t="shared" si="11"/>
        <v>#DIV/0!</v>
      </c>
      <c r="BR43" s="254" t="e">
        <f t="shared" si="35"/>
        <v>#DIV/0!</v>
      </c>
      <c r="BS43" s="254">
        <f t="shared" si="59"/>
        <v>3.2000000000000051E-4</v>
      </c>
      <c r="BT43" s="253">
        <f t="shared" si="12"/>
        <v>4.3243496620879303E-4</v>
      </c>
      <c r="BU43" s="253">
        <f t="shared" si="60"/>
        <v>1.8000000000000004E-4</v>
      </c>
      <c r="BV43" s="255">
        <f t="shared" si="36"/>
        <v>1.8000000000000002E-2</v>
      </c>
      <c r="BX43" s="258" t="e">
        <f>((((IF($Q$5=0,$Q$6,$Q$5)))/(12*$Q$19))+(((3*$Q$15)/(2*IF($Q$5=0,$Q$6,$Q$5)*$U$5*$Q$19))*'IN-OUT'!$F$15))*'Burland damage classification'!CB43</f>
        <v>#DIV/0!</v>
      </c>
      <c r="BY43" s="262">
        <f>(1+(((IF($Q$5=0,$Q$6^2,$Q$5^2))*$U$5)/(18*$Q$15))*('IN-OUT'!$F$15^(-1)))*CC43</f>
        <v>9.3487967140161942E-4</v>
      </c>
      <c r="BZ43" s="254" t="e">
        <f t="shared" si="13"/>
        <v>#DIV/0!</v>
      </c>
      <c r="CA43" s="254" t="e">
        <f t="shared" si="37"/>
        <v>#DIV/0!</v>
      </c>
      <c r="CB43" s="254">
        <f t="shared" si="61"/>
        <v>8.200000000000002E-4</v>
      </c>
      <c r="CC43" s="253">
        <f t="shared" si="14"/>
        <v>9.3487967140161942E-4</v>
      </c>
      <c r="CD43" s="253">
        <f t="shared" si="62"/>
        <v>1.8000000000000004E-4</v>
      </c>
      <c r="CE43" s="255">
        <f t="shared" si="38"/>
        <v>1.8000000000000002E-2</v>
      </c>
      <c r="CG43" s="258" t="e">
        <f>((((IF($Q$5=0,$Q$6,$Q$5)))/(12*$Q$19))+(((3*$Q$15)/(2*IF($Q$5=0,$Q$6,$Q$5)*$U$5*$Q$19))*'IN-OUT'!$F$15))*'Burland damage classification'!CK43</f>
        <v>#DIV/0!</v>
      </c>
      <c r="CH43" s="262">
        <f>(1+(((IF($Q$5=0,$Q$6^2,$Q$5^2))*$U$5)/(18*$Q$15))*('IN-OUT'!$F$15^(-1)))*CL43</f>
        <v>1.9359752064528099E-3</v>
      </c>
      <c r="CI43" s="254" t="e">
        <f t="shared" si="15"/>
        <v>#DIV/0!</v>
      </c>
      <c r="CJ43" s="254" t="e">
        <f t="shared" si="39"/>
        <v>#DIV/0!</v>
      </c>
      <c r="CK43" s="254">
        <f t="shared" si="63"/>
        <v>1.8199999999999991E-3</v>
      </c>
      <c r="CL43" s="270">
        <f t="shared" si="16"/>
        <v>1.9359752064528099E-3</v>
      </c>
      <c r="CM43" s="253">
        <f t="shared" si="64"/>
        <v>1.8000000000000004E-4</v>
      </c>
      <c r="CN43" s="255">
        <f t="shared" si="40"/>
        <v>1.8000000000000002E-2</v>
      </c>
      <c r="CP43" s="258" t="e">
        <f>((((IF($R$5=0,$R$6,$R$5)))/(12*$R$19))+(((3*$R$15)/(2*IF($R$5=0,$R$6,$R$5)*$U$5*$R$19))*'IN-OUT'!$F$15))*'Burland damage classification'!CT43</f>
        <v>#DIV/0!</v>
      </c>
      <c r="CQ43" s="262">
        <f>(1+(((IF($R$5=0,$R$6^2,$R$5^2))*$U$5)/(18*$R$15))*('IN-OUT'!$F$15^(-1)))*CU43</f>
        <v>2.6288992204173803E-4</v>
      </c>
      <c r="CR43" s="262" t="e">
        <f t="shared" si="17"/>
        <v>#DIV/0!</v>
      </c>
      <c r="CS43" s="262" t="e">
        <f t="shared" si="41"/>
        <v>#DIV/0!</v>
      </c>
      <c r="CT43" s="262">
        <f t="shared" si="65"/>
        <v>1.5333333333333345E-4</v>
      </c>
      <c r="CU43" s="270">
        <f t="shared" si="18"/>
        <v>2.6288992204173803E-4</v>
      </c>
      <c r="CV43" s="270">
        <f t="shared" si="66"/>
        <v>1.8000000000000004E-4</v>
      </c>
      <c r="CW43" s="271">
        <f t="shared" si="42"/>
        <v>1.8000000000000002E-2</v>
      </c>
      <c r="CY43" s="258" t="e">
        <f>((((IF($R$5=0,$R$6,$R$5)))/(12*$R$19))+(((3*$R$15)/(2*IF($R$5=0,$R$6,$R$5)*$U$5*$R$19))*'IN-OUT'!$F$15))*'Burland damage classification'!DC43</f>
        <v>#DIV/0!</v>
      </c>
      <c r="CZ43" s="262">
        <f>(1+(((IF($R$5=0,$R$6^2,$R$5^2))*$U$5)/(18*$R$15))*('IN-OUT'!$F$15^(-1)))*DD43</f>
        <v>4.3243496620879303E-4</v>
      </c>
      <c r="DA43" s="254" t="e">
        <f t="shared" si="19"/>
        <v>#DIV/0!</v>
      </c>
      <c r="DB43" s="254" t="e">
        <f t="shared" si="43"/>
        <v>#DIV/0!</v>
      </c>
      <c r="DC43" s="254">
        <f t="shared" si="67"/>
        <v>3.2000000000000051E-4</v>
      </c>
      <c r="DD43" s="253">
        <f t="shared" si="20"/>
        <v>4.3243496620879303E-4</v>
      </c>
      <c r="DE43" s="253">
        <f t="shared" si="68"/>
        <v>1.8000000000000004E-4</v>
      </c>
      <c r="DF43" s="255">
        <f t="shared" si="44"/>
        <v>1.8000000000000002E-2</v>
      </c>
      <c r="DH43" s="258" t="e">
        <f>((((IF($R$5=0,$R$6,$R$5)))/(12*$R$19))+(((3*$R$15)/(2*IF($R$5=0,$R$6,$R$5)*$U$5*$R$19))*'IN-OUT'!$F$15))*'Burland damage classification'!DL43</f>
        <v>#DIV/0!</v>
      </c>
      <c r="DI43" s="262">
        <f>(1+(((IF($R$5=0,$R$6^2,$R$5^2))*$U$5)/(18*$R$15))*('IN-OUT'!$F$15^(-1)))*DM43</f>
        <v>9.3487967140161942E-4</v>
      </c>
      <c r="DJ43" s="254" t="e">
        <f t="shared" si="21"/>
        <v>#DIV/0!</v>
      </c>
      <c r="DK43" s="254" t="e">
        <f t="shared" si="45"/>
        <v>#DIV/0!</v>
      </c>
      <c r="DL43" s="254">
        <f t="shared" si="69"/>
        <v>8.200000000000002E-4</v>
      </c>
      <c r="DM43" s="253">
        <f t="shared" si="22"/>
        <v>9.3487967140161942E-4</v>
      </c>
      <c r="DN43" s="253">
        <f t="shared" si="70"/>
        <v>1.8000000000000004E-4</v>
      </c>
      <c r="DO43" s="255">
        <f t="shared" si="46"/>
        <v>1.8000000000000002E-2</v>
      </c>
      <c r="DQ43" s="258" t="e">
        <f>((((IF($R$5=0,$R$6,$R$5)))/(12*$R$19))+(((3*$R$15)/(2*IF($R$5=0,$R$6,$R$5)*$U$5*$R$19))*'IN-OUT'!$F$15))*'Burland damage classification'!DU43</f>
        <v>#DIV/0!</v>
      </c>
      <c r="DR43" s="262">
        <f>(1+(((IF($R$5=0,$R$6^2,$R$5^2))*$U$5)/(18*$R$15))*('IN-OUT'!$F$15^(-1)))*DV43</f>
        <v>1.9359752064528099E-3</v>
      </c>
      <c r="DS43" s="254" t="e">
        <f t="shared" si="23"/>
        <v>#DIV/0!</v>
      </c>
      <c r="DT43" s="254" t="e">
        <f t="shared" si="47"/>
        <v>#DIV/0!</v>
      </c>
      <c r="DU43" s="254">
        <f t="shared" si="71"/>
        <v>1.8199999999999991E-3</v>
      </c>
      <c r="DV43" s="270">
        <f t="shared" si="24"/>
        <v>1.9359752064528099E-3</v>
      </c>
      <c r="DW43" s="253">
        <f t="shared" si="72"/>
        <v>1.8000000000000004E-4</v>
      </c>
      <c r="DX43" s="255">
        <f t="shared" si="48"/>
        <v>1.8000000000000002E-2</v>
      </c>
      <c r="EA43" s="1237"/>
      <c r="EB43" s="1230"/>
      <c r="EC43" s="451">
        <v>1</v>
      </c>
      <c r="ED43" s="435">
        <f>'transversal subsidence profile'!$L$5*EXP(-(EE17^2)/(2*'transversal subsidence profile'!$J$5^2))*100</f>
        <v>2.617993877991494</v>
      </c>
      <c r="EE43" s="428">
        <f>'transversal subsidence profile'!$L$5*EE17/'transversal subsidence profile'!$B$5*EXP(-(EE17^2)/(2*'transversal subsidence profile'!$J$5^2))*100</f>
        <v>0</v>
      </c>
      <c r="EF43" s="436">
        <f>('transversal subsidence profile'!$L$5/'transversal subsidence profile'!$B$5)*(1-((EE17^2)/(('transversal subsidence profile'!$J$5)^2)))*EXP(-(EE17^2)/(2*(('transversal subsidence profile'!$J$5)^2)))*100</f>
        <v>0.17453292519943295</v>
      </c>
      <c r="EG43" s="440">
        <f>'transversal subsidence profile'!$L$6*EXP(-(((EE17+$DZ$4))^2)/(2*'transversal subsidence profile'!$J$6^2))*100</f>
        <v>0.87372870216931453</v>
      </c>
      <c r="EH43" s="429">
        <f>'transversal subsidence profile'!$L$6*(EE17+$DZ$4)/'transversal subsidence profile'!$F$5*EXP(-((EE17+$DZ$4)^2)/(2*'transversal subsidence profile'!$J$6^2))*100</f>
        <v>0.58248580144620965</v>
      </c>
      <c r="EI43" s="441">
        <f>('transversal subsidence profile'!$L$6/'transversal subsidence profile'!$F$5)*(1-(EE17+$DZ$4)^2/(('transversal subsidence profile'!$J$6)^2))*EXP(-((EE17+$DZ$4)^2)/(2*(('transversal subsidence profile'!$J$6)^2)))*100</f>
        <v>-6.9594668458113657E-2</v>
      </c>
      <c r="EK43" s="445">
        <f>IF('IN-OUT'!$F$26=0,EG43,IF('IN-OUT'!$F$35=0,ED43,ED43+EG43))</f>
        <v>3.4917225801608085</v>
      </c>
      <c r="EL43" s="445">
        <f>IF('IN-OUT'!$F$26=0,EH43,IF('IN-OUT'!$F$35=0,EE43,EE43+EH43))</f>
        <v>0.58248580144620965</v>
      </c>
      <c r="EM43" s="563">
        <f>IF('IN-OUT'!$F$26=0,EI43,IF('IN-OUT'!$F$35=0,EF43,EF43+EI43))</f>
        <v>0.10493825674131929</v>
      </c>
      <c r="EO43" s="463">
        <f>IF(AND(EK41=EK42,EK45&gt;EK41),EK45-EK41,IF(AND(EK41=EK42,EK45&lt;EK41),EK41-EK45,0))</f>
        <v>0</v>
      </c>
      <c r="EP43" s="370" t="e">
        <f>IF($EK$41&lt;$EK$42,($EK$42-$EK$41)/($EE$10-$EE$9),($EK$41-$EK$42)/($EE$10-$EE$9))</f>
        <v>#DIV/0!</v>
      </c>
      <c r="EQ43" s="370" t="e">
        <f>IF($EK$41&lt;$EK$42,(EA17*$EE$24*$EP$43)+$EK$41,((($EE$10-$EE$9)-($EE$24*EA17))*$EP$43)+$EK$42)</f>
        <v>#DIV/0!</v>
      </c>
      <c r="ER43" s="370">
        <f>IF(EK41=EK42,0,IF($EQ$43&gt;$EK$43,($EQ$43-$EK$43),($EK$43-$EQ$43)))</f>
        <v>0</v>
      </c>
      <c r="ES43" s="447">
        <f>MAX(ER43,EO43)</f>
        <v>0</v>
      </c>
      <c r="EV43" s="566" t="s">
        <v>265</v>
      </c>
      <c r="EW43" s="567" t="s">
        <v>264</v>
      </c>
      <c r="EZ43" t="e">
        <f>EV45/(((MAX(Q5:Q7)/(12*Q19)+((((3*Q15)/(2*Q19*MAX(Q5:Q7)*U5))*'IN-OUT'!F15)))))</f>
        <v>#DIV/0!</v>
      </c>
      <c r="FA43">
        <f>EV45/(1+(((U5*(MAX(Q5:Q7))^2)/(18*Q15))*('IN-OUT'!F15^-1)))</f>
        <v>0</v>
      </c>
      <c r="FB43" t="e">
        <f>EZ43+EW45</f>
        <v>#DIV/0!</v>
      </c>
      <c r="FC43" t="e">
        <f>EW45*0.35+((EW45^2*(0.35^2))+FA43^2)^0.5</f>
        <v>#DIV/0!</v>
      </c>
      <c r="FD43" s="239" t="str">
        <f>IF(Q11="no building","",MAX(FB43:FC43))</f>
        <v/>
      </c>
      <c r="FE43" s="652" t="str">
        <f>IF( Q11="no building","",IF(FD43&lt;($P$25*100),0,IF(FD43&lt;($P$26*100),1,IF(FD43&lt;($P$27*100),2,IF(FD43&lt;($P$28*100),3,IF(FD43&gt;($P$28*100),4))))))</f>
        <v/>
      </c>
      <c r="FF43" s="651" t="str">
        <f>IF(Q11="no building","",IF(FE43=0,"Negligible",IF(FE43=1,"Very Slight",IF(FE43=2,"Slight",IF(FE43=3,"Moderate",IF(FE43=4,"Severe"))))))</f>
        <v/>
      </c>
    </row>
    <row r="44" spans="7:167" ht="15.6">
      <c r="V44" s="258">
        <f>(((IF($P$5&lt;&gt;0,$P$5,IF($P$6&lt;&gt;0,$P$6,IF($P$7&lt;&gt;0,$P$7,0))))/(12*$P$19))+(((3*$P$15)/(2*(IF($P$5&lt;&gt;0,$P$5,IF($P$6&lt;&gt;0,$P$6,IF($P$7&lt;&gt;0,$P$7,0))))*$U$5*$P$19))*'IN-OUT'!$F$15))*'Burland damage classification'!Z44</f>
        <v>4.7082233390238938E-4</v>
      </c>
      <c r="W44" s="262">
        <f>(1+(((IF($P$5&lt;&gt;0,$P$5^2,IF($P$6&lt;&gt;0,$P$6^2,IF($P$7&lt;&gt;0,$P$7^2))))*$U$5)/(18*$P$15))*('IN-OUT'!$F$15^(-1)))*AA44</f>
        <v>2.7457464627931037E-4</v>
      </c>
      <c r="X44" s="262">
        <f t="shared" si="1"/>
        <v>2.7457464627931037E-4</v>
      </c>
      <c r="Y44" s="262">
        <f t="shared" si="25"/>
        <v>2.7457464627931038E-2</v>
      </c>
      <c r="Z44" s="916">
        <f t="shared" si="49"/>
        <v>1.4666666666666677E-4</v>
      </c>
      <c r="AA44" s="270">
        <f t="shared" si="2"/>
        <v>2.5991451586157235E-4</v>
      </c>
      <c r="AB44" s="270">
        <f t="shared" si="50"/>
        <v>1.8666666666666671E-4</v>
      </c>
      <c r="AC44" s="271">
        <f t="shared" si="26"/>
        <v>1.8666666666666672E-2</v>
      </c>
      <c r="AE44" s="258">
        <f>(((IF($P$5&lt;&gt;0,$P$5,IF($P$6&lt;&gt;0,$P$6,IF($P$7&lt;&gt;0,$P$7,0))))/(12*$P$19))+(((3*$P$15)/(2*(IF($P$5&lt;&gt;0,$P$5,IF($P$6&lt;&gt;0,$P$6,IF($P$7&lt;&gt;0,$P$7,0))))*$U$5*$P$19))*'IN-OUT'!$F$15))*'Burland damage classification'!AI44</f>
        <v>1.0058477133369236E-3</v>
      </c>
      <c r="AF44" s="254">
        <f>(1+(((IF($P$5&lt;&gt;0,$P$5^2,IF($P$6&lt;&gt;0,$P$6^2,IF($P$7&lt;&gt;0,$P$7^2))))*$U$5)/(18*$P$15))*('IN-OUT'!$F$15^(-1)))*AJ44</f>
        <v>4.5396686289080881E-4</v>
      </c>
      <c r="AG44" s="254">
        <f t="shared" si="3"/>
        <v>4.5396686289080881E-4</v>
      </c>
      <c r="AH44" s="254">
        <f t="shared" si="27"/>
        <v>4.5396686289080883E-2</v>
      </c>
      <c r="AI44" s="254">
        <f t="shared" si="51"/>
        <v>3.1333333333333387E-4</v>
      </c>
      <c r="AJ44" s="253">
        <f t="shared" si="4"/>
        <v>4.297285965195552E-4</v>
      </c>
      <c r="AK44" s="253">
        <f t="shared" si="52"/>
        <v>1.8666666666666671E-4</v>
      </c>
      <c r="AL44" s="255">
        <f t="shared" si="28"/>
        <v>1.8666666666666672E-2</v>
      </c>
      <c r="AN44" s="258">
        <f>(((IF($P$5&lt;&gt;0,$P$5,IF($P$6&lt;&gt;0,$P$6,IF($P$7&lt;&gt;0,$P$7,0))))/(12*$P$19))+(((3*$P$15)/(2*(IF($P$5&lt;&gt;0,$P$5,IF($P$6&lt;&gt;0,$P$6,IF($P$7&lt;&gt;0,$P$7,0))))*$U$5*$P$19))*'IN-OUT'!$F$15))*'Burland damage classification'!AR44</f>
        <v>2.6109238516405218E-3</v>
      </c>
      <c r="AO44" s="254">
        <f>(1+(((IF($P$5&lt;&gt;0,$P$5^2,IF($P$6&lt;&gt;0,$P$6^2,IF($P$7&lt;&gt;0,$P$7^2))))*$U$5)/(18*$P$15))*('IN-OUT'!$F$15^(-1)))*AS44</f>
        <v>9.8497013833349456E-4</v>
      </c>
      <c r="AP44" s="254">
        <f t="shared" si="5"/>
        <v>9.8497013833349456E-4</v>
      </c>
      <c r="AQ44" s="254">
        <f t="shared" si="29"/>
        <v>9.8497013833349453E-2</v>
      </c>
      <c r="AR44" s="254">
        <f t="shared" si="53"/>
        <v>8.1333333333333355E-4</v>
      </c>
      <c r="AS44" s="253">
        <f t="shared" si="6"/>
        <v>9.3238046597584473E-4</v>
      </c>
      <c r="AT44" s="253">
        <f t="shared" si="54"/>
        <v>1.8666666666666671E-4</v>
      </c>
      <c r="AU44" s="255">
        <f t="shared" si="30"/>
        <v>1.8666666666666672E-2</v>
      </c>
      <c r="AW44" s="258">
        <f>(((IF($P$5&lt;&gt;0,$P$5,IF($P$6&lt;&gt;0,$P$6,IF($P$7&lt;&gt;0,$P$7,0))))/(12*$P$19))+(((3*$P$15)/(2*(IF($P$5&lt;&gt;0,$P$5,IF($P$6&lt;&gt;0,$P$6,IF($P$7&lt;&gt;0,$P$7,0))))*$U$5*$P$19))*'IN-OUT'!$F$15))*'Burland damage classification'!BA44</f>
        <v>5.8210761282477159E-3</v>
      </c>
      <c r="AX44" s="254">
        <f>(1+(((IF($P$5&lt;&gt;0,$P$5^2,IF($P$6&lt;&gt;0,$P$6^2,IF($P$7&lt;&gt;0,$P$7^2))))*$U$5)/(18*$P$15))*('IN-OUT'!$F$15^(-1)))*BB44</f>
        <v>2.0426232495565208E-3</v>
      </c>
      <c r="AY44" s="254">
        <f t="shared" si="7"/>
        <v>2.0426232495565208E-3</v>
      </c>
      <c r="AZ44" s="254">
        <f t="shared" si="31"/>
        <v>0.20426232495565208</v>
      </c>
      <c r="BA44" s="254">
        <f t="shared" si="55"/>
        <v>1.8133333333333324E-3</v>
      </c>
      <c r="BB44" s="270">
        <f t="shared" si="8"/>
        <v>1.9335632047250658E-3</v>
      </c>
      <c r="BC44" s="253">
        <f t="shared" si="56"/>
        <v>1.8666666666666671E-4</v>
      </c>
      <c r="BD44" s="255">
        <f t="shared" si="32"/>
        <v>1.8666666666666672E-2</v>
      </c>
      <c r="BF44" s="258" t="e">
        <f>((((IF($Q$5=0,$Q$6,$Q$5)))/(12*$Q$19))+(((3*$Q$15)/(2*IF($Q$5=0,$Q$6,$Q$5)*$U$5*$Q$19))*'IN-OUT'!$F$15))*'Burland damage classification'!BJ44</f>
        <v>#DIV/0!</v>
      </c>
      <c r="BG44" s="262">
        <f>(1+(((IF($Q$5=0,$Q$6^2,$Q$5^2))*$U$5)/(18*$Q$15))*('IN-OUT'!$F$15^(-1)))*BK44</f>
        <v>2.5991451586157235E-4</v>
      </c>
      <c r="BH44" s="262" t="e">
        <f t="shared" si="9"/>
        <v>#DIV/0!</v>
      </c>
      <c r="BI44" s="262" t="e">
        <f t="shared" si="33"/>
        <v>#DIV/0!</v>
      </c>
      <c r="BJ44" s="262">
        <f t="shared" si="57"/>
        <v>1.4666666666666677E-4</v>
      </c>
      <c r="BK44" s="270">
        <f t="shared" si="10"/>
        <v>2.5991451586157235E-4</v>
      </c>
      <c r="BL44" s="270">
        <f t="shared" si="58"/>
        <v>1.8666666666666671E-4</v>
      </c>
      <c r="BM44" s="271">
        <f t="shared" si="34"/>
        <v>1.8666666666666672E-2</v>
      </c>
      <c r="BO44" s="258" t="e">
        <f>((((IF($Q$5=0,$Q$6,$Q$5)))/(12*$Q$19))+(((3*$Q$15)/(2*IF($Q$5=0,$Q$6,$Q$5)*$U$5*$Q$19))*'IN-OUT'!$F$15))*'Burland damage classification'!BS44</f>
        <v>#DIV/0!</v>
      </c>
      <c r="BP44" s="262">
        <f>(1+(((IF($Q$5=0,$Q$6^2,$Q$5^2))*$U$5)/(18*$Q$15))*('IN-OUT'!$F$15^(-1)))*BT44</f>
        <v>4.297285965195552E-4</v>
      </c>
      <c r="BQ44" s="254" t="e">
        <f t="shared" si="11"/>
        <v>#DIV/0!</v>
      </c>
      <c r="BR44" s="254" t="e">
        <f t="shared" si="35"/>
        <v>#DIV/0!</v>
      </c>
      <c r="BS44" s="254">
        <f t="shared" si="59"/>
        <v>3.1333333333333387E-4</v>
      </c>
      <c r="BT44" s="253">
        <f t="shared" si="12"/>
        <v>4.297285965195552E-4</v>
      </c>
      <c r="BU44" s="253">
        <f t="shared" si="60"/>
        <v>1.8666666666666671E-4</v>
      </c>
      <c r="BV44" s="255">
        <f t="shared" si="36"/>
        <v>1.8666666666666672E-2</v>
      </c>
      <c r="BX44" s="258" t="e">
        <f>((((IF($Q$5=0,$Q$6,$Q$5)))/(12*$Q$19))+(((3*$Q$15)/(2*IF($Q$5=0,$Q$6,$Q$5)*$U$5*$Q$19))*'IN-OUT'!$F$15))*'Burland damage classification'!CB44</f>
        <v>#DIV/0!</v>
      </c>
      <c r="BY44" s="262">
        <f>(1+(((IF($Q$5=0,$Q$6^2,$Q$5^2))*$U$5)/(18*$Q$15))*('IN-OUT'!$F$15^(-1)))*CC44</f>
        <v>9.3238046597584473E-4</v>
      </c>
      <c r="BZ44" s="254" t="e">
        <f t="shared" si="13"/>
        <v>#DIV/0!</v>
      </c>
      <c r="CA44" s="254" t="e">
        <f t="shared" si="37"/>
        <v>#DIV/0!</v>
      </c>
      <c r="CB44" s="254">
        <f t="shared" si="61"/>
        <v>8.1333333333333355E-4</v>
      </c>
      <c r="CC44" s="253">
        <f t="shared" si="14"/>
        <v>9.3238046597584473E-4</v>
      </c>
      <c r="CD44" s="253">
        <f t="shared" si="62"/>
        <v>1.8666666666666671E-4</v>
      </c>
      <c r="CE44" s="255">
        <f t="shared" si="38"/>
        <v>1.8666666666666672E-2</v>
      </c>
      <c r="CG44" s="258" t="e">
        <f>((((IF($Q$5=0,$Q$6,$Q$5)))/(12*$Q$19))+(((3*$Q$15)/(2*IF($Q$5=0,$Q$6,$Q$5)*$U$5*$Q$19))*'IN-OUT'!$F$15))*'Burland damage classification'!CK44</f>
        <v>#DIV/0!</v>
      </c>
      <c r="CH44" s="262">
        <f>(1+(((IF($Q$5=0,$Q$6^2,$Q$5^2))*$U$5)/(18*$Q$15))*('IN-OUT'!$F$15^(-1)))*CL44</f>
        <v>1.9335632047250658E-3</v>
      </c>
      <c r="CI44" s="254" t="e">
        <f t="shared" si="15"/>
        <v>#DIV/0!</v>
      </c>
      <c r="CJ44" s="254" t="e">
        <f t="shared" si="39"/>
        <v>#DIV/0!</v>
      </c>
      <c r="CK44" s="254">
        <f t="shared" si="63"/>
        <v>1.8133333333333324E-3</v>
      </c>
      <c r="CL44" s="270">
        <f t="shared" si="16"/>
        <v>1.9335632047250658E-3</v>
      </c>
      <c r="CM44" s="253">
        <f t="shared" si="64"/>
        <v>1.8666666666666671E-4</v>
      </c>
      <c r="CN44" s="255">
        <f t="shared" si="40"/>
        <v>1.8666666666666672E-2</v>
      </c>
      <c r="CP44" s="258" t="e">
        <f>((((IF($R$5=0,$R$6,$R$5)))/(12*$R$19))+(((3*$R$15)/(2*IF($R$5=0,$R$6,$R$5)*$U$5*$R$19))*'IN-OUT'!$F$15))*'Burland damage classification'!CT44</f>
        <v>#DIV/0!</v>
      </c>
      <c r="CQ44" s="262">
        <f>(1+(((IF($R$5=0,$R$6^2,$R$5^2))*$U$5)/(18*$R$15))*('IN-OUT'!$F$15^(-1)))*CU44</f>
        <v>2.5991451586157235E-4</v>
      </c>
      <c r="CR44" s="262" t="e">
        <f t="shared" si="17"/>
        <v>#DIV/0!</v>
      </c>
      <c r="CS44" s="262" t="e">
        <f t="shared" si="41"/>
        <v>#DIV/0!</v>
      </c>
      <c r="CT44" s="262">
        <f t="shared" si="65"/>
        <v>1.4666666666666677E-4</v>
      </c>
      <c r="CU44" s="270">
        <f t="shared" si="18"/>
        <v>2.5991451586157235E-4</v>
      </c>
      <c r="CV44" s="270">
        <f t="shared" si="66"/>
        <v>1.8666666666666671E-4</v>
      </c>
      <c r="CW44" s="271">
        <f t="shared" si="42"/>
        <v>1.8666666666666672E-2</v>
      </c>
      <c r="CY44" s="258" t="e">
        <f>((((IF($R$5=0,$R$6,$R$5)))/(12*$R$19))+(((3*$R$15)/(2*IF($R$5=0,$R$6,$R$5)*$U$5*$R$19))*'IN-OUT'!$F$15))*'Burland damage classification'!DC44</f>
        <v>#DIV/0!</v>
      </c>
      <c r="CZ44" s="262">
        <f>(1+(((IF($R$5=0,$R$6^2,$R$5^2))*$U$5)/(18*$R$15))*('IN-OUT'!$F$15^(-1)))*DD44</f>
        <v>4.297285965195552E-4</v>
      </c>
      <c r="DA44" s="254" t="e">
        <f t="shared" si="19"/>
        <v>#DIV/0!</v>
      </c>
      <c r="DB44" s="254" t="e">
        <f t="shared" si="43"/>
        <v>#DIV/0!</v>
      </c>
      <c r="DC44" s="254">
        <f t="shared" si="67"/>
        <v>3.1333333333333387E-4</v>
      </c>
      <c r="DD44" s="253">
        <f t="shared" si="20"/>
        <v>4.297285965195552E-4</v>
      </c>
      <c r="DE44" s="253">
        <f t="shared" si="68"/>
        <v>1.8666666666666671E-4</v>
      </c>
      <c r="DF44" s="255">
        <f t="shared" si="44"/>
        <v>1.8666666666666672E-2</v>
      </c>
      <c r="DH44" s="258" t="e">
        <f>((((IF($R$5=0,$R$6,$R$5)))/(12*$R$19))+(((3*$R$15)/(2*IF($R$5=0,$R$6,$R$5)*$U$5*$R$19))*'IN-OUT'!$F$15))*'Burland damage classification'!DL44</f>
        <v>#DIV/0!</v>
      </c>
      <c r="DI44" s="262">
        <f>(1+(((IF($R$5=0,$R$6^2,$R$5^2))*$U$5)/(18*$R$15))*('IN-OUT'!$F$15^(-1)))*DM44</f>
        <v>9.3238046597584473E-4</v>
      </c>
      <c r="DJ44" s="254" t="e">
        <f t="shared" si="21"/>
        <v>#DIV/0!</v>
      </c>
      <c r="DK44" s="254" t="e">
        <f t="shared" si="45"/>
        <v>#DIV/0!</v>
      </c>
      <c r="DL44" s="254">
        <f t="shared" si="69"/>
        <v>8.1333333333333355E-4</v>
      </c>
      <c r="DM44" s="253">
        <f t="shared" si="22"/>
        <v>9.3238046597584473E-4</v>
      </c>
      <c r="DN44" s="253">
        <f t="shared" si="70"/>
        <v>1.8666666666666671E-4</v>
      </c>
      <c r="DO44" s="255">
        <f t="shared" si="46"/>
        <v>1.8666666666666672E-2</v>
      </c>
      <c r="DQ44" s="258" t="e">
        <f>((((IF($R$5=0,$R$6,$R$5)))/(12*$R$19))+(((3*$R$15)/(2*IF($R$5=0,$R$6,$R$5)*$U$5*$R$19))*'IN-OUT'!$F$15))*'Burland damage classification'!DU44</f>
        <v>#DIV/0!</v>
      </c>
      <c r="DR44" s="262">
        <f>(1+(((IF($R$5=0,$R$6^2,$R$5^2))*$U$5)/(18*$R$15))*('IN-OUT'!$F$15^(-1)))*DV44</f>
        <v>1.9335632047250658E-3</v>
      </c>
      <c r="DS44" s="254" t="e">
        <f t="shared" si="23"/>
        <v>#DIV/0!</v>
      </c>
      <c r="DT44" s="254" t="e">
        <f t="shared" si="47"/>
        <v>#DIV/0!</v>
      </c>
      <c r="DU44" s="254">
        <f t="shared" si="71"/>
        <v>1.8133333333333324E-3</v>
      </c>
      <c r="DV44" s="270">
        <f t="shared" si="24"/>
        <v>1.9335632047250658E-3</v>
      </c>
      <c r="DW44" s="253">
        <f t="shared" si="72"/>
        <v>1.8666666666666671E-4</v>
      </c>
      <c r="DX44" s="255">
        <f t="shared" si="48"/>
        <v>1.8666666666666672E-2</v>
      </c>
      <c r="EA44" s="1237"/>
      <c r="EB44" s="1230"/>
      <c r="EC44" s="452">
        <v>2</v>
      </c>
      <c r="ED44" s="435">
        <f>'transversal subsidence profile'!$L$5*EXP(-(EE18^2)/(2*'transversal subsidence profile'!$J$5^2))*100</f>
        <v>2.617993877991494</v>
      </c>
      <c r="EE44" s="428">
        <f>'transversal subsidence profile'!$L$5*EE18/'transversal subsidence profile'!$B$5*EXP(-(EE18^2)/(2*'transversal subsidence profile'!$J$5^2))*100</f>
        <v>0</v>
      </c>
      <c r="EF44" s="436">
        <f>('transversal subsidence profile'!$L$5/'transversal subsidence profile'!$B$5)*(1-((EE18^2)/(('transversal subsidence profile'!$J$5)^2)))*EXP(-(EE18^2)/(2*(('transversal subsidence profile'!$J$5)^2)))*100</f>
        <v>0.17453292519943295</v>
      </c>
      <c r="EG44" s="440">
        <f>'transversal subsidence profile'!$L$6*EXP(-(((EE18+$DZ$4))^2)/(2*'transversal subsidence profile'!$J$6^2))*100</f>
        <v>0.87372870216931453</v>
      </c>
      <c r="EH44" s="429">
        <f>'transversal subsidence profile'!$L$6*(EE18+$DZ$4)/'transversal subsidence profile'!$F$5*EXP(-((EE18+$DZ$4)^2)/(2*'transversal subsidence profile'!$J$6^2))*100</f>
        <v>0.58248580144620965</v>
      </c>
      <c r="EI44" s="441">
        <f>('transversal subsidence profile'!$L$6/'transversal subsidence profile'!$F$5)*(1-(EE18+$DZ$4)^2/(('transversal subsidence profile'!$J$6)^2))*EXP(-((EE18+$DZ$4)^2)/(2*(('transversal subsidence profile'!$J$6)^2)))*100</f>
        <v>-6.9594668458113657E-2</v>
      </c>
      <c r="EJ44" s="431"/>
      <c r="EK44" s="445">
        <f>IF('IN-OUT'!$F$26=0,EG44,IF('IN-OUT'!$F$35=0,ED44,ED44+EG44))</f>
        <v>3.4917225801608085</v>
      </c>
      <c r="EL44" s="445">
        <f>IF('IN-OUT'!$F$26=0,EH44,IF('IN-OUT'!$F$35=0,EE44,EE44+EH44))</f>
        <v>0.58248580144620965</v>
      </c>
      <c r="EM44" s="563">
        <f>IF('IN-OUT'!$F$26=0,EI44,IF('IN-OUT'!$F$35=0,EF44,EF44+EI44))</f>
        <v>0.10493825674131929</v>
      </c>
      <c r="EO44" s="463">
        <f>IF(AND($EK$41=$EK$42,$EK$45&gt;$EK$41),$EK$45-$EK$41,IF(AND($EK$41=$EK$42,$EK$45&lt;$EK$41),$EK$41-$EK$45,0))</f>
        <v>0</v>
      </c>
      <c r="EP44" s="370" t="e">
        <f>IF($EK$41&lt;$EK$42,($EK$42-$EK$41)/($EE$10-$EE$9),($EK$41-$EK$42)/($EE$10-$EE$9))</f>
        <v>#DIV/0!</v>
      </c>
      <c r="EQ44" s="370" t="e">
        <f>IF($EK$41&lt;$EK$42,(EA18*$EE$24*$EP$43)+$EK$41,((($EE$10-$EE$9)-($EE$24*EA18))*$EP$43)+$EK$42)</f>
        <v>#DIV/0!</v>
      </c>
      <c r="ER44" s="370">
        <f>IF(EK41=EK42,0,IF($EQ$44&gt;$EK$44,($EQ$44-$EK$44),($EK$44-$EQ$44)))</f>
        <v>0</v>
      </c>
      <c r="ES44" s="447">
        <f>MAX(ER44,EO44)</f>
        <v>0</v>
      </c>
      <c r="EV44" s="568"/>
      <c r="EW44" s="255"/>
      <c r="FE44" s="681"/>
      <c r="FF44" s="681"/>
    </row>
    <row r="45" spans="7:167" ht="13.8" thickBot="1">
      <c r="V45" s="258">
        <f>(((IF($P$5&lt;&gt;0,$P$5,IF($P$6&lt;&gt;0,$P$6,IF($P$7&lt;&gt;0,$P$7,0))))/(12*$P$19))+(((3*$P$15)/(2*(IF($P$5&lt;&gt;0,$P$5,IF($P$6&lt;&gt;0,$P$6,IF($P$7&lt;&gt;0,$P$7,0))))*$U$5*$P$19))*'IN-OUT'!$F$15))*'Burland damage classification'!Z45</f>
        <v>4.4942131872500801E-4</v>
      </c>
      <c r="W45" s="262">
        <f>(1+(((IF($P$5&lt;&gt;0,$P$5^2,IF($P$6&lt;&gt;0,$P$6^2,IF($P$7&lt;&gt;0,$P$7^2))))*$U$5)/(18*$P$15))*('IN-OUT'!$F$15^(-1)))*AA45</f>
        <v>2.713950146240297E-4</v>
      </c>
      <c r="X45" s="262">
        <f t="shared" si="1"/>
        <v>2.713950146240297E-4</v>
      </c>
      <c r="Y45" s="262">
        <f t="shared" si="25"/>
        <v>2.713950146240297E-2</v>
      </c>
      <c r="Z45" s="916">
        <f t="shared" si="49"/>
        <v>1.400000000000001E-4</v>
      </c>
      <c r="AA45" s="270">
        <f t="shared" si="2"/>
        <v>2.5690465157330255E-4</v>
      </c>
      <c r="AB45" s="270">
        <f t="shared" si="50"/>
        <v>1.9333333333333339E-4</v>
      </c>
      <c r="AC45" s="271">
        <f t="shared" si="26"/>
        <v>1.9333333333333338E-2</v>
      </c>
      <c r="AE45" s="258">
        <f>(((IF($P$5&lt;&gt;0,$P$5,IF($P$6&lt;&gt;0,$P$6,IF($P$7&lt;&gt;0,$P$7,0))))/(12*$P$19))+(((3*$P$15)/(2*(IF($P$5&lt;&gt;0,$P$5,IF($P$6&lt;&gt;0,$P$6,IF($P$7&lt;&gt;0,$P$7,0))))*$U$5*$P$19))*'IN-OUT'!$F$15))*'Burland damage classification'!AI45</f>
        <v>9.8444669815954248E-4</v>
      </c>
      <c r="AF45" s="254">
        <f>(1+(((IF($P$5&lt;&gt;0,$P$5^2,IF($P$6&lt;&gt;0,$P$6^2,IF($P$7&lt;&gt;0,$P$7^2))))*$U$5)/(18*$P$15))*('IN-OUT'!$F$15^(-1)))*AJ45</f>
        <v>4.5108972386652266E-4</v>
      </c>
      <c r="AG45" s="254">
        <f t="shared" si="3"/>
        <v>4.5108972386652266E-4</v>
      </c>
      <c r="AH45" s="254">
        <f t="shared" si="27"/>
        <v>4.5108972386652263E-2</v>
      </c>
      <c r="AI45" s="254">
        <f t="shared" si="51"/>
        <v>3.0666666666666722E-4</v>
      </c>
      <c r="AJ45" s="253">
        <f t="shared" si="4"/>
        <v>4.2700507413066335E-4</v>
      </c>
      <c r="AK45" s="253">
        <f t="shared" si="52"/>
        <v>1.9333333333333339E-4</v>
      </c>
      <c r="AL45" s="255">
        <f t="shared" si="28"/>
        <v>1.9333333333333338E-2</v>
      </c>
      <c r="AN45" s="258">
        <f>(((IF($P$5&lt;&gt;0,$P$5,IF($P$6&lt;&gt;0,$P$6,IF($P$7&lt;&gt;0,$P$7,0))))/(12*$P$19))+(((3*$P$15)/(2*(IF($P$5&lt;&gt;0,$P$5,IF($P$6&lt;&gt;0,$P$6,IF($P$7&lt;&gt;0,$P$7,0))))*$U$5*$P$19))*'IN-OUT'!$F$15))*'Burland damage classification'!AR45</f>
        <v>2.5895228364631404E-3</v>
      </c>
      <c r="AO45" s="254">
        <f>(1+(((IF($P$5&lt;&gt;0,$P$5^2,IF($P$6&lt;&gt;0,$P$6^2,IF($P$7&lt;&gt;0,$P$7^2))))*$U$5)/(18*$P$15))*('IN-OUT'!$F$15^(-1)))*AS45</f>
        <v>9.8232287266397786E-4</v>
      </c>
      <c r="AP45" s="254">
        <f t="shared" si="5"/>
        <v>9.8232287266397786E-4</v>
      </c>
      <c r="AQ45" s="254">
        <f t="shared" si="29"/>
        <v>9.823228726639778E-2</v>
      </c>
      <c r="AR45" s="254">
        <f t="shared" si="53"/>
        <v>8.066666666666669E-4</v>
      </c>
      <c r="AS45" s="253">
        <f t="shared" si="6"/>
        <v>9.2987454350932015E-4</v>
      </c>
      <c r="AT45" s="253">
        <f t="shared" si="54"/>
        <v>1.9333333333333339E-4</v>
      </c>
      <c r="AU45" s="255">
        <f t="shared" si="30"/>
        <v>1.9333333333333338E-2</v>
      </c>
      <c r="AW45" s="258">
        <f>(((IF($P$5&lt;&gt;0,$P$5,IF($P$6&lt;&gt;0,$P$6,IF($P$7&lt;&gt;0,$P$7,0))))/(12*$P$19))+(((3*$P$15)/(2*(IF($P$5&lt;&gt;0,$P$5,IF($P$6&lt;&gt;0,$P$6,IF($P$7&lt;&gt;0,$P$7,0))))*$U$5*$P$19))*'IN-OUT'!$F$15))*'Burland damage classification'!BA45</f>
        <v>5.7996751130703341E-3</v>
      </c>
      <c r="AX45" s="254">
        <f>(1+(((IF($P$5&lt;&gt;0,$P$5^2,IF($P$6&lt;&gt;0,$P$6^2,IF($P$7&lt;&gt;0,$P$7^2))))*$U$5)/(18*$P$15))*('IN-OUT'!$F$15^(-1)))*BB45</f>
        <v>2.0400720195936843E-3</v>
      </c>
      <c r="AY45" s="254">
        <f t="shared" si="7"/>
        <v>2.0400720195936843E-3</v>
      </c>
      <c r="AZ45" s="254">
        <f t="shared" si="31"/>
        <v>0.20400720195936842</v>
      </c>
      <c r="BA45" s="254">
        <f t="shared" si="55"/>
        <v>1.8066666666666656E-3</v>
      </c>
      <c r="BB45" s="270">
        <f t="shared" si="8"/>
        <v>1.9311481904124637E-3</v>
      </c>
      <c r="BC45" s="253">
        <f t="shared" si="56"/>
        <v>1.9333333333333339E-4</v>
      </c>
      <c r="BD45" s="255">
        <f t="shared" si="32"/>
        <v>1.9333333333333338E-2</v>
      </c>
      <c r="BF45" s="258" t="e">
        <f>((((IF($Q$5=0,$Q$6,$Q$5)))/(12*$Q$19))+(((3*$Q$15)/(2*IF($Q$5=0,$Q$6,$Q$5)*$U$5*$Q$19))*'IN-OUT'!$F$15))*'Burland damage classification'!BJ45</f>
        <v>#DIV/0!</v>
      </c>
      <c r="BG45" s="262">
        <f>(1+(((IF($Q$5=0,$Q$6^2,$Q$5^2))*$U$5)/(18*$Q$15))*('IN-OUT'!$F$15^(-1)))*BK45</f>
        <v>2.5690465157330255E-4</v>
      </c>
      <c r="BH45" s="262" t="e">
        <f t="shared" si="9"/>
        <v>#DIV/0!</v>
      </c>
      <c r="BI45" s="262" t="e">
        <f t="shared" si="33"/>
        <v>#DIV/0!</v>
      </c>
      <c r="BJ45" s="262">
        <f t="shared" si="57"/>
        <v>1.400000000000001E-4</v>
      </c>
      <c r="BK45" s="270">
        <f t="shared" si="10"/>
        <v>2.5690465157330255E-4</v>
      </c>
      <c r="BL45" s="270">
        <f t="shared" si="58"/>
        <v>1.9333333333333339E-4</v>
      </c>
      <c r="BM45" s="271">
        <f t="shared" si="34"/>
        <v>1.9333333333333338E-2</v>
      </c>
      <c r="BO45" s="258" t="e">
        <f>((((IF($Q$5=0,$Q$6,$Q$5)))/(12*$Q$19))+(((3*$Q$15)/(2*IF($Q$5=0,$Q$6,$Q$5)*$U$5*$Q$19))*'IN-OUT'!$F$15))*'Burland damage classification'!BS45</f>
        <v>#DIV/0!</v>
      </c>
      <c r="BP45" s="262">
        <f>(1+(((IF($Q$5=0,$Q$6^2,$Q$5^2))*$U$5)/(18*$Q$15))*('IN-OUT'!$F$15^(-1)))*BT45</f>
        <v>4.2700507413066335E-4</v>
      </c>
      <c r="BQ45" s="254" t="e">
        <f t="shared" si="11"/>
        <v>#DIV/0!</v>
      </c>
      <c r="BR45" s="254" t="e">
        <f t="shared" si="35"/>
        <v>#DIV/0!</v>
      </c>
      <c r="BS45" s="254">
        <f t="shared" si="59"/>
        <v>3.0666666666666722E-4</v>
      </c>
      <c r="BT45" s="253">
        <f t="shared" si="12"/>
        <v>4.2700507413066335E-4</v>
      </c>
      <c r="BU45" s="253">
        <f t="shared" si="60"/>
        <v>1.9333333333333339E-4</v>
      </c>
      <c r="BV45" s="255">
        <f t="shared" si="36"/>
        <v>1.9333333333333338E-2</v>
      </c>
      <c r="BX45" s="258" t="e">
        <f>((((IF($Q$5=0,$Q$6,$Q$5)))/(12*$Q$19))+(((3*$Q$15)/(2*IF($Q$5=0,$Q$6,$Q$5)*$U$5*$Q$19))*'IN-OUT'!$F$15))*'Burland damage classification'!CB45</f>
        <v>#DIV/0!</v>
      </c>
      <c r="BY45" s="262">
        <f>(1+(((IF($Q$5=0,$Q$6^2,$Q$5^2))*$U$5)/(18*$Q$15))*('IN-OUT'!$F$15^(-1)))*CC45</f>
        <v>9.2987454350932015E-4</v>
      </c>
      <c r="BZ45" s="254" t="e">
        <f t="shared" si="13"/>
        <v>#DIV/0!</v>
      </c>
      <c r="CA45" s="254" t="e">
        <f t="shared" si="37"/>
        <v>#DIV/0!</v>
      </c>
      <c r="CB45" s="254">
        <f t="shared" si="61"/>
        <v>8.066666666666669E-4</v>
      </c>
      <c r="CC45" s="253">
        <f t="shared" si="14"/>
        <v>9.2987454350932015E-4</v>
      </c>
      <c r="CD45" s="253">
        <f t="shared" si="62"/>
        <v>1.9333333333333339E-4</v>
      </c>
      <c r="CE45" s="255">
        <f t="shared" si="38"/>
        <v>1.9333333333333338E-2</v>
      </c>
      <c r="CG45" s="258" t="e">
        <f>((((IF($Q$5=0,$Q$6,$Q$5)))/(12*$Q$19))+(((3*$Q$15)/(2*IF($Q$5=0,$Q$6,$Q$5)*$U$5*$Q$19))*'IN-OUT'!$F$15))*'Burland damage classification'!CK45</f>
        <v>#DIV/0!</v>
      </c>
      <c r="CH45" s="262">
        <f>(1+(((IF($Q$5=0,$Q$6^2,$Q$5^2))*$U$5)/(18*$Q$15))*('IN-OUT'!$F$15^(-1)))*CL45</f>
        <v>1.9311481904124637E-3</v>
      </c>
      <c r="CI45" s="254" t="e">
        <f t="shared" si="15"/>
        <v>#DIV/0!</v>
      </c>
      <c r="CJ45" s="254" t="e">
        <f t="shared" si="39"/>
        <v>#DIV/0!</v>
      </c>
      <c r="CK45" s="254">
        <f t="shared" si="63"/>
        <v>1.8066666666666656E-3</v>
      </c>
      <c r="CL45" s="270">
        <f t="shared" si="16"/>
        <v>1.9311481904124637E-3</v>
      </c>
      <c r="CM45" s="253">
        <f t="shared" si="64"/>
        <v>1.9333333333333339E-4</v>
      </c>
      <c r="CN45" s="255">
        <f t="shared" si="40"/>
        <v>1.9333333333333338E-2</v>
      </c>
      <c r="CP45" s="258" t="e">
        <f>((((IF($R$5=0,$R$6,$R$5)))/(12*$R$19))+(((3*$R$15)/(2*IF($R$5=0,$R$6,$R$5)*$U$5*$R$19))*'IN-OUT'!$F$15))*'Burland damage classification'!CT45</f>
        <v>#DIV/0!</v>
      </c>
      <c r="CQ45" s="262">
        <f>(1+(((IF($R$5=0,$R$6^2,$R$5^2))*$U$5)/(18*$R$15))*('IN-OUT'!$F$15^(-1)))*CU45</f>
        <v>2.5690465157330255E-4</v>
      </c>
      <c r="CR45" s="262" t="e">
        <f t="shared" si="17"/>
        <v>#DIV/0!</v>
      </c>
      <c r="CS45" s="262" t="e">
        <f t="shared" si="41"/>
        <v>#DIV/0!</v>
      </c>
      <c r="CT45" s="262">
        <f t="shared" si="65"/>
        <v>1.400000000000001E-4</v>
      </c>
      <c r="CU45" s="270">
        <f t="shared" si="18"/>
        <v>2.5690465157330255E-4</v>
      </c>
      <c r="CV45" s="270">
        <f t="shared" si="66"/>
        <v>1.9333333333333339E-4</v>
      </c>
      <c r="CW45" s="271">
        <f t="shared" si="42"/>
        <v>1.9333333333333338E-2</v>
      </c>
      <c r="CY45" s="258" t="e">
        <f>((((IF($R$5=0,$R$6,$R$5)))/(12*$R$19))+(((3*$R$15)/(2*IF($R$5=0,$R$6,$R$5)*$U$5*$R$19))*'IN-OUT'!$F$15))*'Burland damage classification'!DC45</f>
        <v>#DIV/0!</v>
      </c>
      <c r="CZ45" s="262">
        <f>(1+(((IF($R$5=0,$R$6^2,$R$5^2))*$U$5)/(18*$R$15))*('IN-OUT'!$F$15^(-1)))*DD45</f>
        <v>4.2700507413066335E-4</v>
      </c>
      <c r="DA45" s="254" t="e">
        <f t="shared" si="19"/>
        <v>#DIV/0!</v>
      </c>
      <c r="DB45" s="254" t="e">
        <f t="shared" si="43"/>
        <v>#DIV/0!</v>
      </c>
      <c r="DC45" s="254">
        <f t="shared" si="67"/>
        <v>3.0666666666666722E-4</v>
      </c>
      <c r="DD45" s="253">
        <f t="shared" si="20"/>
        <v>4.2700507413066335E-4</v>
      </c>
      <c r="DE45" s="253">
        <f t="shared" si="68"/>
        <v>1.9333333333333339E-4</v>
      </c>
      <c r="DF45" s="255">
        <f t="shared" si="44"/>
        <v>1.9333333333333338E-2</v>
      </c>
      <c r="DH45" s="258" t="e">
        <f>((((IF($R$5=0,$R$6,$R$5)))/(12*$R$19))+(((3*$R$15)/(2*IF($R$5=0,$R$6,$R$5)*$U$5*$R$19))*'IN-OUT'!$F$15))*'Burland damage classification'!DL45</f>
        <v>#DIV/0!</v>
      </c>
      <c r="DI45" s="262">
        <f>(1+(((IF($R$5=0,$R$6^2,$R$5^2))*$U$5)/(18*$R$15))*('IN-OUT'!$F$15^(-1)))*DM45</f>
        <v>9.2987454350932015E-4</v>
      </c>
      <c r="DJ45" s="254" t="e">
        <f t="shared" si="21"/>
        <v>#DIV/0!</v>
      </c>
      <c r="DK45" s="254" t="e">
        <f t="shared" si="45"/>
        <v>#DIV/0!</v>
      </c>
      <c r="DL45" s="254">
        <f t="shared" si="69"/>
        <v>8.066666666666669E-4</v>
      </c>
      <c r="DM45" s="253">
        <f t="shared" si="22"/>
        <v>9.2987454350932015E-4</v>
      </c>
      <c r="DN45" s="253">
        <f t="shared" si="70"/>
        <v>1.9333333333333339E-4</v>
      </c>
      <c r="DO45" s="255">
        <f t="shared" si="46"/>
        <v>1.9333333333333338E-2</v>
      </c>
      <c r="DQ45" s="258" t="e">
        <f>((((IF($R$5=0,$R$6,$R$5)))/(12*$R$19))+(((3*$R$15)/(2*IF($R$5=0,$R$6,$R$5)*$U$5*$R$19))*'IN-OUT'!$F$15))*'Burland damage classification'!DU45</f>
        <v>#DIV/0!</v>
      </c>
      <c r="DR45" s="262">
        <f>(1+(((IF($R$5=0,$R$6^2,$R$5^2))*$U$5)/(18*$R$15))*('IN-OUT'!$F$15^(-1)))*DV45</f>
        <v>1.9311481904124637E-3</v>
      </c>
      <c r="DS45" s="254" t="e">
        <f t="shared" si="23"/>
        <v>#DIV/0!</v>
      </c>
      <c r="DT45" s="254" t="e">
        <f t="shared" si="47"/>
        <v>#DIV/0!</v>
      </c>
      <c r="DU45" s="254">
        <f t="shared" si="71"/>
        <v>1.8066666666666656E-3</v>
      </c>
      <c r="DV45" s="270">
        <f t="shared" si="24"/>
        <v>1.9311481904124637E-3</v>
      </c>
      <c r="DW45" s="253">
        <f t="shared" si="72"/>
        <v>1.9333333333333339E-4</v>
      </c>
      <c r="DX45" s="255">
        <f t="shared" si="48"/>
        <v>1.9333333333333338E-2</v>
      </c>
      <c r="EA45" s="1237"/>
      <c r="EB45" s="1230"/>
      <c r="EC45" s="452">
        <v>3</v>
      </c>
      <c r="ED45" s="435">
        <f>'transversal subsidence profile'!$L$5*EXP(-(EE19^2)/(2*'transversal subsidence profile'!$J$5^2))*100</f>
        <v>2.617993877991494</v>
      </c>
      <c r="EE45" s="428">
        <f>'transversal subsidence profile'!$L$5*EE19/'transversal subsidence profile'!$B$5*EXP(-(EE19^2)/(2*'transversal subsidence profile'!$J$5^2))*100</f>
        <v>0</v>
      </c>
      <c r="EF45" s="436">
        <f>('transversal subsidence profile'!$L$5/'transversal subsidence profile'!$B$5)*(1-((EE19^2)/(('transversal subsidence profile'!$J$5)^2)))*EXP(-(EE19^2)/(2*(('transversal subsidence profile'!$J$5)^2)))*100</f>
        <v>0.17453292519943295</v>
      </c>
      <c r="EG45" s="440">
        <f>'transversal subsidence profile'!$L$6*EXP(-(((EE19+$DZ$4))^2)/(2*'transversal subsidence profile'!$J$6^2))*100</f>
        <v>0.87372870216931453</v>
      </c>
      <c r="EH45" s="429">
        <f>'transversal subsidence profile'!$L$6*(EE19+$DZ$4)/'transversal subsidence profile'!$F$5*EXP(-((EE19+$DZ$4)^2)/(2*'transversal subsidence profile'!$J$6^2))*100</f>
        <v>0.58248580144620965</v>
      </c>
      <c r="EI45" s="441">
        <f>('transversal subsidence profile'!$L$6/'transversal subsidence profile'!$F$5)*(1-(EE19+$DZ$4)^2/(('transversal subsidence profile'!$J$6)^2))*EXP(-((EE19+$DZ$4)^2)/(2*(('transversal subsidence profile'!$J$6)^2)))*100</f>
        <v>-6.9594668458113657E-2</v>
      </c>
      <c r="EK45" s="445">
        <f>IF('IN-OUT'!$F$26=0,EG45,IF('IN-OUT'!$F$35=0,ED45,ED45+EG45))</f>
        <v>3.4917225801608085</v>
      </c>
      <c r="EL45" s="445">
        <f>IF('IN-OUT'!$F$26=0,EH45,IF('IN-OUT'!$F$35=0,EE45,EE45+EH45))</f>
        <v>0.58248580144620965</v>
      </c>
      <c r="EM45" s="563">
        <f>IF('IN-OUT'!$F$26=0,EI45,IF('IN-OUT'!$F$35=0,EF45,EF45+EI45))</f>
        <v>0.10493825674131929</v>
      </c>
      <c r="EO45" s="463">
        <f>IF(AND($EK$41=$EK$42,$EK$45&gt;$EK$41),$EK$45-$EK$41,IF(AND($EK$41=$EK$42,$EK$45&lt;$EK$41),$EK$41-$EK$45,0))</f>
        <v>0</v>
      </c>
      <c r="EP45" s="370" t="e">
        <f>IF($EK$41&lt;$EK$42,($EK$42-$EK$41)/($EE$10-$EE$9),($EK$41-$EK$42)/($EE$10-$EE$9))</f>
        <v>#DIV/0!</v>
      </c>
      <c r="EQ45" s="370" t="e">
        <f>IF($EK$41&lt;$EK$42,(EA19*$EE$24*$EP$43)+$EK$41,((($EE$10-$EE$9)-($EE$24*EA19))*$EP$43)+$EK$42)</f>
        <v>#DIV/0!</v>
      </c>
      <c r="ER45" s="370">
        <f>IF(EK41=EK42,0,IF($EQ$45&gt;$EK$45,($EQ$45-$EK$45),($EK$45-$EQ$45)))</f>
        <v>0</v>
      </c>
      <c r="ES45" s="447">
        <f>MAX(ER45,EO45)</f>
        <v>0</v>
      </c>
      <c r="EV45" s="281">
        <f>IF(Q5&gt;0,(MAX(ES43:ES47)/Q5),0)</f>
        <v>0</v>
      </c>
      <c r="EW45" s="261" t="e">
        <f>IF(OR('IN-OUT'!$F$26=0,'IN-OUT'!$F$35=0),-(('Burland damage classification'!EL42-'Burland damage classification'!EL41)/(MAX('Burland damage classification'!Q5:Q7))),IF((((EE42-EE41)+(EH42-EH41))/MAX(Q5:Q7)&lt;0),-(((EE42-EE41)+(EH42-EH41))/MAX(Q5:Q7)),0))</f>
        <v>#DIV/0!</v>
      </c>
      <c r="FE45" s="681"/>
      <c r="FF45" s="681"/>
    </row>
    <row r="46" spans="7:167">
      <c r="V46" s="258">
        <f>(((IF($P$5&lt;&gt;0,$P$5,IF($P$6&lt;&gt;0,$P$6,IF($P$7&lt;&gt;0,$P$7,0))))/(12*$P$19))+(((3*$P$15)/(2*(IF($P$5&lt;&gt;0,$P$5,IF($P$6&lt;&gt;0,$P$6,IF($P$7&lt;&gt;0,$P$7,0))))*$U$5*$P$19))*'IN-OUT'!$F$15))*'Burland damage classification'!Z46</f>
        <v>4.2802030354762669E-4</v>
      </c>
      <c r="W46" s="262">
        <f>(1+(((IF($P$5&lt;&gt;0,$P$5^2,IF($P$6&lt;&gt;0,$P$6^2,IF($P$7&lt;&gt;0,$P$7^2))))*$U$5)/(18*$P$15))*('IN-OUT'!$F$15^(-1)))*AA46</f>
        <v>2.6817768651799906E-4</v>
      </c>
      <c r="X46" s="262">
        <f t="shared" si="1"/>
        <v>2.6817768651799906E-4</v>
      </c>
      <c r="Y46" s="262">
        <f t="shared" si="25"/>
        <v>2.6817768651799904E-2</v>
      </c>
      <c r="Z46" s="916">
        <f t="shared" si="49"/>
        <v>1.3333333333333342E-4</v>
      </c>
      <c r="AA46" s="270">
        <f t="shared" si="2"/>
        <v>2.5385910352879691E-4</v>
      </c>
      <c r="AB46" s="270">
        <f t="shared" si="50"/>
        <v>2.0000000000000006E-4</v>
      </c>
      <c r="AC46" s="271">
        <f t="shared" si="26"/>
        <v>2.0000000000000007E-2</v>
      </c>
      <c r="AE46" s="258">
        <f>(((IF($P$5&lt;&gt;0,$P$5,IF($P$6&lt;&gt;0,$P$6,IF($P$7&lt;&gt;0,$P$7,0))))/(12*$P$19))+(((3*$P$15)/(2*(IF($P$5&lt;&gt;0,$P$5,IF($P$6&lt;&gt;0,$P$6,IF($P$7&lt;&gt;0,$P$7,0))))*$U$5*$P$19))*'IN-OUT'!$F$15))*'Burland damage classification'!AI46</f>
        <v>9.6304568298216122E-4</v>
      </c>
      <c r="AF46" s="254">
        <f>(1+(((IF($P$5&lt;&gt;0,$P$5^2,IF($P$6&lt;&gt;0,$P$6^2,IF($P$7&lt;&gt;0,$P$7^2))))*$U$5)/(18*$P$15))*('IN-OUT'!$F$15^(-1)))*AJ46</f>
        <v>4.4819411570549321E-4</v>
      </c>
      <c r="AG46" s="254">
        <f t="shared" si="3"/>
        <v>4.4819411570549321E-4</v>
      </c>
      <c r="AH46" s="254">
        <f t="shared" si="27"/>
        <v>4.481941157054932E-2</v>
      </c>
      <c r="AI46" s="254">
        <f t="shared" si="51"/>
        <v>3.0000000000000057E-4</v>
      </c>
      <c r="AJ46" s="253">
        <f t="shared" si="4"/>
        <v>4.242640687119285E-4</v>
      </c>
      <c r="AK46" s="253">
        <f t="shared" si="52"/>
        <v>2.0000000000000006E-4</v>
      </c>
      <c r="AL46" s="255">
        <f t="shared" si="28"/>
        <v>2.0000000000000007E-2</v>
      </c>
      <c r="AN46" s="258">
        <f>(((IF($P$5&lt;&gt;0,$P$5,IF($P$6&lt;&gt;0,$P$6,IF($P$7&lt;&gt;0,$P$7,0))))/(12*$P$19))+(((3*$P$15)/(2*(IF($P$5&lt;&gt;0,$P$5,IF($P$6&lt;&gt;0,$P$6,IF($P$7&lt;&gt;0,$P$7,0))))*$U$5*$P$19))*'IN-OUT'!$F$15))*'Burland damage classification'!AR46</f>
        <v>2.5681218212857591E-3</v>
      </c>
      <c r="AO46" s="254">
        <f>(1+(((IF($P$5&lt;&gt;0,$P$5^2,IF($P$6&lt;&gt;0,$P$6^2,IF($P$7&lt;&gt;0,$P$7^2))))*$U$5)/(18*$P$15))*('IN-OUT'!$F$15^(-1)))*AS46</f>
        <v>9.7966845356422323E-4</v>
      </c>
      <c r="AP46" s="254">
        <f t="shared" si="5"/>
        <v>9.7966845356422323E-4</v>
      </c>
      <c r="AQ46" s="254">
        <f t="shared" si="29"/>
        <v>9.7966845356422319E-2</v>
      </c>
      <c r="AR46" s="254">
        <f t="shared" si="53"/>
        <v>8.0000000000000026E-4</v>
      </c>
      <c r="AS46" s="253">
        <f t="shared" si="6"/>
        <v>9.2736184954957037E-4</v>
      </c>
      <c r="AT46" s="253">
        <f t="shared" si="54"/>
        <v>2.0000000000000006E-4</v>
      </c>
      <c r="AU46" s="255">
        <f t="shared" si="30"/>
        <v>2.0000000000000007E-2</v>
      </c>
      <c r="AW46" s="258">
        <f>(((IF($P$5&lt;&gt;0,$P$5,IF($P$6&lt;&gt;0,$P$6,IF($P$7&lt;&gt;0,$P$7,0))))/(12*$P$19))+(((3*$P$15)/(2*(IF($P$5&lt;&gt;0,$P$5,IF($P$6&lt;&gt;0,$P$6,IF($P$7&lt;&gt;0,$P$7,0))))*$U$5*$P$19))*'IN-OUT'!$F$15))*'Burland damage classification'!BA46</f>
        <v>5.7782740978929523E-3</v>
      </c>
      <c r="AX46" s="254">
        <f>(1+(((IF($P$5&lt;&gt;0,$P$5^2,IF($P$6&lt;&gt;0,$P$6^2,IF($P$7&lt;&gt;0,$P$7^2))))*$U$5)/(18*$P$15))*('IN-OUT'!$F$15^(-1)))*BB46</f>
        <v>2.0375175951704728E-3</v>
      </c>
      <c r="AY46" s="254">
        <f t="shared" si="7"/>
        <v>2.0375175951704728E-3</v>
      </c>
      <c r="AZ46" s="254">
        <f t="shared" si="31"/>
        <v>0.20375175951704727</v>
      </c>
      <c r="BA46" s="254">
        <f t="shared" si="55"/>
        <v>1.7999999999999989E-3</v>
      </c>
      <c r="BB46" s="270">
        <f t="shared" si="8"/>
        <v>1.928730152198591E-3</v>
      </c>
      <c r="BC46" s="253">
        <f t="shared" si="56"/>
        <v>2.0000000000000006E-4</v>
      </c>
      <c r="BD46" s="255">
        <f t="shared" si="32"/>
        <v>2.0000000000000007E-2</v>
      </c>
      <c r="BF46" s="258" t="e">
        <f>((((IF($Q$5=0,$Q$6,$Q$5)))/(12*$Q$19))+(((3*$Q$15)/(2*IF($Q$5=0,$Q$6,$Q$5)*$U$5*$Q$19))*'IN-OUT'!$F$15))*'Burland damage classification'!BJ46</f>
        <v>#DIV/0!</v>
      </c>
      <c r="BG46" s="262">
        <f>(1+(((IF($Q$5=0,$Q$6^2,$Q$5^2))*$U$5)/(18*$Q$15))*('IN-OUT'!$F$15^(-1)))*BK46</f>
        <v>2.5385910352879691E-4</v>
      </c>
      <c r="BH46" s="262" t="e">
        <f t="shared" si="9"/>
        <v>#DIV/0!</v>
      </c>
      <c r="BI46" s="262" t="e">
        <f t="shared" si="33"/>
        <v>#DIV/0!</v>
      </c>
      <c r="BJ46" s="262">
        <f t="shared" si="57"/>
        <v>1.3333333333333342E-4</v>
      </c>
      <c r="BK46" s="270">
        <f t="shared" si="10"/>
        <v>2.5385910352879691E-4</v>
      </c>
      <c r="BL46" s="270">
        <f t="shared" si="58"/>
        <v>2.0000000000000006E-4</v>
      </c>
      <c r="BM46" s="271">
        <f t="shared" si="34"/>
        <v>2.0000000000000007E-2</v>
      </c>
      <c r="BO46" s="258" t="e">
        <f>((((IF($Q$5=0,$Q$6,$Q$5)))/(12*$Q$19))+(((3*$Q$15)/(2*IF($Q$5=0,$Q$6,$Q$5)*$U$5*$Q$19))*'IN-OUT'!$F$15))*'Burland damage classification'!BS46</f>
        <v>#DIV/0!</v>
      </c>
      <c r="BP46" s="262">
        <f>(1+(((IF($Q$5=0,$Q$6^2,$Q$5^2))*$U$5)/(18*$Q$15))*('IN-OUT'!$F$15^(-1)))*BT46</f>
        <v>4.242640687119285E-4</v>
      </c>
      <c r="BQ46" s="254" t="e">
        <f t="shared" si="11"/>
        <v>#DIV/0!</v>
      </c>
      <c r="BR46" s="254" t="e">
        <f t="shared" si="35"/>
        <v>#DIV/0!</v>
      </c>
      <c r="BS46" s="254">
        <f t="shared" si="59"/>
        <v>3.0000000000000057E-4</v>
      </c>
      <c r="BT46" s="253">
        <f t="shared" si="12"/>
        <v>4.242640687119285E-4</v>
      </c>
      <c r="BU46" s="253">
        <f t="shared" si="60"/>
        <v>2.0000000000000006E-4</v>
      </c>
      <c r="BV46" s="255">
        <f t="shared" si="36"/>
        <v>2.0000000000000007E-2</v>
      </c>
      <c r="BX46" s="258" t="e">
        <f>((((IF($Q$5=0,$Q$6,$Q$5)))/(12*$Q$19))+(((3*$Q$15)/(2*IF($Q$5=0,$Q$6,$Q$5)*$U$5*$Q$19))*'IN-OUT'!$F$15))*'Burland damage classification'!CB46</f>
        <v>#DIV/0!</v>
      </c>
      <c r="BY46" s="262">
        <f>(1+(((IF($Q$5=0,$Q$6^2,$Q$5^2))*$U$5)/(18*$Q$15))*('IN-OUT'!$F$15^(-1)))*CC46</f>
        <v>9.2736184954957037E-4</v>
      </c>
      <c r="BZ46" s="254" t="e">
        <f t="shared" si="13"/>
        <v>#DIV/0!</v>
      </c>
      <c r="CA46" s="254" t="e">
        <f t="shared" si="37"/>
        <v>#DIV/0!</v>
      </c>
      <c r="CB46" s="254">
        <f t="shared" si="61"/>
        <v>8.0000000000000026E-4</v>
      </c>
      <c r="CC46" s="253">
        <f t="shared" si="14"/>
        <v>9.2736184954957037E-4</v>
      </c>
      <c r="CD46" s="253">
        <f t="shared" si="62"/>
        <v>2.0000000000000006E-4</v>
      </c>
      <c r="CE46" s="255">
        <f t="shared" si="38"/>
        <v>2.0000000000000007E-2</v>
      </c>
      <c r="CG46" s="258" t="e">
        <f>((((IF($Q$5=0,$Q$6,$Q$5)))/(12*$Q$19))+(((3*$Q$15)/(2*IF($Q$5=0,$Q$6,$Q$5)*$U$5*$Q$19))*'IN-OUT'!$F$15))*'Burland damage classification'!CK46</f>
        <v>#DIV/0!</v>
      </c>
      <c r="CH46" s="262">
        <f>(1+(((IF($Q$5=0,$Q$6^2,$Q$5^2))*$U$5)/(18*$Q$15))*('IN-OUT'!$F$15^(-1)))*CL46</f>
        <v>1.928730152198591E-3</v>
      </c>
      <c r="CI46" s="254" t="e">
        <f t="shared" si="15"/>
        <v>#DIV/0!</v>
      </c>
      <c r="CJ46" s="254" t="e">
        <f t="shared" si="39"/>
        <v>#DIV/0!</v>
      </c>
      <c r="CK46" s="254">
        <f t="shared" si="63"/>
        <v>1.7999999999999989E-3</v>
      </c>
      <c r="CL46" s="270">
        <f t="shared" si="16"/>
        <v>1.928730152198591E-3</v>
      </c>
      <c r="CM46" s="253">
        <f t="shared" si="64"/>
        <v>2.0000000000000006E-4</v>
      </c>
      <c r="CN46" s="255">
        <f t="shared" si="40"/>
        <v>2.0000000000000007E-2</v>
      </c>
      <c r="CP46" s="258" t="e">
        <f>((((IF($R$5=0,$R$6,$R$5)))/(12*$R$19))+(((3*$R$15)/(2*IF($R$5=0,$R$6,$R$5)*$U$5*$R$19))*'IN-OUT'!$F$15))*'Burland damage classification'!CT46</f>
        <v>#DIV/0!</v>
      </c>
      <c r="CQ46" s="262">
        <f>(1+(((IF($R$5=0,$R$6^2,$R$5^2))*$U$5)/(18*$R$15))*('IN-OUT'!$F$15^(-1)))*CU46</f>
        <v>2.5385910352879691E-4</v>
      </c>
      <c r="CR46" s="262" t="e">
        <f t="shared" si="17"/>
        <v>#DIV/0!</v>
      </c>
      <c r="CS46" s="262" t="e">
        <f t="shared" si="41"/>
        <v>#DIV/0!</v>
      </c>
      <c r="CT46" s="262">
        <f t="shared" si="65"/>
        <v>1.3333333333333342E-4</v>
      </c>
      <c r="CU46" s="270">
        <f t="shared" si="18"/>
        <v>2.5385910352879691E-4</v>
      </c>
      <c r="CV46" s="270">
        <f t="shared" si="66"/>
        <v>2.0000000000000006E-4</v>
      </c>
      <c r="CW46" s="271">
        <f t="shared" si="42"/>
        <v>2.0000000000000007E-2</v>
      </c>
      <c r="CY46" s="258" t="e">
        <f>((((IF($R$5=0,$R$6,$R$5)))/(12*$R$19))+(((3*$R$15)/(2*IF($R$5=0,$R$6,$R$5)*$U$5*$R$19))*'IN-OUT'!$F$15))*'Burland damage classification'!DC46</f>
        <v>#DIV/0!</v>
      </c>
      <c r="CZ46" s="262">
        <f>(1+(((IF($R$5=0,$R$6^2,$R$5^2))*$U$5)/(18*$R$15))*('IN-OUT'!$F$15^(-1)))*DD46</f>
        <v>4.242640687119285E-4</v>
      </c>
      <c r="DA46" s="254" t="e">
        <f t="shared" si="19"/>
        <v>#DIV/0!</v>
      </c>
      <c r="DB46" s="254" t="e">
        <f t="shared" si="43"/>
        <v>#DIV/0!</v>
      </c>
      <c r="DC46" s="254">
        <f t="shared" si="67"/>
        <v>3.0000000000000057E-4</v>
      </c>
      <c r="DD46" s="253">
        <f t="shared" si="20"/>
        <v>4.242640687119285E-4</v>
      </c>
      <c r="DE46" s="253">
        <f t="shared" si="68"/>
        <v>2.0000000000000006E-4</v>
      </c>
      <c r="DF46" s="255">
        <f t="shared" si="44"/>
        <v>2.0000000000000007E-2</v>
      </c>
      <c r="DH46" s="258" t="e">
        <f>((((IF($R$5=0,$R$6,$R$5)))/(12*$R$19))+(((3*$R$15)/(2*IF($R$5=0,$R$6,$R$5)*$U$5*$R$19))*'IN-OUT'!$F$15))*'Burland damage classification'!DL46</f>
        <v>#DIV/0!</v>
      </c>
      <c r="DI46" s="262">
        <f>(1+(((IF($R$5=0,$R$6^2,$R$5^2))*$U$5)/(18*$R$15))*('IN-OUT'!$F$15^(-1)))*DM46</f>
        <v>9.2736184954957037E-4</v>
      </c>
      <c r="DJ46" s="254" t="e">
        <f t="shared" si="21"/>
        <v>#DIV/0!</v>
      </c>
      <c r="DK46" s="254" t="e">
        <f t="shared" si="45"/>
        <v>#DIV/0!</v>
      </c>
      <c r="DL46" s="254">
        <f t="shared" si="69"/>
        <v>8.0000000000000026E-4</v>
      </c>
      <c r="DM46" s="253">
        <f t="shared" si="22"/>
        <v>9.2736184954957037E-4</v>
      </c>
      <c r="DN46" s="253">
        <f t="shared" si="70"/>
        <v>2.0000000000000006E-4</v>
      </c>
      <c r="DO46" s="255">
        <f t="shared" si="46"/>
        <v>2.0000000000000007E-2</v>
      </c>
      <c r="DQ46" s="258" t="e">
        <f>((((IF($R$5=0,$R$6,$R$5)))/(12*$R$19))+(((3*$R$15)/(2*IF($R$5=0,$R$6,$R$5)*$U$5*$R$19))*'IN-OUT'!$F$15))*'Burland damage classification'!DU46</f>
        <v>#DIV/0!</v>
      </c>
      <c r="DR46" s="262">
        <f>(1+(((IF($R$5=0,$R$6^2,$R$5^2))*$U$5)/(18*$R$15))*('IN-OUT'!$F$15^(-1)))*DV46</f>
        <v>1.928730152198591E-3</v>
      </c>
      <c r="DS46" s="254" t="e">
        <f t="shared" si="23"/>
        <v>#DIV/0!</v>
      </c>
      <c r="DT46" s="254" t="e">
        <f t="shared" si="47"/>
        <v>#DIV/0!</v>
      </c>
      <c r="DU46" s="254">
        <f t="shared" si="71"/>
        <v>1.7999999999999989E-3</v>
      </c>
      <c r="DV46" s="270">
        <f t="shared" si="24"/>
        <v>1.928730152198591E-3</v>
      </c>
      <c r="DW46" s="253">
        <f t="shared" si="72"/>
        <v>2.0000000000000006E-4</v>
      </c>
      <c r="DX46" s="255">
        <f t="shared" si="48"/>
        <v>2.0000000000000007E-2</v>
      </c>
      <c r="EA46" s="1237"/>
      <c r="EB46" s="1230"/>
      <c r="EC46" s="452">
        <v>4</v>
      </c>
      <c r="ED46" s="435">
        <f>'transversal subsidence profile'!$L$5*EXP(-(EE20^2)/(2*'transversal subsidence profile'!$J$5^2))*100</f>
        <v>2.617993877991494</v>
      </c>
      <c r="EE46" s="428">
        <f>'transversal subsidence profile'!$L$5*EE20/'transversal subsidence profile'!$B$5*EXP(-(EE20^2)/(2*'transversal subsidence profile'!$J$5^2))*100</f>
        <v>0</v>
      </c>
      <c r="EF46" s="436">
        <f>('transversal subsidence profile'!$L$5/'transversal subsidence profile'!$B$5)*(1-((EE20^2)/(('transversal subsidence profile'!$J$5)^2)))*EXP(-(EE20^2)/(2*(('transversal subsidence profile'!$J$5)^2)))*100</f>
        <v>0.17453292519943295</v>
      </c>
      <c r="EG46" s="440">
        <f>'transversal subsidence profile'!$L$6*EXP(-(((EE20+$DZ$4))^2)/(2*'transversal subsidence profile'!$J$6^2))*100</f>
        <v>0.87372870216931453</v>
      </c>
      <c r="EH46" s="429">
        <f>'transversal subsidence profile'!$L$6*(EE20+$DZ$4)/'transversal subsidence profile'!$F$5*EXP(-((EE20+$DZ$4)^2)/(2*'transversal subsidence profile'!$J$6^2))*100</f>
        <v>0.58248580144620965</v>
      </c>
      <c r="EI46" s="441">
        <f>('transversal subsidence profile'!$L$6/'transversal subsidence profile'!$F$5)*(1-(EE20+$DZ$4)^2/(('transversal subsidence profile'!$J$6)^2))*EXP(-((EE20+$DZ$4)^2)/(2*(('transversal subsidence profile'!$J$6)^2)))*100</f>
        <v>-6.9594668458113657E-2</v>
      </c>
      <c r="EK46" s="445">
        <f>IF('IN-OUT'!$F$26=0,EG46,IF('IN-OUT'!$F$35=0,ED46,ED46+EG46))</f>
        <v>3.4917225801608085</v>
      </c>
      <c r="EL46" s="445">
        <f>IF('IN-OUT'!$F$26=0,EH46,IF('IN-OUT'!$F$35=0,EE46,EE46+EH46))</f>
        <v>0.58248580144620965</v>
      </c>
      <c r="EM46" s="563">
        <f>IF('IN-OUT'!$F$26=0,EI46,IF('IN-OUT'!$F$35=0,EF46,EF46+EI46))</f>
        <v>0.10493825674131929</v>
      </c>
      <c r="EO46" s="463">
        <f>IF(AND($EK$41=$EK$42,$EK$45&gt;$EK$41),$EK$45-$EK$41,IF(AND($EK$41=$EK$42,$EK$45&lt;$EK$41),$EK$41-$EK$45,0))</f>
        <v>0</v>
      </c>
      <c r="EP46" s="370" t="e">
        <f>IF($EK$41&lt;$EK$42,($EK$42-$EK$41)/($EE$10-$EE$9),($EK$41-$EK$42)/($EE$10-$EE$9))</f>
        <v>#DIV/0!</v>
      </c>
      <c r="EQ46" s="370" t="e">
        <f>IF($EK$41&lt;$EK$42,(EA20*$EE$24*$EP$43)+$EK$41,((($EE$10-$EE$9)-($EE$24*EA20))*$EP$43)+$EK$42)</f>
        <v>#DIV/0!</v>
      </c>
      <c r="ER46" s="370">
        <f>IF(EK41=EK42,0,IF($EQ$46&gt;$EK$46,($EQ$46-$EK$46),($EK$46-$EQ$46)))</f>
        <v>0</v>
      </c>
      <c r="ES46" s="447">
        <f>MAX(ER46,EO46)</f>
        <v>0</v>
      </c>
      <c r="FE46" s="681"/>
      <c r="FF46" s="681"/>
    </row>
    <row r="47" spans="7:167" ht="13.8" thickBot="1">
      <c r="V47" s="258">
        <f>(((IF($P$5&lt;&gt;0,$P$5,IF($P$6&lt;&gt;0,$P$6,IF($P$7&lt;&gt;0,$P$7,0))))/(12*$P$19))+(((3*$P$15)/(2*(IF($P$5&lt;&gt;0,$P$5,IF($P$6&lt;&gt;0,$P$6,IF($P$7&lt;&gt;0,$P$7,0))))*$U$5*$P$19))*'IN-OUT'!$F$15))*'Burland damage classification'!Z47</f>
        <v>4.0661928837024532E-4</v>
      </c>
      <c r="W47" s="262">
        <f>(1+(((IF($P$5&lt;&gt;0,$P$5^2,IF($P$6&lt;&gt;0,$P$6^2,IF($P$7&lt;&gt;0,$P$7^2))))*$U$5)/(18*$P$15))*('IN-OUT'!$F$15^(-1)))*AA47</f>
        <v>2.6492128855476124E-4</v>
      </c>
      <c r="X47" s="262">
        <f t="shared" si="1"/>
        <v>2.6492128855476124E-4</v>
      </c>
      <c r="Y47" s="262">
        <f t="shared" si="25"/>
        <v>2.6492128855476124E-2</v>
      </c>
      <c r="Z47" s="916">
        <f t="shared" si="49"/>
        <v>1.2666666666666675E-4</v>
      </c>
      <c r="AA47" s="270">
        <f t="shared" si="2"/>
        <v>2.5077657165072033E-4</v>
      </c>
      <c r="AB47" s="270">
        <f t="shared" si="50"/>
        <v>2.0666666666666674E-4</v>
      </c>
      <c r="AC47" s="271">
        <f t="shared" si="26"/>
        <v>2.0666666666666673E-2</v>
      </c>
      <c r="AE47" s="258">
        <f>(((IF($P$5&lt;&gt;0,$P$5,IF($P$6&lt;&gt;0,$P$6,IF($P$7&lt;&gt;0,$P$7,0))))/(12*$P$19))+(((3*$P$15)/(2*(IF($P$5&lt;&gt;0,$P$5,IF($P$6&lt;&gt;0,$P$6,IF($P$7&lt;&gt;0,$P$7,0))))*$U$5*$P$19))*'IN-OUT'!$F$15))*'Burland damage classification'!AI47</f>
        <v>9.4164466780477995E-4</v>
      </c>
      <c r="AF47" s="254">
        <f>(1+(((IF($P$5&lt;&gt;0,$P$5^2,IF($P$6&lt;&gt;0,$P$6^2,IF($P$7&lt;&gt;0,$P$7^2))))*$U$5)/(18*$P$15))*('IN-OUT'!$F$15^(-1)))*AJ47</f>
        <v>4.4527967809914962E-4</v>
      </c>
      <c r="AG47" s="254">
        <f t="shared" si="3"/>
        <v>4.4527967809914962E-4</v>
      </c>
      <c r="AH47" s="254">
        <f t="shared" si="27"/>
        <v>4.4527967809914963E-2</v>
      </c>
      <c r="AI47" s="254">
        <f t="shared" si="51"/>
        <v>2.9333333333333392E-4</v>
      </c>
      <c r="AJ47" s="253">
        <f t="shared" si="4"/>
        <v>4.215052391924288E-4</v>
      </c>
      <c r="AK47" s="253">
        <f t="shared" si="52"/>
        <v>2.0666666666666674E-4</v>
      </c>
      <c r="AL47" s="255">
        <f t="shared" si="28"/>
        <v>2.0666666666666673E-2</v>
      </c>
      <c r="AN47" s="258">
        <f>(((IF($P$5&lt;&gt;0,$P$5,IF($P$6&lt;&gt;0,$P$6,IF($P$7&lt;&gt;0,$P$7,0))))/(12*$P$19))+(((3*$P$15)/(2*(IF($P$5&lt;&gt;0,$P$5,IF($P$6&lt;&gt;0,$P$6,IF($P$7&lt;&gt;0,$P$7,0))))*$U$5*$P$19))*'IN-OUT'!$F$15))*'Burland damage classification'!AR47</f>
        <v>2.5467208061083781E-3</v>
      </c>
      <c r="AO47" s="254">
        <f>(1+(((IF($P$5&lt;&gt;0,$P$5^2,IF($P$6&lt;&gt;0,$P$6^2,IF($P$7&lt;&gt;0,$P$7^2))))*$U$5)/(18*$P$15))*('IN-OUT'!$F$15^(-1)))*AS47</f>
        <v>9.7700682272900395E-4</v>
      </c>
      <c r="AP47" s="254">
        <f t="shared" si="5"/>
        <v>9.7700682272900395E-4</v>
      </c>
      <c r="AQ47" s="254">
        <f t="shared" si="29"/>
        <v>9.7700682272900394E-2</v>
      </c>
      <c r="AR47" s="254">
        <f t="shared" si="53"/>
        <v>7.9333333333333361E-4</v>
      </c>
      <c r="AS47" s="253">
        <f t="shared" si="6"/>
        <v>9.2484232890441026E-4</v>
      </c>
      <c r="AT47" s="253">
        <f t="shared" si="54"/>
        <v>2.0666666666666674E-4</v>
      </c>
      <c r="AU47" s="255">
        <f t="shared" si="30"/>
        <v>2.0666666666666673E-2</v>
      </c>
      <c r="AW47" s="258">
        <f>(((IF($P$5&lt;&gt;0,$P$5,IF($P$6&lt;&gt;0,$P$6,IF($P$7&lt;&gt;0,$P$7,0))))/(12*$P$19))+(((3*$P$15)/(2*(IF($P$5&lt;&gt;0,$P$5,IF($P$6&lt;&gt;0,$P$6,IF($P$7&lt;&gt;0,$P$7,0))))*$U$5*$P$19))*'IN-OUT'!$F$15))*'Burland damage classification'!BA47</f>
        <v>5.7568730827155714E-3</v>
      </c>
      <c r="AX47" s="254">
        <f>(1+(((IF($P$5&lt;&gt;0,$P$5^2,IF($P$6&lt;&gt;0,$P$6^2,IF($P$7&lt;&gt;0,$P$7^2))))*$U$5)/(18*$P$15))*('IN-OUT'!$F$15^(-1)))*BB47</f>
        <v>2.0349599642571544E-3</v>
      </c>
      <c r="AY47" s="254">
        <f t="shared" si="7"/>
        <v>2.0349599642571544E-3</v>
      </c>
      <c r="AZ47" s="254">
        <f t="shared" si="31"/>
        <v>0.20349599642571545</v>
      </c>
      <c r="BA47" s="254">
        <f t="shared" si="55"/>
        <v>1.7933333333333321E-3</v>
      </c>
      <c r="BB47" s="270">
        <f t="shared" si="8"/>
        <v>1.9263090786960089E-3</v>
      </c>
      <c r="BC47" s="253">
        <f t="shared" si="56"/>
        <v>2.0666666666666674E-4</v>
      </c>
      <c r="BD47" s="255">
        <f t="shared" si="32"/>
        <v>2.0666666666666673E-2</v>
      </c>
      <c r="BF47" s="258" t="e">
        <f>((((IF($Q$5=0,$Q$6,$Q$5)))/(12*$Q$19))+(((3*$Q$15)/(2*IF($Q$5=0,$Q$6,$Q$5)*$U$5*$Q$19))*'IN-OUT'!$F$15))*'Burland damage classification'!BJ47</f>
        <v>#DIV/0!</v>
      </c>
      <c r="BG47" s="262">
        <f>(1+(((IF($Q$5=0,$Q$6^2,$Q$5^2))*$U$5)/(18*$Q$15))*('IN-OUT'!$F$15^(-1)))*BK47</f>
        <v>2.5077657165072033E-4</v>
      </c>
      <c r="BH47" s="262" t="e">
        <f t="shared" si="9"/>
        <v>#DIV/0!</v>
      </c>
      <c r="BI47" s="262" t="e">
        <f t="shared" si="33"/>
        <v>#DIV/0!</v>
      </c>
      <c r="BJ47" s="262">
        <f t="shared" si="57"/>
        <v>1.2666666666666675E-4</v>
      </c>
      <c r="BK47" s="270">
        <f t="shared" si="10"/>
        <v>2.5077657165072033E-4</v>
      </c>
      <c r="BL47" s="270">
        <f t="shared" si="58"/>
        <v>2.0666666666666674E-4</v>
      </c>
      <c r="BM47" s="271">
        <f t="shared" si="34"/>
        <v>2.0666666666666673E-2</v>
      </c>
      <c r="BO47" s="258" t="e">
        <f>((((IF($Q$5=0,$Q$6,$Q$5)))/(12*$Q$19))+(((3*$Q$15)/(2*IF($Q$5=0,$Q$6,$Q$5)*$U$5*$Q$19))*'IN-OUT'!$F$15))*'Burland damage classification'!BS47</f>
        <v>#DIV/0!</v>
      </c>
      <c r="BP47" s="262">
        <f>(1+(((IF($Q$5=0,$Q$6^2,$Q$5^2))*$U$5)/(18*$Q$15))*('IN-OUT'!$F$15^(-1)))*BT47</f>
        <v>4.215052391924288E-4</v>
      </c>
      <c r="BQ47" s="254" t="e">
        <f t="shared" si="11"/>
        <v>#DIV/0!</v>
      </c>
      <c r="BR47" s="254" t="e">
        <f t="shared" si="35"/>
        <v>#DIV/0!</v>
      </c>
      <c r="BS47" s="254">
        <f t="shared" si="59"/>
        <v>2.9333333333333392E-4</v>
      </c>
      <c r="BT47" s="253">
        <f t="shared" si="12"/>
        <v>4.215052391924288E-4</v>
      </c>
      <c r="BU47" s="253">
        <f t="shared" si="60"/>
        <v>2.0666666666666674E-4</v>
      </c>
      <c r="BV47" s="255">
        <f t="shared" si="36"/>
        <v>2.0666666666666673E-2</v>
      </c>
      <c r="BX47" s="258" t="e">
        <f>((((IF($Q$5=0,$Q$6,$Q$5)))/(12*$Q$19))+(((3*$Q$15)/(2*IF($Q$5=0,$Q$6,$Q$5)*$U$5*$Q$19))*'IN-OUT'!$F$15))*'Burland damage classification'!CB47</f>
        <v>#DIV/0!</v>
      </c>
      <c r="BY47" s="262">
        <f>(1+(((IF($Q$5=0,$Q$6^2,$Q$5^2))*$U$5)/(18*$Q$15))*('IN-OUT'!$F$15^(-1)))*CC47</f>
        <v>9.2484232890441026E-4</v>
      </c>
      <c r="BZ47" s="254" t="e">
        <f t="shared" si="13"/>
        <v>#DIV/0!</v>
      </c>
      <c r="CA47" s="254" t="e">
        <f t="shared" si="37"/>
        <v>#DIV/0!</v>
      </c>
      <c r="CB47" s="254">
        <f t="shared" si="61"/>
        <v>7.9333333333333361E-4</v>
      </c>
      <c r="CC47" s="253">
        <f t="shared" si="14"/>
        <v>9.2484232890441026E-4</v>
      </c>
      <c r="CD47" s="253">
        <f t="shared" si="62"/>
        <v>2.0666666666666674E-4</v>
      </c>
      <c r="CE47" s="255">
        <f t="shared" si="38"/>
        <v>2.0666666666666673E-2</v>
      </c>
      <c r="CG47" s="258" t="e">
        <f>((((IF($Q$5=0,$Q$6,$Q$5)))/(12*$Q$19))+(((3*$Q$15)/(2*IF($Q$5=0,$Q$6,$Q$5)*$U$5*$Q$19))*'IN-OUT'!$F$15))*'Burland damage classification'!CK47</f>
        <v>#DIV/0!</v>
      </c>
      <c r="CH47" s="262">
        <f>(1+(((IF($Q$5=0,$Q$6^2,$Q$5^2))*$U$5)/(18*$Q$15))*('IN-OUT'!$F$15^(-1)))*CL47</f>
        <v>1.9263090786960089E-3</v>
      </c>
      <c r="CI47" s="254" t="e">
        <f t="shared" si="15"/>
        <v>#DIV/0!</v>
      </c>
      <c r="CJ47" s="254" t="e">
        <f t="shared" si="39"/>
        <v>#DIV/0!</v>
      </c>
      <c r="CK47" s="254">
        <f t="shared" si="63"/>
        <v>1.7933333333333321E-3</v>
      </c>
      <c r="CL47" s="270">
        <f t="shared" si="16"/>
        <v>1.9263090786960089E-3</v>
      </c>
      <c r="CM47" s="253">
        <f t="shared" si="64"/>
        <v>2.0666666666666674E-4</v>
      </c>
      <c r="CN47" s="255">
        <f t="shared" si="40"/>
        <v>2.0666666666666673E-2</v>
      </c>
      <c r="CP47" s="258" t="e">
        <f>((((IF($R$5=0,$R$6,$R$5)))/(12*$R$19))+(((3*$R$15)/(2*IF($R$5=0,$R$6,$R$5)*$U$5*$R$19))*'IN-OUT'!$F$15))*'Burland damage classification'!CT47</f>
        <v>#DIV/0!</v>
      </c>
      <c r="CQ47" s="262">
        <f>(1+(((IF($R$5=0,$R$6^2,$R$5^2))*$U$5)/(18*$R$15))*('IN-OUT'!$F$15^(-1)))*CU47</f>
        <v>2.5077657165072033E-4</v>
      </c>
      <c r="CR47" s="262" t="e">
        <f t="shared" si="17"/>
        <v>#DIV/0!</v>
      </c>
      <c r="CS47" s="262" t="e">
        <f t="shared" si="41"/>
        <v>#DIV/0!</v>
      </c>
      <c r="CT47" s="262">
        <f t="shared" si="65"/>
        <v>1.2666666666666675E-4</v>
      </c>
      <c r="CU47" s="270">
        <f t="shared" si="18"/>
        <v>2.5077657165072033E-4</v>
      </c>
      <c r="CV47" s="270">
        <f t="shared" si="66"/>
        <v>2.0666666666666674E-4</v>
      </c>
      <c r="CW47" s="271">
        <f t="shared" si="42"/>
        <v>2.0666666666666673E-2</v>
      </c>
      <c r="CY47" s="258" t="e">
        <f>((((IF($R$5=0,$R$6,$R$5)))/(12*$R$19))+(((3*$R$15)/(2*IF($R$5=0,$R$6,$R$5)*$U$5*$R$19))*'IN-OUT'!$F$15))*'Burland damage classification'!DC47</f>
        <v>#DIV/0!</v>
      </c>
      <c r="CZ47" s="262">
        <f>(1+(((IF($R$5=0,$R$6^2,$R$5^2))*$U$5)/(18*$R$15))*('IN-OUT'!$F$15^(-1)))*DD47</f>
        <v>4.215052391924288E-4</v>
      </c>
      <c r="DA47" s="254" t="e">
        <f t="shared" si="19"/>
        <v>#DIV/0!</v>
      </c>
      <c r="DB47" s="254" t="e">
        <f t="shared" si="43"/>
        <v>#DIV/0!</v>
      </c>
      <c r="DC47" s="254">
        <f t="shared" si="67"/>
        <v>2.9333333333333392E-4</v>
      </c>
      <c r="DD47" s="253">
        <f t="shared" si="20"/>
        <v>4.215052391924288E-4</v>
      </c>
      <c r="DE47" s="253">
        <f t="shared" si="68"/>
        <v>2.0666666666666674E-4</v>
      </c>
      <c r="DF47" s="255">
        <f t="shared" si="44"/>
        <v>2.0666666666666673E-2</v>
      </c>
      <c r="DH47" s="258" t="e">
        <f>((((IF($R$5=0,$R$6,$R$5)))/(12*$R$19))+(((3*$R$15)/(2*IF($R$5=0,$R$6,$R$5)*$U$5*$R$19))*'IN-OUT'!$F$15))*'Burland damage classification'!DL47</f>
        <v>#DIV/0!</v>
      </c>
      <c r="DI47" s="262">
        <f>(1+(((IF($R$5=0,$R$6^2,$R$5^2))*$U$5)/(18*$R$15))*('IN-OUT'!$F$15^(-1)))*DM47</f>
        <v>9.2484232890441026E-4</v>
      </c>
      <c r="DJ47" s="254" t="e">
        <f t="shared" si="21"/>
        <v>#DIV/0!</v>
      </c>
      <c r="DK47" s="254" t="e">
        <f t="shared" si="45"/>
        <v>#DIV/0!</v>
      </c>
      <c r="DL47" s="254">
        <f t="shared" si="69"/>
        <v>7.9333333333333361E-4</v>
      </c>
      <c r="DM47" s="253">
        <f t="shared" si="22"/>
        <v>9.2484232890441026E-4</v>
      </c>
      <c r="DN47" s="253">
        <f t="shared" si="70"/>
        <v>2.0666666666666674E-4</v>
      </c>
      <c r="DO47" s="255">
        <f t="shared" si="46"/>
        <v>2.0666666666666673E-2</v>
      </c>
      <c r="DQ47" s="258" t="e">
        <f>((((IF($R$5=0,$R$6,$R$5)))/(12*$R$19))+(((3*$R$15)/(2*IF($R$5=0,$R$6,$R$5)*$U$5*$R$19))*'IN-OUT'!$F$15))*'Burland damage classification'!DU47</f>
        <v>#DIV/0!</v>
      </c>
      <c r="DR47" s="262">
        <f>(1+(((IF($R$5=0,$R$6^2,$R$5^2))*$U$5)/(18*$R$15))*('IN-OUT'!$F$15^(-1)))*DV47</f>
        <v>1.9263090786960089E-3</v>
      </c>
      <c r="DS47" s="254" t="e">
        <f t="shared" si="23"/>
        <v>#DIV/0!</v>
      </c>
      <c r="DT47" s="254" t="e">
        <f t="shared" si="47"/>
        <v>#DIV/0!</v>
      </c>
      <c r="DU47" s="254">
        <f t="shared" si="71"/>
        <v>1.7933333333333321E-3</v>
      </c>
      <c r="DV47" s="270">
        <f t="shared" si="24"/>
        <v>1.9263090786960089E-3</v>
      </c>
      <c r="DW47" s="253">
        <f t="shared" si="72"/>
        <v>2.0666666666666674E-4</v>
      </c>
      <c r="DX47" s="255">
        <f t="shared" si="48"/>
        <v>2.0666666666666673E-2</v>
      </c>
      <c r="EA47" s="1237"/>
      <c r="EB47" s="1231"/>
      <c r="EC47" s="453">
        <v>5</v>
      </c>
      <c r="ED47" s="454">
        <f>'transversal subsidence profile'!$L$5*EXP(-(EE21^2)/(2*'transversal subsidence profile'!$J$5^2))*100</f>
        <v>2.617993877991494</v>
      </c>
      <c r="EE47" s="455">
        <f>'transversal subsidence profile'!$L$5*EE21/'transversal subsidence profile'!$B$5*EXP(-(EE21^2)/(2*'transversal subsidence profile'!$J$5^2))*100</f>
        <v>0</v>
      </c>
      <c r="EF47" s="456">
        <f>('transversal subsidence profile'!$L$5/'transversal subsidence profile'!$B$5)*(1-((EE21^2)/(('transversal subsidence profile'!$J$5)^2)))*EXP(-(EE21^2)/(2*(('transversal subsidence profile'!$J$5)^2)))*100</f>
        <v>0.17453292519943295</v>
      </c>
      <c r="EG47" s="457">
        <f>'transversal subsidence profile'!$L$6*EXP(-(((EE21+$DZ$4))^2)/(2*'transversal subsidence profile'!$J$6^2))*100</f>
        <v>0.87372870216931453</v>
      </c>
      <c r="EH47" s="458">
        <f>'transversal subsidence profile'!$L$6*(EE21+$DZ$4)/'transversal subsidence profile'!$F$5*EXP(-((EE21+$DZ$4)^2)/(2*'transversal subsidence profile'!$J$6^2))*100</f>
        <v>0.58248580144620965</v>
      </c>
      <c r="EI47" s="459">
        <f>('transversal subsidence profile'!$L$6/'transversal subsidence profile'!$F$5)*(1-(EE21+$DZ$4)^2/(('transversal subsidence profile'!$J$6)^2))*EXP(-((EE21+$DZ$4)^2)/(2*(('transversal subsidence profile'!$J$6)^2)))*100</f>
        <v>-6.9594668458113657E-2</v>
      </c>
      <c r="EK47" s="564">
        <f>IF('IN-OUT'!$F$26=0,EG47,IF('IN-OUT'!$F$35=0,ED47,ED47+EG47))</f>
        <v>3.4917225801608085</v>
      </c>
      <c r="EL47" s="564">
        <f>IF('IN-OUT'!$F$26=0,EH47,IF('IN-OUT'!$F$35=0,EE47,EE47+EH47))</f>
        <v>0.58248580144620965</v>
      </c>
      <c r="EM47" s="565">
        <f>IF('IN-OUT'!$F$26=0,EI47,IF('IN-OUT'!$F$35=0,EF47,EF47+EI47))</f>
        <v>0.10493825674131929</v>
      </c>
      <c r="EO47" s="465">
        <f>IF(AND($EK$41=$EK$42,$EK$45&gt;$EK$41),$EK$45-$EK$41,IF(AND($EK$41=$EK$42,$EK$45&lt;$EK$41),$EK$41-$EK$45,0))</f>
        <v>0</v>
      </c>
      <c r="EP47" s="415" t="e">
        <f>IF($EK$41&lt;$EK$42,($EK$42-$EK$41)/($EE$10-$EE$9),($EK$41-$EK$42)/($EE$10-$EE$9))</f>
        <v>#DIV/0!</v>
      </c>
      <c r="EQ47" s="415" t="e">
        <f>IF($EK$41&lt;$EK$42,(EA21*$EE$24*$EP$43)+$EK$41,((($EE$10-$EE$9)-($EE$24*EA21))*$EP$43)+$EK$42)</f>
        <v>#DIV/0!</v>
      </c>
      <c r="ER47" s="415">
        <f>IF(EK41=EK42,0,IF($EQ$47&gt;$EK$47,($EQ$47-$EK$47),($EK$47-$EQ$47)))</f>
        <v>0</v>
      </c>
      <c r="ES47" s="448">
        <f>MAX(ER47,EO47)</f>
        <v>0</v>
      </c>
      <c r="FE47" s="681"/>
      <c r="FF47" s="681"/>
    </row>
    <row r="48" spans="7:167">
      <c r="V48" s="258">
        <f>(((IF($P$5&lt;&gt;0,$P$5,IF($P$6&lt;&gt;0,$P$6,IF($P$7&lt;&gt;0,$P$7,0))))/(12*$P$19))+(((3*$P$15)/(2*(IF($P$5&lt;&gt;0,$P$5,IF($P$6&lt;&gt;0,$P$6,IF($P$7&lt;&gt;0,$P$7,0))))*$U$5*$P$19))*'IN-OUT'!$F$15))*'Burland damage classification'!Z48</f>
        <v>3.85218273192864E-4</v>
      </c>
      <c r="W48" s="262">
        <f>(1+(((IF($P$5&lt;&gt;0,$P$5^2,IF($P$6&lt;&gt;0,$P$6^2,IF($P$7&lt;&gt;0,$P$7^2))))*$U$5)/(18*$P$15))*('IN-OUT'!$F$15^(-1)))*AA48</f>
        <v>2.6162436184897609E-4</v>
      </c>
      <c r="X48" s="262">
        <f t="shared" ref="X48:X66" si="73">MIN(V48,W48)</f>
        <v>2.6162436184897609E-4</v>
      </c>
      <c r="Y48" s="262">
        <f t="shared" si="25"/>
        <v>2.6162436184897608E-2</v>
      </c>
      <c r="Z48" s="916">
        <f t="shared" si="49"/>
        <v>1.2000000000000008E-4</v>
      </c>
      <c r="AA48" s="270">
        <f t="shared" ref="AA48:AA66" si="74">($P$25^2-(2*0.35*$P$25*AB48))^0.5</f>
        <v>2.4765567494675615E-4</v>
      </c>
      <c r="AB48" s="270">
        <f t="shared" si="50"/>
        <v>2.1333333333333341E-4</v>
      </c>
      <c r="AC48" s="271">
        <f t="shared" si="26"/>
        <v>2.1333333333333343E-2</v>
      </c>
      <c r="AE48" s="258">
        <f>(((IF($P$5&lt;&gt;0,$P$5,IF($P$6&lt;&gt;0,$P$6,IF($P$7&lt;&gt;0,$P$7,0))))/(12*$P$19))+(((3*$P$15)/(2*(IF($P$5&lt;&gt;0,$P$5,IF($P$6&lt;&gt;0,$P$6,IF($P$7&lt;&gt;0,$P$7,0))))*$U$5*$P$19))*'IN-OUT'!$F$15))*'Burland damage classification'!AI48</f>
        <v>9.2024365262739869E-4</v>
      </c>
      <c r="AF48" s="254">
        <f>(1+(((IF($P$5&lt;&gt;0,$P$5^2,IF($P$6&lt;&gt;0,$P$6^2,IF($P$7&lt;&gt;0,$P$7^2))))*$U$5)/(18*$P$15))*('IN-OUT'!$F$15^(-1)))*AJ48</f>
        <v>4.4234603886904609E-4</v>
      </c>
      <c r="AG48" s="254">
        <f t="shared" ref="AG48:AG66" si="75">MIN(AE48,AF48)</f>
        <v>4.4234603886904609E-4</v>
      </c>
      <c r="AH48" s="254">
        <f t="shared" si="27"/>
        <v>4.423460388690461E-2</v>
      </c>
      <c r="AI48" s="254">
        <f t="shared" si="51"/>
        <v>2.8666666666666727E-4</v>
      </c>
      <c r="AJ48" s="253">
        <f t="shared" ref="AJ48:AJ79" si="76">($P$26^2-(2*0.35*$P$26*AK48))^0.5</f>
        <v>4.1872823326512542E-4</v>
      </c>
      <c r="AK48" s="253">
        <f t="shared" si="52"/>
        <v>2.1333333333333341E-4</v>
      </c>
      <c r="AL48" s="255">
        <f t="shared" si="28"/>
        <v>2.1333333333333343E-2</v>
      </c>
      <c r="AN48" s="258">
        <f>(((IF($P$5&lt;&gt;0,$P$5,IF($P$6&lt;&gt;0,$P$6,IF($P$7&lt;&gt;0,$P$7,0))))/(12*$P$19))+(((3*$P$15)/(2*(IF($P$5&lt;&gt;0,$P$5,IF($P$6&lt;&gt;0,$P$6,IF($P$7&lt;&gt;0,$P$7,0))))*$U$5*$P$19))*'IN-OUT'!$F$15))*'Burland damage classification'!AR48</f>
        <v>2.5253197909309967E-3</v>
      </c>
      <c r="AO48" s="254">
        <f>(1+(((IF($P$5&lt;&gt;0,$P$5^2,IF($P$6&lt;&gt;0,$P$6^2,IF($P$7&lt;&gt;0,$P$7^2))))*$U$5)/(18*$P$15))*('IN-OUT'!$F$15^(-1)))*AS48</f>
        <v>9.7433792105671932E-4</v>
      </c>
      <c r="AP48" s="254">
        <f t="shared" ref="AP48:AP66" si="77">MIN(AN48,AO48)</f>
        <v>9.7433792105671932E-4</v>
      </c>
      <c r="AQ48" s="254">
        <f t="shared" si="29"/>
        <v>9.7433792105671935E-2</v>
      </c>
      <c r="AR48" s="254">
        <f t="shared" si="53"/>
        <v>7.8666666666666696E-4</v>
      </c>
      <c r="AS48" s="253">
        <f t="shared" ref="AS48:AS79" si="78">($P$27^2-(2*0.35*$P$27*AT48))^0.5</f>
        <v>9.2231592562780058E-4</v>
      </c>
      <c r="AT48" s="253">
        <f t="shared" si="54"/>
        <v>2.1333333333333341E-4</v>
      </c>
      <c r="AU48" s="255">
        <f t="shared" si="30"/>
        <v>2.1333333333333343E-2</v>
      </c>
      <c r="AW48" s="258">
        <f>(((IF($P$5&lt;&gt;0,$P$5,IF($P$6&lt;&gt;0,$P$6,IF($P$7&lt;&gt;0,$P$7,0))))/(12*$P$19))+(((3*$P$15)/(2*(IF($P$5&lt;&gt;0,$P$5,IF($P$6&lt;&gt;0,$P$6,IF($P$7&lt;&gt;0,$P$7,0))))*$U$5*$P$19))*'IN-OUT'!$F$15))*'Burland damage classification'!BA48</f>
        <v>5.7354720675381896E-3</v>
      </c>
      <c r="AX48" s="254">
        <f>(1+(((IF($P$5&lt;&gt;0,$P$5^2,IF($P$6&lt;&gt;0,$P$6^2,IF($P$7&lt;&gt;0,$P$7^2))))*$U$5)/(18*$P$15))*('IN-OUT'!$F$15^(-1)))*BB48</f>
        <v>2.0323991147483049E-3</v>
      </c>
      <c r="AY48" s="254">
        <f t="shared" ref="AY48:AY66" si="79">MIN(AW48,AX48)</f>
        <v>2.0323991147483049E-3</v>
      </c>
      <c r="AZ48" s="254">
        <f t="shared" si="31"/>
        <v>0.20323991147483048</v>
      </c>
      <c r="BA48" s="254">
        <f t="shared" si="55"/>
        <v>1.7866666666666654E-3</v>
      </c>
      <c r="BB48" s="270">
        <f t="shared" si="8"/>
        <v>1.9238849584456274E-3</v>
      </c>
      <c r="BC48" s="253">
        <f t="shared" si="56"/>
        <v>2.1333333333333341E-4</v>
      </c>
      <c r="BD48" s="255">
        <f t="shared" si="32"/>
        <v>2.1333333333333343E-2</v>
      </c>
      <c r="BF48" s="258" t="e">
        <f>((((IF($Q$5=0,$Q$6,$Q$5)))/(12*$Q$19))+(((3*$Q$15)/(2*IF($Q$5=0,$Q$6,$Q$5)*$U$5*$Q$19))*'IN-OUT'!$F$15))*'Burland damage classification'!BJ48</f>
        <v>#DIV/0!</v>
      </c>
      <c r="BG48" s="262">
        <f>(1+(((IF($Q$5=0,$Q$6^2,$Q$5^2))*$U$5)/(18*$Q$15))*('IN-OUT'!$F$15^(-1)))*BK48</f>
        <v>2.4765567494675615E-4</v>
      </c>
      <c r="BH48" s="262" t="e">
        <f t="shared" ref="BH48:BH66" si="80">MIN(BF48,BG48)</f>
        <v>#DIV/0!</v>
      </c>
      <c r="BI48" s="262" t="e">
        <f t="shared" si="33"/>
        <v>#DIV/0!</v>
      </c>
      <c r="BJ48" s="262">
        <f t="shared" si="57"/>
        <v>1.2000000000000008E-4</v>
      </c>
      <c r="BK48" s="270">
        <f t="shared" ref="BK48:BK66" si="81">($P$25^2-(2*0.35*$P$25*BL48))^0.5</f>
        <v>2.4765567494675615E-4</v>
      </c>
      <c r="BL48" s="270">
        <f t="shared" si="58"/>
        <v>2.1333333333333341E-4</v>
      </c>
      <c r="BM48" s="271">
        <f t="shared" si="34"/>
        <v>2.1333333333333343E-2</v>
      </c>
      <c r="BO48" s="258" t="e">
        <f>((((IF($Q$5=0,$Q$6,$Q$5)))/(12*$Q$19))+(((3*$Q$15)/(2*IF($Q$5=0,$Q$6,$Q$5)*$U$5*$Q$19))*'IN-OUT'!$F$15))*'Burland damage classification'!BS48</f>
        <v>#DIV/0!</v>
      </c>
      <c r="BP48" s="262">
        <f>(1+(((IF($Q$5=0,$Q$6^2,$Q$5^2))*$U$5)/(18*$Q$15))*('IN-OUT'!$F$15^(-1)))*BT48</f>
        <v>4.1872823326512542E-4</v>
      </c>
      <c r="BQ48" s="254" t="e">
        <f t="shared" si="11"/>
        <v>#DIV/0!</v>
      </c>
      <c r="BR48" s="254" t="e">
        <f t="shared" si="35"/>
        <v>#DIV/0!</v>
      </c>
      <c r="BS48" s="254">
        <f t="shared" si="59"/>
        <v>2.8666666666666727E-4</v>
      </c>
      <c r="BT48" s="253">
        <f t="shared" ref="BT48:BT79" si="82">($P$26^2-(2*0.35*$P$26*BU48))^0.5</f>
        <v>4.1872823326512542E-4</v>
      </c>
      <c r="BU48" s="253">
        <f t="shared" si="60"/>
        <v>2.1333333333333341E-4</v>
      </c>
      <c r="BV48" s="255">
        <f t="shared" si="36"/>
        <v>2.1333333333333343E-2</v>
      </c>
      <c r="BX48" s="258" t="e">
        <f>((((IF($Q$5=0,$Q$6,$Q$5)))/(12*$Q$19))+(((3*$Q$15)/(2*IF($Q$5=0,$Q$6,$Q$5)*$U$5*$Q$19))*'IN-OUT'!$F$15))*'Burland damage classification'!CB48</f>
        <v>#DIV/0!</v>
      </c>
      <c r="BY48" s="262">
        <f>(1+(((IF($Q$5=0,$Q$6^2,$Q$5^2))*$U$5)/(18*$Q$15))*('IN-OUT'!$F$15^(-1)))*CC48</f>
        <v>9.2231592562780058E-4</v>
      </c>
      <c r="BZ48" s="254" t="e">
        <f t="shared" si="13"/>
        <v>#DIV/0!</v>
      </c>
      <c r="CA48" s="254" t="e">
        <f t="shared" si="37"/>
        <v>#DIV/0!</v>
      </c>
      <c r="CB48" s="254">
        <f t="shared" si="61"/>
        <v>7.8666666666666696E-4</v>
      </c>
      <c r="CC48" s="253">
        <f t="shared" ref="CC48:CC79" si="83">($P$27^2-(2*0.35*$P$27*CD48))^0.5</f>
        <v>9.2231592562780058E-4</v>
      </c>
      <c r="CD48" s="253">
        <f t="shared" si="62"/>
        <v>2.1333333333333341E-4</v>
      </c>
      <c r="CE48" s="255">
        <f t="shared" si="38"/>
        <v>2.1333333333333343E-2</v>
      </c>
      <c r="CG48" s="258" t="e">
        <f>((((IF($Q$5=0,$Q$6,$Q$5)))/(12*$Q$19))+(((3*$Q$15)/(2*IF($Q$5=0,$Q$6,$Q$5)*$U$5*$Q$19))*'IN-OUT'!$F$15))*'Burland damage classification'!CK48</f>
        <v>#DIV/0!</v>
      </c>
      <c r="CH48" s="262">
        <f>(1+(((IF($Q$5=0,$Q$6^2,$Q$5^2))*$U$5)/(18*$Q$15))*('IN-OUT'!$F$15^(-1)))*CL48</f>
        <v>1.9238849584456274E-3</v>
      </c>
      <c r="CI48" s="254" t="e">
        <f t="shared" si="15"/>
        <v>#DIV/0!</v>
      </c>
      <c r="CJ48" s="254" t="e">
        <f t="shared" si="39"/>
        <v>#DIV/0!</v>
      </c>
      <c r="CK48" s="254">
        <f t="shared" si="63"/>
        <v>1.7866666666666654E-3</v>
      </c>
      <c r="CL48" s="270">
        <f t="shared" si="16"/>
        <v>1.9238849584456274E-3</v>
      </c>
      <c r="CM48" s="253">
        <f t="shared" si="64"/>
        <v>2.1333333333333341E-4</v>
      </c>
      <c r="CN48" s="255">
        <f t="shared" si="40"/>
        <v>2.1333333333333343E-2</v>
      </c>
      <c r="CP48" s="258" t="e">
        <f>((((IF($R$5=0,$R$6,$R$5)))/(12*$R$19))+(((3*$R$15)/(2*IF($R$5=0,$R$6,$R$5)*$U$5*$R$19))*'IN-OUT'!$F$15))*'Burland damage classification'!CT48</f>
        <v>#DIV/0!</v>
      </c>
      <c r="CQ48" s="262">
        <f>(1+(((IF($R$5=0,$R$6^2,$R$5^2))*$U$5)/(18*$R$15))*('IN-OUT'!$F$15^(-1)))*CU48</f>
        <v>2.4765567494675615E-4</v>
      </c>
      <c r="CR48" s="262" t="e">
        <f t="shared" ref="CR48:CR66" si="84">MIN(CP48,CQ48)</f>
        <v>#DIV/0!</v>
      </c>
      <c r="CS48" s="262" t="e">
        <f t="shared" si="41"/>
        <v>#DIV/0!</v>
      </c>
      <c r="CT48" s="262">
        <f t="shared" si="65"/>
        <v>1.2000000000000008E-4</v>
      </c>
      <c r="CU48" s="270">
        <f t="shared" ref="CU48:CU66" si="85">($P$25^2-(2*0.35*$P$25*CV48))^0.5</f>
        <v>2.4765567494675615E-4</v>
      </c>
      <c r="CV48" s="270">
        <f t="shared" si="66"/>
        <v>2.1333333333333341E-4</v>
      </c>
      <c r="CW48" s="271">
        <f t="shared" si="42"/>
        <v>2.1333333333333343E-2</v>
      </c>
      <c r="CY48" s="258" t="e">
        <f>((((IF($R$5=0,$R$6,$R$5)))/(12*$R$19))+(((3*$R$15)/(2*IF($R$5=0,$R$6,$R$5)*$U$5*$R$19))*'IN-OUT'!$F$15))*'Burland damage classification'!DC48</f>
        <v>#DIV/0!</v>
      </c>
      <c r="CZ48" s="262">
        <f>(1+(((IF($R$5=0,$R$6^2,$R$5^2))*$U$5)/(18*$R$15))*('IN-OUT'!$F$15^(-1)))*DD48</f>
        <v>4.1872823326512542E-4</v>
      </c>
      <c r="DA48" s="254" t="e">
        <f t="shared" si="19"/>
        <v>#DIV/0!</v>
      </c>
      <c r="DB48" s="254" t="e">
        <f t="shared" si="43"/>
        <v>#DIV/0!</v>
      </c>
      <c r="DC48" s="254">
        <f t="shared" si="67"/>
        <v>2.8666666666666727E-4</v>
      </c>
      <c r="DD48" s="253">
        <f t="shared" ref="DD48:DD79" si="86">($P$26^2-(2*0.35*$P$26*DE48))^0.5</f>
        <v>4.1872823326512542E-4</v>
      </c>
      <c r="DE48" s="253">
        <f t="shared" si="68"/>
        <v>2.1333333333333341E-4</v>
      </c>
      <c r="DF48" s="255">
        <f t="shared" si="44"/>
        <v>2.1333333333333343E-2</v>
      </c>
      <c r="DH48" s="258" t="e">
        <f>((((IF($R$5=0,$R$6,$R$5)))/(12*$R$19))+(((3*$R$15)/(2*IF($R$5=0,$R$6,$R$5)*$U$5*$R$19))*'IN-OUT'!$F$15))*'Burland damage classification'!DL48</f>
        <v>#DIV/0!</v>
      </c>
      <c r="DI48" s="262">
        <f>(1+(((IF($R$5=0,$R$6^2,$R$5^2))*$U$5)/(18*$R$15))*('IN-OUT'!$F$15^(-1)))*DM48</f>
        <v>9.2231592562780058E-4</v>
      </c>
      <c r="DJ48" s="254" t="e">
        <f t="shared" si="21"/>
        <v>#DIV/0!</v>
      </c>
      <c r="DK48" s="254" t="e">
        <f t="shared" si="45"/>
        <v>#DIV/0!</v>
      </c>
      <c r="DL48" s="254">
        <f t="shared" si="69"/>
        <v>7.8666666666666696E-4</v>
      </c>
      <c r="DM48" s="253">
        <f t="shared" ref="DM48:DM79" si="87">($P$27^2-(2*0.35*$P$27*DN48))^0.5</f>
        <v>9.2231592562780058E-4</v>
      </c>
      <c r="DN48" s="253">
        <f t="shared" si="70"/>
        <v>2.1333333333333341E-4</v>
      </c>
      <c r="DO48" s="255">
        <f t="shared" si="46"/>
        <v>2.1333333333333343E-2</v>
      </c>
      <c r="DQ48" s="258" t="e">
        <f>((((IF($R$5=0,$R$6,$R$5)))/(12*$R$19))+(((3*$R$15)/(2*IF($R$5=0,$R$6,$R$5)*$U$5*$R$19))*'IN-OUT'!$F$15))*'Burland damage classification'!DU48</f>
        <v>#DIV/0!</v>
      </c>
      <c r="DR48" s="262">
        <f>(1+(((IF($R$5=0,$R$6^2,$R$5^2))*$U$5)/(18*$R$15))*('IN-OUT'!$F$15^(-1)))*DV48</f>
        <v>1.9238849584456274E-3</v>
      </c>
      <c r="DS48" s="254" t="e">
        <f t="shared" si="23"/>
        <v>#DIV/0!</v>
      </c>
      <c r="DT48" s="254" t="e">
        <f t="shared" si="47"/>
        <v>#DIV/0!</v>
      </c>
      <c r="DU48" s="254">
        <f t="shared" si="71"/>
        <v>1.7866666666666654E-3</v>
      </c>
      <c r="DV48" s="270">
        <f t="shared" si="24"/>
        <v>1.9238849584456274E-3</v>
      </c>
      <c r="DW48" s="253">
        <f t="shared" si="72"/>
        <v>2.1333333333333341E-4</v>
      </c>
      <c r="DX48" s="255">
        <f t="shared" si="48"/>
        <v>2.1333333333333343E-2</v>
      </c>
      <c r="EA48" s="1237"/>
      <c r="EK48" s="340"/>
      <c r="EL48" s="340"/>
      <c r="EM48" s="340"/>
      <c r="FE48" s="681"/>
      <c r="FF48" s="681"/>
    </row>
    <row r="49" spans="22:162" ht="13.8" thickBot="1">
      <c r="V49" s="258">
        <f>(((IF($P$5&lt;&gt;0,$P$5,IF($P$6&lt;&gt;0,$P$6,IF($P$7&lt;&gt;0,$P$7,0))))/(12*$P$19))+(((3*$P$15)/(2*(IF($P$5&lt;&gt;0,$P$5,IF($P$6&lt;&gt;0,$P$6,IF($P$7&lt;&gt;0,$P$7,0))))*$U$5*$P$19))*'IN-OUT'!$F$15))*'Burland damage classification'!Z49</f>
        <v>3.6381725801548273E-4</v>
      </c>
      <c r="W49" s="262">
        <f>(1+(((IF($P$5&lt;&gt;0,$P$5^2,IF($P$6&lt;&gt;0,$P$6^2,IF($P$7&lt;&gt;0,$P$7^2))))*$U$5)/(18*$P$15))*('IN-OUT'!$F$15^(-1)))*AA49</f>
        <v>2.5828535439752063E-4</v>
      </c>
      <c r="X49" s="262">
        <f t="shared" si="73"/>
        <v>2.5828535439752063E-4</v>
      </c>
      <c r="Y49" s="262">
        <f t="shared" si="25"/>
        <v>2.5828535439752064E-2</v>
      </c>
      <c r="Z49" s="916">
        <f t="shared" si="49"/>
        <v>1.1333333333333342E-4</v>
      </c>
      <c r="AA49" s="270">
        <f t="shared" si="74"/>
        <v>2.4449494427856327E-4</v>
      </c>
      <c r="AB49" s="270">
        <f t="shared" si="50"/>
        <v>2.2000000000000009E-4</v>
      </c>
      <c r="AC49" s="271">
        <f t="shared" si="26"/>
        <v>2.2000000000000009E-2</v>
      </c>
      <c r="AE49" s="258">
        <f>(((IF($P$5&lt;&gt;0,$P$5,IF($P$6&lt;&gt;0,$P$6,IF($P$7&lt;&gt;0,$P$7,0))))/(12*$P$19))+(((3*$P$15)/(2*(IF($P$5&lt;&gt;0,$P$5,IF($P$6&lt;&gt;0,$P$6,IF($P$7&lt;&gt;0,$P$7,0))))*$U$5*$P$19))*'IN-OUT'!$F$15))*'Burland damage classification'!AI49</f>
        <v>8.9884263745001742E-4</v>
      </c>
      <c r="AF49" s="254">
        <f>(1+(((IF($P$5&lt;&gt;0,$P$5^2,IF($P$6&lt;&gt;0,$P$6^2,IF($P$7&lt;&gt;0,$P$7^2))))*$U$5)/(18*$P$15))*('IN-OUT'!$F$15^(-1)))*AJ49</f>
        <v>4.3939281341208686E-4</v>
      </c>
      <c r="AG49" s="254">
        <f t="shared" si="75"/>
        <v>4.3939281341208686E-4</v>
      </c>
      <c r="AH49" s="254">
        <f t="shared" si="27"/>
        <v>4.3939281341208683E-2</v>
      </c>
      <c r="AI49" s="254">
        <f t="shared" si="51"/>
        <v>2.8000000000000063E-4</v>
      </c>
      <c r="AJ49" s="253">
        <f t="shared" si="76"/>
        <v>4.1593268686170839E-4</v>
      </c>
      <c r="AK49" s="253">
        <f t="shared" si="52"/>
        <v>2.2000000000000009E-4</v>
      </c>
      <c r="AL49" s="255">
        <f t="shared" si="28"/>
        <v>2.2000000000000009E-2</v>
      </c>
      <c r="AN49" s="258">
        <f>(((IF($P$5&lt;&gt;0,$P$5,IF($P$6&lt;&gt;0,$P$6,IF($P$7&lt;&gt;0,$P$7,0))))/(12*$P$19))+(((3*$P$15)/(2*(IF($P$5&lt;&gt;0,$P$5,IF($P$6&lt;&gt;0,$P$6,IF($P$7&lt;&gt;0,$P$7,0))))*$U$5*$P$19))*'IN-OUT'!$F$15))*'Burland damage classification'!AR49</f>
        <v>2.5039187757536154E-3</v>
      </c>
      <c r="AO49" s="254">
        <f>(1+(((IF($P$5&lt;&gt;0,$P$5^2,IF($P$6&lt;&gt;0,$P$6^2,IF($P$7&lt;&gt;0,$P$7^2))))*$U$5)/(18*$P$15))*('IN-OUT'!$F$15^(-1)))*AS49</f>
        <v>9.7166168863408234E-4</v>
      </c>
      <c r="AP49" s="254">
        <f t="shared" si="77"/>
        <v>9.7166168863408234E-4</v>
      </c>
      <c r="AQ49" s="254">
        <f t="shared" si="29"/>
        <v>9.7166168863408231E-2</v>
      </c>
      <c r="AR49" s="254">
        <f t="shared" si="53"/>
        <v>7.8000000000000031E-4</v>
      </c>
      <c r="AS49" s="253">
        <f t="shared" si="78"/>
        <v>9.1978258300535348E-4</v>
      </c>
      <c r="AT49" s="253">
        <f t="shared" si="54"/>
        <v>2.2000000000000009E-4</v>
      </c>
      <c r="AU49" s="255">
        <f t="shared" si="30"/>
        <v>2.2000000000000009E-2</v>
      </c>
      <c r="AW49" s="258">
        <f>(((IF($P$5&lt;&gt;0,$P$5,IF($P$6&lt;&gt;0,$P$6,IF($P$7&lt;&gt;0,$P$7,0))))/(12*$P$19))+(((3*$P$15)/(2*(IF($P$5&lt;&gt;0,$P$5,IF($P$6&lt;&gt;0,$P$6,IF($P$7&lt;&gt;0,$P$7,0))))*$U$5*$P$19))*'IN-OUT'!$F$15))*'Burland damage classification'!BA49</f>
        <v>5.7140710523608078E-3</v>
      </c>
      <c r="AX49" s="254">
        <f>(1+(((IF($P$5&lt;&gt;0,$P$5^2,IF($P$6&lt;&gt;0,$P$6^2,IF($P$7&lt;&gt;0,$P$7^2))))*$U$5)/(18*$P$15))*('IN-OUT'!$F$15^(-1)))*BB49</f>
        <v>2.0298350344621374E-3</v>
      </c>
      <c r="AY49" s="254">
        <f t="shared" si="79"/>
        <v>2.0298350344621374E-3</v>
      </c>
      <c r="AZ49" s="254">
        <f t="shared" si="31"/>
        <v>0.20298350344621374</v>
      </c>
      <c r="BA49" s="254">
        <f t="shared" si="55"/>
        <v>1.7799999999999986E-3</v>
      </c>
      <c r="BB49" s="270">
        <f t="shared" si="8"/>
        <v>1.9214577799160719E-3</v>
      </c>
      <c r="BC49" s="253">
        <f t="shared" si="56"/>
        <v>2.2000000000000009E-4</v>
      </c>
      <c r="BD49" s="255">
        <f t="shared" si="32"/>
        <v>2.2000000000000009E-2</v>
      </c>
      <c r="BF49" s="258" t="e">
        <f>((((IF($Q$5=0,$Q$6,$Q$5)))/(12*$Q$19))+(((3*$Q$15)/(2*IF($Q$5=0,$Q$6,$Q$5)*$U$5*$Q$19))*'IN-OUT'!$F$15))*'Burland damage classification'!BJ49</f>
        <v>#DIV/0!</v>
      </c>
      <c r="BG49" s="262">
        <f>(1+(((IF($Q$5=0,$Q$6^2,$Q$5^2))*$U$5)/(18*$Q$15))*('IN-OUT'!$F$15^(-1)))*BK49</f>
        <v>2.4449494427856327E-4</v>
      </c>
      <c r="BH49" s="262" t="e">
        <f t="shared" si="80"/>
        <v>#DIV/0!</v>
      </c>
      <c r="BI49" s="262" t="e">
        <f t="shared" si="33"/>
        <v>#DIV/0!</v>
      </c>
      <c r="BJ49" s="262">
        <f t="shared" si="57"/>
        <v>1.1333333333333342E-4</v>
      </c>
      <c r="BK49" s="270">
        <f t="shared" si="81"/>
        <v>2.4449494427856327E-4</v>
      </c>
      <c r="BL49" s="270">
        <f t="shared" si="58"/>
        <v>2.2000000000000009E-4</v>
      </c>
      <c r="BM49" s="271">
        <f t="shared" si="34"/>
        <v>2.2000000000000009E-2</v>
      </c>
      <c r="BO49" s="258" t="e">
        <f>((((IF($Q$5=0,$Q$6,$Q$5)))/(12*$Q$19))+(((3*$Q$15)/(2*IF($Q$5=0,$Q$6,$Q$5)*$U$5*$Q$19))*'IN-OUT'!$F$15))*'Burland damage classification'!BS49</f>
        <v>#DIV/0!</v>
      </c>
      <c r="BP49" s="262">
        <f>(1+(((IF($Q$5=0,$Q$6^2,$Q$5^2))*$U$5)/(18*$Q$15))*('IN-OUT'!$F$15^(-1)))*BT49</f>
        <v>4.1593268686170839E-4</v>
      </c>
      <c r="BQ49" s="254" t="e">
        <f t="shared" si="11"/>
        <v>#DIV/0!</v>
      </c>
      <c r="BR49" s="254" t="e">
        <f t="shared" si="35"/>
        <v>#DIV/0!</v>
      </c>
      <c r="BS49" s="254">
        <f t="shared" si="59"/>
        <v>2.8000000000000063E-4</v>
      </c>
      <c r="BT49" s="253">
        <f t="shared" si="82"/>
        <v>4.1593268686170839E-4</v>
      </c>
      <c r="BU49" s="253">
        <f t="shared" si="60"/>
        <v>2.2000000000000009E-4</v>
      </c>
      <c r="BV49" s="255">
        <f t="shared" si="36"/>
        <v>2.2000000000000009E-2</v>
      </c>
      <c r="BX49" s="258" t="e">
        <f>((((IF($Q$5=0,$Q$6,$Q$5)))/(12*$Q$19))+(((3*$Q$15)/(2*IF($Q$5=0,$Q$6,$Q$5)*$U$5*$Q$19))*'IN-OUT'!$F$15))*'Burland damage classification'!CB49</f>
        <v>#DIV/0!</v>
      </c>
      <c r="BY49" s="262">
        <f>(1+(((IF($Q$5=0,$Q$6^2,$Q$5^2))*$U$5)/(18*$Q$15))*('IN-OUT'!$F$15^(-1)))*CC49</f>
        <v>9.1978258300535348E-4</v>
      </c>
      <c r="BZ49" s="254" t="e">
        <f t="shared" si="13"/>
        <v>#DIV/0!</v>
      </c>
      <c r="CA49" s="254" t="e">
        <f t="shared" si="37"/>
        <v>#DIV/0!</v>
      </c>
      <c r="CB49" s="254">
        <f t="shared" si="61"/>
        <v>7.8000000000000031E-4</v>
      </c>
      <c r="CC49" s="253">
        <f t="shared" si="83"/>
        <v>9.1978258300535348E-4</v>
      </c>
      <c r="CD49" s="253">
        <f t="shared" si="62"/>
        <v>2.2000000000000009E-4</v>
      </c>
      <c r="CE49" s="255">
        <f t="shared" si="38"/>
        <v>2.2000000000000009E-2</v>
      </c>
      <c r="CG49" s="258" t="e">
        <f>((((IF($Q$5=0,$Q$6,$Q$5)))/(12*$Q$19))+(((3*$Q$15)/(2*IF($Q$5=0,$Q$6,$Q$5)*$U$5*$Q$19))*'IN-OUT'!$F$15))*'Burland damage classification'!CK49</f>
        <v>#DIV/0!</v>
      </c>
      <c r="CH49" s="262">
        <f>(1+(((IF($Q$5=0,$Q$6^2,$Q$5^2))*$U$5)/(18*$Q$15))*('IN-OUT'!$F$15^(-1)))*CL49</f>
        <v>1.9214577799160719E-3</v>
      </c>
      <c r="CI49" s="254" t="e">
        <f t="shared" si="15"/>
        <v>#DIV/0!</v>
      </c>
      <c r="CJ49" s="254" t="e">
        <f t="shared" si="39"/>
        <v>#DIV/0!</v>
      </c>
      <c r="CK49" s="254">
        <f t="shared" si="63"/>
        <v>1.7799999999999986E-3</v>
      </c>
      <c r="CL49" s="270">
        <f t="shared" si="16"/>
        <v>1.9214577799160719E-3</v>
      </c>
      <c r="CM49" s="253">
        <f t="shared" si="64"/>
        <v>2.2000000000000009E-4</v>
      </c>
      <c r="CN49" s="255">
        <f t="shared" si="40"/>
        <v>2.2000000000000009E-2</v>
      </c>
      <c r="CP49" s="258" t="e">
        <f>((((IF($R$5=0,$R$6,$R$5)))/(12*$R$19))+(((3*$R$15)/(2*IF($R$5=0,$R$6,$R$5)*$U$5*$R$19))*'IN-OUT'!$F$15))*'Burland damage classification'!CT49</f>
        <v>#DIV/0!</v>
      </c>
      <c r="CQ49" s="262">
        <f>(1+(((IF($R$5=0,$R$6^2,$R$5^2))*$U$5)/(18*$R$15))*('IN-OUT'!$F$15^(-1)))*CU49</f>
        <v>2.4449494427856327E-4</v>
      </c>
      <c r="CR49" s="262" t="e">
        <f t="shared" si="84"/>
        <v>#DIV/0!</v>
      </c>
      <c r="CS49" s="262" t="e">
        <f t="shared" si="41"/>
        <v>#DIV/0!</v>
      </c>
      <c r="CT49" s="262">
        <f t="shared" si="65"/>
        <v>1.1333333333333342E-4</v>
      </c>
      <c r="CU49" s="270">
        <f t="shared" si="85"/>
        <v>2.4449494427856327E-4</v>
      </c>
      <c r="CV49" s="270">
        <f t="shared" si="66"/>
        <v>2.2000000000000009E-4</v>
      </c>
      <c r="CW49" s="271">
        <f t="shared" si="42"/>
        <v>2.2000000000000009E-2</v>
      </c>
      <c r="CY49" s="258" t="e">
        <f>((((IF($R$5=0,$R$6,$R$5)))/(12*$R$19))+(((3*$R$15)/(2*IF($R$5=0,$R$6,$R$5)*$U$5*$R$19))*'IN-OUT'!$F$15))*'Burland damage classification'!DC49</f>
        <v>#DIV/0!</v>
      </c>
      <c r="CZ49" s="262">
        <f>(1+(((IF($R$5=0,$R$6^2,$R$5^2))*$U$5)/(18*$R$15))*('IN-OUT'!$F$15^(-1)))*DD49</f>
        <v>4.1593268686170839E-4</v>
      </c>
      <c r="DA49" s="254" t="e">
        <f t="shared" si="19"/>
        <v>#DIV/0!</v>
      </c>
      <c r="DB49" s="254" t="e">
        <f t="shared" si="43"/>
        <v>#DIV/0!</v>
      </c>
      <c r="DC49" s="254">
        <f t="shared" si="67"/>
        <v>2.8000000000000063E-4</v>
      </c>
      <c r="DD49" s="253">
        <f t="shared" si="86"/>
        <v>4.1593268686170839E-4</v>
      </c>
      <c r="DE49" s="253">
        <f t="shared" si="68"/>
        <v>2.2000000000000009E-4</v>
      </c>
      <c r="DF49" s="255">
        <f t="shared" si="44"/>
        <v>2.2000000000000009E-2</v>
      </c>
      <c r="DH49" s="258" t="e">
        <f>((((IF($R$5=0,$R$6,$R$5)))/(12*$R$19))+(((3*$R$15)/(2*IF($R$5=0,$R$6,$R$5)*$U$5*$R$19))*'IN-OUT'!$F$15))*'Burland damage classification'!DL49</f>
        <v>#DIV/0!</v>
      </c>
      <c r="DI49" s="262">
        <f>(1+(((IF($R$5=0,$R$6^2,$R$5^2))*$U$5)/(18*$R$15))*('IN-OUT'!$F$15^(-1)))*DM49</f>
        <v>9.1978258300535348E-4</v>
      </c>
      <c r="DJ49" s="254" t="e">
        <f t="shared" si="21"/>
        <v>#DIV/0!</v>
      </c>
      <c r="DK49" s="254" t="e">
        <f t="shared" si="45"/>
        <v>#DIV/0!</v>
      </c>
      <c r="DL49" s="254">
        <f t="shared" si="69"/>
        <v>7.8000000000000031E-4</v>
      </c>
      <c r="DM49" s="253">
        <f t="shared" si="87"/>
        <v>9.1978258300535348E-4</v>
      </c>
      <c r="DN49" s="253">
        <f t="shared" si="70"/>
        <v>2.2000000000000009E-4</v>
      </c>
      <c r="DO49" s="255">
        <f t="shared" si="46"/>
        <v>2.2000000000000009E-2</v>
      </c>
      <c r="DQ49" s="258" t="e">
        <f>((((IF($R$5=0,$R$6,$R$5)))/(12*$R$19))+(((3*$R$15)/(2*IF($R$5=0,$R$6,$R$5)*$U$5*$R$19))*'IN-OUT'!$F$15))*'Burland damage classification'!DU49</f>
        <v>#DIV/0!</v>
      </c>
      <c r="DR49" s="262">
        <f>(1+(((IF($R$5=0,$R$6^2,$R$5^2))*$U$5)/(18*$R$15))*('IN-OUT'!$F$15^(-1)))*DV49</f>
        <v>1.9214577799160719E-3</v>
      </c>
      <c r="DS49" s="254" t="e">
        <f t="shared" si="23"/>
        <v>#DIV/0!</v>
      </c>
      <c r="DT49" s="254" t="e">
        <f t="shared" si="47"/>
        <v>#DIV/0!</v>
      </c>
      <c r="DU49" s="254">
        <f t="shared" si="71"/>
        <v>1.7799999999999986E-3</v>
      </c>
      <c r="DV49" s="270">
        <f t="shared" si="24"/>
        <v>1.9214577799160719E-3</v>
      </c>
      <c r="DW49" s="253">
        <f t="shared" si="72"/>
        <v>2.2000000000000009E-4</v>
      </c>
      <c r="DX49" s="255">
        <f t="shared" si="48"/>
        <v>2.2000000000000009E-2</v>
      </c>
      <c r="EA49" s="1237"/>
      <c r="EK49" s="340"/>
      <c r="EL49" s="340"/>
      <c r="EM49" s="340"/>
      <c r="FE49" s="681"/>
      <c r="FF49" s="681"/>
    </row>
    <row r="50" spans="22:162" ht="13.8" thickBot="1">
      <c r="V50" s="258">
        <f>(((IF($P$5&lt;&gt;0,$P$5,IF($P$6&lt;&gt;0,$P$6,IF($P$7&lt;&gt;0,$P$7,0))))/(12*$P$19))+(((3*$P$15)/(2*(IF($P$5&lt;&gt;0,$P$5,IF($P$6&lt;&gt;0,$P$6,IF($P$7&lt;&gt;0,$P$7,0))))*$U$5*$P$19))*'IN-OUT'!$F$15))*'Burland damage classification'!Z50</f>
        <v>3.4241624283810142E-4</v>
      </c>
      <c r="W50" s="262">
        <f>(1+(((IF($P$5&lt;&gt;0,$P$5^2,IF($P$6&lt;&gt;0,$P$6^2,IF($P$7&lt;&gt;0,$P$7^2))))*$U$5)/(18*$P$15))*('IN-OUT'!$F$15^(-1)))*AA50</f>
        <v>2.5490261253981238E-4</v>
      </c>
      <c r="X50" s="262">
        <f t="shared" si="73"/>
        <v>2.5490261253981238E-4</v>
      </c>
      <c r="Y50" s="262">
        <f t="shared" si="25"/>
        <v>2.5490261253981239E-2</v>
      </c>
      <c r="Z50" s="916">
        <f t="shared" si="49"/>
        <v>1.0666666666666676E-4</v>
      </c>
      <c r="AA50" s="270">
        <f t="shared" si="74"/>
        <v>2.4129281427805139E-4</v>
      </c>
      <c r="AB50" s="270">
        <f t="shared" si="50"/>
        <v>2.2666666666666676E-4</v>
      </c>
      <c r="AC50" s="271">
        <f t="shared" si="26"/>
        <v>2.2666666666666675E-2</v>
      </c>
      <c r="AE50" s="258">
        <f>(((IF($P$5&lt;&gt;0,$P$5,IF($P$6&lt;&gt;0,$P$6,IF($P$7&lt;&gt;0,$P$7,0))))/(12*$P$19))+(((3*$P$15)/(2*(IF($P$5&lt;&gt;0,$P$5,IF($P$6&lt;&gt;0,$P$6,IF($P$7&lt;&gt;0,$P$7,0))))*$U$5*$P$19))*'IN-OUT'!$F$15))*'Burland damage classification'!AI50</f>
        <v>8.7744162227263616E-4</v>
      </c>
      <c r="AF50" s="254">
        <f>(1+(((IF($P$5&lt;&gt;0,$P$5^2,IF($P$6&lt;&gt;0,$P$6^2,IF($P$7&lt;&gt;0,$P$7^2))))*$U$5)/(18*$P$15))*('IN-OUT'!$F$15^(-1)))*AJ50</f>
        <v>4.3641960411196272E-4</v>
      </c>
      <c r="AG50" s="254">
        <f t="shared" si="75"/>
        <v>4.3641960411196272E-4</v>
      </c>
      <c r="AH50" s="254">
        <f t="shared" si="27"/>
        <v>4.3641960411196272E-2</v>
      </c>
      <c r="AI50" s="254">
        <f t="shared" si="51"/>
        <v>2.7333333333333398E-4</v>
      </c>
      <c r="AJ50" s="253">
        <f t="shared" si="76"/>
        <v>4.1311822359545771E-4</v>
      </c>
      <c r="AK50" s="253">
        <f t="shared" si="52"/>
        <v>2.2666666666666676E-4</v>
      </c>
      <c r="AL50" s="255">
        <f t="shared" si="28"/>
        <v>2.2666666666666675E-2</v>
      </c>
      <c r="AN50" s="258">
        <f>(((IF($P$5&lt;&gt;0,$P$5,IF($P$6&lt;&gt;0,$P$6,IF($P$7&lt;&gt;0,$P$7,0))))/(12*$P$19))+(((3*$P$15)/(2*(IF($P$5&lt;&gt;0,$P$5,IF($P$6&lt;&gt;0,$P$6,IF($P$7&lt;&gt;0,$P$7,0))))*$U$5*$P$19))*'IN-OUT'!$F$15))*'Burland damage classification'!AR50</f>
        <v>2.482517760576234E-3</v>
      </c>
      <c r="AO50" s="254">
        <f>(1+(((IF($P$5&lt;&gt;0,$P$5^2,IF($P$6&lt;&gt;0,$P$6^2,IF($P$7&lt;&gt;0,$P$7^2))))*$U$5)/(18*$P$15))*('IN-OUT'!$F$15^(-1)))*AS50</f>
        <v>9.6897806472042651E-4</v>
      </c>
      <c r="AP50" s="254">
        <f t="shared" si="77"/>
        <v>9.6897806472042651E-4</v>
      </c>
      <c r="AQ50" s="254">
        <f t="shared" si="29"/>
        <v>9.6897806472042644E-2</v>
      </c>
      <c r="AR50" s="254">
        <f t="shared" si="53"/>
        <v>7.7333333333333366E-4</v>
      </c>
      <c r="AS50" s="253">
        <f t="shared" si="78"/>
        <v>9.1724224353947697E-4</v>
      </c>
      <c r="AT50" s="253">
        <f t="shared" si="54"/>
        <v>2.2666666666666676E-4</v>
      </c>
      <c r="AU50" s="255">
        <f t="shared" si="30"/>
        <v>2.2666666666666675E-2</v>
      </c>
      <c r="AW50" s="258">
        <f>(((IF($P$5&lt;&gt;0,$P$5,IF($P$6&lt;&gt;0,$P$6,IF($P$7&lt;&gt;0,$P$7,0))))/(12*$P$19))+(((3*$P$15)/(2*(IF($P$5&lt;&gt;0,$P$5,IF($P$6&lt;&gt;0,$P$6,IF($P$7&lt;&gt;0,$P$7,0))))*$U$5*$P$19))*'IN-OUT'!$F$15))*'Burland damage classification'!BA50</f>
        <v>5.692670037183426E-3</v>
      </c>
      <c r="AX50" s="254">
        <f>(1+(((IF($P$5&lt;&gt;0,$P$5^2,IF($P$6&lt;&gt;0,$P$6^2,IF($P$7&lt;&gt;0,$P$7^2))))*$U$5)/(18*$P$15))*('IN-OUT'!$F$15^(-1)))*BB50</f>
        <v>2.0272677111398286E-3</v>
      </c>
      <c r="AY50" s="254">
        <f t="shared" si="79"/>
        <v>2.0272677111398286E-3</v>
      </c>
      <c r="AZ50" s="254">
        <f t="shared" si="31"/>
        <v>0.20272677111398285</v>
      </c>
      <c r="BA50" s="254">
        <f t="shared" si="55"/>
        <v>1.7733333333333318E-3</v>
      </c>
      <c r="BB50" s="270">
        <f t="shared" si="8"/>
        <v>1.9190275315030441E-3</v>
      </c>
      <c r="BC50" s="253">
        <f t="shared" si="56"/>
        <v>2.2666666666666676E-4</v>
      </c>
      <c r="BD50" s="255">
        <f t="shared" si="32"/>
        <v>2.2666666666666675E-2</v>
      </c>
      <c r="BF50" s="258" t="e">
        <f>((((IF($Q$5=0,$Q$6,$Q$5)))/(12*$Q$19))+(((3*$Q$15)/(2*IF($Q$5=0,$Q$6,$Q$5)*$U$5*$Q$19))*'IN-OUT'!$F$15))*'Burland damage classification'!BJ50</f>
        <v>#DIV/0!</v>
      </c>
      <c r="BG50" s="262">
        <f>(1+(((IF($Q$5=0,$Q$6^2,$Q$5^2))*$U$5)/(18*$Q$15))*('IN-OUT'!$F$15^(-1)))*BK50</f>
        <v>2.4129281427805139E-4</v>
      </c>
      <c r="BH50" s="262" t="e">
        <f t="shared" si="80"/>
        <v>#DIV/0!</v>
      </c>
      <c r="BI50" s="262" t="e">
        <f t="shared" si="33"/>
        <v>#DIV/0!</v>
      </c>
      <c r="BJ50" s="262">
        <f t="shared" si="57"/>
        <v>1.0666666666666676E-4</v>
      </c>
      <c r="BK50" s="270">
        <f t="shared" si="81"/>
        <v>2.4129281427805139E-4</v>
      </c>
      <c r="BL50" s="270">
        <f t="shared" si="58"/>
        <v>2.2666666666666676E-4</v>
      </c>
      <c r="BM50" s="271">
        <f t="shared" si="34"/>
        <v>2.2666666666666675E-2</v>
      </c>
      <c r="BO50" s="258" t="e">
        <f>((((IF($Q$5=0,$Q$6,$Q$5)))/(12*$Q$19))+(((3*$Q$15)/(2*IF($Q$5=0,$Q$6,$Q$5)*$U$5*$Q$19))*'IN-OUT'!$F$15))*'Burland damage classification'!BS50</f>
        <v>#DIV/0!</v>
      </c>
      <c r="BP50" s="262">
        <f>(1+(((IF($Q$5=0,$Q$6^2,$Q$5^2))*$U$5)/(18*$Q$15))*('IN-OUT'!$F$15^(-1)))*BT50</f>
        <v>4.1311822359545771E-4</v>
      </c>
      <c r="BQ50" s="254" t="e">
        <f t="shared" si="11"/>
        <v>#DIV/0!</v>
      </c>
      <c r="BR50" s="254" t="e">
        <f t="shared" si="35"/>
        <v>#DIV/0!</v>
      </c>
      <c r="BS50" s="254">
        <f t="shared" si="59"/>
        <v>2.7333333333333398E-4</v>
      </c>
      <c r="BT50" s="253">
        <f t="shared" si="82"/>
        <v>4.1311822359545771E-4</v>
      </c>
      <c r="BU50" s="253">
        <f t="shared" si="60"/>
        <v>2.2666666666666676E-4</v>
      </c>
      <c r="BV50" s="255">
        <f t="shared" si="36"/>
        <v>2.2666666666666675E-2</v>
      </c>
      <c r="BX50" s="258" t="e">
        <f>((((IF($Q$5=0,$Q$6,$Q$5)))/(12*$Q$19))+(((3*$Q$15)/(2*IF($Q$5=0,$Q$6,$Q$5)*$U$5*$Q$19))*'IN-OUT'!$F$15))*'Burland damage classification'!CB50</f>
        <v>#DIV/0!</v>
      </c>
      <c r="BY50" s="262">
        <f>(1+(((IF($Q$5=0,$Q$6^2,$Q$5^2))*$U$5)/(18*$Q$15))*('IN-OUT'!$F$15^(-1)))*CC50</f>
        <v>9.1724224353947697E-4</v>
      </c>
      <c r="BZ50" s="254" t="e">
        <f t="shared" si="13"/>
        <v>#DIV/0!</v>
      </c>
      <c r="CA50" s="254" t="e">
        <f t="shared" si="37"/>
        <v>#DIV/0!</v>
      </c>
      <c r="CB50" s="254">
        <f t="shared" si="61"/>
        <v>7.7333333333333366E-4</v>
      </c>
      <c r="CC50" s="253">
        <f t="shared" si="83"/>
        <v>9.1724224353947697E-4</v>
      </c>
      <c r="CD50" s="253">
        <f t="shared" si="62"/>
        <v>2.2666666666666676E-4</v>
      </c>
      <c r="CE50" s="255">
        <f t="shared" si="38"/>
        <v>2.2666666666666675E-2</v>
      </c>
      <c r="CG50" s="258" t="e">
        <f>((((IF($Q$5=0,$Q$6,$Q$5)))/(12*$Q$19))+(((3*$Q$15)/(2*IF($Q$5=0,$Q$6,$Q$5)*$U$5*$Q$19))*'IN-OUT'!$F$15))*'Burland damage classification'!CK50</f>
        <v>#DIV/0!</v>
      </c>
      <c r="CH50" s="262">
        <f>(1+(((IF($Q$5=0,$Q$6^2,$Q$5^2))*$U$5)/(18*$Q$15))*('IN-OUT'!$F$15^(-1)))*CL50</f>
        <v>1.9190275315030441E-3</v>
      </c>
      <c r="CI50" s="254" t="e">
        <f t="shared" si="15"/>
        <v>#DIV/0!</v>
      </c>
      <c r="CJ50" s="254" t="e">
        <f t="shared" si="39"/>
        <v>#DIV/0!</v>
      </c>
      <c r="CK50" s="254">
        <f t="shared" si="63"/>
        <v>1.7733333333333318E-3</v>
      </c>
      <c r="CL50" s="270">
        <f t="shared" si="16"/>
        <v>1.9190275315030441E-3</v>
      </c>
      <c r="CM50" s="253">
        <f t="shared" si="64"/>
        <v>2.2666666666666676E-4</v>
      </c>
      <c r="CN50" s="255">
        <f t="shared" si="40"/>
        <v>2.2666666666666675E-2</v>
      </c>
      <c r="CP50" s="258" t="e">
        <f>((((IF($R$5=0,$R$6,$R$5)))/(12*$R$19))+(((3*$R$15)/(2*IF($R$5=0,$R$6,$R$5)*$U$5*$R$19))*'IN-OUT'!$F$15))*'Burland damage classification'!CT50</f>
        <v>#DIV/0!</v>
      </c>
      <c r="CQ50" s="262">
        <f>(1+(((IF($R$5=0,$R$6^2,$R$5^2))*$U$5)/(18*$R$15))*('IN-OUT'!$F$15^(-1)))*CU50</f>
        <v>2.4129281427805139E-4</v>
      </c>
      <c r="CR50" s="262" t="e">
        <f t="shared" si="84"/>
        <v>#DIV/0!</v>
      </c>
      <c r="CS50" s="262" t="e">
        <f t="shared" si="41"/>
        <v>#DIV/0!</v>
      </c>
      <c r="CT50" s="262">
        <f t="shared" si="65"/>
        <v>1.0666666666666676E-4</v>
      </c>
      <c r="CU50" s="270">
        <f t="shared" si="85"/>
        <v>2.4129281427805139E-4</v>
      </c>
      <c r="CV50" s="270">
        <f t="shared" si="66"/>
        <v>2.2666666666666676E-4</v>
      </c>
      <c r="CW50" s="271">
        <f t="shared" si="42"/>
        <v>2.2666666666666675E-2</v>
      </c>
      <c r="CY50" s="258" t="e">
        <f>((((IF($R$5=0,$R$6,$R$5)))/(12*$R$19))+(((3*$R$15)/(2*IF($R$5=0,$R$6,$R$5)*$U$5*$R$19))*'IN-OUT'!$F$15))*'Burland damage classification'!DC50</f>
        <v>#DIV/0!</v>
      </c>
      <c r="CZ50" s="262">
        <f>(1+(((IF($R$5=0,$R$6^2,$R$5^2))*$U$5)/(18*$R$15))*('IN-OUT'!$F$15^(-1)))*DD50</f>
        <v>4.1311822359545771E-4</v>
      </c>
      <c r="DA50" s="254" t="e">
        <f t="shared" si="19"/>
        <v>#DIV/0!</v>
      </c>
      <c r="DB50" s="254" t="e">
        <f t="shared" si="43"/>
        <v>#DIV/0!</v>
      </c>
      <c r="DC50" s="254">
        <f t="shared" si="67"/>
        <v>2.7333333333333398E-4</v>
      </c>
      <c r="DD50" s="253">
        <f t="shared" si="86"/>
        <v>4.1311822359545771E-4</v>
      </c>
      <c r="DE50" s="253">
        <f t="shared" si="68"/>
        <v>2.2666666666666676E-4</v>
      </c>
      <c r="DF50" s="255">
        <f t="shared" si="44"/>
        <v>2.2666666666666675E-2</v>
      </c>
      <c r="DH50" s="258" t="e">
        <f>((((IF($R$5=0,$R$6,$R$5)))/(12*$R$19))+(((3*$R$15)/(2*IF($R$5=0,$R$6,$R$5)*$U$5*$R$19))*'IN-OUT'!$F$15))*'Burland damage classification'!DL50</f>
        <v>#DIV/0!</v>
      </c>
      <c r="DI50" s="262">
        <f>(1+(((IF($R$5=0,$R$6^2,$R$5^2))*$U$5)/(18*$R$15))*('IN-OUT'!$F$15^(-1)))*DM50</f>
        <v>9.1724224353947697E-4</v>
      </c>
      <c r="DJ50" s="254" t="e">
        <f t="shared" si="21"/>
        <v>#DIV/0!</v>
      </c>
      <c r="DK50" s="254" t="e">
        <f t="shared" si="45"/>
        <v>#DIV/0!</v>
      </c>
      <c r="DL50" s="254">
        <f t="shared" si="69"/>
        <v>7.7333333333333366E-4</v>
      </c>
      <c r="DM50" s="253">
        <f t="shared" si="87"/>
        <v>9.1724224353947697E-4</v>
      </c>
      <c r="DN50" s="253">
        <f t="shared" si="70"/>
        <v>2.2666666666666676E-4</v>
      </c>
      <c r="DO50" s="255">
        <f t="shared" si="46"/>
        <v>2.2666666666666675E-2</v>
      </c>
      <c r="DQ50" s="258" t="e">
        <f>((((IF($R$5=0,$R$6,$R$5)))/(12*$R$19))+(((3*$R$15)/(2*IF($R$5=0,$R$6,$R$5)*$U$5*$R$19))*'IN-OUT'!$F$15))*'Burland damage classification'!DU50</f>
        <v>#DIV/0!</v>
      </c>
      <c r="DR50" s="262">
        <f>(1+(((IF($R$5=0,$R$6^2,$R$5^2))*$U$5)/(18*$R$15))*('IN-OUT'!$F$15^(-1)))*DV50</f>
        <v>1.9190275315030441E-3</v>
      </c>
      <c r="DS50" s="254" t="e">
        <f t="shared" si="23"/>
        <v>#DIV/0!</v>
      </c>
      <c r="DT50" s="254" t="e">
        <f t="shared" si="47"/>
        <v>#DIV/0!</v>
      </c>
      <c r="DU50" s="254">
        <f t="shared" si="71"/>
        <v>1.7733333333333318E-3</v>
      </c>
      <c r="DV50" s="270">
        <f t="shared" si="24"/>
        <v>1.9190275315030441E-3</v>
      </c>
      <c r="DW50" s="253">
        <f t="shared" si="72"/>
        <v>2.2666666666666676E-4</v>
      </c>
      <c r="DX50" s="255">
        <f t="shared" si="48"/>
        <v>2.2666666666666675E-2</v>
      </c>
      <c r="EA50" s="1237"/>
      <c r="ED50" s="1181" t="s">
        <v>22</v>
      </c>
      <c r="EE50" s="1182"/>
      <c r="EF50" s="1183"/>
      <c r="EG50" s="1184" t="s">
        <v>23</v>
      </c>
      <c r="EH50" s="1182"/>
      <c r="EI50" s="1183"/>
      <c r="EK50" s="1232" t="s">
        <v>246</v>
      </c>
      <c r="EL50" s="1233"/>
      <c r="EM50" s="1234"/>
      <c r="EO50" s="430"/>
      <c r="FE50" s="681"/>
      <c r="FF50" s="681"/>
    </row>
    <row r="51" spans="22:162" ht="13.8" thickBot="1">
      <c r="V51" s="258">
        <f>(((IF($P$5&lt;&gt;0,$P$5,IF($P$6&lt;&gt;0,$P$6,IF($P$7&lt;&gt;0,$P$7,0))))/(12*$P$19))+(((3*$P$15)/(2*(IF($P$5&lt;&gt;0,$P$5,IF($P$6&lt;&gt;0,$P$6,IF($P$7&lt;&gt;0,$P$7,0))))*$U$5*$P$19))*'IN-OUT'!$F$15))*'Burland damage classification'!Z51</f>
        <v>3.210152276607201E-4</v>
      </c>
      <c r="W51" s="262">
        <f>(1+(((IF($P$5&lt;&gt;0,$P$5^2,IF($P$6&lt;&gt;0,$P$6^2,IF($P$7&lt;&gt;0,$P$7^2))))*$U$5)/(18*$P$15))*('IN-OUT'!$F$15^(-1)))*AA51</f>
        <v>2.5147437138402511E-4</v>
      </c>
      <c r="X51" s="262">
        <f t="shared" si="73"/>
        <v>2.5147437138402511E-4</v>
      </c>
      <c r="Y51" s="262">
        <f t="shared" si="25"/>
        <v>2.514743713840251E-2</v>
      </c>
      <c r="Z51" s="916">
        <f t="shared" si="49"/>
        <v>1.000000000000001E-4</v>
      </c>
      <c r="AA51" s="270">
        <f t="shared" si="74"/>
        <v>2.3804761428476161E-4</v>
      </c>
      <c r="AB51" s="270">
        <f t="shared" si="50"/>
        <v>2.3333333333333344E-4</v>
      </c>
      <c r="AC51" s="271">
        <f t="shared" si="26"/>
        <v>2.3333333333333345E-2</v>
      </c>
      <c r="AE51" s="258">
        <f>(((IF($P$5&lt;&gt;0,$P$5,IF($P$6&lt;&gt;0,$P$6,IF($P$7&lt;&gt;0,$P$7,0))))/(12*$P$19))+(((3*$P$15)/(2*(IF($P$5&lt;&gt;0,$P$5,IF($P$6&lt;&gt;0,$P$6,IF($P$7&lt;&gt;0,$P$7,0))))*$U$5*$P$19))*'IN-OUT'!$F$15))*'Burland damage classification'!AI51</f>
        <v>8.560406070952549E-4</v>
      </c>
      <c r="AF51" s="254">
        <f>(1+(((IF($P$5&lt;&gt;0,$P$5^2,IF($P$6&lt;&gt;0,$P$6^2,IF($P$7&lt;&gt;0,$P$7^2))))*$U$5)/(18*$P$15))*('IN-OUT'!$F$15^(-1)))*AJ51</f>
        <v>4.3342599971424837E-4</v>
      </c>
      <c r="AG51" s="254">
        <f t="shared" si="75"/>
        <v>4.3342599971424837E-4</v>
      </c>
      <c r="AH51" s="254">
        <f t="shared" si="27"/>
        <v>4.3342599971424839E-2</v>
      </c>
      <c r="AI51" s="254">
        <f t="shared" si="51"/>
        <v>2.6666666666666733E-4</v>
      </c>
      <c r="AJ51" s="253">
        <f t="shared" si="76"/>
        <v>4.1028445416970566E-4</v>
      </c>
      <c r="AK51" s="253">
        <f t="shared" si="52"/>
        <v>2.3333333333333344E-4</v>
      </c>
      <c r="AL51" s="255">
        <f t="shared" si="28"/>
        <v>2.3333333333333345E-2</v>
      </c>
      <c r="AN51" s="258">
        <f>(((IF($P$5&lt;&gt;0,$P$5,IF($P$6&lt;&gt;0,$P$6,IF($P$7&lt;&gt;0,$P$7,0))))/(12*$P$19))+(((3*$P$15)/(2*(IF($P$5&lt;&gt;0,$P$5,IF($P$6&lt;&gt;0,$P$6,IF($P$7&lt;&gt;0,$P$7,0))))*$U$5*$P$19))*'IN-OUT'!$F$15))*'Burland damage classification'!AR51</f>
        <v>2.4611167453988531E-3</v>
      </c>
      <c r="AO51" s="254">
        <f>(1+(((IF($P$5&lt;&gt;0,$P$5^2,IF($P$6&lt;&gt;0,$P$6^2,IF($P$7&lt;&gt;0,$P$7^2))))*$U$5)/(18*$P$15))*('IN-OUT'!$F$15^(-1)))*AS51</f>
        <v>9.662869877316209E-4</v>
      </c>
      <c r="AP51" s="254">
        <f t="shared" si="77"/>
        <v>9.662869877316209E-4</v>
      </c>
      <c r="AQ51" s="254">
        <f t="shared" si="29"/>
        <v>9.6628698773162089E-2</v>
      </c>
      <c r="AR51" s="254">
        <f t="shared" si="53"/>
        <v>7.6666666666666702E-4</v>
      </c>
      <c r="AS51" s="253">
        <f t="shared" si="78"/>
        <v>9.1469484893414951E-4</v>
      </c>
      <c r="AT51" s="253">
        <f t="shared" si="54"/>
        <v>2.3333333333333344E-4</v>
      </c>
      <c r="AU51" s="255">
        <f t="shared" si="30"/>
        <v>2.3333333333333345E-2</v>
      </c>
      <c r="AW51" s="258">
        <f>(((IF($P$5&lt;&gt;0,$P$5,IF($P$6&lt;&gt;0,$P$6,IF($P$7&lt;&gt;0,$P$7,0))))/(12*$P$19))+(((3*$P$15)/(2*(IF($P$5&lt;&gt;0,$P$5,IF($P$6&lt;&gt;0,$P$6,IF($P$7&lt;&gt;0,$P$7,0))))*$U$5*$P$19))*'IN-OUT'!$F$15))*'Burland damage classification'!BA51</f>
        <v>5.6712690220060442E-3</v>
      </c>
      <c r="AX51" s="254">
        <f>(1+(((IF($P$5&lt;&gt;0,$P$5^2,IF($P$6&lt;&gt;0,$P$6^2,IF($P$7&lt;&gt;0,$P$7^2))))*$U$5)/(18*$P$15))*('IN-OUT'!$F$15^(-1)))*BB51</f>
        <v>2.024697132444834E-3</v>
      </c>
      <c r="AY51" s="254">
        <f t="shared" si="79"/>
        <v>2.024697132444834E-3</v>
      </c>
      <c r="AZ51" s="254">
        <f t="shared" si="31"/>
        <v>0.2024697132444834</v>
      </c>
      <c r="BA51" s="254">
        <f t="shared" si="55"/>
        <v>1.7666666666666651E-3</v>
      </c>
      <c r="BB51" s="270">
        <f t="shared" si="8"/>
        <v>1.9165942015286733E-3</v>
      </c>
      <c r="BC51" s="253">
        <f t="shared" si="56"/>
        <v>2.3333333333333344E-4</v>
      </c>
      <c r="BD51" s="255">
        <f t="shared" si="32"/>
        <v>2.3333333333333345E-2</v>
      </c>
      <c r="BF51" s="258" t="e">
        <f>((((IF($Q$5=0,$Q$6,$Q$5)))/(12*$Q$19))+(((3*$Q$15)/(2*IF($Q$5=0,$Q$6,$Q$5)*$U$5*$Q$19))*'IN-OUT'!$F$15))*'Burland damage classification'!BJ51</f>
        <v>#DIV/0!</v>
      </c>
      <c r="BG51" s="262">
        <f>(1+(((IF($Q$5=0,$Q$6^2,$Q$5^2))*$U$5)/(18*$Q$15))*('IN-OUT'!$F$15^(-1)))*BK51</f>
        <v>2.3804761428476161E-4</v>
      </c>
      <c r="BH51" s="262" t="e">
        <f t="shared" si="80"/>
        <v>#DIV/0!</v>
      </c>
      <c r="BI51" s="262" t="e">
        <f t="shared" si="33"/>
        <v>#DIV/0!</v>
      </c>
      <c r="BJ51" s="262">
        <f t="shared" si="57"/>
        <v>1.000000000000001E-4</v>
      </c>
      <c r="BK51" s="270">
        <f t="shared" si="81"/>
        <v>2.3804761428476161E-4</v>
      </c>
      <c r="BL51" s="270">
        <f t="shared" si="58"/>
        <v>2.3333333333333344E-4</v>
      </c>
      <c r="BM51" s="271">
        <f t="shared" si="34"/>
        <v>2.3333333333333345E-2</v>
      </c>
      <c r="BO51" s="258" t="e">
        <f>((((IF($Q$5=0,$Q$6,$Q$5)))/(12*$Q$19))+(((3*$Q$15)/(2*IF($Q$5=0,$Q$6,$Q$5)*$U$5*$Q$19))*'IN-OUT'!$F$15))*'Burland damage classification'!BS51</f>
        <v>#DIV/0!</v>
      </c>
      <c r="BP51" s="262">
        <f>(1+(((IF($Q$5=0,$Q$6^2,$Q$5^2))*$U$5)/(18*$Q$15))*('IN-OUT'!$F$15^(-1)))*BT51</f>
        <v>4.1028445416970566E-4</v>
      </c>
      <c r="BQ51" s="254" t="e">
        <f t="shared" si="11"/>
        <v>#DIV/0!</v>
      </c>
      <c r="BR51" s="254" t="e">
        <f t="shared" si="35"/>
        <v>#DIV/0!</v>
      </c>
      <c r="BS51" s="254">
        <f t="shared" si="59"/>
        <v>2.6666666666666733E-4</v>
      </c>
      <c r="BT51" s="253">
        <f t="shared" si="82"/>
        <v>4.1028445416970566E-4</v>
      </c>
      <c r="BU51" s="253">
        <f t="shared" si="60"/>
        <v>2.3333333333333344E-4</v>
      </c>
      <c r="BV51" s="255">
        <f t="shared" si="36"/>
        <v>2.3333333333333345E-2</v>
      </c>
      <c r="BX51" s="258" t="e">
        <f>((((IF($Q$5=0,$Q$6,$Q$5)))/(12*$Q$19))+(((3*$Q$15)/(2*IF($Q$5=0,$Q$6,$Q$5)*$U$5*$Q$19))*'IN-OUT'!$F$15))*'Burland damage classification'!CB51</f>
        <v>#DIV/0!</v>
      </c>
      <c r="BY51" s="262">
        <f>(1+(((IF($Q$5=0,$Q$6^2,$Q$5^2))*$U$5)/(18*$Q$15))*('IN-OUT'!$F$15^(-1)))*CC51</f>
        <v>9.1469484893414951E-4</v>
      </c>
      <c r="BZ51" s="254" t="e">
        <f t="shared" si="13"/>
        <v>#DIV/0!</v>
      </c>
      <c r="CA51" s="254" t="e">
        <f t="shared" si="37"/>
        <v>#DIV/0!</v>
      </c>
      <c r="CB51" s="254">
        <f t="shared" si="61"/>
        <v>7.6666666666666702E-4</v>
      </c>
      <c r="CC51" s="253">
        <f t="shared" si="83"/>
        <v>9.1469484893414951E-4</v>
      </c>
      <c r="CD51" s="253">
        <f t="shared" si="62"/>
        <v>2.3333333333333344E-4</v>
      </c>
      <c r="CE51" s="255">
        <f t="shared" si="38"/>
        <v>2.3333333333333345E-2</v>
      </c>
      <c r="CG51" s="258" t="e">
        <f>((((IF($Q$5=0,$Q$6,$Q$5)))/(12*$Q$19))+(((3*$Q$15)/(2*IF($Q$5=0,$Q$6,$Q$5)*$U$5*$Q$19))*'IN-OUT'!$F$15))*'Burland damage classification'!CK51</f>
        <v>#DIV/0!</v>
      </c>
      <c r="CH51" s="262">
        <f>(1+(((IF($Q$5=0,$Q$6^2,$Q$5^2))*$U$5)/(18*$Q$15))*('IN-OUT'!$F$15^(-1)))*CL51</f>
        <v>1.9165942015286733E-3</v>
      </c>
      <c r="CI51" s="254" t="e">
        <f t="shared" si="15"/>
        <v>#DIV/0!</v>
      </c>
      <c r="CJ51" s="254" t="e">
        <f t="shared" si="39"/>
        <v>#DIV/0!</v>
      </c>
      <c r="CK51" s="254">
        <f t="shared" si="63"/>
        <v>1.7666666666666651E-3</v>
      </c>
      <c r="CL51" s="270">
        <f t="shared" si="16"/>
        <v>1.9165942015286733E-3</v>
      </c>
      <c r="CM51" s="253">
        <f t="shared" si="64"/>
        <v>2.3333333333333344E-4</v>
      </c>
      <c r="CN51" s="255">
        <f t="shared" si="40"/>
        <v>2.3333333333333345E-2</v>
      </c>
      <c r="CP51" s="258" t="e">
        <f>((((IF($R$5=0,$R$6,$R$5)))/(12*$R$19))+(((3*$R$15)/(2*IF($R$5=0,$R$6,$R$5)*$U$5*$R$19))*'IN-OUT'!$F$15))*'Burland damage classification'!CT51</f>
        <v>#DIV/0!</v>
      </c>
      <c r="CQ51" s="262">
        <f>(1+(((IF($R$5=0,$R$6^2,$R$5^2))*$U$5)/(18*$R$15))*('IN-OUT'!$F$15^(-1)))*CU51</f>
        <v>2.3804761428476161E-4</v>
      </c>
      <c r="CR51" s="262" t="e">
        <f t="shared" si="84"/>
        <v>#DIV/0!</v>
      </c>
      <c r="CS51" s="262" t="e">
        <f t="shared" si="41"/>
        <v>#DIV/0!</v>
      </c>
      <c r="CT51" s="262">
        <f t="shared" si="65"/>
        <v>1.000000000000001E-4</v>
      </c>
      <c r="CU51" s="270">
        <f t="shared" si="85"/>
        <v>2.3804761428476161E-4</v>
      </c>
      <c r="CV51" s="270">
        <f t="shared" si="66"/>
        <v>2.3333333333333344E-4</v>
      </c>
      <c r="CW51" s="271">
        <f t="shared" si="42"/>
        <v>2.3333333333333345E-2</v>
      </c>
      <c r="CY51" s="258" t="e">
        <f>((((IF($R$5=0,$R$6,$R$5)))/(12*$R$19))+(((3*$R$15)/(2*IF($R$5=0,$R$6,$R$5)*$U$5*$R$19))*'IN-OUT'!$F$15))*'Burland damage classification'!DC51</f>
        <v>#DIV/0!</v>
      </c>
      <c r="CZ51" s="262">
        <f>(1+(((IF($R$5=0,$R$6^2,$R$5^2))*$U$5)/(18*$R$15))*('IN-OUT'!$F$15^(-1)))*DD51</f>
        <v>4.1028445416970566E-4</v>
      </c>
      <c r="DA51" s="254" t="e">
        <f t="shared" si="19"/>
        <v>#DIV/0!</v>
      </c>
      <c r="DB51" s="254" t="e">
        <f t="shared" si="43"/>
        <v>#DIV/0!</v>
      </c>
      <c r="DC51" s="254">
        <f t="shared" si="67"/>
        <v>2.6666666666666733E-4</v>
      </c>
      <c r="DD51" s="253">
        <f t="shared" si="86"/>
        <v>4.1028445416970566E-4</v>
      </c>
      <c r="DE51" s="253">
        <f t="shared" si="68"/>
        <v>2.3333333333333344E-4</v>
      </c>
      <c r="DF51" s="255">
        <f t="shared" si="44"/>
        <v>2.3333333333333345E-2</v>
      </c>
      <c r="DH51" s="258" t="e">
        <f>((((IF($R$5=0,$R$6,$R$5)))/(12*$R$19))+(((3*$R$15)/(2*IF($R$5=0,$R$6,$R$5)*$U$5*$R$19))*'IN-OUT'!$F$15))*'Burland damage classification'!DL51</f>
        <v>#DIV/0!</v>
      </c>
      <c r="DI51" s="262">
        <f>(1+(((IF($R$5=0,$R$6^2,$R$5^2))*$U$5)/(18*$R$15))*('IN-OUT'!$F$15^(-1)))*DM51</f>
        <v>9.1469484893414951E-4</v>
      </c>
      <c r="DJ51" s="254" t="e">
        <f t="shared" si="21"/>
        <v>#DIV/0!</v>
      </c>
      <c r="DK51" s="254" t="e">
        <f t="shared" si="45"/>
        <v>#DIV/0!</v>
      </c>
      <c r="DL51" s="254">
        <f t="shared" si="69"/>
        <v>7.6666666666666702E-4</v>
      </c>
      <c r="DM51" s="253">
        <f t="shared" si="87"/>
        <v>9.1469484893414951E-4</v>
      </c>
      <c r="DN51" s="253">
        <f t="shared" si="70"/>
        <v>2.3333333333333344E-4</v>
      </c>
      <c r="DO51" s="255">
        <f t="shared" si="46"/>
        <v>2.3333333333333345E-2</v>
      </c>
      <c r="DQ51" s="258" t="e">
        <f>((((IF($R$5=0,$R$6,$R$5)))/(12*$R$19))+(((3*$R$15)/(2*IF($R$5=0,$R$6,$R$5)*$U$5*$R$19))*'IN-OUT'!$F$15))*'Burland damage classification'!DU51</f>
        <v>#DIV/0!</v>
      </c>
      <c r="DR51" s="262">
        <f>(1+(((IF($R$5=0,$R$6^2,$R$5^2))*$U$5)/(18*$R$15))*('IN-OUT'!$F$15^(-1)))*DV51</f>
        <v>1.9165942015286733E-3</v>
      </c>
      <c r="DS51" s="254" t="e">
        <f t="shared" si="23"/>
        <v>#DIV/0!</v>
      </c>
      <c r="DT51" s="254" t="e">
        <f t="shared" si="47"/>
        <v>#DIV/0!</v>
      </c>
      <c r="DU51" s="254">
        <f t="shared" si="71"/>
        <v>1.7666666666666651E-3</v>
      </c>
      <c r="DV51" s="270">
        <f t="shared" si="24"/>
        <v>1.9165942015286733E-3</v>
      </c>
      <c r="DW51" s="253">
        <f t="shared" si="72"/>
        <v>2.3333333333333344E-4</v>
      </c>
      <c r="DX51" s="255">
        <f t="shared" si="48"/>
        <v>2.3333333333333345E-2</v>
      </c>
      <c r="EA51" s="1237"/>
      <c r="ED51" s="432" t="s">
        <v>257</v>
      </c>
      <c r="EE51" s="433" t="s">
        <v>258</v>
      </c>
      <c r="EF51" s="434" t="s">
        <v>259</v>
      </c>
      <c r="EG51" s="437" t="s">
        <v>257</v>
      </c>
      <c r="EH51" s="438" t="s">
        <v>258</v>
      </c>
      <c r="EI51" s="439" t="s">
        <v>260</v>
      </c>
      <c r="EK51" s="442" t="s">
        <v>257</v>
      </c>
      <c r="EL51" s="443" t="s">
        <v>258</v>
      </c>
      <c r="EM51" s="444" t="s">
        <v>261</v>
      </c>
      <c r="EO51" s="430"/>
      <c r="FE51" s="681"/>
      <c r="FF51" s="681"/>
    </row>
    <row r="52" spans="22:162" ht="14.4" thickBot="1">
      <c r="V52" s="258">
        <f>(((IF($P$5&lt;&gt;0,$P$5,IF($P$6&lt;&gt;0,$P$6,IF($P$7&lt;&gt;0,$P$7,0))))/(12*$P$19))+(((3*$P$15)/(2*(IF($P$5&lt;&gt;0,$P$5,IF($P$6&lt;&gt;0,$P$6,IF($P$7&lt;&gt;0,$P$7,0))))*$U$5*$P$19))*'IN-OUT'!$F$15))*'Burland damage classification'!Z52</f>
        <v>2.9961421248333883E-4</v>
      </c>
      <c r="W52" s="262">
        <f>(1+(((IF($P$5&lt;&gt;0,$P$5^2,IF($P$6&lt;&gt;0,$P$6^2,IF($P$7&lt;&gt;0,$P$7^2))))*$U$5)/(18*$P$15))*('IN-OUT'!$F$15^(-1)))*AA52</f>
        <v>2.4799874404189931E-4</v>
      </c>
      <c r="X52" s="262">
        <f t="shared" si="73"/>
        <v>2.4799874404189931E-4</v>
      </c>
      <c r="Y52" s="262">
        <f t="shared" si="25"/>
        <v>2.4799874404189931E-2</v>
      </c>
      <c r="Z52" s="916">
        <f t="shared" si="49"/>
        <v>9.3333333333333438E-5</v>
      </c>
      <c r="AA52" s="270">
        <f t="shared" si="74"/>
        <v>2.347575581554534E-4</v>
      </c>
      <c r="AB52" s="270">
        <f t="shared" si="50"/>
        <v>2.4000000000000011E-4</v>
      </c>
      <c r="AC52" s="271">
        <f t="shared" si="26"/>
        <v>2.4000000000000011E-2</v>
      </c>
      <c r="AE52" s="258">
        <f>(((IF($P$5&lt;&gt;0,$P$5,IF($P$6&lt;&gt;0,$P$6,IF($P$7&lt;&gt;0,$P$7,0))))/(12*$P$19))+(((3*$P$15)/(2*(IF($P$5&lt;&gt;0,$P$5,IF($P$6&lt;&gt;0,$P$6,IF($P$7&lt;&gt;0,$P$7,0))))*$U$5*$P$19))*'IN-OUT'!$F$15))*'Burland damage classification'!AI52</f>
        <v>8.3463959191787363E-4</v>
      </c>
      <c r="AF52" s="254">
        <f>(1+(((IF($P$5&lt;&gt;0,$P$5^2,IF($P$6&lt;&gt;0,$P$6^2,IF($P$7&lt;&gt;0,$P$7^2))))*$U$5)/(18*$P$15))*('IN-OUT'!$F$15^(-1)))*AJ52</f>
        <v>4.3041157466237938E-4</v>
      </c>
      <c r="AG52" s="254">
        <f t="shared" si="75"/>
        <v>4.3041157466237938E-4</v>
      </c>
      <c r="AH52" s="254">
        <f t="shared" si="27"/>
        <v>4.3041157466237941E-2</v>
      </c>
      <c r="AI52" s="254">
        <f t="shared" si="51"/>
        <v>2.6000000000000068E-4</v>
      </c>
      <c r="AJ52" s="253">
        <f t="shared" si="76"/>
        <v>4.0743097574926721E-4</v>
      </c>
      <c r="AK52" s="253">
        <f t="shared" si="52"/>
        <v>2.4000000000000011E-4</v>
      </c>
      <c r="AL52" s="255">
        <f t="shared" si="28"/>
        <v>2.4000000000000011E-2</v>
      </c>
      <c r="AN52" s="258">
        <f>(((IF($P$5&lt;&gt;0,$P$5,IF($P$6&lt;&gt;0,$P$6,IF($P$7&lt;&gt;0,$P$7,0))))/(12*$P$19))+(((3*$P$15)/(2*(IF($P$5&lt;&gt;0,$P$5,IF($P$6&lt;&gt;0,$P$6,IF($P$7&lt;&gt;0,$P$7,0))))*$U$5*$P$19))*'IN-OUT'!$F$15))*'Burland damage classification'!AR52</f>
        <v>2.4397157302214717E-3</v>
      </c>
      <c r="AO52" s="254">
        <f>(1+(((IF($P$5&lt;&gt;0,$P$5^2,IF($P$6&lt;&gt;0,$P$6^2,IF($P$7&lt;&gt;0,$P$7^2))))*$U$5)/(18*$P$15))*('IN-OUT'!$F$15^(-1)))*AS52</f>
        <v>9.6358839522358111E-4</v>
      </c>
      <c r="AP52" s="254">
        <f t="shared" si="77"/>
        <v>9.6358839522358111E-4</v>
      </c>
      <c r="AQ52" s="254">
        <f t="shared" si="29"/>
        <v>9.6358839522358117E-2</v>
      </c>
      <c r="AR52" s="254">
        <f t="shared" si="53"/>
        <v>7.6000000000000037E-4</v>
      </c>
      <c r="AS52" s="253">
        <f t="shared" si="78"/>
        <v>9.1214034007931028E-4</v>
      </c>
      <c r="AT52" s="253">
        <f t="shared" si="54"/>
        <v>2.4000000000000011E-4</v>
      </c>
      <c r="AU52" s="255">
        <f t="shared" si="30"/>
        <v>2.4000000000000011E-2</v>
      </c>
      <c r="AW52" s="258">
        <f>(((IF($P$5&lt;&gt;0,$P$5,IF($P$6&lt;&gt;0,$P$6,IF($P$7&lt;&gt;0,$P$7,0))))/(12*$P$19))+(((3*$P$15)/(2*(IF($P$5&lt;&gt;0,$P$5,IF($P$6&lt;&gt;0,$P$6,IF($P$7&lt;&gt;0,$P$7,0))))*$U$5*$P$19))*'IN-OUT'!$F$15))*'Burland damage classification'!BA52</f>
        <v>5.6498680068286632E-3</v>
      </c>
      <c r="AX52" s="254">
        <f>(1+(((IF($P$5&lt;&gt;0,$P$5^2,IF($P$6&lt;&gt;0,$P$6^2,IF($P$7&lt;&gt;0,$P$7^2))))*$U$5)/(18*$P$15))*('IN-OUT'!$F$15^(-1)))*BB52</f>
        <v>2.0221232859621956E-3</v>
      </c>
      <c r="AY52" s="254">
        <f t="shared" si="79"/>
        <v>2.0221232859621956E-3</v>
      </c>
      <c r="AZ52" s="254">
        <f t="shared" si="31"/>
        <v>0.20221232859621957</v>
      </c>
      <c r="BA52" s="254">
        <f t="shared" si="55"/>
        <v>1.7599999999999983E-3</v>
      </c>
      <c r="BB52" s="270">
        <f t="shared" si="8"/>
        <v>1.9141577782408638E-3</v>
      </c>
      <c r="BC52" s="253">
        <f t="shared" si="56"/>
        <v>2.4000000000000011E-4</v>
      </c>
      <c r="BD52" s="255">
        <f t="shared" si="32"/>
        <v>2.4000000000000011E-2</v>
      </c>
      <c r="BF52" s="258" t="e">
        <f>((((IF($Q$5=0,$Q$6,$Q$5)))/(12*$Q$19))+(((3*$Q$15)/(2*IF($Q$5=0,$Q$6,$Q$5)*$U$5*$Q$19))*'IN-OUT'!$F$15))*'Burland damage classification'!BJ52</f>
        <v>#DIV/0!</v>
      </c>
      <c r="BG52" s="262">
        <f>(1+(((IF($Q$5=0,$Q$6^2,$Q$5^2))*$U$5)/(18*$Q$15))*('IN-OUT'!$F$15^(-1)))*BK52</f>
        <v>2.347575581554534E-4</v>
      </c>
      <c r="BH52" s="262" t="e">
        <f t="shared" si="80"/>
        <v>#DIV/0!</v>
      </c>
      <c r="BI52" s="262" t="e">
        <f t="shared" si="33"/>
        <v>#DIV/0!</v>
      </c>
      <c r="BJ52" s="262">
        <f t="shared" si="57"/>
        <v>9.3333333333333438E-5</v>
      </c>
      <c r="BK52" s="270">
        <f t="shared" si="81"/>
        <v>2.347575581554534E-4</v>
      </c>
      <c r="BL52" s="270">
        <f t="shared" si="58"/>
        <v>2.4000000000000011E-4</v>
      </c>
      <c r="BM52" s="271">
        <f t="shared" si="34"/>
        <v>2.4000000000000011E-2</v>
      </c>
      <c r="BO52" s="258" t="e">
        <f>((((IF($Q$5=0,$Q$6,$Q$5)))/(12*$Q$19))+(((3*$Q$15)/(2*IF($Q$5=0,$Q$6,$Q$5)*$U$5*$Q$19))*'IN-OUT'!$F$15))*'Burland damage classification'!BS52</f>
        <v>#DIV/0!</v>
      </c>
      <c r="BP52" s="262">
        <f>(1+(((IF($Q$5=0,$Q$6^2,$Q$5^2))*$U$5)/(18*$Q$15))*('IN-OUT'!$F$15^(-1)))*BT52</f>
        <v>4.0743097574926721E-4</v>
      </c>
      <c r="BQ52" s="254" t="e">
        <f t="shared" si="11"/>
        <v>#DIV/0!</v>
      </c>
      <c r="BR52" s="254" t="e">
        <f t="shared" si="35"/>
        <v>#DIV/0!</v>
      </c>
      <c r="BS52" s="254">
        <f t="shared" si="59"/>
        <v>2.6000000000000068E-4</v>
      </c>
      <c r="BT52" s="253">
        <f t="shared" si="82"/>
        <v>4.0743097574926721E-4</v>
      </c>
      <c r="BU52" s="253">
        <f t="shared" si="60"/>
        <v>2.4000000000000011E-4</v>
      </c>
      <c r="BV52" s="255">
        <f t="shared" si="36"/>
        <v>2.4000000000000011E-2</v>
      </c>
      <c r="BX52" s="258" t="e">
        <f>((((IF($Q$5=0,$Q$6,$Q$5)))/(12*$Q$19))+(((3*$Q$15)/(2*IF($Q$5=0,$Q$6,$Q$5)*$U$5*$Q$19))*'IN-OUT'!$F$15))*'Burland damage classification'!CB52</f>
        <v>#DIV/0!</v>
      </c>
      <c r="BY52" s="262">
        <f>(1+(((IF($Q$5=0,$Q$6^2,$Q$5^2))*$U$5)/(18*$Q$15))*('IN-OUT'!$F$15^(-1)))*CC52</f>
        <v>9.1214034007931028E-4</v>
      </c>
      <c r="BZ52" s="254" t="e">
        <f t="shared" si="13"/>
        <v>#DIV/0!</v>
      </c>
      <c r="CA52" s="254" t="e">
        <f t="shared" si="37"/>
        <v>#DIV/0!</v>
      </c>
      <c r="CB52" s="254">
        <f t="shared" si="61"/>
        <v>7.6000000000000037E-4</v>
      </c>
      <c r="CC52" s="253">
        <f t="shared" si="83"/>
        <v>9.1214034007931028E-4</v>
      </c>
      <c r="CD52" s="253">
        <f t="shared" si="62"/>
        <v>2.4000000000000011E-4</v>
      </c>
      <c r="CE52" s="255">
        <f t="shared" si="38"/>
        <v>2.4000000000000011E-2</v>
      </c>
      <c r="CG52" s="258" t="e">
        <f>((((IF($Q$5=0,$Q$6,$Q$5)))/(12*$Q$19))+(((3*$Q$15)/(2*IF($Q$5=0,$Q$6,$Q$5)*$U$5*$Q$19))*'IN-OUT'!$F$15))*'Burland damage classification'!CK52</f>
        <v>#DIV/0!</v>
      </c>
      <c r="CH52" s="262">
        <f>(1+(((IF($Q$5=0,$Q$6^2,$Q$5^2))*$U$5)/(18*$Q$15))*('IN-OUT'!$F$15^(-1)))*CL52</f>
        <v>1.9141577782408638E-3</v>
      </c>
      <c r="CI52" s="254" t="e">
        <f t="shared" si="15"/>
        <v>#DIV/0!</v>
      </c>
      <c r="CJ52" s="254" t="e">
        <f t="shared" si="39"/>
        <v>#DIV/0!</v>
      </c>
      <c r="CK52" s="254">
        <f t="shared" si="63"/>
        <v>1.7599999999999983E-3</v>
      </c>
      <c r="CL52" s="270">
        <f t="shared" si="16"/>
        <v>1.9141577782408638E-3</v>
      </c>
      <c r="CM52" s="253">
        <f t="shared" si="64"/>
        <v>2.4000000000000011E-4</v>
      </c>
      <c r="CN52" s="255">
        <f t="shared" si="40"/>
        <v>2.4000000000000011E-2</v>
      </c>
      <c r="CP52" s="258" t="e">
        <f>((((IF($R$5=0,$R$6,$R$5)))/(12*$R$19))+(((3*$R$15)/(2*IF($R$5=0,$R$6,$R$5)*$U$5*$R$19))*'IN-OUT'!$F$15))*'Burland damage classification'!CT52</f>
        <v>#DIV/0!</v>
      </c>
      <c r="CQ52" s="262">
        <f>(1+(((IF($R$5=0,$R$6^2,$R$5^2))*$U$5)/(18*$R$15))*('IN-OUT'!$F$15^(-1)))*CU52</f>
        <v>2.347575581554534E-4</v>
      </c>
      <c r="CR52" s="262" t="e">
        <f t="shared" si="84"/>
        <v>#DIV/0!</v>
      </c>
      <c r="CS52" s="262" t="e">
        <f t="shared" si="41"/>
        <v>#DIV/0!</v>
      </c>
      <c r="CT52" s="262">
        <f t="shared" si="65"/>
        <v>9.3333333333333438E-5</v>
      </c>
      <c r="CU52" s="270">
        <f t="shared" si="85"/>
        <v>2.347575581554534E-4</v>
      </c>
      <c r="CV52" s="270">
        <f t="shared" si="66"/>
        <v>2.4000000000000011E-4</v>
      </c>
      <c r="CW52" s="271">
        <f t="shared" si="42"/>
        <v>2.4000000000000011E-2</v>
      </c>
      <c r="CY52" s="258" t="e">
        <f>((((IF($R$5=0,$R$6,$R$5)))/(12*$R$19))+(((3*$R$15)/(2*IF($R$5=0,$R$6,$R$5)*$U$5*$R$19))*'IN-OUT'!$F$15))*'Burland damage classification'!DC52</f>
        <v>#DIV/0!</v>
      </c>
      <c r="CZ52" s="262">
        <f>(1+(((IF($R$5=0,$R$6^2,$R$5^2))*$U$5)/(18*$R$15))*('IN-OUT'!$F$15^(-1)))*DD52</f>
        <v>4.0743097574926721E-4</v>
      </c>
      <c r="DA52" s="254" t="e">
        <f t="shared" si="19"/>
        <v>#DIV/0!</v>
      </c>
      <c r="DB52" s="254" t="e">
        <f t="shared" si="43"/>
        <v>#DIV/0!</v>
      </c>
      <c r="DC52" s="254">
        <f t="shared" si="67"/>
        <v>2.6000000000000068E-4</v>
      </c>
      <c r="DD52" s="253">
        <f t="shared" si="86"/>
        <v>4.0743097574926721E-4</v>
      </c>
      <c r="DE52" s="253">
        <f t="shared" si="68"/>
        <v>2.4000000000000011E-4</v>
      </c>
      <c r="DF52" s="255">
        <f t="shared" si="44"/>
        <v>2.4000000000000011E-2</v>
      </c>
      <c r="DH52" s="258" t="e">
        <f>((((IF($R$5=0,$R$6,$R$5)))/(12*$R$19))+(((3*$R$15)/(2*IF($R$5=0,$R$6,$R$5)*$U$5*$R$19))*'IN-OUT'!$F$15))*'Burland damage classification'!DL52</f>
        <v>#DIV/0!</v>
      </c>
      <c r="DI52" s="262">
        <f>(1+(((IF($R$5=0,$R$6^2,$R$5^2))*$U$5)/(18*$R$15))*('IN-OUT'!$F$15^(-1)))*DM52</f>
        <v>9.1214034007931028E-4</v>
      </c>
      <c r="DJ52" s="254" t="e">
        <f t="shared" si="21"/>
        <v>#DIV/0!</v>
      </c>
      <c r="DK52" s="254" t="e">
        <f t="shared" si="45"/>
        <v>#DIV/0!</v>
      </c>
      <c r="DL52" s="254">
        <f t="shared" si="69"/>
        <v>7.6000000000000037E-4</v>
      </c>
      <c r="DM52" s="253">
        <f t="shared" si="87"/>
        <v>9.1214034007931028E-4</v>
      </c>
      <c r="DN52" s="253">
        <f t="shared" si="70"/>
        <v>2.4000000000000011E-4</v>
      </c>
      <c r="DO52" s="255">
        <f t="shared" si="46"/>
        <v>2.4000000000000011E-2</v>
      </c>
      <c r="DQ52" s="258" t="e">
        <f>((((IF($R$5=0,$R$6,$R$5)))/(12*$R$19))+(((3*$R$15)/(2*IF($R$5=0,$R$6,$R$5)*$U$5*$R$19))*'IN-OUT'!$F$15))*'Burland damage classification'!DU52</f>
        <v>#DIV/0!</v>
      </c>
      <c r="DR52" s="262">
        <f>(1+(((IF($R$5=0,$R$6^2,$R$5^2))*$U$5)/(18*$R$15))*('IN-OUT'!$F$15^(-1)))*DV52</f>
        <v>1.9141577782408638E-3</v>
      </c>
      <c r="DS52" s="254" t="e">
        <f t="shared" si="23"/>
        <v>#DIV/0!</v>
      </c>
      <c r="DT52" s="254" t="e">
        <f t="shared" si="47"/>
        <v>#DIV/0!</v>
      </c>
      <c r="DU52" s="254">
        <f t="shared" si="71"/>
        <v>1.7599999999999983E-3</v>
      </c>
      <c r="DV52" s="270">
        <f t="shared" si="24"/>
        <v>1.9141577782408638E-3</v>
      </c>
      <c r="DW52" s="253">
        <f t="shared" si="72"/>
        <v>2.4000000000000011E-4</v>
      </c>
      <c r="DX52" s="255">
        <f t="shared" si="48"/>
        <v>2.4000000000000011E-2</v>
      </c>
      <c r="EA52" s="1237"/>
      <c r="EB52" s="1224" t="s">
        <v>243</v>
      </c>
      <c r="EC52" s="449" t="s">
        <v>21</v>
      </c>
      <c r="ED52" s="435">
        <f>'transversal subsidence profile'!$L$5*EXP(-(EF9^2)/(2*'transversal subsidence profile'!$J$5^2))*100</f>
        <v>2.617993877991494</v>
      </c>
      <c r="EE52" s="428">
        <f>'transversal subsidence profile'!$L$5*EF9/'transversal subsidence profile'!$B$5*EXP(-(EF9^2)/(2*'transversal subsidence profile'!$J$5^2))*100</f>
        <v>0</v>
      </c>
      <c r="EF52" s="436">
        <f>('transversal subsidence profile'!$L$5/'transversal subsidence profile'!$B$5)*(1-((EF9^2)/(('transversal subsidence profile'!$J$5)^2)))*EXP(-(EF9^2)/(2*(('transversal subsidence profile'!$J$5)^2)))*100</f>
        <v>0.17453292519943295</v>
      </c>
      <c r="EG52" s="440">
        <f>'transversal subsidence profile'!$L$6*EXP(-(((EF9+$DZ$4))^2)/(2*'transversal subsidence profile'!$J$6^2))*100</f>
        <v>0.87372870216931453</v>
      </c>
      <c r="EH52" s="429">
        <f>'transversal subsidence profile'!$L$6*(EF9+$DZ$4)/'transversal subsidence profile'!$F$5*EXP(-((EF9+$DZ$4)^2)/(2*'transversal subsidence profile'!$J$6^2))*100</f>
        <v>0.58248580144620965</v>
      </c>
      <c r="EI52" s="441">
        <f>('transversal subsidence profile'!$L$6/'transversal subsidence profile'!$F$5)*(1-(EF9+$DZ$4)^2/(('transversal subsidence profile'!$J$6)^2))*EXP(-((EF9+$DZ$4)^2)/(2*(('transversal subsidence profile'!$J$6)^2)))*100</f>
        <v>-6.9594668458113657E-2</v>
      </c>
      <c r="EK52" s="445">
        <f>IF('IN-OUT'!$F$26=0,EG52,IF('IN-OUT'!$F$35=0,ED52,ED52+EG52))</f>
        <v>3.4917225801608085</v>
      </c>
      <c r="EL52" s="445">
        <f>IF('IN-OUT'!$F$26=0,EH52,IF('IN-OUT'!$F$35=0,EE52,EE52+EH52))</f>
        <v>0.58248580144620965</v>
      </c>
      <c r="EM52" s="563">
        <f>IF('IN-OUT'!$F$26=0,EI52,IF('IN-OUT'!$F$35=0,EF52,EF52+EI52))</f>
        <v>0.10493825674131929</v>
      </c>
      <c r="EO52" s="430"/>
      <c r="EV52" s="1242" t="s">
        <v>267</v>
      </c>
      <c r="EW52" s="1243"/>
      <c r="FE52" s="681"/>
      <c r="FF52" s="681"/>
    </row>
    <row r="53" spans="22:162" ht="13.65" customHeight="1" thickBot="1">
      <c r="V53" s="258">
        <f>(((IF($P$5&lt;&gt;0,$P$5,IF($P$6&lt;&gt;0,$P$6,IF($P$7&lt;&gt;0,$P$7,0))))/(12*$P$19))+(((3*$P$15)/(2*(IF($P$5&lt;&gt;0,$P$5,IF($P$6&lt;&gt;0,$P$6,IF($P$7&lt;&gt;0,$P$7,0))))*$U$5*$P$19))*'IN-OUT'!$F$15))*'Burland damage classification'!Z53</f>
        <v>2.7821319730595752E-4</v>
      </c>
      <c r="W53" s="262">
        <f>(1+(((IF($P$5&lt;&gt;0,$P$5^2,IF($P$6&lt;&gt;0,$P$6^2,IF($P$7&lt;&gt;0,$P$7^2))))*$U$5)/(18*$P$15))*('IN-OUT'!$F$15^(-1)))*AA53</f>
        <v>2.444737094857612E-4</v>
      </c>
      <c r="X53" s="262">
        <f t="shared" si="73"/>
        <v>2.444737094857612E-4</v>
      </c>
      <c r="Y53" s="262">
        <f t="shared" si="25"/>
        <v>2.444737094857612E-2</v>
      </c>
      <c r="Z53" s="916">
        <f t="shared" si="49"/>
        <v>8.6666666666666777E-5</v>
      </c>
      <c r="AA53" s="270">
        <f t="shared" si="74"/>
        <v>2.3142073276946371E-4</v>
      </c>
      <c r="AB53" s="270">
        <f t="shared" si="50"/>
        <v>2.4666666666666679E-4</v>
      </c>
      <c r="AC53" s="271">
        <f t="shared" si="26"/>
        <v>2.466666666666668E-2</v>
      </c>
      <c r="AE53" s="258">
        <f>(((IF($P$5&lt;&gt;0,$P$5,IF($P$6&lt;&gt;0,$P$6,IF($P$7&lt;&gt;0,$P$7,0))))/(12*$P$19))+(((3*$P$15)/(2*(IF($P$5&lt;&gt;0,$P$5,IF($P$6&lt;&gt;0,$P$6,IF($P$7&lt;&gt;0,$P$7,0))))*$U$5*$P$19))*'IN-OUT'!$F$15))*'Burland damage classification'!AI53</f>
        <v>8.1323857674049237E-4</v>
      </c>
      <c r="AF53" s="254">
        <f>(1+(((IF($P$5&lt;&gt;0,$P$5^2,IF($P$6&lt;&gt;0,$P$6^2,IF($P$7&lt;&gt;0,$P$7^2))))*$U$5)/(18*$P$15))*('IN-OUT'!$F$15^(-1)))*AJ53</f>
        <v>4.2737588839147477E-4</v>
      </c>
      <c r="AG53" s="254">
        <f t="shared" si="75"/>
        <v>4.2737588839147477E-4</v>
      </c>
      <c r="AH53" s="254">
        <f t="shared" si="27"/>
        <v>4.2737588839147481E-2</v>
      </c>
      <c r="AI53" s="254">
        <f t="shared" si="51"/>
        <v>2.5333333333333403E-4</v>
      </c>
      <c r="AJ53" s="253">
        <f t="shared" si="76"/>
        <v>4.0455737129196722E-4</v>
      </c>
      <c r="AK53" s="253">
        <f t="shared" si="52"/>
        <v>2.4666666666666679E-4</v>
      </c>
      <c r="AL53" s="255">
        <f t="shared" si="28"/>
        <v>2.466666666666668E-2</v>
      </c>
      <c r="AN53" s="258">
        <f>(((IF($P$5&lt;&gt;0,$P$5,IF($P$6&lt;&gt;0,$P$6,IF($P$7&lt;&gt;0,$P$7,0))))/(12*$P$19))+(((3*$P$15)/(2*(IF($P$5&lt;&gt;0,$P$5,IF($P$6&lt;&gt;0,$P$6,IF($P$7&lt;&gt;0,$P$7,0))))*$U$5*$P$19))*'IN-OUT'!$F$15))*'Burland damage classification'!AR53</f>
        <v>2.4183147150440903E-3</v>
      </c>
      <c r="AO53" s="254">
        <f>(1+(((IF($P$5&lt;&gt;0,$P$5^2,IF($P$6&lt;&gt;0,$P$6^2,IF($P$7&lt;&gt;0,$P$7^2))))*$U$5)/(18*$P$15))*('IN-OUT'!$F$15^(-1)))*AS53</f>
        <v>9.6088222387536283E-4</v>
      </c>
      <c r="AP53" s="254">
        <f t="shared" si="77"/>
        <v>9.6088222387536283E-4</v>
      </c>
      <c r="AQ53" s="254">
        <f t="shared" si="29"/>
        <v>9.6088222387536282E-2</v>
      </c>
      <c r="AR53" s="254">
        <f t="shared" si="53"/>
        <v>7.5333333333333372E-4</v>
      </c>
      <c r="AS53" s="253">
        <f t="shared" si="78"/>
        <v>9.0957865703485651E-4</v>
      </c>
      <c r="AT53" s="253">
        <f t="shared" si="54"/>
        <v>2.4666666666666679E-4</v>
      </c>
      <c r="AU53" s="255">
        <f t="shared" si="30"/>
        <v>2.466666666666668E-2</v>
      </c>
      <c r="AW53" s="258">
        <f>(((IF($P$5&lt;&gt;0,$P$5,IF($P$6&lt;&gt;0,$P$6,IF($P$7&lt;&gt;0,$P$7,0))))/(12*$P$19))+(((3*$P$15)/(2*(IF($P$5&lt;&gt;0,$P$5,IF($P$6&lt;&gt;0,$P$6,IF($P$7&lt;&gt;0,$P$7,0))))*$U$5*$P$19))*'IN-OUT'!$F$15))*'Burland damage classification'!BA53</f>
        <v>5.6284669916512814E-3</v>
      </c>
      <c r="AX53" s="254">
        <f>(1+(((IF($P$5&lt;&gt;0,$P$5^2,IF($P$6&lt;&gt;0,$P$6^2,IF($P$7&lt;&gt;0,$P$7^2))))*$U$5)/(18*$P$15))*('IN-OUT'!$F$15^(-1)))*BB53</f>
        <v>2.0195461591978434E-3</v>
      </c>
      <c r="AY53" s="254">
        <f t="shared" si="79"/>
        <v>2.0195461591978434E-3</v>
      </c>
      <c r="AZ53" s="254">
        <f t="shared" si="31"/>
        <v>0.20195461591978434</v>
      </c>
      <c r="BA53" s="254">
        <f t="shared" si="55"/>
        <v>1.7533333333333316E-3</v>
      </c>
      <c r="BB53" s="270">
        <f t="shared" si="8"/>
        <v>1.9117182498126304E-3</v>
      </c>
      <c r="BC53" s="253">
        <f t="shared" si="56"/>
        <v>2.4666666666666679E-4</v>
      </c>
      <c r="BD53" s="255">
        <f t="shared" si="32"/>
        <v>2.466666666666668E-2</v>
      </c>
      <c r="BF53" s="258" t="e">
        <f>((((IF($Q$5=0,$Q$6,$Q$5)))/(12*$Q$19))+(((3*$Q$15)/(2*IF($Q$5=0,$Q$6,$Q$5)*$U$5*$Q$19))*'IN-OUT'!$F$15))*'Burland damage classification'!BJ53</f>
        <v>#DIV/0!</v>
      </c>
      <c r="BG53" s="262">
        <f>(1+(((IF($Q$5=0,$Q$6^2,$Q$5^2))*$U$5)/(18*$Q$15))*('IN-OUT'!$F$15^(-1)))*BK53</f>
        <v>2.3142073276946371E-4</v>
      </c>
      <c r="BH53" s="262" t="e">
        <f t="shared" si="80"/>
        <v>#DIV/0!</v>
      </c>
      <c r="BI53" s="262" t="e">
        <f t="shared" si="33"/>
        <v>#DIV/0!</v>
      </c>
      <c r="BJ53" s="262">
        <f t="shared" si="57"/>
        <v>8.6666666666666777E-5</v>
      </c>
      <c r="BK53" s="270">
        <f t="shared" si="81"/>
        <v>2.3142073276946371E-4</v>
      </c>
      <c r="BL53" s="270">
        <f t="shared" si="58"/>
        <v>2.4666666666666679E-4</v>
      </c>
      <c r="BM53" s="271">
        <f t="shared" si="34"/>
        <v>2.466666666666668E-2</v>
      </c>
      <c r="BO53" s="258" t="e">
        <f>((((IF($Q$5=0,$Q$6,$Q$5)))/(12*$Q$19))+(((3*$Q$15)/(2*IF($Q$5=0,$Q$6,$Q$5)*$U$5*$Q$19))*'IN-OUT'!$F$15))*'Burland damage classification'!BS53</f>
        <v>#DIV/0!</v>
      </c>
      <c r="BP53" s="262">
        <f>(1+(((IF($Q$5=0,$Q$6^2,$Q$5^2))*$U$5)/(18*$Q$15))*('IN-OUT'!$F$15^(-1)))*BT53</f>
        <v>4.0455737129196722E-4</v>
      </c>
      <c r="BQ53" s="254" t="e">
        <f t="shared" si="11"/>
        <v>#DIV/0!</v>
      </c>
      <c r="BR53" s="254" t="e">
        <f t="shared" si="35"/>
        <v>#DIV/0!</v>
      </c>
      <c r="BS53" s="254">
        <f t="shared" si="59"/>
        <v>2.5333333333333403E-4</v>
      </c>
      <c r="BT53" s="253">
        <f t="shared" si="82"/>
        <v>4.0455737129196722E-4</v>
      </c>
      <c r="BU53" s="253">
        <f t="shared" si="60"/>
        <v>2.4666666666666679E-4</v>
      </c>
      <c r="BV53" s="255">
        <f t="shared" si="36"/>
        <v>2.466666666666668E-2</v>
      </c>
      <c r="BX53" s="258" t="e">
        <f>((((IF($Q$5=0,$Q$6,$Q$5)))/(12*$Q$19))+(((3*$Q$15)/(2*IF($Q$5=0,$Q$6,$Q$5)*$U$5*$Q$19))*'IN-OUT'!$F$15))*'Burland damage classification'!CB53</f>
        <v>#DIV/0!</v>
      </c>
      <c r="BY53" s="262">
        <f>(1+(((IF($Q$5=0,$Q$6^2,$Q$5^2))*$U$5)/(18*$Q$15))*('IN-OUT'!$F$15^(-1)))*CC53</f>
        <v>9.0957865703485651E-4</v>
      </c>
      <c r="BZ53" s="254" t="e">
        <f t="shared" si="13"/>
        <v>#DIV/0!</v>
      </c>
      <c r="CA53" s="254" t="e">
        <f t="shared" si="37"/>
        <v>#DIV/0!</v>
      </c>
      <c r="CB53" s="254">
        <f t="shared" si="61"/>
        <v>7.5333333333333372E-4</v>
      </c>
      <c r="CC53" s="253">
        <f t="shared" si="83"/>
        <v>9.0957865703485651E-4</v>
      </c>
      <c r="CD53" s="253">
        <f t="shared" si="62"/>
        <v>2.4666666666666679E-4</v>
      </c>
      <c r="CE53" s="255">
        <f t="shared" si="38"/>
        <v>2.466666666666668E-2</v>
      </c>
      <c r="CG53" s="258" t="e">
        <f>((((IF($Q$5=0,$Q$6,$Q$5)))/(12*$Q$19))+(((3*$Q$15)/(2*IF($Q$5=0,$Q$6,$Q$5)*$U$5*$Q$19))*'IN-OUT'!$F$15))*'Burland damage classification'!CK53</f>
        <v>#DIV/0!</v>
      </c>
      <c r="CH53" s="262">
        <f>(1+(((IF($Q$5=0,$Q$6^2,$Q$5^2))*$U$5)/(18*$Q$15))*('IN-OUT'!$F$15^(-1)))*CL53</f>
        <v>1.9117182498126304E-3</v>
      </c>
      <c r="CI53" s="254" t="e">
        <f t="shared" si="15"/>
        <v>#DIV/0!</v>
      </c>
      <c r="CJ53" s="254" t="e">
        <f t="shared" si="39"/>
        <v>#DIV/0!</v>
      </c>
      <c r="CK53" s="254">
        <f t="shared" si="63"/>
        <v>1.7533333333333316E-3</v>
      </c>
      <c r="CL53" s="270">
        <f t="shared" si="16"/>
        <v>1.9117182498126304E-3</v>
      </c>
      <c r="CM53" s="253">
        <f t="shared" si="64"/>
        <v>2.4666666666666679E-4</v>
      </c>
      <c r="CN53" s="255">
        <f t="shared" si="40"/>
        <v>2.466666666666668E-2</v>
      </c>
      <c r="CP53" s="258" t="e">
        <f>((((IF($R$5=0,$R$6,$R$5)))/(12*$R$19))+(((3*$R$15)/(2*IF($R$5=0,$R$6,$R$5)*$U$5*$R$19))*'IN-OUT'!$F$15))*'Burland damage classification'!CT53</f>
        <v>#DIV/0!</v>
      </c>
      <c r="CQ53" s="262">
        <f>(1+(((IF($R$5=0,$R$6^2,$R$5^2))*$U$5)/(18*$R$15))*('IN-OUT'!$F$15^(-1)))*CU53</f>
        <v>2.3142073276946371E-4</v>
      </c>
      <c r="CR53" s="262" t="e">
        <f t="shared" si="84"/>
        <v>#DIV/0!</v>
      </c>
      <c r="CS53" s="262" t="e">
        <f t="shared" si="41"/>
        <v>#DIV/0!</v>
      </c>
      <c r="CT53" s="262">
        <f t="shared" si="65"/>
        <v>8.6666666666666777E-5</v>
      </c>
      <c r="CU53" s="270">
        <f t="shared" si="85"/>
        <v>2.3142073276946371E-4</v>
      </c>
      <c r="CV53" s="270">
        <f t="shared" si="66"/>
        <v>2.4666666666666679E-4</v>
      </c>
      <c r="CW53" s="271">
        <f t="shared" si="42"/>
        <v>2.466666666666668E-2</v>
      </c>
      <c r="CY53" s="258" t="e">
        <f>((((IF($R$5=0,$R$6,$R$5)))/(12*$R$19))+(((3*$R$15)/(2*IF($R$5=0,$R$6,$R$5)*$U$5*$R$19))*'IN-OUT'!$F$15))*'Burland damage classification'!DC53</f>
        <v>#DIV/0!</v>
      </c>
      <c r="CZ53" s="262">
        <f>(1+(((IF($R$5=0,$R$6^2,$R$5^2))*$U$5)/(18*$R$15))*('IN-OUT'!$F$15^(-1)))*DD53</f>
        <v>4.0455737129196722E-4</v>
      </c>
      <c r="DA53" s="254" t="e">
        <f t="shared" si="19"/>
        <v>#DIV/0!</v>
      </c>
      <c r="DB53" s="254" t="e">
        <f t="shared" si="43"/>
        <v>#DIV/0!</v>
      </c>
      <c r="DC53" s="254">
        <f t="shared" si="67"/>
        <v>2.5333333333333403E-4</v>
      </c>
      <c r="DD53" s="253">
        <f t="shared" si="86"/>
        <v>4.0455737129196722E-4</v>
      </c>
      <c r="DE53" s="253">
        <f t="shared" si="68"/>
        <v>2.4666666666666679E-4</v>
      </c>
      <c r="DF53" s="255">
        <f t="shared" si="44"/>
        <v>2.466666666666668E-2</v>
      </c>
      <c r="DH53" s="258" t="e">
        <f>((((IF($R$5=0,$R$6,$R$5)))/(12*$R$19))+(((3*$R$15)/(2*IF($R$5=0,$R$6,$R$5)*$U$5*$R$19))*'IN-OUT'!$F$15))*'Burland damage classification'!DL53</f>
        <v>#DIV/0!</v>
      </c>
      <c r="DI53" s="262">
        <f>(1+(((IF($R$5=0,$R$6^2,$R$5^2))*$U$5)/(18*$R$15))*('IN-OUT'!$F$15^(-1)))*DM53</f>
        <v>9.0957865703485651E-4</v>
      </c>
      <c r="DJ53" s="254" t="e">
        <f t="shared" si="21"/>
        <v>#DIV/0!</v>
      </c>
      <c r="DK53" s="254" t="e">
        <f t="shared" si="45"/>
        <v>#DIV/0!</v>
      </c>
      <c r="DL53" s="254">
        <f t="shared" si="69"/>
        <v>7.5333333333333372E-4</v>
      </c>
      <c r="DM53" s="253">
        <f t="shared" si="87"/>
        <v>9.0957865703485651E-4</v>
      </c>
      <c r="DN53" s="253">
        <f t="shared" si="70"/>
        <v>2.4666666666666679E-4</v>
      </c>
      <c r="DO53" s="255">
        <f t="shared" si="46"/>
        <v>2.466666666666668E-2</v>
      </c>
      <c r="DQ53" s="258" t="e">
        <f>((((IF($R$5=0,$R$6,$R$5)))/(12*$R$19))+(((3*$R$15)/(2*IF($R$5=0,$R$6,$R$5)*$U$5*$R$19))*'IN-OUT'!$F$15))*'Burland damage classification'!DU53</f>
        <v>#DIV/0!</v>
      </c>
      <c r="DR53" s="262">
        <f>(1+(((IF($R$5=0,$R$6^2,$R$5^2))*$U$5)/(18*$R$15))*('IN-OUT'!$F$15^(-1)))*DV53</f>
        <v>1.9117182498126304E-3</v>
      </c>
      <c r="DS53" s="254" t="e">
        <f t="shared" si="23"/>
        <v>#DIV/0!</v>
      </c>
      <c r="DT53" s="254" t="e">
        <f t="shared" si="47"/>
        <v>#DIV/0!</v>
      </c>
      <c r="DU53" s="254">
        <f t="shared" si="71"/>
        <v>1.7533333333333316E-3</v>
      </c>
      <c r="DV53" s="270">
        <f t="shared" si="24"/>
        <v>1.9117182498126304E-3</v>
      </c>
      <c r="DW53" s="253">
        <f t="shared" si="72"/>
        <v>2.4666666666666679E-4</v>
      </c>
      <c r="DX53" s="255">
        <f t="shared" si="48"/>
        <v>2.466666666666668E-2</v>
      </c>
      <c r="EA53" s="1237"/>
      <c r="EB53" s="1225"/>
      <c r="EC53" s="450" t="s">
        <v>25</v>
      </c>
      <c r="ED53" s="435">
        <f>'transversal subsidence profile'!$L$5*EXP(-(EF10^2)/(2*'transversal subsidence profile'!$J$5^2))*100</f>
        <v>2.617993877991494</v>
      </c>
      <c r="EE53" s="428">
        <f>'transversal subsidence profile'!$L$5*EF10/'transversal subsidence profile'!$B$5*EXP(-(EF10^2)/(2*'transversal subsidence profile'!$J$5^2))*100</f>
        <v>0</v>
      </c>
      <c r="EF53" s="436">
        <f>('transversal subsidence profile'!$L$5/'transversal subsidence profile'!$B$5)*(1-((EF10^2)/(('transversal subsidence profile'!$J$5)^2)))*EXP(-(EF10^2)/(2*(('transversal subsidence profile'!$J$5)^2)))*100</f>
        <v>0.17453292519943295</v>
      </c>
      <c r="EG53" s="440">
        <f>'transversal subsidence profile'!$L$6*EXP(-(((EF10+$DZ$4))^2)/(2*'transversal subsidence profile'!$J$6^2))*100</f>
        <v>0.87372870216931453</v>
      </c>
      <c r="EH53" s="429">
        <f>'transversal subsidence profile'!$L$6*(EF10+$DZ$4)/'transversal subsidence profile'!$F$5*EXP(-((EF10+$DZ$4)^2)/(2*'transversal subsidence profile'!$J$6^2))*100</f>
        <v>0.58248580144620965</v>
      </c>
      <c r="EI53" s="441">
        <f>('transversal subsidence profile'!$L$6/'transversal subsidence profile'!$F$5)*(1-(EF10+$DZ$4)^2/(('transversal subsidence profile'!$J$6)^2))*EXP(-((EF10+$DZ$4)^2)/(2*(('transversal subsidence profile'!$J$6)^2)))*100</f>
        <v>-6.9594668458113657E-2</v>
      </c>
      <c r="EK53" s="445">
        <f>IF('IN-OUT'!$F$26=0,EG53,IF('IN-OUT'!$F$35=0,ED53,ED53+EG53))</f>
        <v>3.4917225801608085</v>
      </c>
      <c r="EL53" s="445">
        <f>IF('IN-OUT'!$F$26=0,EH53,IF('IN-OUT'!$F$35=0,EE53,EE53+EH53))</f>
        <v>0.58248580144620965</v>
      </c>
      <c r="EM53" s="563">
        <f>IF('IN-OUT'!$F$26=0,EI53,IF('IN-OUT'!$F$35=0,EF53,EF53+EI53))</f>
        <v>0.10493825674131929</v>
      </c>
      <c r="EO53" s="464" t="s">
        <v>252</v>
      </c>
      <c r="EP53" s="414" t="s">
        <v>253</v>
      </c>
      <c r="EQ53" s="414" t="s">
        <v>255</v>
      </c>
      <c r="ER53" s="414" t="s">
        <v>254</v>
      </c>
      <c r="ES53" s="446" t="s">
        <v>256</v>
      </c>
      <c r="EV53" s="494" t="s">
        <v>7</v>
      </c>
      <c r="EW53" s="495" t="s">
        <v>136</v>
      </c>
      <c r="EZ53" t="s">
        <v>318</v>
      </c>
      <c r="FA53" t="s">
        <v>317</v>
      </c>
      <c r="FB53" t="s">
        <v>319</v>
      </c>
      <c r="FC53" t="s">
        <v>320</v>
      </c>
      <c r="FD53" s="239" t="s">
        <v>323</v>
      </c>
      <c r="FE53" s="681"/>
      <c r="FF53" s="681"/>
    </row>
    <row r="54" spans="22:162" ht="13.8" thickBot="1">
      <c r="V54" s="258">
        <f>(((IF($P$5&lt;&gt;0,$P$5,IF($P$6&lt;&gt;0,$P$6,IF($P$7&lt;&gt;0,$P$7,0))))/(12*$P$19))+(((3*$P$15)/(2*(IF($P$5&lt;&gt;0,$P$5,IF($P$6&lt;&gt;0,$P$6,IF($P$7&lt;&gt;0,$P$7,0))))*$U$5*$P$19))*'IN-OUT'!$F$15))*'Burland damage classification'!Z54</f>
        <v>2.568121821285762E-4</v>
      </c>
      <c r="W54" s="262">
        <f>(1+(((IF($P$5&lt;&gt;0,$P$5^2,IF($P$6&lt;&gt;0,$P$6^2,IF($P$7&lt;&gt;0,$P$7^2))))*$U$5)/(18*$P$15))*('IN-OUT'!$F$15^(-1)))*AA54</f>
        <v>2.4089709880589525E-4</v>
      </c>
      <c r="X54" s="262">
        <f t="shared" si="73"/>
        <v>2.4089709880589525E-4</v>
      </c>
      <c r="Y54" s="262">
        <f t="shared" si="25"/>
        <v>2.4089709880589526E-2</v>
      </c>
      <c r="Z54" s="916">
        <f t="shared" si="49"/>
        <v>8.0000000000000115E-5</v>
      </c>
      <c r="AA54" s="270">
        <f t="shared" si="74"/>
        <v>2.2803508501982754E-4</v>
      </c>
      <c r="AB54" s="270">
        <f t="shared" si="50"/>
        <v>2.5333333333333344E-4</v>
      </c>
      <c r="AC54" s="271">
        <f t="shared" si="26"/>
        <v>2.5333333333333343E-2</v>
      </c>
      <c r="AE54" s="258">
        <f>(((IF($P$5&lt;&gt;0,$P$5,IF($P$6&lt;&gt;0,$P$6,IF($P$7&lt;&gt;0,$P$7,0))))/(12*$P$19))+(((3*$P$15)/(2*(IF($P$5&lt;&gt;0,$P$5,IF($P$6&lt;&gt;0,$P$6,IF($P$7&lt;&gt;0,$P$7,0))))*$U$5*$P$19))*'IN-OUT'!$F$15))*'Burland damage classification'!AI54</f>
        <v>7.918375615631111E-4</v>
      </c>
      <c r="AF54" s="254">
        <f>(1+(((IF($P$5&lt;&gt;0,$P$5^2,IF($P$6&lt;&gt;0,$P$6^2,IF($P$7&lt;&gt;0,$P$7^2))))*$U$5)/(18*$P$15))*('IN-OUT'!$F$15^(-1)))*AJ54</f>
        <v>4.2431848457668637E-4</v>
      </c>
      <c r="AG54" s="254">
        <f t="shared" si="75"/>
        <v>4.2431848457668637E-4</v>
      </c>
      <c r="AH54" s="254">
        <f t="shared" si="27"/>
        <v>4.2431848457668633E-2</v>
      </c>
      <c r="AI54" s="254">
        <f t="shared" si="51"/>
        <v>2.4666666666666739E-4</v>
      </c>
      <c r="AJ54" s="253">
        <f t="shared" si="76"/>
        <v>4.0166320883712177E-4</v>
      </c>
      <c r="AK54" s="253">
        <f t="shared" si="52"/>
        <v>2.5333333333333344E-4</v>
      </c>
      <c r="AL54" s="255">
        <f t="shared" si="28"/>
        <v>2.5333333333333343E-2</v>
      </c>
      <c r="AN54" s="258">
        <f>(((IF($P$5&lt;&gt;0,$P$5,IF($P$6&lt;&gt;0,$P$6,IF($P$7&lt;&gt;0,$P$7,0))))/(12*$P$19))+(((3*$P$15)/(2*(IF($P$5&lt;&gt;0,$P$5,IF($P$6&lt;&gt;0,$P$6,IF($P$7&lt;&gt;0,$P$7,0))))*$U$5*$P$19))*'IN-OUT'!$F$15))*'Burland damage classification'!AR54</f>
        <v>2.3969136998667089E-3</v>
      </c>
      <c r="AO54" s="254">
        <f>(1+(((IF($P$5&lt;&gt;0,$P$5^2,IF($P$6&lt;&gt;0,$P$6^2,IF($P$7&lt;&gt;0,$P$7^2))))*$U$5)/(18*$P$15))*('IN-OUT'!$F$15^(-1)))*AS54</f>
        <v>9.5816840947182636E-4</v>
      </c>
      <c r="AP54" s="254">
        <f t="shared" si="77"/>
        <v>9.5816840947182636E-4</v>
      </c>
      <c r="AQ54" s="254">
        <f t="shared" si="29"/>
        <v>9.5816840947182638E-2</v>
      </c>
      <c r="AR54" s="254">
        <f t="shared" si="53"/>
        <v>7.4666666666666707E-4</v>
      </c>
      <c r="AS54" s="253">
        <f t="shared" si="78"/>
        <v>9.0700973901423269E-4</v>
      </c>
      <c r="AT54" s="253">
        <f t="shared" si="54"/>
        <v>2.5333333333333344E-4</v>
      </c>
      <c r="AU54" s="255">
        <f t="shared" si="30"/>
        <v>2.5333333333333343E-2</v>
      </c>
      <c r="AW54" s="258">
        <f>(((IF($P$5&lt;&gt;0,$P$5,IF($P$6&lt;&gt;0,$P$6,IF($P$7&lt;&gt;0,$P$7,0))))/(12*$P$19))+(((3*$P$15)/(2*(IF($P$5&lt;&gt;0,$P$5,IF($P$6&lt;&gt;0,$P$6,IF($P$7&lt;&gt;0,$P$7,0))))*$U$5*$P$19))*'IN-OUT'!$F$15))*'Burland damage classification'!BA54</f>
        <v>5.6070659764738996E-3</v>
      </c>
      <c r="AX54" s="254">
        <f>(1+(((IF($P$5&lt;&gt;0,$P$5^2,IF($P$6&lt;&gt;0,$P$6^2,IF($P$7&lt;&gt;0,$P$7^2))))*$U$5)/(18*$P$15))*('IN-OUT'!$F$15^(-1)))*BB54</f>
        <v>2.0169657395778871E-3</v>
      </c>
      <c r="AY54" s="254">
        <f t="shared" si="79"/>
        <v>2.0169657395778871E-3</v>
      </c>
      <c r="AZ54" s="254">
        <f t="shared" si="31"/>
        <v>0.2016965739577887</v>
      </c>
      <c r="BA54" s="254">
        <f t="shared" si="55"/>
        <v>1.7466666666666648E-3</v>
      </c>
      <c r="BB54" s="270">
        <f t="shared" si="8"/>
        <v>1.90927560434143E-3</v>
      </c>
      <c r="BC54" s="253">
        <f t="shared" si="56"/>
        <v>2.5333333333333344E-4</v>
      </c>
      <c r="BD54" s="255">
        <f t="shared" si="32"/>
        <v>2.5333333333333343E-2</v>
      </c>
      <c r="BF54" s="258" t="e">
        <f>((((IF($Q$5=0,$Q$6,$Q$5)))/(12*$Q$19))+(((3*$Q$15)/(2*IF($Q$5=0,$Q$6,$Q$5)*$U$5*$Q$19))*'IN-OUT'!$F$15))*'Burland damage classification'!BJ54</f>
        <v>#DIV/0!</v>
      </c>
      <c r="BG54" s="262">
        <f>(1+(((IF($Q$5=0,$Q$6^2,$Q$5^2))*$U$5)/(18*$Q$15))*('IN-OUT'!$F$15^(-1)))*BK54</f>
        <v>2.2803508501982754E-4</v>
      </c>
      <c r="BH54" s="262" t="e">
        <f t="shared" si="80"/>
        <v>#DIV/0!</v>
      </c>
      <c r="BI54" s="262" t="e">
        <f t="shared" si="33"/>
        <v>#DIV/0!</v>
      </c>
      <c r="BJ54" s="262">
        <f t="shared" si="57"/>
        <v>8.0000000000000115E-5</v>
      </c>
      <c r="BK54" s="270">
        <f t="shared" si="81"/>
        <v>2.2803508501982754E-4</v>
      </c>
      <c r="BL54" s="270">
        <f t="shared" si="58"/>
        <v>2.5333333333333344E-4</v>
      </c>
      <c r="BM54" s="271">
        <f t="shared" si="34"/>
        <v>2.5333333333333343E-2</v>
      </c>
      <c r="BO54" s="258" t="e">
        <f>((((IF($Q$5=0,$Q$6,$Q$5)))/(12*$Q$19))+(((3*$Q$15)/(2*IF($Q$5=0,$Q$6,$Q$5)*$U$5*$Q$19))*'IN-OUT'!$F$15))*'Burland damage classification'!BS54</f>
        <v>#DIV/0!</v>
      </c>
      <c r="BP54" s="262">
        <f>(1+(((IF($Q$5=0,$Q$6^2,$Q$5^2))*$U$5)/(18*$Q$15))*('IN-OUT'!$F$15^(-1)))*BT54</f>
        <v>4.0166320883712177E-4</v>
      </c>
      <c r="BQ54" s="254" t="e">
        <f t="shared" si="11"/>
        <v>#DIV/0!</v>
      </c>
      <c r="BR54" s="254" t="e">
        <f t="shared" si="35"/>
        <v>#DIV/0!</v>
      </c>
      <c r="BS54" s="254">
        <f t="shared" si="59"/>
        <v>2.4666666666666739E-4</v>
      </c>
      <c r="BT54" s="253">
        <f t="shared" si="82"/>
        <v>4.0166320883712177E-4</v>
      </c>
      <c r="BU54" s="253">
        <f t="shared" si="60"/>
        <v>2.5333333333333344E-4</v>
      </c>
      <c r="BV54" s="255">
        <f t="shared" si="36"/>
        <v>2.5333333333333343E-2</v>
      </c>
      <c r="BX54" s="258" t="e">
        <f>((((IF($Q$5=0,$Q$6,$Q$5)))/(12*$Q$19))+(((3*$Q$15)/(2*IF($Q$5=0,$Q$6,$Q$5)*$U$5*$Q$19))*'IN-OUT'!$F$15))*'Burland damage classification'!CB54</f>
        <v>#DIV/0!</v>
      </c>
      <c r="BY54" s="262">
        <f>(1+(((IF($Q$5=0,$Q$6^2,$Q$5^2))*$U$5)/(18*$Q$15))*('IN-OUT'!$F$15^(-1)))*CC54</f>
        <v>9.0700973901423269E-4</v>
      </c>
      <c r="BZ54" s="254" t="e">
        <f t="shared" si="13"/>
        <v>#DIV/0!</v>
      </c>
      <c r="CA54" s="254" t="e">
        <f t="shared" si="37"/>
        <v>#DIV/0!</v>
      </c>
      <c r="CB54" s="254">
        <f t="shared" si="61"/>
        <v>7.4666666666666707E-4</v>
      </c>
      <c r="CC54" s="253">
        <f t="shared" si="83"/>
        <v>9.0700973901423269E-4</v>
      </c>
      <c r="CD54" s="253">
        <f t="shared" si="62"/>
        <v>2.5333333333333344E-4</v>
      </c>
      <c r="CE54" s="255">
        <f t="shared" si="38"/>
        <v>2.5333333333333343E-2</v>
      </c>
      <c r="CG54" s="258" t="e">
        <f>((((IF($Q$5=0,$Q$6,$Q$5)))/(12*$Q$19))+(((3*$Q$15)/(2*IF($Q$5=0,$Q$6,$Q$5)*$U$5*$Q$19))*'IN-OUT'!$F$15))*'Burland damage classification'!CK54</f>
        <v>#DIV/0!</v>
      </c>
      <c r="CH54" s="262">
        <f>(1+(((IF($Q$5=0,$Q$6^2,$Q$5^2))*$U$5)/(18*$Q$15))*('IN-OUT'!$F$15^(-1)))*CL54</f>
        <v>1.90927560434143E-3</v>
      </c>
      <c r="CI54" s="254" t="e">
        <f t="shared" si="15"/>
        <v>#DIV/0!</v>
      </c>
      <c r="CJ54" s="254" t="e">
        <f t="shared" si="39"/>
        <v>#DIV/0!</v>
      </c>
      <c r="CK54" s="254">
        <f t="shared" si="63"/>
        <v>1.7466666666666648E-3</v>
      </c>
      <c r="CL54" s="270">
        <f t="shared" si="16"/>
        <v>1.90927560434143E-3</v>
      </c>
      <c r="CM54" s="253">
        <f t="shared" si="64"/>
        <v>2.5333333333333344E-4</v>
      </c>
      <c r="CN54" s="255">
        <f t="shared" si="40"/>
        <v>2.5333333333333343E-2</v>
      </c>
      <c r="CP54" s="258" t="e">
        <f>((((IF($R$5=0,$R$6,$R$5)))/(12*$R$19))+(((3*$R$15)/(2*IF($R$5=0,$R$6,$R$5)*$U$5*$R$19))*'IN-OUT'!$F$15))*'Burland damage classification'!CT54</f>
        <v>#DIV/0!</v>
      </c>
      <c r="CQ54" s="262">
        <f>(1+(((IF($R$5=0,$R$6^2,$R$5^2))*$U$5)/(18*$R$15))*('IN-OUT'!$F$15^(-1)))*CU54</f>
        <v>2.2803508501982754E-4</v>
      </c>
      <c r="CR54" s="262" t="e">
        <f t="shared" si="84"/>
        <v>#DIV/0!</v>
      </c>
      <c r="CS54" s="262" t="e">
        <f t="shared" si="41"/>
        <v>#DIV/0!</v>
      </c>
      <c r="CT54" s="262">
        <f t="shared" si="65"/>
        <v>8.0000000000000115E-5</v>
      </c>
      <c r="CU54" s="270">
        <f t="shared" si="85"/>
        <v>2.2803508501982754E-4</v>
      </c>
      <c r="CV54" s="270">
        <f t="shared" si="66"/>
        <v>2.5333333333333344E-4</v>
      </c>
      <c r="CW54" s="271">
        <f t="shared" si="42"/>
        <v>2.5333333333333343E-2</v>
      </c>
      <c r="CY54" s="258" t="e">
        <f>((((IF($R$5=0,$R$6,$R$5)))/(12*$R$19))+(((3*$R$15)/(2*IF($R$5=0,$R$6,$R$5)*$U$5*$R$19))*'IN-OUT'!$F$15))*'Burland damage classification'!DC54</f>
        <v>#DIV/0!</v>
      </c>
      <c r="CZ54" s="262">
        <f>(1+(((IF($R$5=0,$R$6^2,$R$5^2))*$U$5)/(18*$R$15))*('IN-OUT'!$F$15^(-1)))*DD54</f>
        <v>4.0166320883712177E-4</v>
      </c>
      <c r="DA54" s="254" t="e">
        <f t="shared" si="19"/>
        <v>#DIV/0!</v>
      </c>
      <c r="DB54" s="254" t="e">
        <f t="shared" si="43"/>
        <v>#DIV/0!</v>
      </c>
      <c r="DC54" s="254">
        <f t="shared" si="67"/>
        <v>2.4666666666666739E-4</v>
      </c>
      <c r="DD54" s="253">
        <f t="shared" si="86"/>
        <v>4.0166320883712177E-4</v>
      </c>
      <c r="DE54" s="253">
        <f t="shared" si="68"/>
        <v>2.5333333333333344E-4</v>
      </c>
      <c r="DF54" s="255">
        <f t="shared" si="44"/>
        <v>2.5333333333333343E-2</v>
      </c>
      <c r="DH54" s="258" t="e">
        <f>((((IF($R$5=0,$R$6,$R$5)))/(12*$R$19))+(((3*$R$15)/(2*IF($R$5=0,$R$6,$R$5)*$U$5*$R$19))*'IN-OUT'!$F$15))*'Burland damage classification'!DL54</f>
        <v>#DIV/0!</v>
      </c>
      <c r="DI54" s="262">
        <f>(1+(((IF($R$5=0,$R$6^2,$R$5^2))*$U$5)/(18*$R$15))*('IN-OUT'!$F$15^(-1)))*DM54</f>
        <v>9.0700973901423269E-4</v>
      </c>
      <c r="DJ54" s="254" t="e">
        <f t="shared" si="21"/>
        <v>#DIV/0!</v>
      </c>
      <c r="DK54" s="254" t="e">
        <f t="shared" si="45"/>
        <v>#DIV/0!</v>
      </c>
      <c r="DL54" s="254">
        <f t="shared" si="69"/>
        <v>7.4666666666666707E-4</v>
      </c>
      <c r="DM54" s="253">
        <f t="shared" si="87"/>
        <v>9.0700973901423269E-4</v>
      </c>
      <c r="DN54" s="253">
        <f t="shared" si="70"/>
        <v>2.5333333333333344E-4</v>
      </c>
      <c r="DO54" s="255">
        <f t="shared" si="46"/>
        <v>2.5333333333333343E-2</v>
      </c>
      <c r="DQ54" s="258" t="e">
        <f>((((IF($R$5=0,$R$6,$R$5)))/(12*$R$19))+(((3*$R$15)/(2*IF($R$5=0,$R$6,$R$5)*$U$5*$R$19))*'IN-OUT'!$F$15))*'Burland damage classification'!DU54</f>
        <v>#DIV/0!</v>
      </c>
      <c r="DR54" s="262">
        <f>(1+(((IF($R$5=0,$R$6^2,$R$5^2))*$U$5)/(18*$R$15))*('IN-OUT'!$F$15^(-1)))*DV54</f>
        <v>1.90927560434143E-3</v>
      </c>
      <c r="DS54" s="254" t="e">
        <f t="shared" si="23"/>
        <v>#DIV/0!</v>
      </c>
      <c r="DT54" s="254" t="e">
        <f t="shared" si="47"/>
        <v>#DIV/0!</v>
      </c>
      <c r="DU54" s="254">
        <f t="shared" si="71"/>
        <v>1.7466666666666648E-3</v>
      </c>
      <c r="DV54" s="270">
        <f t="shared" si="24"/>
        <v>1.90927560434143E-3</v>
      </c>
      <c r="DW54" s="253">
        <f t="shared" si="72"/>
        <v>2.5333333333333344E-4</v>
      </c>
      <c r="DX54" s="255">
        <f t="shared" si="48"/>
        <v>2.5333333333333343E-2</v>
      </c>
      <c r="EA54" s="1237"/>
      <c r="EB54" s="1226"/>
      <c r="EC54" s="451">
        <v>1</v>
      </c>
      <c r="ED54" s="435">
        <f>'transversal subsidence profile'!$L$5*EXP(-(EF17^2)/(2*'transversal subsidence profile'!$J$5^2))*100</f>
        <v>2.617993877991494</v>
      </c>
      <c r="EE54" s="428">
        <f>'transversal subsidence profile'!$L$5*EF17/'transversal subsidence profile'!$B$5*EXP(-(EF17^2)/(2*'transversal subsidence profile'!$J$5^2))*100</f>
        <v>0</v>
      </c>
      <c r="EF54" s="436">
        <f>('transversal subsidence profile'!$L$5/'transversal subsidence profile'!$B$5)*(1-((EF17^2)/(('transversal subsidence profile'!$J$5)^2)))*EXP(-(EF17^2)/(2*(('transversal subsidence profile'!$J$5)^2)))*100</f>
        <v>0.17453292519943295</v>
      </c>
      <c r="EG54" s="440">
        <f>'transversal subsidence profile'!$L$6*EXP(-(((EF17+$DZ$4))^2)/(2*'transversal subsidence profile'!$J$6^2))*100</f>
        <v>0.87372870216931453</v>
      </c>
      <c r="EH54" s="429">
        <f>'transversal subsidence profile'!$L$6*(EF17+$DZ$4)/'transversal subsidence profile'!$F$5*EXP(-((EF17+$DZ$4)^2)/(2*'transversal subsidence profile'!$J$6^2))*100</f>
        <v>0.58248580144620965</v>
      </c>
      <c r="EI54" s="441">
        <f>('transversal subsidence profile'!$L$6/'transversal subsidence profile'!$F$5)*(1-(EF17+$DZ$4)^2/(('transversal subsidence profile'!$J$6)^2))*EXP(-((EF17+$DZ$4)^2)/(2*(('transversal subsidence profile'!$J$6)^2)))*100</f>
        <v>-6.9594668458113657E-2</v>
      </c>
      <c r="EK54" s="445">
        <f>IF('IN-OUT'!$F$26=0,EG54,IF('IN-OUT'!$F$35=0,ED54,ED54+EG54))</f>
        <v>3.4917225801608085</v>
      </c>
      <c r="EL54" s="445">
        <f>IF('IN-OUT'!$F$26=0,EH54,IF('IN-OUT'!$F$35=0,EE54,EE54+EH54))</f>
        <v>0.58248580144620965</v>
      </c>
      <c r="EM54" s="563">
        <f>IF('IN-OUT'!$F$26=0,EI54,IF('IN-OUT'!$F$35=0,EF54,EF54+EI54))</f>
        <v>0.10493825674131929</v>
      </c>
      <c r="EO54" s="463">
        <f>IF(AND($EK$52=$EK$53,$EK$56&gt;$EK$52),$EK$56-$EK$52,IF(AND($EK$52=$EK$53,$EK$56&lt;$EK$52),$EK$52-$EK$56,0))</f>
        <v>0</v>
      </c>
      <c r="EP54" s="370" t="e">
        <f>IF($EK$52&lt;$EK$53,($EK$53-$EK$52)/($EF$10-$EF$9),($EK$52-$EK$53)/($EF$10-$EF$9))</f>
        <v>#DIV/0!</v>
      </c>
      <c r="EQ54" s="370" t="e">
        <f>IF($EK$52&lt;$EK$53,(EA17*$EF$24*$EP$54)+$EK$52,((($EF$10-$EF$9)-($EF$24*EA17))*$EP$54)+$EK$53)</f>
        <v>#DIV/0!</v>
      </c>
      <c r="ER54" s="370">
        <f>IF(EK52=EK53,0,IF($EQ$54&gt;$EK$54,($EQ$54-$EK$54),($EK$54-$EQ$54)))</f>
        <v>0</v>
      </c>
      <c r="ES54" s="447">
        <f>MAX(ER54,EO54)</f>
        <v>0</v>
      </c>
      <c r="EV54" s="566" t="s">
        <v>265</v>
      </c>
      <c r="EW54" s="567" t="s">
        <v>264</v>
      </c>
      <c r="EZ54" t="e">
        <f>EV56/(((MAX(R5:R7)/(12*R19)+((((3*R15)/(2*R19*MAX(R5:R7)*U5))*'IN-OUT'!F15)))))</f>
        <v>#DIV/0!</v>
      </c>
      <c r="FA54">
        <f>EV56/(1+(((U5*(MAX(R5:R7))^2)/(18*R15))*('IN-OUT'!F15^-1)))</f>
        <v>0</v>
      </c>
      <c r="FB54" t="e">
        <f>EZ54+EW56</f>
        <v>#DIV/0!</v>
      </c>
      <c r="FC54" t="e">
        <f>EW56*0.35+((EW56^2*(0.35^2))+FA54^2)^0.5</f>
        <v>#DIV/0!</v>
      </c>
      <c r="FD54" s="239" t="str">
        <f>IF(R11="no building","",MAX(FB54:FC54))</f>
        <v/>
      </c>
      <c r="FE54" s="652" t="str">
        <f>IF( R11="no building","",IF(FD54&lt;($P$25*100),0,IF(FD54&lt;($P$26*100),1,IF(FD54&lt;($P$27*100),2,IF(FD54&lt;($P$28*100),3,IF(FD54&gt;($P$28*100),4))))))</f>
        <v/>
      </c>
      <c r="FF54" s="651" t="str">
        <f>IF(R11="no building","",IF(FE54=0,"Negligible",IF(FE54=1,"Very Slight",IF(FE54=2,"Slight",IF(FE54=3,"Moderate",IF(FE54=4,"Severe"))))))</f>
        <v/>
      </c>
    </row>
    <row r="55" spans="22:162" ht="15.6">
      <c r="V55" s="258">
        <f>(((IF($P$5&lt;&gt;0,$P$5,IF($P$6&lt;&gt;0,$P$6,IF($P$7&lt;&gt;0,$P$7,0))))/(12*$P$19))+(((3*$P$15)/(2*(IF($P$5&lt;&gt;0,$P$5,IF($P$6&lt;&gt;0,$P$6,IF($P$7&lt;&gt;0,$P$7,0))))*$U$5*$P$19))*'IN-OUT'!$F$15))*'Burland damage classification'!Z55</f>
        <v>2.3541116695119491E-4</v>
      </c>
      <c r="W55" s="262">
        <f>(1+(((IF($P$5&lt;&gt;0,$P$5^2,IF($P$6&lt;&gt;0,$P$6^2,IF($P$7&lt;&gt;0,$P$7^2))))*$U$5)/(18*$P$15))*('IN-OUT'!$F$15^(-1)))*AA55</f>
        <v>2.3726657960291447E-4</v>
      </c>
      <c r="X55" s="262">
        <f t="shared" si="73"/>
        <v>2.3541116695119491E-4</v>
      </c>
      <c r="Y55" s="262">
        <f t="shared" si="25"/>
        <v>2.3541116695119491E-2</v>
      </c>
      <c r="Z55" s="916">
        <f t="shared" si="49"/>
        <v>7.3333333333333453E-5</v>
      </c>
      <c r="AA55" s="270">
        <f t="shared" si="74"/>
        <v>2.2459840703897352E-4</v>
      </c>
      <c r="AB55" s="270">
        <f t="shared" si="50"/>
        <v>2.6000000000000009E-4</v>
      </c>
      <c r="AC55" s="271">
        <f t="shared" si="26"/>
        <v>2.6000000000000009E-2</v>
      </c>
      <c r="AE55" s="258">
        <f>(((IF($P$5&lt;&gt;0,$P$5,IF($P$6&lt;&gt;0,$P$6,IF($P$7&lt;&gt;0,$P$7,0))))/(12*$P$19))+(((3*$P$15)/(2*(IF($P$5&lt;&gt;0,$P$5,IF($P$6&lt;&gt;0,$P$6,IF($P$7&lt;&gt;0,$P$7,0))))*$U$5*$P$19))*'IN-OUT'!$F$15))*'Burland damage classification'!AI55</f>
        <v>7.7043654638572973E-4</v>
      </c>
      <c r="AF55" s="254">
        <f>(1+(((IF($P$5&lt;&gt;0,$P$5^2,IF($P$6&lt;&gt;0,$P$6^2,IF($P$7&lt;&gt;0,$P$7^2))))*$U$5)/(18*$P$15))*('IN-OUT'!$F$15^(-1)))*AJ55</f>
        <v>4.2123889033244416E-4</v>
      </c>
      <c r="AG55" s="254">
        <f t="shared" si="75"/>
        <v>4.2123889033244416E-4</v>
      </c>
      <c r="AH55" s="254">
        <f t="shared" si="27"/>
        <v>4.2123889033244419E-2</v>
      </c>
      <c r="AI55" s="254">
        <f t="shared" si="51"/>
        <v>2.4000000000000071E-4</v>
      </c>
      <c r="AJ55" s="253">
        <f t="shared" si="76"/>
        <v>3.9874804074753765E-4</v>
      </c>
      <c r="AK55" s="253">
        <f t="shared" si="52"/>
        <v>2.6000000000000009E-4</v>
      </c>
      <c r="AL55" s="255">
        <f t="shared" si="28"/>
        <v>2.6000000000000009E-2</v>
      </c>
      <c r="AN55" s="258">
        <f>(((IF($P$5&lt;&gt;0,$P$5,IF($P$6&lt;&gt;0,$P$6,IF($P$7&lt;&gt;0,$P$7,0))))/(12*$P$19))+(((3*$P$15)/(2*(IF($P$5&lt;&gt;0,$P$5,IF($P$6&lt;&gt;0,$P$6,IF($P$7&lt;&gt;0,$P$7,0))))*$U$5*$P$19))*'IN-OUT'!$F$15))*'Burland damage classification'!AR55</f>
        <v>2.375512684689328E-3</v>
      </c>
      <c r="AO55" s="254">
        <f>(1+(((IF($P$5&lt;&gt;0,$P$5^2,IF($P$6&lt;&gt;0,$P$6^2,IF($P$7&lt;&gt;0,$P$7^2))))*$U$5)/(18*$P$15))*('IN-OUT'!$F$15^(-1)))*AS55</f>
        <v>9.5544688688585728E-4</v>
      </c>
      <c r="AP55" s="254">
        <f t="shared" si="77"/>
        <v>9.5544688688585728E-4</v>
      </c>
      <c r="AQ55" s="254">
        <f t="shared" si="29"/>
        <v>9.5544688688585733E-2</v>
      </c>
      <c r="AR55" s="254">
        <f t="shared" si="53"/>
        <v>7.4000000000000042E-4</v>
      </c>
      <c r="AS55" s="253">
        <f t="shared" si="78"/>
        <v>9.0443352436760094E-4</v>
      </c>
      <c r="AT55" s="253">
        <f t="shared" si="54"/>
        <v>2.6000000000000009E-4</v>
      </c>
      <c r="AU55" s="255">
        <f t="shared" si="30"/>
        <v>2.6000000000000009E-2</v>
      </c>
      <c r="AW55" s="258">
        <f>(((IF($P$5&lt;&gt;0,$P$5,IF($P$6&lt;&gt;0,$P$6,IF($P$7&lt;&gt;0,$P$7,0))))/(12*$P$19))+(((3*$P$15)/(2*(IF($P$5&lt;&gt;0,$P$5,IF($P$6&lt;&gt;0,$P$6,IF($P$7&lt;&gt;0,$P$7,0))))*$U$5*$P$19))*'IN-OUT'!$F$15))*'Burland damage classification'!BA55</f>
        <v>5.5856649612965178E-3</v>
      </c>
      <c r="AX55" s="254">
        <f>(1+(((IF($P$5&lt;&gt;0,$P$5^2,IF($P$6&lt;&gt;0,$P$6^2,IF($P$7&lt;&gt;0,$P$7^2))))*$U$5)/(18*$P$15))*('IN-OUT'!$F$15^(-1)))*BB55</f>
        <v>2.0143820144479015E-3</v>
      </c>
      <c r="AY55" s="254">
        <f t="shared" si="79"/>
        <v>2.0143820144479015E-3</v>
      </c>
      <c r="AZ55" s="254">
        <f t="shared" si="31"/>
        <v>0.20143820144479016</v>
      </c>
      <c r="BA55" s="254">
        <f t="shared" si="55"/>
        <v>1.7399999999999981E-3</v>
      </c>
      <c r="BB55" s="270">
        <f t="shared" si="8"/>
        <v>1.9068298298484843E-3</v>
      </c>
      <c r="BC55" s="253">
        <f t="shared" si="56"/>
        <v>2.6000000000000009E-4</v>
      </c>
      <c r="BD55" s="255">
        <f t="shared" si="32"/>
        <v>2.6000000000000009E-2</v>
      </c>
      <c r="BF55" s="258" t="e">
        <f>((((IF($Q$5=0,$Q$6,$Q$5)))/(12*$Q$19))+(((3*$Q$15)/(2*IF($Q$5=0,$Q$6,$Q$5)*$U$5*$Q$19))*'IN-OUT'!$F$15))*'Burland damage classification'!BJ55</f>
        <v>#DIV/0!</v>
      </c>
      <c r="BG55" s="262">
        <f>(1+(((IF($Q$5=0,$Q$6^2,$Q$5^2))*$U$5)/(18*$Q$15))*('IN-OUT'!$F$15^(-1)))*BK55</f>
        <v>2.2459840703897352E-4</v>
      </c>
      <c r="BH55" s="262" t="e">
        <f t="shared" si="80"/>
        <v>#DIV/0!</v>
      </c>
      <c r="BI55" s="262" t="e">
        <f t="shared" si="33"/>
        <v>#DIV/0!</v>
      </c>
      <c r="BJ55" s="262">
        <f t="shared" si="57"/>
        <v>7.3333333333333453E-5</v>
      </c>
      <c r="BK55" s="270">
        <f t="shared" si="81"/>
        <v>2.2459840703897352E-4</v>
      </c>
      <c r="BL55" s="270">
        <f t="shared" si="58"/>
        <v>2.6000000000000009E-4</v>
      </c>
      <c r="BM55" s="271">
        <f t="shared" si="34"/>
        <v>2.6000000000000009E-2</v>
      </c>
      <c r="BO55" s="258" t="e">
        <f>((((IF($Q$5=0,$Q$6,$Q$5)))/(12*$Q$19))+(((3*$Q$15)/(2*IF($Q$5=0,$Q$6,$Q$5)*$U$5*$Q$19))*'IN-OUT'!$F$15))*'Burland damage classification'!BS55</f>
        <v>#DIV/0!</v>
      </c>
      <c r="BP55" s="262">
        <f>(1+(((IF($Q$5=0,$Q$6^2,$Q$5^2))*$U$5)/(18*$Q$15))*('IN-OUT'!$F$15^(-1)))*BT55</f>
        <v>3.9874804074753765E-4</v>
      </c>
      <c r="BQ55" s="254" t="e">
        <f t="shared" si="11"/>
        <v>#DIV/0!</v>
      </c>
      <c r="BR55" s="254" t="e">
        <f t="shared" si="35"/>
        <v>#DIV/0!</v>
      </c>
      <c r="BS55" s="254">
        <f t="shared" si="59"/>
        <v>2.4000000000000071E-4</v>
      </c>
      <c r="BT55" s="253">
        <f t="shared" si="82"/>
        <v>3.9874804074753765E-4</v>
      </c>
      <c r="BU55" s="253">
        <f t="shared" si="60"/>
        <v>2.6000000000000009E-4</v>
      </c>
      <c r="BV55" s="255">
        <f t="shared" si="36"/>
        <v>2.6000000000000009E-2</v>
      </c>
      <c r="BX55" s="258" t="e">
        <f>((((IF($Q$5=0,$Q$6,$Q$5)))/(12*$Q$19))+(((3*$Q$15)/(2*IF($Q$5=0,$Q$6,$Q$5)*$U$5*$Q$19))*'IN-OUT'!$F$15))*'Burland damage classification'!CB55</f>
        <v>#DIV/0!</v>
      </c>
      <c r="BY55" s="262">
        <f>(1+(((IF($Q$5=0,$Q$6^2,$Q$5^2))*$U$5)/(18*$Q$15))*('IN-OUT'!$F$15^(-1)))*CC55</f>
        <v>9.0443352436760094E-4</v>
      </c>
      <c r="BZ55" s="254" t="e">
        <f t="shared" si="13"/>
        <v>#DIV/0!</v>
      </c>
      <c r="CA55" s="254" t="e">
        <f t="shared" si="37"/>
        <v>#DIV/0!</v>
      </c>
      <c r="CB55" s="254">
        <f t="shared" si="61"/>
        <v>7.4000000000000042E-4</v>
      </c>
      <c r="CC55" s="253">
        <f t="shared" si="83"/>
        <v>9.0443352436760094E-4</v>
      </c>
      <c r="CD55" s="253">
        <f t="shared" si="62"/>
        <v>2.6000000000000009E-4</v>
      </c>
      <c r="CE55" s="255">
        <f t="shared" si="38"/>
        <v>2.6000000000000009E-2</v>
      </c>
      <c r="CG55" s="258" t="e">
        <f>((((IF($Q$5=0,$Q$6,$Q$5)))/(12*$Q$19))+(((3*$Q$15)/(2*IF($Q$5=0,$Q$6,$Q$5)*$U$5*$Q$19))*'IN-OUT'!$F$15))*'Burland damage classification'!CK55</f>
        <v>#DIV/0!</v>
      </c>
      <c r="CH55" s="262">
        <f>(1+(((IF($Q$5=0,$Q$6^2,$Q$5^2))*$U$5)/(18*$Q$15))*('IN-OUT'!$F$15^(-1)))*CL55</f>
        <v>1.9068298298484843E-3</v>
      </c>
      <c r="CI55" s="254" t="e">
        <f t="shared" si="15"/>
        <v>#DIV/0!</v>
      </c>
      <c r="CJ55" s="254" t="e">
        <f t="shared" si="39"/>
        <v>#DIV/0!</v>
      </c>
      <c r="CK55" s="254">
        <f t="shared" si="63"/>
        <v>1.7399999999999981E-3</v>
      </c>
      <c r="CL55" s="270">
        <f t="shared" si="16"/>
        <v>1.9068298298484843E-3</v>
      </c>
      <c r="CM55" s="253">
        <f t="shared" si="64"/>
        <v>2.6000000000000009E-4</v>
      </c>
      <c r="CN55" s="255">
        <f t="shared" si="40"/>
        <v>2.6000000000000009E-2</v>
      </c>
      <c r="CP55" s="258" t="e">
        <f>((((IF($R$5=0,$R$6,$R$5)))/(12*$R$19))+(((3*$R$15)/(2*IF($R$5=0,$R$6,$R$5)*$U$5*$R$19))*'IN-OUT'!$F$15))*'Burland damage classification'!CT55</f>
        <v>#DIV/0!</v>
      </c>
      <c r="CQ55" s="262">
        <f>(1+(((IF($R$5=0,$R$6^2,$R$5^2))*$U$5)/(18*$R$15))*('IN-OUT'!$F$15^(-1)))*CU55</f>
        <v>2.2459840703897352E-4</v>
      </c>
      <c r="CR55" s="262" t="e">
        <f t="shared" si="84"/>
        <v>#DIV/0!</v>
      </c>
      <c r="CS55" s="262" t="e">
        <f t="shared" si="41"/>
        <v>#DIV/0!</v>
      </c>
      <c r="CT55" s="262">
        <f t="shared" si="65"/>
        <v>7.3333333333333453E-5</v>
      </c>
      <c r="CU55" s="270">
        <f t="shared" si="85"/>
        <v>2.2459840703897352E-4</v>
      </c>
      <c r="CV55" s="270">
        <f t="shared" si="66"/>
        <v>2.6000000000000009E-4</v>
      </c>
      <c r="CW55" s="271">
        <f t="shared" si="42"/>
        <v>2.6000000000000009E-2</v>
      </c>
      <c r="CY55" s="258" t="e">
        <f>((((IF($R$5=0,$R$6,$R$5)))/(12*$R$19))+(((3*$R$15)/(2*IF($R$5=0,$R$6,$R$5)*$U$5*$R$19))*'IN-OUT'!$F$15))*'Burland damage classification'!DC55</f>
        <v>#DIV/0!</v>
      </c>
      <c r="CZ55" s="262">
        <f>(1+(((IF($R$5=0,$R$6^2,$R$5^2))*$U$5)/(18*$R$15))*('IN-OUT'!$F$15^(-1)))*DD55</f>
        <v>3.9874804074753765E-4</v>
      </c>
      <c r="DA55" s="254" t="e">
        <f t="shared" si="19"/>
        <v>#DIV/0!</v>
      </c>
      <c r="DB55" s="254" t="e">
        <f t="shared" si="43"/>
        <v>#DIV/0!</v>
      </c>
      <c r="DC55" s="254">
        <f t="shared" si="67"/>
        <v>2.4000000000000071E-4</v>
      </c>
      <c r="DD55" s="253">
        <f t="shared" si="86"/>
        <v>3.9874804074753765E-4</v>
      </c>
      <c r="DE55" s="253">
        <f t="shared" si="68"/>
        <v>2.6000000000000009E-4</v>
      </c>
      <c r="DF55" s="255">
        <f t="shared" si="44"/>
        <v>2.6000000000000009E-2</v>
      </c>
      <c r="DH55" s="258" t="e">
        <f>((((IF($R$5=0,$R$6,$R$5)))/(12*$R$19))+(((3*$R$15)/(2*IF($R$5=0,$R$6,$R$5)*$U$5*$R$19))*'IN-OUT'!$F$15))*'Burland damage classification'!DL55</f>
        <v>#DIV/0!</v>
      </c>
      <c r="DI55" s="262">
        <f>(1+(((IF($R$5=0,$R$6^2,$R$5^2))*$U$5)/(18*$R$15))*('IN-OUT'!$F$15^(-1)))*DM55</f>
        <v>9.0443352436760094E-4</v>
      </c>
      <c r="DJ55" s="254" t="e">
        <f t="shared" si="21"/>
        <v>#DIV/0!</v>
      </c>
      <c r="DK55" s="254" t="e">
        <f t="shared" si="45"/>
        <v>#DIV/0!</v>
      </c>
      <c r="DL55" s="254">
        <f t="shared" si="69"/>
        <v>7.4000000000000042E-4</v>
      </c>
      <c r="DM55" s="253">
        <f t="shared" si="87"/>
        <v>9.0443352436760094E-4</v>
      </c>
      <c r="DN55" s="253">
        <f t="shared" si="70"/>
        <v>2.6000000000000009E-4</v>
      </c>
      <c r="DO55" s="255">
        <f t="shared" si="46"/>
        <v>2.6000000000000009E-2</v>
      </c>
      <c r="DQ55" s="258" t="e">
        <f>((((IF($R$5=0,$R$6,$R$5)))/(12*$R$19))+(((3*$R$15)/(2*IF($R$5=0,$R$6,$R$5)*$U$5*$R$19))*'IN-OUT'!$F$15))*'Burland damage classification'!DU55</f>
        <v>#DIV/0!</v>
      </c>
      <c r="DR55" s="262">
        <f>(1+(((IF($R$5=0,$R$6^2,$R$5^2))*$U$5)/(18*$R$15))*('IN-OUT'!$F$15^(-1)))*DV55</f>
        <v>1.9068298298484843E-3</v>
      </c>
      <c r="DS55" s="254" t="e">
        <f t="shared" si="23"/>
        <v>#DIV/0!</v>
      </c>
      <c r="DT55" s="254" t="e">
        <f t="shared" si="47"/>
        <v>#DIV/0!</v>
      </c>
      <c r="DU55" s="254">
        <f t="shared" si="71"/>
        <v>1.7399999999999981E-3</v>
      </c>
      <c r="DV55" s="270">
        <f t="shared" si="24"/>
        <v>1.9068298298484843E-3</v>
      </c>
      <c r="DW55" s="253">
        <f t="shared" si="72"/>
        <v>2.6000000000000009E-4</v>
      </c>
      <c r="DX55" s="255">
        <f t="shared" si="48"/>
        <v>2.6000000000000009E-2</v>
      </c>
      <c r="EA55" s="1237"/>
      <c r="EB55" s="1226"/>
      <c r="EC55" s="452">
        <v>2</v>
      </c>
      <c r="ED55" s="435">
        <f>'transversal subsidence profile'!$L$5*EXP(-(EF18^2)/(2*'transversal subsidence profile'!$J$5^2))*100</f>
        <v>2.617993877991494</v>
      </c>
      <c r="EE55" s="428">
        <f>'transversal subsidence profile'!$L$5*EF18/'transversal subsidence profile'!$B$5*EXP(-(EF18^2)/(2*'transversal subsidence profile'!$J$5^2))*100</f>
        <v>0</v>
      </c>
      <c r="EF55" s="436">
        <f>('transversal subsidence profile'!$L$5/'transversal subsidence profile'!$B$5)*(1-((EF18^2)/(('transversal subsidence profile'!$J$5)^2)))*EXP(-(EF18^2)/(2*(('transversal subsidence profile'!$J$5)^2)))*100</f>
        <v>0.17453292519943295</v>
      </c>
      <c r="EG55" s="440">
        <f>'transversal subsidence profile'!$L$6*EXP(-(((EF18+$DZ$4))^2)/(2*'transversal subsidence profile'!$J$6^2))*100</f>
        <v>0.87372870216931453</v>
      </c>
      <c r="EH55" s="429">
        <f>'transversal subsidence profile'!$L$6*(EF18+$DZ$4)/'transversal subsidence profile'!$F$5*EXP(-((EF18+$DZ$4)^2)/(2*'transversal subsidence profile'!$J$6^2))*100</f>
        <v>0.58248580144620965</v>
      </c>
      <c r="EI55" s="441">
        <f>('transversal subsidence profile'!$L$6/'transversal subsidence profile'!$F$5)*(1-(EF18+$DZ$4)^2/(('transversal subsidence profile'!$J$6)^2))*EXP(-((EF18+$DZ$4)^2)/(2*(('transversal subsidence profile'!$J$6)^2)))*100</f>
        <v>-6.9594668458113657E-2</v>
      </c>
      <c r="EJ55" s="431"/>
      <c r="EK55" s="445">
        <f>IF('IN-OUT'!$F$26=0,EG55,IF('IN-OUT'!$F$35=0,ED55,ED55+EG55))</f>
        <v>3.4917225801608085</v>
      </c>
      <c r="EL55" s="445">
        <f>IF('IN-OUT'!$F$26=0,EH55,IF('IN-OUT'!$F$35=0,EE55,EE55+EH55))</f>
        <v>0.58248580144620965</v>
      </c>
      <c r="EM55" s="563">
        <f>IF('IN-OUT'!$F$26=0,EI55,IF('IN-OUT'!$F$35=0,EF55,EF55+EI55))</f>
        <v>0.10493825674131929</v>
      </c>
      <c r="EO55" s="463">
        <f>IF(AND($EK$52=$EK$53,$EK$56&gt;$EK$52),$EK$56-$EK$52,IF(AND($EK$52=$EK$53,$EK$56&lt;$EK$52),$EK$52-$EK$56,0))</f>
        <v>0</v>
      </c>
      <c r="EP55" s="370" t="e">
        <f>IF($EK$52&lt;$EK$53,($EK$53-$EK$52)/($EF$10-$EF$9),($EK$52-$EK$53)/($EF$10-$EF$9))</f>
        <v>#DIV/0!</v>
      </c>
      <c r="EQ55" s="370" t="e">
        <f>IF($EK$52&lt;$EK$53,(EA18*$EF$24*$EP$54)+$EK$52,((($EF$10-$EF$9)-($EF$24*EA18))*$EP$54)+$EK$53)</f>
        <v>#DIV/0!</v>
      </c>
      <c r="ER55" s="370">
        <f>IF(EK52=EK53,0,IF($EQ$55&gt;$EK$55,($EQ$55-$EK$55),($EK$55-$EQ$55)))</f>
        <v>0</v>
      </c>
      <c r="ES55" s="447">
        <f>MAX(ER55,EO55)</f>
        <v>0</v>
      </c>
      <c r="EV55" s="568"/>
      <c r="EW55" s="255"/>
      <c r="FE55" s="681"/>
      <c r="FF55" s="681"/>
    </row>
    <row r="56" spans="22:162" ht="13.8" thickBot="1">
      <c r="V56" s="258">
        <f>(((IF($P$5&lt;&gt;0,$P$5,IF($P$6&lt;&gt;0,$P$6,IF($P$7&lt;&gt;0,$P$7,0))))/(12*$P$19))+(((3*$P$15)/(2*(IF($P$5&lt;&gt;0,$P$5,IF($P$6&lt;&gt;0,$P$6,IF($P$7&lt;&gt;0,$P$7,0))))*$U$5*$P$19))*'IN-OUT'!$F$15))*'Burland damage classification'!Z56</f>
        <v>2.1401015177381359E-4</v>
      </c>
      <c r="W56" s="262">
        <f>(1+(((IF($P$5&lt;&gt;0,$P$5^2,IF($P$6&lt;&gt;0,$P$6^2,IF($P$7&lt;&gt;0,$P$7^2))))*$U$5)/(18*$P$15))*('IN-OUT'!$F$15^(-1)))*AA56</f>
        <v>2.3357963819613009E-4</v>
      </c>
      <c r="X56" s="262">
        <f t="shared" si="73"/>
        <v>2.1401015177381359E-4</v>
      </c>
      <c r="Y56" s="262">
        <f t="shared" si="25"/>
        <v>2.1401015177381359E-2</v>
      </c>
      <c r="Z56" s="916">
        <f t="shared" si="49"/>
        <v>6.6666666666666792E-5</v>
      </c>
      <c r="AA56" s="270">
        <f t="shared" si="74"/>
        <v>2.2110831935702663E-4</v>
      </c>
      <c r="AB56" s="270">
        <f t="shared" si="50"/>
        <v>2.6666666666666673E-4</v>
      </c>
      <c r="AC56" s="271">
        <f t="shared" si="26"/>
        <v>2.6666666666666672E-2</v>
      </c>
      <c r="AE56" s="258">
        <f>(((IF($P$5&lt;&gt;0,$P$5,IF($P$6&lt;&gt;0,$P$6,IF($P$7&lt;&gt;0,$P$7,0))))/(12*$P$19))+(((3*$P$15)/(2*(IF($P$5&lt;&gt;0,$P$5,IF($P$6&lt;&gt;0,$P$6,IF($P$7&lt;&gt;0,$P$7,0))))*$U$5*$P$19))*'IN-OUT'!$F$15))*'Burland damage classification'!AI56</f>
        <v>7.4903553120834847E-4</v>
      </c>
      <c r="AF56" s="254">
        <f>(1+(((IF($P$5&lt;&gt;0,$P$5^2,IF($P$6&lt;&gt;0,$P$6^2,IF($P$7&lt;&gt;0,$P$7^2))))*$U$5)/(18*$P$15))*('IN-OUT'!$F$15^(-1)))*AJ56</f>
        <v>4.1813661535861963E-4</v>
      </c>
      <c r="AG56" s="254">
        <f t="shared" si="75"/>
        <v>4.1813661535861963E-4</v>
      </c>
      <c r="AH56" s="254">
        <f t="shared" si="27"/>
        <v>4.1813661535861961E-2</v>
      </c>
      <c r="AI56" s="254">
        <f t="shared" si="51"/>
        <v>2.3333333333333404E-4</v>
      </c>
      <c r="AJ56" s="253">
        <f t="shared" si="76"/>
        <v>3.9581140290126382E-4</v>
      </c>
      <c r="AK56" s="253">
        <f t="shared" si="52"/>
        <v>2.6666666666666673E-4</v>
      </c>
      <c r="AL56" s="255">
        <f t="shared" si="28"/>
        <v>2.6666666666666672E-2</v>
      </c>
      <c r="AN56" s="258">
        <f>(((IF($P$5&lt;&gt;0,$P$5,IF($P$6&lt;&gt;0,$P$6,IF($P$7&lt;&gt;0,$P$7,0))))/(12*$P$19))+(((3*$P$15)/(2*(IF($P$5&lt;&gt;0,$P$5,IF($P$6&lt;&gt;0,$P$6,IF($P$7&lt;&gt;0,$P$7,0))))*$U$5*$P$19))*'IN-OUT'!$F$15))*'Burland damage classification'!AR56</f>
        <v>2.3541116695119466E-3</v>
      </c>
      <c r="AO56" s="254">
        <f>(1+(((IF($P$5&lt;&gt;0,$P$5^2,IF($P$6&lt;&gt;0,$P$6^2,IF($P$7&lt;&gt;0,$P$7^2))))*$U$5)/(18*$P$15))*('IN-OUT'!$F$15^(-1)))*AS56</f>
        <v>9.5271759006013059E-4</v>
      </c>
      <c r="AP56" s="254">
        <f t="shared" si="77"/>
        <v>9.5271759006013059E-4</v>
      </c>
      <c r="AQ56" s="254">
        <f t="shared" si="29"/>
        <v>9.5271759006013063E-2</v>
      </c>
      <c r="AR56" s="254">
        <f t="shared" si="53"/>
        <v>7.3333333333333378E-4</v>
      </c>
      <c r="AS56" s="253">
        <f t="shared" si="78"/>
        <v>9.018499505645788E-4</v>
      </c>
      <c r="AT56" s="253">
        <f t="shared" si="54"/>
        <v>2.6666666666666673E-4</v>
      </c>
      <c r="AU56" s="255">
        <f t="shared" si="30"/>
        <v>2.6666666666666672E-2</v>
      </c>
      <c r="AW56" s="258">
        <f>(((IF($P$5&lt;&gt;0,$P$5,IF($P$6&lt;&gt;0,$P$6,IF($P$7&lt;&gt;0,$P$7,0))))/(12*$P$19))+(((3*$P$15)/(2*(IF($P$5&lt;&gt;0,$P$5,IF($P$6&lt;&gt;0,$P$6,IF($P$7&lt;&gt;0,$P$7,0))))*$U$5*$P$19))*'IN-OUT'!$F$15))*'Burland damage classification'!BA56</f>
        <v>5.5642639461191369E-3</v>
      </c>
      <c r="AX56" s="254">
        <f>(1+(((IF($P$5&lt;&gt;0,$P$5^2,IF($P$6&lt;&gt;0,$P$6^2,IF($P$7&lt;&gt;0,$P$7^2))))*$U$5)/(18*$P$15))*('IN-OUT'!$F$15^(-1)))*BB56</f>
        <v>2.0117949710722013E-3</v>
      </c>
      <c r="AY56" s="254">
        <f t="shared" si="79"/>
        <v>2.0117949710722013E-3</v>
      </c>
      <c r="AZ56" s="254">
        <f t="shared" si="31"/>
        <v>0.20117949710722013</v>
      </c>
      <c r="BA56" s="254">
        <f t="shared" si="55"/>
        <v>1.7333333333333313E-3</v>
      </c>
      <c r="BB56" s="270">
        <f t="shared" si="8"/>
        <v>1.9043809142780933E-3</v>
      </c>
      <c r="BC56" s="253">
        <f t="shared" si="56"/>
        <v>2.6666666666666673E-4</v>
      </c>
      <c r="BD56" s="255">
        <f t="shared" si="32"/>
        <v>2.6666666666666672E-2</v>
      </c>
      <c r="BF56" s="258" t="e">
        <f>((((IF($Q$5=0,$Q$6,$Q$5)))/(12*$Q$19))+(((3*$Q$15)/(2*IF($Q$5=0,$Q$6,$Q$5)*$U$5*$Q$19))*'IN-OUT'!$F$15))*'Burland damage classification'!BJ56</f>
        <v>#DIV/0!</v>
      </c>
      <c r="BG56" s="262">
        <f>(1+(((IF($Q$5=0,$Q$6^2,$Q$5^2))*$U$5)/(18*$Q$15))*('IN-OUT'!$F$15^(-1)))*BK56</f>
        <v>2.2110831935702663E-4</v>
      </c>
      <c r="BH56" s="262" t="e">
        <f t="shared" si="80"/>
        <v>#DIV/0!</v>
      </c>
      <c r="BI56" s="262" t="e">
        <f t="shared" si="33"/>
        <v>#DIV/0!</v>
      </c>
      <c r="BJ56" s="262">
        <f t="shared" si="57"/>
        <v>6.6666666666666792E-5</v>
      </c>
      <c r="BK56" s="270">
        <f t="shared" si="81"/>
        <v>2.2110831935702663E-4</v>
      </c>
      <c r="BL56" s="270">
        <f t="shared" si="58"/>
        <v>2.6666666666666673E-4</v>
      </c>
      <c r="BM56" s="271">
        <f t="shared" si="34"/>
        <v>2.6666666666666672E-2</v>
      </c>
      <c r="BO56" s="258" t="e">
        <f>((((IF($Q$5=0,$Q$6,$Q$5)))/(12*$Q$19))+(((3*$Q$15)/(2*IF($Q$5=0,$Q$6,$Q$5)*$U$5*$Q$19))*'IN-OUT'!$F$15))*'Burland damage classification'!BS56</f>
        <v>#DIV/0!</v>
      </c>
      <c r="BP56" s="262">
        <f>(1+(((IF($Q$5=0,$Q$6^2,$Q$5^2))*$U$5)/(18*$Q$15))*('IN-OUT'!$F$15^(-1)))*BT56</f>
        <v>3.9581140290126382E-4</v>
      </c>
      <c r="BQ56" s="254" t="e">
        <f t="shared" si="11"/>
        <v>#DIV/0!</v>
      </c>
      <c r="BR56" s="254" t="e">
        <f t="shared" si="35"/>
        <v>#DIV/0!</v>
      </c>
      <c r="BS56" s="254">
        <f t="shared" si="59"/>
        <v>2.3333333333333404E-4</v>
      </c>
      <c r="BT56" s="253">
        <f t="shared" si="82"/>
        <v>3.9581140290126382E-4</v>
      </c>
      <c r="BU56" s="253">
        <f t="shared" si="60"/>
        <v>2.6666666666666673E-4</v>
      </c>
      <c r="BV56" s="255">
        <f t="shared" si="36"/>
        <v>2.6666666666666672E-2</v>
      </c>
      <c r="BX56" s="258" t="e">
        <f>((((IF($Q$5=0,$Q$6,$Q$5)))/(12*$Q$19))+(((3*$Q$15)/(2*IF($Q$5=0,$Q$6,$Q$5)*$U$5*$Q$19))*'IN-OUT'!$F$15))*'Burland damage classification'!CB56</f>
        <v>#DIV/0!</v>
      </c>
      <c r="BY56" s="262">
        <f>(1+(((IF($Q$5=0,$Q$6^2,$Q$5^2))*$U$5)/(18*$Q$15))*('IN-OUT'!$F$15^(-1)))*CC56</f>
        <v>9.018499505645788E-4</v>
      </c>
      <c r="BZ56" s="254" t="e">
        <f t="shared" si="13"/>
        <v>#DIV/0!</v>
      </c>
      <c r="CA56" s="254" t="e">
        <f t="shared" si="37"/>
        <v>#DIV/0!</v>
      </c>
      <c r="CB56" s="254">
        <f t="shared" si="61"/>
        <v>7.3333333333333378E-4</v>
      </c>
      <c r="CC56" s="253">
        <f t="shared" si="83"/>
        <v>9.018499505645788E-4</v>
      </c>
      <c r="CD56" s="253">
        <f t="shared" si="62"/>
        <v>2.6666666666666673E-4</v>
      </c>
      <c r="CE56" s="255">
        <f t="shared" si="38"/>
        <v>2.6666666666666672E-2</v>
      </c>
      <c r="CG56" s="258" t="e">
        <f>((((IF($Q$5=0,$Q$6,$Q$5)))/(12*$Q$19))+(((3*$Q$15)/(2*IF($Q$5=0,$Q$6,$Q$5)*$U$5*$Q$19))*'IN-OUT'!$F$15))*'Burland damage classification'!CK56</f>
        <v>#DIV/0!</v>
      </c>
      <c r="CH56" s="262">
        <f>(1+(((IF($Q$5=0,$Q$6^2,$Q$5^2))*$U$5)/(18*$Q$15))*('IN-OUT'!$F$15^(-1)))*CL56</f>
        <v>1.9043809142780933E-3</v>
      </c>
      <c r="CI56" s="254" t="e">
        <f t="shared" si="15"/>
        <v>#DIV/0!</v>
      </c>
      <c r="CJ56" s="254" t="e">
        <f t="shared" si="39"/>
        <v>#DIV/0!</v>
      </c>
      <c r="CK56" s="254">
        <f t="shared" si="63"/>
        <v>1.7333333333333313E-3</v>
      </c>
      <c r="CL56" s="270">
        <f t="shared" si="16"/>
        <v>1.9043809142780933E-3</v>
      </c>
      <c r="CM56" s="253">
        <f t="shared" si="64"/>
        <v>2.6666666666666673E-4</v>
      </c>
      <c r="CN56" s="255">
        <f t="shared" si="40"/>
        <v>2.6666666666666672E-2</v>
      </c>
      <c r="CP56" s="258" t="e">
        <f>((((IF($R$5=0,$R$6,$R$5)))/(12*$R$19))+(((3*$R$15)/(2*IF($R$5=0,$R$6,$R$5)*$U$5*$R$19))*'IN-OUT'!$F$15))*'Burland damage classification'!CT56</f>
        <v>#DIV/0!</v>
      </c>
      <c r="CQ56" s="262">
        <f>(1+(((IF($R$5=0,$R$6^2,$R$5^2))*$U$5)/(18*$R$15))*('IN-OUT'!$F$15^(-1)))*CU56</f>
        <v>2.2110831935702663E-4</v>
      </c>
      <c r="CR56" s="262" t="e">
        <f t="shared" si="84"/>
        <v>#DIV/0!</v>
      </c>
      <c r="CS56" s="262" t="e">
        <f t="shared" si="41"/>
        <v>#DIV/0!</v>
      </c>
      <c r="CT56" s="262">
        <f t="shared" si="65"/>
        <v>6.6666666666666792E-5</v>
      </c>
      <c r="CU56" s="270">
        <f t="shared" si="85"/>
        <v>2.2110831935702663E-4</v>
      </c>
      <c r="CV56" s="270">
        <f t="shared" si="66"/>
        <v>2.6666666666666673E-4</v>
      </c>
      <c r="CW56" s="271">
        <f t="shared" si="42"/>
        <v>2.6666666666666672E-2</v>
      </c>
      <c r="CY56" s="258" t="e">
        <f>((((IF($R$5=0,$R$6,$R$5)))/(12*$R$19))+(((3*$R$15)/(2*IF($R$5=0,$R$6,$R$5)*$U$5*$R$19))*'IN-OUT'!$F$15))*'Burland damage classification'!DC56</f>
        <v>#DIV/0!</v>
      </c>
      <c r="CZ56" s="262">
        <f>(1+(((IF($R$5=0,$R$6^2,$R$5^2))*$U$5)/(18*$R$15))*('IN-OUT'!$F$15^(-1)))*DD56</f>
        <v>3.9581140290126382E-4</v>
      </c>
      <c r="DA56" s="254" t="e">
        <f t="shared" si="19"/>
        <v>#DIV/0!</v>
      </c>
      <c r="DB56" s="254" t="e">
        <f t="shared" si="43"/>
        <v>#DIV/0!</v>
      </c>
      <c r="DC56" s="254">
        <f t="shared" si="67"/>
        <v>2.3333333333333404E-4</v>
      </c>
      <c r="DD56" s="253">
        <f t="shared" si="86"/>
        <v>3.9581140290126382E-4</v>
      </c>
      <c r="DE56" s="253">
        <f t="shared" si="68"/>
        <v>2.6666666666666673E-4</v>
      </c>
      <c r="DF56" s="255">
        <f t="shared" si="44"/>
        <v>2.6666666666666672E-2</v>
      </c>
      <c r="DH56" s="258" t="e">
        <f>((((IF($R$5=0,$R$6,$R$5)))/(12*$R$19))+(((3*$R$15)/(2*IF($R$5=0,$R$6,$R$5)*$U$5*$R$19))*'IN-OUT'!$F$15))*'Burland damage classification'!DL56</f>
        <v>#DIV/0!</v>
      </c>
      <c r="DI56" s="262">
        <f>(1+(((IF($R$5=0,$R$6^2,$R$5^2))*$U$5)/(18*$R$15))*('IN-OUT'!$F$15^(-1)))*DM56</f>
        <v>9.018499505645788E-4</v>
      </c>
      <c r="DJ56" s="254" t="e">
        <f t="shared" si="21"/>
        <v>#DIV/0!</v>
      </c>
      <c r="DK56" s="254" t="e">
        <f t="shared" si="45"/>
        <v>#DIV/0!</v>
      </c>
      <c r="DL56" s="254">
        <f t="shared" si="69"/>
        <v>7.3333333333333378E-4</v>
      </c>
      <c r="DM56" s="253">
        <f t="shared" si="87"/>
        <v>9.018499505645788E-4</v>
      </c>
      <c r="DN56" s="253">
        <f t="shared" si="70"/>
        <v>2.6666666666666673E-4</v>
      </c>
      <c r="DO56" s="255">
        <f t="shared" si="46"/>
        <v>2.6666666666666672E-2</v>
      </c>
      <c r="DQ56" s="258" t="e">
        <f>((((IF($R$5=0,$R$6,$R$5)))/(12*$R$19))+(((3*$R$15)/(2*IF($R$5=0,$R$6,$R$5)*$U$5*$R$19))*'IN-OUT'!$F$15))*'Burland damage classification'!DU56</f>
        <v>#DIV/0!</v>
      </c>
      <c r="DR56" s="262">
        <f>(1+(((IF($R$5=0,$R$6^2,$R$5^2))*$U$5)/(18*$R$15))*('IN-OUT'!$F$15^(-1)))*DV56</f>
        <v>1.9043809142780933E-3</v>
      </c>
      <c r="DS56" s="254" t="e">
        <f t="shared" si="23"/>
        <v>#DIV/0!</v>
      </c>
      <c r="DT56" s="254" t="e">
        <f t="shared" si="47"/>
        <v>#DIV/0!</v>
      </c>
      <c r="DU56" s="254">
        <f t="shared" si="71"/>
        <v>1.7333333333333313E-3</v>
      </c>
      <c r="DV56" s="270">
        <f t="shared" si="24"/>
        <v>1.9043809142780933E-3</v>
      </c>
      <c r="DW56" s="253">
        <f t="shared" si="72"/>
        <v>2.6666666666666673E-4</v>
      </c>
      <c r="DX56" s="255">
        <f t="shared" si="48"/>
        <v>2.6666666666666672E-2</v>
      </c>
      <c r="EA56" s="1237"/>
      <c r="EB56" s="1226"/>
      <c r="EC56" s="452">
        <v>3</v>
      </c>
      <c r="ED56" s="435">
        <f>'transversal subsidence profile'!$L$5*EXP(-(EF19^2)/(2*'transversal subsidence profile'!$J$5^2))*100</f>
        <v>2.617993877991494</v>
      </c>
      <c r="EE56" s="428">
        <f>'transversal subsidence profile'!$L$5*EF19/'transversal subsidence profile'!$B$5*EXP(-(EF19^2)/(2*'transversal subsidence profile'!$J$5^2))*100</f>
        <v>0</v>
      </c>
      <c r="EF56" s="436">
        <f>('transversal subsidence profile'!$L$5/'transversal subsidence profile'!$B$5)*(1-((EF19^2)/(('transversal subsidence profile'!$J$5)^2)))*EXP(-(EF19^2)/(2*(('transversal subsidence profile'!$J$5)^2)))*100</f>
        <v>0.17453292519943295</v>
      </c>
      <c r="EG56" s="440">
        <f>'transversal subsidence profile'!$L$6*EXP(-(((EF19+$DZ$4))^2)/(2*'transversal subsidence profile'!$J$6^2))*100</f>
        <v>0.87372870216931453</v>
      </c>
      <c r="EH56" s="429">
        <f>'transversal subsidence profile'!$L$6*(EF19+$DZ$4)/'transversal subsidence profile'!$F$5*EXP(-((EF19+$DZ$4)^2)/(2*'transversal subsidence profile'!$J$6^2))*100</f>
        <v>0.58248580144620965</v>
      </c>
      <c r="EI56" s="441">
        <f>('transversal subsidence profile'!$L$6/'transversal subsidence profile'!$F$5)*(1-(EF19+$DZ$4)^2/(('transversal subsidence profile'!$J$6)^2))*EXP(-((EF19+$DZ$4)^2)/(2*(('transversal subsidence profile'!$J$6)^2)))*100</f>
        <v>-6.9594668458113657E-2</v>
      </c>
      <c r="EK56" s="445">
        <f>IF('IN-OUT'!$F$26=0,EG56,IF('IN-OUT'!$F$35=0,ED56,ED56+EG56))</f>
        <v>3.4917225801608085</v>
      </c>
      <c r="EL56" s="445">
        <f>IF('IN-OUT'!$F$26=0,EH56,IF('IN-OUT'!$F$35=0,EE56,EE56+EH56))</f>
        <v>0.58248580144620965</v>
      </c>
      <c r="EM56" s="563">
        <f>IF('IN-OUT'!$F$26=0,EI56,IF('IN-OUT'!$F$35=0,EF56,EF56+EI56))</f>
        <v>0.10493825674131929</v>
      </c>
      <c r="EO56" s="463">
        <f>IF(AND($EK$52=$EK$53,$EK$56&gt;$EK$52),$EK$56-$EK$52,IF(AND($EK$52=$EK$53,$EK$56&lt;$EK$52),$EK$52-$EK$56,0))</f>
        <v>0</v>
      </c>
      <c r="EP56" s="370" t="e">
        <f>IF($EK$52&lt;$EK$53,($EK$53-$EK$52)/($EF$10-$EF$9),($EK$52-$EK$53)/($EF$10-$EF$9))</f>
        <v>#DIV/0!</v>
      </c>
      <c r="EQ56" s="370" t="e">
        <f>IF($EK$52&lt;$EK$53,(EA19*$EF$24*$EP$54)+$EK$52,((($EF$10-$EF$9)-($EF$24*EA19))*$EP$54)+$EK$53)</f>
        <v>#DIV/0!</v>
      </c>
      <c r="ER56" s="370">
        <f>IF(EK52=EK53,0,IF($EQ$56&gt;$EK$56,($EQ$56-$EK$56),($EK$56-$EQ$56)))</f>
        <v>0</v>
      </c>
      <c r="ES56" s="447">
        <f>MAX(ER56,EO56)</f>
        <v>0</v>
      </c>
      <c r="EV56" s="281">
        <f>IF(R5&gt;0,(MAX(ES54:ES58)/R5),0)</f>
        <v>0</v>
      </c>
      <c r="EW56" s="261" t="e">
        <f>IF(OR('IN-OUT'!$F$26=0,'IN-OUT'!$F$35=0),-(('Burland damage classification'!EL53-'Burland damage classification'!EL52)/(MAX('Burland damage classification'!R5:R7))),IF((((EE53-EE52)+(EH53-EH52))/MAX(R5:R7)&lt;0),-(((EE53-EE52)+(EH53-EH52))/MAX(R5:R7)),0))</f>
        <v>#DIV/0!</v>
      </c>
      <c r="FE56" s="681"/>
      <c r="FF56" s="681"/>
    </row>
    <row r="57" spans="22:162">
      <c r="V57" s="258">
        <f>(((IF($P$5&lt;&gt;0,$P$5,IF($P$6&lt;&gt;0,$P$6,IF($P$7&lt;&gt;0,$P$7,0))))/(12*$P$19))+(((3*$P$15)/(2*(IF($P$5&lt;&gt;0,$P$5,IF($P$6&lt;&gt;0,$P$6,IF($P$7&lt;&gt;0,$P$7,0))))*$U$5*$P$19))*'IN-OUT'!$F$15))*'Burland damage classification'!Z57</f>
        <v>1.9260913659643227E-4</v>
      </c>
      <c r="W57" s="262">
        <f>(1+(((IF($P$5&lt;&gt;0,$P$5^2,IF($P$6&lt;&gt;0,$P$6^2,IF($P$7&lt;&gt;0,$P$7^2))))*$U$5)/(18*$P$15))*('IN-OUT'!$F$15^(-1)))*AA57</f>
        <v>2.2983355926235822E-4</v>
      </c>
      <c r="X57" s="262">
        <f t="shared" si="73"/>
        <v>1.9260913659643227E-4</v>
      </c>
      <c r="Y57" s="262">
        <f t="shared" si="25"/>
        <v>1.9260913659643226E-2</v>
      </c>
      <c r="Z57" s="916">
        <f t="shared" si="49"/>
        <v>6.0000000000000123E-5</v>
      </c>
      <c r="AA57" s="270">
        <f t="shared" si="74"/>
        <v>2.1756225162774292E-4</v>
      </c>
      <c r="AB57" s="270">
        <f t="shared" si="50"/>
        <v>2.7333333333333338E-4</v>
      </c>
      <c r="AC57" s="271">
        <f t="shared" si="26"/>
        <v>2.7333333333333338E-2</v>
      </c>
      <c r="AE57" s="258">
        <f>(((IF($P$5&lt;&gt;0,$P$5,IF($P$6&lt;&gt;0,$P$6,IF($P$7&lt;&gt;0,$P$7,0))))/(12*$P$19))+(((3*$P$15)/(2*(IF($P$5&lt;&gt;0,$P$5,IF($P$6&lt;&gt;0,$P$6,IF($P$7&lt;&gt;0,$P$7,0))))*$U$5*$P$19))*'IN-OUT'!$F$15))*'Burland damage classification'!AI57</f>
        <v>7.276345160309671E-4</v>
      </c>
      <c r="AF57" s="254">
        <f>(1+(((IF($P$5&lt;&gt;0,$P$5^2,IF($P$6&lt;&gt;0,$P$6^2,IF($P$7&lt;&gt;0,$P$7^2))))*$U$5)/(18*$P$15))*('IN-OUT'!$F$15^(-1)))*AJ57</f>
        <v>4.1501115102924116E-4</v>
      </c>
      <c r="AG57" s="254">
        <f t="shared" si="75"/>
        <v>4.1501115102924116E-4</v>
      </c>
      <c r="AH57" s="254">
        <f t="shared" si="27"/>
        <v>4.1501115102924119E-2</v>
      </c>
      <c r="AI57" s="254">
        <f t="shared" si="51"/>
        <v>2.2666666666666736E-4</v>
      </c>
      <c r="AJ57" s="253">
        <f t="shared" si="76"/>
        <v>3.928528138289623E-4</v>
      </c>
      <c r="AK57" s="253">
        <f t="shared" si="52"/>
        <v>2.7333333333333338E-4</v>
      </c>
      <c r="AL57" s="255">
        <f t="shared" si="28"/>
        <v>2.7333333333333338E-2</v>
      </c>
      <c r="AN57" s="258">
        <f>(((IF($P$5&lt;&gt;0,$P$5,IF($P$6&lt;&gt;0,$P$6,IF($P$7&lt;&gt;0,$P$7,0))))/(12*$P$19))+(((3*$P$15)/(2*(IF($P$5&lt;&gt;0,$P$5,IF($P$6&lt;&gt;0,$P$6,IF($P$7&lt;&gt;0,$P$7,0))))*$U$5*$P$19))*'IN-OUT'!$F$15))*'Burland damage classification'!AR57</f>
        <v>2.3327106543345653E-3</v>
      </c>
      <c r="AO57" s="254">
        <f>(1+(((IF($P$5&lt;&gt;0,$P$5^2,IF($P$6&lt;&gt;0,$P$6^2,IF($P$7&lt;&gt;0,$P$7^2))))*$U$5)/(18*$P$15))*('IN-OUT'!$F$15^(-1)))*AS57</f>
        <v>9.4998045198840255E-4</v>
      </c>
      <c r="AP57" s="254">
        <f t="shared" si="77"/>
        <v>9.4998045198840255E-4</v>
      </c>
      <c r="AQ57" s="254">
        <f t="shared" si="29"/>
        <v>9.4998045198840253E-2</v>
      </c>
      <c r="AR57" s="254">
        <f t="shared" si="53"/>
        <v>7.2666666666666713E-4</v>
      </c>
      <c r="AS57" s="253">
        <f t="shared" si="78"/>
        <v>8.9925895417653E-4</v>
      </c>
      <c r="AT57" s="253">
        <f t="shared" si="54"/>
        <v>2.7333333333333338E-4</v>
      </c>
      <c r="AU57" s="255">
        <f t="shared" si="30"/>
        <v>2.7333333333333338E-2</v>
      </c>
      <c r="AW57" s="258">
        <f>(((IF($P$5&lt;&gt;0,$P$5,IF($P$6&lt;&gt;0,$P$6,IF($P$7&lt;&gt;0,$P$7,0))))/(12*$P$19))+(((3*$P$15)/(2*(IF($P$5&lt;&gt;0,$P$5,IF($P$6&lt;&gt;0,$P$6,IF($P$7&lt;&gt;0,$P$7,0))))*$U$5*$P$19))*'IN-OUT'!$F$15))*'Burland damage classification'!BA57</f>
        <v>5.5428629309417551E-3</v>
      </c>
      <c r="AX57" s="254">
        <f>(1+(((IF($P$5&lt;&gt;0,$P$5^2,IF($P$6&lt;&gt;0,$P$6^2,IF($P$7&lt;&gt;0,$P$7^2))))*$U$5)/(18*$P$15))*('IN-OUT'!$F$15^(-1)))*BB57</f>
        <v>2.0092045966331085E-3</v>
      </c>
      <c r="AY57" s="254">
        <f t="shared" si="79"/>
        <v>2.0092045966331085E-3</v>
      </c>
      <c r="AZ57" s="254">
        <f t="shared" si="31"/>
        <v>0.20092045966331085</v>
      </c>
      <c r="BA57" s="254">
        <f t="shared" si="55"/>
        <v>1.7266666666666645E-3</v>
      </c>
      <c r="BB57" s="270">
        <f t="shared" si="8"/>
        <v>1.9019288454969426E-3</v>
      </c>
      <c r="BC57" s="253">
        <f t="shared" si="56"/>
        <v>2.7333333333333338E-4</v>
      </c>
      <c r="BD57" s="255">
        <f t="shared" si="32"/>
        <v>2.7333333333333338E-2</v>
      </c>
      <c r="BF57" s="258" t="e">
        <f>((((IF($Q$5=0,$Q$6,$Q$5)))/(12*$Q$19))+(((3*$Q$15)/(2*IF($Q$5=0,$Q$6,$Q$5)*$U$5*$Q$19))*'IN-OUT'!$F$15))*'Burland damage classification'!BJ57</f>
        <v>#DIV/0!</v>
      </c>
      <c r="BG57" s="262">
        <f>(1+(((IF($Q$5=0,$Q$6^2,$Q$5^2))*$U$5)/(18*$Q$15))*('IN-OUT'!$F$15^(-1)))*BK57</f>
        <v>2.1756225162774292E-4</v>
      </c>
      <c r="BH57" s="262" t="e">
        <f t="shared" si="80"/>
        <v>#DIV/0!</v>
      </c>
      <c r="BI57" s="262" t="e">
        <f t="shared" si="33"/>
        <v>#DIV/0!</v>
      </c>
      <c r="BJ57" s="262">
        <f t="shared" si="57"/>
        <v>6.0000000000000123E-5</v>
      </c>
      <c r="BK57" s="270">
        <f t="shared" si="81"/>
        <v>2.1756225162774292E-4</v>
      </c>
      <c r="BL57" s="270">
        <f t="shared" si="58"/>
        <v>2.7333333333333338E-4</v>
      </c>
      <c r="BM57" s="271">
        <f t="shared" si="34"/>
        <v>2.7333333333333338E-2</v>
      </c>
      <c r="BO57" s="258" t="e">
        <f>((((IF($Q$5=0,$Q$6,$Q$5)))/(12*$Q$19))+(((3*$Q$15)/(2*IF($Q$5=0,$Q$6,$Q$5)*$U$5*$Q$19))*'IN-OUT'!$F$15))*'Burland damage classification'!BS57</f>
        <v>#DIV/0!</v>
      </c>
      <c r="BP57" s="262">
        <f>(1+(((IF($Q$5=0,$Q$6^2,$Q$5^2))*$U$5)/(18*$Q$15))*('IN-OUT'!$F$15^(-1)))*BT57</f>
        <v>3.928528138289623E-4</v>
      </c>
      <c r="BQ57" s="254" t="e">
        <f t="shared" si="11"/>
        <v>#DIV/0!</v>
      </c>
      <c r="BR57" s="254" t="e">
        <f t="shared" si="35"/>
        <v>#DIV/0!</v>
      </c>
      <c r="BS57" s="254">
        <f t="shared" si="59"/>
        <v>2.2666666666666736E-4</v>
      </c>
      <c r="BT57" s="253">
        <f t="shared" si="82"/>
        <v>3.928528138289623E-4</v>
      </c>
      <c r="BU57" s="253">
        <f t="shared" si="60"/>
        <v>2.7333333333333338E-4</v>
      </c>
      <c r="BV57" s="255">
        <f t="shared" si="36"/>
        <v>2.7333333333333338E-2</v>
      </c>
      <c r="BX57" s="258" t="e">
        <f>((((IF($Q$5=0,$Q$6,$Q$5)))/(12*$Q$19))+(((3*$Q$15)/(2*IF($Q$5=0,$Q$6,$Q$5)*$U$5*$Q$19))*'IN-OUT'!$F$15))*'Burland damage classification'!CB57</f>
        <v>#DIV/0!</v>
      </c>
      <c r="BY57" s="262">
        <f>(1+(((IF($Q$5=0,$Q$6^2,$Q$5^2))*$U$5)/(18*$Q$15))*('IN-OUT'!$F$15^(-1)))*CC57</f>
        <v>8.9925895417653E-4</v>
      </c>
      <c r="BZ57" s="254" t="e">
        <f t="shared" si="13"/>
        <v>#DIV/0!</v>
      </c>
      <c r="CA57" s="254" t="e">
        <f t="shared" si="37"/>
        <v>#DIV/0!</v>
      </c>
      <c r="CB57" s="254">
        <f t="shared" si="61"/>
        <v>7.2666666666666713E-4</v>
      </c>
      <c r="CC57" s="253">
        <f t="shared" si="83"/>
        <v>8.9925895417653E-4</v>
      </c>
      <c r="CD57" s="253">
        <f t="shared" si="62"/>
        <v>2.7333333333333338E-4</v>
      </c>
      <c r="CE57" s="255">
        <f t="shared" si="38"/>
        <v>2.7333333333333338E-2</v>
      </c>
      <c r="CG57" s="258" t="e">
        <f>((((IF($Q$5=0,$Q$6,$Q$5)))/(12*$Q$19))+(((3*$Q$15)/(2*IF($Q$5=0,$Q$6,$Q$5)*$U$5*$Q$19))*'IN-OUT'!$F$15))*'Burland damage classification'!CK57</f>
        <v>#DIV/0!</v>
      </c>
      <c r="CH57" s="262">
        <f>(1+(((IF($Q$5=0,$Q$6^2,$Q$5^2))*$U$5)/(18*$Q$15))*('IN-OUT'!$F$15^(-1)))*CL57</f>
        <v>1.9019288454969426E-3</v>
      </c>
      <c r="CI57" s="254" t="e">
        <f t="shared" si="15"/>
        <v>#DIV/0!</v>
      </c>
      <c r="CJ57" s="254" t="e">
        <f t="shared" si="39"/>
        <v>#DIV/0!</v>
      </c>
      <c r="CK57" s="254">
        <f t="shared" si="63"/>
        <v>1.7266666666666645E-3</v>
      </c>
      <c r="CL57" s="270">
        <f t="shared" si="16"/>
        <v>1.9019288454969426E-3</v>
      </c>
      <c r="CM57" s="253">
        <f t="shared" si="64"/>
        <v>2.7333333333333338E-4</v>
      </c>
      <c r="CN57" s="255">
        <f t="shared" si="40"/>
        <v>2.7333333333333338E-2</v>
      </c>
      <c r="CP57" s="258" t="e">
        <f>((((IF($R$5=0,$R$6,$R$5)))/(12*$R$19))+(((3*$R$15)/(2*IF($R$5=0,$R$6,$R$5)*$U$5*$R$19))*'IN-OUT'!$F$15))*'Burland damage classification'!CT57</f>
        <v>#DIV/0!</v>
      </c>
      <c r="CQ57" s="262">
        <f>(1+(((IF($R$5=0,$R$6^2,$R$5^2))*$U$5)/(18*$R$15))*('IN-OUT'!$F$15^(-1)))*CU57</f>
        <v>2.1756225162774292E-4</v>
      </c>
      <c r="CR57" s="262" t="e">
        <f t="shared" si="84"/>
        <v>#DIV/0!</v>
      </c>
      <c r="CS57" s="262" t="e">
        <f t="shared" si="41"/>
        <v>#DIV/0!</v>
      </c>
      <c r="CT57" s="262">
        <f t="shared" si="65"/>
        <v>6.0000000000000123E-5</v>
      </c>
      <c r="CU57" s="270">
        <f t="shared" si="85"/>
        <v>2.1756225162774292E-4</v>
      </c>
      <c r="CV57" s="270">
        <f t="shared" si="66"/>
        <v>2.7333333333333338E-4</v>
      </c>
      <c r="CW57" s="271">
        <f t="shared" si="42"/>
        <v>2.7333333333333338E-2</v>
      </c>
      <c r="CY57" s="258" t="e">
        <f>((((IF($R$5=0,$R$6,$R$5)))/(12*$R$19))+(((3*$R$15)/(2*IF($R$5=0,$R$6,$R$5)*$U$5*$R$19))*'IN-OUT'!$F$15))*'Burland damage classification'!DC57</f>
        <v>#DIV/0!</v>
      </c>
      <c r="CZ57" s="262">
        <f>(1+(((IF($R$5=0,$R$6^2,$R$5^2))*$U$5)/(18*$R$15))*('IN-OUT'!$F$15^(-1)))*DD57</f>
        <v>3.928528138289623E-4</v>
      </c>
      <c r="DA57" s="254" t="e">
        <f t="shared" si="19"/>
        <v>#DIV/0!</v>
      </c>
      <c r="DB57" s="254" t="e">
        <f t="shared" si="43"/>
        <v>#DIV/0!</v>
      </c>
      <c r="DC57" s="254">
        <f t="shared" si="67"/>
        <v>2.2666666666666736E-4</v>
      </c>
      <c r="DD57" s="253">
        <f t="shared" si="86"/>
        <v>3.928528138289623E-4</v>
      </c>
      <c r="DE57" s="253">
        <f t="shared" si="68"/>
        <v>2.7333333333333338E-4</v>
      </c>
      <c r="DF57" s="255">
        <f t="shared" si="44"/>
        <v>2.7333333333333338E-2</v>
      </c>
      <c r="DH57" s="258" t="e">
        <f>((((IF($R$5=0,$R$6,$R$5)))/(12*$R$19))+(((3*$R$15)/(2*IF($R$5=0,$R$6,$R$5)*$U$5*$R$19))*'IN-OUT'!$F$15))*'Burland damage classification'!DL57</f>
        <v>#DIV/0!</v>
      </c>
      <c r="DI57" s="262">
        <f>(1+(((IF($R$5=0,$R$6^2,$R$5^2))*$U$5)/(18*$R$15))*('IN-OUT'!$F$15^(-1)))*DM57</f>
        <v>8.9925895417653E-4</v>
      </c>
      <c r="DJ57" s="254" t="e">
        <f t="shared" si="21"/>
        <v>#DIV/0!</v>
      </c>
      <c r="DK57" s="254" t="e">
        <f t="shared" si="45"/>
        <v>#DIV/0!</v>
      </c>
      <c r="DL57" s="254">
        <f t="shared" si="69"/>
        <v>7.2666666666666713E-4</v>
      </c>
      <c r="DM57" s="253">
        <f t="shared" si="87"/>
        <v>8.9925895417653E-4</v>
      </c>
      <c r="DN57" s="253">
        <f t="shared" si="70"/>
        <v>2.7333333333333338E-4</v>
      </c>
      <c r="DO57" s="255">
        <f t="shared" si="46"/>
        <v>2.7333333333333338E-2</v>
      </c>
      <c r="DQ57" s="258" t="e">
        <f>((((IF($R$5=0,$R$6,$R$5)))/(12*$R$19))+(((3*$R$15)/(2*IF($R$5=0,$R$6,$R$5)*$U$5*$R$19))*'IN-OUT'!$F$15))*'Burland damage classification'!DU57</f>
        <v>#DIV/0!</v>
      </c>
      <c r="DR57" s="262">
        <f>(1+(((IF($R$5=0,$R$6^2,$R$5^2))*$U$5)/(18*$R$15))*('IN-OUT'!$F$15^(-1)))*DV57</f>
        <v>1.9019288454969426E-3</v>
      </c>
      <c r="DS57" s="254" t="e">
        <f t="shared" si="23"/>
        <v>#DIV/0!</v>
      </c>
      <c r="DT57" s="254" t="e">
        <f t="shared" si="47"/>
        <v>#DIV/0!</v>
      </c>
      <c r="DU57" s="254">
        <f t="shared" si="71"/>
        <v>1.7266666666666645E-3</v>
      </c>
      <c r="DV57" s="270">
        <f t="shared" si="24"/>
        <v>1.9019288454969426E-3</v>
      </c>
      <c r="DW57" s="253">
        <f t="shared" si="72"/>
        <v>2.7333333333333338E-4</v>
      </c>
      <c r="DX57" s="255">
        <f t="shared" si="48"/>
        <v>2.7333333333333338E-2</v>
      </c>
      <c r="EA57" s="1237"/>
      <c r="EB57" s="1226"/>
      <c r="EC57" s="452">
        <v>4</v>
      </c>
      <c r="ED57" s="435">
        <f>'transversal subsidence profile'!$L$5*EXP(-(EF20^2)/(2*'transversal subsidence profile'!$J$5^2))*100</f>
        <v>2.617993877991494</v>
      </c>
      <c r="EE57" s="428">
        <f>'transversal subsidence profile'!$L$5*EF20/'transversal subsidence profile'!$B$5*EXP(-(EF20^2)/(2*'transversal subsidence profile'!$J$5^2))*100</f>
        <v>0</v>
      </c>
      <c r="EF57" s="436">
        <f>('transversal subsidence profile'!$L$5/'transversal subsidence profile'!$B$5)*(1-((EF20^2)/(('transversal subsidence profile'!$J$5)^2)))*EXP(-(EF20^2)/(2*(('transversal subsidence profile'!$J$5)^2)))*100</f>
        <v>0.17453292519943295</v>
      </c>
      <c r="EG57" s="440">
        <f>'transversal subsidence profile'!$L$6*EXP(-(((EF20+$DZ$4))^2)/(2*'transversal subsidence profile'!$J$6^2))*100</f>
        <v>0.87372870216931453</v>
      </c>
      <c r="EH57" s="429">
        <f>'transversal subsidence profile'!$L$6*(EF20+$DZ$4)/'transversal subsidence profile'!$F$5*EXP(-((EF20+$DZ$4)^2)/(2*'transversal subsidence profile'!$J$6^2))*100</f>
        <v>0.58248580144620965</v>
      </c>
      <c r="EI57" s="441">
        <f>('transversal subsidence profile'!$L$6/'transversal subsidence profile'!$F$5)*(1-(EF20+$DZ$4)^2/(('transversal subsidence profile'!$J$6)^2))*EXP(-((EF20+$DZ$4)^2)/(2*(('transversal subsidence profile'!$J$6)^2)))*100</f>
        <v>-6.9594668458113657E-2</v>
      </c>
      <c r="EK57" s="445">
        <f>IF('IN-OUT'!$F$26=0,EG57,IF('IN-OUT'!$F$35=0,ED57,ED57+EG57))</f>
        <v>3.4917225801608085</v>
      </c>
      <c r="EL57" s="445">
        <f>IF('IN-OUT'!$F$26=0,EH57,IF('IN-OUT'!$F$35=0,EE57,EE57+EH57))</f>
        <v>0.58248580144620965</v>
      </c>
      <c r="EM57" s="563">
        <f>IF('IN-OUT'!$F$26=0,EI57,IF('IN-OUT'!$F$35=0,EF57,EF57+EI57))</f>
        <v>0.10493825674131929</v>
      </c>
      <c r="EO57" s="463">
        <f>IF(AND($EK$52=$EK$53,$EK$56&gt;$EK$52),$EK$56-$EK$52,IF(AND($EK$52=$EK$53,$EK$56&lt;$EK$52),$EK$52-$EK$56,0))</f>
        <v>0</v>
      </c>
      <c r="EP57" s="370" t="e">
        <f>IF($EK$52&lt;$EK$53,($EK$53-$EK$52)/($EF$10-$EF$9),($EK$52-$EK$53)/($EF$10-$EF$9))</f>
        <v>#DIV/0!</v>
      </c>
      <c r="EQ57" s="370" t="e">
        <f>IF($EK$52&lt;$EK$53,(EA20*$EF$24*$EP$54)+$EK$52,((($EF$10-$EF$9)-($EF$24*EA20))*$EP$54)+$EK$53)</f>
        <v>#DIV/0!</v>
      </c>
      <c r="ER57" s="370">
        <f>IF(EK52=EK53,0,IF($EQ$57&gt;$EK$57,($EQ$57-$EK$57),($EK$57-$EQ$57)))</f>
        <v>0</v>
      </c>
      <c r="ES57" s="447">
        <f>MAX(ER57,EO57)</f>
        <v>0</v>
      </c>
      <c r="FE57" s="681"/>
      <c r="FF57" s="681"/>
    </row>
    <row r="58" spans="22:162" ht="13.8" thickBot="1">
      <c r="V58" s="258">
        <f>(((IF($P$5&lt;&gt;0,$P$5,IF($P$6&lt;&gt;0,$P$6,IF($P$7&lt;&gt;0,$P$7,0))))/(12*$P$19))+(((3*$P$15)/(2*(IF($P$5&lt;&gt;0,$P$5,IF($P$6&lt;&gt;0,$P$6,IF($P$7&lt;&gt;0,$P$7,0))))*$U$5*$P$19))*'IN-OUT'!$F$15))*'Burland damage classification'!Z58</f>
        <v>1.7120812141905095E-4</v>
      </c>
      <c r="W58" s="262">
        <f>(1+(((IF($P$5&lt;&gt;0,$P$5^2,IF($P$6&lt;&gt;0,$P$6^2,IF($P$7&lt;&gt;0,$P$7^2))))*$U$5)/(18*$P$15))*('IN-OUT'!$F$15^(-1)))*AA58</f>
        <v>2.2602540243648017E-4</v>
      </c>
      <c r="X58" s="262">
        <f t="shared" si="73"/>
        <v>1.7120812141905095E-4</v>
      </c>
      <c r="Y58" s="262">
        <f t="shared" si="25"/>
        <v>1.7120812141905094E-2</v>
      </c>
      <c r="Z58" s="916">
        <f t="shared" si="49"/>
        <v>5.3333333333333455E-5</v>
      </c>
      <c r="AA58" s="270">
        <f t="shared" si="74"/>
        <v>2.1395742047841616E-4</v>
      </c>
      <c r="AB58" s="270">
        <f t="shared" si="50"/>
        <v>2.8000000000000003E-4</v>
      </c>
      <c r="AC58" s="271">
        <f t="shared" si="26"/>
        <v>2.8000000000000004E-2</v>
      </c>
      <c r="AE58" s="258">
        <f>(((IF($P$5&lt;&gt;0,$P$5,IF($P$6&lt;&gt;0,$P$6,IF($P$7&lt;&gt;0,$P$7,0))))/(12*$P$19))+(((3*$P$15)/(2*(IF($P$5&lt;&gt;0,$P$5,IF($P$6&lt;&gt;0,$P$6,IF($P$7&lt;&gt;0,$P$7,0))))*$U$5*$P$19))*'IN-OUT'!$F$15))*'Burland damage classification'!AI58</f>
        <v>7.0623350085358572E-4</v>
      </c>
      <c r="AF58" s="254">
        <f>(1+(((IF($P$5&lt;&gt;0,$P$5^2,IF($P$6&lt;&gt;0,$P$6^2,IF($P$7&lt;&gt;0,$P$7^2))))*$U$5)/(18*$P$15))*('IN-OUT'!$F$15^(-1)))*AJ58</f>
        <v>4.1186196941896559E-4</v>
      </c>
      <c r="AG58" s="254">
        <f t="shared" si="75"/>
        <v>4.1186196941896559E-4</v>
      </c>
      <c r="AH58" s="254">
        <f t="shared" si="27"/>
        <v>4.1186196941896555E-2</v>
      </c>
      <c r="AI58" s="254">
        <f t="shared" si="51"/>
        <v>2.2000000000000069E-4</v>
      </c>
      <c r="AJ58" s="253">
        <f t="shared" si="76"/>
        <v>3.8987177379235855E-4</v>
      </c>
      <c r="AK58" s="253">
        <f t="shared" si="52"/>
        <v>2.8000000000000003E-4</v>
      </c>
      <c r="AL58" s="255">
        <f t="shared" si="28"/>
        <v>2.8000000000000004E-2</v>
      </c>
      <c r="AN58" s="258">
        <f>(((IF($P$5&lt;&gt;0,$P$5,IF($P$6&lt;&gt;0,$P$6,IF($P$7&lt;&gt;0,$P$7,0))))/(12*$P$19))+(((3*$P$15)/(2*(IF($P$5&lt;&gt;0,$P$5,IF($P$6&lt;&gt;0,$P$6,IF($P$7&lt;&gt;0,$P$7,0))))*$U$5*$P$19))*'IN-OUT'!$F$15))*'Burland damage classification'!AR58</f>
        <v>2.3113096391571839E-3</v>
      </c>
      <c r="AO58" s="254">
        <f>(1+(((IF($P$5&lt;&gt;0,$P$5^2,IF($P$6&lt;&gt;0,$P$6^2,IF($P$7&lt;&gt;0,$P$7^2))))*$U$5)/(18*$P$15))*('IN-OUT'!$F$15^(-1)))*AS58</f>
        <v>9.4723540469631752E-4</v>
      </c>
      <c r="AP58" s="254">
        <f t="shared" si="77"/>
        <v>9.4723540469631752E-4</v>
      </c>
      <c r="AQ58" s="254">
        <f t="shared" si="29"/>
        <v>9.4723540469631745E-2</v>
      </c>
      <c r="AR58" s="254">
        <f t="shared" si="53"/>
        <v>7.2000000000000048E-4</v>
      </c>
      <c r="AS58" s="253">
        <f t="shared" si="78"/>
        <v>8.9666047085839575E-4</v>
      </c>
      <c r="AT58" s="253">
        <f t="shared" si="54"/>
        <v>2.8000000000000003E-4</v>
      </c>
      <c r="AU58" s="255">
        <f t="shared" si="30"/>
        <v>2.8000000000000004E-2</v>
      </c>
      <c r="AW58" s="258">
        <f>(((IF($P$5&lt;&gt;0,$P$5,IF($P$6&lt;&gt;0,$P$6,IF($P$7&lt;&gt;0,$P$7,0))))/(12*$P$19))+(((3*$P$15)/(2*(IF($P$5&lt;&gt;0,$P$5,IF($P$6&lt;&gt;0,$P$6,IF($P$7&lt;&gt;0,$P$7,0))))*$U$5*$P$19))*'IN-OUT'!$F$15))*'Burland damage classification'!BA58</f>
        <v>5.5214619157643733E-3</v>
      </c>
      <c r="AX58" s="254">
        <f>(1+(((IF($P$5&lt;&gt;0,$P$5^2,IF($P$6&lt;&gt;0,$P$6^2,IF($P$7&lt;&gt;0,$P$7^2))))*$U$5)/(18*$P$15))*('IN-OUT'!$F$15^(-1)))*BB58</f>
        <v>2.0066108782302128E-3</v>
      </c>
      <c r="AY58" s="254">
        <f t="shared" si="79"/>
        <v>2.0066108782302128E-3</v>
      </c>
      <c r="AZ58" s="254">
        <f t="shared" si="31"/>
        <v>0.20066108782302128</v>
      </c>
      <c r="BA58" s="254">
        <f t="shared" si="55"/>
        <v>1.7199999999999978E-3</v>
      </c>
      <c r="BB58" s="270">
        <f t="shared" si="8"/>
        <v>1.8994736112934024E-3</v>
      </c>
      <c r="BC58" s="253">
        <f t="shared" si="56"/>
        <v>2.8000000000000003E-4</v>
      </c>
      <c r="BD58" s="255">
        <f t="shared" si="32"/>
        <v>2.8000000000000004E-2</v>
      </c>
      <c r="BF58" s="258" t="e">
        <f>((((IF($Q$5=0,$Q$6,$Q$5)))/(12*$Q$19))+(((3*$Q$15)/(2*IF($Q$5=0,$Q$6,$Q$5)*$U$5*$Q$19))*'IN-OUT'!$F$15))*'Burland damage classification'!BJ58</f>
        <v>#DIV/0!</v>
      </c>
      <c r="BG58" s="262">
        <f>(1+(((IF($Q$5=0,$Q$6^2,$Q$5^2))*$U$5)/(18*$Q$15))*('IN-OUT'!$F$15^(-1)))*BK58</f>
        <v>2.1395742047841616E-4</v>
      </c>
      <c r="BH58" s="262" t="e">
        <f t="shared" si="80"/>
        <v>#DIV/0!</v>
      </c>
      <c r="BI58" s="262" t="e">
        <f t="shared" si="33"/>
        <v>#DIV/0!</v>
      </c>
      <c r="BJ58" s="262">
        <f t="shared" si="57"/>
        <v>5.3333333333333455E-5</v>
      </c>
      <c r="BK58" s="270">
        <f t="shared" si="81"/>
        <v>2.1395742047841616E-4</v>
      </c>
      <c r="BL58" s="270">
        <f t="shared" si="58"/>
        <v>2.8000000000000003E-4</v>
      </c>
      <c r="BM58" s="271">
        <f t="shared" si="34"/>
        <v>2.8000000000000004E-2</v>
      </c>
      <c r="BO58" s="258" t="e">
        <f>((((IF($Q$5=0,$Q$6,$Q$5)))/(12*$Q$19))+(((3*$Q$15)/(2*IF($Q$5=0,$Q$6,$Q$5)*$U$5*$Q$19))*'IN-OUT'!$F$15))*'Burland damage classification'!BS58</f>
        <v>#DIV/0!</v>
      </c>
      <c r="BP58" s="262">
        <f>(1+(((IF($Q$5=0,$Q$6^2,$Q$5^2))*$U$5)/(18*$Q$15))*('IN-OUT'!$F$15^(-1)))*BT58</f>
        <v>3.8987177379235855E-4</v>
      </c>
      <c r="BQ58" s="254" t="e">
        <f t="shared" si="11"/>
        <v>#DIV/0!</v>
      </c>
      <c r="BR58" s="254" t="e">
        <f t="shared" si="35"/>
        <v>#DIV/0!</v>
      </c>
      <c r="BS58" s="254">
        <f t="shared" si="59"/>
        <v>2.2000000000000069E-4</v>
      </c>
      <c r="BT58" s="253">
        <f t="shared" si="82"/>
        <v>3.8987177379235855E-4</v>
      </c>
      <c r="BU58" s="253">
        <f t="shared" si="60"/>
        <v>2.8000000000000003E-4</v>
      </c>
      <c r="BV58" s="255">
        <f t="shared" si="36"/>
        <v>2.8000000000000004E-2</v>
      </c>
      <c r="BX58" s="258" t="e">
        <f>((((IF($Q$5=0,$Q$6,$Q$5)))/(12*$Q$19))+(((3*$Q$15)/(2*IF($Q$5=0,$Q$6,$Q$5)*$U$5*$Q$19))*'IN-OUT'!$F$15))*'Burland damage classification'!CB58</f>
        <v>#DIV/0!</v>
      </c>
      <c r="BY58" s="262">
        <f>(1+(((IF($Q$5=0,$Q$6^2,$Q$5^2))*$U$5)/(18*$Q$15))*('IN-OUT'!$F$15^(-1)))*CC58</f>
        <v>8.9666047085839575E-4</v>
      </c>
      <c r="BZ58" s="254" t="e">
        <f t="shared" si="13"/>
        <v>#DIV/0!</v>
      </c>
      <c r="CA58" s="254" t="e">
        <f t="shared" si="37"/>
        <v>#DIV/0!</v>
      </c>
      <c r="CB58" s="254">
        <f t="shared" si="61"/>
        <v>7.2000000000000048E-4</v>
      </c>
      <c r="CC58" s="253">
        <f t="shared" si="83"/>
        <v>8.9666047085839575E-4</v>
      </c>
      <c r="CD58" s="253">
        <f t="shared" si="62"/>
        <v>2.8000000000000003E-4</v>
      </c>
      <c r="CE58" s="255">
        <f t="shared" si="38"/>
        <v>2.8000000000000004E-2</v>
      </c>
      <c r="CG58" s="258" t="e">
        <f>((((IF($Q$5=0,$Q$6,$Q$5)))/(12*$Q$19))+(((3*$Q$15)/(2*IF($Q$5=0,$Q$6,$Q$5)*$U$5*$Q$19))*'IN-OUT'!$F$15))*'Burland damage classification'!CK58</f>
        <v>#DIV/0!</v>
      </c>
      <c r="CH58" s="262">
        <f>(1+(((IF($Q$5=0,$Q$6^2,$Q$5^2))*$U$5)/(18*$Q$15))*('IN-OUT'!$F$15^(-1)))*CL58</f>
        <v>1.8994736112934024E-3</v>
      </c>
      <c r="CI58" s="254" t="e">
        <f t="shared" si="15"/>
        <v>#DIV/0!</v>
      </c>
      <c r="CJ58" s="254" t="e">
        <f t="shared" si="39"/>
        <v>#DIV/0!</v>
      </c>
      <c r="CK58" s="254">
        <f t="shared" si="63"/>
        <v>1.7199999999999978E-3</v>
      </c>
      <c r="CL58" s="270">
        <f t="shared" si="16"/>
        <v>1.8994736112934024E-3</v>
      </c>
      <c r="CM58" s="253">
        <f t="shared" si="64"/>
        <v>2.8000000000000003E-4</v>
      </c>
      <c r="CN58" s="255">
        <f t="shared" si="40"/>
        <v>2.8000000000000004E-2</v>
      </c>
      <c r="CP58" s="258" t="e">
        <f>((((IF($R$5=0,$R$6,$R$5)))/(12*$R$19))+(((3*$R$15)/(2*IF($R$5=0,$R$6,$R$5)*$U$5*$R$19))*'IN-OUT'!$F$15))*'Burland damage classification'!CT58</f>
        <v>#DIV/0!</v>
      </c>
      <c r="CQ58" s="262">
        <f>(1+(((IF($R$5=0,$R$6^2,$R$5^2))*$U$5)/(18*$R$15))*('IN-OUT'!$F$15^(-1)))*CU58</f>
        <v>2.1395742047841616E-4</v>
      </c>
      <c r="CR58" s="262" t="e">
        <f t="shared" si="84"/>
        <v>#DIV/0!</v>
      </c>
      <c r="CS58" s="262" t="e">
        <f t="shared" si="41"/>
        <v>#DIV/0!</v>
      </c>
      <c r="CT58" s="262">
        <f t="shared" si="65"/>
        <v>5.3333333333333455E-5</v>
      </c>
      <c r="CU58" s="270">
        <f t="shared" si="85"/>
        <v>2.1395742047841616E-4</v>
      </c>
      <c r="CV58" s="270">
        <f t="shared" si="66"/>
        <v>2.8000000000000003E-4</v>
      </c>
      <c r="CW58" s="271">
        <f t="shared" si="42"/>
        <v>2.8000000000000004E-2</v>
      </c>
      <c r="CY58" s="258" t="e">
        <f>((((IF($R$5=0,$R$6,$R$5)))/(12*$R$19))+(((3*$R$15)/(2*IF($R$5=0,$R$6,$R$5)*$U$5*$R$19))*'IN-OUT'!$F$15))*'Burland damage classification'!DC58</f>
        <v>#DIV/0!</v>
      </c>
      <c r="CZ58" s="262">
        <f>(1+(((IF($R$5=0,$R$6^2,$R$5^2))*$U$5)/(18*$R$15))*('IN-OUT'!$F$15^(-1)))*DD58</f>
        <v>3.8987177379235855E-4</v>
      </c>
      <c r="DA58" s="254" t="e">
        <f t="shared" si="19"/>
        <v>#DIV/0!</v>
      </c>
      <c r="DB58" s="254" t="e">
        <f t="shared" si="43"/>
        <v>#DIV/0!</v>
      </c>
      <c r="DC58" s="254">
        <f t="shared" si="67"/>
        <v>2.2000000000000069E-4</v>
      </c>
      <c r="DD58" s="253">
        <f t="shared" si="86"/>
        <v>3.8987177379235855E-4</v>
      </c>
      <c r="DE58" s="253">
        <f t="shared" si="68"/>
        <v>2.8000000000000003E-4</v>
      </c>
      <c r="DF58" s="255">
        <f t="shared" si="44"/>
        <v>2.8000000000000004E-2</v>
      </c>
      <c r="DH58" s="258" t="e">
        <f>((((IF($R$5=0,$R$6,$R$5)))/(12*$R$19))+(((3*$R$15)/(2*IF($R$5=0,$R$6,$R$5)*$U$5*$R$19))*'IN-OUT'!$F$15))*'Burland damage classification'!DL58</f>
        <v>#DIV/0!</v>
      </c>
      <c r="DI58" s="262">
        <f>(1+(((IF($R$5=0,$R$6^2,$R$5^2))*$U$5)/(18*$R$15))*('IN-OUT'!$F$15^(-1)))*DM58</f>
        <v>8.9666047085839575E-4</v>
      </c>
      <c r="DJ58" s="254" t="e">
        <f t="shared" si="21"/>
        <v>#DIV/0!</v>
      </c>
      <c r="DK58" s="254" t="e">
        <f t="shared" si="45"/>
        <v>#DIV/0!</v>
      </c>
      <c r="DL58" s="254">
        <f t="shared" si="69"/>
        <v>7.2000000000000048E-4</v>
      </c>
      <c r="DM58" s="253">
        <f t="shared" si="87"/>
        <v>8.9666047085839575E-4</v>
      </c>
      <c r="DN58" s="253">
        <f t="shared" si="70"/>
        <v>2.8000000000000003E-4</v>
      </c>
      <c r="DO58" s="255">
        <f t="shared" si="46"/>
        <v>2.8000000000000004E-2</v>
      </c>
      <c r="DQ58" s="258" t="e">
        <f>((((IF($R$5=0,$R$6,$R$5)))/(12*$R$19))+(((3*$R$15)/(2*IF($R$5=0,$R$6,$R$5)*$U$5*$R$19))*'IN-OUT'!$F$15))*'Burland damage classification'!DU58</f>
        <v>#DIV/0!</v>
      </c>
      <c r="DR58" s="262">
        <f>(1+(((IF($R$5=0,$R$6^2,$R$5^2))*$U$5)/(18*$R$15))*('IN-OUT'!$F$15^(-1)))*DV58</f>
        <v>1.8994736112934024E-3</v>
      </c>
      <c r="DS58" s="254" t="e">
        <f t="shared" si="23"/>
        <v>#DIV/0!</v>
      </c>
      <c r="DT58" s="254" t="e">
        <f t="shared" si="47"/>
        <v>#DIV/0!</v>
      </c>
      <c r="DU58" s="254">
        <f t="shared" si="71"/>
        <v>1.7199999999999978E-3</v>
      </c>
      <c r="DV58" s="270">
        <f t="shared" si="24"/>
        <v>1.8994736112934024E-3</v>
      </c>
      <c r="DW58" s="253">
        <f t="shared" si="72"/>
        <v>2.8000000000000003E-4</v>
      </c>
      <c r="DX58" s="255">
        <f t="shared" si="48"/>
        <v>2.8000000000000004E-2</v>
      </c>
      <c r="EA58" s="1238"/>
      <c r="EB58" s="1227"/>
      <c r="EC58" s="453">
        <v>5</v>
      </c>
      <c r="ED58" s="454">
        <f>'transversal subsidence profile'!$L$5*EXP(-(EF21^2)/(2*'transversal subsidence profile'!$J$5^2))*100</f>
        <v>2.617993877991494</v>
      </c>
      <c r="EE58" s="455">
        <f>'transversal subsidence profile'!$L$5*EF21/'transversal subsidence profile'!$B$5*EXP(-(EF21^2)/(2*'transversal subsidence profile'!$J$5^2))*100</f>
        <v>0</v>
      </c>
      <c r="EF58" s="456">
        <f>('transversal subsidence profile'!$L$5/'transversal subsidence profile'!$B$5)*(1-((EF21^2)/(('transversal subsidence profile'!$J$5)^2)))*EXP(-(EF21^2)/(2*(('transversal subsidence profile'!$J$5)^2)))*100</f>
        <v>0.17453292519943295</v>
      </c>
      <c r="EG58" s="457">
        <f>'transversal subsidence profile'!$L$6*EXP(-(((EF21+$DZ$4))^2)/(2*'transversal subsidence profile'!$J$6^2))*100</f>
        <v>0.87372870216931453</v>
      </c>
      <c r="EH58" s="458">
        <f>'transversal subsidence profile'!$L$6*(EF21+$DZ$4)/'transversal subsidence profile'!$F$5*EXP(-((EF21+$DZ$4)^2)/(2*'transversal subsidence profile'!$J$6^2))*100</f>
        <v>0.58248580144620965</v>
      </c>
      <c r="EI58" s="459">
        <f>('transversal subsidence profile'!$L$6/'transversal subsidence profile'!$F$5)*(1-(EF21+$DZ$4)^2/(('transversal subsidence profile'!$J$6)^2))*EXP(-((EF21+$DZ$4)^2)/(2*(('transversal subsidence profile'!$J$6)^2)))*100</f>
        <v>-6.9594668458113657E-2</v>
      </c>
      <c r="EK58" s="564">
        <f>IF('IN-OUT'!$F$26=0,EG58,IF('IN-OUT'!$F$35=0,ED58,ED58+EG58))</f>
        <v>3.4917225801608085</v>
      </c>
      <c r="EL58" s="564">
        <f>IF('IN-OUT'!$F$26=0,EH58,IF('IN-OUT'!$F$35=0,EE58,EE58+EH58))</f>
        <v>0.58248580144620965</v>
      </c>
      <c r="EM58" s="565">
        <f>IF('IN-OUT'!$F$26=0,EI58,IF('IN-OUT'!$F$35=0,EF58,EF58+EI58))</f>
        <v>0.10493825674131929</v>
      </c>
      <c r="EO58" s="465">
        <f>IF(AND($EK$52=$EK$53,$EK$56&gt;$EK$52),$EK$56-$EK$52,IF(AND($EK$52=$EK$53,$EK$56&lt;$EK$52),$EK$52-$EK$56,0))</f>
        <v>0</v>
      </c>
      <c r="EP58" s="415" t="e">
        <f>IF($EK$52&lt;$EK$53,($EK$53-$EK$52)/($EF$10-$EF$9),($EK$52-$EK$53)/($EF$10-$EF$9))</f>
        <v>#DIV/0!</v>
      </c>
      <c r="EQ58" s="415" t="e">
        <f>IF($EK$52&lt;$EK$53,(EA21*$EF$24*$EP$54)+$EK$52,((($EF$10-$EF$9)-($EF$24*EA21))*$EP$54)+$EK$53)</f>
        <v>#DIV/0!</v>
      </c>
      <c r="ER58" s="415">
        <f>IF(EK52=EK53,0,IF($EQ$58&gt;$EK$58,($EQ$58-$EK$58),($EK$58-$EQ$58)))</f>
        <v>0</v>
      </c>
      <c r="ES58" s="448">
        <f>MAX(ER58,EO58)</f>
        <v>0</v>
      </c>
      <c r="FE58" s="681"/>
      <c r="FF58" s="681"/>
    </row>
    <row r="59" spans="22:162">
      <c r="V59" s="258">
        <f>(((IF($P$5&lt;&gt;0,$P$5,IF($P$6&lt;&gt;0,$P$6,IF($P$7&lt;&gt;0,$P$7,0))))/(12*$P$19))+(((3*$P$15)/(2*(IF($P$5&lt;&gt;0,$P$5,IF($P$6&lt;&gt;0,$P$6,IF($P$7&lt;&gt;0,$P$7,0))))*$U$5*$P$19))*'IN-OUT'!$F$15))*'Burland damage classification'!Z59</f>
        <v>1.4980710624166963E-4</v>
      </c>
      <c r="W59" s="262">
        <f>(1+(((IF($P$5&lt;&gt;0,$P$5^2,IF($P$6&lt;&gt;0,$P$6^2,IF($P$7&lt;&gt;0,$P$7^2))))*$U$5)/(18*$P$15))*('IN-OUT'!$F$15^(-1)))*AA59</f>
        <v>2.2215197530056245E-4</v>
      </c>
      <c r="X59" s="262">
        <f t="shared" si="73"/>
        <v>1.4980710624166963E-4</v>
      </c>
      <c r="Y59" s="262">
        <f t="shared" si="25"/>
        <v>1.4980710624166964E-2</v>
      </c>
      <c r="Z59" s="916">
        <f t="shared" si="49"/>
        <v>4.6666666666666787E-5</v>
      </c>
      <c r="AA59" s="270">
        <f t="shared" si="74"/>
        <v>2.1029080394116672E-4</v>
      </c>
      <c r="AB59" s="270">
        <f t="shared" si="50"/>
        <v>2.8666666666666668E-4</v>
      </c>
      <c r="AC59" s="271">
        <f t="shared" si="26"/>
        <v>2.8666666666666667E-2</v>
      </c>
      <c r="AE59" s="258">
        <f>(((IF($P$5&lt;&gt;0,$P$5,IF($P$6&lt;&gt;0,$P$6,IF($P$7&lt;&gt;0,$P$7,0))))/(12*$P$19))+(((3*$P$15)/(2*(IF($P$5&lt;&gt;0,$P$5,IF($P$6&lt;&gt;0,$P$6,IF($P$7&lt;&gt;0,$P$7,0))))*$U$5*$P$19))*'IN-OUT'!$F$15))*'Burland damage classification'!AI59</f>
        <v>6.8483248567620435E-4</v>
      </c>
      <c r="AF59" s="254">
        <f>(1+(((IF($P$5&lt;&gt;0,$P$5^2,IF($P$6&lt;&gt;0,$P$6^2,IF($P$7&lt;&gt;0,$P$7^2))))*$U$5)/(18*$P$15))*('IN-OUT'!$F$15^(-1)))*AJ59</f>
        <v>4.0868852226203065E-4</v>
      </c>
      <c r="AG59" s="254">
        <f t="shared" si="75"/>
        <v>4.0868852226203065E-4</v>
      </c>
      <c r="AH59" s="254">
        <f t="shared" si="27"/>
        <v>4.0868852226203067E-2</v>
      </c>
      <c r="AI59" s="254">
        <f t="shared" si="51"/>
        <v>2.1333333333333401E-4</v>
      </c>
      <c r="AJ59" s="253">
        <f t="shared" si="76"/>
        <v>3.8686776379877748E-4</v>
      </c>
      <c r="AK59" s="253">
        <f t="shared" si="52"/>
        <v>2.8666666666666668E-4</v>
      </c>
      <c r="AL59" s="255">
        <f t="shared" si="28"/>
        <v>2.8666666666666667E-2</v>
      </c>
      <c r="AN59" s="258">
        <f>(((IF($P$5&lt;&gt;0,$P$5,IF($P$6&lt;&gt;0,$P$6,IF($P$7&lt;&gt;0,$P$7,0))))/(12*$P$19))+(((3*$P$15)/(2*(IF($P$5&lt;&gt;0,$P$5,IF($P$6&lt;&gt;0,$P$6,IF($P$7&lt;&gt;0,$P$7,0))))*$U$5*$P$19))*'IN-OUT'!$F$15))*'Burland damage classification'!AR59</f>
        <v>2.2899086239798029E-3</v>
      </c>
      <c r="AO59" s="254">
        <f>(1+(((IF($P$5&lt;&gt;0,$P$5^2,IF($P$6&lt;&gt;0,$P$6^2,IF($P$7&lt;&gt;0,$P$7^2))))*$U$5)/(18*$P$15))*('IN-OUT'!$F$15^(-1)))*AS59</f>
        <v>9.4448237922171053E-4</v>
      </c>
      <c r="AP59" s="254">
        <f t="shared" si="77"/>
        <v>9.4448237922171053E-4</v>
      </c>
      <c r="AQ59" s="254">
        <f t="shared" si="29"/>
        <v>9.4448237922171052E-2</v>
      </c>
      <c r="AR59" s="254">
        <f t="shared" si="53"/>
        <v>7.1333333333333383E-4</v>
      </c>
      <c r="AS59" s="253">
        <f t="shared" si="78"/>
        <v>8.9405443533004927E-4</v>
      </c>
      <c r="AT59" s="253">
        <f t="shared" si="54"/>
        <v>2.8666666666666668E-4</v>
      </c>
      <c r="AU59" s="255">
        <f t="shared" si="30"/>
        <v>2.8666666666666667E-2</v>
      </c>
      <c r="AW59" s="258">
        <f>(((IF($P$5&lt;&gt;0,$P$5,IF($P$6&lt;&gt;0,$P$6,IF($P$7&lt;&gt;0,$P$7,0))))/(12*$P$19))+(((3*$P$15)/(2*(IF($P$5&lt;&gt;0,$P$5,IF($P$6&lt;&gt;0,$P$6,IF($P$7&lt;&gt;0,$P$7,0))))*$U$5*$P$19))*'IN-OUT'!$F$15))*'Burland damage classification'!BA59</f>
        <v>5.5000609005869915E-3</v>
      </c>
      <c r="AX59" s="254">
        <f>(1+(((IF($P$5&lt;&gt;0,$P$5^2,IF($P$6&lt;&gt;0,$P$6^2,IF($P$7&lt;&gt;0,$P$7^2))))*$U$5)/(18*$P$15))*('IN-OUT'!$F$15^(-1)))*BB59</f>
        <v>2.0040138028796207E-3</v>
      </c>
      <c r="AY59" s="254">
        <f t="shared" si="79"/>
        <v>2.0040138028796207E-3</v>
      </c>
      <c r="AZ59" s="254">
        <f t="shared" si="31"/>
        <v>0.20040138028796206</v>
      </c>
      <c r="BA59" s="254">
        <f t="shared" si="55"/>
        <v>1.713333333333331E-3</v>
      </c>
      <c r="BB59" s="270">
        <f t="shared" si="8"/>
        <v>1.8970151993768175E-3</v>
      </c>
      <c r="BC59" s="253">
        <f t="shared" si="56"/>
        <v>2.8666666666666668E-4</v>
      </c>
      <c r="BD59" s="255">
        <f t="shared" si="32"/>
        <v>2.8666666666666667E-2</v>
      </c>
      <c r="BF59" s="258" t="e">
        <f>((((IF($Q$5=0,$Q$6,$Q$5)))/(12*$Q$19))+(((3*$Q$15)/(2*IF($Q$5=0,$Q$6,$Q$5)*$U$5*$Q$19))*'IN-OUT'!$F$15))*'Burland damage classification'!BJ59</f>
        <v>#DIV/0!</v>
      </c>
      <c r="BG59" s="262">
        <f>(1+(((IF($Q$5=0,$Q$6^2,$Q$5^2))*$U$5)/(18*$Q$15))*('IN-OUT'!$F$15^(-1)))*BK59</f>
        <v>2.1029080394116672E-4</v>
      </c>
      <c r="BH59" s="262" t="e">
        <f t="shared" si="80"/>
        <v>#DIV/0!</v>
      </c>
      <c r="BI59" s="262" t="e">
        <f t="shared" si="33"/>
        <v>#DIV/0!</v>
      </c>
      <c r="BJ59" s="262">
        <f t="shared" si="57"/>
        <v>4.6666666666666787E-5</v>
      </c>
      <c r="BK59" s="270">
        <f t="shared" si="81"/>
        <v>2.1029080394116672E-4</v>
      </c>
      <c r="BL59" s="270">
        <f t="shared" si="58"/>
        <v>2.8666666666666668E-4</v>
      </c>
      <c r="BM59" s="271">
        <f t="shared" si="34"/>
        <v>2.8666666666666667E-2</v>
      </c>
      <c r="BO59" s="258" t="e">
        <f>((((IF($Q$5=0,$Q$6,$Q$5)))/(12*$Q$19))+(((3*$Q$15)/(2*IF($Q$5=0,$Q$6,$Q$5)*$U$5*$Q$19))*'IN-OUT'!$F$15))*'Burland damage classification'!BS59</f>
        <v>#DIV/0!</v>
      </c>
      <c r="BP59" s="262">
        <f>(1+(((IF($Q$5=0,$Q$6^2,$Q$5^2))*$U$5)/(18*$Q$15))*('IN-OUT'!$F$15^(-1)))*BT59</f>
        <v>3.8686776379877748E-4</v>
      </c>
      <c r="BQ59" s="254" t="e">
        <f t="shared" si="11"/>
        <v>#DIV/0!</v>
      </c>
      <c r="BR59" s="254" t="e">
        <f t="shared" si="35"/>
        <v>#DIV/0!</v>
      </c>
      <c r="BS59" s="254">
        <f t="shared" si="59"/>
        <v>2.1333333333333401E-4</v>
      </c>
      <c r="BT59" s="253">
        <f t="shared" si="82"/>
        <v>3.8686776379877748E-4</v>
      </c>
      <c r="BU59" s="253">
        <f t="shared" si="60"/>
        <v>2.8666666666666668E-4</v>
      </c>
      <c r="BV59" s="255">
        <f t="shared" si="36"/>
        <v>2.8666666666666667E-2</v>
      </c>
      <c r="BX59" s="258" t="e">
        <f>((((IF($Q$5=0,$Q$6,$Q$5)))/(12*$Q$19))+(((3*$Q$15)/(2*IF($Q$5=0,$Q$6,$Q$5)*$U$5*$Q$19))*'IN-OUT'!$F$15))*'Burland damage classification'!CB59</f>
        <v>#DIV/0!</v>
      </c>
      <c r="BY59" s="262">
        <f>(1+(((IF($Q$5=0,$Q$6^2,$Q$5^2))*$U$5)/(18*$Q$15))*('IN-OUT'!$F$15^(-1)))*CC59</f>
        <v>8.9405443533004927E-4</v>
      </c>
      <c r="BZ59" s="254" t="e">
        <f t="shared" si="13"/>
        <v>#DIV/0!</v>
      </c>
      <c r="CA59" s="254" t="e">
        <f t="shared" si="37"/>
        <v>#DIV/0!</v>
      </c>
      <c r="CB59" s="254">
        <f t="shared" si="61"/>
        <v>7.1333333333333383E-4</v>
      </c>
      <c r="CC59" s="253">
        <f t="shared" si="83"/>
        <v>8.9405443533004927E-4</v>
      </c>
      <c r="CD59" s="253">
        <f t="shared" si="62"/>
        <v>2.8666666666666668E-4</v>
      </c>
      <c r="CE59" s="255">
        <f t="shared" si="38"/>
        <v>2.8666666666666667E-2</v>
      </c>
      <c r="CG59" s="258" t="e">
        <f>((((IF($Q$5=0,$Q$6,$Q$5)))/(12*$Q$19))+(((3*$Q$15)/(2*IF($Q$5=0,$Q$6,$Q$5)*$U$5*$Q$19))*'IN-OUT'!$F$15))*'Burland damage classification'!CK59</f>
        <v>#DIV/0!</v>
      </c>
      <c r="CH59" s="262">
        <f>(1+(((IF($Q$5=0,$Q$6^2,$Q$5^2))*$U$5)/(18*$Q$15))*('IN-OUT'!$F$15^(-1)))*CL59</f>
        <v>1.8970151993768175E-3</v>
      </c>
      <c r="CI59" s="254" t="e">
        <f t="shared" si="15"/>
        <v>#DIV/0!</v>
      </c>
      <c r="CJ59" s="254" t="e">
        <f t="shared" si="39"/>
        <v>#DIV/0!</v>
      </c>
      <c r="CK59" s="254">
        <f t="shared" si="63"/>
        <v>1.713333333333331E-3</v>
      </c>
      <c r="CL59" s="270">
        <f t="shared" si="16"/>
        <v>1.8970151993768175E-3</v>
      </c>
      <c r="CM59" s="253">
        <f t="shared" si="64"/>
        <v>2.8666666666666668E-4</v>
      </c>
      <c r="CN59" s="255">
        <f t="shared" si="40"/>
        <v>2.8666666666666667E-2</v>
      </c>
      <c r="CP59" s="258" t="e">
        <f>((((IF($R$5=0,$R$6,$R$5)))/(12*$R$19))+(((3*$R$15)/(2*IF($R$5=0,$R$6,$R$5)*$U$5*$R$19))*'IN-OUT'!$F$15))*'Burland damage classification'!CT59</f>
        <v>#DIV/0!</v>
      </c>
      <c r="CQ59" s="262">
        <f>(1+(((IF($R$5=0,$R$6^2,$R$5^2))*$U$5)/(18*$R$15))*('IN-OUT'!$F$15^(-1)))*CU59</f>
        <v>2.1029080394116672E-4</v>
      </c>
      <c r="CR59" s="262" t="e">
        <f t="shared" si="84"/>
        <v>#DIV/0!</v>
      </c>
      <c r="CS59" s="262" t="e">
        <f t="shared" si="41"/>
        <v>#DIV/0!</v>
      </c>
      <c r="CT59" s="262">
        <f t="shared" si="65"/>
        <v>4.6666666666666787E-5</v>
      </c>
      <c r="CU59" s="270">
        <f t="shared" si="85"/>
        <v>2.1029080394116672E-4</v>
      </c>
      <c r="CV59" s="270">
        <f t="shared" si="66"/>
        <v>2.8666666666666668E-4</v>
      </c>
      <c r="CW59" s="271">
        <f t="shared" si="42"/>
        <v>2.8666666666666667E-2</v>
      </c>
      <c r="CY59" s="258" t="e">
        <f>((((IF($R$5=0,$R$6,$R$5)))/(12*$R$19))+(((3*$R$15)/(2*IF($R$5=0,$R$6,$R$5)*$U$5*$R$19))*'IN-OUT'!$F$15))*'Burland damage classification'!DC59</f>
        <v>#DIV/0!</v>
      </c>
      <c r="CZ59" s="262">
        <f>(1+(((IF($R$5=0,$R$6^2,$R$5^2))*$U$5)/(18*$R$15))*('IN-OUT'!$F$15^(-1)))*DD59</f>
        <v>3.8686776379877748E-4</v>
      </c>
      <c r="DA59" s="254" t="e">
        <f t="shared" si="19"/>
        <v>#DIV/0!</v>
      </c>
      <c r="DB59" s="254" t="e">
        <f t="shared" si="43"/>
        <v>#DIV/0!</v>
      </c>
      <c r="DC59" s="254">
        <f t="shared" si="67"/>
        <v>2.1333333333333401E-4</v>
      </c>
      <c r="DD59" s="253">
        <f t="shared" si="86"/>
        <v>3.8686776379877748E-4</v>
      </c>
      <c r="DE59" s="253">
        <f t="shared" si="68"/>
        <v>2.8666666666666668E-4</v>
      </c>
      <c r="DF59" s="255">
        <f t="shared" si="44"/>
        <v>2.8666666666666667E-2</v>
      </c>
      <c r="DH59" s="258" t="e">
        <f>((((IF($R$5=0,$R$6,$R$5)))/(12*$R$19))+(((3*$R$15)/(2*IF($R$5=0,$R$6,$R$5)*$U$5*$R$19))*'IN-OUT'!$F$15))*'Burland damage classification'!DL59</f>
        <v>#DIV/0!</v>
      </c>
      <c r="DI59" s="262">
        <f>(1+(((IF($R$5=0,$R$6^2,$R$5^2))*$U$5)/(18*$R$15))*('IN-OUT'!$F$15^(-1)))*DM59</f>
        <v>8.9405443533004927E-4</v>
      </c>
      <c r="DJ59" s="254" t="e">
        <f t="shared" si="21"/>
        <v>#DIV/0!</v>
      </c>
      <c r="DK59" s="254" t="e">
        <f t="shared" si="45"/>
        <v>#DIV/0!</v>
      </c>
      <c r="DL59" s="254">
        <f t="shared" si="69"/>
        <v>7.1333333333333383E-4</v>
      </c>
      <c r="DM59" s="253">
        <f t="shared" si="87"/>
        <v>8.9405443533004927E-4</v>
      </c>
      <c r="DN59" s="253">
        <f t="shared" si="70"/>
        <v>2.8666666666666668E-4</v>
      </c>
      <c r="DO59" s="255">
        <f t="shared" si="46"/>
        <v>2.8666666666666667E-2</v>
      </c>
      <c r="DQ59" s="258" t="e">
        <f>((((IF($R$5=0,$R$6,$R$5)))/(12*$R$19))+(((3*$R$15)/(2*IF($R$5=0,$R$6,$R$5)*$U$5*$R$19))*'IN-OUT'!$F$15))*'Burland damage classification'!DU59</f>
        <v>#DIV/0!</v>
      </c>
      <c r="DR59" s="262">
        <f>(1+(((IF($R$5=0,$R$6^2,$R$5^2))*$U$5)/(18*$R$15))*('IN-OUT'!$F$15^(-1)))*DV59</f>
        <v>1.8970151993768175E-3</v>
      </c>
      <c r="DS59" s="254" t="e">
        <f t="shared" si="23"/>
        <v>#DIV/0!</v>
      </c>
      <c r="DT59" s="254" t="e">
        <f t="shared" si="47"/>
        <v>#DIV/0!</v>
      </c>
      <c r="DU59" s="254">
        <f t="shared" si="71"/>
        <v>1.713333333333331E-3</v>
      </c>
      <c r="DV59" s="270">
        <f t="shared" si="24"/>
        <v>1.8970151993768175E-3</v>
      </c>
      <c r="DW59" s="253">
        <f t="shared" si="72"/>
        <v>2.8666666666666668E-4</v>
      </c>
      <c r="DX59" s="255">
        <f t="shared" si="48"/>
        <v>2.8666666666666667E-2</v>
      </c>
      <c r="EK59" s="340"/>
      <c r="EL59" s="340"/>
      <c r="EM59" s="340"/>
      <c r="FE59" s="681"/>
      <c r="FF59" s="681"/>
    </row>
    <row r="60" spans="22:162" ht="13.8" thickBot="1">
      <c r="V60" s="258">
        <f>(((IF($P$5&lt;&gt;0,$P$5,IF($P$6&lt;&gt;0,$P$6,IF($P$7&lt;&gt;0,$P$7,0))))/(12*$P$19))+(((3*$P$15)/(2*(IF($P$5&lt;&gt;0,$P$5,IF($P$6&lt;&gt;0,$P$6,IF($P$7&lt;&gt;0,$P$7,0))))*$U$5*$P$19))*'IN-OUT'!$F$15))*'Burland damage classification'!Z60</f>
        <v>1.2840609106428829E-4</v>
      </c>
      <c r="W60" s="262">
        <f>(1+(((IF($P$5&lt;&gt;0,$P$5^2,IF($P$6&lt;&gt;0,$P$6^2,IF($P$7&lt;&gt;0,$P$7^2))))*$U$5)/(18*$P$15))*('IN-OUT'!$F$15^(-1)))*AA60</f>
        <v>2.1820980205598144E-4</v>
      </c>
      <c r="X60" s="262">
        <f t="shared" si="73"/>
        <v>1.2840609106428829E-4</v>
      </c>
      <c r="Y60" s="262">
        <f t="shared" si="25"/>
        <v>1.2840609106428829E-2</v>
      </c>
      <c r="Z60" s="916">
        <f t="shared" si="49"/>
        <v>4.0000000000000118E-5</v>
      </c>
      <c r="AA60" s="270">
        <f t="shared" si="74"/>
        <v>2.0655911179772894E-4</v>
      </c>
      <c r="AB60" s="270">
        <f t="shared" si="50"/>
        <v>2.9333333333333333E-4</v>
      </c>
      <c r="AC60" s="271">
        <f t="shared" si="26"/>
        <v>2.9333333333333333E-2</v>
      </c>
      <c r="AE60" s="258">
        <f>(((IF($P$5&lt;&gt;0,$P$5,IF($P$6&lt;&gt;0,$P$6,IF($P$7&lt;&gt;0,$P$7,0))))/(12*$P$19))+(((3*$P$15)/(2*(IF($P$5&lt;&gt;0,$P$5,IF($P$6&lt;&gt;0,$P$6,IF($P$7&lt;&gt;0,$P$7,0))))*$U$5*$P$19))*'IN-OUT'!$F$15))*'Burland damage classification'!AI60</f>
        <v>6.6343147049882309E-4</v>
      </c>
      <c r="AF60" s="254">
        <f>(1+(((IF($P$5&lt;&gt;0,$P$5^2,IF($P$6&lt;&gt;0,$P$6^2,IF($P$7&lt;&gt;0,$P$7^2))))*$U$5)/(18*$P$15))*('IN-OUT'!$F$15^(-1)))*AJ60</f>
        <v>4.0549023983787281E-4</v>
      </c>
      <c r="AG60" s="254">
        <f t="shared" si="75"/>
        <v>4.0549023983787281E-4</v>
      </c>
      <c r="AH60" s="254">
        <f t="shared" si="27"/>
        <v>4.0549023983787284E-2</v>
      </c>
      <c r="AI60" s="254">
        <f t="shared" si="51"/>
        <v>2.0666666666666734E-4</v>
      </c>
      <c r="AJ60" s="253">
        <f t="shared" si="76"/>
        <v>3.8384024454626083E-4</v>
      </c>
      <c r="AK60" s="253">
        <f t="shared" si="52"/>
        <v>2.9333333333333333E-4</v>
      </c>
      <c r="AL60" s="255">
        <f t="shared" si="28"/>
        <v>2.9333333333333333E-2</v>
      </c>
      <c r="AN60" s="258">
        <f>(((IF($P$5&lt;&gt;0,$P$5,IF($P$6&lt;&gt;0,$P$6,IF($P$7&lt;&gt;0,$P$7,0))))/(12*$P$19))+(((3*$P$15)/(2*(IF($P$5&lt;&gt;0,$P$5,IF($P$6&lt;&gt;0,$P$6,IF($P$7&lt;&gt;0,$P$7,0))))*$U$5*$P$19))*'IN-OUT'!$F$15))*'Burland damage classification'!AR60</f>
        <v>2.2685076088024216E-3</v>
      </c>
      <c r="AO60" s="254">
        <f>(1+(((IF($P$5&lt;&gt;0,$P$5^2,IF($P$6&lt;&gt;0,$P$6^2,IF($P$7&lt;&gt;0,$P$7^2))))*$U$5)/(18*$P$15))*('IN-OUT'!$F$15^(-1)))*AS60</f>
        <v>9.4172130559439372E-4</v>
      </c>
      <c r="AP60" s="254">
        <f t="shared" si="77"/>
        <v>9.4172130559439372E-4</v>
      </c>
      <c r="AQ60" s="254">
        <f t="shared" si="29"/>
        <v>9.4172130559439376E-2</v>
      </c>
      <c r="AR60" s="254">
        <f t="shared" si="53"/>
        <v>7.0666666666666718E-4</v>
      </c>
      <c r="AS60" s="253">
        <f t="shared" si="78"/>
        <v>8.9144078135716144E-4</v>
      </c>
      <c r="AT60" s="253">
        <f t="shared" si="54"/>
        <v>2.9333333333333333E-4</v>
      </c>
      <c r="AU60" s="255">
        <f t="shared" si="30"/>
        <v>2.9333333333333333E-2</v>
      </c>
      <c r="AW60" s="258">
        <f>(((IF($P$5&lt;&gt;0,$P$5,IF($P$6&lt;&gt;0,$P$6,IF($P$7&lt;&gt;0,$P$7,0))))/(12*$P$19))+(((3*$P$15)/(2*(IF($P$5&lt;&gt;0,$P$5,IF($P$6&lt;&gt;0,$P$6,IF($P$7&lt;&gt;0,$P$7,0))))*$U$5*$P$19))*'IN-OUT'!$F$15))*'Burland damage classification'!BA60</f>
        <v>5.4786598854096105E-3</v>
      </c>
      <c r="AX60" s="254">
        <f>(1+(((IF($P$5&lt;&gt;0,$P$5^2,IF($P$6&lt;&gt;0,$P$6^2,IF($P$7&lt;&gt;0,$P$7^2))))*$U$5)/(18*$P$15))*('IN-OUT'!$F$15^(-1)))*BB60</f>
        <v>2.0014133575131984E-3</v>
      </c>
      <c r="AY60" s="254">
        <f t="shared" si="79"/>
        <v>2.0014133575131984E-3</v>
      </c>
      <c r="AZ60" s="254">
        <f t="shared" si="31"/>
        <v>0.20014133575131984</v>
      </c>
      <c r="BA60" s="254">
        <f t="shared" si="55"/>
        <v>1.7066666666666643E-3</v>
      </c>
      <c r="BB60" s="270">
        <f t="shared" si="8"/>
        <v>1.8945535973767893E-3</v>
      </c>
      <c r="BC60" s="253">
        <f t="shared" si="56"/>
        <v>2.9333333333333333E-4</v>
      </c>
      <c r="BD60" s="255">
        <f t="shared" si="32"/>
        <v>2.9333333333333333E-2</v>
      </c>
      <c r="BF60" s="258" t="e">
        <f>((((IF($Q$5=0,$Q$6,$Q$5)))/(12*$Q$19))+(((3*$Q$15)/(2*IF($Q$5=0,$Q$6,$Q$5)*$U$5*$Q$19))*'IN-OUT'!$F$15))*'Burland damage classification'!BJ60</f>
        <v>#DIV/0!</v>
      </c>
      <c r="BG60" s="262">
        <f>(1+(((IF($Q$5=0,$Q$6^2,$Q$5^2))*$U$5)/(18*$Q$15))*('IN-OUT'!$F$15^(-1)))*BK60</f>
        <v>2.0655911179772894E-4</v>
      </c>
      <c r="BH60" s="262" t="e">
        <f t="shared" si="80"/>
        <v>#DIV/0!</v>
      </c>
      <c r="BI60" s="262" t="e">
        <f t="shared" si="33"/>
        <v>#DIV/0!</v>
      </c>
      <c r="BJ60" s="262">
        <f t="shared" si="57"/>
        <v>4.0000000000000118E-5</v>
      </c>
      <c r="BK60" s="270">
        <f t="shared" si="81"/>
        <v>2.0655911179772894E-4</v>
      </c>
      <c r="BL60" s="270">
        <f t="shared" si="58"/>
        <v>2.9333333333333333E-4</v>
      </c>
      <c r="BM60" s="271">
        <f t="shared" si="34"/>
        <v>2.9333333333333333E-2</v>
      </c>
      <c r="BO60" s="258" t="e">
        <f>((((IF($Q$5=0,$Q$6,$Q$5)))/(12*$Q$19))+(((3*$Q$15)/(2*IF($Q$5=0,$Q$6,$Q$5)*$U$5*$Q$19))*'IN-OUT'!$F$15))*'Burland damage classification'!BS60</f>
        <v>#DIV/0!</v>
      </c>
      <c r="BP60" s="262">
        <f>(1+(((IF($Q$5=0,$Q$6^2,$Q$5^2))*$U$5)/(18*$Q$15))*('IN-OUT'!$F$15^(-1)))*BT60</f>
        <v>3.8384024454626083E-4</v>
      </c>
      <c r="BQ60" s="254" t="e">
        <f t="shared" si="11"/>
        <v>#DIV/0!</v>
      </c>
      <c r="BR60" s="254" t="e">
        <f t="shared" si="35"/>
        <v>#DIV/0!</v>
      </c>
      <c r="BS60" s="254">
        <f t="shared" si="59"/>
        <v>2.0666666666666734E-4</v>
      </c>
      <c r="BT60" s="253">
        <f t="shared" si="82"/>
        <v>3.8384024454626083E-4</v>
      </c>
      <c r="BU60" s="253">
        <f t="shared" si="60"/>
        <v>2.9333333333333333E-4</v>
      </c>
      <c r="BV60" s="255">
        <f t="shared" si="36"/>
        <v>2.9333333333333333E-2</v>
      </c>
      <c r="BX60" s="258" t="e">
        <f>((((IF($Q$5=0,$Q$6,$Q$5)))/(12*$Q$19))+(((3*$Q$15)/(2*IF($Q$5=0,$Q$6,$Q$5)*$U$5*$Q$19))*'IN-OUT'!$F$15))*'Burland damage classification'!CB60</f>
        <v>#DIV/0!</v>
      </c>
      <c r="BY60" s="262">
        <f>(1+(((IF($Q$5=0,$Q$6^2,$Q$5^2))*$U$5)/(18*$Q$15))*('IN-OUT'!$F$15^(-1)))*CC60</f>
        <v>8.9144078135716144E-4</v>
      </c>
      <c r="BZ60" s="254" t="e">
        <f t="shared" si="13"/>
        <v>#DIV/0!</v>
      </c>
      <c r="CA60" s="254" t="e">
        <f t="shared" si="37"/>
        <v>#DIV/0!</v>
      </c>
      <c r="CB60" s="254">
        <f t="shared" si="61"/>
        <v>7.0666666666666718E-4</v>
      </c>
      <c r="CC60" s="253">
        <f t="shared" si="83"/>
        <v>8.9144078135716144E-4</v>
      </c>
      <c r="CD60" s="253">
        <f t="shared" si="62"/>
        <v>2.9333333333333333E-4</v>
      </c>
      <c r="CE60" s="255">
        <f t="shared" si="38"/>
        <v>2.9333333333333333E-2</v>
      </c>
      <c r="CG60" s="258" t="e">
        <f>((((IF($Q$5=0,$Q$6,$Q$5)))/(12*$Q$19))+(((3*$Q$15)/(2*IF($Q$5=0,$Q$6,$Q$5)*$U$5*$Q$19))*'IN-OUT'!$F$15))*'Burland damage classification'!CK60</f>
        <v>#DIV/0!</v>
      </c>
      <c r="CH60" s="262">
        <f>(1+(((IF($Q$5=0,$Q$6^2,$Q$5^2))*$U$5)/(18*$Q$15))*('IN-OUT'!$F$15^(-1)))*CL60</f>
        <v>1.8945535973767893E-3</v>
      </c>
      <c r="CI60" s="254" t="e">
        <f t="shared" si="15"/>
        <v>#DIV/0!</v>
      </c>
      <c r="CJ60" s="254" t="e">
        <f t="shared" si="39"/>
        <v>#DIV/0!</v>
      </c>
      <c r="CK60" s="254">
        <f t="shared" si="63"/>
        <v>1.7066666666666643E-3</v>
      </c>
      <c r="CL60" s="270">
        <f t="shared" si="16"/>
        <v>1.8945535973767893E-3</v>
      </c>
      <c r="CM60" s="253">
        <f t="shared" si="64"/>
        <v>2.9333333333333333E-4</v>
      </c>
      <c r="CN60" s="255">
        <f t="shared" si="40"/>
        <v>2.9333333333333333E-2</v>
      </c>
      <c r="CP60" s="258" t="e">
        <f>((((IF($R$5=0,$R$6,$R$5)))/(12*$R$19))+(((3*$R$15)/(2*IF($R$5=0,$R$6,$R$5)*$U$5*$R$19))*'IN-OUT'!$F$15))*'Burland damage classification'!CT60</f>
        <v>#DIV/0!</v>
      </c>
      <c r="CQ60" s="262">
        <f>(1+(((IF($R$5=0,$R$6^2,$R$5^2))*$U$5)/(18*$R$15))*('IN-OUT'!$F$15^(-1)))*CU60</f>
        <v>2.0655911179772894E-4</v>
      </c>
      <c r="CR60" s="262" t="e">
        <f t="shared" si="84"/>
        <v>#DIV/0!</v>
      </c>
      <c r="CS60" s="262" t="e">
        <f t="shared" si="41"/>
        <v>#DIV/0!</v>
      </c>
      <c r="CT60" s="262">
        <f t="shared" si="65"/>
        <v>4.0000000000000118E-5</v>
      </c>
      <c r="CU60" s="270">
        <f t="shared" si="85"/>
        <v>2.0655911179772894E-4</v>
      </c>
      <c r="CV60" s="270">
        <f t="shared" si="66"/>
        <v>2.9333333333333333E-4</v>
      </c>
      <c r="CW60" s="271">
        <f t="shared" si="42"/>
        <v>2.9333333333333333E-2</v>
      </c>
      <c r="CY60" s="258" t="e">
        <f>((((IF($R$5=0,$R$6,$R$5)))/(12*$R$19))+(((3*$R$15)/(2*IF($R$5=0,$R$6,$R$5)*$U$5*$R$19))*'IN-OUT'!$F$15))*'Burland damage classification'!DC60</f>
        <v>#DIV/0!</v>
      </c>
      <c r="CZ60" s="262">
        <f>(1+(((IF($R$5=0,$R$6^2,$R$5^2))*$U$5)/(18*$R$15))*('IN-OUT'!$F$15^(-1)))*DD60</f>
        <v>3.8384024454626083E-4</v>
      </c>
      <c r="DA60" s="254" t="e">
        <f t="shared" si="19"/>
        <v>#DIV/0!</v>
      </c>
      <c r="DB60" s="254" t="e">
        <f t="shared" si="43"/>
        <v>#DIV/0!</v>
      </c>
      <c r="DC60" s="254">
        <f t="shared" si="67"/>
        <v>2.0666666666666734E-4</v>
      </c>
      <c r="DD60" s="253">
        <f t="shared" si="86"/>
        <v>3.8384024454626083E-4</v>
      </c>
      <c r="DE60" s="253">
        <f t="shared" si="68"/>
        <v>2.9333333333333333E-4</v>
      </c>
      <c r="DF60" s="255">
        <f t="shared" si="44"/>
        <v>2.9333333333333333E-2</v>
      </c>
      <c r="DH60" s="258" t="e">
        <f>((((IF($R$5=0,$R$6,$R$5)))/(12*$R$19))+(((3*$R$15)/(2*IF($R$5=0,$R$6,$R$5)*$U$5*$R$19))*'IN-OUT'!$F$15))*'Burland damage classification'!DL60</f>
        <v>#DIV/0!</v>
      </c>
      <c r="DI60" s="262">
        <f>(1+(((IF($R$5=0,$R$6^2,$R$5^2))*$U$5)/(18*$R$15))*('IN-OUT'!$F$15^(-1)))*DM60</f>
        <v>8.9144078135716144E-4</v>
      </c>
      <c r="DJ60" s="254" t="e">
        <f t="shared" si="21"/>
        <v>#DIV/0!</v>
      </c>
      <c r="DK60" s="254" t="e">
        <f t="shared" si="45"/>
        <v>#DIV/0!</v>
      </c>
      <c r="DL60" s="254">
        <f t="shared" si="69"/>
        <v>7.0666666666666718E-4</v>
      </c>
      <c r="DM60" s="253">
        <f t="shared" si="87"/>
        <v>8.9144078135716144E-4</v>
      </c>
      <c r="DN60" s="253">
        <f t="shared" si="70"/>
        <v>2.9333333333333333E-4</v>
      </c>
      <c r="DO60" s="255">
        <f t="shared" si="46"/>
        <v>2.9333333333333333E-2</v>
      </c>
      <c r="DQ60" s="258" t="e">
        <f>((((IF($R$5=0,$R$6,$R$5)))/(12*$R$19))+(((3*$R$15)/(2*IF($R$5=0,$R$6,$R$5)*$U$5*$R$19))*'IN-OUT'!$F$15))*'Burland damage classification'!DU60</f>
        <v>#DIV/0!</v>
      </c>
      <c r="DR60" s="262">
        <f>(1+(((IF($R$5=0,$R$6^2,$R$5^2))*$U$5)/(18*$R$15))*('IN-OUT'!$F$15^(-1)))*DV60</f>
        <v>1.8945535973767893E-3</v>
      </c>
      <c r="DS60" s="254" t="e">
        <f t="shared" si="23"/>
        <v>#DIV/0!</v>
      </c>
      <c r="DT60" s="254" t="e">
        <f t="shared" si="47"/>
        <v>#DIV/0!</v>
      </c>
      <c r="DU60" s="254">
        <f t="shared" si="71"/>
        <v>1.7066666666666643E-3</v>
      </c>
      <c r="DV60" s="270">
        <f t="shared" si="24"/>
        <v>1.8945535973767893E-3</v>
      </c>
      <c r="DW60" s="253">
        <f t="shared" si="72"/>
        <v>2.9333333333333333E-4</v>
      </c>
      <c r="DX60" s="255">
        <f t="shared" si="48"/>
        <v>2.9333333333333333E-2</v>
      </c>
      <c r="EK60" s="340"/>
      <c r="EL60" s="340"/>
      <c r="EM60" s="340"/>
      <c r="FE60" s="681"/>
      <c r="FF60" s="681"/>
    </row>
    <row r="61" spans="22:162" ht="13.8" thickBot="1">
      <c r="V61" s="258">
        <f>(((IF($P$5&lt;&gt;0,$P$5,IF($P$6&lt;&gt;0,$P$6,IF($P$7&lt;&gt;0,$P$7,0))))/(12*$P$19))+(((3*$P$15)/(2*(IF($P$5&lt;&gt;0,$P$5,IF($P$6&lt;&gt;0,$P$6,IF($P$7&lt;&gt;0,$P$7,0))))*$U$5*$P$19))*'IN-OUT'!$F$15))*'Burland damage classification'!Z61</f>
        <v>1.0700507588690697E-4</v>
      </c>
      <c r="W61" s="262">
        <f>(1+(((IF($P$5&lt;&gt;0,$P$5^2,IF($P$6&lt;&gt;0,$P$6^2,IF($P$7&lt;&gt;0,$P$7^2))))*$U$5)/(18*$P$15))*('IN-OUT'!$F$15^(-1)))*AA61</f>
        <v>2.1419508700406617E-4</v>
      </c>
      <c r="X61" s="262">
        <f t="shared" si="73"/>
        <v>1.0700507588690697E-4</v>
      </c>
      <c r="Y61" s="262">
        <f t="shared" si="25"/>
        <v>1.0700507588690697E-2</v>
      </c>
      <c r="Z61" s="916">
        <f t="shared" si="49"/>
        <v>3.333333333333345E-5</v>
      </c>
      <c r="AA61" s="270">
        <f t="shared" si="74"/>
        <v>2.0275875100994066E-4</v>
      </c>
      <c r="AB61" s="270">
        <f t="shared" si="50"/>
        <v>2.9999999999999997E-4</v>
      </c>
      <c r="AC61" s="271">
        <f t="shared" si="26"/>
        <v>0.03</v>
      </c>
      <c r="AE61" s="258">
        <f>(((IF($P$5&lt;&gt;0,$P$5,IF($P$6&lt;&gt;0,$P$6,IF($P$7&lt;&gt;0,$P$7,0))))/(12*$P$19))+(((3*$P$15)/(2*(IF($P$5&lt;&gt;0,$P$5,IF($P$6&lt;&gt;0,$P$6,IF($P$7&lt;&gt;0,$P$7,0))))*$U$5*$P$19))*'IN-OUT'!$F$15))*'Burland damage classification'!AI61</f>
        <v>6.4203045532144171E-4</v>
      </c>
      <c r="AF61" s="254">
        <f>(1+(((IF($P$5&lt;&gt;0,$P$5^2,IF($P$6&lt;&gt;0,$P$6^2,IF($P$7&lt;&gt;0,$P$7^2))))*$U$5)/(18*$P$15))*('IN-OUT'!$F$15^(-1)))*AJ61</f>
        <v>4.0226652977699866E-4</v>
      </c>
      <c r="AG61" s="254">
        <f t="shared" si="75"/>
        <v>4.0226652977699866E-4</v>
      </c>
      <c r="AH61" s="254">
        <f t="shared" si="27"/>
        <v>4.0226652977699867E-2</v>
      </c>
      <c r="AI61" s="254">
        <f t="shared" si="51"/>
        <v>2.0000000000000066E-4</v>
      </c>
      <c r="AJ61" s="253">
        <f t="shared" si="76"/>
        <v>3.8078865529319543E-4</v>
      </c>
      <c r="AK61" s="253">
        <f t="shared" si="52"/>
        <v>2.9999999999999997E-4</v>
      </c>
      <c r="AL61" s="255">
        <f t="shared" si="28"/>
        <v>0.03</v>
      </c>
      <c r="AN61" s="258">
        <f>(((IF($P$5&lt;&gt;0,$P$5,IF($P$6&lt;&gt;0,$P$6,IF($P$7&lt;&gt;0,$P$7,0))))/(12*$P$19))+(((3*$P$15)/(2*(IF($P$5&lt;&gt;0,$P$5,IF($P$6&lt;&gt;0,$P$6,IF($P$7&lt;&gt;0,$P$7,0))))*$U$5*$P$19))*'IN-OUT'!$F$15))*'Burland damage classification'!AR61</f>
        <v>2.2471065936250402E-3</v>
      </c>
      <c r="AO61" s="254">
        <f>(1+(((IF($P$5&lt;&gt;0,$P$5^2,IF($P$6&lt;&gt;0,$P$6^2,IF($P$7&lt;&gt;0,$P$7^2))))*$U$5)/(18*$P$15))*('IN-OUT'!$F$15^(-1)))*AS61</f>
        <v>9.3895211281540682E-4</v>
      </c>
      <c r="AP61" s="254">
        <f t="shared" si="77"/>
        <v>9.3895211281540682E-4</v>
      </c>
      <c r="AQ61" s="254">
        <f t="shared" si="29"/>
        <v>9.3895211281540686E-2</v>
      </c>
      <c r="AR61" s="254">
        <f t="shared" si="53"/>
        <v>7.0000000000000053E-4</v>
      </c>
      <c r="AS61" s="253">
        <f t="shared" si="78"/>
        <v>8.8881944173155889E-4</v>
      </c>
      <c r="AT61" s="253">
        <f t="shared" si="54"/>
        <v>2.9999999999999997E-4</v>
      </c>
      <c r="AU61" s="255">
        <f t="shared" si="30"/>
        <v>0.03</v>
      </c>
      <c r="AW61" s="258">
        <f>(((IF($P$5&lt;&gt;0,$P$5,IF($P$6&lt;&gt;0,$P$6,IF($P$7&lt;&gt;0,$P$7,0))))/(12*$P$19))+(((3*$P$15)/(2*(IF($P$5&lt;&gt;0,$P$5,IF($P$6&lt;&gt;0,$P$6,IF($P$7&lt;&gt;0,$P$7,0))))*$U$5*$P$19))*'IN-OUT'!$F$15))*'Burland damage classification'!BA61</f>
        <v>5.4572588702322287E-3</v>
      </c>
      <c r="AX61" s="254">
        <f>(1+(((IF($P$5&lt;&gt;0,$P$5^2,IF($P$6&lt;&gt;0,$P$6^2,IF($P$7&lt;&gt;0,$P$7^2))))*$U$5)/(18*$P$15))*('IN-OUT'!$F$15^(-1)))*BB61</f>
        <v>1.9988095289778028E-3</v>
      </c>
      <c r="AY61" s="254">
        <f t="shared" si="79"/>
        <v>1.9988095289778028E-3</v>
      </c>
      <c r="AZ61" s="254">
        <f t="shared" si="31"/>
        <v>0.19988095289778027</v>
      </c>
      <c r="BA61" s="254">
        <f t="shared" si="55"/>
        <v>1.6999999999999975E-3</v>
      </c>
      <c r="BB61" s="270">
        <f t="shared" si="8"/>
        <v>1.89208879284245E-3</v>
      </c>
      <c r="BC61" s="253">
        <f t="shared" si="56"/>
        <v>2.9999999999999997E-4</v>
      </c>
      <c r="BD61" s="255">
        <f t="shared" si="32"/>
        <v>0.03</v>
      </c>
      <c r="BF61" s="258" t="e">
        <f>((((IF($Q$5=0,$Q$6,$Q$5)))/(12*$Q$19))+(((3*$Q$15)/(2*IF($Q$5=0,$Q$6,$Q$5)*$U$5*$Q$19))*'IN-OUT'!$F$15))*'Burland damage classification'!BJ61</f>
        <v>#DIV/0!</v>
      </c>
      <c r="BG61" s="262">
        <f>(1+(((IF($Q$5=0,$Q$6^2,$Q$5^2))*$U$5)/(18*$Q$15))*('IN-OUT'!$F$15^(-1)))*BK61</f>
        <v>2.0275875100994066E-4</v>
      </c>
      <c r="BH61" s="262" t="e">
        <f t="shared" si="80"/>
        <v>#DIV/0!</v>
      </c>
      <c r="BI61" s="262" t="e">
        <f t="shared" si="33"/>
        <v>#DIV/0!</v>
      </c>
      <c r="BJ61" s="262">
        <f t="shared" si="57"/>
        <v>3.333333333333345E-5</v>
      </c>
      <c r="BK61" s="270">
        <f t="shared" si="81"/>
        <v>2.0275875100994066E-4</v>
      </c>
      <c r="BL61" s="270">
        <f t="shared" si="58"/>
        <v>2.9999999999999997E-4</v>
      </c>
      <c r="BM61" s="271">
        <f t="shared" si="34"/>
        <v>0.03</v>
      </c>
      <c r="BO61" s="258" t="e">
        <f>((((IF($Q$5=0,$Q$6,$Q$5)))/(12*$Q$19))+(((3*$Q$15)/(2*IF($Q$5=0,$Q$6,$Q$5)*$U$5*$Q$19))*'IN-OUT'!$F$15))*'Burland damage classification'!BS61</f>
        <v>#DIV/0!</v>
      </c>
      <c r="BP61" s="262">
        <f>(1+(((IF($Q$5=0,$Q$6^2,$Q$5^2))*$U$5)/(18*$Q$15))*('IN-OUT'!$F$15^(-1)))*BT61</f>
        <v>3.8078865529319543E-4</v>
      </c>
      <c r="BQ61" s="254" t="e">
        <f t="shared" si="11"/>
        <v>#DIV/0!</v>
      </c>
      <c r="BR61" s="254" t="e">
        <f t="shared" si="35"/>
        <v>#DIV/0!</v>
      </c>
      <c r="BS61" s="254">
        <f t="shared" si="59"/>
        <v>2.0000000000000066E-4</v>
      </c>
      <c r="BT61" s="253">
        <f t="shared" si="82"/>
        <v>3.8078865529319543E-4</v>
      </c>
      <c r="BU61" s="253">
        <f t="shared" si="60"/>
        <v>2.9999999999999997E-4</v>
      </c>
      <c r="BV61" s="255">
        <f t="shared" si="36"/>
        <v>0.03</v>
      </c>
      <c r="BX61" s="258" t="e">
        <f>((((IF($Q$5=0,$Q$6,$Q$5)))/(12*$Q$19))+(((3*$Q$15)/(2*IF($Q$5=0,$Q$6,$Q$5)*$U$5*$Q$19))*'IN-OUT'!$F$15))*'Burland damage classification'!CB61</f>
        <v>#DIV/0!</v>
      </c>
      <c r="BY61" s="262">
        <f>(1+(((IF($Q$5=0,$Q$6^2,$Q$5^2))*$U$5)/(18*$Q$15))*('IN-OUT'!$F$15^(-1)))*CC61</f>
        <v>8.8881944173155889E-4</v>
      </c>
      <c r="BZ61" s="254" t="e">
        <f t="shared" si="13"/>
        <v>#DIV/0!</v>
      </c>
      <c r="CA61" s="254" t="e">
        <f t="shared" si="37"/>
        <v>#DIV/0!</v>
      </c>
      <c r="CB61" s="254">
        <f t="shared" si="61"/>
        <v>7.0000000000000053E-4</v>
      </c>
      <c r="CC61" s="253">
        <f t="shared" si="83"/>
        <v>8.8881944173155889E-4</v>
      </c>
      <c r="CD61" s="253">
        <f t="shared" si="62"/>
        <v>2.9999999999999997E-4</v>
      </c>
      <c r="CE61" s="255">
        <f t="shared" si="38"/>
        <v>0.03</v>
      </c>
      <c r="CG61" s="258" t="e">
        <f>((((IF($Q$5=0,$Q$6,$Q$5)))/(12*$Q$19))+(((3*$Q$15)/(2*IF($Q$5=0,$Q$6,$Q$5)*$U$5*$Q$19))*'IN-OUT'!$F$15))*'Burland damage classification'!CK61</f>
        <v>#DIV/0!</v>
      </c>
      <c r="CH61" s="262">
        <f>(1+(((IF($Q$5=0,$Q$6^2,$Q$5^2))*$U$5)/(18*$Q$15))*('IN-OUT'!$F$15^(-1)))*CL61</f>
        <v>1.89208879284245E-3</v>
      </c>
      <c r="CI61" s="254" t="e">
        <f t="shared" si="15"/>
        <v>#DIV/0!</v>
      </c>
      <c r="CJ61" s="254" t="e">
        <f t="shared" si="39"/>
        <v>#DIV/0!</v>
      </c>
      <c r="CK61" s="254">
        <f t="shared" si="63"/>
        <v>1.6999999999999975E-3</v>
      </c>
      <c r="CL61" s="270">
        <f t="shared" si="16"/>
        <v>1.89208879284245E-3</v>
      </c>
      <c r="CM61" s="253">
        <f t="shared" si="64"/>
        <v>2.9999999999999997E-4</v>
      </c>
      <c r="CN61" s="255">
        <f t="shared" si="40"/>
        <v>0.03</v>
      </c>
      <c r="CP61" s="258" t="e">
        <f>((((IF($R$5=0,$R$6,$R$5)))/(12*$R$19))+(((3*$R$15)/(2*IF($R$5=0,$R$6,$R$5)*$U$5*$R$19))*'IN-OUT'!$F$15))*'Burland damage classification'!CT61</f>
        <v>#DIV/0!</v>
      </c>
      <c r="CQ61" s="262">
        <f>(1+(((IF($R$5=0,$R$6^2,$R$5^2))*$U$5)/(18*$R$15))*('IN-OUT'!$F$15^(-1)))*CU61</f>
        <v>2.0275875100994066E-4</v>
      </c>
      <c r="CR61" s="262" t="e">
        <f t="shared" si="84"/>
        <v>#DIV/0!</v>
      </c>
      <c r="CS61" s="262" t="e">
        <f t="shared" si="41"/>
        <v>#DIV/0!</v>
      </c>
      <c r="CT61" s="262">
        <f t="shared" si="65"/>
        <v>3.333333333333345E-5</v>
      </c>
      <c r="CU61" s="270">
        <f t="shared" si="85"/>
        <v>2.0275875100994066E-4</v>
      </c>
      <c r="CV61" s="270">
        <f t="shared" si="66"/>
        <v>2.9999999999999997E-4</v>
      </c>
      <c r="CW61" s="271">
        <f t="shared" si="42"/>
        <v>0.03</v>
      </c>
      <c r="CY61" s="258" t="e">
        <f>((((IF($R$5=0,$R$6,$R$5)))/(12*$R$19))+(((3*$R$15)/(2*IF($R$5=0,$R$6,$R$5)*$U$5*$R$19))*'IN-OUT'!$F$15))*'Burland damage classification'!DC61</f>
        <v>#DIV/0!</v>
      </c>
      <c r="CZ61" s="262">
        <f>(1+(((IF($R$5=0,$R$6^2,$R$5^2))*$U$5)/(18*$R$15))*('IN-OUT'!$F$15^(-1)))*DD61</f>
        <v>3.8078865529319543E-4</v>
      </c>
      <c r="DA61" s="254" t="e">
        <f t="shared" si="19"/>
        <v>#DIV/0!</v>
      </c>
      <c r="DB61" s="254" t="e">
        <f t="shared" si="43"/>
        <v>#DIV/0!</v>
      </c>
      <c r="DC61" s="254">
        <f t="shared" si="67"/>
        <v>2.0000000000000066E-4</v>
      </c>
      <c r="DD61" s="253">
        <f t="shared" si="86"/>
        <v>3.8078865529319543E-4</v>
      </c>
      <c r="DE61" s="253">
        <f t="shared" si="68"/>
        <v>2.9999999999999997E-4</v>
      </c>
      <c r="DF61" s="255">
        <f t="shared" si="44"/>
        <v>0.03</v>
      </c>
      <c r="DH61" s="258" t="e">
        <f>((((IF($R$5=0,$R$6,$R$5)))/(12*$R$19))+(((3*$R$15)/(2*IF($R$5=0,$R$6,$R$5)*$U$5*$R$19))*'IN-OUT'!$F$15))*'Burland damage classification'!DL61</f>
        <v>#DIV/0!</v>
      </c>
      <c r="DI61" s="262">
        <f>(1+(((IF($R$5=0,$R$6^2,$R$5^2))*$U$5)/(18*$R$15))*('IN-OUT'!$F$15^(-1)))*DM61</f>
        <v>8.8881944173155889E-4</v>
      </c>
      <c r="DJ61" s="254" t="e">
        <f t="shared" si="21"/>
        <v>#DIV/0!</v>
      </c>
      <c r="DK61" s="254" t="e">
        <f t="shared" si="45"/>
        <v>#DIV/0!</v>
      </c>
      <c r="DL61" s="254">
        <f t="shared" si="69"/>
        <v>7.0000000000000053E-4</v>
      </c>
      <c r="DM61" s="253">
        <f t="shared" si="87"/>
        <v>8.8881944173155889E-4</v>
      </c>
      <c r="DN61" s="253">
        <f t="shared" si="70"/>
        <v>2.9999999999999997E-4</v>
      </c>
      <c r="DO61" s="255">
        <f t="shared" si="46"/>
        <v>0.03</v>
      </c>
      <c r="DQ61" s="258" t="e">
        <f>((((IF($R$5=0,$R$6,$R$5)))/(12*$R$19))+(((3*$R$15)/(2*IF($R$5=0,$R$6,$R$5)*$U$5*$R$19))*'IN-OUT'!$F$15))*'Burland damage classification'!DU61</f>
        <v>#DIV/0!</v>
      </c>
      <c r="DR61" s="262">
        <f>(1+(((IF($R$5=0,$R$6^2,$R$5^2))*$U$5)/(18*$R$15))*('IN-OUT'!$F$15^(-1)))*DV61</f>
        <v>1.89208879284245E-3</v>
      </c>
      <c r="DS61" s="254" t="e">
        <f t="shared" si="23"/>
        <v>#DIV/0!</v>
      </c>
      <c r="DT61" s="254" t="e">
        <f t="shared" si="47"/>
        <v>#DIV/0!</v>
      </c>
      <c r="DU61" s="254">
        <f t="shared" si="71"/>
        <v>1.6999999999999975E-3</v>
      </c>
      <c r="DV61" s="270">
        <f t="shared" si="24"/>
        <v>1.89208879284245E-3</v>
      </c>
      <c r="DW61" s="253">
        <f t="shared" si="72"/>
        <v>2.9999999999999997E-4</v>
      </c>
      <c r="DX61" s="255">
        <f t="shared" si="48"/>
        <v>0.03</v>
      </c>
      <c r="ED61" s="1181" t="s">
        <v>22</v>
      </c>
      <c r="EE61" s="1182"/>
      <c r="EF61" s="1183"/>
      <c r="EG61" s="1184" t="s">
        <v>23</v>
      </c>
      <c r="EH61" s="1182"/>
      <c r="EI61" s="1183"/>
      <c r="EK61" s="1232" t="s">
        <v>246</v>
      </c>
      <c r="EL61" s="1233"/>
      <c r="EM61" s="1234"/>
      <c r="EO61" s="430"/>
      <c r="FE61" s="681"/>
      <c r="FF61" s="681"/>
    </row>
    <row r="62" spans="22:162" ht="13.8" thickBot="1">
      <c r="V62" s="258">
        <f>(((IF($P$5&lt;&gt;0,$P$5,IF($P$6&lt;&gt;0,$P$6,IF($P$7&lt;&gt;0,$P$7,0))))/(12*$P$19))+(((3*$P$15)/(2*(IF($P$5&lt;&gt;0,$P$5,IF($P$6&lt;&gt;0,$P$6,IF($P$7&lt;&gt;0,$P$7,0))))*$U$5*$P$19))*'IN-OUT'!$F$15))*'Burland damage classification'!Z62</f>
        <v>8.5604060709525652E-5</v>
      </c>
      <c r="W62" s="262">
        <f>(1+(((IF($P$5&lt;&gt;0,$P$5^2,IF($P$6&lt;&gt;0,$P$6^2,IF($P$7&lt;&gt;0,$P$7^2))))*$U$5)/(18*$P$15))*('IN-OUT'!$F$15^(-1)))*AA62</f>
        <v>2.1010367174337618E-4</v>
      </c>
      <c r="X62" s="262">
        <f t="shared" si="73"/>
        <v>8.5604060709525652E-5</v>
      </c>
      <c r="Y62" s="262">
        <f t="shared" si="25"/>
        <v>8.5604060709525646E-3</v>
      </c>
      <c r="Z62" s="916">
        <f t="shared" si="49"/>
        <v>2.6666666666666782E-5</v>
      </c>
      <c r="AA62" s="270">
        <f t="shared" si="74"/>
        <v>1.9888578520235067E-4</v>
      </c>
      <c r="AB62" s="270">
        <f t="shared" si="50"/>
        <v>3.0666666666666662E-4</v>
      </c>
      <c r="AC62" s="271">
        <f t="shared" si="26"/>
        <v>3.0666666666666662E-2</v>
      </c>
      <c r="AE62" s="258">
        <f>(((IF($P$5&lt;&gt;0,$P$5,IF($P$6&lt;&gt;0,$P$6,IF($P$7&lt;&gt;0,$P$7,0))))/(12*$P$19))+(((3*$P$15)/(2*(IF($P$5&lt;&gt;0,$P$5,IF($P$6&lt;&gt;0,$P$6,IF($P$7&lt;&gt;0,$P$7,0))))*$U$5*$P$19))*'IN-OUT'!$F$15))*'Burland damage classification'!AI62</f>
        <v>6.2062944014406034E-4</v>
      </c>
      <c r="AF62" s="254">
        <f>(1+(((IF($P$5&lt;&gt;0,$P$5^2,IF($P$6&lt;&gt;0,$P$6^2,IF($P$7&lt;&gt;0,$P$7^2))))*$U$5)/(18*$P$15))*('IN-OUT'!$F$15^(-1)))*AJ62</f>
        <v>3.9901677578001941E-4</v>
      </c>
      <c r="AG62" s="254">
        <f t="shared" si="75"/>
        <v>3.9901677578001941E-4</v>
      </c>
      <c r="AH62" s="254">
        <f t="shared" si="27"/>
        <v>3.9901677578001941E-2</v>
      </c>
      <c r="AI62" s="254">
        <f t="shared" si="51"/>
        <v>1.9333333333333398E-4</v>
      </c>
      <c r="AJ62" s="253">
        <f t="shared" si="76"/>
        <v>3.7771241264574119E-4</v>
      </c>
      <c r="AK62" s="253">
        <f t="shared" si="52"/>
        <v>3.0666666666666662E-4</v>
      </c>
      <c r="AL62" s="255">
        <f t="shared" si="28"/>
        <v>3.0666666666666662E-2</v>
      </c>
      <c r="AN62" s="258">
        <f>(((IF($P$5&lt;&gt;0,$P$5,IF($P$6&lt;&gt;0,$P$6,IF($P$7&lt;&gt;0,$P$7,0))))/(12*$P$19))+(((3*$P$15)/(2*(IF($P$5&lt;&gt;0,$P$5,IF($P$6&lt;&gt;0,$P$6,IF($P$7&lt;&gt;0,$P$7,0))))*$U$5*$P$19))*'IN-OUT'!$F$15))*'Burland damage classification'!AR62</f>
        <v>2.2257055784476588E-3</v>
      </c>
      <c r="AO62" s="254">
        <f>(1+(((IF($P$5&lt;&gt;0,$P$5^2,IF($P$6&lt;&gt;0,$P$6^2,IF($P$7&lt;&gt;0,$P$7^2))))*$U$5)/(18*$P$15))*('IN-OUT'!$F$15^(-1)))*AS62</f>
        <v>9.3617472883571423E-4</v>
      </c>
      <c r="AP62" s="254">
        <f t="shared" si="77"/>
        <v>9.3617472883571423E-4</v>
      </c>
      <c r="AQ62" s="254">
        <f t="shared" si="29"/>
        <v>9.3617472883571418E-2</v>
      </c>
      <c r="AR62" s="254">
        <f t="shared" si="53"/>
        <v>6.9333333333333389E-4</v>
      </c>
      <c r="AS62" s="253">
        <f t="shared" si="78"/>
        <v>8.8619034825105909E-4</v>
      </c>
      <c r="AT62" s="253">
        <f t="shared" si="54"/>
        <v>3.0666666666666662E-4</v>
      </c>
      <c r="AU62" s="255">
        <f t="shared" si="30"/>
        <v>3.0666666666666662E-2</v>
      </c>
      <c r="AW62" s="258">
        <f>(((IF($P$5&lt;&gt;0,$P$5,IF($P$6&lt;&gt;0,$P$6,IF($P$7&lt;&gt;0,$P$7,0))))/(12*$P$19))+(((3*$P$15)/(2*(IF($P$5&lt;&gt;0,$P$5,IF($P$6&lt;&gt;0,$P$6,IF($P$7&lt;&gt;0,$P$7,0))))*$U$5*$P$19))*'IN-OUT'!$F$15))*'Burland damage classification'!BA62</f>
        <v>5.4358578550548469E-3</v>
      </c>
      <c r="AX62" s="254">
        <f>(1+(((IF($P$5&lt;&gt;0,$P$5^2,IF($P$6&lt;&gt;0,$P$6^2,IF($P$7&lt;&gt;0,$P$7^2))))*$U$5)/(18*$P$15))*('IN-OUT'!$F$15^(-1)))*BB62</f>
        <v>1.9962023040345084E-3</v>
      </c>
      <c r="AY62" s="254">
        <f t="shared" si="79"/>
        <v>1.9962023040345084E-3</v>
      </c>
      <c r="AZ62" s="254">
        <f t="shared" si="31"/>
        <v>0.19962023040345084</v>
      </c>
      <c r="BA62" s="254">
        <f t="shared" si="55"/>
        <v>1.6933333333333308E-3</v>
      </c>
      <c r="BB62" s="270">
        <f t="shared" si="8"/>
        <v>1.8896207732417281E-3</v>
      </c>
      <c r="BC62" s="253">
        <f t="shared" si="56"/>
        <v>3.0666666666666662E-4</v>
      </c>
      <c r="BD62" s="255">
        <f t="shared" si="32"/>
        <v>3.0666666666666662E-2</v>
      </c>
      <c r="BF62" s="258" t="e">
        <f>((((IF($Q$5=0,$Q$6,$Q$5)))/(12*$Q$19))+(((3*$Q$15)/(2*IF($Q$5=0,$Q$6,$Q$5)*$U$5*$Q$19))*'IN-OUT'!$F$15))*'Burland damage classification'!BJ62</f>
        <v>#DIV/0!</v>
      </c>
      <c r="BG62" s="262">
        <f>(1+(((IF($Q$5=0,$Q$6^2,$Q$5^2))*$U$5)/(18*$Q$15))*('IN-OUT'!$F$15^(-1)))*BK62</f>
        <v>1.9888578520235067E-4</v>
      </c>
      <c r="BH62" s="262" t="e">
        <f t="shared" si="80"/>
        <v>#DIV/0!</v>
      </c>
      <c r="BI62" s="262" t="e">
        <f t="shared" si="33"/>
        <v>#DIV/0!</v>
      </c>
      <c r="BJ62" s="262">
        <f t="shared" si="57"/>
        <v>2.6666666666666782E-5</v>
      </c>
      <c r="BK62" s="270">
        <f t="shared" si="81"/>
        <v>1.9888578520235067E-4</v>
      </c>
      <c r="BL62" s="270">
        <f t="shared" si="58"/>
        <v>3.0666666666666662E-4</v>
      </c>
      <c r="BM62" s="271">
        <f t="shared" si="34"/>
        <v>3.0666666666666662E-2</v>
      </c>
      <c r="BO62" s="258" t="e">
        <f>((((IF($Q$5=0,$Q$6,$Q$5)))/(12*$Q$19))+(((3*$Q$15)/(2*IF($Q$5=0,$Q$6,$Q$5)*$U$5*$Q$19))*'IN-OUT'!$F$15))*'Burland damage classification'!BS62</f>
        <v>#DIV/0!</v>
      </c>
      <c r="BP62" s="262">
        <f>(1+(((IF($Q$5=0,$Q$6^2,$Q$5^2))*$U$5)/(18*$Q$15))*('IN-OUT'!$F$15^(-1)))*BT62</f>
        <v>3.7771241264574119E-4</v>
      </c>
      <c r="BQ62" s="254" t="e">
        <f t="shared" si="11"/>
        <v>#DIV/0!</v>
      </c>
      <c r="BR62" s="254" t="e">
        <f t="shared" si="35"/>
        <v>#DIV/0!</v>
      </c>
      <c r="BS62" s="254">
        <f t="shared" si="59"/>
        <v>1.9333333333333398E-4</v>
      </c>
      <c r="BT62" s="253">
        <f t="shared" si="82"/>
        <v>3.7771241264574119E-4</v>
      </c>
      <c r="BU62" s="253">
        <f t="shared" si="60"/>
        <v>3.0666666666666662E-4</v>
      </c>
      <c r="BV62" s="255">
        <f t="shared" si="36"/>
        <v>3.0666666666666662E-2</v>
      </c>
      <c r="BX62" s="258" t="e">
        <f>((((IF($Q$5=0,$Q$6,$Q$5)))/(12*$Q$19))+(((3*$Q$15)/(2*IF($Q$5=0,$Q$6,$Q$5)*$U$5*$Q$19))*'IN-OUT'!$F$15))*'Burland damage classification'!CB62</f>
        <v>#DIV/0!</v>
      </c>
      <c r="BY62" s="262">
        <f>(1+(((IF($Q$5=0,$Q$6^2,$Q$5^2))*$U$5)/(18*$Q$15))*('IN-OUT'!$F$15^(-1)))*CC62</f>
        <v>8.8619034825105909E-4</v>
      </c>
      <c r="BZ62" s="254" t="e">
        <f t="shared" si="13"/>
        <v>#DIV/0!</v>
      </c>
      <c r="CA62" s="254" t="e">
        <f t="shared" si="37"/>
        <v>#DIV/0!</v>
      </c>
      <c r="CB62" s="254">
        <f t="shared" si="61"/>
        <v>6.9333333333333389E-4</v>
      </c>
      <c r="CC62" s="253">
        <f t="shared" si="83"/>
        <v>8.8619034825105909E-4</v>
      </c>
      <c r="CD62" s="253">
        <f t="shared" si="62"/>
        <v>3.0666666666666662E-4</v>
      </c>
      <c r="CE62" s="255">
        <f t="shared" si="38"/>
        <v>3.0666666666666662E-2</v>
      </c>
      <c r="CG62" s="258" t="e">
        <f>((((IF($Q$5=0,$Q$6,$Q$5)))/(12*$Q$19))+(((3*$Q$15)/(2*IF($Q$5=0,$Q$6,$Q$5)*$U$5*$Q$19))*'IN-OUT'!$F$15))*'Burland damage classification'!CK62</f>
        <v>#DIV/0!</v>
      </c>
      <c r="CH62" s="262">
        <f>(1+(((IF($Q$5=0,$Q$6^2,$Q$5^2))*$U$5)/(18*$Q$15))*('IN-OUT'!$F$15^(-1)))*CL62</f>
        <v>1.8896207732417281E-3</v>
      </c>
      <c r="CI62" s="254" t="e">
        <f t="shared" si="15"/>
        <v>#DIV/0!</v>
      </c>
      <c r="CJ62" s="254" t="e">
        <f t="shared" si="39"/>
        <v>#DIV/0!</v>
      </c>
      <c r="CK62" s="254">
        <f t="shared" si="63"/>
        <v>1.6933333333333308E-3</v>
      </c>
      <c r="CL62" s="270">
        <f t="shared" si="16"/>
        <v>1.8896207732417281E-3</v>
      </c>
      <c r="CM62" s="253">
        <f t="shared" si="64"/>
        <v>3.0666666666666662E-4</v>
      </c>
      <c r="CN62" s="255">
        <f t="shared" si="40"/>
        <v>3.0666666666666662E-2</v>
      </c>
      <c r="CP62" s="258" t="e">
        <f>((((IF($R$5=0,$R$6,$R$5)))/(12*$R$19))+(((3*$R$15)/(2*IF($R$5=0,$R$6,$R$5)*$U$5*$R$19))*'IN-OUT'!$F$15))*'Burland damage classification'!CT62</f>
        <v>#DIV/0!</v>
      </c>
      <c r="CQ62" s="262">
        <f>(1+(((IF($R$5=0,$R$6^2,$R$5^2))*$U$5)/(18*$R$15))*('IN-OUT'!$F$15^(-1)))*CU62</f>
        <v>1.9888578520235067E-4</v>
      </c>
      <c r="CR62" s="262" t="e">
        <f t="shared" si="84"/>
        <v>#DIV/0!</v>
      </c>
      <c r="CS62" s="262" t="e">
        <f t="shared" si="41"/>
        <v>#DIV/0!</v>
      </c>
      <c r="CT62" s="262">
        <f t="shared" si="65"/>
        <v>2.6666666666666782E-5</v>
      </c>
      <c r="CU62" s="270">
        <f t="shared" si="85"/>
        <v>1.9888578520235067E-4</v>
      </c>
      <c r="CV62" s="270">
        <f t="shared" si="66"/>
        <v>3.0666666666666662E-4</v>
      </c>
      <c r="CW62" s="271">
        <f t="shared" si="42"/>
        <v>3.0666666666666662E-2</v>
      </c>
      <c r="CY62" s="258" t="e">
        <f>((((IF($R$5=0,$R$6,$R$5)))/(12*$R$19))+(((3*$R$15)/(2*IF($R$5=0,$R$6,$R$5)*$U$5*$R$19))*'IN-OUT'!$F$15))*'Burland damage classification'!DC62</f>
        <v>#DIV/0!</v>
      </c>
      <c r="CZ62" s="262">
        <f>(1+(((IF($R$5=0,$R$6^2,$R$5^2))*$U$5)/(18*$R$15))*('IN-OUT'!$F$15^(-1)))*DD62</f>
        <v>3.7771241264574119E-4</v>
      </c>
      <c r="DA62" s="254" t="e">
        <f t="shared" si="19"/>
        <v>#DIV/0!</v>
      </c>
      <c r="DB62" s="254" t="e">
        <f t="shared" si="43"/>
        <v>#DIV/0!</v>
      </c>
      <c r="DC62" s="254">
        <f t="shared" si="67"/>
        <v>1.9333333333333398E-4</v>
      </c>
      <c r="DD62" s="253">
        <f t="shared" si="86"/>
        <v>3.7771241264574119E-4</v>
      </c>
      <c r="DE62" s="253">
        <f t="shared" si="68"/>
        <v>3.0666666666666662E-4</v>
      </c>
      <c r="DF62" s="255">
        <f t="shared" si="44"/>
        <v>3.0666666666666662E-2</v>
      </c>
      <c r="DH62" s="258" t="e">
        <f>((((IF($R$5=0,$R$6,$R$5)))/(12*$R$19))+(((3*$R$15)/(2*IF($R$5=0,$R$6,$R$5)*$U$5*$R$19))*'IN-OUT'!$F$15))*'Burland damage classification'!DL62</f>
        <v>#DIV/0!</v>
      </c>
      <c r="DI62" s="262">
        <f>(1+(((IF($R$5=0,$R$6^2,$R$5^2))*$U$5)/(18*$R$15))*('IN-OUT'!$F$15^(-1)))*DM62</f>
        <v>8.8619034825105909E-4</v>
      </c>
      <c r="DJ62" s="254" t="e">
        <f t="shared" si="21"/>
        <v>#DIV/0!</v>
      </c>
      <c r="DK62" s="254" t="e">
        <f t="shared" si="45"/>
        <v>#DIV/0!</v>
      </c>
      <c r="DL62" s="254">
        <f t="shared" si="69"/>
        <v>6.9333333333333389E-4</v>
      </c>
      <c r="DM62" s="253">
        <f t="shared" si="87"/>
        <v>8.8619034825105909E-4</v>
      </c>
      <c r="DN62" s="253">
        <f t="shared" si="70"/>
        <v>3.0666666666666662E-4</v>
      </c>
      <c r="DO62" s="255">
        <f t="shared" si="46"/>
        <v>3.0666666666666662E-2</v>
      </c>
      <c r="DQ62" s="258" t="e">
        <f>((((IF($R$5=0,$R$6,$R$5)))/(12*$R$19))+(((3*$R$15)/(2*IF($R$5=0,$R$6,$R$5)*$U$5*$R$19))*'IN-OUT'!$F$15))*'Burland damage classification'!DU62</f>
        <v>#DIV/0!</v>
      </c>
      <c r="DR62" s="262">
        <f>(1+(((IF($R$5=0,$R$6^2,$R$5^2))*$U$5)/(18*$R$15))*('IN-OUT'!$F$15^(-1)))*DV62</f>
        <v>1.8896207732417281E-3</v>
      </c>
      <c r="DS62" s="254" t="e">
        <f t="shared" si="23"/>
        <v>#DIV/0!</v>
      </c>
      <c r="DT62" s="254" t="e">
        <f t="shared" si="47"/>
        <v>#DIV/0!</v>
      </c>
      <c r="DU62" s="254">
        <f t="shared" si="71"/>
        <v>1.6933333333333308E-3</v>
      </c>
      <c r="DV62" s="270">
        <f t="shared" si="24"/>
        <v>1.8896207732417281E-3</v>
      </c>
      <c r="DW62" s="253">
        <f t="shared" si="72"/>
        <v>3.0666666666666662E-4</v>
      </c>
      <c r="DX62" s="255">
        <f t="shared" si="48"/>
        <v>3.0666666666666662E-2</v>
      </c>
      <c r="ED62" s="432" t="s">
        <v>257</v>
      </c>
      <c r="EE62" s="433" t="s">
        <v>258</v>
      </c>
      <c r="EF62" s="434" t="s">
        <v>259</v>
      </c>
      <c r="EG62" s="437" t="s">
        <v>257</v>
      </c>
      <c r="EH62" s="438" t="s">
        <v>258</v>
      </c>
      <c r="EI62" s="439" t="s">
        <v>260</v>
      </c>
      <c r="EK62" s="442" t="s">
        <v>257</v>
      </c>
      <c r="EL62" s="443" t="s">
        <v>258</v>
      </c>
      <c r="EM62" s="444" t="s">
        <v>261</v>
      </c>
      <c r="EO62" s="430"/>
      <c r="FE62" s="681"/>
      <c r="FF62" s="681"/>
    </row>
    <row r="63" spans="22:162" ht="14.4" thickBot="1">
      <c r="V63" s="258">
        <f>(((IF($P$5&lt;&gt;0,$P$5,IF($P$6&lt;&gt;0,$P$6,IF($P$7&lt;&gt;0,$P$7,0))))/(12*$P$19))+(((3*$P$15)/(2*(IF($P$5&lt;&gt;0,$P$5,IF($P$6&lt;&gt;0,$P$6,IF($P$7&lt;&gt;0,$P$7,0))))*$U$5*$P$19))*'IN-OUT'!$F$15))*'Burland damage classification'!Z63</f>
        <v>6.4203045532144321E-5</v>
      </c>
      <c r="W63" s="262">
        <f>(1+(((IF($P$5&lt;&gt;0,$P$5^2,IF($P$6&lt;&gt;0,$P$6^2,IF($P$7&lt;&gt;0,$P$7^2))))*$U$5)/(18*$P$15))*('IN-OUT'!$F$15^(-1)))*AA63</f>
        <v>2.0593098470948287E-4</v>
      </c>
      <c r="X63" s="262">
        <f t="shared" si="73"/>
        <v>6.4203045532144321E-5</v>
      </c>
      <c r="Y63" s="262">
        <f t="shared" si="25"/>
        <v>6.4203045532144317E-3</v>
      </c>
      <c r="Z63" s="916">
        <f t="shared" si="49"/>
        <v>2.0000000000000113E-5</v>
      </c>
      <c r="AA63" s="270">
        <f t="shared" si="74"/>
        <v>1.9493588689617933E-4</v>
      </c>
      <c r="AB63" s="270">
        <f t="shared" si="50"/>
        <v>3.1333333333333327E-4</v>
      </c>
      <c r="AC63" s="271">
        <f t="shared" si="26"/>
        <v>3.1333333333333324E-2</v>
      </c>
      <c r="AE63" s="258">
        <f>(((IF($P$5&lt;&gt;0,$P$5,IF($P$6&lt;&gt;0,$P$6,IF($P$7&lt;&gt;0,$P$7,0))))/(12*$P$19))+(((3*$P$15)/(2*(IF($P$5&lt;&gt;0,$P$5,IF($P$6&lt;&gt;0,$P$6,IF($P$7&lt;&gt;0,$P$7,0))))*$U$5*$P$19))*'IN-OUT'!$F$15))*'Burland damage classification'!AI63</f>
        <v>5.9922842496667897E-4</v>
      </c>
      <c r="AF63" s="254">
        <f>(1+(((IF($P$5&lt;&gt;0,$P$5^2,IF($P$6&lt;&gt;0,$P$6^2,IF($P$7&lt;&gt;0,$P$7^2))))*$U$5)/(18*$P$15))*('IN-OUT'!$F$15^(-1)))*AJ63</f>
        <v>3.957403362420056E-4</v>
      </c>
      <c r="AG63" s="254">
        <f t="shared" si="75"/>
        <v>3.957403362420056E-4</v>
      </c>
      <c r="AH63" s="254">
        <f t="shared" si="27"/>
        <v>3.9574033624200561E-2</v>
      </c>
      <c r="AI63" s="254">
        <f t="shared" si="51"/>
        <v>1.8666666666666731E-4</v>
      </c>
      <c r="AJ63" s="253">
        <f t="shared" si="76"/>
        <v>3.746109092556347E-4</v>
      </c>
      <c r="AK63" s="253">
        <f t="shared" si="52"/>
        <v>3.1333333333333327E-4</v>
      </c>
      <c r="AL63" s="255">
        <f t="shared" si="28"/>
        <v>3.1333333333333324E-2</v>
      </c>
      <c r="AN63" s="258">
        <f>(((IF($P$5&lt;&gt;0,$P$5,IF($P$6&lt;&gt;0,$P$6,IF($P$7&lt;&gt;0,$P$7,0))))/(12*$P$19))+(((3*$P$15)/(2*(IF($P$5&lt;&gt;0,$P$5,IF($P$6&lt;&gt;0,$P$6,IF($P$7&lt;&gt;0,$P$7,0))))*$U$5*$P$19))*'IN-OUT'!$F$15))*'Burland damage classification'!AR63</f>
        <v>2.2043045632702779E-3</v>
      </c>
      <c r="AO63" s="254">
        <f>(1+(((IF($P$5&lt;&gt;0,$P$5^2,IF($P$6&lt;&gt;0,$P$6^2,IF($P$7&lt;&gt;0,$P$7^2))))*$U$5)/(18*$P$15))*('IN-OUT'!$F$15^(-1)))*AS63</f>
        <v>9.3338908053433416E-4</v>
      </c>
      <c r="AP63" s="254">
        <f t="shared" si="77"/>
        <v>9.3338908053433416E-4</v>
      </c>
      <c r="AQ63" s="254">
        <f t="shared" si="29"/>
        <v>9.3338908053433423E-2</v>
      </c>
      <c r="AR63" s="254">
        <f t="shared" si="53"/>
        <v>6.8666666666666724E-4</v>
      </c>
      <c r="AS63" s="253">
        <f t="shared" si="78"/>
        <v>8.8355343169876639E-4</v>
      </c>
      <c r="AT63" s="253">
        <f t="shared" si="54"/>
        <v>3.1333333333333327E-4</v>
      </c>
      <c r="AU63" s="255">
        <f t="shared" si="30"/>
        <v>3.1333333333333324E-2</v>
      </c>
      <c r="AW63" s="258">
        <f>(((IF($P$5&lt;&gt;0,$P$5,IF($P$6&lt;&gt;0,$P$6,IF($P$7&lt;&gt;0,$P$7,0))))/(12*$P$19))+(((3*$P$15)/(2*(IF($P$5&lt;&gt;0,$P$5,IF($P$6&lt;&gt;0,$P$6,IF($P$7&lt;&gt;0,$P$7,0))))*$U$5*$P$19))*'IN-OUT'!$F$15))*'Burland damage classification'!BA63</f>
        <v>5.4144568398774651E-3</v>
      </c>
      <c r="AX63" s="254">
        <f>(1+(((IF($P$5&lt;&gt;0,$P$5^2,IF($P$6&lt;&gt;0,$P$6^2,IF($P$7&lt;&gt;0,$P$7^2))))*$U$5)/(18*$P$15))*('IN-OUT'!$F$15^(-1)))*BB63</f>
        <v>1.9935916693578182E-3</v>
      </c>
      <c r="AY63" s="254">
        <f t="shared" si="79"/>
        <v>1.9935916693578182E-3</v>
      </c>
      <c r="AZ63" s="254">
        <f t="shared" si="31"/>
        <v>0.19935916693578182</v>
      </c>
      <c r="BA63" s="254">
        <f t="shared" si="55"/>
        <v>1.686666666666664E-3</v>
      </c>
      <c r="BB63" s="270">
        <f t="shared" si="8"/>
        <v>1.8871495259606041E-3</v>
      </c>
      <c r="BC63" s="253">
        <f t="shared" si="56"/>
        <v>3.1333333333333327E-4</v>
      </c>
      <c r="BD63" s="255">
        <f t="shared" si="32"/>
        <v>3.1333333333333324E-2</v>
      </c>
      <c r="BF63" s="258" t="e">
        <f>((((IF($Q$5=0,$Q$6,$Q$5)))/(12*$Q$19))+(((3*$Q$15)/(2*IF($Q$5=0,$Q$6,$Q$5)*$U$5*$Q$19))*'IN-OUT'!$F$15))*'Burland damage classification'!BJ63</f>
        <v>#DIV/0!</v>
      </c>
      <c r="BG63" s="262">
        <f>(1+(((IF($Q$5=0,$Q$6^2,$Q$5^2))*$U$5)/(18*$Q$15))*('IN-OUT'!$F$15^(-1)))*BK63</f>
        <v>1.9493588689617933E-4</v>
      </c>
      <c r="BH63" s="262" t="e">
        <f t="shared" si="80"/>
        <v>#DIV/0!</v>
      </c>
      <c r="BI63" s="262" t="e">
        <f t="shared" si="33"/>
        <v>#DIV/0!</v>
      </c>
      <c r="BJ63" s="262">
        <f t="shared" si="57"/>
        <v>2.0000000000000113E-5</v>
      </c>
      <c r="BK63" s="270">
        <f t="shared" si="81"/>
        <v>1.9493588689617933E-4</v>
      </c>
      <c r="BL63" s="270">
        <f t="shared" si="58"/>
        <v>3.1333333333333327E-4</v>
      </c>
      <c r="BM63" s="271">
        <f t="shared" si="34"/>
        <v>3.1333333333333324E-2</v>
      </c>
      <c r="BO63" s="258" t="e">
        <f>((((IF($Q$5=0,$Q$6,$Q$5)))/(12*$Q$19))+(((3*$Q$15)/(2*IF($Q$5=0,$Q$6,$Q$5)*$U$5*$Q$19))*'IN-OUT'!$F$15))*'Burland damage classification'!BS63</f>
        <v>#DIV/0!</v>
      </c>
      <c r="BP63" s="262">
        <f>(1+(((IF($Q$5=0,$Q$6^2,$Q$5^2))*$U$5)/(18*$Q$15))*('IN-OUT'!$F$15^(-1)))*BT63</f>
        <v>3.746109092556347E-4</v>
      </c>
      <c r="BQ63" s="254" t="e">
        <f t="shared" si="11"/>
        <v>#DIV/0!</v>
      </c>
      <c r="BR63" s="254" t="e">
        <f t="shared" si="35"/>
        <v>#DIV/0!</v>
      </c>
      <c r="BS63" s="254">
        <f t="shared" si="59"/>
        <v>1.8666666666666731E-4</v>
      </c>
      <c r="BT63" s="253">
        <f t="shared" si="82"/>
        <v>3.746109092556347E-4</v>
      </c>
      <c r="BU63" s="253">
        <f t="shared" si="60"/>
        <v>3.1333333333333327E-4</v>
      </c>
      <c r="BV63" s="255">
        <f t="shared" si="36"/>
        <v>3.1333333333333324E-2</v>
      </c>
      <c r="BX63" s="258" t="e">
        <f>((((IF($Q$5=0,$Q$6,$Q$5)))/(12*$Q$19))+(((3*$Q$15)/(2*IF($Q$5=0,$Q$6,$Q$5)*$U$5*$Q$19))*'IN-OUT'!$F$15))*'Burland damage classification'!CB63</f>
        <v>#DIV/0!</v>
      </c>
      <c r="BY63" s="262">
        <f>(1+(((IF($Q$5=0,$Q$6^2,$Q$5^2))*$U$5)/(18*$Q$15))*('IN-OUT'!$F$15^(-1)))*CC63</f>
        <v>8.8355343169876639E-4</v>
      </c>
      <c r="BZ63" s="254" t="e">
        <f t="shared" si="13"/>
        <v>#DIV/0!</v>
      </c>
      <c r="CA63" s="254" t="e">
        <f t="shared" si="37"/>
        <v>#DIV/0!</v>
      </c>
      <c r="CB63" s="254">
        <f t="shared" si="61"/>
        <v>6.8666666666666724E-4</v>
      </c>
      <c r="CC63" s="253">
        <f t="shared" si="83"/>
        <v>8.8355343169876639E-4</v>
      </c>
      <c r="CD63" s="253">
        <f t="shared" si="62"/>
        <v>3.1333333333333327E-4</v>
      </c>
      <c r="CE63" s="255">
        <f t="shared" si="38"/>
        <v>3.1333333333333324E-2</v>
      </c>
      <c r="CG63" s="258" t="e">
        <f>((((IF($Q$5=0,$Q$6,$Q$5)))/(12*$Q$19))+(((3*$Q$15)/(2*IF($Q$5=0,$Q$6,$Q$5)*$U$5*$Q$19))*'IN-OUT'!$F$15))*'Burland damage classification'!CK63</f>
        <v>#DIV/0!</v>
      </c>
      <c r="CH63" s="262">
        <f>(1+(((IF($Q$5=0,$Q$6^2,$Q$5^2))*$U$5)/(18*$Q$15))*('IN-OUT'!$F$15^(-1)))*CL63</f>
        <v>1.8871495259606041E-3</v>
      </c>
      <c r="CI63" s="254" t="e">
        <f t="shared" si="15"/>
        <v>#DIV/0!</v>
      </c>
      <c r="CJ63" s="254" t="e">
        <f t="shared" si="39"/>
        <v>#DIV/0!</v>
      </c>
      <c r="CK63" s="254">
        <f t="shared" si="63"/>
        <v>1.686666666666664E-3</v>
      </c>
      <c r="CL63" s="270">
        <f t="shared" si="16"/>
        <v>1.8871495259606041E-3</v>
      </c>
      <c r="CM63" s="253">
        <f t="shared" si="64"/>
        <v>3.1333333333333327E-4</v>
      </c>
      <c r="CN63" s="255">
        <f t="shared" si="40"/>
        <v>3.1333333333333324E-2</v>
      </c>
      <c r="CP63" s="258" t="e">
        <f>((((IF($R$5=0,$R$6,$R$5)))/(12*$R$19))+(((3*$R$15)/(2*IF($R$5=0,$R$6,$R$5)*$U$5*$R$19))*'IN-OUT'!$F$15))*'Burland damage classification'!CT63</f>
        <v>#DIV/0!</v>
      </c>
      <c r="CQ63" s="262">
        <f>(1+(((IF($R$5=0,$R$6^2,$R$5^2))*$U$5)/(18*$R$15))*('IN-OUT'!$F$15^(-1)))*CU63</f>
        <v>1.9493588689617933E-4</v>
      </c>
      <c r="CR63" s="262" t="e">
        <f t="shared" si="84"/>
        <v>#DIV/0!</v>
      </c>
      <c r="CS63" s="262" t="e">
        <f t="shared" si="41"/>
        <v>#DIV/0!</v>
      </c>
      <c r="CT63" s="262">
        <f t="shared" si="65"/>
        <v>2.0000000000000113E-5</v>
      </c>
      <c r="CU63" s="270">
        <f t="shared" si="85"/>
        <v>1.9493588689617933E-4</v>
      </c>
      <c r="CV63" s="270">
        <f t="shared" si="66"/>
        <v>3.1333333333333327E-4</v>
      </c>
      <c r="CW63" s="271">
        <f t="shared" si="42"/>
        <v>3.1333333333333324E-2</v>
      </c>
      <c r="CY63" s="258" t="e">
        <f>((((IF($R$5=0,$R$6,$R$5)))/(12*$R$19))+(((3*$R$15)/(2*IF($R$5=0,$R$6,$R$5)*$U$5*$R$19))*'IN-OUT'!$F$15))*'Burland damage classification'!DC63</f>
        <v>#DIV/0!</v>
      </c>
      <c r="CZ63" s="262">
        <f>(1+(((IF($R$5=0,$R$6^2,$R$5^2))*$U$5)/(18*$R$15))*('IN-OUT'!$F$15^(-1)))*DD63</f>
        <v>3.746109092556347E-4</v>
      </c>
      <c r="DA63" s="254" t="e">
        <f t="shared" si="19"/>
        <v>#DIV/0!</v>
      </c>
      <c r="DB63" s="254" t="e">
        <f t="shared" si="43"/>
        <v>#DIV/0!</v>
      </c>
      <c r="DC63" s="254">
        <f t="shared" si="67"/>
        <v>1.8666666666666731E-4</v>
      </c>
      <c r="DD63" s="253">
        <f t="shared" si="86"/>
        <v>3.746109092556347E-4</v>
      </c>
      <c r="DE63" s="253">
        <f t="shared" si="68"/>
        <v>3.1333333333333327E-4</v>
      </c>
      <c r="DF63" s="255">
        <f t="shared" si="44"/>
        <v>3.1333333333333324E-2</v>
      </c>
      <c r="DH63" s="258" t="e">
        <f>((((IF($R$5=0,$R$6,$R$5)))/(12*$R$19))+(((3*$R$15)/(2*IF($R$5=0,$R$6,$R$5)*$U$5*$R$19))*'IN-OUT'!$F$15))*'Burland damage classification'!DL63</f>
        <v>#DIV/0!</v>
      </c>
      <c r="DI63" s="262">
        <f>(1+(((IF($R$5=0,$R$6^2,$R$5^2))*$U$5)/(18*$R$15))*('IN-OUT'!$F$15^(-1)))*DM63</f>
        <v>8.8355343169876639E-4</v>
      </c>
      <c r="DJ63" s="254" t="e">
        <f t="shared" si="21"/>
        <v>#DIV/0!</v>
      </c>
      <c r="DK63" s="254" t="e">
        <f t="shared" si="45"/>
        <v>#DIV/0!</v>
      </c>
      <c r="DL63" s="254">
        <f t="shared" si="69"/>
        <v>6.8666666666666724E-4</v>
      </c>
      <c r="DM63" s="253">
        <f t="shared" si="87"/>
        <v>8.8355343169876639E-4</v>
      </c>
      <c r="DN63" s="253">
        <f t="shared" si="70"/>
        <v>3.1333333333333327E-4</v>
      </c>
      <c r="DO63" s="255">
        <f t="shared" si="46"/>
        <v>3.1333333333333324E-2</v>
      </c>
      <c r="DQ63" s="258" t="e">
        <f>((((IF($R$5=0,$R$6,$R$5)))/(12*$R$19))+(((3*$R$15)/(2*IF($R$5=0,$R$6,$R$5)*$U$5*$R$19))*'IN-OUT'!$F$15))*'Burland damage classification'!DU63</f>
        <v>#DIV/0!</v>
      </c>
      <c r="DR63" s="262">
        <f>(1+(((IF($R$5=0,$R$6^2,$R$5^2))*$U$5)/(18*$R$15))*('IN-OUT'!$F$15^(-1)))*DV63</f>
        <v>1.8871495259606041E-3</v>
      </c>
      <c r="DS63" s="254" t="e">
        <f t="shared" si="23"/>
        <v>#DIV/0!</v>
      </c>
      <c r="DT63" s="254" t="e">
        <f t="shared" si="47"/>
        <v>#DIV/0!</v>
      </c>
      <c r="DU63" s="254">
        <f t="shared" si="71"/>
        <v>1.686666666666664E-3</v>
      </c>
      <c r="DV63" s="270">
        <f t="shared" si="24"/>
        <v>1.8871495259606041E-3</v>
      </c>
      <c r="DW63" s="253">
        <f t="shared" si="72"/>
        <v>3.1333333333333327E-4</v>
      </c>
      <c r="DX63" s="255">
        <f t="shared" si="48"/>
        <v>3.1333333333333324E-2</v>
      </c>
      <c r="EA63" s="1239" t="s">
        <v>182</v>
      </c>
      <c r="EB63" s="1189" t="s">
        <v>244</v>
      </c>
      <c r="EC63" s="449" t="s">
        <v>21</v>
      </c>
      <c r="ED63" s="435">
        <f>'transversal subsidence profile'!$L$5*EXP(-(EG9^2)/(2*'transversal subsidence profile'!$J$5^2))*100</f>
        <v>0.22163409593685704</v>
      </c>
      <c r="EE63" s="428">
        <f>'transversal subsidence profile'!$L$5*EG9/'transversal subsidence profile'!$B$5*EXP(-(EG9^2)/(2*'transversal subsidence profile'!$J$5^2))*100</f>
        <v>-0.22163409593685704</v>
      </c>
      <c r="EF63" s="436">
        <f>('transversal subsidence profile'!$L$5/'transversal subsidence profile'!$B$5)*(1-((EG9^2)/(('transversal subsidence profile'!$J$5)^2)))*EXP(-(EG9^2)/(2*(('transversal subsidence profile'!$J$5)^2)))*100</f>
        <v>-5.8190351114285908E-2</v>
      </c>
      <c r="EG63" s="440">
        <f>'transversal subsidence profile'!$L$6*EXP(-(((EG9+$DZ$4))^2)/(2*'transversal subsidence profile'!$J$6^2))*100</f>
        <v>1.9898512885235582</v>
      </c>
      <c r="EH63" s="429">
        <f>'transversal subsidence profile'!$L$6*(EG9+$DZ$4)/'transversal subsidence profile'!$F$5*EXP(-((EG9+$DZ$4)^2)/(2*'transversal subsidence profile'!$J$6^2))*100</f>
        <v>-0.66328376284118618</v>
      </c>
      <c r="EI63" s="441">
        <f>('transversal subsidence profile'!$L$6/'transversal subsidence profile'!$F$5)*(1-(EG9+$DZ$4)^2/(('transversal subsidence profile'!$J$6)^2))*EXP(-((EG9+$DZ$4)^2)/(2*(('transversal subsidence profile'!$J$6)^2)))*100</f>
        <v>5.9868410967009664E-2</v>
      </c>
      <c r="EK63" s="445">
        <f>IF('IN-OUT'!$F$26=0,EG63,IF('IN-OUT'!$F$35=0,ED63,ED63+EG63))</f>
        <v>2.2114853844604152</v>
      </c>
      <c r="EL63" s="445">
        <f>IF('IN-OUT'!$F$26=0,EH63,IF('IN-OUT'!$F$35=0,EE63,EE63+EH63))</f>
        <v>-0.88491785877804319</v>
      </c>
      <c r="EM63" s="563">
        <f>IF('IN-OUT'!$F$26=0,EI63,IF('IN-OUT'!$F$35=0,EF63,EF63+EI63))</f>
        <v>1.6780598527237553E-3</v>
      </c>
      <c r="EO63" s="430"/>
      <c r="EV63" s="1242" t="s">
        <v>268</v>
      </c>
      <c r="EW63" s="1243"/>
      <c r="FE63" s="681"/>
      <c r="FF63" s="681"/>
    </row>
    <row r="64" spans="22:162" ht="13.8" thickBot="1">
      <c r="V64" s="258">
        <f>(((IF($P$5&lt;&gt;0,$P$5,IF($P$6&lt;&gt;0,$P$6,IF($P$7&lt;&gt;0,$P$7,0))))/(12*$P$19))+(((3*$P$15)/(2*(IF($P$5&lt;&gt;0,$P$5,IF($P$6&lt;&gt;0,$P$6,IF($P$7&lt;&gt;0,$P$7,0))))*$U$5*$P$19))*'IN-OUT'!$F$15))*'Burland damage classification'!Z64</f>
        <v>4.2802030354763002E-5</v>
      </c>
      <c r="W64" s="262">
        <f>(1+(((IF($P$5&lt;&gt;0,$P$5^2,IF($P$6&lt;&gt;0,$P$6^2,IF($P$7&lt;&gt;0,$P$7^2))))*$U$5)/(18*$P$15))*('IN-OUT'!$F$15^(-1)))*AA64</f>
        <v>2.0167198131318631E-4</v>
      </c>
      <c r="X64" s="262">
        <f t="shared" si="73"/>
        <v>4.2802030354763002E-5</v>
      </c>
      <c r="Y64" s="262">
        <f t="shared" si="25"/>
        <v>4.2802030354763005E-3</v>
      </c>
      <c r="Z64" s="916">
        <f t="shared" si="49"/>
        <v>1.3333333333333447E-5</v>
      </c>
      <c r="AA64" s="270">
        <f t="shared" si="74"/>
        <v>1.909042808436848E-4</v>
      </c>
      <c r="AB64" s="270">
        <f t="shared" si="50"/>
        <v>3.1999999999999992E-4</v>
      </c>
      <c r="AC64" s="271">
        <f t="shared" si="26"/>
        <v>3.1999999999999994E-2</v>
      </c>
      <c r="AE64" s="258">
        <f>(((IF($P$5&lt;&gt;0,$P$5,IF($P$6&lt;&gt;0,$P$6,IF($P$7&lt;&gt;0,$P$7,0))))/(12*$P$19))+(((3*$P$15)/(2*(IF($P$5&lt;&gt;0,$P$5,IF($P$6&lt;&gt;0,$P$6,IF($P$7&lt;&gt;0,$P$7,0))))*$U$5*$P$19))*'IN-OUT'!$F$15))*'Burland damage classification'!AI64</f>
        <v>5.7782740978929771E-4</v>
      </c>
      <c r="AF64" s="254">
        <f>(1+(((IF($P$5&lt;&gt;0,$P$5^2,IF($P$6&lt;&gt;0,$P$6^2,IF($P$7&lt;&gt;0,$P$7^2))))*$U$5)/(18*$P$15))*('IN-OUT'!$F$15^(-1)))*AJ64</f>
        <v>3.9243654277346416E-4</v>
      </c>
      <c r="AG64" s="254">
        <f t="shared" si="75"/>
        <v>3.9243654277346416E-4</v>
      </c>
      <c r="AH64" s="254">
        <f t="shared" si="27"/>
        <v>3.9243654277346419E-2</v>
      </c>
      <c r="AI64" s="254">
        <f t="shared" si="51"/>
        <v>1.8000000000000063E-4</v>
      </c>
      <c r="AJ64" s="253">
        <f t="shared" si="76"/>
        <v>3.7148351242013425E-4</v>
      </c>
      <c r="AK64" s="253">
        <f t="shared" si="52"/>
        <v>3.1999999999999992E-4</v>
      </c>
      <c r="AL64" s="255">
        <f t="shared" si="28"/>
        <v>3.1999999999999994E-2</v>
      </c>
      <c r="AN64" s="258">
        <f>(((IF($P$5&lt;&gt;0,$P$5,IF($P$6&lt;&gt;0,$P$6,IF($P$7&lt;&gt;0,$P$7,0))))/(12*$P$19))+(((3*$P$15)/(2*(IF($P$5&lt;&gt;0,$P$5,IF($P$6&lt;&gt;0,$P$6,IF($P$7&lt;&gt;0,$P$7,0))))*$U$5*$P$19))*'IN-OUT'!$F$15))*'Burland damage classification'!AR64</f>
        <v>2.1829035480928965E-3</v>
      </c>
      <c r="AO64" s="254">
        <f>(1+(((IF($P$5&lt;&gt;0,$P$5^2,IF($P$6&lt;&gt;0,$P$6^2,IF($P$7&lt;&gt;0,$P$7^2))))*$U$5)/(18*$P$15))*('IN-OUT'!$F$15^(-1)))*AS64</f>
        <v>9.3059509369587613E-4</v>
      </c>
      <c r="AP64" s="254">
        <f t="shared" si="77"/>
        <v>9.3059509369587613E-4</v>
      </c>
      <c r="AQ64" s="254">
        <f t="shared" si="29"/>
        <v>9.3059509369587609E-2</v>
      </c>
      <c r="AR64" s="254">
        <f t="shared" si="53"/>
        <v>6.8000000000000059E-4</v>
      </c>
      <c r="AS64" s="253">
        <f t="shared" si="78"/>
        <v>8.8090862182180966E-4</v>
      </c>
      <c r="AT64" s="253">
        <f t="shared" si="54"/>
        <v>3.1999999999999992E-4</v>
      </c>
      <c r="AU64" s="255">
        <f t="shared" si="30"/>
        <v>3.1999999999999994E-2</v>
      </c>
      <c r="AW64" s="258">
        <f>(((IF($P$5&lt;&gt;0,$P$5,IF($P$6&lt;&gt;0,$P$6,IF($P$7&lt;&gt;0,$P$7,0))))/(12*$P$19))+(((3*$P$15)/(2*(IF($P$5&lt;&gt;0,$P$5,IF($P$6&lt;&gt;0,$P$6,IF($P$7&lt;&gt;0,$P$7,0))))*$U$5*$P$19))*'IN-OUT'!$F$15))*'Burland damage classification'!BA64</f>
        <v>5.3930558247000833E-3</v>
      </c>
      <c r="AX64" s="254">
        <f>(1+(((IF($P$5&lt;&gt;0,$P$5^2,IF($P$6&lt;&gt;0,$P$6^2,IF($P$7&lt;&gt;0,$P$7^2))))*$U$5)/(18*$P$15))*('IN-OUT'!$F$15^(-1)))*BB64</f>
        <v>1.9909776115348728E-3</v>
      </c>
      <c r="AY64" s="254">
        <f t="shared" si="79"/>
        <v>1.9909776115348728E-3</v>
      </c>
      <c r="AZ64" s="254">
        <f t="shared" si="31"/>
        <v>0.19909776115348726</v>
      </c>
      <c r="BA64" s="254">
        <f t="shared" si="55"/>
        <v>1.6799999999999973E-3</v>
      </c>
      <c r="BB64" s="270">
        <f t="shared" si="8"/>
        <v>1.8846750383023595E-3</v>
      </c>
      <c r="BC64" s="253">
        <f t="shared" si="56"/>
        <v>3.1999999999999992E-4</v>
      </c>
      <c r="BD64" s="255">
        <f t="shared" si="32"/>
        <v>3.1999999999999994E-2</v>
      </c>
      <c r="BF64" s="258" t="e">
        <f>((((IF($Q$5=0,$Q$6,$Q$5)))/(12*$Q$19))+(((3*$Q$15)/(2*IF($Q$5=0,$Q$6,$Q$5)*$U$5*$Q$19))*'IN-OUT'!$F$15))*'Burland damage classification'!BJ64</f>
        <v>#DIV/0!</v>
      </c>
      <c r="BG64" s="262">
        <f>(1+(((IF($Q$5=0,$Q$6^2,$Q$5^2))*$U$5)/(18*$Q$15))*('IN-OUT'!$F$15^(-1)))*BK64</f>
        <v>1.909042808436848E-4</v>
      </c>
      <c r="BH64" s="262" t="e">
        <f t="shared" si="80"/>
        <v>#DIV/0!</v>
      </c>
      <c r="BI64" s="262" t="e">
        <f t="shared" si="33"/>
        <v>#DIV/0!</v>
      </c>
      <c r="BJ64" s="262">
        <f t="shared" si="57"/>
        <v>1.3333333333333447E-5</v>
      </c>
      <c r="BK64" s="270">
        <f t="shared" si="81"/>
        <v>1.909042808436848E-4</v>
      </c>
      <c r="BL64" s="270">
        <f t="shared" si="58"/>
        <v>3.1999999999999992E-4</v>
      </c>
      <c r="BM64" s="271">
        <f t="shared" si="34"/>
        <v>3.1999999999999994E-2</v>
      </c>
      <c r="BO64" s="258" t="e">
        <f>((((IF($Q$5=0,$Q$6,$Q$5)))/(12*$Q$19))+(((3*$Q$15)/(2*IF($Q$5=0,$Q$6,$Q$5)*$U$5*$Q$19))*'IN-OUT'!$F$15))*'Burland damage classification'!BS64</f>
        <v>#DIV/0!</v>
      </c>
      <c r="BP64" s="262">
        <f>(1+(((IF($Q$5=0,$Q$6^2,$Q$5^2))*$U$5)/(18*$Q$15))*('IN-OUT'!$F$15^(-1)))*BT64</f>
        <v>3.7148351242013425E-4</v>
      </c>
      <c r="BQ64" s="254" t="e">
        <f t="shared" si="11"/>
        <v>#DIV/0!</v>
      </c>
      <c r="BR64" s="254" t="e">
        <f t="shared" si="35"/>
        <v>#DIV/0!</v>
      </c>
      <c r="BS64" s="254">
        <f t="shared" si="59"/>
        <v>1.8000000000000063E-4</v>
      </c>
      <c r="BT64" s="253">
        <f t="shared" si="82"/>
        <v>3.7148351242013425E-4</v>
      </c>
      <c r="BU64" s="253">
        <f t="shared" si="60"/>
        <v>3.1999999999999992E-4</v>
      </c>
      <c r="BV64" s="255">
        <f t="shared" si="36"/>
        <v>3.1999999999999994E-2</v>
      </c>
      <c r="BX64" s="258" t="e">
        <f>((((IF($Q$5=0,$Q$6,$Q$5)))/(12*$Q$19))+(((3*$Q$15)/(2*IF($Q$5=0,$Q$6,$Q$5)*$U$5*$Q$19))*'IN-OUT'!$F$15))*'Burland damage classification'!CB64</f>
        <v>#DIV/0!</v>
      </c>
      <c r="BY64" s="262">
        <f>(1+(((IF($Q$5=0,$Q$6^2,$Q$5^2))*$U$5)/(18*$Q$15))*('IN-OUT'!$F$15^(-1)))*CC64</f>
        <v>8.8090862182180966E-4</v>
      </c>
      <c r="BZ64" s="254" t="e">
        <f t="shared" si="13"/>
        <v>#DIV/0!</v>
      </c>
      <c r="CA64" s="254" t="e">
        <f t="shared" si="37"/>
        <v>#DIV/0!</v>
      </c>
      <c r="CB64" s="254">
        <f t="shared" si="61"/>
        <v>6.8000000000000059E-4</v>
      </c>
      <c r="CC64" s="253">
        <f t="shared" si="83"/>
        <v>8.8090862182180966E-4</v>
      </c>
      <c r="CD64" s="253">
        <f t="shared" si="62"/>
        <v>3.1999999999999992E-4</v>
      </c>
      <c r="CE64" s="255">
        <f t="shared" si="38"/>
        <v>3.1999999999999994E-2</v>
      </c>
      <c r="CG64" s="258" t="e">
        <f>((((IF($Q$5=0,$Q$6,$Q$5)))/(12*$Q$19))+(((3*$Q$15)/(2*IF($Q$5=0,$Q$6,$Q$5)*$U$5*$Q$19))*'IN-OUT'!$F$15))*'Burland damage classification'!CK64</f>
        <v>#DIV/0!</v>
      </c>
      <c r="CH64" s="262">
        <f>(1+(((IF($Q$5=0,$Q$6^2,$Q$5^2))*$U$5)/(18*$Q$15))*('IN-OUT'!$F$15^(-1)))*CL64</f>
        <v>1.8846750383023595E-3</v>
      </c>
      <c r="CI64" s="254" t="e">
        <f t="shared" si="15"/>
        <v>#DIV/0!</v>
      </c>
      <c r="CJ64" s="254" t="e">
        <f t="shared" si="39"/>
        <v>#DIV/0!</v>
      </c>
      <c r="CK64" s="254">
        <f t="shared" si="63"/>
        <v>1.6799999999999973E-3</v>
      </c>
      <c r="CL64" s="270">
        <f t="shared" si="16"/>
        <v>1.8846750383023595E-3</v>
      </c>
      <c r="CM64" s="253">
        <f t="shared" si="64"/>
        <v>3.1999999999999992E-4</v>
      </c>
      <c r="CN64" s="255">
        <f t="shared" si="40"/>
        <v>3.1999999999999994E-2</v>
      </c>
      <c r="CP64" s="258" t="e">
        <f>((((IF($R$5=0,$R$6,$R$5)))/(12*$R$19))+(((3*$R$15)/(2*IF($R$5=0,$R$6,$R$5)*$U$5*$R$19))*'IN-OUT'!$F$15))*'Burland damage classification'!CT64</f>
        <v>#DIV/0!</v>
      </c>
      <c r="CQ64" s="262">
        <f>(1+(((IF($R$5=0,$R$6^2,$R$5^2))*$U$5)/(18*$R$15))*('IN-OUT'!$F$15^(-1)))*CU64</f>
        <v>1.909042808436848E-4</v>
      </c>
      <c r="CR64" s="262" t="e">
        <f t="shared" si="84"/>
        <v>#DIV/0!</v>
      </c>
      <c r="CS64" s="262" t="e">
        <f t="shared" si="41"/>
        <v>#DIV/0!</v>
      </c>
      <c r="CT64" s="262">
        <f t="shared" si="65"/>
        <v>1.3333333333333447E-5</v>
      </c>
      <c r="CU64" s="270">
        <f t="shared" si="85"/>
        <v>1.909042808436848E-4</v>
      </c>
      <c r="CV64" s="270">
        <f t="shared" si="66"/>
        <v>3.1999999999999992E-4</v>
      </c>
      <c r="CW64" s="271">
        <f t="shared" si="42"/>
        <v>3.1999999999999994E-2</v>
      </c>
      <c r="CY64" s="258" t="e">
        <f>((((IF($R$5=0,$R$6,$R$5)))/(12*$R$19))+(((3*$R$15)/(2*IF($R$5=0,$R$6,$R$5)*$U$5*$R$19))*'IN-OUT'!$F$15))*'Burland damage classification'!DC64</f>
        <v>#DIV/0!</v>
      </c>
      <c r="CZ64" s="262">
        <f>(1+(((IF($R$5=0,$R$6^2,$R$5^2))*$U$5)/(18*$R$15))*('IN-OUT'!$F$15^(-1)))*DD64</f>
        <v>3.7148351242013425E-4</v>
      </c>
      <c r="DA64" s="254" t="e">
        <f t="shared" si="19"/>
        <v>#DIV/0!</v>
      </c>
      <c r="DB64" s="254" t="e">
        <f t="shared" si="43"/>
        <v>#DIV/0!</v>
      </c>
      <c r="DC64" s="254">
        <f t="shared" si="67"/>
        <v>1.8000000000000063E-4</v>
      </c>
      <c r="DD64" s="253">
        <f t="shared" si="86"/>
        <v>3.7148351242013425E-4</v>
      </c>
      <c r="DE64" s="253">
        <f t="shared" si="68"/>
        <v>3.1999999999999992E-4</v>
      </c>
      <c r="DF64" s="255">
        <f t="shared" si="44"/>
        <v>3.1999999999999994E-2</v>
      </c>
      <c r="DH64" s="258" t="e">
        <f>((((IF($R$5=0,$R$6,$R$5)))/(12*$R$19))+(((3*$R$15)/(2*IF($R$5=0,$R$6,$R$5)*$U$5*$R$19))*'IN-OUT'!$F$15))*'Burland damage classification'!DL64</f>
        <v>#DIV/0!</v>
      </c>
      <c r="DI64" s="262">
        <f>(1+(((IF($R$5=0,$R$6^2,$R$5^2))*$U$5)/(18*$R$15))*('IN-OUT'!$F$15^(-1)))*DM64</f>
        <v>8.8090862182180966E-4</v>
      </c>
      <c r="DJ64" s="254" t="e">
        <f t="shared" si="21"/>
        <v>#DIV/0!</v>
      </c>
      <c r="DK64" s="254" t="e">
        <f t="shared" si="45"/>
        <v>#DIV/0!</v>
      </c>
      <c r="DL64" s="254">
        <f t="shared" si="69"/>
        <v>6.8000000000000059E-4</v>
      </c>
      <c r="DM64" s="253">
        <f t="shared" si="87"/>
        <v>8.8090862182180966E-4</v>
      </c>
      <c r="DN64" s="253">
        <f t="shared" si="70"/>
        <v>3.1999999999999992E-4</v>
      </c>
      <c r="DO64" s="255">
        <f t="shared" si="46"/>
        <v>3.1999999999999994E-2</v>
      </c>
      <c r="DQ64" s="258" t="e">
        <f>((((IF($R$5=0,$R$6,$R$5)))/(12*$R$19))+(((3*$R$15)/(2*IF($R$5=0,$R$6,$R$5)*$U$5*$R$19))*'IN-OUT'!$F$15))*'Burland damage classification'!DU64</f>
        <v>#DIV/0!</v>
      </c>
      <c r="DR64" s="262">
        <f>(1+(((IF($R$5=0,$R$6^2,$R$5^2))*$U$5)/(18*$R$15))*('IN-OUT'!$F$15^(-1)))*DV64</f>
        <v>1.8846750383023595E-3</v>
      </c>
      <c r="DS64" s="254" t="e">
        <f t="shared" si="23"/>
        <v>#DIV/0!</v>
      </c>
      <c r="DT64" s="254" t="e">
        <f t="shared" si="47"/>
        <v>#DIV/0!</v>
      </c>
      <c r="DU64" s="254">
        <f t="shared" si="71"/>
        <v>1.6799999999999973E-3</v>
      </c>
      <c r="DV64" s="270">
        <f t="shared" si="24"/>
        <v>1.8846750383023595E-3</v>
      </c>
      <c r="DW64" s="253">
        <f t="shared" si="72"/>
        <v>3.1999999999999992E-4</v>
      </c>
      <c r="DX64" s="255">
        <f t="shared" si="48"/>
        <v>3.1999999999999994E-2</v>
      </c>
      <c r="EA64" s="1240"/>
      <c r="EB64" s="1190"/>
      <c r="EC64" s="450" t="s">
        <v>25</v>
      </c>
      <c r="ED64" s="435">
        <f>'transversal subsidence profile'!$L$5*EXP(-(EG10^2)/(2*'transversal subsidence profile'!$J$5^2))*100</f>
        <v>0.47279505108537079</v>
      </c>
      <c r="EE64" s="428">
        <f>'transversal subsidence profile'!$L$5*EG10/'transversal subsidence profile'!$B$5*EXP(-(EG10^2)/(2*'transversal subsidence profile'!$J$5^2))*100</f>
        <v>-0.39363081508569758</v>
      </c>
      <c r="EF64" s="436">
        <f>('transversal subsidence profile'!$L$5/'transversal subsidence profile'!$B$5)*(1-((EG10^2)/(('transversal subsidence profile'!$J$5)^2)))*EXP(-(EG10^2)/(2*(('transversal subsidence profile'!$J$5)^2)))*100</f>
        <v>-7.6372262031255592E-2</v>
      </c>
      <c r="EG64" s="440">
        <f>'transversal subsidence profile'!$L$6*EXP(-(((EG10+$DZ$4))^2)/(2*'transversal subsidence profile'!$J$6^2))*100</f>
        <v>2.446002971349782</v>
      </c>
      <c r="EH64" s="429">
        <f>'transversal subsidence profile'!$L$6*(EG10+$DZ$4)/'transversal subsidence profile'!$F$5*EXP(-((EG10+$DZ$4)^2)/(2*'transversal subsidence profile'!$J$6^2))*100</f>
        <v>-0.40577852146401872</v>
      </c>
      <c r="EI64" s="441">
        <f>('transversal subsidence profile'!$L$6/'transversal subsidence profile'!$F$5)*(1-(EG10+$DZ$4)^2/(('transversal subsidence profile'!$J$6)^2))*EXP(-((EG10+$DZ$4)^2)/(2*(('transversal subsidence profile'!$J$6)^2)))*100</f>
        <v>0.14090507431880414</v>
      </c>
      <c r="EK64" s="445">
        <f>IF('IN-OUT'!$F$26=0,EG64,IF('IN-OUT'!$F$35=0,ED64,ED64+EG64))</f>
        <v>2.9187980224351526</v>
      </c>
      <c r="EL64" s="445">
        <f>IF('IN-OUT'!$F$26=0,EH64,IF('IN-OUT'!$F$35=0,EE64,EE64+EH64))</f>
        <v>-0.79940933654971635</v>
      </c>
      <c r="EM64" s="563">
        <f>IF('IN-OUT'!$F$26=0,EI64,IF('IN-OUT'!$F$35=0,EF64,EF64+EI64))</f>
        <v>6.4532812287548549E-2</v>
      </c>
      <c r="EO64" s="464" t="s">
        <v>252</v>
      </c>
      <c r="EP64" s="414" t="s">
        <v>253</v>
      </c>
      <c r="EQ64" s="414" t="s">
        <v>255</v>
      </c>
      <c r="ER64" s="414" t="s">
        <v>254</v>
      </c>
      <c r="ES64" s="446" t="s">
        <v>256</v>
      </c>
      <c r="EV64" s="494" t="s">
        <v>7</v>
      </c>
      <c r="EW64" s="495" t="s">
        <v>136</v>
      </c>
      <c r="EZ64" t="s">
        <v>318</v>
      </c>
      <c r="FA64" t="s">
        <v>317</v>
      </c>
      <c r="FB64" t="s">
        <v>319</v>
      </c>
      <c r="FC64" t="s">
        <v>320</v>
      </c>
      <c r="FD64" s="239" t="s">
        <v>323</v>
      </c>
      <c r="FE64" s="681"/>
      <c r="FF64" s="681"/>
    </row>
    <row r="65" spans="20:162" ht="13.8" thickBot="1">
      <c r="V65" s="258">
        <f>(((IF($P$5&lt;&gt;0,$P$5,IF($P$6&lt;&gt;0,$P$6,IF($P$7&lt;&gt;0,$P$7,0))))/(12*$P$19))+(((3*$P$15)/(2*(IF($P$5&lt;&gt;0,$P$5,IF($P$6&lt;&gt;0,$P$6,IF($P$7&lt;&gt;0,$P$7,0))))*$U$5*$P$19))*'IN-OUT'!$F$15))*'Burland damage classification'!Z65</f>
        <v>2.1401015177381684E-5</v>
      </c>
      <c r="W65" s="262">
        <f>(1+(((IF($P$5&lt;&gt;0,$P$5^2,IF($P$6&lt;&gt;0,$P$6^2,IF($P$7&lt;&gt;0,$P$7^2))))*$U$5)/(18*$P$15))*('IN-OUT'!$F$15^(-1)))*AA65</f>
        <v>1.9732107244325184E-4</v>
      </c>
      <c r="X65" s="262">
        <f t="shared" si="73"/>
        <v>2.1401015177381684E-5</v>
      </c>
      <c r="Y65" s="262">
        <f t="shared" si="25"/>
        <v>2.1401015177381685E-3</v>
      </c>
      <c r="Z65" s="916">
        <f t="shared" si="49"/>
        <v>6.6666666666667801E-6</v>
      </c>
      <c r="AA65" s="270">
        <f t="shared" si="74"/>
        <v>1.8678567634829206E-4</v>
      </c>
      <c r="AB65" s="270">
        <f t="shared" si="50"/>
        <v>3.2666666666666657E-4</v>
      </c>
      <c r="AC65" s="271">
        <f t="shared" si="26"/>
        <v>3.2666666666666656E-2</v>
      </c>
      <c r="AE65" s="258">
        <f>(((IF($P$5&lt;&gt;0,$P$5,IF($P$6&lt;&gt;0,$P$6,IF($P$7&lt;&gt;0,$P$7,0))))/(12*$P$19))+(((3*$P$15)/(2*(IF($P$5&lt;&gt;0,$P$5,IF($P$6&lt;&gt;0,$P$6,IF($P$7&lt;&gt;0,$P$7,0))))*$U$5*$P$19))*'IN-OUT'!$F$15))*'Burland damage classification'!AI65</f>
        <v>5.5642639461191633E-4</v>
      </c>
      <c r="AF65" s="254">
        <f>(1+(((IF($P$5&lt;&gt;0,$P$5^2,IF($P$6&lt;&gt;0,$P$6^2,IF($P$7&lt;&gt;0,$P$7^2))))*$U$5)/(18*$P$15))*('IN-OUT'!$F$15^(-1)))*AJ65</f>
        <v>3.8910469860828242E-4</v>
      </c>
      <c r="AG65" s="254">
        <f t="shared" si="75"/>
        <v>3.8910469860828242E-4</v>
      </c>
      <c r="AH65" s="254">
        <f t="shared" si="27"/>
        <v>3.8910469860828245E-2</v>
      </c>
      <c r="AI65" s="254">
        <f t="shared" si="51"/>
        <v>1.7333333333333396E-4</v>
      </c>
      <c r="AJ65" s="253">
        <f t="shared" si="76"/>
        <v>3.6832956257496722E-4</v>
      </c>
      <c r="AK65" s="253">
        <f t="shared" si="52"/>
        <v>3.2666666666666657E-4</v>
      </c>
      <c r="AL65" s="255">
        <f t="shared" si="28"/>
        <v>3.2666666666666656E-2</v>
      </c>
      <c r="AN65" s="258">
        <f>(((IF($P$5&lt;&gt;0,$P$5,IF($P$6&lt;&gt;0,$P$6,IF($P$7&lt;&gt;0,$P$7,0))))/(12*$P$19))+(((3*$P$15)/(2*(IF($P$5&lt;&gt;0,$P$5,IF($P$6&lt;&gt;0,$P$6,IF($P$7&lt;&gt;0,$P$7,0))))*$U$5*$P$19))*'IN-OUT'!$F$15))*'Burland damage classification'!AR65</f>
        <v>2.1615025329155151E-3</v>
      </c>
      <c r="AO65" s="254">
        <f>(1+(((IF($P$5&lt;&gt;0,$P$5^2,IF($P$6&lt;&gt;0,$P$6^2,IF($P$7&lt;&gt;0,$P$7^2))))*$U$5)/(18*$P$15))*('IN-OUT'!$F$15^(-1)))*AS65</f>
        <v>9.2779269298747067E-4</v>
      </c>
      <c r="AP65" s="254">
        <f t="shared" si="77"/>
        <v>9.2779269298747067E-4</v>
      </c>
      <c r="AQ65" s="254">
        <f t="shared" si="29"/>
        <v>9.2779269298747066E-2</v>
      </c>
      <c r="AR65" s="254">
        <f t="shared" si="53"/>
        <v>6.7333333333333394E-4</v>
      </c>
      <c r="AS65" s="253">
        <f t="shared" si="78"/>
        <v>8.7825584730950315E-4</v>
      </c>
      <c r="AT65" s="253">
        <f t="shared" si="54"/>
        <v>3.2666666666666657E-4</v>
      </c>
      <c r="AU65" s="255">
        <f t="shared" si="30"/>
        <v>3.2666666666666656E-2</v>
      </c>
      <c r="AW65" s="258">
        <f>(((IF($P$5&lt;&gt;0,$P$5,IF($P$6&lt;&gt;0,$P$6,IF($P$7&lt;&gt;0,$P$7,0))))/(12*$P$19))+(((3*$P$15)/(2*(IF($P$5&lt;&gt;0,$P$5,IF($P$6&lt;&gt;0,$P$6,IF($P$7&lt;&gt;0,$P$7,0))))*$U$5*$P$19))*'IN-OUT'!$F$15))*'Burland damage classification'!BA65</f>
        <v>5.3716548095227024E-3</v>
      </c>
      <c r="AX65" s="254">
        <f>(1+(((IF($P$5&lt;&gt;0,$P$5^2,IF($P$6&lt;&gt;0,$P$6^2,IF($P$7&lt;&gt;0,$P$7^2))))*$U$5)/(18*$P$15))*('IN-OUT'!$F$15^(-1)))*BB65</f>
        <v>1.9883601170646425E-3</v>
      </c>
      <c r="AY65" s="254">
        <f t="shared" si="79"/>
        <v>1.9883601170646425E-3</v>
      </c>
      <c r="AZ65" s="254">
        <f t="shared" si="31"/>
        <v>0.19883601170646426</v>
      </c>
      <c r="BA65" s="254">
        <f t="shared" si="55"/>
        <v>1.6733333333333305E-3</v>
      </c>
      <c r="BB65" s="270">
        <f t="shared" si="8"/>
        <v>1.882197297486814E-3</v>
      </c>
      <c r="BC65" s="253">
        <f t="shared" si="56"/>
        <v>3.2666666666666657E-4</v>
      </c>
      <c r="BD65" s="255">
        <f t="shared" si="32"/>
        <v>3.2666666666666656E-2</v>
      </c>
      <c r="BF65" s="258" t="e">
        <f>((((IF($Q$5=0,$Q$6,$Q$5)))/(12*$Q$19))+(((3*$Q$15)/(2*IF($Q$5=0,$Q$6,$Q$5)*$U$5*$Q$19))*'IN-OUT'!$F$15))*'Burland damage classification'!BJ65</f>
        <v>#DIV/0!</v>
      </c>
      <c r="BG65" s="262">
        <f>(1+(((IF($Q$5=0,$Q$6^2,$Q$5^2))*$U$5)/(18*$Q$15))*('IN-OUT'!$F$15^(-1)))*BK65</f>
        <v>1.8678567634829206E-4</v>
      </c>
      <c r="BH65" s="262" t="e">
        <f t="shared" si="80"/>
        <v>#DIV/0!</v>
      </c>
      <c r="BI65" s="262" t="e">
        <f t="shared" si="33"/>
        <v>#DIV/0!</v>
      </c>
      <c r="BJ65" s="262">
        <f t="shared" si="57"/>
        <v>6.6666666666667801E-6</v>
      </c>
      <c r="BK65" s="270">
        <f t="shared" si="81"/>
        <v>1.8678567634829206E-4</v>
      </c>
      <c r="BL65" s="270">
        <f t="shared" si="58"/>
        <v>3.2666666666666657E-4</v>
      </c>
      <c r="BM65" s="271">
        <f t="shared" si="34"/>
        <v>3.2666666666666656E-2</v>
      </c>
      <c r="BO65" s="258" t="e">
        <f>((((IF($Q$5=0,$Q$6,$Q$5)))/(12*$Q$19))+(((3*$Q$15)/(2*IF($Q$5=0,$Q$6,$Q$5)*$U$5*$Q$19))*'IN-OUT'!$F$15))*'Burland damage classification'!BS65</f>
        <v>#DIV/0!</v>
      </c>
      <c r="BP65" s="262">
        <f>(1+(((IF($Q$5=0,$Q$6^2,$Q$5^2))*$U$5)/(18*$Q$15))*('IN-OUT'!$F$15^(-1)))*BT65</f>
        <v>3.6832956257496722E-4</v>
      </c>
      <c r="BQ65" s="254" t="e">
        <f t="shared" si="11"/>
        <v>#DIV/0!</v>
      </c>
      <c r="BR65" s="254" t="e">
        <f t="shared" si="35"/>
        <v>#DIV/0!</v>
      </c>
      <c r="BS65" s="254">
        <f t="shared" si="59"/>
        <v>1.7333333333333396E-4</v>
      </c>
      <c r="BT65" s="253">
        <f t="shared" si="82"/>
        <v>3.6832956257496722E-4</v>
      </c>
      <c r="BU65" s="253">
        <f t="shared" si="60"/>
        <v>3.2666666666666657E-4</v>
      </c>
      <c r="BV65" s="255">
        <f t="shared" si="36"/>
        <v>3.2666666666666656E-2</v>
      </c>
      <c r="BX65" s="258" t="e">
        <f>((((IF($Q$5=0,$Q$6,$Q$5)))/(12*$Q$19))+(((3*$Q$15)/(2*IF($Q$5=0,$Q$6,$Q$5)*$U$5*$Q$19))*'IN-OUT'!$F$15))*'Burland damage classification'!CB65</f>
        <v>#DIV/0!</v>
      </c>
      <c r="BY65" s="262">
        <f>(1+(((IF($Q$5=0,$Q$6^2,$Q$5^2))*$U$5)/(18*$Q$15))*('IN-OUT'!$F$15^(-1)))*CC65</f>
        <v>8.7825584730950315E-4</v>
      </c>
      <c r="BZ65" s="254" t="e">
        <f t="shared" si="13"/>
        <v>#DIV/0!</v>
      </c>
      <c r="CA65" s="254" t="e">
        <f t="shared" si="37"/>
        <v>#DIV/0!</v>
      </c>
      <c r="CB65" s="254">
        <f t="shared" si="61"/>
        <v>6.7333333333333394E-4</v>
      </c>
      <c r="CC65" s="253">
        <f t="shared" si="83"/>
        <v>8.7825584730950315E-4</v>
      </c>
      <c r="CD65" s="253">
        <f t="shared" si="62"/>
        <v>3.2666666666666657E-4</v>
      </c>
      <c r="CE65" s="255">
        <f t="shared" si="38"/>
        <v>3.2666666666666656E-2</v>
      </c>
      <c r="CG65" s="258" t="e">
        <f>((((IF($Q$5=0,$Q$6,$Q$5)))/(12*$Q$19))+(((3*$Q$15)/(2*IF($Q$5=0,$Q$6,$Q$5)*$U$5*$Q$19))*'IN-OUT'!$F$15))*'Burland damage classification'!CK65</f>
        <v>#DIV/0!</v>
      </c>
      <c r="CH65" s="262">
        <f>(1+(((IF($Q$5=0,$Q$6^2,$Q$5^2))*$U$5)/(18*$Q$15))*('IN-OUT'!$F$15^(-1)))*CL65</f>
        <v>1.882197297486814E-3</v>
      </c>
      <c r="CI65" s="254" t="e">
        <f t="shared" si="15"/>
        <v>#DIV/0!</v>
      </c>
      <c r="CJ65" s="254" t="e">
        <f t="shared" si="39"/>
        <v>#DIV/0!</v>
      </c>
      <c r="CK65" s="254">
        <f t="shared" si="63"/>
        <v>1.6733333333333305E-3</v>
      </c>
      <c r="CL65" s="270">
        <f t="shared" si="16"/>
        <v>1.882197297486814E-3</v>
      </c>
      <c r="CM65" s="253">
        <f t="shared" si="64"/>
        <v>3.2666666666666657E-4</v>
      </c>
      <c r="CN65" s="255">
        <f t="shared" si="40"/>
        <v>3.2666666666666656E-2</v>
      </c>
      <c r="CP65" s="258" t="e">
        <f>((((IF($R$5=0,$R$6,$R$5)))/(12*$R$19))+(((3*$R$15)/(2*IF($R$5=0,$R$6,$R$5)*$U$5*$R$19))*'IN-OUT'!$F$15))*'Burland damage classification'!CT65</f>
        <v>#DIV/0!</v>
      </c>
      <c r="CQ65" s="262">
        <f>(1+(((IF($R$5=0,$R$6^2,$R$5^2))*$U$5)/(18*$R$15))*('IN-OUT'!$F$15^(-1)))*CU65</f>
        <v>1.8678567634829206E-4</v>
      </c>
      <c r="CR65" s="262" t="e">
        <f t="shared" si="84"/>
        <v>#DIV/0!</v>
      </c>
      <c r="CS65" s="262" t="e">
        <f t="shared" si="41"/>
        <v>#DIV/0!</v>
      </c>
      <c r="CT65" s="262">
        <f t="shared" si="65"/>
        <v>6.6666666666667801E-6</v>
      </c>
      <c r="CU65" s="270">
        <f t="shared" si="85"/>
        <v>1.8678567634829206E-4</v>
      </c>
      <c r="CV65" s="270">
        <f t="shared" si="66"/>
        <v>3.2666666666666657E-4</v>
      </c>
      <c r="CW65" s="271">
        <f t="shared" si="42"/>
        <v>3.2666666666666656E-2</v>
      </c>
      <c r="CY65" s="258" t="e">
        <f>((((IF($R$5=0,$R$6,$R$5)))/(12*$R$19))+(((3*$R$15)/(2*IF($R$5=0,$R$6,$R$5)*$U$5*$R$19))*'IN-OUT'!$F$15))*'Burland damage classification'!DC65</f>
        <v>#DIV/0!</v>
      </c>
      <c r="CZ65" s="262">
        <f>(1+(((IF($R$5=0,$R$6^2,$R$5^2))*$U$5)/(18*$R$15))*('IN-OUT'!$F$15^(-1)))*DD65</f>
        <v>3.6832956257496722E-4</v>
      </c>
      <c r="DA65" s="254" t="e">
        <f t="shared" si="19"/>
        <v>#DIV/0!</v>
      </c>
      <c r="DB65" s="254" t="e">
        <f t="shared" si="43"/>
        <v>#DIV/0!</v>
      </c>
      <c r="DC65" s="254">
        <f t="shared" si="67"/>
        <v>1.7333333333333396E-4</v>
      </c>
      <c r="DD65" s="253">
        <f t="shared" si="86"/>
        <v>3.6832956257496722E-4</v>
      </c>
      <c r="DE65" s="253">
        <f t="shared" si="68"/>
        <v>3.2666666666666657E-4</v>
      </c>
      <c r="DF65" s="255">
        <f t="shared" si="44"/>
        <v>3.2666666666666656E-2</v>
      </c>
      <c r="DH65" s="258" t="e">
        <f>((((IF($R$5=0,$R$6,$R$5)))/(12*$R$19))+(((3*$R$15)/(2*IF($R$5=0,$R$6,$R$5)*$U$5*$R$19))*'IN-OUT'!$F$15))*'Burland damage classification'!DL65</f>
        <v>#DIV/0!</v>
      </c>
      <c r="DI65" s="262">
        <f>(1+(((IF($R$5=0,$R$6^2,$R$5^2))*$U$5)/(18*$R$15))*('IN-OUT'!$F$15^(-1)))*DM65</f>
        <v>8.7825584730950315E-4</v>
      </c>
      <c r="DJ65" s="254" t="e">
        <f t="shared" si="21"/>
        <v>#DIV/0!</v>
      </c>
      <c r="DK65" s="254" t="e">
        <f t="shared" si="45"/>
        <v>#DIV/0!</v>
      </c>
      <c r="DL65" s="254">
        <f t="shared" si="69"/>
        <v>6.7333333333333394E-4</v>
      </c>
      <c r="DM65" s="253">
        <f t="shared" si="87"/>
        <v>8.7825584730950315E-4</v>
      </c>
      <c r="DN65" s="253">
        <f t="shared" si="70"/>
        <v>3.2666666666666657E-4</v>
      </c>
      <c r="DO65" s="255">
        <f t="shared" si="46"/>
        <v>3.2666666666666656E-2</v>
      </c>
      <c r="DQ65" s="258" t="e">
        <f>((((IF($R$5=0,$R$6,$R$5)))/(12*$R$19))+(((3*$R$15)/(2*IF($R$5=0,$R$6,$R$5)*$U$5*$R$19))*'IN-OUT'!$F$15))*'Burland damage classification'!DU65</f>
        <v>#DIV/0!</v>
      </c>
      <c r="DR65" s="262">
        <f>(1+(((IF($R$5=0,$R$6^2,$R$5^2))*$U$5)/(18*$R$15))*('IN-OUT'!$F$15^(-1)))*DV65</f>
        <v>1.882197297486814E-3</v>
      </c>
      <c r="DS65" s="254" t="e">
        <f t="shared" si="23"/>
        <v>#DIV/0!</v>
      </c>
      <c r="DT65" s="254" t="e">
        <f t="shared" si="47"/>
        <v>#DIV/0!</v>
      </c>
      <c r="DU65" s="254">
        <f t="shared" si="71"/>
        <v>1.6733333333333305E-3</v>
      </c>
      <c r="DV65" s="270">
        <f t="shared" si="24"/>
        <v>1.882197297486814E-3</v>
      </c>
      <c r="DW65" s="253">
        <f t="shared" si="72"/>
        <v>3.2666666666666657E-4</v>
      </c>
      <c r="DX65" s="255">
        <f t="shared" si="48"/>
        <v>3.2666666666666656E-2</v>
      </c>
      <c r="EA65" s="1240"/>
      <c r="EB65" s="1191"/>
      <c r="EC65" s="451">
        <v>1</v>
      </c>
      <c r="ED65" s="435">
        <f>'transversal subsidence profile'!$L$5*EXP(-(EG17^2)/(2*'transversal subsidence profile'!$J$5^2))*100</f>
        <v>0.25389343365347955</v>
      </c>
      <c r="EE65" s="428">
        <f>'transversal subsidence profile'!$L$5*EG17/'transversal subsidence profile'!$B$5*EXP(-(EG17^2)/(2*'transversal subsidence profile'!$J$5^2))*100</f>
        <v>-0.24680816501034319</v>
      </c>
      <c r="EF65" s="436">
        <f>('transversal subsidence profile'!$L$5/'transversal subsidence profile'!$B$5)*(1-((EG17^2)/(('transversal subsidence profile'!$J$5)^2)))*EXP(-(EG17^2)/(2*(('transversal subsidence profile'!$J$5)^2)))*100</f>
        <v>-6.205998382406297E-2</v>
      </c>
      <c r="EG65" s="440">
        <f>'transversal subsidence profile'!$L$6*EXP(-(((EG17+$DZ$4))^2)/(2*'transversal subsidence profile'!$J$6^2))*100</f>
        <v>2.0793879303150233</v>
      </c>
      <c r="EH65" s="429">
        <f>'transversal subsidence profile'!$L$6*(EG17+$DZ$4)/'transversal subsidence profile'!$F$5*EXP(-((EG17+$DZ$4)^2)/(2*'transversal subsidence profile'!$J$6^2))*100</f>
        <v>-0.63510094014060259</v>
      </c>
      <c r="EI65" s="441">
        <f>('transversal subsidence profile'!$L$6/'transversal subsidence profile'!$F$5)*(1-(EG17+$DZ$4)^2/(('transversal subsidence profile'!$J$6)^2))*EXP(-((EG17+$DZ$4)^2)/(2*(('transversal subsidence profile'!$J$6)^2)))*100</f>
        <v>7.4765157440195476E-2</v>
      </c>
      <c r="EK65" s="445">
        <f>IF('IN-OUT'!$F$26=0,EG65,IF('IN-OUT'!$F$35=0,ED65,ED65+EG65))</f>
        <v>2.3332813639685028</v>
      </c>
      <c r="EL65" s="445">
        <f>IF('IN-OUT'!$F$26=0,EH65,IF('IN-OUT'!$F$35=0,EE65,EE65+EH65))</f>
        <v>-0.88190910515094578</v>
      </c>
      <c r="EM65" s="563">
        <f>IF('IN-OUT'!$F$26=0,EI65,IF('IN-OUT'!$F$35=0,EF65,EF65+EI65))</f>
        <v>1.2705173616132506E-2</v>
      </c>
      <c r="EO65" s="463">
        <f>IF(AND($EK$63=$EK$64,$EK$67&gt;$EK$63),$EK$67-$EK$63,IF(AND($EK$63=$EK$64,$EK$67&lt;$EK$63),$EK$63-$EK$67,0))</f>
        <v>0</v>
      </c>
      <c r="EP65" s="370">
        <f>IF($EK$63&lt;$EK$64,($EK$64-$EK$63)/($EG$10-$EG$9),($EK$63-$EK$64)/($EG$10-$EG$9))</f>
        <v>0.28162036436586074</v>
      </c>
      <c r="EQ65" s="370">
        <f>IF($EK$63&lt;$EK$64,(EA17*$EG$24*$EP$65)+$EK$63,((($EG$10-$EG$9)-($EG$24*EA17))*$EP$65)+$EK$64)</f>
        <v>2.3293708241228712</v>
      </c>
      <c r="ER65" s="370">
        <f>IF(EK63=EK64,0,IF($EQ$65&gt;$EK$65,($EQ$65-$EK$65),($EK$65-$EQ$65)))</f>
        <v>3.9105398456316109E-3</v>
      </c>
      <c r="ES65" s="447">
        <f>MAX(ER65,EO65)</f>
        <v>3.9105398456316109E-3</v>
      </c>
      <c r="EV65" s="566" t="s">
        <v>265</v>
      </c>
      <c r="EW65" s="567" t="s">
        <v>264</v>
      </c>
      <c r="EZ65">
        <f>EV67/(((MAX(S5:S7)/(12*S19)+((((3*S15)/(2*S19*MAX(S5:S7)*U5))*'IN-OUT'!F14)))))</f>
        <v>4.0406248034090579E-4</v>
      </c>
      <c r="FA65">
        <f>EV67/(1+(((U5*(MAX(S5:S7))^2)/(18*S15))*('IN-OUT'!F14^-1)))</f>
        <v>3.5192427551468805E-3</v>
      </c>
      <c r="FB65">
        <f>EZ65+EW67</f>
        <v>4.0406248034090579E-4</v>
      </c>
      <c r="FC65">
        <f>EW67*0.35+((EW67^2*(0.35^2))+FA65^2)^0.5</f>
        <v>3.5192427551468805E-3</v>
      </c>
      <c r="FD65" s="239">
        <f>IF(S11="no building","",MAX(FB65:FC65))</f>
        <v>3.5192427551468805E-3</v>
      </c>
      <c r="FE65" s="652" t="str">
        <f>IF( R11="no building","",IF(FD65&lt;($P$25*100),0,IF(FD65&lt;($P$26*100),1,IF(FD65&lt;($P$27*100),2,IF(FD65&lt;($P$28*100),3,IF(FD65&gt;($P$28*100),4))))))</f>
        <v/>
      </c>
      <c r="FF65" s="651" t="b">
        <f>IF(S11="no building","",IF(FE65=0,"Negligible",IF(FE65=1,"Very Slight",IF(FE65=2,"Slight",IF(FE65=3,"Moderate",IF(FE65=4,"Severe"))))))</f>
        <v>0</v>
      </c>
    </row>
    <row r="66" spans="20:162" ht="16.2" thickBot="1">
      <c r="V66" s="258">
        <f>(((IF($P$5&lt;&gt;0,$P$5,IF($P$6&lt;&gt;0,$P$6,IF($P$7&lt;&gt;0,$P$7,0))))/(12*$P$19))+(((3*$P$15)/(2*(IF($P$5&lt;&gt;0,$P$5,IF($P$6&lt;&gt;0,$P$6,IF($P$7&lt;&gt;0,$P$7,0))))*$U$5*$P$19))*'IN-OUT'!$F$15))*'Burland damage classification'!Z66</f>
        <v>3.6436003569461936E-19</v>
      </c>
      <c r="W66" s="262">
        <f>(1+(((IF($P$5&lt;&gt;0,$P$5^2,IF($P$6&lt;&gt;0,$P$6^2,IF($P$7&lt;&gt;0,$P$7^2))))*$U$5)/(18*$P$15))*('IN-OUT'!$F$15^(-1)))*AA66</f>
        <v>1.9287203844394846E-4</v>
      </c>
      <c r="X66" s="272">
        <f t="shared" si="73"/>
        <v>3.6436003569461936E-19</v>
      </c>
      <c r="Y66" s="272">
        <f t="shared" si="25"/>
        <v>3.6436003569461933E-17</v>
      </c>
      <c r="Z66" s="916">
        <f t="shared" si="49"/>
        <v>1.1350241493207625E-19</v>
      </c>
      <c r="AA66" s="273">
        <f t="shared" si="74"/>
        <v>1.8257418583505545E-4</v>
      </c>
      <c r="AB66" s="270">
        <f t="shared" si="50"/>
        <v>3.3333333333333321E-4</v>
      </c>
      <c r="AC66" s="274">
        <f t="shared" si="26"/>
        <v>3.3333333333333319E-2</v>
      </c>
      <c r="AE66" s="258">
        <f>(((IF($P$5&lt;&gt;0,$P$5,IF($P$6&lt;&gt;0,$P$6,IF($P$7&lt;&gt;0,$P$7,0))))/(12*$P$19))+(((3*$P$15)/(2*(IF($P$5&lt;&gt;0,$P$5,IF($P$6&lt;&gt;0,$P$6,IF($P$7&lt;&gt;0,$P$7,0))))*$U$5*$P$19))*'IN-OUT'!$F$15))*'Burland damage classification'!AI66</f>
        <v>5.3502537943453496E-4</v>
      </c>
      <c r="AF66" s="254">
        <f>(1+(((IF($P$5&lt;&gt;0,$P$5^2,IF($P$6&lt;&gt;0,$P$6^2,IF($P$7&lt;&gt;0,$P$7^2))))*$U$5)/(18*$P$15))*('IN-OUT'!$F$15^(-1)))*AJ66</f>
        <v>3.857440768878968E-4</v>
      </c>
      <c r="AG66" s="254">
        <f t="shared" si="75"/>
        <v>3.857440768878968E-4</v>
      </c>
      <c r="AH66" s="254">
        <f t="shared" si="27"/>
        <v>3.8574407688789683E-2</v>
      </c>
      <c r="AI66" s="254">
        <f t="shared" si="51"/>
        <v>1.6666666666666728E-4</v>
      </c>
      <c r="AJ66" s="253">
        <f t="shared" si="76"/>
        <v>3.6514837167011079E-4</v>
      </c>
      <c r="AK66" s="253">
        <f t="shared" si="52"/>
        <v>3.3333333333333321E-4</v>
      </c>
      <c r="AL66" s="255">
        <f t="shared" si="28"/>
        <v>3.3333333333333319E-2</v>
      </c>
      <c r="AN66" s="258">
        <f>(((IF($P$5&lt;&gt;0,$P$5,IF($P$6&lt;&gt;0,$P$6,IF($P$7&lt;&gt;0,$P$7,0))))/(12*$P$19))+(((3*$P$15)/(2*(IF($P$5&lt;&gt;0,$P$5,IF($P$6&lt;&gt;0,$P$6,IF($P$7&lt;&gt;0,$P$7,0))))*$U$5*$P$19))*'IN-OUT'!$F$15))*'Burland damage classification'!AR66</f>
        <v>2.1401015177381338E-3</v>
      </c>
      <c r="AO66" s="254">
        <f>(1+(((IF($P$5&lt;&gt;0,$P$5^2,IF($P$6&lt;&gt;0,$P$6^2,IF($P$7&lt;&gt;0,$P$7^2))))*$U$5)/(18*$P$15))*('IN-OUT'!$F$15^(-1)))*AS66</f>
        <v>9.2498180193507039E-4</v>
      </c>
      <c r="AP66" s="254">
        <f t="shared" si="77"/>
        <v>9.2498180193507039E-4</v>
      </c>
      <c r="AQ66" s="254">
        <f t="shared" si="29"/>
        <v>9.2498180193507043E-2</v>
      </c>
      <c r="AR66" s="254">
        <f t="shared" si="53"/>
        <v>6.6666666666666729E-4</v>
      </c>
      <c r="AS66" s="253">
        <f t="shared" si="78"/>
        <v>8.755950357709132E-4</v>
      </c>
      <c r="AT66" s="253">
        <f t="shared" si="54"/>
        <v>3.3333333333333321E-4</v>
      </c>
      <c r="AU66" s="255">
        <f t="shared" si="30"/>
        <v>3.3333333333333319E-2</v>
      </c>
      <c r="AW66" s="258">
        <f>(((IF($P$5&lt;&gt;0,$P$5,IF($P$6&lt;&gt;0,$P$6,IF($P$7&lt;&gt;0,$P$7,0))))/(12*$P$19))+(((3*$P$15)/(2*(IF($P$5&lt;&gt;0,$P$5,IF($P$6&lt;&gt;0,$P$6,IF($P$7&lt;&gt;0,$P$7,0))))*$U$5*$P$19))*'IN-OUT'!$F$15))*'Burland damage classification'!BA66</f>
        <v>5.3502537943453206E-3</v>
      </c>
      <c r="AX66" s="254">
        <f>(1+(((IF($P$5&lt;&gt;0,$P$5^2,IF($P$6&lt;&gt;0,$P$6^2,IF($P$7&lt;&gt;0,$P$7^2))))*$U$5)/(18*$P$15))*('IN-OUT'!$F$15^(-1)))*BB66</f>
        <v>1.985739172357118E-3</v>
      </c>
      <c r="AY66" s="254">
        <f t="shared" si="79"/>
        <v>1.985739172357118E-3</v>
      </c>
      <c r="AZ66" s="254">
        <f t="shared" si="31"/>
        <v>0.1985739172357118</v>
      </c>
      <c r="BA66" s="254">
        <f t="shared" si="55"/>
        <v>1.6666666666666637E-3</v>
      </c>
      <c r="BB66" s="270">
        <f t="shared" si="8"/>
        <v>1.8797162906495578E-3</v>
      </c>
      <c r="BC66" s="253">
        <f t="shared" si="56"/>
        <v>3.3333333333333321E-4</v>
      </c>
      <c r="BD66" s="255">
        <f t="shared" si="32"/>
        <v>3.3333333333333319E-2</v>
      </c>
      <c r="BF66" s="265" t="e">
        <f>((((IF($Q$5=0,$Q$6,$Q$5)))/(12*$Q$19))+(((3*$Q$15)/(2*IF($Q$5=0,$Q$6,$Q$5)*$U$5*$Q$19))*'IN-OUT'!$F$15))*'Burland damage classification'!BJ66</f>
        <v>#DIV/0!</v>
      </c>
      <c r="BG66" s="272">
        <f>(1+(((IF($Q$5=0,$Q$6^2,$Q$5^2))*$U$5)/(18*$Q$15))*('IN-OUT'!$F$15^(-1)))*BK66</f>
        <v>1.8257418583505545E-4</v>
      </c>
      <c r="BH66" s="272" t="e">
        <f t="shared" si="80"/>
        <v>#DIV/0!</v>
      </c>
      <c r="BI66" s="272" t="e">
        <f t="shared" si="33"/>
        <v>#DIV/0!</v>
      </c>
      <c r="BJ66" s="262">
        <f t="shared" si="57"/>
        <v>1.1350241493207625E-19</v>
      </c>
      <c r="BK66" s="273">
        <f t="shared" si="81"/>
        <v>1.8257418583505545E-4</v>
      </c>
      <c r="BL66" s="270">
        <f t="shared" si="58"/>
        <v>3.3333333333333321E-4</v>
      </c>
      <c r="BM66" s="274">
        <f t="shared" si="34"/>
        <v>3.3333333333333319E-2</v>
      </c>
      <c r="BO66" s="258" t="e">
        <f>((((IF($Q$5=0,$Q$6,$Q$5)))/(12*$Q$19))+(((3*$Q$15)/(2*IF($Q$5=0,$Q$6,$Q$5)*$U$5*$Q$19))*'IN-OUT'!$F$15))*'Burland damage classification'!BS66</f>
        <v>#DIV/0!</v>
      </c>
      <c r="BP66" s="262">
        <f>(1+(((IF($Q$5=0,$Q$6^2,$Q$5^2))*$U$5)/(18*$Q$15))*('IN-OUT'!$F$15^(-1)))*BT66</f>
        <v>3.6514837167011079E-4</v>
      </c>
      <c r="BQ66" s="254" t="e">
        <f t="shared" si="11"/>
        <v>#DIV/0!</v>
      </c>
      <c r="BR66" s="254" t="e">
        <f t="shared" si="35"/>
        <v>#DIV/0!</v>
      </c>
      <c r="BS66" s="254">
        <f t="shared" si="59"/>
        <v>1.6666666666666728E-4</v>
      </c>
      <c r="BT66" s="253">
        <f t="shared" si="82"/>
        <v>3.6514837167011079E-4</v>
      </c>
      <c r="BU66" s="253">
        <f t="shared" si="60"/>
        <v>3.3333333333333321E-4</v>
      </c>
      <c r="BV66" s="255">
        <f t="shared" si="36"/>
        <v>3.3333333333333319E-2</v>
      </c>
      <c r="BX66" s="258" t="e">
        <f>((((IF($Q$5=0,$Q$6,$Q$5)))/(12*$Q$19))+(((3*$Q$15)/(2*IF($Q$5=0,$Q$6,$Q$5)*$U$5*$Q$19))*'IN-OUT'!$F$15))*'Burland damage classification'!CB66</f>
        <v>#DIV/0!</v>
      </c>
      <c r="BY66" s="262">
        <f>(1+(((IF($Q$5=0,$Q$6^2,$Q$5^2))*$U$5)/(18*$Q$15))*('IN-OUT'!$F$15^(-1)))*CC66</f>
        <v>8.755950357709132E-4</v>
      </c>
      <c r="BZ66" s="254" t="e">
        <f t="shared" si="13"/>
        <v>#DIV/0!</v>
      </c>
      <c r="CA66" s="254" t="e">
        <f t="shared" si="37"/>
        <v>#DIV/0!</v>
      </c>
      <c r="CB66" s="254">
        <f t="shared" si="61"/>
        <v>6.6666666666666729E-4</v>
      </c>
      <c r="CC66" s="253">
        <f t="shared" si="83"/>
        <v>8.755950357709132E-4</v>
      </c>
      <c r="CD66" s="253">
        <f t="shared" si="62"/>
        <v>3.3333333333333321E-4</v>
      </c>
      <c r="CE66" s="255">
        <f t="shared" si="38"/>
        <v>3.3333333333333319E-2</v>
      </c>
      <c r="CG66" s="258" t="e">
        <f>((((IF($Q$5=0,$Q$6,$Q$5)))/(12*$Q$19))+(((3*$Q$15)/(2*IF($Q$5=0,$Q$6,$Q$5)*$U$5*$Q$19))*'IN-OUT'!$F$15))*'Burland damage classification'!CK66</f>
        <v>#DIV/0!</v>
      </c>
      <c r="CH66" s="262">
        <f>(1+(((IF($Q$5=0,$Q$6^2,$Q$5^2))*$U$5)/(18*$Q$15))*('IN-OUT'!$F$15^(-1)))*CL66</f>
        <v>1.8797162906495578E-3</v>
      </c>
      <c r="CI66" s="254" t="e">
        <f t="shared" si="15"/>
        <v>#DIV/0!</v>
      </c>
      <c r="CJ66" s="254" t="e">
        <f t="shared" si="39"/>
        <v>#DIV/0!</v>
      </c>
      <c r="CK66" s="254">
        <f t="shared" si="63"/>
        <v>1.6666666666666637E-3</v>
      </c>
      <c r="CL66" s="270">
        <f t="shared" si="16"/>
        <v>1.8797162906495578E-3</v>
      </c>
      <c r="CM66" s="253">
        <f t="shared" si="64"/>
        <v>3.3333333333333321E-4</v>
      </c>
      <c r="CN66" s="255">
        <f t="shared" si="40"/>
        <v>3.3333333333333319E-2</v>
      </c>
      <c r="CP66" s="265" t="e">
        <f>((((IF($R$5=0,$R$6,$R$5)))/(12*$R$19))+(((3*$R$15)/(2*IF($R$5=0,$R$6,$R$5)*$U$5*$R$19))*'IN-OUT'!$F$15))*'Burland damage classification'!CT66</f>
        <v>#DIV/0!</v>
      </c>
      <c r="CQ66" s="272">
        <f>(1+(((IF($R$5=0,$R$6^2,$R$5^2))*$U$5)/(18*$R$15))*('IN-OUT'!$F$15^(-1)))*CU66</f>
        <v>1.8257418583505545E-4</v>
      </c>
      <c r="CR66" s="272" t="e">
        <f t="shared" si="84"/>
        <v>#DIV/0!</v>
      </c>
      <c r="CS66" s="272" t="e">
        <f t="shared" si="41"/>
        <v>#DIV/0!</v>
      </c>
      <c r="CT66" s="262">
        <f t="shared" si="65"/>
        <v>1.1350241493207625E-19</v>
      </c>
      <c r="CU66" s="273">
        <f t="shared" si="85"/>
        <v>1.8257418583505545E-4</v>
      </c>
      <c r="CV66" s="270">
        <f t="shared" si="66"/>
        <v>3.3333333333333321E-4</v>
      </c>
      <c r="CW66" s="274">
        <f t="shared" si="42"/>
        <v>3.3333333333333319E-2</v>
      </c>
      <c r="CY66" s="258" t="e">
        <f>((((IF($R$5=0,$R$6,$R$5)))/(12*$R$19))+(((3*$R$15)/(2*IF($R$5=0,$R$6,$R$5)*$U$5*$R$19))*'IN-OUT'!$F$15))*'Burland damage classification'!DC66</f>
        <v>#DIV/0!</v>
      </c>
      <c r="CZ66" s="262">
        <f>(1+(((IF($R$5=0,$R$6^2,$R$5^2))*$U$5)/(18*$R$15))*('IN-OUT'!$F$15^(-1)))*DD66</f>
        <v>3.6514837167011079E-4</v>
      </c>
      <c r="DA66" s="254" t="e">
        <f t="shared" si="19"/>
        <v>#DIV/0!</v>
      </c>
      <c r="DB66" s="254" t="e">
        <f t="shared" si="43"/>
        <v>#DIV/0!</v>
      </c>
      <c r="DC66" s="254">
        <f t="shared" si="67"/>
        <v>1.6666666666666728E-4</v>
      </c>
      <c r="DD66" s="253">
        <f t="shared" si="86"/>
        <v>3.6514837167011079E-4</v>
      </c>
      <c r="DE66" s="253">
        <f t="shared" si="68"/>
        <v>3.3333333333333321E-4</v>
      </c>
      <c r="DF66" s="255">
        <f t="shared" si="44"/>
        <v>3.3333333333333319E-2</v>
      </c>
      <c r="DH66" s="258" t="e">
        <f>((((IF($R$5=0,$R$6,$R$5)))/(12*$R$19))+(((3*$R$15)/(2*IF($R$5=0,$R$6,$R$5)*$U$5*$R$19))*'IN-OUT'!$F$15))*'Burland damage classification'!DL66</f>
        <v>#DIV/0!</v>
      </c>
      <c r="DI66" s="262">
        <f>(1+(((IF($R$5=0,$R$6^2,$R$5^2))*$U$5)/(18*$R$15))*('IN-OUT'!$F$15^(-1)))*DM66</f>
        <v>8.755950357709132E-4</v>
      </c>
      <c r="DJ66" s="254" t="e">
        <f t="shared" si="21"/>
        <v>#DIV/0!</v>
      </c>
      <c r="DK66" s="254" t="e">
        <f t="shared" si="45"/>
        <v>#DIV/0!</v>
      </c>
      <c r="DL66" s="254">
        <f t="shared" si="69"/>
        <v>6.6666666666666729E-4</v>
      </c>
      <c r="DM66" s="253">
        <f t="shared" si="87"/>
        <v>8.755950357709132E-4</v>
      </c>
      <c r="DN66" s="253">
        <f t="shared" si="70"/>
        <v>3.3333333333333321E-4</v>
      </c>
      <c r="DO66" s="255">
        <f t="shared" si="46"/>
        <v>3.3333333333333319E-2</v>
      </c>
      <c r="DQ66" s="258" t="e">
        <f>((((IF($R$5=0,$R$6,$R$5)))/(12*$R$19))+(((3*$R$15)/(2*IF($R$5=0,$R$6,$R$5)*$U$5*$R$19))*'IN-OUT'!$F$15))*'Burland damage classification'!DU66</f>
        <v>#DIV/0!</v>
      </c>
      <c r="DR66" s="262">
        <f>(1+(((IF($R$5=0,$R$6^2,$R$5^2))*$U$5)/(18*$R$15))*('IN-OUT'!$F$15^(-1)))*DV66</f>
        <v>1.8797162906495578E-3</v>
      </c>
      <c r="DS66" s="254" t="e">
        <f t="shared" si="23"/>
        <v>#DIV/0!</v>
      </c>
      <c r="DT66" s="254" t="e">
        <f t="shared" si="47"/>
        <v>#DIV/0!</v>
      </c>
      <c r="DU66" s="254">
        <f t="shared" si="71"/>
        <v>1.6666666666666637E-3</v>
      </c>
      <c r="DV66" s="270">
        <f t="shared" si="24"/>
        <v>1.8797162906495578E-3</v>
      </c>
      <c r="DW66" s="253">
        <f t="shared" si="72"/>
        <v>3.3333333333333321E-4</v>
      </c>
      <c r="DX66" s="255">
        <f t="shared" si="48"/>
        <v>3.3333333333333319E-2</v>
      </c>
      <c r="EA66" s="1240"/>
      <c r="EB66" s="1191"/>
      <c r="EC66" s="452">
        <v>2</v>
      </c>
      <c r="ED66" s="435">
        <f>'transversal subsidence profile'!$L$5*EXP(-(EG18^2)/(2*'transversal subsidence profile'!$J$5^2))*100</f>
        <v>0.28973179933201332</v>
      </c>
      <c r="EE66" s="428">
        <f>'transversal subsidence profile'!$L$5*EG18/'transversal subsidence profile'!$B$5*EXP(-(EG18^2)/(2*'transversal subsidence profile'!$J$5^2))*100</f>
        <v>-0.27356101773134894</v>
      </c>
      <c r="EF66" s="436">
        <f>('transversal subsidence profile'!$L$5/'transversal subsidence profile'!$B$5)*(1-((EG18^2)/(('transversal subsidence profile'!$J$5)^2)))*EXP(-(EG18^2)/(2*(('transversal subsidence profile'!$J$5)^2)))*100</f>
        <v>-6.5719205109918549E-2</v>
      </c>
      <c r="EG66" s="440">
        <f>'transversal subsidence profile'!$L$6*EXP(-(((EG18+$DZ$4))^2)/(2*'transversal subsidence profile'!$J$6^2))*100</f>
        <v>2.1646127640442723</v>
      </c>
      <c r="EH66" s="429">
        <f>'transversal subsidence profile'!$L$6*(EG18+$DZ$4)/'transversal subsidence profile'!$F$5*EXP(-((EG18+$DZ$4)^2)/(2*'transversal subsidence profile'!$J$6^2))*100</f>
        <v>-0.60072420012267214</v>
      </c>
      <c r="EI66" s="441">
        <f>('transversal subsidence profile'!$L$6/'transversal subsidence profile'!$F$5)*(1-(EG18+$DZ$4)^2/(('transversal subsidence profile'!$J$6)^2))*EXP(-((EG18+$DZ$4)^2)/(2*(('transversal subsidence profile'!$J$6)^2)))*100</f>
        <v>8.9422506802054699E-2</v>
      </c>
      <c r="EJ66" s="431"/>
      <c r="EK66" s="445">
        <f>IF('IN-OUT'!$F$26=0,EG66,IF('IN-OUT'!$F$35=0,ED66,ED66+EG66))</f>
        <v>2.4543445633762855</v>
      </c>
      <c r="EL66" s="445">
        <f>IF('IN-OUT'!$F$26=0,EH66,IF('IN-OUT'!$F$35=0,EE66,EE66+EH66))</f>
        <v>-0.87428521785402102</v>
      </c>
      <c r="EM66" s="563">
        <f>IF('IN-OUT'!$F$26=0,EI66,IF('IN-OUT'!$F$35=0,EF66,EF66+EI66))</f>
        <v>2.370330169213615E-2</v>
      </c>
      <c r="EO66" s="463">
        <f>IF(AND($EK$63=$EK$64,$EK$65&gt;$EK$63),$EK$67-$EK$63,IF(AND($EK$63=$EK$64,$EK$67&lt;$EK$63),$EK$63-$EK$67,0))</f>
        <v>0</v>
      </c>
      <c r="EP66" s="370">
        <f>IF($EK$63&lt;$EK$64,($EK$64-$EK$63)/($EG$10-$EG$9),($EK$63-$EK$64)/($EG$10-$EG$9))</f>
        <v>0.28162036436586074</v>
      </c>
      <c r="EQ66" s="370">
        <f>IF($EK$63&lt;$EK$64,(EA18*$EG$24*$EP$65)+$EK$63,((($EG$10-$EG$9)-($EG$24*EA18))*$EP$65)+$EK$64)</f>
        <v>2.4472562637853277</v>
      </c>
      <c r="ER66" s="370">
        <f>IF(EK63=EK64,0,IF($EQ$66&gt;$EK$66,($EQ$66-$EK$66),($EK$66-$EQ$66)))</f>
        <v>7.0882995909578028E-3</v>
      </c>
      <c r="ES66" s="447">
        <f>MAX(ER66,EO66)</f>
        <v>7.0882995909578028E-3</v>
      </c>
      <c r="EV66" s="568"/>
      <c r="EW66" s="255"/>
      <c r="FE66" s="681"/>
      <c r="FF66" s="681"/>
    </row>
    <row r="67" spans="20:162" ht="13.8" thickBot="1">
      <c r="AE67" s="258">
        <f>(((IF($P$5&lt;&gt;0,$P$5,IF($P$6&lt;&gt;0,$P$6,IF($P$7&lt;&gt;0,$P$7,0))))/(12*$P$19))+(((3*$P$15)/(2*(IF($P$5&lt;&gt;0,$P$5,IF($P$6&lt;&gt;0,$P$6,IF($P$7&lt;&gt;0,$P$7,0))))*$U$5*$P$19))*'IN-OUT'!$F$15))*'Burland damage classification'!AI67</f>
        <v>5.1362436425715359E-4</v>
      </c>
      <c r="AF67" s="254">
        <f>(1+(((IF($P$5&lt;&gt;0,$P$5^2,IF($P$6&lt;&gt;0,$P$6^2,IF($P$7&lt;&gt;0,$P$7^2))))*$U$5)/(18*$P$15))*('IN-OUT'!$F$15^(-1)))*AJ67</f>
        <v>3.8235391880971867E-4</v>
      </c>
      <c r="AG67" s="254">
        <f t="shared" ref="AG67:AG91" si="88">MIN(AE67,AF67)</f>
        <v>3.8235391880971867E-4</v>
      </c>
      <c r="AH67" s="254">
        <f t="shared" si="27"/>
        <v>3.8235391880971865E-2</v>
      </c>
      <c r="AI67" s="254">
        <f t="shared" si="51"/>
        <v>1.6000000000000061E-4</v>
      </c>
      <c r="AJ67" s="253">
        <f t="shared" si="76"/>
        <v>3.619392214170772E-4</v>
      </c>
      <c r="AK67" s="253">
        <f t="shared" si="52"/>
        <v>3.3999999999999986E-4</v>
      </c>
      <c r="AL67" s="255">
        <f t="shared" si="28"/>
        <v>3.3999999999999989E-2</v>
      </c>
      <c r="AN67" s="258">
        <f>(((IF($P$5&lt;&gt;0,$P$5,IF($P$6&lt;&gt;0,$P$6,IF($P$7&lt;&gt;0,$P$7,0))))/(12*$P$19))+(((3*$P$15)/(2*(IF($P$5&lt;&gt;0,$P$5,IF($P$6&lt;&gt;0,$P$6,IF($P$7&lt;&gt;0,$P$7,0))))*$U$5*$P$19))*'IN-OUT'!$F$15))*'Burland damage classification'!AR67</f>
        <v>2.1187005025607528E-3</v>
      </c>
      <c r="AO67" s="254">
        <f>(1+(((IF($P$5&lt;&gt;0,$P$5^2,IF($P$6&lt;&gt;0,$P$6^2,IF($P$7&lt;&gt;0,$P$7^2))))*$U$5)/(18*$P$15))*('IN-OUT'!$F$15^(-1)))*AS67</f>
        <v>9.2216234289909955E-4</v>
      </c>
      <c r="AP67" s="254">
        <f t="shared" ref="AP67:AP130" si="89">MIN(AN67,AO67)</f>
        <v>9.2216234289909955E-4</v>
      </c>
      <c r="AQ67" s="254">
        <f t="shared" si="29"/>
        <v>9.2216234289909951E-2</v>
      </c>
      <c r="AR67" s="254">
        <f t="shared" si="53"/>
        <v>6.6000000000000065E-4</v>
      </c>
      <c r="AS67" s="253">
        <f t="shared" si="78"/>
        <v>8.7292611371180787E-4</v>
      </c>
      <c r="AT67" s="253">
        <f t="shared" si="54"/>
        <v>3.3999999999999986E-4</v>
      </c>
      <c r="AU67" s="255">
        <f t="shared" si="30"/>
        <v>3.3999999999999989E-2</v>
      </c>
      <c r="AW67" s="258">
        <f>(((IF($P$5&lt;&gt;0,$P$5,IF($P$6&lt;&gt;0,$P$6,IF($P$7&lt;&gt;0,$P$7,0))))/(12*$P$19))+(((3*$P$15)/(2*(IF($P$5&lt;&gt;0,$P$5,IF($P$6&lt;&gt;0,$P$6,IF($P$7&lt;&gt;0,$P$7,0))))*$U$5*$P$19))*'IN-OUT'!$F$15))*'Burland damage classification'!BA67</f>
        <v>5.3288527791679387E-3</v>
      </c>
      <c r="AX67" s="254">
        <f>(1+(((IF($P$5&lt;&gt;0,$P$5^2,IF($P$6&lt;&gt;0,$P$6^2,IF($P$7&lt;&gt;0,$P$7^2))))*$U$5)/(18*$P$15))*('IN-OUT'!$F$15^(-1)))*BB67</f>
        <v>1.9831147637324842E-3</v>
      </c>
      <c r="AY67" s="254">
        <f t="shared" ref="AY67:AY130" si="90">MIN(AW67,AX67)</f>
        <v>1.9831147637324842E-3</v>
      </c>
      <c r="AZ67" s="254">
        <f t="shared" si="31"/>
        <v>0.19831147637324842</v>
      </c>
      <c r="BA67" s="254">
        <f t="shared" si="55"/>
        <v>1.659999999999997E-3</v>
      </c>
      <c r="BB67" s="270">
        <f t="shared" si="8"/>
        <v>1.8772320048411704E-3</v>
      </c>
      <c r="BC67" s="253">
        <f t="shared" si="56"/>
        <v>3.3999999999999986E-4</v>
      </c>
      <c r="BD67" s="255">
        <f t="shared" si="32"/>
        <v>3.3999999999999989E-2</v>
      </c>
      <c r="BI67" s="248"/>
      <c r="BO67" s="258" t="e">
        <f>((((IF($Q$5=0,$Q$6,$Q$5)))/(12*$Q$19))+(((3*$Q$15)/(2*IF($Q$5=0,$Q$6,$Q$5)*$U$5*$Q$19))*'IN-OUT'!$F$15))*'Burland damage classification'!BS67</f>
        <v>#DIV/0!</v>
      </c>
      <c r="BP67" s="262">
        <f>(1+(((IF($Q$5=0,$Q$6^2,$Q$5^2))*$U$5)/(18*$Q$15))*('IN-OUT'!$F$15^(-1)))*BT67</f>
        <v>3.619392214170772E-4</v>
      </c>
      <c r="BQ67" s="254" t="e">
        <f t="shared" si="11"/>
        <v>#DIV/0!</v>
      </c>
      <c r="BR67" s="254" t="e">
        <f t="shared" si="35"/>
        <v>#DIV/0!</v>
      </c>
      <c r="BS67" s="254">
        <f t="shared" si="59"/>
        <v>1.6000000000000061E-4</v>
      </c>
      <c r="BT67" s="253">
        <f t="shared" si="82"/>
        <v>3.619392214170772E-4</v>
      </c>
      <c r="BU67" s="253">
        <f t="shared" si="60"/>
        <v>3.3999999999999986E-4</v>
      </c>
      <c r="BV67" s="255">
        <f t="shared" si="36"/>
        <v>3.3999999999999989E-2</v>
      </c>
      <c r="BX67" s="258" t="e">
        <f>((((IF($Q$5=0,$Q$6,$Q$5)))/(12*$Q$19))+(((3*$Q$15)/(2*IF($Q$5=0,$Q$6,$Q$5)*$U$5*$Q$19))*'IN-OUT'!$F$15))*'Burland damage classification'!CB67</f>
        <v>#DIV/0!</v>
      </c>
      <c r="BY67" s="262">
        <f>(1+(((IF($Q$5=0,$Q$6^2,$Q$5^2))*$U$5)/(18*$Q$15))*('IN-OUT'!$F$15^(-1)))*CC67</f>
        <v>8.7292611371180787E-4</v>
      </c>
      <c r="BZ67" s="254" t="e">
        <f t="shared" si="13"/>
        <v>#DIV/0!</v>
      </c>
      <c r="CA67" s="254" t="e">
        <f t="shared" si="37"/>
        <v>#DIV/0!</v>
      </c>
      <c r="CB67" s="254">
        <f t="shared" si="61"/>
        <v>6.6000000000000065E-4</v>
      </c>
      <c r="CC67" s="253">
        <f t="shared" si="83"/>
        <v>8.7292611371180787E-4</v>
      </c>
      <c r="CD67" s="253">
        <f t="shared" si="62"/>
        <v>3.3999999999999986E-4</v>
      </c>
      <c r="CE67" s="255">
        <f t="shared" si="38"/>
        <v>3.3999999999999989E-2</v>
      </c>
      <c r="CG67" s="258" t="e">
        <f>((((IF($Q$5=0,$Q$6,$Q$5)))/(12*$Q$19))+(((3*$Q$15)/(2*IF($Q$5=0,$Q$6,$Q$5)*$U$5*$Q$19))*'IN-OUT'!$F$15))*'Burland damage classification'!CK67</f>
        <v>#DIV/0!</v>
      </c>
      <c r="CH67" s="262">
        <f>(1+(((IF($Q$5=0,$Q$6^2,$Q$5^2))*$U$5)/(18*$Q$15))*('IN-OUT'!$F$15^(-1)))*CL67</f>
        <v>1.8772320048411704E-3</v>
      </c>
      <c r="CI67" s="254" t="e">
        <f t="shared" si="15"/>
        <v>#DIV/0!</v>
      </c>
      <c r="CJ67" s="254" t="e">
        <f t="shared" si="39"/>
        <v>#DIV/0!</v>
      </c>
      <c r="CK67" s="254">
        <f t="shared" si="63"/>
        <v>1.659999999999997E-3</v>
      </c>
      <c r="CL67" s="270">
        <f t="shared" si="16"/>
        <v>1.8772320048411704E-3</v>
      </c>
      <c r="CM67" s="253">
        <f t="shared" si="64"/>
        <v>3.3999999999999986E-4</v>
      </c>
      <c r="CN67" s="255">
        <f t="shared" si="40"/>
        <v>3.3999999999999989E-2</v>
      </c>
      <c r="CS67" s="248"/>
      <c r="CY67" s="258" t="e">
        <f>((((IF($R$5=0,$R$6,$R$5)))/(12*$R$19))+(((3*$R$15)/(2*IF($R$5=0,$R$6,$R$5)*$U$5*$R$19))*'IN-OUT'!$F$15))*'Burland damage classification'!DC67</f>
        <v>#DIV/0!</v>
      </c>
      <c r="CZ67" s="262">
        <f>(1+(((IF($R$5=0,$R$6^2,$R$5^2))*$U$5)/(18*$R$15))*('IN-OUT'!$F$15^(-1)))*DD67</f>
        <v>3.619392214170772E-4</v>
      </c>
      <c r="DA67" s="254" t="e">
        <f t="shared" si="19"/>
        <v>#DIV/0!</v>
      </c>
      <c r="DB67" s="254" t="e">
        <f t="shared" si="43"/>
        <v>#DIV/0!</v>
      </c>
      <c r="DC67" s="254">
        <f t="shared" si="67"/>
        <v>1.6000000000000061E-4</v>
      </c>
      <c r="DD67" s="253">
        <f t="shared" si="86"/>
        <v>3.619392214170772E-4</v>
      </c>
      <c r="DE67" s="253">
        <f t="shared" si="68"/>
        <v>3.3999999999999986E-4</v>
      </c>
      <c r="DF67" s="255">
        <f t="shared" si="44"/>
        <v>3.3999999999999989E-2</v>
      </c>
      <c r="DH67" s="258" t="e">
        <f>((((IF($R$5=0,$R$6,$R$5)))/(12*$R$19))+(((3*$R$15)/(2*IF($R$5=0,$R$6,$R$5)*$U$5*$R$19))*'IN-OUT'!$F$15))*'Burland damage classification'!DL67</f>
        <v>#DIV/0!</v>
      </c>
      <c r="DI67" s="262">
        <f>(1+(((IF($R$5=0,$R$6^2,$R$5^2))*$U$5)/(18*$R$15))*('IN-OUT'!$F$15^(-1)))*DM67</f>
        <v>8.7292611371180787E-4</v>
      </c>
      <c r="DJ67" s="254" t="e">
        <f t="shared" si="21"/>
        <v>#DIV/0!</v>
      </c>
      <c r="DK67" s="254" t="e">
        <f t="shared" si="45"/>
        <v>#DIV/0!</v>
      </c>
      <c r="DL67" s="254">
        <f t="shared" si="69"/>
        <v>6.6000000000000065E-4</v>
      </c>
      <c r="DM67" s="253">
        <f t="shared" si="87"/>
        <v>8.7292611371180787E-4</v>
      </c>
      <c r="DN67" s="253">
        <f t="shared" si="70"/>
        <v>3.3999999999999986E-4</v>
      </c>
      <c r="DO67" s="255">
        <f t="shared" si="46"/>
        <v>3.3999999999999989E-2</v>
      </c>
      <c r="DQ67" s="258" t="e">
        <f>((((IF($R$5=0,$R$6,$R$5)))/(12*$R$19))+(((3*$R$15)/(2*IF($R$5=0,$R$6,$R$5)*$U$5*$R$19))*'IN-OUT'!$F$15))*'Burland damage classification'!DU67</f>
        <v>#DIV/0!</v>
      </c>
      <c r="DR67" s="262">
        <f>(1+(((IF($R$5=0,$R$6^2,$R$5^2))*$U$5)/(18*$R$15))*('IN-OUT'!$F$15^(-1)))*DV67</f>
        <v>1.8772320048411704E-3</v>
      </c>
      <c r="DS67" s="254" t="e">
        <f t="shared" si="23"/>
        <v>#DIV/0!</v>
      </c>
      <c r="DT67" s="254" t="e">
        <f t="shared" si="47"/>
        <v>#DIV/0!</v>
      </c>
      <c r="DU67" s="254">
        <f t="shared" si="71"/>
        <v>1.659999999999997E-3</v>
      </c>
      <c r="DV67" s="270">
        <f t="shared" si="24"/>
        <v>1.8772320048411704E-3</v>
      </c>
      <c r="DW67" s="253">
        <f t="shared" si="72"/>
        <v>3.3999999999999986E-4</v>
      </c>
      <c r="DX67" s="255">
        <f t="shared" si="48"/>
        <v>3.3999999999999989E-2</v>
      </c>
      <c r="EA67" s="1240"/>
      <c r="EB67" s="1191"/>
      <c r="EC67" s="452">
        <v>3</v>
      </c>
      <c r="ED67" s="435">
        <f>'transversal subsidence profile'!$L$5*EXP(-(EG19^2)/(2*'transversal subsidence profile'!$J$5^2))*100</f>
        <v>0.32935984991506795</v>
      </c>
      <c r="EE67" s="428">
        <f>'transversal subsidence profile'!$L$5*EG19/'transversal subsidence profile'!$B$5*EXP(-(EG19^2)/(2*'transversal subsidence profile'!$J$5^2))*100</f>
        <v>-0.3017860408960884</v>
      </c>
      <c r="EF67" s="436">
        <f>('transversal subsidence profile'!$L$5/'transversal subsidence profile'!$B$5)*(1-((EG19^2)/(('transversal subsidence profile'!$J$5)^2)))*EXP(-(EG19^2)/(2*(('transversal subsidence profile'!$J$5)^2)))*100</f>
        <v>-6.9078296301593803E-2</v>
      </c>
      <c r="EG67" s="440">
        <f>'transversal subsidence profile'!$L$6*EXP(-(((EG19+$DZ$4))^2)/(2*'transversal subsidence profile'!$J$6^2))*100</f>
        <v>2.2446814070511834</v>
      </c>
      <c r="EH67" s="429">
        <f>'transversal subsidence profile'!$L$6*(EG19+$DZ$4)/'transversal subsidence profile'!$F$5*EXP(-((EG19+$DZ$4)^2)/(2*'transversal subsidence profile'!$J$6^2))*100</f>
        <v>-0.56030375509424701</v>
      </c>
      <c r="EI67" s="441">
        <f>('transversal subsidence profile'!$L$6/'transversal subsidence profile'!$F$5)*(1-(EG19+$DZ$4)^2/(('transversal subsidence profile'!$J$6)^2))*EXP(-((EG19+$DZ$4)^2)/(2*(('transversal subsidence profile'!$J$6)^2)))*100</f>
        <v>0.10360110642217382</v>
      </c>
      <c r="EK67" s="445">
        <f>IF('IN-OUT'!$F$26=0,EG67,IF('IN-OUT'!$F$35=0,ED67,ED67+EG67))</f>
        <v>2.5740412569662512</v>
      </c>
      <c r="EL67" s="445">
        <f>IF('IN-OUT'!$F$26=0,EH67,IF('IN-OUT'!$F$35=0,EE67,EE67+EH67))</f>
        <v>-0.86208979599033542</v>
      </c>
      <c r="EM67" s="563">
        <f>IF('IN-OUT'!$F$26=0,EI67,IF('IN-OUT'!$F$35=0,EF67,EF67+EI67))</f>
        <v>3.4522810120580019E-2</v>
      </c>
      <c r="EO67" s="463">
        <f>IF(AND($EK$63=$EK$64,$EK$65&gt;$EK$63),$EK$67-$EK$63,IF(AND($EK$63=$EK$64,$EK$67&lt;$EK$63),$EK$63-$EK$67,0))</f>
        <v>0</v>
      </c>
      <c r="EP67" s="370">
        <f>IF($EK$63&lt;$EK$64,($EK$64-$EK$63)/($EG$10-$EG$9),($EK$63-$EK$64)/($EG$10-$EG$9))</f>
        <v>0.28162036436586074</v>
      </c>
      <c r="EQ67" s="370">
        <f>IF($EK$63&lt;$EK$64,(EA19*$EG$24*$EP$65)+$EK$63,((($EG$10-$EG$9)-($EG$24*EA19))*$EP$65)+$EK$64)</f>
        <v>2.5651417034477841</v>
      </c>
      <c r="ER67" s="370">
        <f>IF(EK63=EK64,0,IF($EQ$67&gt;$EK$67,($EQ$67-$EK$67),($EK$67-$EQ$67)))</f>
        <v>8.8995535184670516E-3</v>
      </c>
      <c r="ES67" s="447">
        <f>MAX(ER67,EO67)</f>
        <v>8.8995535184670516E-3</v>
      </c>
      <c r="EV67" s="281">
        <f>IF(OR(S5&gt;0,S6&gt;0,S7&gt;0),(MAX(ES65:ES69)/MAX(S5:S7)),0)</f>
        <v>3.543405518301632E-3</v>
      </c>
      <c r="EW67" s="261">
        <f>IF(OR('IN-OUT'!$F$26=0,'IN-OUT'!$F$35=0),IF((('Burland damage classification'!EL64-'Burland damage classification'!EL63)/(MAX('Burland damage classification'!S5:S7)))&gt;0,0),IF((((EE64-EE63)+(EH64-EH63))/MAX(S5:S7)&lt;0),-(((EE64-EE63)+(EH64-EH63))/MAX(S5:S7)),0))</f>
        <v>0</v>
      </c>
      <c r="FE67" s="681"/>
      <c r="FF67" s="681"/>
    </row>
    <row r="68" spans="20:162">
      <c r="U68" s="262"/>
      <c r="AE68" s="258">
        <f>(((IF($P$5&lt;&gt;0,$P$5,IF($P$6&lt;&gt;0,$P$6,IF($P$7&lt;&gt;0,$P$7,0))))/(12*$P$19))+(((3*$P$15)/(2*(IF($P$5&lt;&gt;0,$P$5,IF($P$6&lt;&gt;0,$P$6,IF($P$7&lt;&gt;0,$P$7,0))))*$U$5*$P$19))*'IN-OUT'!$F$15))*'Burland damage classification'!AI68</f>
        <v>4.9222334907977232E-4</v>
      </c>
      <c r="AF68" s="254">
        <f>(1+(((IF($P$5&lt;&gt;0,$P$5^2,IF($P$6&lt;&gt;0,$P$6^2,IF($P$7&lt;&gt;0,$P$7^2))))*$U$5)/(18*$P$15))*('IN-OUT'!$F$15^(-1)))*AJ68</f>
        <v>3.7893343162645639E-4</v>
      </c>
      <c r="AG68" s="254">
        <f t="shared" si="88"/>
        <v>3.7893343162645639E-4</v>
      </c>
      <c r="AH68" s="254">
        <f t="shared" si="27"/>
        <v>3.7893343162645636E-2</v>
      </c>
      <c r="AI68" s="254">
        <f t="shared" si="51"/>
        <v>1.5333333333333393E-4</v>
      </c>
      <c r="AJ68" s="253">
        <f t="shared" si="76"/>
        <v>3.5870136139505619E-4</v>
      </c>
      <c r="AK68" s="253">
        <f t="shared" si="52"/>
        <v>3.4666666666666651E-4</v>
      </c>
      <c r="AL68" s="255">
        <f t="shared" si="28"/>
        <v>3.4666666666666651E-2</v>
      </c>
      <c r="AN68" s="258">
        <f>(((IF($P$5&lt;&gt;0,$P$5,IF($P$6&lt;&gt;0,$P$6,IF($P$7&lt;&gt;0,$P$7,0))))/(12*$P$19))+(((3*$P$15)/(2*(IF($P$5&lt;&gt;0,$P$5,IF($P$6&lt;&gt;0,$P$6,IF($P$7&lt;&gt;0,$P$7,0))))*$U$5*$P$19))*'IN-OUT'!$F$15))*'Burland damage classification'!AR68</f>
        <v>2.0972994873833715E-3</v>
      </c>
      <c r="AO68" s="254">
        <f>(1+(((IF($P$5&lt;&gt;0,$P$5^2,IF($P$6&lt;&gt;0,$P$6^2,IF($P$7&lt;&gt;0,$P$7^2))))*$U$5)/(18*$P$15))*('IN-OUT'!$F$15^(-1)))*AS68</f>
        <v>9.1933423704943288E-4</v>
      </c>
      <c r="AP68" s="254">
        <f t="shared" si="89"/>
        <v>9.1933423704943288E-4</v>
      </c>
      <c r="AQ68" s="254">
        <f t="shared" si="29"/>
        <v>9.1933423704943285E-2</v>
      </c>
      <c r="AR68" s="254">
        <f t="shared" si="53"/>
        <v>6.53333333333334E-4</v>
      </c>
      <c r="AS68" s="253">
        <f t="shared" si="78"/>
        <v>8.7024900651097169E-4</v>
      </c>
      <c r="AT68" s="253">
        <f t="shared" si="54"/>
        <v>3.4666666666666651E-4</v>
      </c>
      <c r="AU68" s="255">
        <f t="shared" si="30"/>
        <v>3.4666666666666651E-2</v>
      </c>
      <c r="AW68" s="258">
        <f>(((IF($P$5&lt;&gt;0,$P$5,IF($P$6&lt;&gt;0,$P$6,IF($P$7&lt;&gt;0,$P$7,0))))/(12*$P$19))+(((3*$P$15)/(2*(IF($P$5&lt;&gt;0,$P$5,IF($P$6&lt;&gt;0,$P$6,IF($P$7&lt;&gt;0,$P$7,0))))*$U$5*$P$19))*'IN-OUT'!$F$15))*'Burland damage classification'!BA68</f>
        <v>5.3074517639905569E-3</v>
      </c>
      <c r="AX68" s="254">
        <f>(1+(((IF($P$5&lt;&gt;0,$P$5^2,IF($P$6&lt;&gt;0,$P$6^2,IF($P$7&lt;&gt;0,$P$7^2))))*$U$5)/(18*$P$15))*('IN-OUT'!$F$15^(-1)))*BB68</f>
        <v>1.9804868774202871E-3</v>
      </c>
      <c r="AY68" s="254">
        <f t="shared" si="90"/>
        <v>1.9804868774202871E-3</v>
      </c>
      <c r="AZ68" s="254">
        <f t="shared" si="31"/>
        <v>0.19804868774202872</v>
      </c>
      <c r="BA68" s="254">
        <f t="shared" si="55"/>
        <v>1.6533333333333302E-3</v>
      </c>
      <c r="BB68" s="270">
        <f t="shared" si="8"/>
        <v>1.8747444270264325E-3</v>
      </c>
      <c r="BC68" s="253">
        <f t="shared" si="56"/>
        <v>3.4666666666666651E-4</v>
      </c>
      <c r="BD68" s="255">
        <f t="shared" si="32"/>
        <v>3.4666666666666651E-2</v>
      </c>
      <c r="BI68" s="248"/>
      <c r="BO68" s="258" t="e">
        <f>((((IF($Q$5=0,$Q$6,$Q$5)))/(12*$Q$19))+(((3*$Q$15)/(2*IF($Q$5=0,$Q$6,$Q$5)*$U$5*$Q$19))*'IN-OUT'!$F$15))*'Burland damage classification'!BS68</f>
        <v>#DIV/0!</v>
      </c>
      <c r="BP68" s="262">
        <f>(1+(((IF($Q$5=0,$Q$6^2,$Q$5^2))*$U$5)/(18*$Q$15))*('IN-OUT'!$F$15^(-1)))*BT68</f>
        <v>3.5870136139505619E-4</v>
      </c>
      <c r="BQ68" s="254" t="e">
        <f t="shared" si="11"/>
        <v>#DIV/0!</v>
      </c>
      <c r="BR68" s="254" t="e">
        <f t="shared" si="35"/>
        <v>#DIV/0!</v>
      </c>
      <c r="BS68" s="254">
        <f t="shared" si="59"/>
        <v>1.5333333333333393E-4</v>
      </c>
      <c r="BT68" s="253">
        <f t="shared" si="82"/>
        <v>3.5870136139505619E-4</v>
      </c>
      <c r="BU68" s="253">
        <f t="shared" si="60"/>
        <v>3.4666666666666651E-4</v>
      </c>
      <c r="BV68" s="255">
        <f t="shared" si="36"/>
        <v>3.4666666666666651E-2</v>
      </c>
      <c r="BX68" s="258" t="e">
        <f>((((IF($Q$5=0,$Q$6,$Q$5)))/(12*$Q$19))+(((3*$Q$15)/(2*IF($Q$5=0,$Q$6,$Q$5)*$U$5*$Q$19))*'IN-OUT'!$F$15))*'Burland damage classification'!CB68</f>
        <v>#DIV/0!</v>
      </c>
      <c r="BY68" s="262">
        <f>(1+(((IF($Q$5=0,$Q$6^2,$Q$5^2))*$U$5)/(18*$Q$15))*('IN-OUT'!$F$15^(-1)))*CC68</f>
        <v>8.7024900651097169E-4</v>
      </c>
      <c r="BZ68" s="254" t="e">
        <f t="shared" si="13"/>
        <v>#DIV/0!</v>
      </c>
      <c r="CA68" s="254" t="e">
        <f t="shared" si="37"/>
        <v>#DIV/0!</v>
      </c>
      <c r="CB68" s="254">
        <f t="shared" si="61"/>
        <v>6.53333333333334E-4</v>
      </c>
      <c r="CC68" s="253">
        <f t="shared" si="83"/>
        <v>8.7024900651097169E-4</v>
      </c>
      <c r="CD68" s="253">
        <f t="shared" si="62"/>
        <v>3.4666666666666651E-4</v>
      </c>
      <c r="CE68" s="255">
        <f t="shared" si="38"/>
        <v>3.4666666666666651E-2</v>
      </c>
      <c r="CG68" s="258" t="e">
        <f>((((IF($Q$5=0,$Q$6,$Q$5)))/(12*$Q$19))+(((3*$Q$15)/(2*IF($Q$5=0,$Q$6,$Q$5)*$U$5*$Q$19))*'IN-OUT'!$F$15))*'Burland damage classification'!CK68</f>
        <v>#DIV/0!</v>
      </c>
      <c r="CH68" s="262">
        <f>(1+(((IF($Q$5=0,$Q$6^2,$Q$5^2))*$U$5)/(18*$Q$15))*('IN-OUT'!$F$15^(-1)))*CL68</f>
        <v>1.8747444270264325E-3</v>
      </c>
      <c r="CI68" s="254" t="e">
        <f t="shared" si="15"/>
        <v>#DIV/0!</v>
      </c>
      <c r="CJ68" s="254" t="e">
        <f t="shared" si="39"/>
        <v>#DIV/0!</v>
      </c>
      <c r="CK68" s="254">
        <f t="shared" si="63"/>
        <v>1.6533333333333302E-3</v>
      </c>
      <c r="CL68" s="270">
        <f t="shared" si="16"/>
        <v>1.8747444270264325E-3</v>
      </c>
      <c r="CM68" s="253">
        <f t="shared" si="64"/>
        <v>3.4666666666666651E-4</v>
      </c>
      <c r="CN68" s="255">
        <f t="shared" si="40"/>
        <v>3.4666666666666651E-2</v>
      </c>
      <c r="CS68" s="248"/>
      <c r="CY68" s="258" t="e">
        <f>((((IF($R$5=0,$R$6,$R$5)))/(12*$R$19))+(((3*$R$15)/(2*IF($R$5=0,$R$6,$R$5)*$U$5*$R$19))*'IN-OUT'!$F$15))*'Burland damage classification'!DC68</f>
        <v>#DIV/0!</v>
      </c>
      <c r="CZ68" s="262">
        <f>(1+(((IF($R$5=0,$R$6^2,$R$5^2))*$U$5)/(18*$R$15))*('IN-OUT'!$F$15^(-1)))*DD68</f>
        <v>3.5870136139505619E-4</v>
      </c>
      <c r="DA68" s="254" t="e">
        <f t="shared" si="19"/>
        <v>#DIV/0!</v>
      </c>
      <c r="DB68" s="254" t="e">
        <f t="shared" si="43"/>
        <v>#DIV/0!</v>
      </c>
      <c r="DC68" s="254">
        <f t="shared" si="67"/>
        <v>1.5333333333333393E-4</v>
      </c>
      <c r="DD68" s="253">
        <f t="shared" si="86"/>
        <v>3.5870136139505619E-4</v>
      </c>
      <c r="DE68" s="253">
        <f t="shared" si="68"/>
        <v>3.4666666666666651E-4</v>
      </c>
      <c r="DF68" s="255">
        <f t="shared" si="44"/>
        <v>3.4666666666666651E-2</v>
      </c>
      <c r="DH68" s="258" t="e">
        <f>((((IF($R$5=0,$R$6,$R$5)))/(12*$R$19))+(((3*$R$15)/(2*IF($R$5=0,$R$6,$R$5)*$U$5*$R$19))*'IN-OUT'!$F$15))*'Burland damage classification'!DL68</f>
        <v>#DIV/0!</v>
      </c>
      <c r="DI68" s="262">
        <f>(1+(((IF($R$5=0,$R$6^2,$R$5^2))*$U$5)/(18*$R$15))*('IN-OUT'!$F$15^(-1)))*DM68</f>
        <v>8.7024900651097169E-4</v>
      </c>
      <c r="DJ68" s="254" t="e">
        <f t="shared" si="21"/>
        <v>#DIV/0!</v>
      </c>
      <c r="DK68" s="254" t="e">
        <f t="shared" si="45"/>
        <v>#DIV/0!</v>
      </c>
      <c r="DL68" s="254">
        <f t="shared" si="69"/>
        <v>6.53333333333334E-4</v>
      </c>
      <c r="DM68" s="253">
        <f t="shared" si="87"/>
        <v>8.7024900651097169E-4</v>
      </c>
      <c r="DN68" s="253">
        <f t="shared" si="70"/>
        <v>3.4666666666666651E-4</v>
      </c>
      <c r="DO68" s="255">
        <f t="shared" si="46"/>
        <v>3.4666666666666651E-2</v>
      </c>
      <c r="DQ68" s="258" t="e">
        <f>((((IF($R$5=0,$R$6,$R$5)))/(12*$R$19))+(((3*$R$15)/(2*IF($R$5=0,$R$6,$R$5)*$U$5*$R$19))*'IN-OUT'!$F$15))*'Burland damage classification'!DU68</f>
        <v>#DIV/0!</v>
      </c>
      <c r="DR68" s="262">
        <f>(1+(((IF($R$5=0,$R$6^2,$R$5^2))*$U$5)/(18*$R$15))*('IN-OUT'!$F$15^(-1)))*DV68</f>
        <v>1.8747444270264325E-3</v>
      </c>
      <c r="DS68" s="254" t="e">
        <f t="shared" si="23"/>
        <v>#DIV/0!</v>
      </c>
      <c r="DT68" s="254" t="e">
        <f t="shared" si="47"/>
        <v>#DIV/0!</v>
      </c>
      <c r="DU68" s="254">
        <f t="shared" si="71"/>
        <v>1.6533333333333302E-3</v>
      </c>
      <c r="DV68" s="270">
        <f t="shared" si="24"/>
        <v>1.8747444270264325E-3</v>
      </c>
      <c r="DW68" s="253">
        <f t="shared" si="72"/>
        <v>3.4666666666666651E-4</v>
      </c>
      <c r="DX68" s="255">
        <f t="shared" si="48"/>
        <v>3.4666666666666651E-2</v>
      </c>
      <c r="EA68" s="1240"/>
      <c r="EB68" s="1191"/>
      <c r="EC68" s="452">
        <v>4</v>
      </c>
      <c r="ED68" s="435">
        <f>'transversal subsidence profile'!$L$5*EXP(-(EG20^2)/(2*'transversal subsidence profile'!$J$5^2))*100</f>
        <v>0.37297089840778463</v>
      </c>
      <c r="EE68" s="428">
        <f>'transversal subsidence profile'!$L$5*EG20/'transversal subsidence profile'!$B$5*EXP(-(EG20^2)/(2*'transversal subsidence profile'!$J$5^2))*100</f>
        <v>-0.33133769863157037</v>
      </c>
      <c r="EF68" s="436">
        <f>('transversal subsidence profile'!$L$5/'transversal subsidence profile'!$B$5)*(1-((EG20^2)/(('transversal subsidence profile'!$J$5)^2)))*EXP(-(EG20^2)/(2*(('transversal subsidence profile'!$J$5)^2)))*100</f>
        <v>-7.2041229278981433E-2</v>
      </c>
      <c r="EG68" s="440">
        <f>'transversal subsidence profile'!$L$6*EXP(-(((EG20+$DZ$4))^2)/(2*'transversal subsidence profile'!$J$6^2))*100</f>
        <v>2.3187770940672556</v>
      </c>
      <c r="EH68" s="429">
        <f>'transversal subsidence profile'!$L$6*(EG20+$DZ$4)/'transversal subsidence profile'!$F$5*EXP(-((EG20+$DZ$4)^2)/(2*'transversal subsidence profile'!$J$6^2))*100</f>
        <v>-0.51409019529034616</v>
      </c>
      <c r="EI68" s="441">
        <f>('transversal subsidence profile'!$L$6/'transversal subsidence profile'!$F$5)*(1-(EG20+$DZ$4)^2/(('transversal subsidence profile'!$J$6)^2))*EXP(-((EG20+$DZ$4)^2)/(2*(('transversal subsidence profile'!$J$6)^2)))*100</f>
        <v>0.11706163842390936</v>
      </c>
      <c r="EK68" s="445">
        <f>IF('IN-OUT'!$F$26=0,EG68,IF('IN-OUT'!$F$35=0,ED68,ED68+EG68))</f>
        <v>2.6917479924750403</v>
      </c>
      <c r="EL68" s="445">
        <f>IF('IN-OUT'!$F$26=0,EH68,IF('IN-OUT'!$F$35=0,EE68,EE68+EH68))</f>
        <v>-0.84542789392191653</v>
      </c>
      <c r="EM68" s="563">
        <f>IF('IN-OUT'!$F$26=0,EI68,IF('IN-OUT'!$F$35=0,EF68,EF68+EI68))</f>
        <v>4.5020409144927928E-2</v>
      </c>
      <c r="EO68" s="463">
        <f>IF(AND($EK$63=$EK$64,$EK$65&gt;$EK$63),$EK$67-$EK$63,IF(AND($EK$63=$EK$64,$EK$67&lt;$EK$63),$EK$63-$EK$67,0))</f>
        <v>0</v>
      </c>
      <c r="EP68" s="370">
        <f>IF($EK$63&lt;$EK$64,($EK$64-$EK$63)/($EG$10-$EG$9),($EK$63-$EK$64)/($EG$10-$EG$9))</f>
        <v>0.28162036436586074</v>
      </c>
      <c r="EQ68" s="370">
        <f>IF($EK$63&lt;$EK$64,(EA20*$EG$24*$EP$65)+$EK$63,((($EG$10-$EG$9)-($EG$24*EA20))*$EP$65)+$EK$64)</f>
        <v>2.6830271431102402</v>
      </c>
      <c r="ER68" s="370">
        <f>IF(EK63=EK64,0,IF($EQ$68&gt;$EK$68,($EQ$68-$EK$68),($EK$68-$EQ$68)))</f>
        <v>8.7208493648001095E-3</v>
      </c>
      <c r="ES68" s="447">
        <f>MAX(ER68,EO68)</f>
        <v>8.7208493648001095E-3</v>
      </c>
      <c r="FE68" s="681"/>
      <c r="FF68" s="681"/>
    </row>
    <row r="69" spans="20:162" ht="13.8" thickBot="1">
      <c r="U69" s="262"/>
      <c r="AE69" s="258">
        <f>(((IF($P$5&lt;&gt;0,$P$5,IF($P$6&lt;&gt;0,$P$6,IF($P$7&lt;&gt;0,$P$7,0))))/(12*$P$19))+(((3*$P$15)/(2*(IF($P$5&lt;&gt;0,$P$5,IF($P$6&lt;&gt;0,$P$6,IF($P$7&lt;&gt;0,$P$7,0))))*$U$5*$P$19))*'IN-OUT'!$F$15))*'Burland damage classification'!AI69</f>
        <v>4.7082233390239095E-4</v>
      </c>
      <c r="AF69" s="254">
        <f>(1+(((IF($P$5&lt;&gt;0,$P$5^2,IF($P$6&lt;&gt;0,$P$6^2,IF($P$7&lt;&gt;0,$P$7^2))))*$U$5)/(18*$P$15))*('IN-OUT'!$F$15^(-1)))*AJ69</f>
        <v>3.7548178648138934E-4</v>
      </c>
      <c r="AG69" s="254">
        <f t="shared" si="88"/>
        <v>3.7548178648138934E-4</v>
      </c>
      <c r="AH69" s="254">
        <f t="shared" si="27"/>
        <v>3.7548178648138933E-2</v>
      </c>
      <c r="AI69" s="254">
        <f t="shared" si="51"/>
        <v>1.4666666666666726E-4</v>
      </c>
      <c r="AJ69" s="253">
        <f t="shared" si="76"/>
        <v>3.5543400700176875E-4</v>
      </c>
      <c r="AK69" s="253">
        <f t="shared" si="52"/>
        <v>3.5333333333333316E-4</v>
      </c>
      <c r="AL69" s="255">
        <f t="shared" si="28"/>
        <v>3.5333333333333314E-2</v>
      </c>
      <c r="AN69" s="258">
        <f>(((IF($P$5&lt;&gt;0,$P$5,IF($P$6&lt;&gt;0,$P$6,IF($P$7&lt;&gt;0,$P$7,0))))/(12*$P$19))+(((3*$P$15)/(2*(IF($P$5&lt;&gt;0,$P$5,IF($P$6&lt;&gt;0,$P$6,IF($P$7&lt;&gt;0,$P$7,0))))*$U$5*$P$19))*'IN-OUT'!$F$15))*'Burland damage classification'!AR69</f>
        <v>2.0758984722059901E-3</v>
      </c>
      <c r="AO69" s="254">
        <f>(1+(((IF($P$5&lt;&gt;0,$P$5^2,IF($P$6&lt;&gt;0,$P$6^2,IF($P$7&lt;&gt;0,$P$7^2))))*$U$5)/(18*$P$15))*('IN-OUT'!$F$15^(-1)))*AS69</f>
        <v>9.1649740433967931E-4</v>
      </c>
      <c r="AP69" s="254">
        <f t="shared" si="89"/>
        <v>9.1649740433967931E-4</v>
      </c>
      <c r="AQ69" s="254">
        <f t="shared" si="29"/>
        <v>9.1649740433967924E-2</v>
      </c>
      <c r="AR69" s="254">
        <f t="shared" si="53"/>
        <v>6.4666666666666735E-4</v>
      </c>
      <c r="AS69" s="253">
        <f t="shared" si="78"/>
        <v>8.6756363839586245E-4</v>
      </c>
      <c r="AT69" s="253">
        <f t="shared" si="54"/>
        <v>3.5333333333333316E-4</v>
      </c>
      <c r="AU69" s="255">
        <f t="shared" si="30"/>
        <v>3.5333333333333314E-2</v>
      </c>
      <c r="AW69" s="258">
        <f>(((IF($P$5&lt;&gt;0,$P$5,IF($P$6&lt;&gt;0,$P$6,IF($P$7&lt;&gt;0,$P$7,0))))/(12*$P$19))+(((3*$P$15)/(2*(IF($P$5&lt;&gt;0,$P$5,IF($P$6&lt;&gt;0,$P$6,IF($P$7&lt;&gt;0,$P$7,0))))*$U$5*$P$19))*'IN-OUT'!$F$15))*'Burland damage classification'!BA69</f>
        <v>5.286050748813176E-3</v>
      </c>
      <c r="AX69" s="254">
        <f>(1+(((IF($P$5&lt;&gt;0,$P$5^2,IF($P$6&lt;&gt;0,$P$6^2,IF($P$7&lt;&gt;0,$P$7^2))))*$U$5)/(18*$P$15))*('IN-OUT'!$F$15^(-1)))*BB69</f>
        <v>1.9778554995585934E-3</v>
      </c>
      <c r="AY69" s="254">
        <f t="shared" si="90"/>
        <v>1.9778554995585934E-3</v>
      </c>
      <c r="AZ69" s="254">
        <f t="shared" si="31"/>
        <v>0.19778554995585934</v>
      </c>
      <c r="BA69" s="254">
        <f t="shared" si="55"/>
        <v>1.6466666666666635E-3</v>
      </c>
      <c r="BB69" s="270">
        <f t="shared" si="8"/>
        <v>1.8722535440835286E-3</v>
      </c>
      <c r="BC69" s="253">
        <f t="shared" si="56"/>
        <v>3.5333333333333316E-4</v>
      </c>
      <c r="BD69" s="255">
        <f t="shared" si="32"/>
        <v>3.5333333333333314E-2</v>
      </c>
      <c r="BI69" s="248"/>
      <c r="BO69" s="258" t="e">
        <f>((((IF($Q$5=0,$Q$6,$Q$5)))/(12*$Q$19))+(((3*$Q$15)/(2*IF($Q$5=0,$Q$6,$Q$5)*$U$5*$Q$19))*'IN-OUT'!$F$15))*'Burland damage classification'!BS69</f>
        <v>#DIV/0!</v>
      </c>
      <c r="BP69" s="262">
        <f>(1+(((IF($Q$5=0,$Q$6^2,$Q$5^2))*$U$5)/(18*$Q$15))*('IN-OUT'!$F$15^(-1)))*BT69</f>
        <v>3.5543400700176875E-4</v>
      </c>
      <c r="BQ69" s="254" t="e">
        <f t="shared" si="11"/>
        <v>#DIV/0!</v>
      </c>
      <c r="BR69" s="254" t="e">
        <f t="shared" si="35"/>
        <v>#DIV/0!</v>
      </c>
      <c r="BS69" s="254">
        <f t="shared" si="59"/>
        <v>1.4666666666666726E-4</v>
      </c>
      <c r="BT69" s="253">
        <f t="shared" si="82"/>
        <v>3.5543400700176875E-4</v>
      </c>
      <c r="BU69" s="253">
        <f t="shared" si="60"/>
        <v>3.5333333333333316E-4</v>
      </c>
      <c r="BV69" s="255">
        <f t="shared" si="36"/>
        <v>3.5333333333333314E-2</v>
      </c>
      <c r="BX69" s="258" t="e">
        <f>((((IF($Q$5=0,$Q$6,$Q$5)))/(12*$Q$19))+(((3*$Q$15)/(2*IF($Q$5=0,$Q$6,$Q$5)*$U$5*$Q$19))*'IN-OUT'!$F$15))*'Burland damage classification'!CB69</f>
        <v>#DIV/0!</v>
      </c>
      <c r="BY69" s="262">
        <f>(1+(((IF($Q$5=0,$Q$6^2,$Q$5^2))*$U$5)/(18*$Q$15))*('IN-OUT'!$F$15^(-1)))*CC69</f>
        <v>8.6756363839586245E-4</v>
      </c>
      <c r="BZ69" s="254" t="e">
        <f t="shared" si="13"/>
        <v>#DIV/0!</v>
      </c>
      <c r="CA69" s="254" t="e">
        <f t="shared" si="37"/>
        <v>#DIV/0!</v>
      </c>
      <c r="CB69" s="254">
        <f t="shared" si="61"/>
        <v>6.4666666666666735E-4</v>
      </c>
      <c r="CC69" s="253">
        <f t="shared" si="83"/>
        <v>8.6756363839586245E-4</v>
      </c>
      <c r="CD69" s="253">
        <f t="shared" si="62"/>
        <v>3.5333333333333316E-4</v>
      </c>
      <c r="CE69" s="255">
        <f t="shared" si="38"/>
        <v>3.5333333333333314E-2</v>
      </c>
      <c r="CG69" s="258" t="e">
        <f>((((IF($Q$5=0,$Q$6,$Q$5)))/(12*$Q$19))+(((3*$Q$15)/(2*IF($Q$5=0,$Q$6,$Q$5)*$U$5*$Q$19))*'IN-OUT'!$F$15))*'Burland damage classification'!CK69</f>
        <v>#DIV/0!</v>
      </c>
      <c r="CH69" s="262">
        <f>(1+(((IF($Q$5=0,$Q$6^2,$Q$5^2))*$U$5)/(18*$Q$15))*('IN-OUT'!$F$15^(-1)))*CL69</f>
        <v>1.8722535440835286E-3</v>
      </c>
      <c r="CI69" s="254" t="e">
        <f t="shared" si="15"/>
        <v>#DIV/0!</v>
      </c>
      <c r="CJ69" s="254" t="e">
        <f t="shared" si="39"/>
        <v>#DIV/0!</v>
      </c>
      <c r="CK69" s="254">
        <f t="shared" si="63"/>
        <v>1.6466666666666635E-3</v>
      </c>
      <c r="CL69" s="270">
        <f t="shared" si="16"/>
        <v>1.8722535440835286E-3</v>
      </c>
      <c r="CM69" s="253">
        <f t="shared" si="64"/>
        <v>3.5333333333333316E-4</v>
      </c>
      <c r="CN69" s="255">
        <f t="shared" si="40"/>
        <v>3.5333333333333314E-2</v>
      </c>
      <c r="CS69" s="248"/>
      <c r="CY69" s="258" t="e">
        <f>((((IF($R$5=0,$R$6,$R$5)))/(12*$R$19))+(((3*$R$15)/(2*IF($R$5=0,$R$6,$R$5)*$U$5*$R$19))*'IN-OUT'!$F$15))*'Burland damage classification'!DC69</f>
        <v>#DIV/0!</v>
      </c>
      <c r="CZ69" s="262">
        <f>(1+(((IF($R$5=0,$R$6^2,$R$5^2))*$U$5)/(18*$R$15))*('IN-OUT'!$F$15^(-1)))*DD69</f>
        <v>3.5543400700176875E-4</v>
      </c>
      <c r="DA69" s="254" t="e">
        <f t="shared" si="19"/>
        <v>#DIV/0!</v>
      </c>
      <c r="DB69" s="254" t="e">
        <f t="shared" si="43"/>
        <v>#DIV/0!</v>
      </c>
      <c r="DC69" s="254">
        <f t="shared" si="67"/>
        <v>1.4666666666666726E-4</v>
      </c>
      <c r="DD69" s="253">
        <f t="shared" si="86"/>
        <v>3.5543400700176875E-4</v>
      </c>
      <c r="DE69" s="253">
        <f t="shared" si="68"/>
        <v>3.5333333333333316E-4</v>
      </c>
      <c r="DF69" s="255">
        <f t="shared" si="44"/>
        <v>3.5333333333333314E-2</v>
      </c>
      <c r="DH69" s="258" t="e">
        <f>((((IF($R$5=0,$R$6,$R$5)))/(12*$R$19))+(((3*$R$15)/(2*IF($R$5=0,$R$6,$R$5)*$U$5*$R$19))*'IN-OUT'!$F$15))*'Burland damage classification'!DL69</f>
        <v>#DIV/0!</v>
      </c>
      <c r="DI69" s="262">
        <f>(1+(((IF($R$5=0,$R$6^2,$R$5^2))*$U$5)/(18*$R$15))*('IN-OUT'!$F$15^(-1)))*DM69</f>
        <v>8.6756363839586245E-4</v>
      </c>
      <c r="DJ69" s="254" t="e">
        <f t="shared" si="21"/>
        <v>#DIV/0!</v>
      </c>
      <c r="DK69" s="254" t="e">
        <f t="shared" si="45"/>
        <v>#DIV/0!</v>
      </c>
      <c r="DL69" s="254">
        <f t="shared" si="69"/>
        <v>6.4666666666666735E-4</v>
      </c>
      <c r="DM69" s="253">
        <f t="shared" si="87"/>
        <v>8.6756363839586245E-4</v>
      </c>
      <c r="DN69" s="253">
        <f t="shared" si="70"/>
        <v>3.5333333333333316E-4</v>
      </c>
      <c r="DO69" s="255">
        <f t="shared" si="46"/>
        <v>3.5333333333333314E-2</v>
      </c>
      <c r="DQ69" s="258" t="e">
        <f>((((IF($R$5=0,$R$6,$R$5)))/(12*$R$19))+(((3*$R$15)/(2*IF($R$5=0,$R$6,$R$5)*$U$5*$R$19))*'IN-OUT'!$F$15))*'Burland damage classification'!DU69</f>
        <v>#DIV/0!</v>
      </c>
      <c r="DR69" s="262">
        <f>(1+(((IF($R$5=0,$R$6^2,$R$5^2))*$U$5)/(18*$R$15))*('IN-OUT'!$F$15^(-1)))*DV69</f>
        <v>1.8722535440835286E-3</v>
      </c>
      <c r="DS69" s="254" t="e">
        <f t="shared" si="23"/>
        <v>#DIV/0!</v>
      </c>
      <c r="DT69" s="254" t="e">
        <f t="shared" si="47"/>
        <v>#DIV/0!</v>
      </c>
      <c r="DU69" s="254">
        <f t="shared" si="71"/>
        <v>1.6466666666666635E-3</v>
      </c>
      <c r="DV69" s="270">
        <f t="shared" si="24"/>
        <v>1.8722535440835286E-3</v>
      </c>
      <c r="DW69" s="253">
        <f t="shared" si="72"/>
        <v>3.5333333333333316E-4</v>
      </c>
      <c r="DX69" s="255">
        <f t="shared" si="48"/>
        <v>3.5333333333333314E-2</v>
      </c>
      <c r="EA69" s="1240"/>
      <c r="EB69" s="1192"/>
      <c r="EC69" s="453">
        <v>5</v>
      </c>
      <c r="ED69" s="454">
        <f>'transversal subsidence profile'!$L$5*EXP(-(EG21^2)/(2*'transversal subsidence profile'!$J$5^2))*100</f>
        <v>0.42073538151100798</v>
      </c>
      <c r="EE69" s="455">
        <f>'transversal subsidence profile'!$L$5*EG21/'transversal subsidence profile'!$B$5*EXP(-(EG21^2)/(2*'transversal subsidence profile'!$J$5^2))*100</f>
        <v>-0.36202919201288686</v>
      </c>
      <c r="EF69" s="456">
        <f>('transversal subsidence profile'!$L$5/'transversal subsidence profile'!$B$5)*(1-((EG21^2)/(('transversal subsidence profile'!$J$5)^2)))*EXP(-(EG21^2)/(2*(('transversal subsidence profile'!$J$5)^2)))*100</f>
        <v>-7.4507160283314638E-2</v>
      </c>
      <c r="EG69" s="457">
        <f>'transversal subsidence profile'!$L$6*EXP(-(((EG21+$DZ$4))^2)/(2*'transversal subsidence profile'!$J$6^2))*100</f>
        <v>2.3861244556966059</v>
      </c>
      <c r="EH69" s="458">
        <f>'transversal subsidence profile'!$L$6*(EG21+$DZ$4)/'transversal subsidence profile'!$F$5*EXP(-((EG21+$DZ$4)^2)/(2*'transversal subsidence profile'!$J$6^2))*100</f>
        <v>-0.46243330563845786</v>
      </c>
      <c r="EI69" s="459">
        <f>('transversal subsidence profile'!$L$6/'transversal subsidence profile'!$F$5)*(1-(EG21+$DZ$4)^2/(('transversal subsidence profile'!$J$6)^2))*EXP(-((EG21+$DZ$4)^2)/(2*(('transversal subsidence profile'!$J$6)^2)))*100</f>
        <v>0.12957042476132477</v>
      </c>
      <c r="EK69" s="564">
        <f>IF('IN-OUT'!$F$26=0,EG69,IF('IN-OUT'!$F$35=0,ED69,ED69+EG69))</f>
        <v>2.8068598372076137</v>
      </c>
      <c r="EL69" s="564">
        <f>IF('IN-OUT'!$F$26=0,EH69,IF('IN-OUT'!$F$35=0,EE69,EE69+EH69))</f>
        <v>-0.82446249765134472</v>
      </c>
      <c r="EM69" s="565">
        <f>IF('IN-OUT'!$F$26=0,EI69,IF('IN-OUT'!$F$35=0,EF69,EF69+EI69))</f>
        <v>5.5063264478010132E-2</v>
      </c>
      <c r="EO69" s="465">
        <f>IF(AND($EK$63=$EK$64,$EK$65&gt;$EK$63),$EK$67-$EK$63,IF(AND($EK$63=$EK$64,$EK$67&lt;$EK$63),$EK$63-$EK$67,0))</f>
        <v>0</v>
      </c>
      <c r="EP69" s="415">
        <f>IF($EK$63&lt;$EK$64,($EK$64-$EK$63)/($EG$10-$EG$9),($EK$63-$EK$64)/($EG$10-$EG$9))</f>
        <v>0.28162036436586074</v>
      </c>
      <c r="EQ69" s="415">
        <f>IF($EK$63&lt;$EK$64,(EA21*$EG$24*$EP$65)+$EK$63,((($EG$10-$EG$9)-($EG$24*EA21))*$EP$65)+$EK$64)</f>
        <v>2.8009125827726962</v>
      </c>
      <c r="ER69" s="415">
        <f>IF(EK63=EK64,0,IF($EQ$69&gt;$EK$69,($EQ$69-$EK$69),($EK$69-$EQ$69)))</f>
        <v>5.9472544349175038E-3</v>
      </c>
      <c r="ES69" s="448">
        <f>MAX(ER69,EO69)</f>
        <v>5.9472544349175038E-3</v>
      </c>
      <c r="FE69" s="681"/>
      <c r="FF69" s="681"/>
    </row>
    <row r="70" spans="20:162">
      <c r="T70" s="262"/>
      <c r="U70" s="262"/>
      <c r="AE70" s="258">
        <f>(((IF($P$5&lt;&gt;0,$P$5,IF($P$6&lt;&gt;0,$P$6,IF($P$7&lt;&gt;0,$P$7,0))))/(12*$P$19))+(((3*$P$15)/(2*(IF($P$5&lt;&gt;0,$P$5,IF($P$6&lt;&gt;0,$P$6,IF($P$7&lt;&gt;0,$P$7,0))))*$U$5*$P$19))*'IN-OUT'!$F$15))*'Burland damage classification'!AI70</f>
        <v>4.4942131872500958E-4</v>
      </c>
      <c r="AF70" s="254">
        <f>(1+(((IF($P$5&lt;&gt;0,$P$5^2,IF($P$6&lt;&gt;0,$P$6^2,IF($P$7&lt;&gt;0,$P$7^2))))*$U$5)/(18*$P$15))*('IN-OUT'!$F$15^(-1)))*AJ70</f>
        <v>3.7199811606284912E-4</v>
      </c>
      <c r="AG70" s="254">
        <f t="shared" si="88"/>
        <v>3.7199811606284912E-4</v>
      </c>
      <c r="AH70" s="254">
        <f t="shared" si="27"/>
        <v>3.719981160628491E-2</v>
      </c>
      <c r="AI70" s="254">
        <f t="shared" si="51"/>
        <v>1.4000000000000058E-4</v>
      </c>
      <c r="AJ70" s="253">
        <f t="shared" si="76"/>
        <v>3.5213633723318026E-4</v>
      </c>
      <c r="AK70" s="253">
        <f t="shared" si="52"/>
        <v>3.5999999999999981E-4</v>
      </c>
      <c r="AL70" s="255">
        <f t="shared" si="28"/>
        <v>3.5999999999999983E-2</v>
      </c>
      <c r="AN70" s="258">
        <f>(((IF($P$5&lt;&gt;0,$P$5,IF($P$6&lt;&gt;0,$P$6,IF($P$7&lt;&gt;0,$P$7,0))))/(12*$P$19))+(((3*$P$15)/(2*(IF($P$5&lt;&gt;0,$P$5,IF($P$6&lt;&gt;0,$P$6,IF($P$7&lt;&gt;0,$P$7,0))))*$U$5*$P$19))*'IN-OUT'!$F$15))*'Burland damage classification'!AR70</f>
        <v>2.0544974570286087E-3</v>
      </c>
      <c r="AO70" s="254">
        <f>(1+(((IF($P$5&lt;&gt;0,$P$5^2,IF($P$6&lt;&gt;0,$P$6^2,IF($P$7&lt;&gt;0,$P$7^2))))*$U$5)/(18*$P$15))*('IN-OUT'!$F$15^(-1)))*AS70</f>
        <v>9.1365176348074555E-4</v>
      </c>
      <c r="AP70" s="254">
        <f t="shared" si="89"/>
        <v>9.1365176348074555E-4</v>
      </c>
      <c r="AQ70" s="254">
        <f t="shared" si="29"/>
        <v>9.1365176348074562E-2</v>
      </c>
      <c r="AR70" s="254">
        <f t="shared" si="53"/>
        <v>6.400000000000007E-4</v>
      </c>
      <c r="AS70" s="253">
        <f t="shared" si="78"/>
        <v>8.6486993241758616E-4</v>
      </c>
      <c r="AT70" s="253">
        <f t="shared" si="54"/>
        <v>3.5999999999999981E-4</v>
      </c>
      <c r="AU70" s="255">
        <f t="shared" si="30"/>
        <v>3.5999999999999983E-2</v>
      </c>
      <c r="AW70" s="258">
        <f>(((IF($P$5&lt;&gt;0,$P$5,IF($P$6&lt;&gt;0,$P$6,IF($P$7&lt;&gt;0,$P$7,0))))/(12*$P$19))+(((3*$P$15)/(2*(IF($P$5&lt;&gt;0,$P$5,IF($P$6&lt;&gt;0,$P$6,IF($P$7&lt;&gt;0,$P$7,0))))*$U$5*$P$19))*'IN-OUT'!$F$15))*'Burland damage classification'!BA70</f>
        <v>5.2646497336357942E-3</v>
      </c>
      <c r="AX70" s="254">
        <f>(1+(((IF($P$5&lt;&gt;0,$P$5^2,IF($P$6&lt;&gt;0,$P$6^2,IF($P$7&lt;&gt;0,$P$7^2))))*$U$5)/(18*$P$15))*('IN-OUT'!$F$15^(-1)))*BB70</f>
        <v>1.9752206161931349E-3</v>
      </c>
      <c r="AY70" s="254">
        <f t="shared" si="90"/>
        <v>1.9752206161931349E-3</v>
      </c>
      <c r="AZ70" s="254">
        <f t="shared" si="31"/>
        <v>0.19752206161931349</v>
      </c>
      <c r="BA70" s="254">
        <f t="shared" si="55"/>
        <v>1.6399999999999967E-3</v>
      </c>
      <c r="BB70" s="270">
        <f t="shared" si="8"/>
        <v>1.8697593428032391E-3</v>
      </c>
      <c r="BC70" s="253">
        <f t="shared" si="56"/>
        <v>3.5999999999999981E-4</v>
      </c>
      <c r="BD70" s="255">
        <f t="shared" si="32"/>
        <v>3.5999999999999983E-2</v>
      </c>
      <c r="BI70" s="248"/>
      <c r="BO70" s="258" t="e">
        <f>((((IF($Q$5=0,$Q$6,$Q$5)))/(12*$Q$19))+(((3*$Q$15)/(2*IF($Q$5=0,$Q$6,$Q$5)*$U$5*$Q$19))*'IN-OUT'!$F$15))*'Burland damage classification'!BS70</f>
        <v>#DIV/0!</v>
      </c>
      <c r="BP70" s="262">
        <f>(1+(((IF($Q$5=0,$Q$6^2,$Q$5^2))*$U$5)/(18*$Q$15))*('IN-OUT'!$F$15^(-1)))*BT70</f>
        <v>3.5213633723318026E-4</v>
      </c>
      <c r="BQ70" s="254" t="e">
        <f t="shared" si="11"/>
        <v>#DIV/0!</v>
      </c>
      <c r="BR70" s="254" t="e">
        <f t="shared" si="35"/>
        <v>#DIV/0!</v>
      </c>
      <c r="BS70" s="254">
        <f t="shared" si="59"/>
        <v>1.4000000000000058E-4</v>
      </c>
      <c r="BT70" s="253">
        <f t="shared" si="82"/>
        <v>3.5213633723318026E-4</v>
      </c>
      <c r="BU70" s="253">
        <f t="shared" si="60"/>
        <v>3.5999999999999981E-4</v>
      </c>
      <c r="BV70" s="255">
        <f t="shared" si="36"/>
        <v>3.5999999999999983E-2</v>
      </c>
      <c r="BX70" s="258" t="e">
        <f>((((IF($Q$5=0,$Q$6,$Q$5)))/(12*$Q$19))+(((3*$Q$15)/(2*IF($Q$5=0,$Q$6,$Q$5)*$U$5*$Q$19))*'IN-OUT'!$F$15))*'Burland damage classification'!CB70</f>
        <v>#DIV/0!</v>
      </c>
      <c r="BY70" s="262">
        <f>(1+(((IF($Q$5=0,$Q$6^2,$Q$5^2))*$U$5)/(18*$Q$15))*('IN-OUT'!$F$15^(-1)))*CC70</f>
        <v>8.6486993241758616E-4</v>
      </c>
      <c r="BZ70" s="254" t="e">
        <f t="shared" si="13"/>
        <v>#DIV/0!</v>
      </c>
      <c r="CA70" s="254" t="e">
        <f t="shared" si="37"/>
        <v>#DIV/0!</v>
      </c>
      <c r="CB70" s="254">
        <f t="shared" si="61"/>
        <v>6.400000000000007E-4</v>
      </c>
      <c r="CC70" s="253">
        <f t="shared" si="83"/>
        <v>8.6486993241758616E-4</v>
      </c>
      <c r="CD70" s="253">
        <f t="shared" si="62"/>
        <v>3.5999999999999981E-4</v>
      </c>
      <c r="CE70" s="255">
        <f t="shared" si="38"/>
        <v>3.5999999999999983E-2</v>
      </c>
      <c r="CG70" s="258" t="e">
        <f>((((IF($Q$5=0,$Q$6,$Q$5)))/(12*$Q$19))+(((3*$Q$15)/(2*IF($Q$5=0,$Q$6,$Q$5)*$U$5*$Q$19))*'IN-OUT'!$F$15))*'Burland damage classification'!CK70</f>
        <v>#DIV/0!</v>
      </c>
      <c r="CH70" s="262">
        <f>(1+(((IF($Q$5=0,$Q$6^2,$Q$5^2))*$U$5)/(18*$Q$15))*('IN-OUT'!$F$15^(-1)))*CL70</f>
        <v>1.8697593428032391E-3</v>
      </c>
      <c r="CI70" s="254" t="e">
        <f t="shared" si="15"/>
        <v>#DIV/0!</v>
      </c>
      <c r="CJ70" s="254" t="e">
        <f t="shared" si="39"/>
        <v>#DIV/0!</v>
      </c>
      <c r="CK70" s="254">
        <f t="shared" si="63"/>
        <v>1.6399999999999967E-3</v>
      </c>
      <c r="CL70" s="270">
        <f t="shared" si="16"/>
        <v>1.8697593428032391E-3</v>
      </c>
      <c r="CM70" s="253">
        <f t="shared" si="64"/>
        <v>3.5999999999999981E-4</v>
      </c>
      <c r="CN70" s="255">
        <f t="shared" si="40"/>
        <v>3.5999999999999983E-2</v>
      </c>
      <c r="CS70" s="248"/>
      <c r="CY70" s="258" t="e">
        <f>((((IF($R$5=0,$R$6,$R$5)))/(12*$R$19))+(((3*$R$15)/(2*IF($R$5=0,$R$6,$R$5)*$U$5*$R$19))*'IN-OUT'!$F$15))*'Burland damage classification'!DC70</f>
        <v>#DIV/0!</v>
      </c>
      <c r="CZ70" s="262">
        <f>(1+(((IF($R$5=0,$R$6^2,$R$5^2))*$U$5)/(18*$R$15))*('IN-OUT'!$F$15^(-1)))*DD70</f>
        <v>3.5213633723318026E-4</v>
      </c>
      <c r="DA70" s="254" t="e">
        <f t="shared" si="19"/>
        <v>#DIV/0!</v>
      </c>
      <c r="DB70" s="254" t="e">
        <f t="shared" si="43"/>
        <v>#DIV/0!</v>
      </c>
      <c r="DC70" s="254">
        <f t="shared" si="67"/>
        <v>1.4000000000000058E-4</v>
      </c>
      <c r="DD70" s="253">
        <f t="shared" si="86"/>
        <v>3.5213633723318026E-4</v>
      </c>
      <c r="DE70" s="253">
        <f t="shared" si="68"/>
        <v>3.5999999999999981E-4</v>
      </c>
      <c r="DF70" s="255">
        <f t="shared" si="44"/>
        <v>3.5999999999999983E-2</v>
      </c>
      <c r="DH70" s="258" t="e">
        <f>((((IF($R$5=0,$R$6,$R$5)))/(12*$R$19))+(((3*$R$15)/(2*IF($R$5=0,$R$6,$R$5)*$U$5*$R$19))*'IN-OUT'!$F$15))*'Burland damage classification'!DL70</f>
        <v>#DIV/0!</v>
      </c>
      <c r="DI70" s="262">
        <f>(1+(((IF($R$5=0,$R$6^2,$R$5^2))*$U$5)/(18*$R$15))*('IN-OUT'!$F$15^(-1)))*DM70</f>
        <v>8.6486993241758616E-4</v>
      </c>
      <c r="DJ70" s="254" t="e">
        <f t="shared" si="21"/>
        <v>#DIV/0!</v>
      </c>
      <c r="DK70" s="254" t="e">
        <f t="shared" si="45"/>
        <v>#DIV/0!</v>
      </c>
      <c r="DL70" s="254">
        <f t="shared" si="69"/>
        <v>6.400000000000007E-4</v>
      </c>
      <c r="DM70" s="253">
        <f t="shared" si="87"/>
        <v>8.6486993241758616E-4</v>
      </c>
      <c r="DN70" s="253">
        <f t="shared" si="70"/>
        <v>3.5999999999999981E-4</v>
      </c>
      <c r="DO70" s="255">
        <f t="shared" si="46"/>
        <v>3.5999999999999983E-2</v>
      </c>
      <c r="DQ70" s="258" t="e">
        <f>((((IF($R$5=0,$R$6,$R$5)))/(12*$R$19))+(((3*$R$15)/(2*IF($R$5=0,$R$6,$R$5)*$U$5*$R$19))*'IN-OUT'!$F$15))*'Burland damage classification'!DU70</f>
        <v>#DIV/0!</v>
      </c>
      <c r="DR70" s="262">
        <f>(1+(((IF($R$5=0,$R$6^2,$R$5^2))*$U$5)/(18*$R$15))*('IN-OUT'!$F$15^(-1)))*DV70</f>
        <v>1.8697593428032391E-3</v>
      </c>
      <c r="DS70" s="254" t="e">
        <f t="shared" si="23"/>
        <v>#DIV/0!</v>
      </c>
      <c r="DT70" s="254" t="e">
        <f t="shared" si="47"/>
        <v>#DIV/0!</v>
      </c>
      <c r="DU70" s="254">
        <f t="shared" si="71"/>
        <v>1.6399999999999967E-3</v>
      </c>
      <c r="DV70" s="270">
        <f t="shared" si="24"/>
        <v>1.8697593428032391E-3</v>
      </c>
      <c r="DW70" s="253">
        <f t="shared" si="72"/>
        <v>3.5999999999999981E-4</v>
      </c>
      <c r="DX70" s="255">
        <f t="shared" si="48"/>
        <v>3.5999999999999983E-2</v>
      </c>
      <c r="EA70" s="1240"/>
      <c r="EK70" s="340"/>
      <c r="EL70" s="340"/>
      <c r="EM70" s="340"/>
      <c r="FE70" s="681"/>
      <c r="FF70" s="681"/>
    </row>
    <row r="71" spans="20:162" ht="13.8" thickBot="1">
      <c r="U71" s="262"/>
      <c r="AE71" s="258">
        <f>(((IF($P$5&lt;&gt;0,$P$5,IF($P$6&lt;&gt;0,$P$6,IF($P$7&lt;&gt;0,$P$7,0))))/(12*$P$19))+(((3*$P$15)/(2*(IF($P$5&lt;&gt;0,$P$5,IF($P$6&lt;&gt;0,$P$6,IF($P$7&lt;&gt;0,$P$7,0))))*$U$5*$P$19))*'IN-OUT'!$F$15))*'Burland damage classification'!AI71</f>
        <v>4.2802030354762826E-4</v>
      </c>
      <c r="AF71" s="254">
        <f>(1+(((IF($P$5&lt;&gt;0,$P$5^2,IF($P$6&lt;&gt;0,$P$6^2,IF($P$7&lt;&gt;0,$P$7^2))))*$U$5)/(18*$P$15))*('IN-OUT'!$F$15^(-1)))*AJ71</f>
        <v>3.6848151205910219E-4</v>
      </c>
      <c r="AG71" s="254">
        <f t="shared" si="88"/>
        <v>3.6848151205910219E-4</v>
      </c>
      <c r="AH71" s="254">
        <f t="shared" si="27"/>
        <v>3.6848151205910222E-2</v>
      </c>
      <c r="AI71" s="254">
        <f t="shared" si="51"/>
        <v>1.3333333333333391E-4</v>
      </c>
      <c r="AJ71" s="253">
        <f t="shared" si="76"/>
        <v>3.4880749227427258E-4</v>
      </c>
      <c r="AK71" s="253">
        <f t="shared" si="52"/>
        <v>3.6666666666666645E-4</v>
      </c>
      <c r="AL71" s="255">
        <f t="shared" si="28"/>
        <v>3.6666666666666646E-2</v>
      </c>
      <c r="AN71" s="258">
        <f>(((IF($P$5&lt;&gt;0,$P$5,IF($P$6&lt;&gt;0,$P$6,IF($P$7&lt;&gt;0,$P$7,0))))/(12*$P$19))+(((3*$P$15)/(2*(IF($P$5&lt;&gt;0,$P$5,IF($P$6&lt;&gt;0,$P$6,IF($P$7&lt;&gt;0,$P$7,0))))*$U$5*$P$19))*'IN-OUT'!$F$15))*'Burland damage classification'!AR71</f>
        <v>2.0330964418512278E-3</v>
      </c>
      <c r="AO71" s="254">
        <f>(1+(((IF($P$5&lt;&gt;0,$P$5^2,IF($P$6&lt;&gt;0,$P$6^2,IF($P$7&lt;&gt;0,$P$7^2))))*$U$5)/(18*$P$15))*('IN-OUT'!$F$15^(-1)))*AS71</f>
        <v>9.1079723191365872E-4</v>
      </c>
      <c r="AP71" s="254">
        <f t="shared" si="89"/>
        <v>9.1079723191365872E-4</v>
      </c>
      <c r="AQ71" s="254">
        <f t="shared" si="29"/>
        <v>9.1079723191365869E-2</v>
      </c>
      <c r="AR71" s="254">
        <f t="shared" si="53"/>
        <v>6.3333333333333405E-4</v>
      </c>
      <c r="AS71" s="253">
        <f t="shared" si="78"/>
        <v>8.6216781042517093E-4</v>
      </c>
      <c r="AT71" s="253">
        <f t="shared" si="54"/>
        <v>3.6666666666666645E-4</v>
      </c>
      <c r="AU71" s="255">
        <f t="shared" si="30"/>
        <v>3.6666666666666646E-2</v>
      </c>
      <c r="AW71" s="258">
        <f>(((IF($P$5&lt;&gt;0,$P$5,IF($P$6&lt;&gt;0,$P$6,IF($P$7&lt;&gt;0,$P$7,0))))/(12*$P$19))+(((3*$P$15)/(2*(IF($P$5&lt;&gt;0,$P$5,IF($P$6&lt;&gt;0,$P$6,IF($P$7&lt;&gt;0,$P$7,0))))*$U$5*$P$19))*'IN-OUT'!$F$15))*'Burland damage classification'!BA71</f>
        <v>5.2432487184584124E-3</v>
      </c>
      <c r="AX71" s="254">
        <f>(1+(((IF($P$5&lt;&gt;0,$P$5^2,IF($P$6&lt;&gt;0,$P$6^2,IF($P$7&lt;&gt;0,$P$7^2))))*$U$5)/(18*$P$15))*('IN-OUT'!$F$15^(-1)))*BB71</f>
        <v>1.9725822132764452E-3</v>
      </c>
      <c r="AY71" s="254">
        <f t="shared" si="90"/>
        <v>1.9725822132764452E-3</v>
      </c>
      <c r="AZ71" s="254">
        <f t="shared" si="31"/>
        <v>0.19725822132764451</v>
      </c>
      <c r="BA71" s="254">
        <f t="shared" si="55"/>
        <v>1.63333333333333E-3</v>
      </c>
      <c r="BB71" s="270">
        <f t="shared" si="8"/>
        <v>1.8672618098881223E-3</v>
      </c>
      <c r="BC71" s="253">
        <f t="shared" si="56"/>
        <v>3.6666666666666645E-4</v>
      </c>
      <c r="BD71" s="255">
        <f t="shared" si="32"/>
        <v>3.6666666666666646E-2</v>
      </c>
      <c r="BI71" s="248"/>
      <c r="BO71" s="258" t="e">
        <f>((((IF($Q$5=0,$Q$6,$Q$5)))/(12*$Q$19))+(((3*$Q$15)/(2*IF($Q$5=0,$Q$6,$Q$5)*$U$5*$Q$19))*'IN-OUT'!$F$15))*'Burland damage classification'!BS71</f>
        <v>#DIV/0!</v>
      </c>
      <c r="BP71" s="262">
        <f>(1+(((IF($Q$5=0,$Q$6^2,$Q$5^2))*$U$5)/(18*$Q$15))*('IN-OUT'!$F$15^(-1)))*BT71</f>
        <v>3.4880749227427258E-4</v>
      </c>
      <c r="BQ71" s="254" t="e">
        <f t="shared" si="11"/>
        <v>#DIV/0!</v>
      </c>
      <c r="BR71" s="254" t="e">
        <f t="shared" si="35"/>
        <v>#DIV/0!</v>
      </c>
      <c r="BS71" s="254">
        <f t="shared" si="59"/>
        <v>1.3333333333333391E-4</v>
      </c>
      <c r="BT71" s="253">
        <f t="shared" si="82"/>
        <v>3.4880749227427258E-4</v>
      </c>
      <c r="BU71" s="253">
        <f t="shared" si="60"/>
        <v>3.6666666666666645E-4</v>
      </c>
      <c r="BV71" s="255">
        <f t="shared" si="36"/>
        <v>3.6666666666666646E-2</v>
      </c>
      <c r="BX71" s="258" t="e">
        <f>((((IF($Q$5=0,$Q$6,$Q$5)))/(12*$Q$19))+(((3*$Q$15)/(2*IF($Q$5=0,$Q$6,$Q$5)*$U$5*$Q$19))*'IN-OUT'!$F$15))*'Burland damage classification'!CB71</f>
        <v>#DIV/0!</v>
      </c>
      <c r="BY71" s="262">
        <f>(1+(((IF($Q$5=0,$Q$6^2,$Q$5^2))*$U$5)/(18*$Q$15))*('IN-OUT'!$F$15^(-1)))*CC71</f>
        <v>8.6216781042517093E-4</v>
      </c>
      <c r="BZ71" s="254" t="e">
        <f t="shared" si="13"/>
        <v>#DIV/0!</v>
      </c>
      <c r="CA71" s="254" t="e">
        <f t="shared" si="37"/>
        <v>#DIV/0!</v>
      </c>
      <c r="CB71" s="254">
        <f t="shared" si="61"/>
        <v>6.3333333333333405E-4</v>
      </c>
      <c r="CC71" s="253">
        <f t="shared" si="83"/>
        <v>8.6216781042517093E-4</v>
      </c>
      <c r="CD71" s="253">
        <f t="shared" si="62"/>
        <v>3.6666666666666645E-4</v>
      </c>
      <c r="CE71" s="255">
        <f t="shared" si="38"/>
        <v>3.6666666666666646E-2</v>
      </c>
      <c r="CG71" s="258" t="e">
        <f>((((IF($Q$5=0,$Q$6,$Q$5)))/(12*$Q$19))+(((3*$Q$15)/(2*IF($Q$5=0,$Q$6,$Q$5)*$U$5*$Q$19))*'IN-OUT'!$F$15))*'Burland damage classification'!CK71</f>
        <v>#DIV/0!</v>
      </c>
      <c r="CH71" s="262">
        <f>(1+(((IF($Q$5=0,$Q$6^2,$Q$5^2))*$U$5)/(18*$Q$15))*('IN-OUT'!$F$15^(-1)))*CL71</f>
        <v>1.8672618098881223E-3</v>
      </c>
      <c r="CI71" s="254" t="e">
        <f t="shared" si="15"/>
        <v>#DIV/0!</v>
      </c>
      <c r="CJ71" s="254" t="e">
        <f t="shared" si="39"/>
        <v>#DIV/0!</v>
      </c>
      <c r="CK71" s="254">
        <f t="shared" si="63"/>
        <v>1.63333333333333E-3</v>
      </c>
      <c r="CL71" s="270">
        <f t="shared" si="16"/>
        <v>1.8672618098881223E-3</v>
      </c>
      <c r="CM71" s="253">
        <f t="shared" si="64"/>
        <v>3.6666666666666645E-4</v>
      </c>
      <c r="CN71" s="255">
        <f t="shared" si="40"/>
        <v>3.6666666666666646E-2</v>
      </c>
      <c r="CS71" s="248"/>
      <c r="CY71" s="258" t="e">
        <f>((((IF($R$5=0,$R$6,$R$5)))/(12*$R$19))+(((3*$R$15)/(2*IF($R$5=0,$R$6,$R$5)*$U$5*$R$19))*'IN-OUT'!$F$15))*'Burland damage classification'!DC71</f>
        <v>#DIV/0!</v>
      </c>
      <c r="CZ71" s="262">
        <f>(1+(((IF($R$5=0,$R$6^2,$R$5^2))*$U$5)/(18*$R$15))*('IN-OUT'!$F$15^(-1)))*DD71</f>
        <v>3.4880749227427258E-4</v>
      </c>
      <c r="DA71" s="254" t="e">
        <f t="shared" si="19"/>
        <v>#DIV/0!</v>
      </c>
      <c r="DB71" s="254" t="e">
        <f t="shared" si="43"/>
        <v>#DIV/0!</v>
      </c>
      <c r="DC71" s="254">
        <f t="shared" si="67"/>
        <v>1.3333333333333391E-4</v>
      </c>
      <c r="DD71" s="253">
        <f t="shared" si="86"/>
        <v>3.4880749227427258E-4</v>
      </c>
      <c r="DE71" s="253">
        <f t="shared" si="68"/>
        <v>3.6666666666666645E-4</v>
      </c>
      <c r="DF71" s="255">
        <f t="shared" si="44"/>
        <v>3.6666666666666646E-2</v>
      </c>
      <c r="DH71" s="258" t="e">
        <f>((((IF($R$5=0,$R$6,$R$5)))/(12*$R$19))+(((3*$R$15)/(2*IF($R$5=0,$R$6,$R$5)*$U$5*$R$19))*'IN-OUT'!$F$15))*'Burland damage classification'!DL71</f>
        <v>#DIV/0!</v>
      </c>
      <c r="DI71" s="262">
        <f>(1+(((IF($R$5=0,$R$6^2,$R$5^2))*$U$5)/(18*$R$15))*('IN-OUT'!$F$15^(-1)))*DM71</f>
        <v>8.6216781042517093E-4</v>
      </c>
      <c r="DJ71" s="254" t="e">
        <f t="shared" si="21"/>
        <v>#DIV/0!</v>
      </c>
      <c r="DK71" s="254" t="e">
        <f t="shared" si="45"/>
        <v>#DIV/0!</v>
      </c>
      <c r="DL71" s="254">
        <f t="shared" si="69"/>
        <v>6.3333333333333405E-4</v>
      </c>
      <c r="DM71" s="253">
        <f t="shared" si="87"/>
        <v>8.6216781042517093E-4</v>
      </c>
      <c r="DN71" s="253">
        <f t="shared" si="70"/>
        <v>3.6666666666666645E-4</v>
      </c>
      <c r="DO71" s="255">
        <f t="shared" si="46"/>
        <v>3.6666666666666646E-2</v>
      </c>
      <c r="DQ71" s="258" t="e">
        <f>((((IF($R$5=0,$R$6,$R$5)))/(12*$R$19))+(((3*$R$15)/(2*IF($R$5=0,$R$6,$R$5)*$U$5*$R$19))*'IN-OUT'!$F$15))*'Burland damage classification'!DU71</f>
        <v>#DIV/0!</v>
      </c>
      <c r="DR71" s="262">
        <f>(1+(((IF($R$5=0,$R$6^2,$R$5^2))*$U$5)/(18*$R$15))*('IN-OUT'!$F$15^(-1)))*DV71</f>
        <v>1.8672618098881223E-3</v>
      </c>
      <c r="DS71" s="254" t="e">
        <f t="shared" si="23"/>
        <v>#DIV/0!</v>
      </c>
      <c r="DT71" s="254" t="e">
        <f t="shared" si="47"/>
        <v>#DIV/0!</v>
      </c>
      <c r="DU71" s="254">
        <f t="shared" si="71"/>
        <v>1.63333333333333E-3</v>
      </c>
      <c r="DV71" s="270">
        <f t="shared" si="24"/>
        <v>1.8672618098881223E-3</v>
      </c>
      <c r="DW71" s="253">
        <f t="shared" si="72"/>
        <v>3.6666666666666645E-4</v>
      </c>
      <c r="DX71" s="255">
        <f t="shared" si="48"/>
        <v>3.6666666666666646E-2</v>
      </c>
      <c r="EA71" s="1240"/>
      <c r="EK71" s="340"/>
      <c r="EL71" s="340"/>
      <c r="EM71" s="340"/>
      <c r="FE71" s="681"/>
      <c r="FF71" s="681"/>
    </row>
    <row r="72" spans="20:162" ht="13.8" thickBot="1">
      <c r="U72" s="262"/>
      <c r="AE72" s="258">
        <f>(((IF($P$5&lt;&gt;0,$P$5,IF($P$6&lt;&gt;0,$P$6,IF($P$7&lt;&gt;0,$P$7,0))))/(12*$P$19))+(((3*$P$15)/(2*(IF($P$5&lt;&gt;0,$P$5,IF($P$6&lt;&gt;0,$P$6,IF($P$7&lt;&gt;0,$P$7,0))))*$U$5*$P$19))*'IN-OUT'!$F$15))*'Burland damage classification'!AI72</f>
        <v>4.0661928837024689E-4</v>
      </c>
      <c r="AF72" s="254">
        <f>(1+(((IF($P$5&lt;&gt;0,$P$5^2,IF($P$6&lt;&gt;0,$P$6^2,IF($P$7&lt;&gt;0,$P$7^2))))*$U$5)/(18*$P$15))*('IN-OUT'!$F$15^(-1)))*AJ72</f>
        <v>3.64931022392473E-4</v>
      </c>
      <c r="AG72" s="254">
        <f t="shared" si="88"/>
        <v>3.64931022392473E-4</v>
      </c>
      <c r="AH72" s="254">
        <f t="shared" si="27"/>
        <v>3.6493102239247302E-2</v>
      </c>
      <c r="AI72" s="254">
        <f t="shared" si="51"/>
        <v>1.2666666666666723E-4</v>
      </c>
      <c r="AJ72" s="253">
        <f t="shared" si="76"/>
        <v>3.4544657088084315E-4</v>
      </c>
      <c r="AK72" s="253">
        <f t="shared" si="52"/>
        <v>3.733333333333331E-4</v>
      </c>
      <c r="AL72" s="255">
        <f t="shared" si="28"/>
        <v>3.7333333333333309E-2</v>
      </c>
      <c r="AN72" s="258">
        <f>(((IF($P$5&lt;&gt;0,$P$5,IF($P$6&lt;&gt;0,$P$6,IF($P$7&lt;&gt;0,$P$7,0))))/(12*$P$19))+(((3*$P$15)/(2*(IF($P$5&lt;&gt;0,$P$5,IF($P$6&lt;&gt;0,$P$6,IF($P$7&lt;&gt;0,$P$7,0))))*$U$5*$P$19))*'IN-OUT'!$F$15))*'Burland damage classification'!AR72</f>
        <v>2.0116954266738464E-3</v>
      </c>
      <c r="AO72" s="254">
        <f>(1+(((IF($P$5&lt;&gt;0,$P$5^2,IF($P$6&lt;&gt;0,$P$6^2,IF($P$7&lt;&gt;0,$P$7^2))))*$U$5)/(18*$P$15))*('IN-OUT'!$F$15^(-1)))*AS72</f>
        <v>9.0793372578161773E-4</v>
      </c>
      <c r="AP72" s="254">
        <f t="shared" si="89"/>
        <v>9.0793372578161773E-4</v>
      </c>
      <c r="AQ72" s="254">
        <f t="shared" si="29"/>
        <v>9.079337257816178E-2</v>
      </c>
      <c r="AR72" s="254">
        <f t="shared" si="53"/>
        <v>6.2666666666666741E-4</v>
      </c>
      <c r="AS72" s="253">
        <f t="shared" si="78"/>
        <v>8.5945719303911052E-4</v>
      </c>
      <c r="AT72" s="253">
        <f t="shared" si="54"/>
        <v>3.733333333333331E-4</v>
      </c>
      <c r="AU72" s="255">
        <f t="shared" si="30"/>
        <v>3.7333333333333309E-2</v>
      </c>
      <c r="AW72" s="258">
        <f>(((IF($P$5&lt;&gt;0,$P$5,IF($P$6&lt;&gt;0,$P$6,IF($P$7&lt;&gt;0,$P$7,0))))/(12*$P$19))+(((3*$P$15)/(2*(IF($P$5&lt;&gt;0,$P$5,IF($P$6&lt;&gt;0,$P$6,IF($P$7&lt;&gt;0,$P$7,0))))*$U$5*$P$19))*'IN-OUT'!$F$15))*'Burland damage classification'!BA72</f>
        <v>5.2218477032810306E-3</v>
      </c>
      <c r="AX72" s="254">
        <f>(1+(((IF($P$5&lt;&gt;0,$P$5^2,IF($P$6&lt;&gt;0,$P$6^2,IF($P$7&lt;&gt;0,$P$7^2))))*$U$5)/(18*$P$15))*('IN-OUT'!$F$15^(-1)))*BB72</f>
        <v>1.9699402766669891E-3</v>
      </c>
      <c r="AY72" s="254">
        <f t="shared" si="90"/>
        <v>1.9699402766669891E-3</v>
      </c>
      <c r="AZ72" s="254">
        <f t="shared" si="31"/>
        <v>0.19699402766669891</v>
      </c>
      <c r="BA72" s="254">
        <f t="shared" si="55"/>
        <v>1.6266666666666632E-3</v>
      </c>
      <c r="BB72" s="270">
        <f t="shared" si="8"/>
        <v>1.8647609319516895E-3</v>
      </c>
      <c r="BC72" s="253">
        <f t="shared" si="56"/>
        <v>3.733333333333331E-4</v>
      </c>
      <c r="BD72" s="255">
        <f t="shared" si="32"/>
        <v>3.7333333333333309E-2</v>
      </c>
      <c r="BI72" s="248"/>
      <c r="BO72" s="258" t="e">
        <f>((((IF($Q$5=0,$Q$6,$Q$5)))/(12*$Q$19))+(((3*$Q$15)/(2*IF($Q$5=0,$Q$6,$Q$5)*$U$5*$Q$19))*'IN-OUT'!$F$15))*'Burland damage classification'!BS72</f>
        <v>#DIV/0!</v>
      </c>
      <c r="BP72" s="262">
        <f>(1+(((IF($Q$5=0,$Q$6^2,$Q$5^2))*$U$5)/(18*$Q$15))*('IN-OUT'!$F$15^(-1)))*BT72</f>
        <v>3.4544657088084315E-4</v>
      </c>
      <c r="BQ72" s="254" t="e">
        <f t="shared" si="11"/>
        <v>#DIV/0!</v>
      </c>
      <c r="BR72" s="254" t="e">
        <f t="shared" si="35"/>
        <v>#DIV/0!</v>
      </c>
      <c r="BS72" s="254">
        <f t="shared" si="59"/>
        <v>1.2666666666666723E-4</v>
      </c>
      <c r="BT72" s="253">
        <f t="shared" si="82"/>
        <v>3.4544657088084315E-4</v>
      </c>
      <c r="BU72" s="253">
        <f t="shared" si="60"/>
        <v>3.733333333333331E-4</v>
      </c>
      <c r="BV72" s="255">
        <f t="shared" si="36"/>
        <v>3.7333333333333309E-2</v>
      </c>
      <c r="BX72" s="258" t="e">
        <f>((((IF($Q$5=0,$Q$6,$Q$5)))/(12*$Q$19))+(((3*$Q$15)/(2*IF($Q$5=0,$Q$6,$Q$5)*$U$5*$Q$19))*'IN-OUT'!$F$15))*'Burland damage classification'!CB72</f>
        <v>#DIV/0!</v>
      </c>
      <c r="BY72" s="262">
        <f>(1+(((IF($Q$5=0,$Q$6^2,$Q$5^2))*$U$5)/(18*$Q$15))*('IN-OUT'!$F$15^(-1)))*CC72</f>
        <v>8.5945719303911052E-4</v>
      </c>
      <c r="BZ72" s="254" t="e">
        <f t="shared" si="13"/>
        <v>#DIV/0!</v>
      </c>
      <c r="CA72" s="254" t="e">
        <f t="shared" si="37"/>
        <v>#DIV/0!</v>
      </c>
      <c r="CB72" s="254">
        <f t="shared" si="61"/>
        <v>6.2666666666666741E-4</v>
      </c>
      <c r="CC72" s="253">
        <f t="shared" si="83"/>
        <v>8.5945719303911052E-4</v>
      </c>
      <c r="CD72" s="253">
        <f t="shared" si="62"/>
        <v>3.733333333333331E-4</v>
      </c>
      <c r="CE72" s="255">
        <f t="shared" si="38"/>
        <v>3.7333333333333309E-2</v>
      </c>
      <c r="CG72" s="258" t="e">
        <f>((((IF($Q$5=0,$Q$6,$Q$5)))/(12*$Q$19))+(((3*$Q$15)/(2*IF($Q$5=0,$Q$6,$Q$5)*$U$5*$Q$19))*'IN-OUT'!$F$15))*'Burland damage classification'!CK72</f>
        <v>#DIV/0!</v>
      </c>
      <c r="CH72" s="262">
        <f>(1+(((IF($Q$5=0,$Q$6^2,$Q$5^2))*$U$5)/(18*$Q$15))*('IN-OUT'!$F$15^(-1)))*CL72</f>
        <v>1.8647609319516895E-3</v>
      </c>
      <c r="CI72" s="254" t="e">
        <f t="shared" si="15"/>
        <v>#DIV/0!</v>
      </c>
      <c r="CJ72" s="254" t="e">
        <f t="shared" si="39"/>
        <v>#DIV/0!</v>
      </c>
      <c r="CK72" s="254">
        <f t="shared" si="63"/>
        <v>1.6266666666666632E-3</v>
      </c>
      <c r="CL72" s="270">
        <f t="shared" si="16"/>
        <v>1.8647609319516895E-3</v>
      </c>
      <c r="CM72" s="253">
        <f t="shared" si="64"/>
        <v>3.733333333333331E-4</v>
      </c>
      <c r="CN72" s="255">
        <f t="shared" si="40"/>
        <v>3.7333333333333309E-2</v>
      </c>
      <c r="CS72" s="248"/>
      <c r="CY72" s="258" t="e">
        <f>((((IF($R$5=0,$R$6,$R$5)))/(12*$R$19))+(((3*$R$15)/(2*IF($R$5=0,$R$6,$R$5)*$U$5*$R$19))*'IN-OUT'!$F$15))*'Burland damage classification'!DC72</f>
        <v>#DIV/0!</v>
      </c>
      <c r="CZ72" s="262">
        <f>(1+(((IF($R$5=0,$R$6^2,$R$5^2))*$U$5)/(18*$R$15))*('IN-OUT'!$F$15^(-1)))*DD72</f>
        <v>3.4544657088084315E-4</v>
      </c>
      <c r="DA72" s="254" t="e">
        <f t="shared" si="19"/>
        <v>#DIV/0!</v>
      </c>
      <c r="DB72" s="254" t="e">
        <f t="shared" si="43"/>
        <v>#DIV/0!</v>
      </c>
      <c r="DC72" s="254">
        <f t="shared" si="67"/>
        <v>1.2666666666666723E-4</v>
      </c>
      <c r="DD72" s="253">
        <f t="shared" si="86"/>
        <v>3.4544657088084315E-4</v>
      </c>
      <c r="DE72" s="253">
        <f t="shared" si="68"/>
        <v>3.733333333333331E-4</v>
      </c>
      <c r="DF72" s="255">
        <f t="shared" si="44"/>
        <v>3.7333333333333309E-2</v>
      </c>
      <c r="DH72" s="258" t="e">
        <f>((((IF($R$5=0,$R$6,$R$5)))/(12*$R$19))+(((3*$R$15)/(2*IF($R$5=0,$R$6,$R$5)*$U$5*$R$19))*'IN-OUT'!$F$15))*'Burland damage classification'!DL72</f>
        <v>#DIV/0!</v>
      </c>
      <c r="DI72" s="262">
        <f>(1+(((IF($R$5=0,$R$6^2,$R$5^2))*$U$5)/(18*$R$15))*('IN-OUT'!$F$15^(-1)))*DM72</f>
        <v>8.5945719303911052E-4</v>
      </c>
      <c r="DJ72" s="254" t="e">
        <f t="shared" si="21"/>
        <v>#DIV/0!</v>
      </c>
      <c r="DK72" s="254" t="e">
        <f t="shared" si="45"/>
        <v>#DIV/0!</v>
      </c>
      <c r="DL72" s="254">
        <f t="shared" si="69"/>
        <v>6.2666666666666741E-4</v>
      </c>
      <c r="DM72" s="253">
        <f t="shared" si="87"/>
        <v>8.5945719303911052E-4</v>
      </c>
      <c r="DN72" s="253">
        <f t="shared" si="70"/>
        <v>3.733333333333331E-4</v>
      </c>
      <c r="DO72" s="255">
        <f t="shared" si="46"/>
        <v>3.7333333333333309E-2</v>
      </c>
      <c r="DQ72" s="258" t="e">
        <f>((((IF($R$5=0,$R$6,$R$5)))/(12*$R$19))+(((3*$R$15)/(2*IF($R$5=0,$R$6,$R$5)*$U$5*$R$19))*'IN-OUT'!$F$15))*'Burland damage classification'!DU72</f>
        <v>#DIV/0!</v>
      </c>
      <c r="DR72" s="262">
        <f>(1+(((IF($R$5=0,$R$6^2,$R$5^2))*$U$5)/(18*$R$15))*('IN-OUT'!$F$15^(-1)))*DV72</f>
        <v>1.8647609319516895E-3</v>
      </c>
      <c r="DS72" s="254" t="e">
        <f t="shared" si="23"/>
        <v>#DIV/0!</v>
      </c>
      <c r="DT72" s="254" t="e">
        <f t="shared" si="47"/>
        <v>#DIV/0!</v>
      </c>
      <c r="DU72" s="254">
        <f t="shared" si="71"/>
        <v>1.6266666666666632E-3</v>
      </c>
      <c r="DV72" s="270">
        <f t="shared" si="24"/>
        <v>1.8647609319516895E-3</v>
      </c>
      <c r="DW72" s="253">
        <f t="shared" si="72"/>
        <v>3.733333333333331E-4</v>
      </c>
      <c r="DX72" s="255">
        <f t="shared" si="48"/>
        <v>3.7333333333333309E-2</v>
      </c>
      <c r="EA72" s="1240"/>
      <c r="ED72" s="1181" t="s">
        <v>22</v>
      </c>
      <c r="EE72" s="1182"/>
      <c r="EF72" s="1183"/>
      <c r="EG72" s="1184" t="s">
        <v>23</v>
      </c>
      <c r="EH72" s="1182"/>
      <c r="EI72" s="1183"/>
      <c r="EK72" s="1232" t="s">
        <v>246</v>
      </c>
      <c r="EL72" s="1233"/>
      <c r="EM72" s="1234"/>
      <c r="EO72" s="430"/>
      <c r="FE72" s="681"/>
      <c r="FF72" s="681"/>
    </row>
    <row r="73" spans="20:162" ht="13.8" thickBot="1">
      <c r="U73" s="262"/>
      <c r="AE73" s="258">
        <f>(((IF($P$5&lt;&gt;0,$P$5,IF($P$6&lt;&gt;0,$P$6,IF($P$7&lt;&gt;0,$P$7,0))))/(12*$P$19))+(((3*$P$15)/(2*(IF($P$5&lt;&gt;0,$P$5,IF($P$6&lt;&gt;0,$P$6,IF($P$7&lt;&gt;0,$P$7,0))))*$U$5*$P$19))*'IN-OUT'!$F$15))*'Burland damage classification'!AI73</f>
        <v>3.8521827319286557E-4</v>
      </c>
      <c r="AF73" s="254">
        <f>(1+(((IF($P$5&lt;&gt;0,$P$5^2,IF($P$6&lt;&gt;0,$P$6^2,IF($P$7&lt;&gt;0,$P$7^2))))*$U$5)/(18*$P$15))*('IN-OUT'!$F$15^(-1)))*AJ73</f>
        <v>3.6134564820884305E-4</v>
      </c>
      <c r="AG73" s="254">
        <f t="shared" si="88"/>
        <v>3.6134564820884305E-4</v>
      </c>
      <c r="AH73" s="254">
        <f t="shared" si="27"/>
        <v>3.6134564820884306E-2</v>
      </c>
      <c r="AI73" s="254">
        <f t="shared" si="51"/>
        <v>1.2000000000000057E-4</v>
      </c>
      <c r="AJ73" s="253">
        <f t="shared" si="76"/>
        <v>3.4205262752974152E-4</v>
      </c>
      <c r="AK73" s="253">
        <f t="shared" si="52"/>
        <v>3.7999999999999975E-4</v>
      </c>
      <c r="AL73" s="255">
        <f t="shared" si="28"/>
        <v>3.7999999999999978E-2</v>
      </c>
      <c r="AN73" s="258">
        <f>(((IF($P$5&lt;&gt;0,$P$5,IF($P$6&lt;&gt;0,$P$6,IF($P$7&lt;&gt;0,$P$7,0))))/(12*$P$19))+(((3*$P$15)/(2*(IF($P$5&lt;&gt;0,$P$5,IF($P$6&lt;&gt;0,$P$6,IF($P$7&lt;&gt;0,$P$7,0))))*$U$5*$P$19))*'IN-OUT'!$F$15))*'Burland damage classification'!AR73</f>
        <v>1.990294411496465E-3</v>
      </c>
      <c r="AO73" s="254">
        <f>(1+(((IF($P$5&lt;&gt;0,$P$5^2,IF($P$6&lt;&gt;0,$P$6^2,IF($P$7&lt;&gt;0,$P$7^2))))*$U$5)/(18*$P$15))*('IN-OUT'!$F$15^(-1)))*AS73</f>
        <v>9.050611599012502E-4</v>
      </c>
      <c r="AP73" s="254">
        <f t="shared" si="89"/>
        <v>9.050611599012502E-4</v>
      </c>
      <c r="AQ73" s="254">
        <f t="shared" si="29"/>
        <v>9.0506115990125022E-2</v>
      </c>
      <c r="AR73" s="254">
        <f t="shared" si="53"/>
        <v>6.2000000000000076E-4</v>
      </c>
      <c r="AS73" s="253">
        <f t="shared" si="78"/>
        <v>8.567379996241559E-4</v>
      </c>
      <c r="AT73" s="253">
        <f t="shared" si="54"/>
        <v>3.7999999999999975E-4</v>
      </c>
      <c r="AU73" s="255">
        <f t="shared" si="30"/>
        <v>3.7999999999999978E-2</v>
      </c>
      <c r="AW73" s="258">
        <f>(((IF($P$5&lt;&gt;0,$P$5,IF($P$6&lt;&gt;0,$P$6,IF($P$7&lt;&gt;0,$P$7,0))))/(12*$P$19))+(((3*$P$15)/(2*(IF($P$5&lt;&gt;0,$P$5,IF($P$6&lt;&gt;0,$P$6,IF($P$7&lt;&gt;0,$P$7,0))))*$U$5*$P$19))*'IN-OUT'!$F$15))*'Burland damage classification'!BA73</f>
        <v>5.2004466881036496E-3</v>
      </c>
      <c r="AX73" s="254">
        <f>(1+(((IF($P$5&lt;&gt;0,$P$5^2,IF($P$6&lt;&gt;0,$P$6^2,IF($P$7&lt;&gt;0,$P$7^2))))*$U$5)/(18*$P$15))*('IN-OUT'!$F$15^(-1)))*BB73</f>
        <v>1.9672947921282732E-3</v>
      </c>
      <c r="AY73" s="254">
        <f t="shared" si="90"/>
        <v>1.9672947921282732E-3</v>
      </c>
      <c r="AZ73" s="254">
        <f t="shared" si="31"/>
        <v>0.19672947921282732</v>
      </c>
      <c r="BA73" s="254">
        <f t="shared" si="55"/>
        <v>1.6199999999999964E-3</v>
      </c>
      <c r="BB73" s="270">
        <f t="shared" si="8"/>
        <v>1.8622566955175648E-3</v>
      </c>
      <c r="BC73" s="253">
        <f t="shared" si="56"/>
        <v>3.7999999999999975E-4</v>
      </c>
      <c r="BD73" s="255">
        <f t="shared" si="32"/>
        <v>3.7999999999999978E-2</v>
      </c>
      <c r="BI73" s="248"/>
      <c r="BO73" s="258" t="e">
        <f>((((IF($Q$5=0,$Q$6,$Q$5)))/(12*$Q$19))+(((3*$Q$15)/(2*IF($Q$5=0,$Q$6,$Q$5)*$U$5*$Q$19))*'IN-OUT'!$F$15))*'Burland damage classification'!BS73</f>
        <v>#DIV/0!</v>
      </c>
      <c r="BP73" s="262">
        <f>(1+(((IF($Q$5=0,$Q$6^2,$Q$5^2))*$U$5)/(18*$Q$15))*('IN-OUT'!$F$15^(-1)))*BT73</f>
        <v>3.4205262752974152E-4</v>
      </c>
      <c r="BQ73" s="254" t="e">
        <f t="shared" si="11"/>
        <v>#DIV/0!</v>
      </c>
      <c r="BR73" s="254" t="e">
        <f t="shared" si="35"/>
        <v>#DIV/0!</v>
      </c>
      <c r="BS73" s="254">
        <f t="shared" si="59"/>
        <v>1.2000000000000057E-4</v>
      </c>
      <c r="BT73" s="253">
        <f t="shared" si="82"/>
        <v>3.4205262752974152E-4</v>
      </c>
      <c r="BU73" s="253">
        <f t="shared" si="60"/>
        <v>3.7999999999999975E-4</v>
      </c>
      <c r="BV73" s="255">
        <f t="shared" si="36"/>
        <v>3.7999999999999978E-2</v>
      </c>
      <c r="BX73" s="258" t="e">
        <f>((((IF($Q$5=0,$Q$6,$Q$5)))/(12*$Q$19))+(((3*$Q$15)/(2*IF($Q$5=0,$Q$6,$Q$5)*$U$5*$Q$19))*'IN-OUT'!$F$15))*'Burland damage classification'!CB73</f>
        <v>#DIV/0!</v>
      </c>
      <c r="BY73" s="262">
        <f>(1+(((IF($Q$5=0,$Q$6^2,$Q$5^2))*$U$5)/(18*$Q$15))*('IN-OUT'!$F$15^(-1)))*CC73</f>
        <v>8.567379996241559E-4</v>
      </c>
      <c r="BZ73" s="254" t="e">
        <f t="shared" si="13"/>
        <v>#DIV/0!</v>
      </c>
      <c r="CA73" s="254" t="e">
        <f t="shared" si="37"/>
        <v>#DIV/0!</v>
      </c>
      <c r="CB73" s="254">
        <f t="shared" si="61"/>
        <v>6.2000000000000076E-4</v>
      </c>
      <c r="CC73" s="253">
        <f t="shared" si="83"/>
        <v>8.567379996241559E-4</v>
      </c>
      <c r="CD73" s="253">
        <f t="shared" si="62"/>
        <v>3.7999999999999975E-4</v>
      </c>
      <c r="CE73" s="255">
        <f t="shared" si="38"/>
        <v>3.7999999999999978E-2</v>
      </c>
      <c r="CG73" s="258" t="e">
        <f>((((IF($Q$5=0,$Q$6,$Q$5)))/(12*$Q$19))+(((3*$Q$15)/(2*IF($Q$5=0,$Q$6,$Q$5)*$U$5*$Q$19))*'IN-OUT'!$F$15))*'Burland damage classification'!CK73</f>
        <v>#DIV/0!</v>
      </c>
      <c r="CH73" s="262">
        <f>(1+(((IF($Q$5=0,$Q$6^2,$Q$5^2))*$U$5)/(18*$Q$15))*('IN-OUT'!$F$15^(-1)))*CL73</f>
        <v>1.8622566955175648E-3</v>
      </c>
      <c r="CI73" s="254" t="e">
        <f t="shared" si="15"/>
        <v>#DIV/0!</v>
      </c>
      <c r="CJ73" s="254" t="e">
        <f t="shared" si="39"/>
        <v>#DIV/0!</v>
      </c>
      <c r="CK73" s="254">
        <f t="shared" si="63"/>
        <v>1.6199999999999964E-3</v>
      </c>
      <c r="CL73" s="270">
        <f t="shared" si="16"/>
        <v>1.8622566955175648E-3</v>
      </c>
      <c r="CM73" s="253">
        <f t="shared" si="64"/>
        <v>3.7999999999999975E-4</v>
      </c>
      <c r="CN73" s="255">
        <f t="shared" si="40"/>
        <v>3.7999999999999978E-2</v>
      </c>
      <c r="CS73" s="248"/>
      <c r="CY73" s="258" t="e">
        <f>((((IF($R$5=0,$R$6,$R$5)))/(12*$R$19))+(((3*$R$15)/(2*IF($R$5=0,$R$6,$R$5)*$U$5*$R$19))*'IN-OUT'!$F$15))*'Burland damage classification'!DC73</f>
        <v>#DIV/0!</v>
      </c>
      <c r="CZ73" s="262">
        <f>(1+(((IF($R$5=0,$R$6^2,$R$5^2))*$U$5)/(18*$R$15))*('IN-OUT'!$F$15^(-1)))*DD73</f>
        <v>3.4205262752974152E-4</v>
      </c>
      <c r="DA73" s="254" t="e">
        <f t="shared" si="19"/>
        <v>#DIV/0!</v>
      </c>
      <c r="DB73" s="254" t="e">
        <f t="shared" si="43"/>
        <v>#DIV/0!</v>
      </c>
      <c r="DC73" s="254">
        <f t="shared" si="67"/>
        <v>1.2000000000000057E-4</v>
      </c>
      <c r="DD73" s="253">
        <f t="shared" si="86"/>
        <v>3.4205262752974152E-4</v>
      </c>
      <c r="DE73" s="253">
        <f t="shared" si="68"/>
        <v>3.7999999999999975E-4</v>
      </c>
      <c r="DF73" s="255">
        <f t="shared" si="44"/>
        <v>3.7999999999999978E-2</v>
      </c>
      <c r="DH73" s="258" t="e">
        <f>((((IF($R$5=0,$R$6,$R$5)))/(12*$R$19))+(((3*$R$15)/(2*IF($R$5=0,$R$6,$R$5)*$U$5*$R$19))*'IN-OUT'!$F$15))*'Burland damage classification'!DL73</f>
        <v>#DIV/0!</v>
      </c>
      <c r="DI73" s="262">
        <f>(1+(((IF($R$5=0,$R$6^2,$R$5^2))*$U$5)/(18*$R$15))*('IN-OUT'!$F$15^(-1)))*DM73</f>
        <v>8.567379996241559E-4</v>
      </c>
      <c r="DJ73" s="254" t="e">
        <f t="shared" si="21"/>
        <v>#DIV/0!</v>
      </c>
      <c r="DK73" s="254" t="e">
        <f t="shared" si="45"/>
        <v>#DIV/0!</v>
      </c>
      <c r="DL73" s="254">
        <f t="shared" si="69"/>
        <v>6.2000000000000076E-4</v>
      </c>
      <c r="DM73" s="253">
        <f t="shared" si="87"/>
        <v>8.567379996241559E-4</v>
      </c>
      <c r="DN73" s="253">
        <f t="shared" si="70"/>
        <v>3.7999999999999975E-4</v>
      </c>
      <c r="DO73" s="255">
        <f t="shared" si="46"/>
        <v>3.7999999999999978E-2</v>
      </c>
      <c r="DQ73" s="258" t="e">
        <f>((((IF($R$5=0,$R$6,$R$5)))/(12*$R$19))+(((3*$R$15)/(2*IF($R$5=0,$R$6,$R$5)*$U$5*$R$19))*'IN-OUT'!$F$15))*'Burland damage classification'!DU73</f>
        <v>#DIV/0!</v>
      </c>
      <c r="DR73" s="262">
        <f>(1+(((IF($R$5=0,$R$6^2,$R$5^2))*$U$5)/(18*$R$15))*('IN-OUT'!$F$15^(-1)))*DV73</f>
        <v>1.8622566955175648E-3</v>
      </c>
      <c r="DS73" s="254" t="e">
        <f t="shared" si="23"/>
        <v>#DIV/0!</v>
      </c>
      <c r="DT73" s="254" t="e">
        <f t="shared" si="47"/>
        <v>#DIV/0!</v>
      </c>
      <c r="DU73" s="254">
        <f t="shared" si="71"/>
        <v>1.6199999999999964E-3</v>
      </c>
      <c r="DV73" s="270">
        <f t="shared" si="24"/>
        <v>1.8622566955175648E-3</v>
      </c>
      <c r="DW73" s="253">
        <f t="shared" si="72"/>
        <v>3.7999999999999975E-4</v>
      </c>
      <c r="DX73" s="255">
        <f t="shared" si="48"/>
        <v>3.7999999999999978E-2</v>
      </c>
      <c r="EA73" s="1240"/>
      <c r="ED73" s="432" t="s">
        <v>257</v>
      </c>
      <c r="EE73" s="433" t="s">
        <v>258</v>
      </c>
      <c r="EF73" s="434" t="s">
        <v>259</v>
      </c>
      <c r="EG73" s="437" t="s">
        <v>257</v>
      </c>
      <c r="EH73" s="438" t="s">
        <v>258</v>
      </c>
      <c r="EI73" s="439" t="s">
        <v>260</v>
      </c>
      <c r="EK73" s="442" t="s">
        <v>257</v>
      </c>
      <c r="EL73" s="443" t="s">
        <v>258</v>
      </c>
      <c r="EM73" s="444" t="s">
        <v>261</v>
      </c>
      <c r="EO73" s="430"/>
      <c r="FE73" s="681"/>
      <c r="FF73" s="681"/>
    </row>
    <row r="74" spans="20:162" ht="14.4" thickBot="1">
      <c r="U74" s="262"/>
      <c r="AE74" s="258">
        <f>(((IF($P$5&lt;&gt;0,$P$5,IF($P$6&lt;&gt;0,$P$6,IF($P$7&lt;&gt;0,$P$7,0))))/(12*$P$19))+(((3*$P$15)/(2*(IF($P$5&lt;&gt;0,$P$5,IF($P$6&lt;&gt;0,$P$6,IF($P$7&lt;&gt;0,$P$7,0))))*$U$5*$P$19))*'IN-OUT'!$F$15))*'Burland damage classification'!AI74</f>
        <v>3.6381725801548431E-4</v>
      </c>
      <c r="AF74" s="254">
        <f>(1+(((IF($P$5&lt;&gt;0,$P$5^2,IF($P$6&lt;&gt;0,$P$6^2,IF($P$7&lt;&gt;0,$P$7^2))))*$U$5)/(18*$P$15))*('IN-OUT'!$F$15^(-1)))*AJ74</f>
        <v>3.5772434059555167E-4</v>
      </c>
      <c r="AG74" s="254">
        <f t="shared" si="88"/>
        <v>3.5772434059555167E-4</v>
      </c>
      <c r="AH74" s="254">
        <f t="shared" si="27"/>
        <v>3.5772434059555165E-2</v>
      </c>
      <c r="AI74" s="254">
        <f t="shared" si="51"/>
        <v>1.1333333333333391E-4</v>
      </c>
      <c r="AJ74" s="253">
        <f t="shared" si="76"/>
        <v>3.3862466931200793E-4</v>
      </c>
      <c r="AK74" s="253">
        <f t="shared" si="52"/>
        <v>3.866666666666664E-4</v>
      </c>
      <c r="AL74" s="255">
        <f t="shared" si="28"/>
        <v>3.8666666666666641E-2</v>
      </c>
      <c r="AN74" s="258">
        <f>(((IF($P$5&lt;&gt;0,$P$5,IF($P$6&lt;&gt;0,$P$6,IF($P$7&lt;&gt;0,$P$7,0))))/(12*$P$19))+(((3*$P$15)/(2*(IF($P$5&lt;&gt;0,$P$5,IF($P$6&lt;&gt;0,$P$6,IF($P$7&lt;&gt;0,$P$7,0))))*$U$5*$P$19))*'IN-OUT'!$F$15))*'Burland damage classification'!AR74</f>
        <v>1.9688933963190841E-3</v>
      </c>
      <c r="AO74" s="254">
        <f>(1+(((IF($P$5&lt;&gt;0,$P$5^2,IF($P$6&lt;&gt;0,$P$6^2,IF($P$7&lt;&gt;0,$P$7^2))))*$U$5)/(18*$P$15))*('IN-OUT'!$F$15^(-1)))*AS74</f>
        <v>9.0217944773304543E-4</v>
      </c>
      <c r="AP74" s="254">
        <f t="shared" si="89"/>
        <v>9.0217944773304543E-4</v>
      </c>
      <c r="AQ74" s="254">
        <f t="shared" si="29"/>
        <v>9.021794477330454E-2</v>
      </c>
      <c r="AR74" s="254">
        <f t="shared" si="53"/>
        <v>6.1333333333333411E-4</v>
      </c>
      <c r="AS74" s="253">
        <f t="shared" si="78"/>
        <v>8.5401014826132682E-4</v>
      </c>
      <c r="AT74" s="253">
        <f t="shared" si="54"/>
        <v>3.866666666666664E-4</v>
      </c>
      <c r="AU74" s="255">
        <f t="shared" si="30"/>
        <v>3.8666666666666641E-2</v>
      </c>
      <c r="AW74" s="258">
        <f>(((IF($P$5&lt;&gt;0,$P$5,IF($P$6&lt;&gt;0,$P$6,IF($P$7&lt;&gt;0,$P$7,0))))/(12*$P$19))+(((3*$P$15)/(2*(IF($P$5&lt;&gt;0,$P$5,IF($P$6&lt;&gt;0,$P$6,IF($P$7&lt;&gt;0,$P$7,0))))*$U$5*$P$19))*'IN-OUT'!$F$15))*'Burland damage classification'!BA74</f>
        <v>5.1790456729262678E-3</v>
      </c>
      <c r="AX74" s="254">
        <f>(1+(((IF($P$5&lt;&gt;0,$P$5^2,IF($P$6&lt;&gt;0,$P$6^2,IF($P$7&lt;&gt;0,$P$7^2))))*$U$5)/(18*$P$15))*('IN-OUT'!$F$15^(-1)))*BB74</f>
        <v>1.9646457453279561E-3</v>
      </c>
      <c r="AY74" s="254">
        <f t="shared" si="90"/>
        <v>1.9646457453279561E-3</v>
      </c>
      <c r="AZ74" s="254">
        <f t="shared" si="31"/>
        <v>0.19646457453279562</v>
      </c>
      <c r="BA74" s="254">
        <f t="shared" si="55"/>
        <v>1.6133333333333297E-3</v>
      </c>
      <c r="BB74" s="270">
        <f t="shared" si="8"/>
        <v>1.8597490870186405E-3</v>
      </c>
      <c r="BC74" s="253">
        <f t="shared" si="56"/>
        <v>3.866666666666664E-4</v>
      </c>
      <c r="BD74" s="255">
        <f t="shared" si="32"/>
        <v>3.8666666666666641E-2</v>
      </c>
      <c r="BI74" s="248"/>
      <c r="BO74" s="258" t="e">
        <f>((((IF($Q$5=0,$Q$6,$Q$5)))/(12*$Q$19))+(((3*$Q$15)/(2*IF($Q$5=0,$Q$6,$Q$5)*$U$5*$Q$19))*'IN-OUT'!$F$15))*'Burland damage classification'!BS74</f>
        <v>#DIV/0!</v>
      </c>
      <c r="BP74" s="262">
        <f>(1+(((IF($Q$5=0,$Q$6^2,$Q$5^2))*$U$5)/(18*$Q$15))*('IN-OUT'!$F$15^(-1)))*BT74</f>
        <v>3.3862466931200793E-4</v>
      </c>
      <c r="BQ74" s="254" t="e">
        <f t="shared" si="11"/>
        <v>#DIV/0!</v>
      </c>
      <c r="BR74" s="254" t="e">
        <f t="shared" si="35"/>
        <v>#DIV/0!</v>
      </c>
      <c r="BS74" s="254">
        <f t="shared" si="59"/>
        <v>1.1333333333333391E-4</v>
      </c>
      <c r="BT74" s="253">
        <f t="shared" si="82"/>
        <v>3.3862466931200793E-4</v>
      </c>
      <c r="BU74" s="253">
        <f t="shared" si="60"/>
        <v>3.866666666666664E-4</v>
      </c>
      <c r="BV74" s="255">
        <f t="shared" si="36"/>
        <v>3.8666666666666641E-2</v>
      </c>
      <c r="BX74" s="258" t="e">
        <f>((((IF($Q$5=0,$Q$6,$Q$5)))/(12*$Q$19))+(((3*$Q$15)/(2*IF($Q$5=0,$Q$6,$Q$5)*$U$5*$Q$19))*'IN-OUT'!$F$15))*'Burland damage classification'!CB74</f>
        <v>#DIV/0!</v>
      </c>
      <c r="BY74" s="262">
        <f>(1+(((IF($Q$5=0,$Q$6^2,$Q$5^2))*$U$5)/(18*$Q$15))*('IN-OUT'!$F$15^(-1)))*CC74</f>
        <v>8.5401014826132682E-4</v>
      </c>
      <c r="BZ74" s="254" t="e">
        <f t="shared" si="13"/>
        <v>#DIV/0!</v>
      </c>
      <c r="CA74" s="254" t="e">
        <f t="shared" si="37"/>
        <v>#DIV/0!</v>
      </c>
      <c r="CB74" s="254">
        <f t="shared" si="61"/>
        <v>6.1333333333333411E-4</v>
      </c>
      <c r="CC74" s="253">
        <f t="shared" si="83"/>
        <v>8.5401014826132682E-4</v>
      </c>
      <c r="CD74" s="253">
        <f t="shared" si="62"/>
        <v>3.866666666666664E-4</v>
      </c>
      <c r="CE74" s="255">
        <f t="shared" si="38"/>
        <v>3.8666666666666641E-2</v>
      </c>
      <c r="CG74" s="258" t="e">
        <f>((((IF($Q$5=0,$Q$6,$Q$5)))/(12*$Q$19))+(((3*$Q$15)/(2*IF($Q$5=0,$Q$6,$Q$5)*$U$5*$Q$19))*'IN-OUT'!$F$15))*'Burland damage classification'!CK74</f>
        <v>#DIV/0!</v>
      </c>
      <c r="CH74" s="262">
        <f>(1+(((IF($Q$5=0,$Q$6^2,$Q$5^2))*$U$5)/(18*$Q$15))*('IN-OUT'!$F$15^(-1)))*CL74</f>
        <v>1.8597490870186405E-3</v>
      </c>
      <c r="CI74" s="254" t="e">
        <f t="shared" si="15"/>
        <v>#DIV/0!</v>
      </c>
      <c r="CJ74" s="254" t="e">
        <f t="shared" si="39"/>
        <v>#DIV/0!</v>
      </c>
      <c r="CK74" s="254">
        <f t="shared" si="63"/>
        <v>1.6133333333333297E-3</v>
      </c>
      <c r="CL74" s="270">
        <f t="shared" si="16"/>
        <v>1.8597490870186405E-3</v>
      </c>
      <c r="CM74" s="253">
        <f t="shared" si="64"/>
        <v>3.866666666666664E-4</v>
      </c>
      <c r="CN74" s="255">
        <f t="shared" si="40"/>
        <v>3.8666666666666641E-2</v>
      </c>
      <c r="CS74" s="248"/>
      <c r="CY74" s="258" t="e">
        <f>((((IF($R$5=0,$R$6,$R$5)))/(12*$R$19))+(((3*$R$15)/(2*IF($R$5=0,$R$6,$R$5)*$U$5*$R$19))*'IN-OUT'!$F$15))*'Burland damage classification'!DC74</f>
        <v>#DIV/0!</v>
      </c>
      <c r="CZ74" s="262">
        <f>(1+(((IF($R$5=0,$R$6^2,$R$5^2))*$U$5)/(18*$R$15))*('IN-OUT'!$F$15^(-1)))*DD74</f>
        <v>3.3862466931200793E-4</v>
      </c>
      <c r="DA74" s="254" t="e">
        <f t="shared" si="19"/>
        <v>#DIV/0!</v>
      </c>
      <c r="DB74" s="254" t="e">
        <f t="shared" si="43"/>
        <v>#DIV/0!</v>
      </c>
      <c r="DC74" s="254">
        <f t="shared" si="67"/>
        <v>1.1333333333333391E-4</v>
      </c>
      <c r="DD74" s="253">
        <f t="shared" si="86"/>
        <v>3.3862466931200793E-4</v>
      </c>
      <c r="DE74" s="253">
        <f t="shared" si="68"/>
        <v>3.866666666666664E-4</v>
      </c>
      <c r="DF74" s="255">
        <f t="shared" si="44"/>
        <v>3.8666666666666641E-2</v>
      </c>
      <c r="DH74" s="258" t="e">
        <f>((((IF($R$5=0,$R$6,$R$5)))/(12*$R$19))+(((3*$R$15)/(2*IF($R$5=0,$R$6,$R$5)*$U$5*$R$19))*'IN-OUT'!$F$15))*'Burland damage classification'!DL74</f>
        <v>#DIV/0!</v>
      </c>
      <c r="DI74" s="262">
        <f>(1+(((IF($R$5=0,$R$6^2,$R$5^2))*$U$5)/(18*$R$15))*('IN-OUT'!$F$15^(-1)))*DM74</f>
        <v>8.5401014826132682E-4</v>
      </c>
      <c r="DJ74" s="254" t="e">
        <f t="shared" si="21"/>
        <v>#DIV/0!</v>
      </c>
      <c r="DK74" s="254" t="e">
        <f t="shared" si="45"/>
        <v>#DIV/0!</v>
      </c>
      <c r="DL74" s="254">
        <f t="shared" si="69"/>
        <v>6.1333333333333411E-4</v>
      </c>
      <c r="DM74" s="253">
        <f t="shared" si="87"/>
        <v>8.5401014826132682E-4</v>
      </c>
      <c r="DN74" s="253">
        <f t="shared" si="70"/>
        <v>3.866666666666664E-4</v>
      </c>
      <c r="DO74" s="255">
        <f t="shared" si="46"/>
        <v>3.8666666666666641E-2</v>
      </c>
      <c r="DQ74" s="258" t="e">
        <f>((((IF($R$5=0,$R$6,$R$5)))/(12*$R$19))+(((3*$R$15)/(2*IF($R$5=0,$R$6,$R$5)*$U$5*$R$19))*'IN-OUT'!$F$15))*'Burland damage classification'!DU74</f>
        <v>#DIV/0!</v>
      </c>
      <c r="DR74" s="262">
        <f>(1+(((IF($R$5=0,$R$6^2,$R$5^2))*$U$5)/(18*$R$15))*('IN-OUT'!$F$15^(-1)))*DV74</f>
        <v>1.8597490870186405E-3</v>
      </c>
      <c r="DS74" s="254" t="e">
        <f t="shared" si="23"/>
        <v>#DIV/0!</v>
      </c>
      <c r="DT74" s="254" t="e">
        <f t="shared" si="47"/>
        <v>#DIV/0!</v>
      </c>
      <c r="DU74" s="254">
        <f t="shared" si="71"/>
        <v>1.6133333333333297E-3</v>
      </c>
      <c r="DV74" s="270">
        <f t="shared" si="24"/>
        <v>1.8597490870186405E-3</v>
      </c>
      <c r="DW74" s="253">
        <f t="shared" si="72"/>
        <v>3.866666666666664E-4</v>
      </c>
      <c r="DX74" s="255">
        <f t="shared" si="48"/>
        <v>3.8666666666666641E-2</v>
      </c>
      <c r="EA74" s="1240"/>
      <c r="EB74" s="1185" t="s">
        <v>245</v>
      </c>
      <c r="EC74" s="449" t="s">
        <v>21</v>
      </c>
      <c r="ED74" s="435">
        <f>'transversal subsidence profile'!$L$5*EXP(-(EJ9^2)/(2*'transversal subsidence profile'!$J$5^2))*100</f>
        <v>2.617993877991494</v>
      </c>
      <c r="EE74" s="428">
        <f>'transversal subsidence profile'!$L$5*EJ9/'transversal subsidence profile'!$B$5*EXP(-(EJ9^2)/(2*'transversal subsidence profile'!$J$5^2))*100</f>
        <v>0</v>
      </c>
      <c r="EF74" s="436">
        <f>('transversal subsidence profile'!$L$5/'transversal subsidence profile'!$B$5)*(1-((EJ9^2)/(('transversal subsidence profile'!$J$5)^2)))*EXP(-(EJ9^2)/(2*(('transversal subsidence profile'!$J$5)^2)))*100</f>
        <v>0.17453292519943295</v>
      </c>
      <c r="EG74" s="440">
        <f>'transversal subsidence profile'!$L$6*EXP(-(((EJ9+$DZ$4))^2)/(2*'transversal subsidence profile'!$J$6^2))*100</f>
        <v>0.87372870216931453</v>
      </c>
      <c r="EH74" s="429">
        <f>'transversal subsidence profile'!$L$6*(EJ9+$DZ$4)/'transversal subsidence profile'!$F$5*EXP(-((EJ9+$DZ$4)^2)/(2*'transversal subsidence profile'!$J$6^2))*100</f>
        <v>0.58248580144620965</v>
      </c>
      <c r="EI74" s="441">
        <f>('transversal subsidence profile'!$L$6/'transversal subsidence profile'!$F$5)*(1-(EJ9+$DZ$4)^2/(('transversal subsidence profile'!$J$6)^2))*EXP(-((EJ9+$DZ$4)^2)/(2*(('transversal subsidence profile'!$J$6)^2)))*100</f>
        <v>-6.9594668458113657E-2</v>
      </c>
      <c r="EK74" s="445">
        <f>IF('IN-OUT'!$F$26=0,EG74,IF('IN-OUT'!$F$35=0,ED74,ED74+EG74))</f>
        <v>3.4917225801608085</v>
      </c>
      <c r="EL74" s="445">
        <f>IF('IN-OUT'!$F$26=0,EH74,IF('IN-OUT'!$F$35=0,EE74,EE74+EH74))</f>
        <v>0.58248580144620965</v>
      </c>
      <c r="EM74" s="563">
        <f>IF('IN-OUT'!$F$26=0,EI74,IF('IN-OUT'!$F$35=0,EF74,EF74+EI74))</f>
        <v>0.10493825674131929</v>
      </c>
      <c r="EO74" s="430"/>
      <c r="EV74" s="1242" t="s">
        <v>269</v>
      </c>
      <c r="EW74" s="1243"/>
      <c r="FE74" s="681"/>
      <c r="FF74" s="681"/>
    </row>
    <row r="75" spans="20:162" ht="13.8" thickBot="1">
      <c r="U75" s="262"/>
      <c r="AE75" s="258">
        <f>(((IF($P$5&lt;&gt;0,$P$5,IF($P$6&lt;&gt;0,$P$6,IF($P$7&lt;&gt;0,$P$7,0))))/(12*$P$19))+(((3*$P$15)/(2*(IF($P$5&lt;&gt;0,$P$5,IF($P$6&lt;&gt;0,$P$6,IF($P$7&lt;&gt;0,$P$7,0))))*$U$5*$P$19))*'IN-OUT'!$F$15))*'Burland damage classification'!AI75</f>
        <v>3.4241624283810299E-4</v>
      </c>
      <c r="AF75" s="254">
        <f>(1+(((IF($P$5&lt;&gt;0,$P$5^2,IF($P$6&lt;&gt;0,$P$6^2,IF($P$7&lt;&gt;0,$P$7^2))))*$U$5)/(18*$P$15))*('IN-OUT'!$F$15^(-1)))*AJ75</f>
        <v>3.5406599699713554E-4</v>
      </c>
      <c r="AG75" s="254">
        <f t="shared" si="88"/>
        <v>3.4241624283810299E-4</v>
      </c>
      <c r="AH75" s="254">
        <f t="shared" si="27"/>
        <v>3.42416242838103E-2</v>
      </c>
      <c r="AI75" s="254">
        <f t="shared" si="51"/>
        <v>1.0666666666666725E-4</v>
      </c>
      <c r="AJ75" s="253">
        <f t="shared" si="76"/>
        <v>3.3516165253998466E-4</v>
      </c>
      <c r="AK75" s="253">
        <f t="shared" si="52"/>
        <v>3.9333333333333305E-4</v>
      </c>
      <c r="AL75" s="255">
        <f t="shared" si="28"/>
        <v>3.9333333333333304E-2</v>
      </c>
      <c r="AN75" s="258">
        <f>(((IF($P$5&lt;&gt;0,$P$5,IF($P$6&lt;&gt;0,$P$6,IF($P$7&lt;&gt;0,$P$7,0))))/(12*$P$19))+(((3*$P$15)/(2*(IF($P$5&lt;&gt;0,$P$5,IF($P$6&lt;&gt;0,$P$6,IF($P$7&lt;&gt;0,$P$7,0))))*$U$5*$P$19))*'IN-OUT'!$F$15))*'Burland damage classification'!AR75</f>
        <v>1.9474923811417027E-3</v>
      </c>
      <c r="AO75" s="254">
        <f>(1+(((IF($P$5&lt;&gt;0,$P$5^2,IF($P$6&lt;&gt;0,$P$6^2,IF($P$7&lt;&gt;0,$P$7^2))))*$U$5)/(18*$P$15))*('IN-OUT'!$F$15^(-1)))*AS75</f>
        <v>8.9928850135093444E-4</v>
      </c>
      <c r="AP75" s="254">
        <f t="shared" si="89"/>
        <v>8.9928850135093444E-4</v>
      </c>
      <c r="AQ75" s="254">
        <f t="shared" si="29"/>
        <v>8.9928850135093441E-2</v>
      </c>
      <c r="AR75" s="254">
        <f t="shared" si="53"/>
        <v>6.0666666666666746E-4</v>
      </c>
      <c r="AS75" s="253">
        <f t="shared" si="78"/>
        <v>8.5127355571911595E-4</v>
      </c>
      <c r="AT75" s="253">
        <f t="shared" si="54"/>
        <v>3.9333333333333305E-4</v>
      </c>
      <c r="AU75" s="255">
        <f t="shared" si="30"/>
        <v>3.9333333333333304E-2</v>
      </c>
      <c r="AW75" s="258">
        <f>(((IF($P$5&lt;&gt;0,$P$5,IF($P$6&lt;&gt;0,$P$6,IF($P$7&lt;&gt;0,$P$7,0))))/(12*$P$19))+(((3*$P$15)/(2*(IF($P$5&lt;&gt;0,$P$5,IF($P$6&lt;&gt;0,$P$6,IF($P$7&lt;&gt;0,$P$7,0))))*$U$5*$P$19))*'IN-OUT'!$F$15))*'Burland damage classification'!BA75</f>
        <v>5.157644657748886E-3</v>
      </c>
      <c r="AX75" s="254">
        <f>(1+(((IF($P$5&lt;&gt;0,$P$5^2,IF($P$6&lt;&gt;0,$P$6^2,IF($P$7&lt;&gt;0,$P$7^2))))*$U$5)/(18*$P$15))*('IN-OUT'!$F$15^(-1)))*BB75</f>
        <v>1.9619931218369381E-3</v>
      </c>
      <c r="AY75" s="254">
        <f t="shared" si="90"/>
        <v>1.9619931218369381E-3</v>
      </c>
      <c r="AZ75" s="254">
        <f t="shared" si="31"/>
        <v>0.1961993121836938</v>
      </c>
      <c r="BA75" s="254">
        <f t="shared" si="55"/>
        <v>1.6066666666666629E-3</v>
      </c>
      <c r="BB75" s="270">
        <f t="shared" si="8"/>
        <v>1.8572380927962182E-3</v>
      </c>
      <c r="BC75" s="253">
        <f t="shared" si="56"/>
        <v>3.9333333333333305E-4</v>
      </c>
      <c r="BD75" s="255">
        <f t="shared" si="32"/>
        <v>3.9333333333333304E-2</v>
      </c>
      <c r="BI75" s="248"/>
      <c r="BO75" s="258" t="e">
        <f>((((IF($Q$5=0,$Q$6,$Q$5)))/(12*$Q$19))+(((3*$Q$15)/(2*IF($Q$5=0,$Q$6,$Q$5)*$U$5*$Q$19))*'IN-OUT'!$F$15))*'Burland damage classification'!BS75</f>
        <v>#DIV/0!</v>
      </c>
      <c r="BP75" s="262">
        <f>(1+(((IF($Q$5=0,$Q$6^2,$Q$5^2))*$U$5)/(18*$Q$15))*('IN-OUT'!$F$15^(-1)))*BT75</f>
        <v>3.3516165253998466E-4</v>
      </c>
      <c r="BQ75" s="254" t="e">
        <f t="shared" si="11"/>
        <v>#DIV/0!</v>
      </c>
      <c r="BR75" s="254" t="e">
        <f t="shared" si="35"/>
        <v>#DIV/0!</v>
      </c>
      <c r="BS75" s="254">
        <f t="shared" si="59"/>
        <v>1.0666666666666725E-4</v>
      </c>
      <c r="BT75" s="253">
        <f t="shared" si="82"/>
        <v>3.3516165253998466E-4</v>
      </c>
      <c r="BU75" s="253">
        <f t="shared" si="60"/>
        <v>3.9333333333333305E-4</v>
      </c>
      <c r="BV75" s="255">
        <f t="shared" si="36"/>
        <v>3.9333333333333304E-2</v>
      </c>
      <c r="BX75" s="258" t="e">
        <f>((((IF($Q$5=0,$Q$6,$Q$5)))/(12*$Q$19))+(((3*$Q$15)/(2*IF($Q$5=0,$Q$6,$Q$5)*$U$5*$Q$19))*'IN-OUT'!$F$15))*'Burland damage classification'!CB75</f>
        <v>#DIV/0!</v>
      </c>
      <c r="BY75" s="262">
        <f>(1+(((IF($Q$5=0,$Q$6^2,$Q$5^2))*$U$5)/(18*$Q$15))*('IN-OUT'!$F$15^(-1)))*CC75</f>
        <v>8.5127355571911595E-4</v>
      </c>
      <c r="BZ75" s="254" t="e">
        <f t="shared" si="13"/>
        <v>#DIV/0!</v>
      </c>
      <c r="CA75" s="254" t="e">
        <f t="shared" si="37"/>
        <v>#DIV/0!</v>
      </c>
      <c r="CB75" s="254">
        <f t="shared" si="61"/>
        <v>6.0666666666666746E-4</v>
      </c>
      <c r="CC75" s="253">
        <f t="shared" si="83"/>
        <v>8.5127355571911595E-4</v>
      </c>
      <c r="CD75" s="253">
        <f t="shared" si="62"/>
        <v>3.9333333333333305E-4</v>
      </c>
      <c r="CE75" s="255">
        <f t="shared" si="38"/>
        <v>3.9333333333333304E-2</v>
      </c>
      <c r="CG75" s="258" t="e">
        <f>((((IF($Q$5=0,$Q$6,$Q$5)))/(12*$Q$19))+(((3*$Q$15)/(2*IF($Q$5=0,$Q$6,$Q$5)*$U$5*$Q$19))*'IN-OUT'!$F$15))*'Burland damage classification'!CK75</f>
        <v>#DIV/0!</v>
      </c>
      <c r="CH75" s="262">
        <f>(1+(((IF($Q$5=0,$Q$6^2,$Q$5^2))*$U$5)/(18*$Q$15))*('IN-OUT'!$F$15^(-1)))*CL75</f>
        <v>1.8572380927962182E-3</v>
      </c>
      <c r="CI75" s="254" t="e">
        <f t="shared" si="15"/>
        <v>#DIV/0!</v>
      </c>
      <c r="CJ75" s="254" t="e">
        <f t="shared" si="39"/>
        <v>#DIV/0!</v>
      </c>
      <c r="CK75" s="254">
        <f t="shared" si="63"/>
        <v>1.6066666666666629E-3</v>
      </c>
      <c r="CL75" s="270">
        <f t="shared" si="16"/>
        <v>1.8572380927962182E-3</v>
      </c>
      <c r="CM75" s="253">
        <f t="shared" si="64"/>
        <v>3.9333333333333305E-4</v>
      </c>
      <c r="CN75" s="255">
        <f t="shared" si="40"/>
        <v>3.9333333333333304E-2</v>
      </c>
      <c r="CS75" s="248"/>
      <c r="CY75" s="258" t="e">
        <f>((((IF($R$5=0,$R$6,$R$5)))/(12*$R$19))+(((3*$R$15)/(2*IF($R$5=0,$R$6,$R$5)*$U$5*$R$19))*'IN-OUT'!$F$15))*'Burland damage classification'!DC75</f>
        <v>#DIV/0!</v>
      </c>
      <c r="CZ75" s="262">
        <f>(1+(((IF($R$5=0,$R$6^2,$R$5^2))*$U$5)/(18*$R$15))*('IN-OUT'!$F$15^(-1)))*DD75</f>
        <v>3.3516165253998466E-4</v>
      </c>
      <c r="DA75" s="254" t="e">
        <f t="shared" si="19"/>
        <v>#DIV/0!</v>
      </c>
      <c r="DB75" s="254" t="e">
        <f t="shared" si="43"/>
        <v>#DIV/0!</v>
      </c>
      <c r="DC75" s="254">
        <f t="shared" si="67"/>
        <v>1.0666666666666725E-4</v>
      </c>
      <c r="DD75" s="253">
        <f t="shared" si="86"/>
        <v>3.3516165253998466E-4</v>
      </c>
      <c r="DE75" s="253">
        <f t="shared" si="68"/>
        <v>3.9333333333333305E-4</v>
      </c>
      <c r="DF75" s="255">
        <f t="shared" si="44"/>
        <v>3.9333333333333304E-2</v>
      </c>
      <c r="DH75" s="258" t="e">
        <f>((((IF($R$5=0,$R$6,$R$5)))/(12*$R$19))+(((3*$R$15)/(2*IF($R$5=0,$R$6,$R$5)*$U$5*$R$19))*'IN-OUT'!$F$15))*'Burland damage classification'!DL75</f>
        <v>#DIV/0!</v>
      </c>
      <c r="DI75" s="262">
        <f>(1+(((IF($R$5=0,$R$6^2,$R$5^2))*$U$5)/(18*$R$15))*('IN-OUT'!$F$15^(-1)))*DM75</f>
        <v>8.5127355571911595E-4</v>
      </c>
      <c r="DJ75" s="254" t="e">
        <f t="shared" si="21"/>
        <v>#DIV/0!</v>
      </c>
      <c r="DK75" s="254" t="e">
        <f t="shared" si="45"/>
        <v>#DIV/0!</v>
      </c>
      <c r="DL75" s="254">
        <f t="shared" si="69"/>
        <v>6.0666666666666746E-4</v>
      </c>
      <c r="DM75" s="253">
        <f t="shared" si="87"/>
        <v>8.5127355571911595E-4</v>
      </c>
      <c r="DN75" s="253">
        <f t="shared" si="70"/>
        <v>3.9333333333333305E-4</v>
      </c>
      <c r="DO75" s="255">
        <f t="shared" si="46"/>
        <v>3.9333333333333304E-2</v>
      </c>
      <c r="DQ75" s="258" t="e">
        <f>((((IF($R$5=0,$R$6,$R$5)))/(12*$R$19))+(((3*$R$15)/(2*IF($R$5=0,$R$6,$R$5)*$U$5*$R$19))*'IN-OUT'!$F$15))*'Burland damage classification'!DU75</f>
        <v>#DIV/0!</v>
      </c>
      <c r="DR75" s="262">
        <f>(1+(((IF($R$5=0,$R$6^2,$R$5^2))*$U$5)/(18*$R$15))*('IN-OUT'!$F$15^(-1)))*DV75</f>
        <v>1.8572380927962182E-3</v>
      </c>
      <c r="DS75" s="254" t="e">
        <f t="shared" si="23"/>
        <v>#DIV/0!</v>
      </c>
      <c r="DT75" s="254" t="e">
        <f t="shared" si="47"/>
        <v>#DIV/0!</v>
      </c>
      <c r="DU75" s="254">
        <f t="shared" si="71"/>
        <v>1.6066666666666629E-3</v>
      </c>
      <c r="DV75" s="270">
        <f t="shared" si="24"/>
        <v>1.8572380927962182E-3</v>
      </c>
      <c r="DW75" s="253">
        <f t="shared" si="72"/>
        <v>3.9333333333333305E-4</v>
      </c>
      <c r="DX75" s="255">
        <f t="shared" si="48"/>
        <v>3.9333333333333304E-2</v>
      </c>
      <c r="EA75" s="1240"/>
      <c r="EB75" s="1186"/>
      <c r="EC75" s="450" t="s">
        <v>25</v>
      </c>
      <c r="ED75" s="435">
        <f>'transversal subsidence profile'!$L$5*EXP(-(EJ10^2)/(2*'transversal subsidence profile'!$J$5^2))*100</f>
        <v>2.617993877991494</v>
      </c>
      <c r="EE75" s="428">
        <f>'transversal subsidence profile'!$L$5*EJ10/'transversal subsidence profile'!$B$5*EXP(-(EJ10^2)/(2*'transversal subsidence profile'!$J$5^2))*100</f>
        <v>0</v>
      </c>
      <c r="EF75" s="436">
        <f>('transversal subsidence profile'!$L$5/'transversal subsidence profile'!$B$5)*(1-((EJ10^2)/(('transversal subsidence profile'!$J$5)^2)))*EXP(-(EJ10^2)/(2*(('transversal subsidence profile'!$J$5)^2)))*100</f>
        <v>0.17453292519943295</v>
      </c>
      <c r="EG75" s="440">
        <f>'transversal subsidence profile'!$L$6*EXP(-(((EJ10+$DZ$4))^2)/(2*'transversal subsidence profile'!$J$6^2))*100</f>
        <v>0.87372870216931453</v>
      </c>
      <c r="EH75" s="429">
        <f>'transversal subsidence profile'!$L$6*(EJ10+$DZ$4)/'transversal subsidence profile'!$F$5*EXP(-((EJ10+$DZ$4)^2)/(2*'transversal subsidence profile'!$J$6^2))*100</f>
        <v>0.58248580144620965</v>
      </c>
      <c r="EI75" s="441">
        <f>('transversal subsidence profile'!$L$6/'transversal subsidence profile'!$F$5)*(1-(EJ10+$DZ$4)^2/(('transversal subsidence profile'!$J$6)^2))*EXP(-((EJ10+$DZ$4)^2)/(2*(('transversal subsidence profile'!$J$6)^2)))*100</f>
        <v>-6.9594668458113657E-2</v>
      </c>
      <c r="EK75" s="445">
        <f>IF('IN-OUT'!$F$26=0,EG75,IF('IN-OUT'!$F$35=0,ED75,ED75+EG75))</f>
        <v>3.4917225801608085</v>
      </c>
      <c r="EL75" s="445">
        <f>IF('IN-OUT'!$F$26=0,EH75,IF('IN-OUT'!$F$35=0,EE75,EE75+EH75))</f>
        <v>0.58248580144620965</v>
      </c>
      <c r="EM75" s="563">
        <f>IF('IN-OUT'!$F$26=0,EI75,IF('IN-OUT'!$F$35=0,EF75,EF75+EI75))</f>
        <v>0.10493825674131929</v>
      </c>
      <c r="EO75" s="464" t="s">
        <v>252</v>
      </c>
      <c r="EP75" s="414" t="s">
        <v>253</v>
      </c>
      <c r="EQ75" s="414" t="s">
        <v>255</v>
      </c>
      <c r="ER75" s="414" t="s">
        <v>254</v>
      </c>
      <c r="ES75" s="446" t="s">
        <v>256</v>
      </c>
      <c r="EV75" s="494" t="s">
        <v>7</v>
      </c>
      <c r="EW75" s="495" t="s">
        <v>136</v>
      </c>
      <c r="EZ75" t="s">
        <v>318</v>
      </c>
      <c r="FA75" t="s">
        <v>317</v>
      </c>
      <c r="FB75" t="s">
        <v>319</v>
      </c>
      <c r="FC75" t="s">
        <v>320</v>
      </c>
      <c r="FD75" s="239" t="s">
        <v>323</v>
      </c>
      <c r="FE75" s="681"/>
      <c r="FF75" s="681"/>
    </row>
    <row r="76" spans="20:162" ht="13.8" thickBot="1">
      <c r="U76" s="262"/>
      <c r="AE76" s="258">
        <f>(((IF($P$5&lt;&gt;0,$P$5,IF($P$6&lt;&gt;0,$P$6,IF($P$7&lt;&gt;0,$P$7,0))))/(12*$P$19))+(((3*$P$15)/(2*(IF($P$5&lt;&gt;0,$P$5,IF($P$6&lt;&gt;0,$P$6,IF($P$7&lt;&gt;0,$P$7,0))))*$U$5*$P$19))*'IN-OUT'!$F$15))*'Burland damage classification'!AI76</f>
        <v>3.2101522766072167E-4</v>
      </c>
      <c r="AF76" s="254">
        <f>(1+(((IF($P$5&lt;&gt;0,$P$5^2,IF($P$6&lt;&gt;0,$P$6^2,IF($P$7&lt;&gt;0,$P$7^2))))*$U$5)/(18*$P$15))*('IN-OUT'!$F$15^(-1)))*AJ76</f>
        <v>3.503694572941953E-4</v>
      </c>
      <c r="AG76" s="254">
        <f t="shared" si="88"/>
        <v>3.2101522766072167E-4</v>
      </c>
      <c r="AH76" s="254">
        <f t="shared" si="27"/>
        <v>3.2101522766072164E-2</v>
      </c>
      <c r="AI76" s="254">
        <f t="shared" si="51"/>
        <v>1.0000000000000059E-4</v>
      </c>
      <c r="AJ76" s="253">
        <f t="shared" si="76"/>
        <v>3.3166247903554011E-4</v>
      </c>
      <c r="AK76" s="253">
        <f t="shared" si="52"/>
        <v>3.9999999999999969E-4</v>
      </c>
      <c r="AL76" s="255">
        <f t="shared" si="28"/>
        <v>3.9999999999999966E-2</v>
      </c>
      <c r="AN76" s="258">
        <f>(((IF($P$5&lt;&gt;0,$P$5,IF($P$6&lt;&gt;0,$P$6,IF($P$7&lt;&gt;0,$P$7,0))))/(12*$P$19))+(((3*$P$15)/(2*(IF($P$5&lt;&gt;0,$P$5,IF($P$6&lt;&gt;0,$P$6,IF($P$7&lt;&gt;0,$P$7,0))))*$U$5*$P$19))*'IN-OUT'!$F$15))*'Burland damage classification'!AR76</f>
        <v>1.9260913659643213E-3</v>
      </c>
      <c r="AO76" s="254">
        <f>(1+(((IF($P$5&lt;&gt;0,$P$5^2,IF($P$6&lt;&gt;0,$P$6^2,IF($P$7&lt;&gt;0,$P$7^2))))*$U$5)/(18*$P$15))*('IN-OUT'!$F$15^(-1)))*AS76</f>
        <v>8.9638823141098653E-4</v>
      </c>
      <c r="AP76" s="254">
        <f t="shared" si="89"/>
        <v>8.9638823141098653E-4</v>
      </c>
      <c r="AQ76" s="254">
        <f t="shared" si="29"/>
        <v>8.9638823141098653E-2</v>
      </c>
      <c r="AR76" s="254">
        <f t="shared" si="53"/>
        <v>6.0000000000000081E-4</v>
      </c>
      <c r="AS76" s="253">
        <f t="shared" si="78"/>
        <v>8.485281374238571E-4</v>
      </c>
      <c r="AT76" s="253">
        <f t="shared" si="54"/>
        <v>3.9999999999999969E-4</v>
      </c>
      <c r="AU76" s="255">
        <f t="shared" si="30"/>
        <v>3.9999999999999966E-2</v>
      </c>
      <c r="AW76" s="258">
        <f>(((IF($P$5&lt;&gt;0,$P$5,IF($P$6&lt;&gt;0,$P$6,IF($P$7&lt;&gt;0,$P$7,0))))/(12*$P$19))+(((3*$P$15)/(2*(IF($P$5&lt;&gt;0,$P$5,IF($P$6&lt;&gt;0,$P$6,IF($P$7&lt;&gt;0,$P$7,0))))*$U$5*$P$19))*'IN-OUT'!$F$15))*'Burland damage classification'!BA76</f>
        <v>5.1362436425715042E-3</v>
      </c>
      <c r="AX76" s="254">
        <f>(1+(((IF($P$5&lt;&gt;0,$P$5^2,IF($P$6&lt;&gt;0,$P$6^2,IF($P$7&lt;&gt;0,$P$7^2))))*$U$5)/(18*$P$15))*('IN-OUT'!$F$15^(-1)))*BB76</f>
        <v>1.9593369071284465E-3</v>
      </c>
      <c r="AY76" s="254">
        <f t="shared" si="90"/>
        <v>1.9593369071284465E-3</v>
      </c>
      <c r="AZ76" s="254">
        <f t="shared" si="31"/>
        <v>0.19593369071284464</v>
      </c>
      <c r="BA76" s="254">
        <f t="shared" si="55"/>
        <v>1.5999999999999962E-3</v>
      </c>
      <c r="BB76" s="270">
        <f t="shared" si="8"/>
        <v>1.8547236990991407E-3</v>
      </c>
      <c r="BC76" s="253">
        <f t="shared" si="56"/>
        <v>3.9999999999999969E-4</v>
      </c>
      <c r="BD76" s="255">
        <f t="shared" si="32"/>
        <v>3.9999999999999966E-2</v>
      </c>
      <c r="BI76" s="248"/>
      <c r="BO76" s="258" t="e">
        <f>((((IF($Q$5=0,$Q$6,$Q$5)))/(12*$Q$19))+(((3*$Q$15)/(2*IF($Q$5=0,$Q$6,$Q$5)*$U$5*$Q$19))*'IN-OUT'!$F$15))*'Burland damage classification'!BS76</f>
        <v>#DIV/0!</v>
      </c>
      <c r="BP76" s="262">
        <f>(1+(((IF($Q$5=0,$Q$6^2,$Q$5^2))*$U$5)/(18*$Q$15))*('IN-OUT'!$F$15^(-1)))*BT76</f>
        <v>3.3166247903554011E-4</v>
      </c>
      <c r="BQ76" s="254" t="e">
        <f t="shared" si="11"/>
        <v>#DIV/0!</v>
      </c>
      <c r="BR76" s="254" t="e">
        <f t="shared" si="35"/>
        <v>#DIV/0!</v>
      </c>
      <c r="BS76" s="254">
        <f t="shared" si="59"/>
        <v>1.0000000000000059E-4</v>
      </c>
      <c r="BT76" s="253">
        <f t="shared" si="82"/>
        <v>3.3166247903554011E-4</v>
      </c>
      <c r="BU76" s="253">
        <f t="shared" si="60"/>
        <v>3.9999999999999969E-4</v>
      </c>
      <c r="BV76" s="255">
        <f t="shared" si="36"/>
        <v>3.9999999999999966E-2</v>
      </c>
      <c r="BX76" s="258" t="e">
        <f>((((IF($Q$5=0,$Q$6,$Q$5)))/(12*$Q$19))+(((3*$Q$15)/(2*IF($Q$5=0,$Q$6,$Q$5)*$U$5*$Q$19))*'IN-OUT'!$F$15))*'Burland damage classification'!CB76</f>
        <v>#DIV/0!</v>
      </c>
      <c r="BY76" s="262">
        <f>(1+(((IF($Q$5=0,$Q$6^2,$Q$5^2))*$U$5)/(18*$Q$15))*('IN-OUT'!$F$15^(-1)))*CC76</f>
        <v>8.485281374238571E-4</v>
      </c>
      <c r="BZ76" s="254" t="e">
        <f t="shared" si="13"/>
        <v>#DIV/0!</v>
      </c>
      <c r="CA76" s="254" t="e">
        <f t="shared" si="37"/>
        <v>#DIV/0!</v>
      </c>
      <c r="CB76" s="254">
        <f t="shared" si="61"/>
        <v>6.0000000000000081E-4</v>
      </c>
      <c r="CC76" s="253">
        <f t="shared" si="83"/>
        <v>8.485281374238571E-4</v>
      </c>
      <c r="CD76" s="253">
        <f t="shared" si="62"/>
        <v>3.9999999999999969E-4</v>
      </c>
      <c r="CE76" s="255">
        <f t="shared" si="38"/>
        <v>3.9999999999999966E-2</v>
      </c>
      <c r="CG76" s="258" t="e">
        <f>((((IF($Q$5=0,$Q$6,$Q$5)))/(12*$Q$19))+(((3*$Q$15)/(2*IF($Q$5=0,$Q$6,$Q$5)*$U$5*$Q$19))*'IN-OUT'!$F$15))*'Burland damage classification'!CK76</f>
        <v>#DIV/0!</v>
      </c>
      <c r="CH76" s="262">
        <f>(1+(((IF($Q$5=0,$Q$6^2,$Q$5^2))*$U$5)/(18*$Q$15))*('IN-OUT'!$F$15^(-1)))*CL76</f>
        <v>1.8547236990991407E-3</v>
      </c>
      <c r="CI76" s="254" t="e">
        <f t="shared" si="15"/>
        <v>#DIV/0!</v>
      </c>
      <c r="CJ76" s="254" t="e">
        <f t="shared" si="39"/>
        <v>#DIV/0!</v>
      </c>
      <c r="CK76" s="254">
        <f t="shared" si="63"/>
        <v>1.5999999999999962E-3</v>
      </c>
      <c r="CL76" s="270">
        <f t="shared" si="16"/>
        <v>1.8547236990991407E-3</v>
      </c>
      <c r="CM76" s="253">
        <f t="shared" si="64"/>
        <v>3.9999999999999969E-4</v>
      </c>
      <c r="CN76" s="255">
        <f t="shared" si="40"/>
        <v>3.9999999999999966E-2</v>
      </c>
      <c r="CS76" s="248"/>
      <c r="CY76" s="258" t="e">
        <f>((((IF($R$5=0,$R$6,$R$5)))/(12*$R$19))+(((3*$R$15)/(2*IF($R$5=0,$R$6,$R$5)*$U$5*$R$19))*'IN-OUT'!$F$15))*'Burland damage classification'!DC76</f>
        <v>#DIV/0!</v>
      </c>
      <c r="CZ76" s="262">
        <f>(1+(((IF($R$5=0,$R$6^2,$R$5^2))*$U$5)/(18*$R$15))*('IN-OUT'!$F$15^(-1)))*DD76</f>
        <v>3.3166247903554011E-4</v>
      </c>
      <c r="DA76" s="254" t="e">
        <f t="shared" si="19"/>
        <v>#DIV/0!</v>
      </c>
      <c r="DB76" s="254" t="e">
        <f t="shared" si="43"/>
        <v>#DIV/0!</v>
      </c>
      <c r="DC76" s="254">
        <f t="shared" si="67"/>
        <v>1.0000000000000059E-4</v>
      </c>
      <c r="DD76" s="253">
        <f t="shared" si="86"/>
        <v>3.3166247903554011E-4</v>
      </c>
      <c r="DE76" s="253">
        <f t="shared" si="68"/>
        <v>3.9999999999999969E-4</v>
      </c>
      <c r="DF76" s="255">
        <f t="shared" si="44"/>
        <v>3.9999999999999966E-2</v>
      </c>
      <c r="DH76" s="258" t="e">
        <f>((((IF($R$5=0,$R$6,$R$5)))/(12*$R$19))+(((3*$R$15)/(2*IF($R$5=0,$R$6,$R$5)*$U$5*$R$19))*'IN-OUT'!$F$15))*'Burland damage classification'!DL76</f>
        <v>#DIV/0!</v>
      </c>
      <c r="DI76" s="262">
        <f>(1+(((IF($R$5=0,$R$6^2,$R$5^2))*$U$5)/(18*$R$15))*('IN-OUT'!$F$15^(-1)))*DM76</f>
        <v>8.485281374238571E-4</v>
      </c>
      <c r="DJ76" s="254" t="e">
        <f t="shared" si="21"/>
        <v>#DIV/0!</v>
      </c>
      <c r="DK76" s="254" t="e">
        <f t="shared" si="45"/>
        <v>#DIV/0!</v>
      </c>
      <c r="DL76" s="254">
        <f t="shared" si="69"/>
        <v>6.0000000000000081E-4</v>
      </c>
      <c r="DM76" s="253">
        <f t="shared" si="87"/>
        <v>8.485281374238571E-4</v>
      </c>
      <c r="DN76" s="253">
        <f t="shared" si="70"/>
        <v>3.9999999999999969E-4</v>
      </c>
      <c r="DO76" s="255">
        <f t="shared" si="46"/>
        <v>3.9999999999999966E-2</v>
      </c>
      <c r="DQ76" s="258" t="e">
        <f>((((IF($R$5=0,$R$6,$R$5)))/(12*$R$19))+(((3*$R$15)/(2*IF($R$5=0,$R$6,$R$5)*$U$5*$R$19))*'IN-OUT'!$F$15))*'Burland damage classification'!DU76</f>
        <v>#DIV/0!</v>
      </c>
      <c r="DR76" s="262">
        <f>(1+(((IF($R$5=0,$R$6^2,$R$5^2))*$U$5)/(18*$R$15))*('IN-OUT'!$F$15^(-1)))*DV76</f>
        <v>1.8547236990991407E-3</v>
      </c>
      <c r="DS76" s="254" t="e">
        <f t="shared" si="23"/>
        <v>#DIV/0!</v>
      </c>
      <c r="DT76" s="254" t="e">
        <f t="shared" si="47"/>
        <v>#DIV/0!</v>
      </c>
      <c r="DU76" s="254">
        <f t="shared" si="71"/>
        <v>1.5999999999999962E-3</v>
      </c>
      <c r="DV76" s="270">
        <f t="shared" si="24"/>
        <v>1.8547236990991407E-3</v>
      </c>
      <c r="DW76" s="253">
        <f t="shared" si="72"/>
        <v>3.9999999999999969E-4</v>
      </c>
      <c r="DX76" s="255">
        <f t="shared" si="48"/>
        <v>3.9999999999999966E-2</v>
      </c>
      <c r="EA76" s="1240"/>
      <c r="EB76" s="1187"/>
      <c r="EC76" s="451">
        <v>1</v>
      </c>
      <c r="ED76" s="435">
        <f>'transversal subsidence profile'!$L$5*EXP(-(EJ17^2)/(2*'transversal subsidence profile'!$J$5^2))*100</f>
        <v>2.617993877991494</v>
      </c>
      <c r="EE76" s="428">
        <f>'transversal subsidence profile'!$L$5*EJ17/'transversal subsidence profile'!$B$5*EXP(-(EJ17^2)/(2*'transversal subsidence profile'!$J$5^2))*100</f>
        <v>0</v>
      </c>
      <c r="EF76" s="436">
        <f>('transversal subsidence profile'!$L$5/'transversal subsidence profile'!$B$5)*(1-((EJ17^2)/(('transversal subsidence profile'!$J$5)^2)))*EXP(-(EJ17^2)/(2*(('transversal subsidence profile'!$J$5)^2)))*100</f>
        <v>0.17453292519943295</v>
      </c>
      <c r="EG76" s="440">
        <f>'transversal subsidence profile'!$L$6*EXP(-(((EJ17+$DZ$4))^2)/(2*'transversal subsidence profile'!$J$6^2))*100</f>
        <v>0.87372870216931453</v>
      </c>
      <c r="EH76" s="429">
        <f>'transversal subsidence profile'!$L$6*(EJ17+$DZ$4)/'transversal subsidence profile'!$F$5*EXP(-((EJ17+$DZ$4)^2)/(2*'transversal subsidence profile'!$J$6^2))*100</f>
        <v>0.58248580144620965</v>
      </c>
      <c r="EI76" s="441">
        <f>('transversal subsidence profile'!$L$6/'transversal subsidence profile'!$F$5)*(1-(EJ17+$DZ$4)^2/(('transversal subsidence profile'!$J$6)^2))*EXP(-((EJ17+$DZ$4)^2)/(2*(('transversal subsidence profile'!$J$6)^2)))*100</f>
        <v>-6.9594668458113657E-2</v>
      </c>
      <c r="EK76" s="445">
        <f>IF('IN-OUT'!$F$26=0,EG76,IF('IN-OUT'!$F$35=0,ED76,ED76+EG76))</f>
        <v>3.4917225801608085</v>
      </c>
      <c r="EL76" s="445">
        <f>IF('IN-OUT'!$F$26=0,EH76,IF('IN-OUT'!$F$35=0,EE76,EE76+EH76))</f>
        <v>0.58248580144620965</v>
      </c>
      <c r="EM76" s="563">
        <f>IF('IN-OUT'!$F$26=0,EI76,IF('IN-OUT'!$F$35=0,EF76,EF76+EI76))</f>
        <v>0.10493825674131929</v>
      </c>
      <c r="EO76" s="463">
        <f>IF(AND($EK$74=$EK$75,$EK$78&gt;$EK$74),$EK$78-$EK$74,IF(AND($EK$74=$EK$75,$EK$78&lt;$EK$74),$EK$74-$EK$78,0))</f>
        <v>0</v>
      </c>
      <c r="EP76" s="370" t="e">
        <f>IF($EK$74&lt;$EK$75,($EK$75-$EK$74)/($EJ$10-$EJ$9),($EK$74-$EK$75)/($EJ$10-$EJ$9))</f>
        <v>#DIV/0!</v>
      </c>
      <c r="EQ76" s="370" t="e">
        <f>IF($EK$74&lt;$EK$75,($EA$17*$EJ$24*$EP$76)+$EK$74,((($EJ$10-$EJ$9)-$EJ$24*$EA$17)*$EP$76)+$EK$75)</f>
        <v>#DIV/0!</v>
      </c>
      <c r="ER76" s="370">
        <f>IF(EK74=EK75,0,IF($EQ$76&gt;$EK$76,($EQ$76-$EK$76),($EK$76-$EQ$76)))</f>
        <v>0</v>
      </c>
      <c r="ES76" s="447">
        <f>MAX(ER76,EO76)</f>
        <v>0</v>
      </c>
      <c r="EV76" s="566" t="s">
        <v>265</v>
      </c>
      <c r="EW76" s="567" t="s">
        <v>264</v>
      </c>
      <c r="EZ76" t="e">
        <f>EV78/(((MAX(T5:T7)/(12*T19)+((((3*T15)/(2*T19*MAX(T5:T7)*U5))*'IN-OUT'!F14)))))</f>
        <v>#DIV/0!</v>
      </c>
      <c r="FA76">
        <f>EV78/(1+(((U5*(MAX(T5:T7))^2)/(18*T15))*('IN-OUT'!F14^-1)))</f>
        <v>0</v>
      </c>
      <c r="FB76" t="e">
        <f>EZ76+EW78</f>
        <v>#DIV/0!</v>
      </c>
      <c r="FC76" t="e">
        <f>EW78*0.35+((EW78^2*(0.35^2))+FA76^2)^0.5</f>
        <v>#DIV/0!</v>
      </c>
      <c r="FD76" s="239" t="str">
        <f>IF(T11="no building","",MAX(FB76:FC76))</f>
        <v/>
      </c>
      <c r="FE76" s="652" t="str">
        <f>IF( T11="no building","",IF(FD76&lt;($P$25*100),0,IF(FD76&lt;($P$26*100),1,IF(FD76&lt;($P$27*100),2,IF(FD76&lt;($P$28*100),3,IF(FD76&gt;($P$28*100),4))))))</f>
        <v/>
      </c>
      <c r="FF76" s="651" t="str">
        <f>IF(T11="no building","",IF(FE76=0,"Negligible",IF(FE76=1,"Very Slight",IF(FE76=2,"Slight",IF(FE76=3,"Moderate",IF(FE76=4,"Severe"))))))</f>
        <v/>
      </c>
    </row>
    <row r="77" spans="20:162" ht="15.6">
      <c r="U77" s="262"/>
      <c r="AE77" s="258">
        <f>(((IF($P$5&lt;&gt;0,$P$5,IF($P$6&lt;&gt;0,$P$6,IF($P$7&lt;&gt;0,$P$7,0))))/(12*$P$19))+(((3*$P$15)/(2*(IF($P$5&lt;&gt;0,$P$5,IF($P$6&lt;&gt;0,$P$6,IF($P$7&lt;&gt;0,$P$7,0))))*$U$5*$P$19))*'IN-OUT'!$F$15))*'Burland damage classification'!AI77</f>
        <v>2.9961421248334035E-4</v>
      </c>
      <c r="AF77" s="254">
        <f>(1+(((IF($P$5&lt;&gt;0,$P$5^2,IF($P$6&lt;&gt;0,$P$6^2,IF($P$7&lt;&gt;0,$P$7^2))))*$U$5)/(18*$P$15))*('IN-OUT'!$F$15^(-1)))*AJ77</f>
        <v>3.4663349950586473E-4</v>
      </c>
      <c r="AG77" s="254">
        <f t="shared" si="88"/>
        <v>2.9961421248334035E-4</v>
      </c>
      <c r="AH77" s="254">
        <f t="shared" si="27"/>
        <v>2.9961421248334036E-2</v>
      </c>
      <c r="AI77" s="254">
        <f t="shared" si="51"/>
        <v>9.3333333333333926E-5</v>
      </c>
      <c r="AJ77" s="253">
        <f t="shared" si="76"/>
        <v>3.2812599206199253E-4</v>
      </c>
      <c r="AK77" s="253">
        <f t="shared" si="52"/>
        <v>4.0666666666666634E-4</v>
      </c>
      <c r="AL77" s="255">
        <f t="shared" si="28"/>
        <v>4.0666666666666636E-2</v>
      </c>
      <c r="AN77" s="258">
        <f>(((IF($P$5&lt;&gt;0,$P$5,IF($P$6&lt;&gt;0,$P$6,IF($P$7&lt;&gt;0,$P$7,0))))/(12*$P$19))+(((3*$P$15)/(2*(IF($P$5&lt;&gt;0,$P$5,IF($P$6&lt;&gt;0,$P$6,IF($P$7&lt;&gt;0,$P$7,0))))*$U$5*$P$19))*'IN-OUT'!$F$15))*'Burland damage classification'!AR77</f>
        <v>1.9046903507869402E-3</v>
      </c>
      <c r="AO77" s="254">
        <f>(1+(((IF($P$5&lt;&gt;0,$P$5^2,IF($P$6&lt;&gt;0,$P$6^2,IF($P$7&lt;&gt;0,$P$7^2))))*$U$5)/(18*$P$15))*('IN-OUT'!$F$15^(-1)))*AS77</f>
        <v>8.9347854711919257E-4</v>
      </c>
      <c r="AP77" s="254">
        <f t="shared" si="89"/>
        <v>8.9347854711919257E-4</v>
      </c>
      <c r="AQ77" s="254">
        <f t="shared" si="29"/>
        <v>8.9347854711919264E-2</v>
      </c>
      <c r="AR77" s="254">
        <f t="shared" si="53"/>
        <v>5.9333333333333417E-4</v>
      </c>
      <c r="AS77" s="253">
        <f t="shared" si="78"/>
        <v>8.4577380742922848E-4</v>
      </c>
      <c r="AT77" s="253">
        <f t="shared" si="54"/>
        <v>4.0666666666666634E-4</v>
      </c>
      <c r="AU77" s="255">
        <f t="shared" si="30"/>
        <v>4.0666666666666636E-2</v>
      </c>
      <c r="AW77" s="258">
        <f>(((IF($P$5&lt;&gt;0,$P$5,IF($P$6&lt;&gt;0,$P$6,IF($P$7&lt;&gt;0,$P$7,0))))/(12*$P$19))+(((3*$P$15)/(2*(IF($P$5&lt;&gt;0,$P$5,IF($P$6&lt;&gt;0,$P$6,IF($P$7&lt;&gt;0,$P$7,0))))*$U$5*$P$19))*'IN-OUT'!$F$15))*'Burland damage classification'!BA77</f>
        <v>5.1148426273941224E-3</v>
      </c>
      <c r="AX77" s="254">
        <f>(1+(((IF($P$5&lt;&gt;0,$P$5^2,IF($P$6&lt;&gt;0,$P$6^2,IF($P$7&lt;&gt;0,$P$7^2))))*$U$5)/(18*$P$15))*('IN-OUT'!$F$15^(-1)))*BB77</f>
        <v>1.9566770865771083E-3</v>
      </c>
      <c r="AY77" s="254">
        <f t="shared" si="90"/>
        <v>1.9566770865771083E-3</v>
      </c>
      <c r="AZ77" s="254">
        <f t="shared" si="31"/>
        <v>0.19566770865771083</v>
      </c>
      <c r="BA77" s="254">
        <f t="shared" si="55"/>
        <v>1.5933333333333294E-3</v>
      </c>
      <c r="BB77" s="270">
        <f t="shared" si="8"/>
        <v>1.8522058920829151E-3</v>
      </c>
      <c r="BC77" s="253">
        <f t="shared" si="56"/>
        <v>4.0666666666666634E-4</v>
      </c>
      <c r="BD77" s="255">
        <f t="shared" si="32"/>
        <v>4.0666666666666636E-2</v>
      </c>
      <c r="BI77" s="248"/>
      <c r="BO77" s="258" t="e">
        <f>((((IF($Q$5=0,$Q$6,$Q$5)))/(12*$Q$19))+(((3*$Q$15)/(2*IF($Q$5=0,$Q$6,$Q$5)*$U$5*$Q$19))*'IN-OUT'!$F$15))*'Burland damage classification'!BS77</f>
        <v>#DIV/0!</v>
      </c>
      <c r="BP77" s="262">
        <f>(1+(((IF($Q$5=0,$Q$6^2,$Q$5^2))*$U$5)/(18*$Q$15))*('IN-OUT'!$F$15^(-1)))*BT77</f>
        <v>3.2812599206199253E-4</v>
      </c>
      <c r="BQ77" s="254" t="e">
        <f t="shared" si="11"/>
        <v>#DIV/0!</v>
      </c>
      <c r="BR77" s="254" t="e">
        <f t="shared" si="35"/>
        <v>#DIV/0!</v>
      </c>
      <c r="BS77" s="254">
        <f t="shared" si="59"/>
        <v>9.3333333333333926E-5</v>
      </c>
      <c r="BT77" s="253">
        <f t="shared" si="82"/>
        <v>3.2812599206199253E-4</v>
      </c>
      <c r="BU77" s="253">
        <f t="shared" si="60"/>
        <v>4.0666666666666634E-4</v>
      </c>
      <c r="BV77" s="255">
        <f t="shared" si="36"/>
        <v>4.0666666666666636E-2</v>
      </c>
      <c r="BX77" s="258" t="e">
        <f>((((IF($Q$5=0,$Q$6,$Q$5)))/(12*$Q$19))+(((3*$Q$15)/(2*IF($Q$5=0,$Q$6,$Q$5)*$U$5*$Q$19))*'IN-OUT'!$F$15))*'Burland damage classification'!CB77</f>
        <v>#DIV/0!</v>
      </c>
      <c r="BY77" s="262">
        <f>(1+(((IF($Q$5=0,$Q$6^2,$Q$5^2))*$U$5)/(18*$Q$15))*('IN-OUT'!$F$15^(-1)))*CC77</f>
        <v>8.4577380742922848E-4</v>
      </c>
      <c r="BZ77" s="254" t="e">
        <f t="shared" si="13"/>
        <v>#DIV/0!</v>
      </c>
      <c r="CA77" s="254" t="e">
        <f t="shared" si="37"/>
        <v>#DIV/0!</v>
      </c>
      <c r="CB77" s="254">
        <f t="shared" si="61"/>
        <v>5.9333333333333417E-4</v>
      </c>
      <c r="CC77" s="253">
        <f t="shared" si="83"/>
        <v>8.4577380742922848E-4</v>
      </c>
      <c r="CD77" s="253">
        <f t="shared" si="62"/>
        <v>4.0666666666666634E-4</v>
      </c>
      <c r="CE77" s="255">
        <f t="shared" si="38"/>
        <v>4.0666666666666636E-2</v>
      </c>
      <c r="CG77" s="258" t="e">
        <f>((((IF($Q$5=0,$Q$6,$Q$5)))/(12*$Q$19))+(((3*$Q$15)/(2*IF($Q$5=0,$Q$6,$Q$5)*$U$5*$Q$19))*'IN-OUT'!$F$15))*'Burland damage classification'!CK77</f>
        <v>#DIV/0!</v>
      </c>
      <c r="CH77" s="262">
        <f>(1+(((IF($Q$5=0,$Q$6^2,$Q$5^2))*$U$5)/(18*$Q$15))*('IN-OUT'!$F$15^(-1)))*CL77</f>
        <v>1.8522058920829151E-3</v>
      </c>
      <c r="CI77" s="254" t="e">
        <f t="shared" si="15"/>
        <v>#DIV/0!</v>
      </c>
      <c r="CJ77" s="254" t="e">
        <f t="shared" si="39"/>
        <v>#DIV/0!</v>
      </c>
      <c r="CK77" s="254">
        <f t="shared" si="63"/>
        <v>1.5933333333333294E-3</v>
      </c>
      <c r="CL77" s="270">
        <f t="shared" si="16"/>
        <v>1.8522058920829151E-3</v>
      </c>
      <c r="CM77" s="253">
        <f t="shared" si="64"/>
        <v>4.0666666666666634E-4</v>
      </c>
      <c r="CN77" s="255">
        <f t="shared" si="40"/>
        <v>4.0666666666666636E-2</v>
      </c>
      <c r="CS77" s="248"/>
      <c r="CY77" s="258" t="e">
        <f>((((IF($R$5=0,$R$6,$R$5)))/(12*$R$19))+(((3*$R$15)/(2*IF($R$5=0,$R$6,$R$5)*$U$5*$R$19))*'IN-OUT'!$F$15))*'Burland damage classification'!DC77</f>
        <v>#DIV/0!</v>
      </c>
      <c r="CZ77" s="262">
        <f>(1+(((IF($R$5=0,$R$6^2,$R$5^2))*$U$5)/(18*$R$15))*('IN-OUT'!$F$15^(-1)))*DD77</f>
        <v>3.2812599206199253E-4</v>
      </c>
      <c r="DA77" s="254" t="e">
        <f t="shared" si="19"/>
        <v>#DIV/0!</v>
      </c>
      <c r="DB77" s="254" t="e">
        <f t="shared" si="43"/>
        <v>#DIV/0!</v>
      </c>
      <c r="DC77" s="254">
        <f t="shared" si="67"/>
        <v>9.3333333333333926E-5</v>
      </c>
      <c r="DD77" s="253">
        <f t="shared" si="86"/>
        <v>3.2812599206199253E-4</v>
      </c>
      <c r="DE77" s="253">
        <f t="shared" si="68"/>
        <v>4.0666666666666634E-4</v>
      </c>
      <c r="DF77" s="255">
        <f t="shared" si="44"/>
        <v>4.0666666666666636E-2</v>
      </c>
      <c r="DH77" s="258" t="e">
        <f>((((IF($R$5=0,$R$6,$R$5)))/(12*$R$19))+(((3*$R$15)/(2*IF($R$5=0,$R$6,$R$5)*$U$5*$R$19))*'IN-OUT'!$F$15))*'Burland damage classification'!DL77</f>
        <v>#DIV/0!</v>
      </c>
      <c r="DI77" s="262">
        <f>(1+(((IF($R$5=0,$R$6^2,$R$5^2))*$U$5)/(18*$R$15))*('IN-OUT'!$F$15^(-1)))*DM77</f>
        <v>8.4577380742922848E-4</v>
      </c>
      <c r="DJ77" s="254" t="e">
        <f t="shared" si="21"/>
        <v>#DIV/0!</v>
      </c>
      <c r="DK77" s="254" t="e">
        <f t="shared" si="45"/>
        <v>#DIV/0!</v>
      </c>
      <c r="DL77" s="254">
        <f t="shared" si="69"/>
        <v>5.9333333333333417E-4</v>
      </c>
      <c r="DM77" s="253">
        <f t="shared" si="87"/>
        <v>8.4577380742922848E-4</v>
      </c>
      <c r="DN77" s="253">
        <f t="shared" si="70"/>
        <v>4.0666666666666634E-4</v>
      </c>
      <c r="DO77" s="255">
        <f t="shared" si="46"/>
        <v>4.0666666666666636E-2</v>
      </c>
      <c r="DQ77" s="258" t="e">
        <f>((((IF($R$5=0,$R$6,$R$5)))/(12*$R$19))+(((3*$R$15)/(2*IF($R$5=0,$R$6,$R$5)*$U$5*$R$19))*'IN-OUT'!$F$15))*'Burland damage classification'!DU77</f>
        <v>#DIV/0!</v>
      </c>
      <c r="DR77" s="262">
        <f>(1+(((IF($R$5=0,$R$6^2,$R$5^2))*$U$5)/(18*$R$15))*('IN-OUT'!$F$15^(-1)))*DV77</f>
        <v>1.8522058920829151E-3</v>
      </c>
      <c r="DS77" s="254" t="e">
        <f t="shared" si="23"/>
        <v>#DIV/0!</v>
      </c>
      <c r="DT77" s="254" t="e">
        <f t="shared" si="47"/>
        <v>#DIV/0!</v>
      </c>
      <c r="DU77" s="254">
        <f t="shared" si="71"/>
        <v>1.5933333333333294E-3</v>
      </c>
      <c r="DV77" s="270">
        <f t="shared" si="24"/>
        <v>1.8522058920829151E-3</v>
      </c>
      <c r="DW77" s="253">
        <f t="shared" si="72"/>
        <v>4.0666666666666634E-4</v>
      </c>
      <c r="DX77" s="255">
        <f t="shared" si="48"/>
        <v>4.0666666666666636E-2</v>
      </c>
      <c r="EA77" s="1240"/>
      <c r="EB77" s="1187"/>
      <c r="EC77" s="452">
        <v>2</v>
      </c>
      <c r="ED77" s="435">
        <f>'transversal subsidence profile'!$L$5*EXP(-(EJ18^2)/(2*'transversal subsidence profile'!$J$5^2))*100</f>
        <v>2.617993877991494</v>
      </c>
      <c r="EE77" s="428">
        <f>'transversal subsidence profile'!$L$5*EJ18/'transversal subsidence profile'!$B$5*EXP(-(EJ18^2)/(2*'transversal subsidence profile'!$J$5^2))*100</f>
        <v>0</v>
      </c>
      <c r="EF77" s="436">
        <f>('transversal subsidence profile'!$L$5/'transversal subsidence profile'!$B$5)*(1-((EJ18^2)/(('transversal subsidence profile'!$J$5)^2)))*EXP(-(EJ18^2)/(2*(('transversal subsidence profile'!$J$5)^2)))*100</f>
        <v>0.17453292519943295</v>
      </c>
      <c r="EG77" s="440">
        <f>'transversal subsidence profile'!$L$6*EXP(-(((EJ18+$DZ$4))^2)/(2*'transversal subsidence profile'!$J$6^2))*100</f>
        <v>0.87372870216931453</v>
      </c>
      <c r="EH77" s="429">
        <f>'transversal subsidence profile'!$L$6*(EJ18+$DZ$4)/'transversal subsidence profile'!$F$5*EXP(-((EJ18+$DZ$4)^2)/(2*'transversal subsidence profile'!$J$6^2))*100</f>
        <v>0.58248580144620965</v>
      </c>
      <c r="EI77" s="441">
        <f>('transversal subsidence profile'!$L$6/'transversal subsidence profile'!$F$5)*(1-(EJ18+$DZ$4)^2/(('transversal subsidence profile'!$J$6)^2))*EXP(-((EJ18+$DZ$4)^2)/(2*(('transversal subsidence profile'!$J$6)^2)))*100</f>
        <v>-6.9594668458113657E-2</v>
      </c>
      <c r="EJ77" s="431"/>
      <c r="EK77" s="445">
        <f>IF('IN-OUT'!$F$26=0,EG77,IF('IN-OUT'!$F$35=0,ED77,ED77+EG77))</f>
        <v>3.4917225801608085</v>
      </c>
      <c r="EL77" s="445">
        <f>IF('IN-OUT'!$F$26=0,EH77,IF('IN-OUT'!$F$35=0,EE77,EE77+EH77))</f>
        <v>0.58248580144620965</v>
      </c>
      <c r="EM77" s="563">
        <f>IF('IN-OUT'!$F$26=0,EI77,IF('IN-OUT'!$F$35=0,EF77,EF77+EI77))</f>
        <v>0.10493825674131929</v>
      </c>
      <c r="EO77" s="463">
        <f>IF(AND($EK$74=$EK$75,$EK$78&gt;$EK$74),$EK$78-$EK$74,IF(AND($EK$74=$EK$75,$EK$78&lt;$EK$74),$EK$74-$EK$78,0))</f>
        <v>0</v>
      </c>
      <c r="EP77" s="370" t="e">
        <f>IF($EK$74&lt;$EK$75,($EK$75-$EK$74)/($EJ$10-$EJ$9),($EK$74-$EK$75)/($EJ$10-$EJ$9))</f>
        <v>#DIV/0!</v>
      </c>
      <c r="EQ77" s="370" t="e">
        <f>IF($EK$74&lt;$EK$75,($EA$18*$EJ$24*$EP$77)+$EK$74,((($EJ$10-$EJ$9)-$EJ$24*$EA$18)*$EP$77)+$EK$75)</f>
        <v>#DIV/0!</v>
      </c>
      <c r="ER77" s="370">
        <f>IF(EK74=EK75,0,IF($EQ$77&gt;$EK$77,($EQ$77-$EK$77),($EK$77-$EQ$77)))</f>
        <v>0</v>
      </c>
      <c r="ES77" s="447">
        <f>MAX(ER77,EO77)</f>
        <v>0</v>
      </c>
      <c r="EV77" s="568"/>
      <c r="EW77" s="255"/>
    </row>
    <row r="78" spans="20:162" ht="13.8" thickBot="1">
      <c r="U78" s="262"/>
      <c r="AE78" s="258">
        <f>(((IF($P$5&lt;&gt;0,$P$5,IF($P$6&lt;&gt;0,$P$6,IF($P$7&lt;&gt;0,$P$7,0))))/(12*$P$19))+(((3*$P$15)/(2*(IF($P$5&lt;&gt;0,$P$5,IF($P$6&lt;&gt;0,$P$6,IF($P$7&lt;&gt;0,$P$7,0))))*$U$5*$P$19))*'IN-OUT'!$F$15))*'Burland damage classification'!AI78</f>
        <v>2.7821319730595909E-4</v>
      </c>
      <c r="AF78" s="254">
        <f>(1+(((IF($P$5&lt;&gt;0,$P$5^2,IF($P$6&lt;&gt;0,$P$6^2,IF($P$7&lt;&gt;0,$P$7^2))))*$U$5)/(18*$P$15))*('IN-OUT'!$F$15^(-1)))*AJ78</f>
        <v>3.4285683507075614E-4</v>
      </c>
      <c r="AG78" s="254">
        <f t="shared" si="88"/>
        <v>2.7821319730595909E-4</v>
      </c>
      <c r="AH78" s="254">
        <f t="shared" si="27"/>
        <v>2.7821319730595907E-2</v>
      </c>
      <c r="AI78" s="254">
        <f t="shared" si="51"/>
        <v>8.6666666666667264E-5</v>
      </c>
      <c r="AJ78" s="253">
        <f t="shared" si="76"/>
        <v>3.2455097185701582E-4</v>
      </c>
      <c r="AK78" s="253">
        <f t="shared" si="52"/>
        <v>4.1333333333333299E-4</v>
      </c>
      <c r="AL78" s="255">
        <f t="shared" si="28"/>
        <v>4.1333333333333298E-2</v>
      </c>
      <c r="AN78" s="258">
        <f>(((IF($P$5&lt;&gt;0,$P$5,IF($P$6&lt;&gt;0,$P$6,IF($P$7&lt;&gt;0,$P$7,0))))/(12*$P$19))+(((3*$P$15)/(2*(IF($P$5&lt;&gt;0,$P$5,IF($P$6&lt;&gt;0,$P$6,IF($P$7&lt;&gt;0,$P$7,0))))*$U$5*$P$19))*'IN-OUT'!$F$15))*'Burland damage classification'!AR78</f>
        <v>1.8832893356095588E-3</v>
      </c>
      <c r="AO78" s="254">
        <f>(1+(((IF($P$5&lt;&gt;0,$P$5^2,IF($P$6&lt;&gt;0,$P$6^2,IF($P$7&lt;&gt;0,$P$7^2))))*$U$5)/(18*$P$15))*('IN-OUT'!$F$15^(-1)))*AS78</f>
        <v>8.9055935619829945E-4</v>
      </c>
      <c r="AP78" s="254">
        <f t="shared" si="89"/>
        <v>8.9055935619829945E-4</v>
      </c>
      <c r="AQ78" s="254">
        <f t="shared" si="29"/>
        <v>8.905593561982994E-2</v>
      </c>
      <c r="AR78" s="254">
        <f t="shared" si="53"/>
        <v>5.8666666666666752E-4</v>
      </c>
      <c r="AS78" s="253">
        <f t="shared" si="78"/>
        <v>8.4301047838485782E-4</v>
      </c>
      <c r="AT78" s="253">
        <f t="shared" si="54"/>
        <v>4.1333333333333299E-4</v>
      </c>
      <c r="AU78" s="255">
        <f t="shared" si="30"/>
        <v>4.1333333333333298E-2</v>
      </c>
      <c r="AW78" s="258">
        <f>(((IF($P$5&lt;&gt;0,$P$5,IF($P$6&lt;&gt;0,$P$6,IF($P$7&lt;&gt;0,$P$7,0))))/(12*$P$19))+(((3*$P$15)/(2*(IF($P$5&lt;&gt;0,$P$5,IF($P$6&lt;&gt;0,$P$6,IF($P$7&lt;&gt;0,$P$7,0))))*$U$5*$P$19))*'IN-OUT'!$F$15))*'Burland damage classification'!BA78</f>
        <v>5.0934416122167415E-3</v>
      </c>
      <c r="AX78" s="254">
        <f>(1+(((IF($P$5&lt;&gt;0,$P$5^2,IF($P$6&lt;&gt;0,$P$6^2,IF($P$7&lt;&gt;0,$P$7^2))))*$U$5)/(18*$P$15))*('IN-OUT'!$F$15^(-1)))*BB78</f>
        <v>1.9540136454580079E-3</v>
      </c>
      <c r="AY78" s="254">
        <f t="shared" si="90"/>
        <v>1.9540136454580079E-3</v>
      </c>
      <c r="AZ78" s="254">
        <f t="shared" si="31"/>
        <v>0.19540136454580079</v>
      </c>
      <c r="BA78" s="254">
        <f t="shared" si="55"/>
        <v>1.5866666666666627E-3</v>
      </c>
      <c r="BB78" s="270">
        <f t="shared" si="8"/>
        <v>1.8496846578088205E-3</v>
      </c>
      <c r="BC78" s="253">
        <f t="shared" si="56"/>
        <v>4.1333333333333299E-4</v>
      </c>
      <c r="BD78" s="255">
        <f t="shared" si="32"/>
        <v>4.1333333333333298E-2</v>
      </c>
      <c r="BI78" s="248"/>
      <c r="BO78" s="258" t="e">
        <f>((((IF($Q$5=0,$Q$6,$Q$5)))/(12*$Q$19))+(((3*$Q$15)/(2*IF($Q$5=0,$Q$6,$Q$5)*$U$5*$Q$19))*'IN-OUT'!$F$15))*'Burland damage classification'!BS78</f>
        <v>#DIV/0!</v>
      </c>
      <c r="BP78" s="262">
        <f>(1+(((IF($Q$5=0,$Q$6^2,$Q$5^2))*$U$5)/(18*$Q$15))*('IN-OUT'!$F$15^(-1)))*BT78</f>
        <v>3.2455097185701582E-4</v>
      </c>
      <c r="BQ78" s="254" t="e">
        <f t="shared" si="11"/>
        <v>#DIV/0!</v>
      </c>
      <c r="BR78" s="254" t="e">
        <f t="shared" si="35"/>
        <v>#DIV/0!</v>
      </c>
      <c r="BS78" s="254">
        <f t="shared" si="59"/>
        <v>8.6666666666667264E-5</v>
      </c>
      <c r="BT78" s="253">
        <f t="shared" si="82"/>
        <v>3.2455097185701582E-4</v>
      </c>
      <c r="BU78" s="253">
        <f t="shared" si="60"/>
        <v>4.1333333333333299E-4</v>
      </c>
      <c r="BV78" s="255">
        <f t="shared" si="36"/>
        <v>4.1333333333333298E-2</v>
      </c>
      <c r="BX78" s="258" t="e">
        <f>((((IF($Q$5=0,$Q$6,$Q$5)))/(12*$Q$19))+(((3*$Q$15)/(2*IF($Q$5=0,$Q$6,$Q$5)*$U$5*$Q$19))*'IN-OUT'!$F$15))*'Burland damage classification'!CB78</f>
        <v>#DIV/0!</v>
      </c>
      <c r="BY78" s="262">
        <f>(1+(((IF($Q$5=0,$Q$6^2,$Q$5^2))*$U$5)/(18*$Q$15))*('IN-OUT'!$F$15^(-1)))*CC78</f>
        <v>8.4301047838485782E-4</v>
      </c>
      <c r="BZ78" s="254" t="e">
        <f t="shared" si="13"/>
        <v>#DIV/0!</v>
      </c>
      <c r="CA78" s="254" t="e">
        <f t="shared" si="37"/>
        <v>#DIV/0!</v>
      </c>
      <c r="CB78" s="254">
        <f t="shared" si="61"/>
        <v>5.8666666666666752E-4</v>
      </c>
      <c r="CC78" s="253">
        <f t="shared" si="83"/>
        <v>8.4301047838485782E-4</v>
      </c>
      <c r="CD78" s="253">
        <f t="shared" si="62"/>
        <v>4.1333333333333299E-4</v>
      </c>
      <c r="CE78" s="255">
        <f t="shared" si="38"/>
        <v>4.1333333333333298E-2</v>
      </c>
      <c r="CG78" s="258" t="e">
        <f>((((IF($Q$5=0,$Q$6,$Q$5)))/(12*$Q$19))+(((3*$Q$15)/(2*IF($Q$5=0,$Q$6,$Q$5)*$U$5*$Q$19))*'IN-OUT'!$F$15))*'Burland damage classification'!CK78</f>
        <v>#DIV/0!</v>
      </c>
      <c r="CH78" s="262">
        <f>(1+(((IF($Q$5=0,$Q$6^2,$Q$5^2))*$U$5)/(18*$Q$15))*('IN-OUT'!$F$15^(-1)))*CL78</f>
        <v>1.8496846578088205E-3</v>
      </c>
      <c r="CI78" s="254" t="e">
        <f t="shared" si="15"/>
        <v>#DIV/0!</v>
      </c>
      <c r="CJ78" s="254" t="e">
        <f t="shared" si="39"/>
        <v>#DIV/0!</v>
      </c>
      <c r="CK78" s="254">
        <f t="shared" si="63"/>
        <v>1.5866666666666627E-3</v>
      </c>
      <c r="CL78" s="270">
        <f t="shared" si="16"/>
        <v>1.8496846578088205E-3</v>
      </c>
      <c r="CM78" s="253">
        <f t="shared" si="64"/>
        <v>4.1333333333333299E-4</v>
      </c>
      <c r="CN78" s="255">
        <f t="shared" si="40"/>
        <v>4.1333333333333298E-2</v>
      </c>
      <c r="CS78" s="248"/>
      <c r="CY78" s="258" t="e">
        <f>((((IF($R$5=0,$R$6,$R$5)))/(12*$R$19))+(((3*$R$15)/(2*IF($R$5=0,$R$6,$R$5)*$U$5*$R$19))*'IN-OUT'!$F$15))*'Burland damage classification'!DC78</f>
        <v>#DIV/0!</v>
      </c>
      <c r="CZ78" s="262">
        <f>(1+(((IF($R$5=0,$R$6^2,$R$5^2))*$U$5)/(18*$R$15))*('IN-OUT'!$F$15^(-1)))*DD78</f>
        <v>3.2455097185701582E-4</v>
      </c>
      <c r="DA78" s="254" t="e">
        <f t="shared" si="19"/>
        <v>#DIV/0!</v>
      </c>
      <c r="DB78" s="254" t="e">
        <f t="shared" si="43"/>
        <v>#DIV/0!</v>
      </c>
      <c r="DC78" s="254">
        <f t="shared" si="67"/>
        <v>8.6666666666667264E-5</v>
      </c>
      <c r="DD78" s="253">
        <f t="shared" si="86"/>
        <v>3.2455097185701582E-4</v>
      </c>
      <c r="DE78" s="253">
        <f t="shared" si="68"/>
        <v>4.1333333333333299E-4</v>
      </c>
      <c r="DF78" s="255">
        <f t="shared" si="44"/>
        <v>4.1333333333333298E-2</v>
      </c>
      <c r="DH78" s="258" t="e">
        <f>((((IF($R$5=0,$R$6,$R$5)))/(12*$R$19))+(((3*$R$15)/(2*IF($R$5=0,$R$6,$R$5)*$U$5*$R$19))*'IN-OUT'!$F$15))*'Burland damage classification'!DL78</f>
        <v>#DIV/0!</v>
      </c>
      <c r="DI78" s="262">
        <f>(1+(((IF($R$5=0,$R$6^2,$R$5^2))*$U$5)/(18*$R$15))*('IN-OUT'!$F$15^(-1)))*DM78</f>
        <v>8.4301047838485782E-4</v>
      </c>
      <c r="DJ78" s="254" t="e">
        <f t="shared" si="21"/>
        <v>#DIV/0!</v>
      </c>
      <c r="DK78" s="254" t="e">
        <f t="shared" si="45"/>
        <v>#DIV/0!</v>
      </c>
      <c r="DL78" s="254">
        <f t="shared" si="69"/>
        <v>5.8666666666666752E-4</v>
      </c>
      <c r="DM78" s="253">
        <f t="shared" si="87"/>
        <v>8.4301047838485782E-4</v>
      </c>
      <c r="DN78" s="253">
        <f t="shared" si="70"/>
        <v>4.1333333333333299E-4</v>
      </c>
      <c r="DO78" s="255">
        <f t="shared" si="46"/>
        <v>4.1333333333333298E-2</v>
      </c>
      <c r="DQ78" s="258" t="e">
        <f>((((IF($R$5=0,$R$6,$R$5)))/(12*$R$19))+(((3*$R$15)/(2*IF($R$5=0,$R$6,$R$5)*$U$5*$R$19))*'IN-OUT'!$F$15))*'Burland damage classification'!DU78</f>
        <v>#DIV/0!</v>
      </c>
      <c r="DR78" s="262">
        <f>(1+(((IF($R$5=0,$R$6^2,$R$5^2))*$U$5)/(18*$R$15))*('IN-OUT'!$F$15^(-1)))*DV78</f>
        <v>1.8496846578088205E-3</v>
      </c>
      <c r="DS78" s="254" t="e">
        <f t="shared" si="23"/>
        <v>#DIV/0!</v>
      </c>
      <c r="DT78" s="254" t="e">
        <f t="shared" si="47"/>
        <v>#DIV/0!</v>
      </c>
      <c r="DU78" s="254">
        <f t="shared" si="71"/>
        <v>1.5866666666666627E-3</v>
      </c>
      <c r="DV78" s="270">
        <f t="shared" si="24"/>
        <v>1.8496846578088205E-3</v>
      </c>
      <c r="DW78" s="253">
        <f t="shared" si="72"/>
        <v>4.1333333333333299E-4</v>
      </c>
      <c r="DX78" s="255">
        <f t="shared" si="48"/>
        <v>4.1333333333333298E-2</v>
      </c>
      <c r="EA78" s="1240"/>
      <c r="EB78" s="1187"/>
      <c r="EC78" s="452">
        <v>3</v>
      </c>
      <c r="ED78" s="435">
        <f>'transversal subsidence profile'!$L$5*EXP(-(EJ19^2)/(2*'transversal subsidence profile'!$J$5^2))*100</f>
        <v>2.617993877991494</v>
      </c>
      <c r="EE78" s="428">
        <f>'transversal subsidence profile'!$L$5*EJ19/'transversal subsidence profile'!$B$5*EXP(-(EJ19^2)/(2*'transversal subsidence profile'!$J$5^2))*100</f>
        <v>0</v>
      </c>
      <c r="EF78" s="436">
        <f>('transversal subsidence profile'!$L$5/'transversal subsidence profile'!$B$5)*(1-((EJ19^2)/(('transversal subsidence profile'!$J$5)^2)))*EXP(-(EJ19^2)/(2*(('transversal subsidence profile'!$J$5)^2)))*100</f>
        <v>0.17453292519943295</v>
      </c>
      <c r="EG78" s="440">
        <f>'transversal subsidence profile'!$L$6*EXP(-(((EJ19+$DZ$4))^2)/(2*'transversal subsidence profile'!$J$6^2))*100</f>
        <v>0.87372870216931453</v>
      </c>
      <c r="EH78" s="429">
        <f>'transversal subsidence profile'!$L$6*(EJ19+$DZ$4)/'transversal subsidence profile'!$F$5*EXP(-((EJ19+$DZ$4)^2)/(2*'transversal subsidence profile'!$J$6^2))*100</f>
        <v>0.58248580144620965</v>
      </c>
      <c r="EI78" s="441">
        <f>('transversal subsidence profile'!$L$6/'transversal subsidence profile'!$F$5)*(1-(EJ19+$DZ$4)^2/(('transversal subsidence profile'!$J$6)^2))*EXP(-((EJ19+$DZ$4)^2)/(2*(('transversal subsidence profile'!$J$6)^2)))*100</f>
        <v>-6.9594668458113657E-2</v>
      </c>
      <c r="EK78" s="445">
        <f>IF('IN-OUT'!$F$26=0,EG78,IF('IN-OUT'!$F$35=0,ED78,ED78+EG78))</f>
        <v>3.4917225801608085</v>
      </c>
      <c r="EL78" s="445">
        <f>IF('IN-OUT'!$F$26=0,EH78,IF('IN-OUT'!$F$35=0,EE78,EE78+EH78))</f>
        <v>0.58248580144620965</v>
      </c>
      <c r="EM78" s="563">
        <f>IF('IN-OUT'!$F$26=0,EI78,IF('IN-OUT'!$F$35=0,EF78,EF78+EI78))</f>
        <v>0.10493825674131929</v>
      </c>
      <c r="EO78" s="463">
        <f>IF(AND($EK$74=$EK$75,$EK$78&gt;$EK$74),$EK$78-$EK$74,IF(AND($EK$74=$EK$75,$EK$78&lt;$EK$74),$EK$74-$EK$78,0))</f>
        <v>0</v>
      </c>
      <c r="EP78" s="370" t="e">
        <f>IF($EK$74&lt;$EK$75,($EK$75-$EK$74)/($EJ$10-$EJ$9),($EK$74-$EK$75)/($EJ$10-$EJ$9))</f>
        <v>#DIV/0!</v>
      </c>
      <c r="EQ78" s="370" t="e">
        <f>IF($EK$74&lt;$EK$75,($EA$19*$EJ$24*$EP$78)+$EK$74,((($EJ$10-$EJ$9)-$EJ$24*$EA$19)*$EP$78)+$EK$75)</f>
        <v>#DIV/0!</v>
      </c>
      <c r="ER78" s="370">
        <f>IF(EK74=EK75,0,IF($EQ$78&gt;$EK$78,($EQ$78-$EK$78),($EK$78-$EQ$78)))</f>
        <v>0</v>
      </c>
      <c r="ES78" s="447">
        <f>MAX(ER78,EO78)</f>
        <v>0</v>
      </c>
      <c r="EV78" s="281">
        <f>IF(T5&gt;0,(MAX(ES76:ES80)/T5),0)</f>
        <v>0</v>
      </c>
      <c r="EW78" s="261" t="e">
        <f>IF(OR('IN-OUT'!$F$26=0,'IN-OUT'!$F$35=0),IF((('Burland damage classification'!EL75-'Burland damage classification'!EL74)/(MAX('Burland damage classification'!T5:T7)))&gt;0,0),IF((((EE75-EE74)+(EH75-EH74))/MAX(T5:T7)&lt;0),-(((EE75-EE74)+(EH75-EH74))/MAX(T5:T7)),0))</f>
        <v>#DIV/0!</v>
      </c>
    </row>
    <row r="79" spans="20:162" ht="13.8" thickBot="1">
      <c r="U79" s="262"/>
      <c r="AE79" s="258">
        <f>(((IF($P$5&lt;&gt;0,$P$5,IF($P$6&lt;&gt;0,$P$6,IF($P$7&lt;&gt;0,$P$7,0))))/(12*$P$19))+(((3*$P$15)/(2*(IF($P$5&lt;&gt;0,$P$5,IF($P$6&lt;&gt;0,$P$6,IF($P$7&lt;&gt;0,$P$7,0))))*$U$5*$P$19))*'IN-OUT'!$F$15))*'Burland damage classification'!AI79</f>
        <v>2.5681218212857777E-4</v>
      </c>
      <c r="AF79" s="254">
        <f>(1+(((IF($P$5&lt;&gt;0,$P$5^2,IF($P$6&lt;&gt;0,$P$6^2,IF($P$7&lt;&gt;0,$P$7^2))))*$U$5)/(18*$P$15))*('IN-OUT'!$F$15^(-1)))*AJ79</f>
        <v>3.3903810365472044E-4</v>
      </c>
      <c r="AG79" s="254">
        <f t="shared" si="88"/>
        <v>2.5681218212857777E-4</v>
      </c>
      <c r="AH79" s="254">
        <f t="shared" si="27"/>
        <v>2.5681218212857779E-2</v>
      </c>
      <c r="AI79" s="254">
        <f t="shared" si="51"/>
        <v>8.0000000000000603E-5</v>
      </c>
      <c r="AJ79" s="253">
        <f t="shared" si="76"/>
        <v>3.2093613071762441E-4</v>
      </c>
      <c r="AK79" s="253">
        <f t="shared" si="52"/>
        <v>4.1999999999999964E-4</v>
      </c>
      <c r="AL79" s="255">
        <f t="shared" si="28"/>
        <v>4.1999999999999961E-2</v>
      </c>
      <c r="AN79" s="258">
        <f>(((IF($P$5&lt;&gt;0,$P$5,IF($P$6&lt;&gt;0,$P$6,IF($P$7&lt;&gt;0,$P$7,0))))/(12*$P$19))+(((3*$P$15)/(2*(IF($P$5&lt;&gt;0,$P$5,IF($P$6&lt;&gt;0,$P$6,IF($P$7&lt;&gt;0,$P$7,0))))*$U$5*$P$19))*'IN-OUT'!$F$15))*'Burland damage classification'!AR79</f>
        <v>1.8618883204321777E-3</v>
      </c>
      <c r="AO79" s="254">
        <f>(1+(((IF($P$5&lt;&gt;0,$P$5^2,IF($P$6&lt;&gt;0,$P$6^2,IF($P$7&lt;&gt;0,$P$7^2))))*$U$5)/(18*$P$15))*('IN-OUT'!$F$15^(-1)))*AS79</f>
        <v>8.8763056485366496E-4</v>
      </c>
      <c r="AP79" s="254">
        <f t="shared" si="89"/>
        <v>8.8763056485366496E-4</v>
      </c>
      <c r="AQ79" s="254">
        <f t="shared" si="29"/>
        <v>8.876305648536649E-2</v>
      </c>
      <c r="AR79" s="254">
        <f t="shared" si="53"/>
        <v>5.8000000000000087E-4</v>
      </c>
      <c r="AS79" s="253">
        <f t="shared" si="78"/>
        <v>8.4023806150400034E-4</v>
      </c>
      <c r="AT79" s="253">
        <f t="shared" si="54"/>
        <v>4.1999999999999964E-4</v>
      </c>
      <c r="AU79" s="255">
        <f t="shared" si="30"/>
        <v>4.1999999999999961E-2</v>
      </c>
      <c r="AW79" s="258">
        <f>(((IF($P$5&lt;&gt;0,$P$5,IF($P$6&lt;&gt;0,$P$6,IF($P$7&lt;&gt;0,$P$7,0))))/(12*$P$19))+(((3*$P$15)/(2*(IF($P$5&lt;&gt;0,$P$5,IF($P$6&lt;&gt;0,$P$6,IF($P$7&lt;&gt;0,$P$7,0))))*$U$5*$P$19))*'IN-OUT'!$F$15))*'Burland damage classification'!BA79</f>
        <v>5.0720405970393597E-3</v>
      </c>
      <c r="AX79" s="254">
        <f>(1+(((IF($P$5&lt;&gt;0,$P$5^2,IF($P$6&lt;&gt;0,$P$6^2,IF($P$7&lt;&gt;0,$P$7^2))))*$U$5)/(18*$P$15))*('IN-OUT'!$F$15^(-1)))*BB79</f>
        <v>1.9513465689457387E-3</v>
      </c>
      <c r="AY79" s="254">
        <f t="shared" si="90"/>
        <v>1.9513465689457387E-3</v>
      </c>
      <c r="AZ79" s="254">
        <f t="shared" si="31"/>
        <v>0.19513465689457388</v>
      </c>
      <c r="BA79" s="254">
        <f t="shared" si="55"/>
        <v>1.5799999999999959E-3</v>
      </c>
      <c r="BB79" s="270">
        <f t="shared" si="8"/>
        <v>1.847159982243011E-3</v>
      </c>
      <c r="BC79" s="253">
        <f t="shared" si="56"/>
        <v>4.1999999999999964E-4</v>
      </c>
      <c r="BD79" s="255">
        <f t="shared" si="32"/>
        <v>4.1999999999999961E-2</v>
      </c>
      <c r="BI79" s="248"/>
      <c r="BO79" s="258" t="e">
        <f>((((IF($Q$5=0,$Q$6,$Q$5)))/(12*$Q$19))+(((3*$Q$15)/(2*IF($Q$5=0,$Q$6,$Q$5)*$U$5*$Q$19))*'IN-OUT'!$F$15))*'Burland damage classification'!BS79</f>
        <v>#DIV/0!</v>
      </c>
      <c r="BP79" s="262">
        <f>(1+(((IF($Q$5=0,$Q$6^2,$Q$5^2))*$U$5)/(18*$Q$15))*('IN-OUT'!$F$15^(-1)))*BT79</f>
        <v>3.2093613071762441E-4</v>
      </c>
      <c r="BQ79" s="254" t="e">
        <f t="shared" si="11"/>
        <v>#DIV/0!</v>
      </c>
      <c r="BR79" s="254" t="e">
        <f t="shared" si="35"/>
        <v>#DIV/0!</v>
      </c>
      <c r="BS79" s="254">
        <f t="shared" si="59"/>
        <v>8.0000000000000603E-5</v>
      </c>
      <c r="BT79" s="253">
        <f t="shared" si="82"/>
        <v>3.2093613071762441E-4</v>
      </c>
      <c r="BU79" s="253">
        <f t="shared" si="60"/>
        <v>4.1999999999999964E-4</v>
      </c>
      <c r="BV79" s="255">
        <f t="shared" si="36"/>
        <v>4.1999999999999961E-2</v>
      </c>
      <c r="BX79" s="258" t="e">
        <f>((((IF($Q$5=0,$Q$6,$Q$5)))/(12*$Q$19))+(((3*$Q$15)/(2*IF($Q$5=0,$Q$6,$Q$5)*$U$5*$Q$19))*'IN-OUT'!$F$15))*'Burland damage classification'!CB79</f>
        <v>#DIV/0!</v>
      </c>
      <c r="BY79" s="262">
        <f>(1+(((IF($Q$5=0,$Q$6^2,$Q$5^2))*$U$5)/(18*$Q$15))*('IN-OUT'!$F$15^(-1)))*CC79</f>
        <v>8.4023806150400034E-4</v>
      </c>
      <c r="BZ79" s="254" t="e">
        <f t="shared" si="13"/>
        <v>#DIV/0!</v>
      </c>
      <c r="CA79" s="254" t="e">
        <f t="shared" si="37"/>
        <v>#DIV/0!</v>
      </c>
      <c r="CB79" s="254">
        <f t="shared" si="61"/>
        <v>5.8000000000000087E-4</v>
      </c>
      <c r="CC79" s="253">
        <f t="shared" si="83"/>
        <v>8.4023806150400034E-4</v>
      </c>
      <c r="CD79" s="253">
        <f t="shared" si="62"/>
        <v>4.1999999999999964E-4</v>
      </c>
      <c r="CE79" s="255">
        <f t="shared" si="38"/>
        <v>4.1999999999999961E-2</v>
      </c>
      <c r="CG79" s="258" t="e">
        <f>((((IF($Q$5=0,$Q$6,$Q$5)))/(12*$Q$19))+(((3*$Q$15)/(2*IF($Q$5=0,$Q$6,$Q$5)*$U$5*$Q$19))*'IN-OUT'!$F$15))*'Burland damage classification'!CK79</f>
        <v>#DIV/0!</v>
      </c>
      <c r="CH79" s="262">
        <f>(1+(((IF($Q$5=0,$Q$6^2,$Q$5^2))*$U$5)/(18*$Q$15))*('IN-OUT'!$F$15^(-1)))*CL79</f>
        <v>1.847159982243011E-3</v>
      </c>
      <c r="CI79" s="254" t="e">
        <f t="shared" si="15"/>
        <v>#DIV/0!</v>
      </c>
      <c r="CJ79" s="254" t="e">
        <f t="shared" si="39"/>
        <v>#DIV/0!</v>
      </c>
      <c r="CK79" s="254">
        <f t="shared" si="63"/>
        <v>1.5799999999999959E-3</v>
      </c>
      <c r="CL79" s="270">
        <f t="shared" si="16"/>
        <v>1.847159982243011E-3</v>
      </c>
      <c r="CM79" s="253">
        <f t="shared" si="64"/>
        <v>4.1999999999999964E-4</v>
      </c>
      <c r="CN79" s="255">
        <f t="shared" si="40"/>
        <v>4.1999999999999961E-2</v>
      </c>
      <c r="CS79" s="248"/>
      <c r="CY79" s="258" t="e">
        <f>((((IF($R$5=0,$R$6,$R$5)))/(12*$R$19))+(((3*$R$15)/(2*IF($R$5=0,$R$6,$R$5)*$U$5*$R$19))*'IN-OUT'!$F$15))*'Burland damage classification'!DC79</f>
        <v>#DIV/0!</v>
      </c>
      <c r="CZ79" s="262">
        <f>(1+(((IF($R$5=0,$R$6^2,$R$5^2))*$U$5)/(18*$R$15))*('IN-OUT'!$F$15^(-1)))*DD79</f>
        <v>3.2093613071762441E-4</v>
      </c>
      <c r="DA79" s="254" t="e">
        <f t="shared" si="19"/>
        <v>#DIV/0!</v>
      </c>
      <c r="DB79" s="254" t="e">
        <f t="shared" si="43"/>
        <v>#DIV/0!</v>
      </c>
      <c r="DC79" s="254">
        <f t="shared" si="67"/>
        <v>8.0000000000000603E-5</v>
      </c>
      <c r="DD79" s="253">
        <f t="shared" si="86"/>
        <v>3.2093613071762441E-4</v>
      </c>
      <c r="DE79" s="253">
        <f t="shared" si="68"/>
        <v>4.1999999999999964E-4</v>
      </c>
      <c r="DF79" s="255">
        <f t="shared" si="44"/>
        <v>4.1999999999999961E-2</v>
      </c>
      <c r="DH79" s="258" t="e">
        <f>((((IF($R$5=0,$R$6,$R$5)))/(12*$R$19))+(((3*$R$15)/(2*IF($R$5=0,$R$6,$R$5)*$U$5*$R$19))*'IN-OUT'!$F$15))*'Burland damage classification'!DL79</f>
        <v>#DIV/0!</v>
      </c>
      <c r="DI79" s="262">
        <f>(1+(((IF($R$5=0,$R$6^2,$R$5^2))*$U$5)/(18*$R$15))*('IN-OUT'!$F$15^(-1)))*DM79</f>
        <v>8.4023806150400034E-4</v>
      </c>
      <c r="DJ79" s="254" t="e">
        <f t="shared" si="21"/>
        <v>#DIV/0!</v>
      </c>
      <c r="DK79" s="254" t="e">
        <f t="shared" si="45"/>
        <v>#DIV/0!</v>
      </c>
      <c r="DL79" s="254">
        <f t="shared" si="69"/>
        <v>5.8000000000000087E-4</v>
      </c>
      <c r="DM79" s="253">
        <f t="shared" si="87"/>
        <v>8.4023806150400034E-4</v>
      </c>
      <c r="DN79" s="253">
        <f t="shared" si="70"/>
        <v>4.1999999999999964E-4</v>
      </c>
      <c r="DO79" s="255">
        <f t="shared" si="46"/>
        <v>4.1999999999999961E-2</v>
      </c>
      <c r="DQ79" s="258" t="e">
        <f>((((IF($R$5=0,$R$6,$R$5)))/(12*$R$19))+(((3*$R$15)/(2*IF($R$5=0,$R$6,$R$5)*$U$5*$R$19))*'IN-OUT'!$F$15))*'Burland damage classification'!DU79</f>
        <v>#DIV/0!</v>
      </c>
      <c r="DR79" s="262">
        <f>(1+(((IF($R$5=0,$R$6^2,$R$5^2))*$U$5)/(18*$R$15))*('IN-OUT'!$F$15^(-1)))*DV79</f>
        <v>1.847159982243011E-3</v>
      </c>
      <c r="DS79" s="254" t="e">
        <f t="shared" si="23"/>
        <v>#DIV/0!</v>
      </c>
      <c r="DT79" s="254" t="e">
        <f t="shared" si="47"/>
        <v>#DIV/0!</v>
      </c>
      <c r="DU79" s="254">
        <f t="shared" si="71"/>
        <v>1.5799999999999959E-3</v>
      </c>
      <c r="DV79" s="270">
        <f t="shared" si="24"/>
        <v>1.847159982243011E-3</v>
      </c>
      <c r="DW79" s="253">
        <f t="shared" si="72"/>
        <v>4.1999999999999964E-4</v>
      </c>
      <c r="DX79" s="255">
        <f t="shared" si="48"/>
        <v>4.1999999999999961E-2</v>
      </c>
      <c r="EA79" s="1240"/>
      <c r="EB79" s="1187"/>
      <c r="EC79" s="452">
        <v>4</v>
      </c>
      <c r="ED79" s="435">
        <f>'transversal subsidence profile'!$L$5*EXP(-(EJ20^2)/(2*'transversal subsidence profile'!$J$5^2))*100</f>
        <v>2.617993877991494</v>
      </c>
      <c r="EE79" s="428">
        <f>'transversal subsidence profile'!$L$5*EJ20/'transversal subsidence profile'!$B$5*EXP(-(EJ20^2)/(2*'transversal subsidence profile'!$J$5^2))*100</f>
        <v>0</v>
      </c>
      <c r="EF79" s="436">
        <f>('transversal subsidence profile'!$L$5/'transversal subsidence profile'!$B$5)*(1-((EJ20^2)/(('transversal subsidence profile'!$J$5)^2)))*EXP(-(EJ20^2)/(2*(('transversal subsidence profile'!$J$5)^2)))*100</f>
        <v>0.17453292519943295</v>
      </c>
      <c r="EG79" s="440">
        <f>'transversal subsidence profile'!$L$6*EXP(-(((EJ20+$DZ$4))^2)/(2*'transversal subsidence profile'!$J$6^2))*100</f>
        <v>0.87372870216931453</v>
      </c>
      <c r="EH79" s="429">
        <f>'transversal subsidence profile'!$L$6*(EJ20+$DZ$4)/'transversal subsidence profile'!$F$5*EXP(-((EJ20+$DZ$4)^2)/(2*'transversal subsidence profile'!$J$6^2))*100</f>
        <v>0.58248580144620965</v>
      </c>
      <c r="EI79" s="441">
        <f>('transversal subsidence profile'!$L$6/'transversal subsidence profile'!$F$5)*(1-(EJ20+$DZ$4)^2/(('transversal subsidence profile'!$J$6)^2))*EXP(-((EJ20+$DZ$4)^2)/(2*(('transversal subsidence profile'!$J$6)^2)))*100</f>
        <v>-6.9594668458113657E-2</v>
      </c>
      <c r="EK79" s="445">
        <f>IF('IN-OUT'!$F$26=0,EG79,IF('IN-OUT'!$F$35=0,ED79,ED79+EG79))</f>
        <v>3.4917225801608085</v>
      </c>
      <c r="EL79" s="445">
        <f>IF('IN-OUT'!$F$26=0,EH79,IF('IN-OUT'!$F$35=0,EE79,EE79+EH79))</f>
        <v>0.58248580144620965</v>
      </c>
      <c r="EM79" s="563">
        <f>IF('IN-OUT'!$F$26=0,EI79,IF('IN-OUT'!$F$35=0,EF79,EF79+EI79))</f>
        <v>0.10493825674131929</v>
      </c>
      <c r="EO79" s="463">
        <f>IF(AND($EK$74=$EK$75,$EK$78&gt;$EK$74),$EK$78-$EK$74,IF(AND($EK$74=$EK$75,$EK$78&lt;$EK$74),$EK$74-$EK$78,0))</f>
        <v>0</v>
      </c>
      <c r="EP79" s="370" t="e">
        <f>IF($EK$74&lt;$EK$75,($EK$75-$EK$74)/($EJ$10-$EJ$9),($EK$74-$EK$75)/($EJ$10-$EJ$9))</f>
        <v>#DIV/0!</v>
      </c>
      <c r="EQ79" s="370" t="e">
        <f>IF($EK$74&lt;$EK$75,($EA$20*$EJ$24*$EP$79)+$EK$74,((($EJ$10-$EJ$9)-$EJ$24*$EA$20)*$EP$79)+$EK$75)</f>
        <v>#DIV/0!</v>
      </c>
      <c r="ER79" s="370">
        <f>IF(EK74=EK75,0,IF($EQ$79&gt;$EK$79,($EQ$79-$EK$79),($EK$79-$EQ$79)))</f>
        <v>0</v>
      </c>
      <c r="ES79" s="447">
        <f>MAX(ER79,EO79)</f>
        <v>0</v>
      </c>
      <c r="FD79" s="680" t="s">
        <v>327</v>
      </c>
      <c r="FE79" s="1235" t="s">
        <v>322</v>
      </c>
      <c r="FF79" s="1127"/>
    </row>
    <row r="80" spans="20:162" ht="13.8" thickBot="1">
      <c r="U80" s="262"/>
      <c r="AE80" s="258">
        <f>(((IF($P$5&lt;&gt;0,$P$5,IF($P$6&lt;&gt;0,$P$6,IF($P$7&lt;&gt;0,$P$7,0))))/(12*$P$19))+(((3*$P$15)/(2*(IF($P$5&lt;&gt;0,$P$5,IF($P$6&lt;&gt;0,$P$6,IF($P$7&lt;&gt;0,$P$7,0))))*$U$5*$P$19))*'IN-OUT'!$F$15))*'Burland damage classification'!AI80</f>
        <v>2.3541116695119648E-4</v>
      </c>
      <c r="AF80" s="254">
        <f>(1+(((IF($P$5&lt;&gt;0,$P$5^2,IF($P$6&lt;&gt;0,$P$6^2,IF($P$7&lt;&gt;0,$P$7^2))))*$U$5)/(18*$P$15))*('IN-OUT'!$F$15^(-1)))*AJ80</f>
        <v>3.3517586742610561E-4</v>
      </c>
      <c r="AG80" s="254">
        <f t="shared" si="88"/>
        <v>2.3541116695119648E-4</v>
      </c>
      <c r="AH80" s="254">
        <f t="shared" si="27"/>
        <v>2.3541116695119647E-2</v>
      </c>
      <c r="AI80" s="254">
        <f t="shared" si="51"/>
        <v>7.3333333333333941E-5</v>
      </c>
      <c r="AJ80" s="253">
        <f t="shared" ref="AJ80:AJ91" si="91">($P$26^2-(2*0.35*$P$26*AK80))^0.5</f>
        <v>3.1728010758108805E-4</v>
      </c>
      <c r="AK80" s="253">
        <f t="shared" si="52"/>
        <v>4.2666666666666629E-4</v>
      </c>
      <c r="AL80" s="255">
        <f t="shared" si="28"/>
        <v>4.2666666666666631E-2</v>
      </c>
      <c r="AN80" s="258">
        <f>(((IF($P$5&lt;&gt;0,$P$5,IF($P$6&lt;&gt;0,$P$6,IF($P$7&lt;&gt;0,$P$7,0))))/(12*$P$19))+(((3*$P$15)/(2*(IF($P$5&lt;&gt;0,$P$5,IF($P$6&lt;&gt;0,$P$6,IF($P$7&lt;&gt;0,$P$7,0))))*$U$5*$P$19))*'IN-OUT'!$F$15))*'Burland damage classification'!AR80</f>
        <v>1.8404873052547963E-3</v>
      </c>
      <c r="AO80" s="254">
        <f>(1+(((IF($P$5&lt;&gt;0,$P$5^2,IF($P$6&lt;&gt;0,$P$6^2,IF($P$7&lt;&gt;0,$P$7^2))))*$U$5)/(18*$P$15))*('IN-OUT'!$F$15^(-1)))*AS80</f>
        <v>8.846920777380924E-4</v>
      </c>
      <c r="AP80" s="254">
        <f t="shared" si="89"/>
        <v>8.846920777380924E-4</v>
      </c>
      <c r="AQ80" s="254">
        <f t="shared" si="29"/>
        <v>8.8469207773809247E-2</v>
      </c>
      <c r="AR80" s="254">
        <f t="shared" si="53"/>
        <v>5.7333333333333422E-4</v>
      </c>
      <c r="AS80" s="253">
        <f t="shared" ref="AS80:AS111" si="92">($P$27^2-(2*0.35*$P$27*AT80))^0.5</f>
        <v>8.3745646653025105E-4</v>
      </c>
      <c r="AT80" s="253">
        <f t="shared" si="54"/>
        <v>4.2666666666666629E-4</v>
      </c>
      <c r="AU80" s="255">
        <f t="shared" si="30"/>
        <v>4.2666666666666631E-2</v>
      </c>
      <c r="AW80" s="258">
        <f>(((IF($P$5&lt;&gt;0,$P$5,IF($P$6&lt;&gt;0,$P$6,IF($P$7&lt;&gt;0,$P$7,0))))/(12*$P$19))+(((3*$P$15)/(2*(IF($P$5&lt;&gt;0,$P$5,IF($P$6&lt;&gt;0,$P$6,IF($P$7&lt;&gt;0,$P$7,0))))*$U$5*$P$19))*'IN-OUT'!$F$15))*'Burland damage classification'!BA80</f>
        <v>5.0506395818619779E-3</v>
      </c>
      <c r="AX80" s="254">
        <f>(1+(((IF($P$5&lt;&gt;0,$P$5^2,IF($P$6&lt;&gt;0,$P$6^2,IF($P$7&lt;&gt;0,$P$7^2))))*$U$5)/(18*$P$15))*('IN-OUT'!$F$15^(-1)))*BB80</f>
        <v>1.9486758421134389E-3</v>
      </c>
      <c r="AY80" s="254">
        <f t="shared" si="90"/>
        <v>1.9486758421134389E-3</v>
      </c>
      <c r="AZ80" s="254">
        <f t="shared" si="31"/>
        <v>0.1948675842113439</v>
      </c>
      <c r="BA80" s="254">
        <f t="shared" si="55"/>
        <v>1.5733333333333291E-3</v>
      </c>
      <c r="BB80" s="270">
        <f t="shared" ref="BB80:BB143" si="93">($P$28^2-(2*0.35*$P$28*BC80))^0.5</f>
        <v>1.8446318512556014E-3</v>
      </c>
      <c r="BC80" s="253">
        <f t="shared" si="56"/>
        <v>4.2666666666666629E-4</v>
      </c>
      <c r="BD80" s="255">
        <f t="shared" si="32"/>
        <v>4.2666666666666631E-2</v>
      </c>
      <c r="BI80" s="248"/>
      <c r="BO80" s="258" t="e">
        <f>((((IF($Q$5=0,$Q$6,$Q$5)))/(12*$Q$19))+(((3*$Q$15)/(2*IF($Q$5=0,$Q$6,$Q$5)*$U$5*$Q$19))*'IN-OUT'!$F$15))*'Burland damage classification'!BS80</f>
        <v>#DIV/0!</v>
      </c>
      <c r="BP80" s="262">
        <f>(1+(((IF($Q$5=0,$Q$6^2,$Q$5^2))*$U$5)/(18*$Q$15))*('IN-OUT'!$F$15^(-1)))*BT80</f>
        <v>3.1728010758108805E-4</v>
      </c>
      <c r="BQ80" s="254" t="e">
        <f t="shared" ref="BQ80:BQ91" si="94">MIN(BO80,BP80)</f>
        <v>#DIV/0!</v>
      </c>
      <c r="BR80" s="254" t="e">
        <f t="shared" si="35"/>
        <v>#DIV/0!</v>
      </c>
      <c r="BS80" s="254">
        <f t="shared" si="59"/>
        <v>7.3333333333333941E-5</v>
      </c>
      <c r="BT80" s="253">
        <f t="shared" ref="BT80:BT91" si="95">($P$26^2-(2*0.35*$P$26*BU80))^0.5</f>
        <v>3.1728010758108805E-4</v>
      </c>
      <c r="BU80" s="253">
        <f t="shared" si="60"/>
        <v>4.2666666666666629E-4</v>
      </c>
      <c r="BV80" s="255">
        <f t="shared" si="36"/>
        <v>4.2666666666666631E-2</v>
      </c>
      <c r="BX80" s="258" t="e">
        <f>((((IF($Q$5=0,$Q$6,$Q$5)))/(12*$Q$19))+(((3*$Q$15)/(2*IF($Q$5=0,$Q$6,$Q$5)*$U$5*$Q$19))*'IN-OUT'!$F$15))*'Burland damage classification'!CB80</f>
        <v>#DIV/0!</v>
      </c>
      <c r="BY80" s="262">
        <f>(1+(((IF($Q$5=0,$Q$6^2,$Q$5^2))*$U$5)/(18*$Q$15))*('IN-OUT'!$F$15^(-1)))*CC80</f>
        <v>8.3745646653025105E-4</v>
      </c>
      <c r="BZ80" s="254" t="e">
        <f t="shared" ref="BZ80:BZ143" si="96">MIN(BX80,BY80)</f>
        <v>#DIV/0!</v>
      </c>
      <c r="CA80" s="254" t="e">
        <f t="shared" si="37"/>
        <v>#DIV/0!</v>
      </c>
      <c r="CB80" s="254">
        <f t="shared" si="61"/>
        <v>5.7333333333333422E-4</v>
      </c>
      <c r="CC80" s="253">
        <f t="shared" ref="CC80:CC111" si="97">($P$27^2-(2*0.35*$P$27*CD80))^0.5</f>
        <v>8.3745646653025105E-4</v>
      </c>
      <c r="CD80" s="253">
        <f t="shared" si="62"/>
        <v>4.2666666666666629E-4</v>
      </c>
      <c r="CE80" s="255">
        <f t="shared" si="38"/>
        <v>4.2666666666666631E-2</v>
      </c>
      <c r="CG80" s="258" t="e">
        <f>((((IF($Q$5=0,$Q$6,$Q$5)))/(12*$Q$19))+(((3*$Q$15)/(2*IF($Q$5=0,$Q$6,$Q$5)*$U$5*$Q$19))*'IN-OUT'!$F$15))*'Burland damage classification'!CK80</f>
        <v>#DIV/0!</v>
      </c>
      <c r="CH80" s="262">
        <f>(1+(((IF($Q$5=0,$Q$6^2,$Q$5^2))*$U$5)/(18*$Q$15))*('IN-OUT'!$F$15^(-1)))*CL80</f>
        <v>1.8446318512556014E-3</v>
      </c>
      <c r="CI80" s="254" t="e">
        <f t="shared" ref="CI80:CI143" si="98">MIN(CG80,CH80)</f>
        <v>#DIV/0!</v>
      </c>
      <c r="CJ80" s="254" t="e">
        <f t="shared" si="39"/>
        <v>#DIV/0!</v>
      </c>
      <c r="CK80" s="254">
        <f t="shared" si="63"/>
        <v>1.5733333333333291E-3</v>
      </c>
      <c r="CL80" s="270">
        <f t="shared" ref="CL80:CL143" si="99">($P$28^2-(2*0.35*$P$28*CM80))^0.5</f>
        <v>1.8446318512556014E-3</v>
      </c>
      <c r="CM80" s="253">
        <f t="shared" si="64"/>
        <v>4.2666666666666629E-4</v>
      </c>
      <c r="CN80" s="255">
        <f t="shared" si="40"/>
        <v>4.2666666666666631E-2</v>
      </c>
      <c r="CS80" s="248"/>
      <c r="CY80" s="258" t="e">
        <f>((((IF($R$5=0,$R$6,$R$5)))/(12*$R$19))+(((3*$R$15)/(2*IF($R$5=0,$R$6,$R$5)*$U$5*$R$19))*'IN-OUT'!$F$15))*'Burland damage classification'!DC80</f>
        <v>#DIV/0!</v>
      </c>
      <c r="CZ80" s="262">
        <f>(1+(((IF($R$5=0,$R$6^2,$R$5^2))*$U$5)/(18*$R$15))*('IN-OUT'!$F$15^(-1)))*DD80</f>
        <v>3.1728010758108805E-4</v>
      </c>
      <c r="DA80" s="254" t="e">
        <f t="shared" ref="DA80:DA91" si="100">MIN(CY80,CZ80)</f>
        <v>#DIV/0!</v>
      </c>
      <c r="DB80" s="254" t="e">
        <f t="shared" si="43"/>
        <v>#DIV/0!</v>
      </c>
      <c r="DC80" s="254">
        <f t="shared" si="67"/>
        <v>7.3333333333333941E-5</v>
      </c>
      <c r="DD80" s="253">
        <f t="shared" ref="DD80:DD91" si="101">($P$26^2-(2*0.35*$P$26*DE80))^0.5</f>
        <v>3.1728010758108805E-4</v>
      </c>
      <c r="DE80" s="253">
        <f t="shared" si="68"/>
        <v>4.2666666666666629E-4</v>
      </c>
      <c r="DF80" s="255">
        <f t="shared" si="44"/>
        <v>4.2666666666666631E-2</v>
      </c>
      <c r="DH80" s="258" t="e">
        <f>((((IF($R$5=0,$R$6,$R$5)))/(12*$R$19))+(((3*$R$15)/(2*IF($R$5=0,$R$6,$R$5)*$U$5*$R$19))*'IN-OUT'!$F$15))*'Burland damage classification'!DL80</f>
        <v>#DIV/0!</v>
      </c>
      <c r="DI80" s="262">
        <f>(1+(((IF($R$5=0,$R$6^2,$R$5^2))*$U$5)/(18*$R$15))*('IN-OUT'!$F$15^(-1)))*DM80</f>
        <v>8.3745646653025105E-4</v>
      </c>
      <c r="DJ80" s="254" t="e">
        <f t="shared" ref="DJ80:DJ143" si="102">MIN(DH80,DI80)</f>
        <v>#DIV/0!</v>
      </c>
      <c r="DK80" s="254" t="e">
        <f t="shared" si="45"/>
        <v>#DIV/0!</v>
      </c>
      <c r="DL80" s="254">
        <f t="shared" si="69"/>
        <v>5.7333333333333422E-4</v>
      </c>
      <c r="DM80" s="253">
        <f t="shared" ref="DM80:DM111" si="103">($P$27^2-(2*0.35*$P$27*DN80))^0.5</f>
        <v>8.3745646653025105E-4</v>
      </c>
      <c r="DN80" s="253">
        <f t="shared" si="70"/>
        <v>4.2666666666666629E-4</v>
      </c>
      <c r="DO80" s="255">
        <f t="shared" si="46"/>
        <v>4.2666666666666631E-2</v>
      </c>
      <c r="DQ80" s="258" t="e">
        <f>((((IF($R$5=0,$R$6,$R$5)))/(12*$R$19))+(((3*$R$15)/(2*IF($R$5=0,$R$6,$R$5)*$U$5*$R$19))*'IN-OUT'!$F$15))*'Burland damage classification'!DU80</f>
        <v>#DIV/0!</v>
      </c>
      <c r="DR80" s="262">
        <f>(1+(((IF($R$5=0,$R$6^2,$R$5^2))*$U$5)/(18*$R$15))*('IN-OUT'!$F$15^(-1)))*DV80</f>
        <v>1.8446318512556014E-3</v>
      </c>
      <c r="DS80" s="254" t="e">
        <f t="shared" ref="DS80:DS143" si="104">MIN(DQ80,DR80)</f>
        <v>#DIV/0!</v>
      </c>
      <c r="DT80" s="254" t="e">
        <f t="shared" si="47"/>
        <v>#DIV/0!</v>
      </c>
      <c r="DU80" s="254">
        <f t="shared" si="71"/>
        <v>1.5733333333333291E-3</v>
      </c>
      <c r="DV80" s="270">
        <f t="shared" ref="DV80:DV143" si="105">($P$28^2-(2*0.35*$P$28*DW80))^0.5</f>
        <v>1.8446318512556014E-3</v>
      </c>
      <c r="DW80" s="253">
        <f t="shared" si="72"/>
        <v>4.2666666666666629E-4</v>
      </c>
      <c r="DX80" s="255">
        <f t="shared" si="48"/>
        <v>4.2666666666666631E-2</v>
      </c>
      <c r="EA80" s="1241"/>
      <c r="EB80" s="1188"/>
      <c r="EC80" s="453">
        <v>5</v>
      </c>
      <c r="ED80" s="454">
        <f>'transversal subsidence profile'!$L$5*EXP(-(EJ21^2)/(2*'transversal subsidence profile'!$J$5^2))*100</f>
        <v>2.617993877991494</v>
      </c>
      <c r="EE80" s="455">
        <f>'transversal subsidence profile'!$L$5*EJ21/'transversal subsidence profile'!$B$5*EXP(-(EJ21^2)/(2*'transversal subsidence profile'!$J$5^2))*100</f>
        <v>0</v>
      </c>
      <c r="EF80" s="456">
        <f>('transversal subsidence profile'!$L$5/'transversal subsidence profile'!$B$5)*(1-((EJ21^2)/(('transversal subsidence profile'!$J$5)^2)))*EXP(-(EJ21^2)/(2*(('transversal subsidence profile'!$J$5)^2)))*100</f>
        <v>0.17453292519943295</v>
      </c>
      <c r="EG80" s="457">
        <f>'transversal subsidence profile'!$L$6*EXP(-(((EJ21+$DZ$4))^2)/(2*'transversal subsidence profile'!$J$6^2))*100</f>
        <v>0.87372870216931453</v>
      </c>
      <c r="EH80" s="458">
        <f>'transversal subsidence profile'!$L$6*(EJ21+$DZ$4)/'transversal subsidence profile'!$F$5*EXP(-((EJ21+$DZ$4)^2)/(2*'transversal subsidence profile'!$J$6^2))*100</f>
        <v>0.58248580144620965</v>
      </c>
      <c r="EI80" s="459">
        <f>('transversal subsidence profile'!$L$6/'transversal subsidence profile'!$F$5)*(1-(EJ21+$DZ$4)^2/(('transversal subsidence profile'!$J$6)^2))*EXP(-((EJ21+$DZ$4)^2)/(2*(('transversal subsidence profile'!$J$6)^2)))*100</f>
        <v>-6.9594668458113657E-2</v>
      </c>
      <c r="EK80" s="564">
        <f>IF('IN-OUT'!$F$26=0,EG80,IF('IN-OUT'!$F$35=0,ED80,ED80+EG80))</f>
        <v>3.4917225801608085</v>
      </c>
      <c r="EL80" s="564">
        <f>IF('IN-OUT'!$F$26=0,EH80,IF('IN-OUT'!$F$35=0,EE80,EE80+EH80))</f>
        <v>0.58248580144620965</v>
      </c>
      <c r="EM80" s="565">
        <f>IF('IN-OUT'!$F$26=0,EI80,IF('IN-OUT'!$F$35=0,EF80,EF80+EI80))</f>
        <v>0.10493825674131929</v>
      </c>
      <c r="EO80" s="465">
        <f>IF(AND($EK$74=$EK$75,$EK$78&gt;$EK$74),$EK$78-$EK$74,IF(AND($EK$74=$EK$75,$EK$78&lt;$EK$74),$EK$74-$EK$78,0))</f>
        <v>0</v>
      </c>
      <c r="EP80" s="415" t="e">
        <f>IF($EK$74&lt;$EK$75,($EK$75-$EK$74)/($EJ$10-$EJ$9),($EK$74-$EK$75)/($EJ$10-$EJ$9))</f>
        <v>#DIV/0!</v>
      </c>
      <c r="EQ80" s="415" t="e">
        <f>IF($EK$74&lt;$EK$75,($EA$21*$EJ$24*$EP$80)+$EK$74,((($EJ$10-$EJ$9)-$EJ$24*$EA$21)*$EP$80)+$EK$75)</f>
        <v>#DIV/0!</v>
      </c>
      <c r="ER80" s="415">
        <f>IF(EK74=EK75,0,IF($EQ$80&gt;$EK$80,($EQ$80-$EK$80),($EK$80-$EQ$80)))</f>
        <v>0</v>
      </c>
      <c r="ES80" s="448">
        <f>MAX(ER80,EO80)</f>
        <v>0</v>
      </c>
      <c r="FD80" s="688">
        <f>IF(P11=Q11=R11=S11=T11="no building","",MAX(FD32,FD43,FD54,FD65,FD76))</f>
        <v>6.9044338690355103E-2</v>
      </c>
      <c r="FE80" s="678">
        <f>IF(P11=Q11=R11=S11=T11="no building","",MAX(FE32,FE43,FE54,FE65,FE76))</f>
        <v>2</v>
      </c>
      <c r="FF80" s="679" t="str">
        <f>IF(P11=Q11=R11=S11=T11="no building","",IF(FE80=0,"Negligible",IF(FE80=1,"Very Slight",IF(FE80=2,"Slight",IF(FE80=3,"Moderate",IF(FE80=4,"Severe"))))))</f>
        <v>Slight</v>
      </c>
    </row>
    <row r="81" spans="21:128">
      <c r="U81" s="262"/>
      <c r="AE81" s="258">
        <f>(((IF($P$5&lt;&gt;0,$P$5,IF($P$6&lt;&gt;0,$P$6,IF($P$7&lt;&gt;0,$P$7,0))))/(12*$P$19))+(((3*$P$15)/(2*(IF($P$5&lt;&gt;0,$P$5,IF($P$6&lt;&gt;0,$P$6,IF($P$7&lt;&gt;0,$P$7,0))))*$U$5*$P$19))*'IN-OUT'!$F$15))*'Burland damage classification'!AI81</f>
        <v>2.1401015177381516E-4</v>
      </c>
      <c r="AF81" s="254">
        <f>(1+(((IF($P$5&lt;&gt;0,$P$5^2,IF($P$6&lt;&gt;0,$P$6^2,IF($P$7&lt;&gt;0,$P$7^2))))*$U$5)/(18*$P$15))*('IN-OUT'!$F$15^(-1)))*AJ81</f>
        <v>3.3126860473020321E-4</v>
      </c>
      <c r="AG81" s="254">
        <f t="shared" si="88"/>
        <v>2.1401015177381516E-4</v>
      </c>
      <c r="AH81" s="254">
        <f t="shared" ref="AH81:AH91" si="106">AG81*100</f>
        <v>2.1401015177381515E-2</v>
      </c>
      <c r="AI81" s="254">
        <f t="shared" si="51"/>
        <v>6.666666666666728E-5</v>
      </c>
      <c r="AJ81" s="253">
        <f t="shared" si="91"/>
        <v>3.1358146203711316E-4</v>
      </c>
      <c r="AK81" s="253">
        <f t="shared" si="52"/>
        <v>4.3333333333333293E-4</v>
      </c>
      <c r="AL81" s="255">
        <f t="shared" ref="AL81:AL91" si="107">AK81*100</f>
        <v>4.3333333333333293E-2</v>
      </c>
      <c r="AN81" s="258">
        <f>(((IF($P$5&lt;&gt;0,$P$5,IF($P$6&lt;&gt;0,$P$6,IF($P$7&lt;&gt;0,$P$7,0))))/(12*$P$19))+(((3*$P$15)/(2*(IF($P$5&lt;&gt;0,$P$5,IF($P$6&lt;&gt;0,$P$6,IF($P$7&lt;&gt;0,$P$7,0))))*$U$5*$P$19))*'IN-OUT'!$F$15))*'Burland damage classification'!AR81</f>
        <v>1.8190862900774151E-3</v>
      </c>
      <c r="AO81" s="254">
        <f>(1+(((IF($P$5&lt;&gt;0,$P$5^2,IF($P$6&lt;&gt;0,$P$6^2,IF($P$7&lt;&gt;0,$P$7^2))))*$U$5)/(18*$P$15))*('IN-OUT'!$F$15^(-1)))*AS81</f>
        <v>8.8174379791561318E-4</v>
      </c>
      <c r="AP81" s="254">
        <f t="shared" si="89"/>
        <v>8.8174379791561318E-4</v>
      </c>
      <c r="AQ81" s="254">
        <f t="shared" ref="AQ81:AQ144" si="108">AP81*100</f>
        <v>8.8174379791561314E-2</v>
      </c>
      <c r="AR81" s="254">
        <f t="shared" si="53"/>
        <v>5.6666666666666757E-4</v>
      </c>
      <c r="AS81" s="253">
        <f t="shared" si="92"/>
        <v>8.3466560170326106E-4</v>
      </c>
      <c r="AT81" s="253">
        <f t="shared" si="54"/>
        <v>4.3333333333333293E-4</v>
      </c>
      <c r="AU81" s="255">
        <f t="shared" ref="AU81:AU144" si="109">AT81*100</f>
        <v>4.3333333333333293E-2</v>
      </c>
      <c r="AW81" s="258">
        <f>(((IF($P$5&lt;&gt;0,$P$5,IF($P$6&lt;&gt;0,$P$6,IF($P$7&lt;&gt;0,$P$7,0))))/(12*$P$19))+(((3*$P$15)/(2*(IF($P$5&lt;&gt;0,$P$5,IF($P$6&lt;&gt;0,$P$6,IF($P$7&lt;&gt;0,$P$7,0))))*$U$5*$P$19))*'IN-OUT'!$F$15))*'Burland damage classification'!BA81</f>
        <v>5.0292385666845961E-3</v>
      </c>
      <c r="AX81" s="254">
        <f>(1+(((IF($P$5&lt;&gt;0,$P$5^2,IF($P$6&lt;&gt;0,$P$6^2,IF($P$7&lt;&gt;0,$P$7^2))))*$U$5)/(18*$P$15))*('IN-OUT'!$F$15^(-1)))*BB81</f>
        <v>1.9460014499318168E-3</v>
      </c>
      <c r="AY81" s="254">
        <f t="shared" si="90"/>
        <v>1.9460014499318168E-3</v>
      </c>
      <c r="AZ81" s="254">
        <f t="shared" ref="AZ81:AZ144" si="110">AY81*100</f>
        <v>0.19460014499318168</v>
      </c>
      <c r="BA81" s="254">
        <f t="shared" si="55"/>
        <v>1.5666666666666624E-3</v>
      </c>
      <c r="BB81" s="270">
        <f t="shared" si="93"/>
        <v>1.8421002506197467E-3</v>
      </c>
      <c r="BC81" s="253">
        <f t="shared" si="56"/>
        <v>4.3333333333333293E-4</v>
      </c>
      <c r="BD81" s="255">
        <f t="shared" ref="BD81:BD144" si="111">BC81*100</f>
        <v>4.3333333333333293E-2</v>
      </c>
      <c r="BI81" s="248"/>
      <c r="BO81" s="258" t="e">
        <f>((((IF($Q$5=0,$Q$6,$Q$5)))/(12*$Q$19))+(((3*$Q$15)/(2*IF($Q$5=0,$Q$6,$Q$5)*$U$5*$Q$19))*'IN-OUT'!$F$15))*'Burland damage classification'!BS81</f>
        <v>#DIV/0!</v>
      </c>
      <c r="BP81" s="262">
        <f>(1+(((IF($Q$5=0,$Q$6^2,$Q$5^2))*$U$5)/(18*$Q$15))*('IN-OUT'!$F$15^(-1)))*BT81</f>
        <v>3.1358146203711316E-4</v>
      </c>
      <c r="BQ81" s="254" t="e">
        <f t="shared" si="94"/>
        <v>#DIV/0!</v>
      </c>
      <c r="BR81" s="254" t="e">
        <f t="shared" ref="BR81:BR91" si="112">BQ81*100</f>
        <v>#DIV/0!</v>
      </c>
      <c r="BS81" s="254">
        <f t="shared" si="59"/>
        <v>6.666666666666728E-5</v>
      </c>
      <c r="BT81" s="253">
        <f t="shared" si="95"/>
        <v>3.1358146203711316E-4</v>
      </c>
      <c r="BU81" s="253">
        <f t="shared" si="60"/>
        <v>4.3333333333333293E-4</v>
      </c>
      <c r="BV81" s="255">
        <f t="shared" ref="BV81:BV91" si="113">BU81*100</f>
        <v>4.3333333333333293E-2</v>
      </c>
      <c r="BX81" s="258" t="e">
        <f>((((IF($Q$5=0,$Q$6,$Q$5)))/(12*$Q$19))+(((3*$Q$15)/(2*IF($Q$5=0,$Q$6,$Q$5)*$U$5*$Q$19))*'IN-OUT'!$F$15))*'Burland damage classification'!CB81</f>
        <v>#DIV/0!</v>
      </c>
      <c r="BY81" s="262">
        <f>(1+(((IF($Q$5=0,$Q$6^2,$Q$5^2))*$U$5)/(18*$Q$15))*('IN-OUT'!$F$15^(-1)))*CC81</f>
        <v>8.3466560170326106E-4</v>
      </c>
      <c r="BZ81" s="254" t="e">
        <f t="shared" si="96"/>
        <v>#DIV/0!</v>
      </c>
      <c r="CA81" s="254" t="e">
        <f t="shared" ref="CA81:CA144" si="114">BZ81*100</f>
        <v>#DIV/0!</v>
      </c>
      <c r="CB81" s="254">
        <f t="shared" si="61"/>
        <v>5.6666666666666757E-4</v>
      </c>
      <c r="CC81" s="253">
        <f t="shared" si="97"/>
        <v>8.3466560170326106E-4</v>
      </c>
      <c r="CD81" s="253">
        <f t="shared" si="62"/>
        <v>4.3333333333333293E-4</v>
      </c>
      <c r="CE81" s="255">
        <f t="shared" ref="CE81:CE144" si="115">CD81*100</f>
        <v>4.3333333333333293E-2</v>
      </c>
      <c r="CG81" s="258" t="e">
        <f>((((IF($Q$5=0,$Q$6,$Q$5)))/(12*$Q$19))+(((3*$Q$15)/(2*IF($Q$5=0,$Q$6,$Q$5)*$U$5*$Q$19))*'IN-OUT'!$F$15))*'Burland damage classification'!CK81</f>
        <v>#DIV/0!</v>
      </c>
      <c r="CH81" s="262">
        <f>(1+(((IF($Q$5=0,$Q$6^2,$Q$5^2))*$U$5)/(18*$Q$15))*('IN-OUT'!$F$15^(-1)))*CL81</f>
        <v>1.8421002506197467E-3</v>
      </c>
      <c r="CI81" s="254" t="e">
        <f t="shared" si="98"/>
        <v>#DIV/0!</v>
      </c>
      <c r="CJ81" s="254" t="e">
        <f t="shared" ref="CJ81:CJ144" si="116">CI81*100</f>
        <v>#DIV/0!</v>
      </c>
      <c r="CK81" s="254">
        <f t="shared" si="63"/>
        <v>1.5666666666666624E-3</v>
      </c>
      <c r="CL81" s="270">
        <f t="shared" si="99"/>
        <v>1.8421002506197467E-3</v>
      </c>
      <c r="CM81" s="253">
        <f t="shared" si="64"/>
        <v>4.3333333333333293E-4</v>
      </c>
      <c r="CN81" s="255">
        <f t="shared" ref="CN81:CN144" si="117">CM81*100</f>
        <v>4.3333333333333293E-2</v>
      </c>
      <c r="CS81" s="248"/>
      <c r="CY81" s="258" t="e">
        <f>((((IF($R$5=0,$R$6,$R$5)))/(12*$R$19))+(((3*$R$15)/(2*IF($R$5=0,$R$6,$R$5)*$U$5*$R$19))*'IN-OUT'!$F$15))*'Burland damage classification'!DC81</f>
        <v>#DIV/0!</v>
      </c>
      <c r="CZ81" s="262">
        <f>(1+(((IF($R$5=0,$R$6^2,$R$5^2))*$U$5)/(18*$R$15))*('IN-OUT'!$F$15^(-1)))*DD81</f>
        <v>3.1358146203711316E-4</v>
      </c>
      <c r="DA81" s="254" t="e">
        <f t="shared" si="100"/>
        <v>#DIV/0!</v>
      </c>
      <c r="DB81" s="254" t="e">
        <f t="shared" ref="DB81:DB91" si="118">DA81*100</f>
        <v>#DIV/0!</v>
      </c>
      <c r="DC81" s="254">
        <f t="shared" si="67"/>
        <v>6.666666666666728E-5</v>
      </c>
      <c r="DD81" s="253">
        <f t="shared" si="101"/>
        <v>3.1358146203711316E-4</v>
      </c>
      <c r="DE81" s="253">
        <f t="shared" si="68"/>
        <v>4.3333333333333293E-4</v>
      </c>
      <c r="DF81" s="255">
        <f t="shared" ref="DF81:DF91" si="119">DE81*100</f>
        <v>4.3333333333333293E-2</v>
      </c>
      <c r="DH81" s="258" t="e">
        <f>((((IF($R$5=0,$R$6,$R$5)))/(12*$R$19))+(((3*$R$15)/(2*IF($R$5=0,$R$6,$R$5)*$U$5*$R$19))*'IN-OUT'!$F$15))*'Burland damage classification'!DL81</f>
        <v>#DIV/0!</v>
      </c>
      <c r="DI81" s="262">
        <f>(1+(((IF($R$5=0,$R$6^2,$R$5^2))*$U$5)/(18*$R$15))*('IN-OUT'!$F$15^(-1)))*DM81</f>
        <v>8.3466560170326106E-4</v>
      </c>
      <c r="DJ81" s="254" t="e">
        <f t="shared" si="102"/>
        <v>#DIV/0!</v>
      </c>
      <c r="DK81" s="254" t="e">
        <f t="shared" ref="DK81:DK144" si="120">DJ81*100</f>
        <v>#DIV/0!</v>
      </c>
      <c r="DL81" s="254">
        <f t="shared" si="69"/>
        <v>5.6666666666666757E-4</v>
      </c>
      <c r="DM81" s="253">
        <f t="shared" si="103"/>
        <v>8.3466560170326106E-4</v>
      </c>
      <c r="DN81" s="253">
        <f t="shared" si="70"/>
        <v>4.3333333333333293E-4</v>
      </c>
      <c r="DO81" s="255">
        <f t="shared" ref="DO81:DO144" si="121">DN81*100</f>
        <v>4.3333333333333293E-2</v>
      </c>
      <c r="DQ81" s="258" t="e">
        <f>((((IF($R$5=0,$R$6,$R$5)))/(12*$R$19))+(((3*$R$15)/(2*IF($R$5=0,$R$6,$R$5)*$U$5*$R$19))*'IN-OUT'!$F$15))*'Burland damage classification'!DU81</f>
        <v>#DIV/0!</v>
      </c>
      <c r="DR81" s="262">
        <f>(1+(((IF($R$5=0,$R$6^2,$R$5^2))*$U$5)/(18*$R$15))*('IN-OUT'!$F$15^(-1)))*DV81</f>
        <v>1.8421002506197467E-3</v>
      </c>
      <c r="DS81" s="254" t="e">
        <f t="shared" si="104"/>
        <v>#DIV/0!</v>
      </c>
      <c r="DT81" s="254" t="e">
        <f t="shared" ref="DT81:DT144" si="122">DS81*100</f>
        <v>#DIV/0!</v>
      </c>
      <c r="DU81" s="254">
        <f t="shared" si="71"/>
        <v>1.5666666666666624E-3</v>
      </c>
      <c r="DV81" s="270">
        <f t="shared" si="105"/>
        <v>1.8421002506197467E-3</v>
      </c>
      <c r="DW81" s="253">
        <f t="shared" si="72"/>
        <v>4.3333333333333293E-4</v>
      </c>
      <c r="DX81" s="255">
        <f t="shared" ref="DX81:DX144" si="123">DW81*100</f>
        <v>4.3333333333333293E-2</v>
      </c>
    </row>
    <row r="82" spans="21:128">
      <c r="U82" s="262"/>
      <c r="AE82" s="258">
        <f>(((IF($P$5&lt;&gt;0,$P$5,IF($P$6&lt;&gt;0,$P$6,IF($P$7&lt;&gt;0,$P$7,0))))/(12*$P$19))+(((3*$P$15)/(2*(IF($P$5&lt;&gt;0,$P$5,IF($P$6&lt;&gt;0,$P$6,IF($P$7&lt;&gt;0,$P$7,0))))*$U$5*$P$19))*'IN-OUT'!$F$15))*'Burland damage classification'!AI82</f>
        <v>1.9260913659643384E-4</v>
      </c>
      <c r="AF82" s="254">
        <f>(1+(((IF($P$5&lt;&gt;0,$P$5^2,IF($P$6&lt;&gt;0,$P$6^2,IF($P$7&lt;&gt;0,$P$7^2))))*$U$5)/(18*$P$15))*('IN-OUT'!$F$15^(-1)))*AJ82</f>
        <v>3.2731470308397238E-4</v>
      </c>
      <c r="AG82" s="254">
        <f t="shared" si="88"/>
        <v>1.9260913659643384E-4</v>
      </c>
      <c r="AH82" s="254">
        <f t="shared" si="106"/>
        <v>1.9260913659643383E-2</v>
      </c>
      <c r="AI82" s="254">
        <f t="shared" ref="AI82:AI91" si="124">AI81-($P$26/75)</f>
        <v>6.0000000000000611E-5</v>
      </c>
      <c r="AJ82" s="253">
        <f t="shared" si="91"/>
        <v>3.098386676965936E-4</v>
      </c>
      <c r="AK82" s="253">
        <f t="shared" ref="AK82:AK91" si="125">AK81+($P$26/75)</f>
        <v>4.3999999999999958E-4</v>
      </c>
      <c r="AL82" s="255">
        <f t="shared" si="107"/>
        <v>4.3999999999999956E-2</v>
      </c>
      <c r="AN82" s="258">
        <f>(((IF($P$5&lt;&gt;0,$P$5,IF($P$6&lt;&gt;0,$P$6,IF($P$7&lt;&gt;0,$P$7,0))))/(12*$P$19))+(((3*$P$15)/(2*(IF($P$5&lt;&gt;0,$P$5,IF($P$6&lt;&gt;0,$P$6,IF($P$7&lt;&gt;0,$P$7,0))))*$U$5*$P$19))*'IN-OUT'!$F$15))*'Burland damage classification'!AR82</f>
        <v>1.7976852749000338E-3</v>
      </c>
      <c r="AO82" s="254">
        <f>(1+(((IF($P$5&lt;&gt;0,$P$5^2,IF($P$6&lt;&gt;0,$P$6^2,IF($P$7&lt;&gt;0,$P$7^2))))*$U$5)/(18*$P$15))*('IN-OUT'!$F$15^(-1)))*AS82</f>
        <v>8.7878562682417393E-4</v>
      </c>
      <c r="AP82" s="254">
        <f t="shared" si="89"/>
        <v>8.7878562682417393E-4</v>
      </c>
      <c r="AQ82" s="254">
        <f t="shared" si="108"/>
        <v>8.7878562682417394E-2</v>
      </c>
      <c r="AR82" s="254">
        <f t="shared" ref="AR82:AR145" si="126">AR81-($P$27/150)</f>
        <v>5.6000000000000093E-4</v>
      </c>
      <c r="AS82" s="253">
        <f t="shared" si="92"/>
        <v>8.3186537372341701E-4</v>
      </c>
      <c r="AT82" s="253">
        <f t="shared" ref="AT82:AT145" si="127">AT81+($P$27/150)</f>
        <v>4.3999999999999958E-4</v>
      </c>
      <c r="AU82" s="255">
        <f t="shared" si="109"/>
        <v>4.3999999999999956E-2</v>
      </c>
      <c r="AW82" s="258">
        <f>(((IF($P$5&lt;&gt;0,$P$5,IF($P$6&lt;&gt;0,$P$6,IF($P$7&lt;&gt;0,$P$7,0))))/(12*$P$19))+(((3*$P$15)/(2*(IF($P$5&lt;&gt;0,$P$5,IF($P$6&lt;&gt;0,$P$6,IF($P$7&lt;&gt;0,$P$7,0))))*$U$5*$P$19))*'IN-OUT'!$F$15))*'Burland damage classification'!BA82</f>
        <v>5.0078375515072151E-3</v>
      </c>
      <c r="AX82" s="254">
        <f>(1+(((IF($P$5&lt;&gt;0,$P$5^2,IF($P$6&lt;&gt;0,$P$6^2,IF($P$7&lt;&gt;0,$P$7^2))))*$U$5)/(18*$P$15))*('IN-OUT'!$F$15^(-1)))*BB82</f>
        <v>1.9433233772681649E-3</v>
      </c>
      <c r="AY82" s="254">
        <f t="shared" si="90"/>
        <v>1.9433233772681649E-3</v>
      </c>
      <c r="AZ82" s="254">
        <f t="shared" si="110"/>
        <v>0.19433233772681649</v>
      </c>
      <c r="BA82" s="254">
        <f t="shared" ref="BA82:BA145" si="128">BA81-($P$28/300)</f>
        <v>1.5599999999999956E-3</v>
      </c>
      <c r="BB82" s="270">
        <f t="shared" si="93"/>
        <v>1.8395651660107072E-3</v>
      </c>
      <c r="BC82" s="253">
        <f t="shared" ref="BC82:BC145" si="129">BC81+($P$28/300)</f>
        <v>4.3999999999999958E-4</v>
      </c>
      <c r="BD82" s="255">
        <f t="shared" si="111"/>
        <v>4.3999999999999956E-2</v>
      </c>
      <c r="BI82" s="248"/>
      <c r="BO82" s="258" t="e">
        <f>((((IF($Q$5=0,$Q$6,$Q$5)))/(12*$Q$19))+(((3*$Q$15)/(2*IF($Q$5=0,$Q$6,$Q$5)*$U$5*$Q$19))*'IN-OUT'!$F$15))*'Burland damage classification'!BS82</f>
        <v>#DIV/0!</v>
      </c>
      <c r="BP82" s="262">
        <f>(1+(((IF($Q$5=0,$Q$6^2,$Q$5^2))*$U$5)/(18*$Q$15))*('IN-OUT'!$F$15^(-1)))*BT82</f>
        <v>3.098386676965936E-4</v>
      </c>
      <c r="BQ82" s="254" t="e">
        <f t="shared" si="94"/>
        <v>#DIV/0!</v>
      </c>
      <c r="BR82" s="254" t="e">
        <f t="shared" si="112"/>
        <v>#DIV/0!</v>
      </c>
      <c r="BS82" s="254">
        <f t="shared" ref="BS82:BS91" si="130">BS81-($P$26/75)</f>
        <v>6.0000000000000611E-5</v>
      </c>
      <c r="BT82" s="253">
        <f t="shared" si="95"/>
        <v>3.098386676965936E-4</v>
      </c>
      <c r="BU82" s="253">
        <f t="shared" ref="BU82:BU91" si="131">BU81+($P$26/75)</f>
        <v>4.3999999999999958E-4</v>
      </c>
      <c r="BV82" s="255">
        <f t="shared" si="113"/>
        <v>4.3999999999999956E-2</v>
      </c>
      <c r="BX82" s="258" t="e">
        <f>((((IF($Q$5=0,$Q$6,$Q$5)))/(12*$Q$19))+(((3*$Q$15)/(2*IF($Q$5=0,$Q$6,$Q$5)*$U$5*$Q$19))*'IN-OUT'!$F$15))*'Burland damage classification'!CB82</f>
        <v>#DIV/0!</v>
      </c>
      <c r="BY82" s="262">
        <f>(1+(((IF($Q$5=0,$Q$6^2,$Q$5^2))*$U$5)/(18*$Q$15))*('IN-OUT'!$F$15^(-1)))*CC82</f>
        <v>8.3186537372341701E-4</v>
      </c>
      <c r="BZ82" s="254" t="e">
        <f t="shared" si="96"/>
        <v>#DIV/0!</v>
      </c>
      <c r="CA82" s="254" t="e">
        <f t="shared" si="114"/>
        <v>#DIV/0!</v>
      </c>
      <c r="CB82" s="254">
        <f t="shared" ref="CB82:CB145" si="132">CB81-($P$27/150)</f>
        <v>5.6000000000000093E-4</v>
      </c>
      <c r="CC82" s="253">
        <f t="shared" si="97"/>
        <v>8.3186537372341701E-4</v>
      </c>
      <c r="CD82" s="253">
        <f t="shared" ref="CD82:CD145" si="133">CD81+($P$27/150)</f>
        <v>4.3999999999999958E-4</v>
      </c>
      <c r="CE82" s="255">
        <f t="shared" si="115"/>
        <v>4.3999999999999956E-2</v>
      </c>
      <c r="CG82" s="258" t="e">
        <f>((((IF($Q$5=0,$Q$6,$Q$5)))/(12*$Q$19))+(((3*$Q$15)/(2*IF($Q$5=0,$Q$6,$Q$5)*$U$5*$Q$19))*'IN-OUT'!$F$15))*'Burland damage classification'!CK82</f>
        <v>#DIV/0!</v>
      </c>
      <c r="CH82" s="262">
        <f>(1+(((IF($Q$5=0,$Q$6^2,$Q$5^2))*$U$5)/(18*$Q$15))*('IN-OUT'!$F$15^(-1)))*CL82</f>
        <v>1.8395651660107072E-3</v>
      </c>
      <c r="CI82" s="254" t="e">
        <f t="shared" si="98"/>
        <v>#DIV/0!</v>
      </c>
      <c r="CJ82" s="254" t="e">
        <f t="shared" si="116"/>
        <v>#DIV/0!</v>
      </c>
      <c r="CK82" s="254">
        <f t="shared" ref="CK82:CK145" si="134">CK81-($P$28/300)</f>
        <v>1.5599999999999956E-3</v>
      </c>
      <c r="CL82" s="270">
        <f t="shared" si="99"/>
        <v>1.8395651660107072E-3</v>
      </c>
      <c r="CM82" s="253">
        <f t="shared" ref="CM82:CM145" si="135">CM81+($P$28/300)</f>
        <v>4.3999999999999958E-4</v>
      </c>
      <c r="CN82" s="255">
        <f t="shared" si="117"/>
        <v>4.3999999999999956E-2</v>
      </c>
      <c r="CS82" s="248"/>
      <c r="CY82" s="258" t="e">
        <f>((((IF($R$5=0,$R$6,$R$5)))/(12*$R$19))+(((3*$R$15)/(2*IF($R$5=0,$R$6,$R$5)*$U$5*$R$19))*'IN-OUT'!$F$15))*'Burland damage classification'!DC82</f>
        <v>#DIV/0!</v>
      </c>
      <c r="CZ82" s="262">
        <f>(1+(((IF($R$5=0,$R$6^2,$R$5^2))*$U$5)/(18*$R$15))*('IN-OUT'!$F$15^(-1)))*DD82</f>
        <v>3.098386676965936E-4</v>
      </c>
      <c r="DA82" s="254" t="e">
        <f t="shared" si="100"/>
        <v>#DIV/0!</v>
      </c>
      <c r="DB82" s="254" t="e">
        <f t="shared" si="118"/>
        <v>#DIV/0!</v>
      </c>
      <c r="DC82" s="254">
        <f t="shared" ref="DC82:DC91" si="136">DC81-($P$26/75)</f>
        <v>6.0000000000000611E-5</v>
      </c>
      <c r="DD82" s="253">
        <f t="shared" si="101"/>
        <v>3.098386676965936E-4</v>
      </c>
      <c r="DE82" s="253">
        <f t="shared" ref="DE82:DE91" si="137">DE81+($P$26/75)</f>
        <v>4.3999999999999958E-4</v>
      </c>
      <c r="DF82" s="255">
        <f t="shared" si="119"/>
        <v>4.3999999999999956E-2</v>
      </c>
      <c r="DH82" s="258" t="e">
        <f>((((IF($R$5=0,$R$6,$R$5)))/(12*$R$19))+(((3*$R$15)/(2*IF($R$5=0,$R$6,$R$5)*$U$5*$R$19))*'IN-OUT'!$F$15))*'Burland damage classification'!DL82</f>
        <v>#DIV/0!</v>
      </c>
      <c r="DI82" s="262">
        <f>(1+(((IF($R$5=0,$R$6^2,$R$5^2))*$U$5)/(18*$R$15))*('IN-OUT'!$F$15^(-1)))*DM82</f>
        <v>8.3186537372341701E-4</v>
      </c>
      <c r="DJ82" s="254" t="e">
        <f t="shared" si="102"/>
        <v>#DIV/0!</v>
      </c>
      <c r="DK82" s="254" t="e">
        <f t="shared" si="120"/>
        <v>#DIV/0!</v>
      </c>
      <c r="DL82" s="254">
        <f t="shared" ref="DL82:DL145" si="138">DL81-($P$27/150)</f>
        <v>5.6000000000000093E-4</v>
      </c>
      <c r="DM82" s="253">
        <f t="shared" si="103"/>
        <v>8.3186537372341701E-4</v>
      </c>
      <c r="DN82" s="253">
        <f t="shared" ref="DN82:DN145" si="139">DN81+($P$27/150)</f>
        <v>4.3999999999999958E-4</v>
      </c>
      <c r="DO82" s="255">
        <f t="shared" si="121"/>
        <v>4.3999999999999956E-2</v>
      </c>
      <c r="DQ82" s="258" t="e">
        <f>((((IF($R$5=0,$R$6,$R$5)))/(12*$R$19))+(((3*$R$15)/(2*IF($R$5=0,$R$6,$R$5)*$U$5*$R$19))*'IN-OUT'!$F$15))*'Burland damage classification'!DU82</f>
        <v>#DIV/0!</v>
      </c>
      <c r="DR82" s="262">
        <f>(1+(((IF($R$5=0,$R$6^2,$R$5^2))*$U$5)/(18*$R$15))*('IN-OUT'!$F$15^(-1)))*DV82</f>
        <v>1.8395651660107072E-3</v>
      </c>
      <c r="DS82" s="254" t="e">
        <f t="shared" si="104"/>
        <v>#DIV/0!</v>
      </c>
      <c r="DT82" s="254" t="e">
        <f t="shared" si="122"/>
        <v>#DIV/0!</v>
      </c>
      <c r="DU82" s="254">
        <f t="shared" ref="DU82:DU145" si="140">DU81-($P$28/300)</f>
        <v>1.5599999999999956E-3</v>
      </c>
      <c r="DV82" s="270">
        <f t="shared" si="105"/>
        <v>1.8395651660107072E-3</v>
      </c>
      <c r="DW82" s="253">
        <f t="shared" ref="DW82:DW145" si="141">DW81+($P$28/300)</f>
        <v>4.3999999999999958E-4</v>
      </c>
      <c r="DX82" s="255">
        <f t="shared" si="123"/>
        <v>4.3999999999999956E-2</v>
      </c>
    </row>
    <row r="83" spans="21:128">
      <c r="U83" s="262"/>
      <c r="AE83" s="258">
        <f>(((IF($P$5&lt;&gt;0,$P$5,IF($P$6&lt;&gt;0,$P$6,IF($P$7&lt;&gt;0,$P$7,0))))/(12*$P$19))+(((3*$P$15)/(2*(IF($P$5&lt;&gt;0,$P$5,IF($P$6&lt;&gt;0,$P$6,IF($P$7&lt;&gt;0,$P$7,0))))*$U$5*$P$19))*'IN-OUT'!$F$15))*'Burland damage classification'!AI83</f>
        <v>1.7120812141905252E-4</v>
      </c>
      <c r="AF83" s="254">
        <f>(1+(((IF($P$5&lt;&gt;0,$P$5^2,IF($P$6&lt;&gt;0,$P$6^2,IF($P$7&lt;&gt;0,$P$7^2))))*$U$5)/(18*$P$15))*('IN-OUT'!$F$15^(-1)))*AJ83</f>
        <v>3.2331245139957464E-4</v>
      </c>
      <c r="AG83" s="254">
        <f t="shared" si="88"/>
        <v>1.7120812141905252E-4</v>
      </c>
      <c r="AH83" s="254">
        <f t="shared" si="106"/>
        <v>1.7120812141905254E-2</v>
      </c>
      <c r="AI83" s="254">
        <f t="shared" si="124"/>
        <v>5.3333333333333943E-5</v>
      </c>
      <c r="AJ83" s="253">
        <f t="shared" si="91"/>
        <v>3.0605010483034768E-4</v>
      </c>
      <c r="AK83" s="253">
        <f t="shared" si="125"/>
        <v>4.4666666666666623E-4</v>
      </c>
      <c r="AL83" s="255">
        <f t="shared" si="107"/>
        <v>4.4666666666666625E-2</v>
      </c>
      <c r="AN83" s="258">
        <f>(((IF($P$5&lt;&gt;0,$P$5,IF($P$6&lt;&gt;0,$P$6,IF($P$7&lt;&gt;0,$P$7,0))))/(12*$P$19))+(((3*$P$15)/(2*(IF($P$5&lt;&gt;0,$P$5,IF($P$6&lt;&gt;0,$P$6,IF($P$7&lt;&gt;0,$P$7,0))))*$U$5*$P$19))*'IN-OUT'!$F$15))*'Burland damage classification'!AR83</f>
        <v>1.7762842597226526E-3</v>
      </c>
      <c r="AO83" s="254">
        <f>(1+(((IF($P$5&lt;&gt;0,$P$5^2,IF($P$6&lt;&gt;0,$P$6^2,IF($P$7&lt;&gt;0,$P$7^2))))*$U$5)/(18*$P$15))*('IN-OUT'!$F$15^(-1)))*AS83</f>
        <v>8.7581746423719088E-4</v>
      </c>
      <c r="AP83" s="254">
        <f t="shared" si="89"/>
        <v>8.7581746423719088E-4</v>
      </c>
      <c r="AQ83" s="254">
        <f t="shared" si="108"/>
        <v>8.758174642371909E-2</v>
      </c>
      <c r="AR83" s="254">
        <f t="shared" si="126"/>
        <v>5.5333333333333428E-4</v>
      </c>
      <c r="AS83" s="253">
        <f t="shared" si="92"/>
        <v>8.2905568771544751E-4</v>
      </c>
      <c r="AT83" s="253">
        <f t="shared" si="127"/>
        <v>4.4666666666666623E-4</v>
      </c>
      <c r="AU83" s="255">
        <f t="shared" si="109"/>
        <v>4.4666666666666625E-2</v>
      </c>
      <c r="AW83" s="258">
        <f>(((IF($P$5&lt;&gt;0,$P$5,IF($P$6&lt;&gt;0,$P$6,IF($P$7&lt;&gt;0,$P$7,0))))/(12*$P$19))+(((3*$P$15)/(2*(IF($P$5&lt;&gt;0,$P$5,IF($P$6&lt;&gt;0,$P$6,IF($P$7&lt;&gt;0,$P$7,0))))*$U$5*$P$19))*'IN-OUT'!$F$15))*'Burland damage classification'!BA83</f>
        <v>4.9864365363298333E-3</v>
      </c>
      <c r="AX83" s="254">
        <f>(1+(((IF($P$5&lt;&gt;0,$P$5^2,IF($P$6&lt;&gt;0,$P$6^2,IF($P$7&lt;&gt;0,$P$7^2))))*$U$5)/(18*$P$15))*('IN-OUT'!$F$15^(-1)))*BB83</f>
        <v>1.9406416088853602E-3</v>
      </c>
      <c r="AY83" s="254">
        <f t="shared" si="90"/>
        <v>1.9406416088853602E-3</v>
      </c>
      <c r="AZ83" s="254">
        <f t="shared" si="110"/>
        <v>0.19406416088853601</v>
      </c>
      <c r="BA83" s="254">
        <f t="shared" si="128"/>
        <v>1.5533333333333289E-3</v>
      </c>
      <c r="BB83" s="270">
        <f t="shared" si="93"/>
        <v>1.8370265830049022E-3</v>
      </c>
      <c r="BC83" s="253">
        <f t="shared" si="129"/>
        <v>4.4666666666666623E-4</v>
      </c>
      <c r="BD83" s="255">
        <f t="shared" si="111"/>
        <v>4.4666666666666625E-2</v>
      </c>
      <c r="BI83" s="248"/>
      <c r="BO83" s="258" t="e">
        <f>((((IF($Q$5=0,$Q$6,$Q$5)))/(12*$Q$19))+(((3*$Q$15)/(2*IF($Q$5=0,$Q$6,$Q$5)*$U$5*$Q$19))*'IN-OUT'!$F$15))*'Burland damage classification'!BS83</f>
        <v>#DIV/0!</v>
      </c>
      <c r="BP83" s="262">
        <f>(1+(((IF($Q$5=0,$Q$6^2,$Q$5^2))*$U$5)/(18*$Q$15))*('IN-OUT'!$F$15^(-1)))*BT83</f>
        <v>3.0605010483034768E-4</v>
      </c>
      <c r="BQ83" s="254" t="e">
        <f t="shared" si="94"/>
        <v>#DIV/0!</v>
      </c>
      <c r="BR83" s="254" t="e">
        <f t="shared" si="112"/>
        <v>#DIV/0!</v>
      </c>
      <c r="BS83" s="254">
        <f t="shared" si="130"/>
        <v>5.3333333333333943E-5</v>
      </c>
      <c r="BT83" s="253">
        <f t="shared" si="95"/>
        <v>3.0605010483034768E-4</v>
      </c>
      <c r="BU83" s="253">
        <f t="shared" si="131"/>
        <v>4.4666666666666623E-4</v>
      </c>
      <c r="BV83" s="255">
        <f t="shared" si="113"/>
        <v>4.4666666666666625E-2</v>
      </c>
      <c r="BX83" s="258" t="e">
        <f>((((IF($Q$5=0,$Q$6,$Q$5)))/(12*$Q$19))+(((3*$Q$15)/(2*IF($Q$5=0,$Q$6,$Q$5)*$U$5*$Q$19))*'IN-OUT'!$F$15))*'Burland damage classification'!CB83</f>
        <v>#DIV/0!</v>
      </c>
      <c r="BY83" s="262">
        <f>(1+(((IF($Q$5=0,$Q$6^2,$Q$5^2))*$U$5)/(18*$Q$15))*('IN-OUT'!$F$15^(-1)))*CC83</f>
        <v>8.2905568771544751E-4</v>
      </c>
      <c r="BZ83" s="254" t="e">
        <f t="shared" si="96"/>
        <v>#DIV/0!</v>
      </c>
      <c r="CA83" s="254" t="e">
        <f t="shared" si="114"/>
        <v>#DIV/0!</v>
      </c>
      <c r="CB83" s="254">
        <f t="shared" si="132"/>
        <v>5.5333333333333428E-4</v>
      </c>
      <c r="CC83" s="253">
        <f t="shared" si="97"/>
        <v>8.2905568771544751E-4</v>
      </c>
      <c r="CD83" s="253">
        <f t="shared" si="133"/>
        <v>4.4666666666666623E-4</v>
      </c>
      <c r="CE83" s="255">
        <f t="shared" si="115"/>
        <v>4.4666666666666625E-2</v>
      </c>
      <c r="CG83" s="258" t="e">
        <f>((((IF($Q$5=0,$Q$6,$Q$5)))/(12*$Q$19))+(((3*$Q$15)/(2*IF($Q$5=0,$Q$6,$Q$5)*$U$5*$Q$19))*'IN-OUT'!$F$15))*'Burland damage classification'!CK83</f>
        <v>#DIV/0!</v>
      </c>
      <c r="CH83" s="262">
        <f>(1+(((IF($Q$5=0,$Q$6^2,$Q$5^2))*$U$5)/(18*$Q$15))*('IN-OUT'!$F$15^(-1)))*CL83</f>
        <v>1.8370265830049022E-3</v>
      </c>
      <c r="CI83" s="254" t="e">
        <f t="shared" si="98"/>
        <v>#DIV/0!</v>
      </c>
      <c r="CJ83" s="254" t="e">
        <f t="shared" si="116"/>
        <v>#DIV/0!</v>
      </c>
      <c r="CK83" s="254">
        <f t="shared" si="134"/>
        <v>1.5533333333333289E-3</v>
      </c>
      <c r="CL83" s="270">
        <f t="shared" si="99"/>
        <v>1.8370265830049022E-3</v>
      </c>
      <c r="CM83" s="253">
        <f t="shared" si="135"/>
        <v>4.4666666666666623E-4</v>
      </c>
      <c r="CN83" s="255">
        <f t="shared" si="117"/>
        <v>4.4666666666666625E-2</v>
      </c>
      <c r="CS83" s="248"/>
      <c r="CY83" s="258" t="e">
        <f>((((IF($R$5=0,$R$6,$R$5)))/(12*$R$19))+(((3*$R$15)/(2*IF($R$5=0,$R$6,$R$5)*$U$5*$R$19))*'IN-OUT'!$F$15))*'Burland damage classification'!DC83</f>
        <v>#DIV/0!</v>
      </c>
      <c r="CZ83" s="262">
        <f>(1+(((IF($R$5=0,$R$6^2,$R$5^2))*$U$5)/(18*$R$15))*('IN-OUT'!$F$15^(-1)))*DD83</f>
        <v>3.0605010483034768E-4</v>
      </c>
      <c r="DA83" s="254" t="e">
        <f t="shared" si="100"/>
        <v>#DIV/0!</v>
      </c>
      <c r="DB83" s="254" t="e">
        <f t="shared" si="118"/>
        <v>#DIV/0!</v>
      </c>
      <c r="DC83" s="254">
        <f t="shared" si="136"/>
        <v>5.3333333333333943E-5</v>
      </c>
      <c r="DD83" s="253">
        <f t="shared" si="101"/>
        <v>3.0605010483034768E-4</v>
      </c>
      <c r="DE83" s="253">
        <f t="shared" si="137"/>
        <v>4.4666666666666623E-4</v>
      </c>
      <c r="DF83" s="255">
        <f t="shared" si="119"/>
        <v>4.4666666666666625E-2</v>
      </c>
      <c r="DH83" s="258" t="e">
        <f>((((IF($R$5=0,$R$6,$R$5)))/(12*$R$19))+(((3*$R$15)/(2*IF($R$5=0,$R$6,$R$5)*$U$5*$R$19))*'IN-OUT'!$F$15))*'Burland damage classification'!DL83</f>
        <v>#DIV/0!</v>
      </c>
      <c r="DI83" s="262">
        <f>(1+(((IF($R$5=0,$R$6^2,$R$5^2))*$U$5)/(18*$R$15))*('IN-OUT'!$F$15^(-1)))*DM83</f>
        <v>8.2905568771544751E-4</v>
      </c>
      <c r="DJ83" s="254" t="e">
        <f t="shared" si="102"/>
        <v>#DIV/0!</v>
      </c>
      <c r="DK83" s="254" t="e">
        <f t="shared" si="120"/>
        <v>#DIV/0!</v>
      </c>
      <c r="DL83" s="254">
        <f t="shared" si="138"/>
        <v>5.5333333333333428E-4</v>
      </c>
      <c r="DM83" s="253">
        <f t="shared" si="103"/>
        <v>8.2905568771544751E-4</v>
      </c>
      <c r="DN83" s="253">
        <f t="shared" si="139"/>
        <v>4.4666666666666623E-4</v>
      </c>
      <c r="DO83" s="255">
        <f t="shared" si="121"/>
        <v>4.4666666666666625E-2</v>
      </c>
      <c r="DQ83" s="258" t="e">
        <f>((((IF($R$5=0,$R$6,$R$5)))/(12*$R$19))+(((3*$R$15)/(2*IF($R$5=0,$R$6,$R$5)*$U$5*$R$19))*'IN-OUT'!$F$15))*'Burland damage classification'!DU83</f>
        <v>#DIV/0!</v>
      </c>
      <c r="DR83" s="262">
        <f>(1+(((IF($R$5=0,$R$6^2,$R$5^2))*$U$5)/(18*$R$15))*('IN-OUT'!$F$15^(-1)))*DV83</f>
        <v>1.8370265830049022E-3</v>
      </c>
      <c r="DS83" s="254" t="e">
        <f t="shared" si="104"/>
        <v>#DIV/0!</v>
      </c>
      <c r="DT83" s="254" t="e">
        <f t="shared" si="122"/>
        <v>#DIV/0!</v>
      </c>
      <c r="DU83" s="254">
        <f t="shared" si="140"/>
        <v>1.5533333333333289E-3</v>
      </c>
      <c r="DV83" s="270">
        <f t="shared" si="105"/>
        <v>1.8370265830049022E-3</v>
      </c>
      <c r="DW83" s="253">
        <f t="shared" si="141"/>
        <v>4.4666666666666623E-4</v>
      </c>
      <c r="DX83" s="255">
        <f t="shared" si="123"/>
        <v>4.4666666666666625E-2</v>
      </c>
    </row>
    <row r="84" spans="21:128">
      <c r="U84" s="262"/>
      <c r="AE84" s="258">
        <f>(((IF($P$5&lt;&gt;0,$P$5,IF($P$6&lt;&gt;0,$P$6,IF($P$7&lt;&gt;0,$P$7,0))))/(12*$P$19))+(((3*$P$15)/(2*(IF($P$5&lt;&gt;0,$P$5,IF($P$6&lt;&gt;0,$P$6,IF($P$7&lt;&gt;0,$P$7,0))))*$U$5*$P$19))*'IN-OUT'!$F$15))*'Burland damage classification'!AI84</f>
        <v>1.4980710624167118E-4</v>
      </c>
      <c r="AF84" s="254">
        <f>(1+(((IF($P$5&lt;&gt;0,$P$5^2,IF($P$6&lt;&gt;0,$P$6^2,IF($P$7&lt;&gt;0,$P$7^2))))*$U$5)/(18*$P$15))*('IN-OUT'!$F$15^(-1)))*AJ84</f>
        <v>3.1926003133034937E-4</v>
      </c>
      <c r="AG84" s="254">
        <f t="shared" si="88"/>
        <v>1.4980710624167118E-4</v>
      </c>
      <c r="AH84" s="254">
        <f t="shared" si="106"/>
        <v>1.4980710624167119E-2</v>
      </c>
      <c r="AI84" s="254">
        <f t="shared" si="124"/>
        <v>4.6666666666667275E-5</v>
      </c>
      <c r="AJ84" s="253">
        <f t="shared" si="91"/>
        <v>3.022140521771506E-4</v>
      </c>
      <c r="AK84" s="253">
        <f t="shared" si="125"/>
        <v>4.5333333333333288E-4</v>
      </c>
      <c r="AL84" s="255">
        <f t="shared" si="107"/>
        <v>4.5333333333333288E-2</v>
      </c>
      <c r="AN84" s="258">
        <f>(((IF($P$5&lt;&gt;0,$P$5,IF($P$6&lt;&gt;0,$P$6,IF($P$7&lt;&gt;0,$P$7,0))))/(12*$P$19))+(((3*$P$15)/(2*(IF($P$5&lt;&gt;0,$P$5,IF($P$6&lt;&gt;0,$P$6,IF($P$7&lt;&gt;0,$P$7,0))))*$U$5*$P$19))*'IN-OUT'!$F$15))*'Burland damage classification'!AR84</f>
        <v>1.7548832445452712E-3</v>
      </c>
      <c r="AO84" s="254">
        <f>(1+(((IF($P$5&lt;&gt;0,$P$5^2,IF($P$6&lt;&gt;0,$P$6^2,IF($P$7&lt;&gt;0,$P$7^2))))*$U$5)/(18*$P$15))*('IN-OUT'!$F$15^(-1)))*AS84</f>
        <v>8.7283920822392577E-4</v>
      </c>
      <c r="AP84" s="254">
        <f t="shared" si="89"/>
        <v>8.7283920822392577E-4</v>
      </c>
      <c r="AQ84" s="254">
        <f t="shared" si="108"/>
        <v>8.7283920822392572E-2</v>
      </c>
      <c r="AR84" s="254">
        <f t="shared" si="126"/>
        <v>5.4666666666666763E-4</v>
      </c>
      <c r="AS84" s="253">
        <f t="shared" si="92"/>
        <v>8.2623644719091575E-4</v>
      </c>
      <c r="AT84" s="253">
        <f t="shared" si="127"/>
        <v>4.5333333333333288E-4</v>
      </c>
      <c r="AU84" s="255">
        <f t="shared" si="109"/>
        <v>4.5333333333333288E-2</v>
      </c>
      <c r="AW84" s="258">
        <f>(((IF($P$5&lt;&gt;0,$P$5,IF($P$6&lt;&gt;0,$P$6,IF($P$7&lt;&gt;0,$P$7,0))))/(12*$P$19))+(((3*$P$15)/(2*(IF($P$5&lt;&gt;0,$P$5,IF($P$6&lt;&gt;0,$P$6,IF($P$7&lt;&gt;0,$P$7,0))))*$U$5*$P$19))*'IN-OUT'!$F$15))*'Burland damage classification'!BA84</f>
        <v>4.9650355211524515E-3</v>
      </c>
      <c r="AX84" s="254">
        <f>(1+(((IF($P$5&lt;&gt;0,$P$5^2,IF($P$6&lt;&gt;0,$P$6^2,IF($P$7&lt;&gt;0,$P$7^2))))*$U$5)/(18*$P$15))*('IN-OUT'!$F$15^(-1)))*BB84</f>
        <v>1.9379561294408534E-3</v>
      </c>
      <c r="AY84" s="254">
        <f t="shared" si="90"/>
        <v>1.9379561294408534E-3</v>
      </c>
      <c r="AZ84" s="254">
        <f t="shared" si="110"/>
        <v>0.19379561294408534</v>
      </c>
      <c r="BA84" s="254">
        <f t="shared" si="128"/>
        <v>1.5466666666666621E-3</v>
      </c>
      <c r="BB84" s="270">
        <f t="shared" si="93"/>
        <v>1.8344844870789544E-3</v>
      </c>
      <c r="BC84" s="253">
        <f t="shared" si="129"/>
        <v>4.5333333333333288E-4</v>
      </c>
      <c r="BD84" s="255">
        <f t="shared" si="111"/>
        <v>4.5333333333333288E-2</v>
      </c>
      <c r="BI84" s="248"/>
      <c r="BO84" s="258" t="e">
        <f>((((IF($Q$5=0,$Q$6,$Q$5)))/(12*$Q$19))+(((3*$Q$15)/(2*IF($Q$5=0,$Q$6,$Q$5)*$U$5*$Q$19))*'IN-OUT'!$F$15))*'Burland damage classification'!BS84</f>
        <v>#DIV/0!</v>
      </c>
      <c r="BP84" s="262">
        <f>(1+(((IF($Q$5=0,$Q$6^2,$Q$5^2))*$U$5)/(18*$Q$15))*('IN-OUT'!$F$15^(-1)))*BT84</f>
        <v>3.022140521771506E-4</v>
      </c>
      <c r="BQ84" s="254" t="e">
        <f t="shared" si="94"/>
        <v>#DIV/0!</v>
      </c>
      <c r="BR84" s="254" t="e">
        <f t="shared" si="112"/>
        <v>#DIV/0!</v>
      </c>
      <c r="BS84" s="254">
        <f t="shared" si="130"/>
        <v>4.6666666666667275E-5</v>
      </c>
      <c r="BT84" s="253">
        <f t="shared" si="95"/>
        <v>3.022140521771506E-4</v>
      </c>
      <c r="BU84" s="253">
        <f t="shared" si="131"/>
        <v>4.5333333333333288E-4</v>
      </c>
      <c r="BV84" s="255">
        <f t="shared" si="113"/>
        <v>4.5333333333333288E-2</v>
      </c>
      <c r="BX84" s="258" t="e">
        <f>((((IF($Q$5=0,$Q$6,$Q$5)))/(12*$Q$19))+(((3*$Q$15)/(2*IF($Q$5=0,$Q$6,$Q$5)*$U$5*$Q$19))*'IN-OUT'!$F$15))*'Burland damage classification'!CB84</f>
        <v>#DIV/0!</v>
      </c>
      <c r="BY84" s="262">
        <f>(1+(((IF($Q$5=0,$Q$6^2,$Q$5^2))*$U$5)/(18*$Q$15))*('IN-OUT'!$F$15^(-1)))*CC84</f>
        <v>8.2623644719091575E-4</v>
      </c>
      <c r="BZ84" s="254" t="e">
        <f t="shared" si="96"/>
        <v>#DIV/0!</v>
      </c>
      <c r="CA84" s="254" t="e">
        <f t="shared" si="114"/>
        <v>#DIV/0!</v>
      </c>
      <c r="CB84" s="254">
        <f t="shared" si="132"/>
        <v>5.4666666666666763E-4</v>
      </c>
      <c r="CC84" s="253">
        <f t="shared" si="97"/>
        <v>8.2623644719091575E-4</v>
      </c>
      <c r="CD84" s="253">
        <f t="shared" si="133"/>
        <v>4.5333333333333288E-4</v>
      </c>
      <c r="CE84" s="255">
        <f t="shared" si="115"/>
        <v>4.5333333333333288E-2</v>
      </c>
      <c r="CG84" s="258" t="e">
        <f>((((IF($Q$5=0,$Q$6,$Q$5)))/(12*$Q$19))+(((3*$Q$15)/(2*IF($Q$5=0,$Q$6,$Q$5)*$U$5*$Q$19))*'IN-OUT'!$F$15))*'Burland damage classification'!CK84</f>
        <v>#DIV/0!</v>
      </c>
      <c r="CH84" s="262">
        <f>(1+(((IF($Q$5=0,$Q$6^2,$Q$5^2))*$U$5)/(18*$Q$15))*('IN-OUT'!$F$15^(-1)))*CL84</f>
        <v>1.8344844870789544E-3</v>
      </c>
      <c r="CI84" s="254" t="e">
        <f t="shared" si="98"/>
        <v>#DIV/0!</v>
      </c>
      <c r="CJ84" s="254" t="e">
        <f t="shared" si="116"/>
        <v>#DIV/0!</v>
      </c>
      <c r="CK84" s="254">
        <f t="shared" si="134"/>
        <v>1.5466666666666621E-3</v>
      </c>
      <c r="CL84" s="270">
        <f t="shared" si="99"/>
        <v>1.8344844870789544E-3</v>
      </c>
      <c r="CM84" s="253">
        <f t="shared" si="135"/>
        <v>4.5333333333333288E-4</v>
      </c>
      <c r="CN84" s="255">
        <f t="shared" si="117"/>
        <v>4.5333333333333288E-2</v>
      </c>
      <c r="CS84" s="248"/>
      <c r="CY84" s="258" t="e">
        <f>((((IF($R$5=0,$R$6,$R$5)))/(12*$R$19))+(((3*$R$15)/(2*IF($R$5=0,$R$6,$R$5)*$U$5*$R$19))*'IN-OUT'!$F$15))*'Burland damage classification'!DC84</f>
        <v>#DIV/0!</v>
      </c>
      <c r="CZ84" s="262">
        <f>(1+(((IF($R$5=0,$R$6^2,$R$5^2))*$U$5)/(18*$R$15))*('IN-OUT'!$F$15^(-1)))*DD84</f>
        <v>3.022140521771506E-4</v>
      </c>
      <c r="DA84" s="254" t="e">
        <f t="shared" si="100"/>
        <v>#DIV/0!</v>
      </c>
      <c r="DB84" s="254" t="e">
        <f t="shared" si="118"/>
        <v>#DIV/0!</v>
      </c>
      <c r="DC84" s="254">
        <f t="shared" si="136"/>
        <v>4.6666666666667275E-5</v>
      </c>
      <c r="DD84" s="253">
        <f t="shared" si="101"/>
        <v>3.022140521771506E-4</v>
      </c>
      <c r="DE84" s="253">
        <f t="shared" si="137"/>
        <v>4.5333333333333288E-4</v>
      </c>
      <c r="DF84" s="255">
        <f t="shared" si="119"/>
        <v>4.5333333333333288E-2</v>
      </c>
      <c r="DH84" s="258" t="e">
        <f>((((IF($R$5=0,$R$6,$R$5)))/(12*$R$19))+(((3*$R$15)/(2*IF($R$5=0,$R$6,$R$5)*$U$5*$R$19))*'IN-OUT'!$F$15))*'Burland damage classification'!DL84</f>
        <v>#DIV/0!</v>
      </c>
      <c r="DI84" s="262">
        <f>(1+(((IF($R$5=0,$R$6^2,$R$5^2))*$U$5)/(18*$R$15))*('IN-OUT'!$F$15^(-1)))*DM84</f>
        <v>8.2623644719091575E-4</v>
      </c>
      <c r="DJ84" s="254" t="e">
        <f t="shared" si="102"/>
        <v>#DIV/0!</v>
      </c>
      <c r="DK84" s="254" t="e">
        <f t="shared" si="120"/>
        <v>#DIV/0!</v>
      </c>
      <c r="DL84" s="254">
        <f t="shared" si="138"/>
        <v>5.4666666666666763E-4</v>
      </c>
      <c r="DM84" s="253">
        <f t="shared" si="103"/>
        <v>8.2623644719091575E-4</v>
      </c>
      <c r="DN84" s="253">
        <f t="shared" si="139"/>
        <v>4.5333333333333288E-4</v>
      </c>
      <c r="DO84" s="255">
        <f t="shared" si="121"/>
        <v>4.5333333333333288E-2</v>
      </c>
      <c r="DQ84" s="258" t="e">
        <f>((((IF($R$5=0,$R$6,$R$5)))/(12*$R$19))+(((3*$R$15)/(2*IF($R$5=0,$R$6,$R$5)*$U$5*$R$19))*'IN-OUT'!$F$15))*'Burland damage classification'!DU84</f>
        <v>#DIV/0!</v>
      </c>
      <c r="DR84" s="262">
        <f>(1+(((IF($R$5=0,$R$6^2,$R$5^2))*$U$5)/(18*$R$15))*('IN-OUT'!$F$15^(-1)))*DV84</f>
        <v>1.8344844870789544E-3</v>
      </c>
      <c r="DS84" s="254" t="e">
        <f t="shared" si="104"/>
        <v>#DIV/0!</v>
      </c>
      <c r="DT84" s="254" t="e">
        <f t="shared" si="122"/>
        <v>#DIV/0!</v>
      </c>
      <c r="DU84" s="254">
        <f t="shared" si="140"/>
        <v>1.5466666666666621E-3</v>
      </c>
      <c r="DV84" s="270">
        <f t="shared" si="105"/>
        <v>1.8344844870789544E-3</v>
      </c>
      <c r="DW84" s="253">
        <f t="shared" si="141"/>
        <v>4.5333333333333288E-4</v>
      </c>
      <c r="DX84" s="255">
        <f t="shared" si="123"/>
        <v>4.5333333333333288E-2</v>
      </c>
    </row>
    <row r="85" spans="21:128">
      <c r="U85" s="262"/>
      <c r="AE85" s="258">
        <f>(((IF($P$5&lt;&gt;0,$P$5,IF($P$6&lt;&gt;0,$P$6,IF($P$7&lt;&gt;0,$P$7,0))))/(12*$P$19))+(((3*$P$15)/(2*(IF($P$5&lt;&gt;0,$P$5,IF($P$6&lt;&gt;0,$P$6,IF($P$7&lt;&gt;0,$P$7,0))))*$U$5*$P$19))*'IN-OUT'!$F$15))*'Burland damage classification'!AI85</f>
        <v>1.2840609106428986E-4</v>
      </c>
      <c r="AF85" s="254">
        <f>(1+(((IF($P$5&lt;&gt;0,$P$5^2,IF($P$6&lt;&gt;0,$P$6^2,IF($P$7&lt;&gt;0,$P$7^2))))*$U$5)/(18*$P$15))*('IN-OUT'!$F$15^(-1)))*AJ85</f>
        <v>3.1515550761506447E-4</v>
      </c>
      <c r="AG85" s="254">
        <f t="shared" si="88"/>
        <v>1.2840609106428986E-4</v>
      </c>
      <c r="AH85" s="254">
        <f t="shared" si="106"/>
        <v>1.2840609106428987E-2</v>
      </c>
      <c r="AI85" s="254">
        <f t="shared" si="124"/>
        <v>4.0000000000000606E-5</v>
      </c>
      <c r="AJ85" s="253">
        <f t="shared" si="91"/>
        <v>2.9832867780352619E-4</v>
      </c>
      <c r="AK85" s="253">
        <f t="shared" si="125"/>
        <v>4.5999999999999953E-4</v>
      </c>
      <c r="AL85" s="255">
        <f t="shared" si="107"/>
        <v>4.5999999999999951E-2</v>
      </c>
      <c r="AN85" s="258">
        <f>(((IF($P$5&lt;&gt;0,$P$5,IF($P$6&lt;&gt;0,$P$6,IF($P$7&lt;&gt;0,$P$7,0))))/(12*$P$19))+(((3*$P$15)/(2*(IF($P$5&lt;&gt;0,$P$5,IF($P$6&lt;&gt;0,$P$6,IF($P$7&lt;&gt;0,$P$7,0))))*$U$5*$P$19))*'IN-OUT'!$F$15))*'Burland damage classification'!AR85</f>
        <v>1.7334822293678901E-3</v>
      </c>
      <c r="AO85" s="254">
        <f>(1+(((IF($P$5&lt;&gt;0,$P$5^2,IF($P$6&lt;&gt;0,$P$6^2,IF($P$7&lt;&gt;0,$P$7^2))))*$U$5)/(18*$P$15))*('IN-OUT'!$F$15^(-1)))*AS85</f>
        <v>8.6985075510864307E-4</v>
      </c>
      <c r="AP85" s="254">
        <f t="shared" si="89"/>
        <v>8.6985075510864307E-4</v>
      </c>
      <c r="AQ85" s="254">
        <f t="shared" si="108"/>
        <v>8.6985075510864304E-2</v>
      </c>
      <c r="AR85" s="254">
        <f t="shared" si="126"/>
        <v>5.4000000000000098E-4</v>
      </c>
      <c r="AS85" s="253">
        <f t="shared" si="92"/>
        <v>8.2340755400955629E-4</v>
      </c>
      <c r="AT85" s="253">
        <f t="shared" si="127"/>
        <v>4.5999999999999953E-4</v>
      </c>
      <c r="AU85" s="255">
        <f t="shared" si="109"/>
        <v>4.5999999999999951E-2</v>
      </c>
      <c r="AW85" s="258">
        <f>(((IF($P$5&lt;&gt;0,$P$5,IF($P$6&lt;&gt;0,$P$6,IF($P$7&lt;&gt;0,$P$7,0))))/(12*$P$19))+(((3*$P$15)/(2*(IF($P$5&lt;&gt;0,$P$5,IF($P$6&lt;&gt;0,$P$6,IF($P$7&lt;&gt;0,$P$7,0))))*$U$5*$P$19))*'IN-OUT'!$F$15))*'Burland damage classification'!BA85</f>
        <v>4.9436345059750697E-3</v>
      </c>
      <c r="AX85" s="254">
        <f>(1+(((IF($P$5&lt;&gt;0,$P$5^2,IF($P$6&lt;&gt;0,$P$6^2,IF($P$7&lt;&gt;0,$P$7^2))))*$U$5)/(18*$P$15))*('IN-OUT'!$F$15^(-1)))*BB85</f>
        <v>1.9352669234856434E-3</v>
      </c>
      <c r="AY85" s="254">
        <f t="shared" si="90"/>
        <v>1.9352669234856434E-3</v>
      </c>
      <c r="AZ85" s="254">
        <f t="shared" si="110"/>
        <v>0.19352669234856434</v>
      </c>
      <c r="BA85" s="254">
        <f t="shared" si="128"/>
        <v>1.5399999999999954E-3</v>
      </c>
      <c r="BB85" s="270">
        <f t="shared" si="93"/>
        <v>1.8319388636087179E-3</v>
      </c>
      <c r="BC85" s="253">
        <f t="shared" si="129"/>
        <v>4.5999999999999953E-4</v>
      </c>
      <c r="BD85" s="255">
        <f t="shared" si="111"/>
        <v>4.5999999999999951E-2</v>
      </c>
      <c r="BI85" s="248"/>
      <c r="BO85" s="258" t="e">
        <f>((((IF($Q$5=0,$Q$6,$Q$5)))/(12*$Q$19))+(((3*$Q$15)/(2*IF($Q$5=0,$Q$6,$Q$5)*$U$5*$Q$19))*'IN-OUT'!$F$15))*'Burland damage classification'!BS85</f>
        <v>#DIV/0!</v>
      </c>
      <c r="BP85" s="262">
        <f>(1+(((IF($Q$5=0,$Q$6^2,$Q$5^2))*$U$5)/(18*$Q$15))*('IN-OUT'!$F$15^(-1)))*BT85</f>
        <v>2.9832867780352619E-4</v>
      </c>
      <c r="BQ85" s="254" t="e">
        <f t="shared" si="94"/>
        <v>#DIV/0!</v>
      </c>
      <c r="BR85" s="254" t="e">
        <f t="shared" si="112"/>
        <v>#DIV/0!</v>
      </c>
      <c r="BS85" s="254">
        <f t="shared" si="130"/>
        <v>4.0000000000000606E-5</v>
      </c>
      <c r="BT85" s="253">
        <f t="shared" si="95"/>
        <v>2.9832867780352619E-4</v>
      </c>
      <c r="BU85" s="253">
        <f t="shared" si="131"/>
        <v>4.5999999999999953E-4</v>
      </c>
      <c r="BV85" s="255">
        <f t="shared" si="113"/>
        <v>4.5999999999999951E-2</v>
      </c>
      <c r="BX85" s="258" t="e">
        <f>((((IF($Q$5=0,$Q$6,$Q$5)))/(12*$Q$19))+(((3*$Q$15)/(2*IF($Q$5=0,$Q$6,$Q$5)*$U$5*$Q$19))*'IN-OUT'!$F$15))*'Burland damage classification'!CB85</f>
        <v>#DIV/0!</v>
      </c>
      <c r="BY85" s="262">
        <f>(1+(((IF($Q$5=0,$Q$6^2,$Q$5^2))*$U$5)/(18*$Q$15))*('IN-OUT'!$F$15^(-1)))*CC85</f>
        <v>8.2340755400955629E-4</v>
      </c>
      <c r="BZ85" s="254" t="e">
        <f t="shared" si="96"/>
        <v>#DIV/0!</v>
      </c>
      <c r="CA85" s="254" t="e">
        <f t="shared" si="114"/>
        <v>#DIV/0!</v>
      </c>
      <c r="CB85" s="254">
        <f t="shared" si="132"/>
        <v>5.4000000000000098E-4</v>
      </c>
      <c r="CC85" s="253">
        <f t="shared" si="97"/>
        <v>8.2340755400955629E-4</v>
      </c>
      <c r="CD85" s="253">
        <f t="shared" si="133"/>
        <v>4.5999999999999953E-4</v>
      </c>
      <c r="CE85" s="255">
        <f t="shared" si="115"/>
        <v>4.5999999999999951E-2</v>
      </c>
      <c r="CG85" s="258" t="e">
        <f>((((IF($Q$5=0,$Q$6,$Q$5)))/(12*$Q$19))+(((3*$Q$15)/(2*IF($Q$5=0,$Q$6,$Q$5)*$U$5*$Q$19))*'IN-OUT'!$F$15))*'Burland damage classification'!CK85</f>
        <v>#DIV/0!</v>
      </c>
      <c r="CH85" s="262">
        <f>(1+(((IF($Q$5=0,$Q$6^2,$Q$5^2))*$U$5)/(18*$Q$15))*('IN-OUT'!$F$15^(-1)))*CL85</f>
        <v>1.8319388636087179E-3</v>
      </c>
      <c r="CI85" s="254" t="e">
        <f t="shared" si="98"/>
        <v>#DIV/0!</v>
      </c>
      <c r="CJ85" s="254" t="e">
        <f t="shared" si="116"/>
        <v>#DIV/0!</v>
      </c>
      <c r="CK85" s="254">
        <f t="shared" si="134"/>
        <v>1.5399999999999954E-3</v>
      </c>
      <c r="CL85" s="270">
        <f t="shared" si="99"/>
        <v>1.8319388636087179E-3</v>
      </c>
      <c r="CM85" s="253">
        <f t="shared" si="135"/>
        <v>4.5999999999999953E-4</v>
      </c>
      <c r="CN85" s="255">
        <f t="shared" si="117"/>
        <v>4.5999999999999951E-2</v>
      </c>
      <c r="CS85" s="248"/>
      <c r="CY85" s="258" t="e">
        <f>((((IF($R$5=0,$R$6,$R$5)))/(12*$R$19))+(((3*$R$15)/(2*IF($R$5=0,$R$6,$R$5)*$U$5*$R$19))*'IN-OUT'!$F$15))*'Burland damage classification'!DC85</f>
        <v>#DIV/0!</v>
      </c>
      <c r="CZ85" s="262">
        <f>(1+(((IF($R$5=0,$R$6^2,$R$5^2))*$U$5)/(18*$R$15))*('IN-OUT'!$F$15^(-1)))*DD85</f>
        <v>2.9832867780352619E-4</v>
      </c>
      <c r="DA85" s="254" t="e">
        <f t="shared" si="100"/>
        <v>#DIV/0!</v>
      </c>
      <c r="DB85" s="254" t="e">
        <f t="shared" si="118"/>
        <v>#DIV/0!</v>
      </c>
      <c r="DC85" s="254">
        <f t="shared" si="136"/>
        <v>4.0000000000000606E-5</v>
      </c>
      <c r="DD85" s="253">
        <f t="shared" si="101"/>
        <v>2.9832867780352619E-4</v>
      </c>
      <c r="DE85" s="253">
        <f t="shared" si="137"/>
        <v>4.5999999999999953E-4</v>
      </c>
      <c r="DF85" s="255">
        <f t="shared" si="119"/>
        <v>4.5999999999999951E-2</v>
      </c>
      <c r="DH85" s="258" t="e">
        <f>((((IF($R$5=0,$R$6,$R$5)))/(12*$R$19))+(((3*$R$15)/(2*IF($R$5=0,$R$6,$R$5)*$U$5*$R$19))*'IN-OUT'!$F$15))*'Burland damage classification'!DL85</f>
        <v>#DIV/0!</v>
      </c>
      <c r="DI85" s="262">
        <f>(1+(((IF($R$5=0,$R$6^2,$R$5^2))*$U$5)/(18*$R$15))*('IN-OUT'!$F$15^(-1)))*DM85</f>
        <v>8.2340755400955629E-4</v>
      </c>
      <c r="DJ85" s="254" t="e">
        <f t="shared" si="102"/>
        <v>#DIV/0!</v>
      </c>
      <c r="DK85" s="254" t="e">
        <f t="shared" si="120"/>
        <v>#DIV/0!</v>
      </c>
      <c r="DL85" s="254">
        <f t="shared" si="138"/>
        <v>5.4000000000000098E-4</v>
      </c>
      <c r="DM85" s="253">
        <f t="shared" si="103"/>
        <v>8.2340755400955629E-4</v>
      </c>
      <c r="DN85" s="253">
        <f t="shared" si="139"/>
        <v>4.5999999999999953E-4</v>
      </c>
      <c r="DO85" s="255">
        <f t="shared" si="121"/>
        <v>4.5999999999999951E-2</v>
      </c>
      <c r="DQ85" s="258" t="e">
        <f>((((IF($R$5=0,$R$6,$R$5)))/(12*$R$19))+(((3*$R$15)/(2*IF($R$5=0,$R$6,$R$5)*$U$5*$R$19))*'IN-OUT'!$F$15))*'Burland damage classification'!DU85</f>
        <v>#DIV/0!</v>
      </c>
      <c r="DR85" s="262">
        <f>(1+(((IF($R$5=0,$R$6^2,$R$5^2))*$U$5)/(18*$R$15))*('IN-OUT'!$F$15^(-1)))*DV85</f>
        <v>1.8319388636087179E-3</v>
      </c>
      <c r="DS85" s="254" t="e">
        <f t="shared" si="104"/>
        <v>#DIV/0!</v>
      </c>
      <c r="DT85" s="254" t="e">
        <f t="shared" si="122"/>
        <v>#DIV/0!</v>
      </c>
      <c r="DU85" s="254">
        <f t="shared" si="140"/>
        <v>1.5399999999999954E-3</v>
      </c>
      <c r="DV85" s="270">
        <f t="shared" si="105"/>
        <v>1.8319388636087179E-3</v>
      </c>
      <c r="DW85" s="253">
        <f t="shared" si="141"/>
        <v>4.5999999999999953E-4</v>
      </c>
      <c r="DX85" s="255">
        <f t="shared" si="123"/>
        <v>4.5999999999999951E-2</v>
      </c>
    </row>
    <row r="86" spans="21:128">
      <c r="U86" s="262"/>
      <c r="AE86" s="258">
        <f>(((IF($P$5&lt;&gt;0,$P$5,IF($P$6&lt;&gt;0,$P$6,IF($P$7&lt;&gt;0,$P$7,0))))/(12*$P$19))+(((3*$P$15)/(2*(IF($P$5&lt;&gt;0,$P$5,IF($P$6&lt;&gt;0,$P$6,IF($P$7&lt;&gt;0,$P$7,0))))*$U$5*$P$19))*'IN-OUT'!$F$15))*'Burland damage classification'!AI86</f>
        <v>1.0700507588690854E-4</v>
      </c>
      <c r="AF86" s="254">
        <f>(1+(((IF($P$5&lt;&gt;0,$P$5^2,IF($P$6&lt;&gt;0,$P$6^2,IF($P$7&lt;&gt;0,$P$7^2))))*$U$5)/(18*$P$15))*('IN-OUT'!$F$15^(-1)))*AJ86</f>
        <v>3.10996817274972E-4</v>
      </c>
      <c r="AG86" s="254">
        <f t="shared" si="88"/>
        <v>1.0700507588690854E-4</v>
      </c>
      <c r="AH86" s="254">
        <f t="shared" si="106"/>
        <v>1.0700507588690854E-2</v>
      </c>
      <c r="AI86" s="254">
        <f t="shared" si="124"/>
        <v>3.3333333333333938E-5</v>
      </c>
      <c r="AJ86" s="253">
        <f t="shared" si="91"/>
        <v>2.9439202887759518E-4</v>
      </c>
      <c r="AK86" s="253">
        <f t="shared" si="125"/>
        <v>4.6666666666666617E-4</v>
      </c>
      <c r="AL86" s="255">
        <f t="shared" si="107"/>
        <v>4.666666666666662E-2</v>
      </c>
      <c r="AN86" s="258">
        <f>(((IF($P$5&lt;&gt;0,$P$5,IF($P$6&lt;&gt;0,$P$6,IF($P$7&lt;&gt;0,$P$7,0))))/(12*$P$19))+(((3*$P$15)/(2*(IF($P$5&lt;&gt;0,$P$5,IF($P$6&lt;&gt;0,$P$6,IF($P$7&lt;&gt;0,$P$7,0))))*$U$5*$P$19))*'IN-OUT'!$F$15))*'Burland damage classification'!AR86</f>
        <v>1.7120812141905087E-3</v>
      </c>
      <c r="AO86" s="254">
        <f>(1+(((IF($P$5&lt;&gt;0,$P$5^2,IF($P$6&lt;&gt;0,$P$6^2,IF($P$7&lt;&gt;0,$P$7^2))))*$U$5)/(18*$P$15))*('IN-OUT'!$F$15^(-1)))*AS86</f>
        <v>8.6685199942849696E-4</v>
      </c>
      <c r="AP86" s="254">
        <f t="shared" si="89"/>
        <v>8.6685199942849696E-4</v>
      </c>
      <c r="AQ86" s="254">
        <f t="shared" si="108"/>
        <v>8.6685199942849692E-2</v>
      </c>
      <c r="AR86" s="254">
        <f t="shared" si="126"/>
        <v>5.3333333333333433E-4</v>
      </c>
      <c r="AS86" s="253">
        <f t="shared" si="92"/>
        <v>8.2056890833941153E-4</v>
      </c>
      <c r="AT86" s="253">
        <f t="shared" si="127"/>
        <v>4.6666666666666617E-4</v>
      </c>
      <c r="AU86" s="255">
        <f t="shared" si="109"/>
        <v>4.666666666666662E-2</v>
      </c>
      <c r="AW86" s="258">
        <f>(((IF($P$5&lt;&gt;0,$P$5,IF($P$6&lt;&gt;0,$P$6,IF($P$7&lt;&gt;0,$P$7,0))))/(12*$P$19))+(((3*$P$15)/(2*(IF($P$5&lt;&gt;0,$P$5,IF($P$6&lt;&gt;0,$P$6,IF($P$7&lt;&gt;0,$P$7,0))))*$U$5*$P$19))*'IN-OUT'!$F$15))*'Burland damage classification'!BA86</f>
        <v>4.9222334907976879E-3</v>
      </c>
      <c r="AX86" s="254">
        <f>(1+(((IF($P$5&lt;&gt;0,$P$5^2,IF($P$6&lt;&gt;0,$P$6^2,IF($P$7&lt;&gt;0,$P$7^2))))*$U$5)/(18*$P$15))*('IN-OUT'!$F$15^(-1)))*BB86</f>
        <v>1.932573975463242E-3</v>
      </c>
      <c r="AY86" s="254">
        <f t="shared" si="90"/>
        <v>1.932573975463242E-3</v>
      </c>
      <c r="AZ86" s="254">
        <f t="shared" si="110"/>
        <v>0.19325739754632421</v>
      </c>
      <c r="BA86" s="254">
        <f t="shared" si="128"/>
        <v>1.5333333333333286E-3</v>
      </c>
      <c r="BB86" s="270">
        <f t="shared" si="93"/>
        <v>1.8293896978682992E-3</v>
      </c>
      <c r="BC86" s="253">
        <f t="shared" si="129"/>
        <v>4.6666666666666617E-4</v>
      </c>
      <c r="BD86" s="255">
        <f t="shared" si="111"/>
        <v>4.666666666666662E-2</v>
      </c>
      <c r="BI86" s="248"/>
      <c r="BO86" s="258" t="e">
        <f>((((IF($Q$5=0,$Q$6,$Q$5)))/(12*$Q$19))+(((3*$Q$15)/(2*IF($Q$5=0,$Q$6,$Q$5)*$U$5*$Q$19))*'IN-OUT'!$F$15))*'Burland damage classification'!BS86</f>
        <v>#DIV/0!</v>
      </c>
      <c r="BP86" s="262">
        <f>(1+(((IF($Q$5=0,$Q$6^2,$Q$5^2))*$U$5)/(18*$Q$15))*('IN-OUT'!$F$15^(-1)))*BT86</f>
        <v>2.9439202887759518E-4</v>
      </c>
      <c r="BQ86" s="254" t="e">
        <f t="shared" si="94"/>
        <v>#DIV/0!</v>
      </c>
      <c r="BR86" s="254" t="e">
        <f t="shared" si="112"/>
        <v>#DIV/0!</v>
      </c>
      <c r="BS86" s="254">
        <f t="shared" si="130"/>
        <v>3.3333333333333938E-5</v>
      </c>
      <c r="BT86" s="253">
        <f t="shared" si="95"/>
        <v>2.9439202887759518E-4</v>
      </c>
      <c r="BU86" s="253">
        <f t="shared" si="131"/>
        <v>4.6666666666666617E-4</v>
      </c>
      <c r="BV86" s="255">
        <f t="shared" si="113"/>
        <v>4.666666666666662E-2</v>
      </c>
      <c r="BX86" s="258" t="e">
        <f>((((IF($Q$5=0,$Q$6,$Q$5)))/(12*$Q$19))+(((3*$Q$15)/(2*IF($Q$5=0,$Q$6,$Q$5)*$U$5*$Q$19))*'IN-OUT'!$F$15))*'Burland damage classification'!CB86</f>
        <v>#DIV/0!</v>
      </c>
      <c r="BY86" s="262">
        <f>(1+(((IF($Q$5=0,$Q$6^2,$Q$5^2))*$U$5)/(18*$Q$15))*('IN-OUT'!$F$15^(-1)))*CC86</f>
        <v>8.2056890833941153E-4</v>
      </c>
      <c r="BZ86" s="254" t="e">
        <f t="shared" si="96"/>
        <v>#DIV/0!</v>
      </c>
      <c r="CA86" s="254" t="e">
        <f t="shared" si="114"/>
        <v>#DIV/0!</v>
      </c>
      <c r="CB86" s="254">
        <f t="shared" si="132"/>
        <v>5.3333333333333433E-4</v>
      </c>
      <c r="CC86" s="253">
        <f t="shared" si="97"/>
        <v>8.2056890833941153E-4</v>
      </c>
      <c r="CD86" s="253">
        <f t="shared" si="133"/>
        <v>4.6666666666666617E-4</v>
      </c>
      <c r="CE86" s="255">
        <f t="shared" si="115"/>
        <v>4.666666666666662E-2</v>
      </c>
      <c r="CG86" s="258" t="e">
        <f>((((IF($Q$5=0,$Q$6,$Q$5)))/(12*$Q$19))+(((3*$Q$15)/(2*IF($Q$5=0,$Q$6,$Q$5)*$U$5*$Q$19))*'IN-OUT'!$F$15))*'Burland damage classification'!CK86</f>
        <v>#DIV/0!</v>
      </c>
      <c r="CH86" s="262">
        <f>(1+(((IF($Q$5=0,$Q$6^2,$Q$5^2))*$U$5)/(18*$Q$15))*('IN-OUT'!$F$15^(-1)))*CL86</f>
        <v>1.8293896978682992E-3</v>
      </c>
      <c r="CI86" s="254" t="e">
        <f t="shared" si="98"/>
        <v>#DIV/0!</v>
      </c>
      <c r="CJ86" s="254" t="e">
        <f t="shared" si="116"/>
        <v>#DIV/0!</v>
      </c>
      <c r="CK86" s="254">
        <f t="shared" si="134"/>
        <v>1.5333333333333286E-3</v>
      </c>
      <c r="CL86" s="270">
        <f t="shared" si="99"/>
        <v>1.8293896978682992E-3</v>
      </c>
      <c r="CM86" s="253">
        <f t="shared" si="135"/>
        <v>4.6666666666666617E-4</v>
      </c>
      <c r="CN86" s="255">
        <f t="shared" si="117"/>
        <v>4.666666666666662E-2</v>
      </c>
      <c r="CS86" s="248"/>
      <c r="CY86" s="258" t="e">
        <f>((((IF($R$5=0,$R$6,$R$5)))/(12*$R$19))+(((3*$R$15)/(2*IF($R$5=0,$R$6,$R$5)*$U$5*$R$19))*'IN-OUT'!$F$15))*'Burland damage classification'!DC86</f>
        <v>#DIV/0!</v>
      </c>
      <c r="CZ86" s="262">
        <f>(1+(((IF($R$5=0,$R$6^2,$R$5^2))*$U$5)/(18*$R$15))*('IN-OUT'!$F$15^(-1)))*DD86</f>
        <v>2.9439202887759518E-4</v>
      </c>
      <c r="DA86" s="254" t="e">
        <f t="shared" si="100"/>
        <v>#DIV/0!</v>
      </c>
      <c r="DB86" s="254" t="e">
        <f t="shared" si="118"/>
        <v>#DIV/0!</v>
      </c>
      <c r="DC86" s="254">
        <f t="shared" si="136"/>
        <v>3.3333333333333938E-5</v>
      </c>
      <c r="DD86" s="253">
        <f t="shared" si="101"/>
        <v>2.9439202887759518E-4</v>
      </c>
      <c r="DE86" s="253">
        <f t="shared" si="137"/>
        <v>4.6666666666666617E-4</v>
      </c>
      <c r="DF86" s="255">
        <f t="shared" si="119"/>
        <v>4.666666666666662E-2</v>
      </c>
      <c r="DH86" s="258" t="e">
        <f>((((IF($R$5=0,$R$6,$R$5)))/(12*$R$19))+(((3*$R$15)/(2*IF($R$5=0,$R$6,$R$5)*$U$5*$R$19))*'IN-OUT'!$F$15))*'Burland damage classification'!DL86</f>
        <v>#DIV/0!</v>
      </c>
      <c r="DI86" s="262">
        <f>(1+(((IF($R$5=0,$R$6^2,$R$5^2))*$U$5)/(18*$R$15))*('IN-OUT'!$F$15^(-1)))*DM86</f>
        <v>8.2056890833941153E-4</v>
      </c>
      <c r="DJ86" s="254" t="e">
        <f t="shared" si="102"/>
        <v>#DIV/0!</v>
      </c>
      <c r="DK86" s="254" t="e">
        <f t="shared" si="120"/>
        <v>#DIV/0!</v>
      </c>
      <c r="DL86" s="254">
        <f t="shared" si="138"/>
        <v>5.3333333333333433E-4</v>
      </c>
      <c r="DM86" s="253">
        <f t="shared" si="103"/>
        <v>8.2056890833941153E-4</v>
      </c>
      <c r="DN86" s="253">
        <f t="shared" si="139"/>
        <v>4.6666666666666617E-4</v>
      </c>
      <c r="DO86" s="255">
        <f t="shared" si="121"/>
        <v>4.666666666666662E-2</v>
      </c>
      <c r="DQ86" s="258" t="e">
        <f>((((IF($R$5=0,$R$6,$R$5)))/(12*$R$19))+(((3*$R$15)/(2*IF($R$5=0,$R$6,$R$5)*$U$5*$R$19))*'IN-OUT'!$F$15))*'Burland damage classification'!DU86</f>
        <v>#DIV/0!</v>
      </c>
      <c r="DR86" s="262">
        <f>(1+(((IF($R$5=0,$R$6^2,$R$5^2))*$U$5)/(18*$R$15))*('IN-OUT'!$F$15^(-1)))*DV86</f>
        <v>1.8293896978682992E-3</v>
      </c>
      <c r="DS86" s="254" t="e">
        <f t="shared" si="104"/>
        <v>#DIV/0!</v>
      </c>
      <c r="DT86" s="254" t="e">
        <f t="shared" si="122"/>
        <v>#DIV/0!</v>
      </c>
      <c r="DU86" s="254">
        <f t="shared" si="140"/>
        <v>1.5333333333333286E-3</v>
      </c>
      <c r="DV86" s="270">
        <f t="shared" si="105"/>
        <v>1.8293896978682992E-3</v>
      </c>
      <c r="DW86" s="253">
        <f t="shared" si="141"/>
        <v>4.6666666666666617E-4</v>
      </c>
      <c r="DX86" s="255">
        <f t="shared" si="123"/>
        <v>4.666666666666662E-2</v>
      </c>
    </row>
    <row r="87" spans="21:128">
      <c r="U87" s="262"/>
      <c r="AE87" s="258">
        <f>(((IF($P$5&lt;&gt;0,$P$5,IF($P$6&lt;&gt;0,$P$6,IF($P$7&lt;&gt;0,$P$7,0))))/(12*$P$19))+(((3*$P$15)/(2*(IF($P$5&lt;&gt;0,$P$5,IF($P$6&lt;&gt;0,$P$6,IF($P$7&lt;&gt;0,$P$7,0))))*$U$5*$P$19))*'IN-OUT'!$F$15))*'Burland damage classification'!AI87</f>
        <v>8.5604060709527211E-5</v>
      </c>
      <c r="AF87" s="254">
        <f>(1+(((IF($P$5&lt;&gt;0,$P$5^2,IF($P$6&lt;&gt;0,$P$6^2,IF($P$7&lt;&gt;0,$P$7^2))))*$U$5)/(18*$P$15))*('IN-OUT'!$F$15^(-1)))*AJ87</f>
        <v>3.067817574925465E-4</v>
      </c>
      <c r="AG87" s="254">
        <f t="shared" si="88"/>
        <v>8.5604060709527211E-5</v>
      </c>
      <c r="AH87" s="254">
        <f t="shared" si="106"/>
        <v>8.5604060709527207E-3</v>
      </c>
      <c r="AI87" s="254">
        <f t="shared" si="124"/>
        <v>2.666666666666727E-5</v>
      </c>
      <c r="AJ87" s="253">
        <f t="shared" si="91"/>
        <v>2.9040202019499362E-4</v>
      </c>
      <c r="AK87" s="253">
        <f t="shared" si="125"/>
        <v>4.7333333333333282E-4</v>
      </c>
      <c r="AL87" s="255">
        <f t="shared" si="107"/>
        <v>4.7333333333333283E-2</v>
      </c>
      <c r="AN87" s="258">
        <f>(((IF($P$5&lt;&gt;0,$P$5,IF($P$6&lt;&gt;0,$P$6,IF($P$7&lt;&gt;0,$P$7,0))))/(12*$P$19))+(((3*$P$15)/(2*(IF($P$5&lt;&gt;0,$P$5,IF($P$6&lt;&gt;0,$P$6,IF($P$7&lt;&gt;0,$P$7,0))))*$U$5*$P$19))*'IN-OUT'!$F$15))*'Burland damage classification'!AR87</f>
        <v>1.6906801990131276E-3</v>
      </c>
      <c r="AO87" s="254">
        <f>(1+(((IF($P$5&lt;&gt;0,$P$5^2,IF($P$6&lt;&gt;0,$P$6^2,IF($P$7&lt;&gt;0,$P$7^2))))*$U$5)/(18*$P$15))*('IN-OUT'!$F$15^(-1)))*AS87</f>
        <v>8.6384283389010625E-4</v>
      </c>
      <c r="AP87" s="254">
        <f t="shared" si="89"/>
        <v>8.6384283389010625E-4</v>
      </c>
      <c r="AQ87" s="254">
        <f t="shared" si="108"/>
        <v>8.6384283389010622E-2</v>
      </c>
      <c r="AR87" s="254">
        <f t="shared" si="126"/>
        <v>5.2666666666666769E-4</v>
      </c>
      <c r="AS87" s="253">
        <f t="shared" si="92"/>
        <v>8.1772040861572423E-4</v>
      </c>
      <c r="AT87" s="253">
        <f t="shared" si="127"/>
        <v>4.7333333333333282E-4</v>
      </c>
      <c r="AU87" s="255">
        <f t="shared" si="109"/>
        <v>4.7333333333333283E-2</v>
      </c>
      <c r="AW87" s="258">
        <f>(((IF($P$5&lt;&gt;0,$P$5,IF($P$6&lt;&gt;0,$P$6,IF($P$7&lt;&gt;0,$P$7,0))))/(12*$P$19))+(((3*$P$15)/(2*(IF($P$5&lt;&gt;0,$P$5,IF($P$6&lt;&gt;0,$P$6,IF($P$7&lt;&gt;0,$P$7,0))))*$U$5*$P$19))*'IN-OUT'!$F$15))*'Burland damage classification'!BA87</f>
        <v>4.900832475620307E-3</v>
      </c>
      <c r="AX87" s="254">
        <f>(1+(((IF($P$5&lt;&gt;0,$P$5^2,IF($P$6&lt;&gt;0,$P$6^2,IF($P$7&lt;&gt;0,$P$7^2))))*$U$5)/(18*$P$15))*('IN-OUT'!$F$15^(-1)))*BB87</f>
        <v>1.9298772697086239E-3</v>
      </c>
      <c r="AY87" s="254">
        <f t="shared" si="90"/>
        <v>1.9298772697086239E-3</v>
      </c>
      <c r="AZ87" s="254">
        <f t="shared" si="110"/>
        <v>0.19298772697086239</v>
      </c>
      <c r="BA87" s="254">
        <f t="shared" si="128"/>
        <v>1.5266666666666619E-3</v>
      </c>
      <c r="BB87" s="270">
        <f t="shared" si="93"/>
        <v>1.8268369750290619E-3</v>
      </c>
      <c r="BC87" s="253">
        <f t="shared" si="129"/>
        <v>4.7333333333333282E-4</v>
      </c>
      <c r="BD87" s="255">
        <f t="shared" si="111"/>
        <v>4.7333333333333283E-2</v>
      </c>
      <c r="BI87" s="248"/>
      <c r="BO87" s="258" t="e">
        <f>((((IF($Q$5=0,$Q$6,$Q$5)))/(12*$Q$19))+(((3*$Q$15)/(2*IF($Q$5=0,$Q$6,$Q$5)*$U$5*$Q$19))*'IN-OUT'!$F$15))*'Burland damage classification'!BS87</f>
        <v>#DIV/0!</v>
      </c>
      <c r="BP87" s="262">
        <f>(1+(((IF($Q$5=0,$Q$6^2,$Q$5^2))*$U$5)/(18*$Q$15))*('IN-OUT'!$F$15^(-1)))*BT87</f>
        <v>2.9040202019499362E-4</v>
      </c>
      <c r="BQ87" s="254" t="e">
        <f t="shared" si="94"/>
        <v>#DIV/0!</v>
      </c>
      <c r="BR87" s="254" t="e">
        <f t="shared" si="112"/>
        <v>#DIV/0!</v>
      </c>
      <c r="BS87" s="254">
        <f t="shared" si="130"/>
        <v>2.666666666666727E-5</v>
      </c>
      <c r="BT87" s="253">
        <f t="shared" si="95"/>
        <v>2.9040202019499362E-4</v>
      </c>
      <c r="BU87" s="253">
        <f t="shared" si="131"/>
        <v>4.7333333333333282E-4</v>
      </c>
      <c r="BV87" s="255">
        <f t="shared" si="113"/>
        <v>4.7333333333333283E-2</v>
      </c>
      <c r="BX87" s="258" t="e">
        <f>((((IF($Q$5=0,$Q$6,$Q$5)))/(12*$Q$19))+(((3*$Q$15)/(2*IF($Q$5=0,$Q$6,$Q$5)*$U$5*$Q$19))*'IN-OUT'!$F$15))*'Burland damage classification'!CB87</f>
        <v>#DIV/0!</v>
      </c>
      <c r="BY87" s="262">
        <f>(1+(((IF($Q$5=0,$Q$6^2,$Q$5^2))*$U$5)/(18*$Q$15))*('IN-OUT'!$F$15^(-1)))*CC87</f>
        <v>8.1772040861572423E-4</v>
      </c>
      <c r="BZ87" s="254" t="e">
        <f t="shared" si="96"/>
        <v>#DIV/0!</v>
      </c>
      <c r="CA87" s="254" t="e">
        <f t="shared" si="114"/>
        <v>#DIV/0!</v>
      </c>
      <c r="CB87" s="254">
        <f t="shared" si="132"/>
        <v>5.2666666666666769E-4</v>
      </c>
      <c r="CC87" s="253">
        <f t="shared" si="97"/>
        <v>8.1772040861572423E-4</v>
      </c>
      <c r="CD87" s="253">
        <f t="shared" si="133"/>
        <v>4.7333333333333282E-4</v>
      </c>
      <c r="CE87" s="255">
        <f t="shared" si="115"/>
        <v>4.7333333333333283E-2</v>
      </c>
      <c r="CG87" s="258" t="e">
        <f>((((IF($Q$5=0,$Q$6,$Q$5)))/(12*$Q$19))+(((3*$Q$15)/(2*IF($Q$5=0,$Q$6,$Q$5)*$U$5*$Q$19))*'IN-OUT'!$F$15))*'Burland damage classification'!CK87</f>
        <v>#DIV/0!</v>
      </c>
      <c r="CH87" s="262">
        <f>(1+(((IF($Q$5=0,$Q$6^2,$Q$5^2))*$U$5)/(18*$Q$15))*('IN-OUT'!$F$15^(-1)))*CL87</f>
        <v>1.8268369750290619E-3</v>
      </c>
      <c r="CI87" s="254" t="e">
        <f t="shared" si="98"/>
        <v>#DIV/0!</v>
      </c>
      <c r="CJ87" s="254" t="e">
        <f t="shared" si="116"/>
        <v>#DIV/0!</v>
      </c>
      <c r="CK87" s="254">
        <f t="shared" si="134"/>
        <v>1.5266666666666619E-3</v>
      </c>
      <c r="CL87" s="270">
        <f t="shared" si="99"/>
        <v>1.8268369750290619E-3</v>
      </c>
      <c r="CM87" s="253">
        <f t="shared" si="135"/>
        <v>4.7333333333333282E-4</v>
      </c>
      <c r="CN87" s="255">
        <f t="shared" si="117"/>
        <v>4.7333333333333283E-2</v>
      </c>
      <c r="CS87" s="248"/>
      <c r="CY87" s="258" t="e">
        <f>((((IF($R$5=0,$R$6,$R$5)))/(12*$R$19))+(((3*$R$15)/(2*IF($R$5=0,$R$6,$R$5)*$U$5*$R$19))*'IN-OUT'!$F$15))*'Burland damage classification'!DC87</f>
        <v>#DIV/0!</v>
      </c>
      <c r="CZ87" s="262">
        <f>(1+(((IF($R$5=0,$R$6^2,$R$5^2))*$U$5)/(18*$R$15))*('IN-OUT'!$F$15^(-1)))*DD87</f>
        <v>2.9040202019499362E-4</v>
      </c>
      <c r="DA87" s="254" t="e">
        <f t="shared" si="100"/>
        <v>#DIV/0!</v>
      </c>
      <c r="DB87" s="254" t="e">
        <f t="shared" si="118"/>
        <v>#DIV/0!</v>
      </c>
      <c r="DC87" s="254">
        <f t="shared" si="136"/>
        <v>2.666666666666727E-5</v>
      </c>
      <c r="DD87" s="253">
        <f t="shared" si="101"/>
        <v>2.9040202019499362E-4</v>
      </c>
      <c r="DE87" s="253">
        <f t="shared" si="137"/>
        <v>4.7333333333333282E-4</v>
      </c>
      <c r="DF87" s="255">
        <f t="shared" si="119"/>
        <v>4.7333333333333283E-2</v>
      </c>
      <c r="DH87" s="258" t="e">
        <f>((((IF($R$5=0,$R$6,$R$5)))/(12*$R$19))+(((3*$R$15)/(2*IF($R$5=0,$R$6,$R$5)*$U$5*$R$19))*'IN-OUT'!$F$15))*'Burland damage classification'!DL87</f>
        <v>#DIV/0!</v>
      </c>
      <c r="DI87" s="262">
        <f>(1+(((IF($R$5=0,$R$6^2,$R$5^2))*$U$5)/(18*$R$15))*('IN-OUT'!$F$15^(-1)))*DM87</f>
        <v>8.1772040861572423E-4</v>
      </c>
      <c r="DJ87" s="254" t="e">
        <f t="shared" si="102"/>
        <v>#DIV/0!</v>
      </c>
      <c r="DK87" s="254" t="e">
        <f t="shared" si="120"/>
        <v>#DIV/0!</v>
      </c>
      <c r="DL87" s="254">
        <f t="shared" si="138"/>
        <v>5.2666666666666769E-4</v>
      </c>
      <c r="DM87" s="253">
        <f t="shared" si="103"/>
        <v>8.1772040861572423E-4</v>
      </c>
      <c r="DN87" s="253">
        <f t="shared" si="139"/>
        <v>4.7333333333333282E-4</v>
      </c>
      <c r="DO87" s="255">
        <f t="shared" si="121"/>
        <v>4.7333333333333283E-2</v>
      </c>
      <c r="DQ87" s="258" t="e">
        <f>((((IF($R$5=0,$R$6,$R$5)))/(12*$R$19))+(((3*$R$15)/(2*IF($R$5=0,$R$6,$R$5)*$U$5*$R$19))*'IN-OUT'!$F$15))*'Burland damage classification'!DU87</f>
        <v>#DIV/0!</v>
      </c>
      <c r="DR87" s="262">
        <f>(1+(((IF($R$5=0,$R$6^2,$R$5^2))*$U$5)/(18*$R$15))*('IN-OUT'!$F$15^(-1)))*DV87</f>
        <v>1.8268369750290619E-3</v>
      </c>
      <c r="DS87" s="254" t="e">
        <f t="shared" si="104"/>
        <v>#DIV/0!</v>
      </c>
      <c r="DT87" s="254" t="e">
        <f t="shared" si="122"/>
        <v>#DIV/0!</v>
      </c>
      <c r="DU87" s="254">
        <f t="shared" si="140"/>
        <v>1.5266666666666619E-3</v>
      </c>
      <c r="DV87" s="270">
        <f t="shared" si="105"/>
        <v>1.8268369750290619E-3</v>
      </c>
      <c r="DW87" s="253">
        <f t="shared" si="141"/>
        <v>4.7333333333333282E-4</v>
      </c>
      <c r="DX87" s="255">
        <f t="shared" si="123"/>
        <v>4.7333333333333283E-2</v>
      </c>
    </row>
    <row r="88" spans="21:128">
      <c r="U88" s="262"/>
      <c r="AE88" s="258">
        <f>(((IF($P$5&lt;&gt;0,$P$5,IF($P$6&lt;&gt;0,$P$6,IF($P$7&lt;&gt;0,$P$7,0))))/(12*$P$19))+(((3*$P$15)/(2*(IF($P$5&lt;&gt;0,$P$5,IF($P$6&lt;&gt;0,$P$6,IF($P$7&lt;&gt;0,$P$7,0))))*$U$5*$P$19))*'IN-OUT'!$F$15))*'Burland damage classification'!AI88</f>
        <v>6.4203045532145893E-5</v>
      </c>
      <c r="AF88" s="254">
        <f>(1+(((IF($P$5&lt;&gt;0,$P$5^2,IF($P$6&lt;&gt;0,$P$6^2,IF($P$7&lt;&gt;0,$P$7^2))))*$U$5)/(18*$P$15))*('IN-OUT'!$F$15^(-1)))*AJ88</f>
        <v>3.0250797196977965E-4</v>
      </c>
      <c r="AG88" s="254">
        <f t="shared" si="88"/>
        <v>6.4203045532145893E-5</v>
      </c>
      <c r="AH88" s="254">
        <f t="shared" si="106"/>
        <v>6.4203045532145895E-3</v>
      </c>
      <c r="AI88" s="254">
        <f t="shared" si="124"/>
        <v>2.0000000000000601E-5</v>
      </c>
      <c r="AJ88" s="253">
        <f t="shared" si="91"/>
        <v>2.8635642126552738E-4</v>
      </c>
      <c r="AK88" s="253">
        <f t="shared" si="125"/>
        <v>4.7999999999999947E-4</v>
      </c>
      <c r="AL88" s="255">
        <f t="shared" si="107"/>
        <v>4.7999999999999945E-2</v>
      </c>
      <c r="AN88" s="258">
        <f>(((IF($P$5&lt;&gt;0,$P$5,IF($P$6&lt;&gt;0,$P$6,IF($P$7&lt;&gt;0,$P$7,0))))/(12*$P$19))+(((3*$P$15)/(2*(IF($P$5&lt;&gt;0,$P$5,IF($P$6&lt;&gt;0,$P$6,IF($P$7&lt;&gt;0,$P$7,0))))*$U$5*$P$19))*'IN-OUT'!$F$15))*'Burland damage classification'!AR88</f>
        <v>1.6692791838357462E-3</v>
      </c>
      <c r="AO88" s="254">
        <f>(1+(((IF($P$5&lt;&gt;0,$P$5^2,IF($P$6&lt;&gt;0,$P$6^2,IF($P$7&lt;&gt;0,$P$7^2))))*$U$5)/(18*$P$15))*('IN-OUT'!$F$15^(-1)))*AS88</f>
        <v>8.6082314932475908E-4</v>
      </c>
      <c r="AP88" s="254">
        <f t="shared" si="89"/>
        <v>8.6082314932475908E-4</v>
      </c>
      <c r="AQ88" s="254">
        <f t="shared" si="108"/>
        <v>8.6082314932475909E-2</v>
      </c>
      <c r="AR88" s="254">
        <f t="shared" si="126"/>
        <v>5.2000000000000104E-4</v>
      </c>
      <c r="AS88" s="253">
        <f t="shared" si="92"/>
        <v>8.1486195149853475E-4</v>
      </c>
      <c r="AT88" s="253">
        <f t="shared" si="127"/>
        <v>4.7999999999999947E-4</v>
      </c>
      <c r="AU88" s="255">
        <f t="shared" si="109"/>
        <v>4.7999999999999945E-2</v>
      </c>
      <c r="AW88" s="258">
        <f>(((IF($P$5&lt;&gt;0,$P$5,IF($P$6&lt;&gt;0,$P$6,IF($P$7&lt;&gt;0,$P$7,0))))/(12*$P$19))+(((3*$P$15)/(2*(IF($P$5&lt;&gt;0,$P$5,IF($P$6&lt;&gt;0,$P$6,IF($P$7&lt;&gt;0,$P$7,0))))*$U$5*$P$19))*'IN-OUT'!$F$15))*'Burland damage classification'!BA88</f>
        <v>4.8794314604429252E-3</v>
      </c>
      <c r="AX88" s="254">
        <f>(1+(((IF($P$5&lt;&gt;0,$P$5^2,IF($P$6&lt;&gt;0,$P$6^2,IF($P$7&lt;&gt;0,$P$7^2))))*$U$5)/(18*$P$15))*('IN-OUT'!$F$15^(-1)))*BB88</f>
        <v>1.9271767904471626E-3</v>
      </c>
      <c r="AY88" s="254">
        <f t="shared" si="90"/>
        <v>1.9271767904471626E-3</v>
      </c>
      <c r="AZ88" s="254">
        <f t="shared" si="110"/>
        <v>0.19271767904471626</v>
      </c>
      <c r="BA88" s="254">
        <f t="shared" si="128"/>
        <v>1.5199999999999951E-3</v>
      </c>
      <c r="BB88" s="270">
        <f t="shared" si="93"/>
        <v>1.824280680158621E-3</v>
      </c>
      <c r="BC88" s="253">
        <f t="shared" si="129"/>
        <v>4.7999999999999947E-4</v>
      </c>
      <c r="BD88" s="255">
        <f t="shared" si="111"/>
        <v>4.7999999999999945E-2</v>
      </c>
      <c r="BI88" s="248"/>
      <c r="BO88" s="258" t="e">
        <f>((((IF($Q$5=0,$Q$6,$Q$5)))/(12*$Q$19))+(((3*$Q$15)/(2*IF($Q$5=0,$Q$6,$Q$5)*$U$5*$Q$19))*'IN-OUT'!$F$15))*'Burland damage classification'!BS88</f>
        <v>#DIV/0!</v>
      </c>
      <c r="BP88" s="262">
        <f>(1+(((IF($Q$5=0,$Q$6^2,$Q$5^2))*$U$5)/(18*$Q$15))*('IN-OUT'!$F$15^(-1)))*BT88</f>
        <v>2.8635642126552738E-4</v>
      </c>
      <c r="BQ88" s="254" t="e">
        <f t="shared" si="94"/>
        <v>#DIV/0!</v>
      </c>
      <c r="BR88" s="254" t="e">
        <f t="shared" si="112"/>
        <v>#DIV/0!</v>
      </c>
      <c r="BS88" s="254">
        <f t="shared" si="130"/>
        <v>2.0000000000000601E-5</v>
      </c>
      <c r="BT88" s="253">
        <f t="shared" si="95"/>
        <v>2.8635642126552738E-4</v>
      </c>
      <c r="BU88" s="253">
        <f t="shared" si="131"/>
        <v>4.7999999999999947E-4</v>
      </c>
      <c r="BV88" s="255">
        <f t="shared" si="113"/>
        <v>4.7999999999999945E-2</v>
      </c>
      <c r="BX88" s="258" t="e">
        <f>((((IF($Q$5=0,$Q$6,$Q$5)))/(12*$Q$19))+(((3*$Q$15)/(2*IF($Q$5=0,$Q$6,$Q$5)*$U$5*$Q$19))*'IN-OUT'!$F$15))*'Burland damage classification'!CB88</f>
        <v>#DIV/0!</v>
      </c>
      <c r="BY88" s="262">
        <f>(1+(((IF($Q$5=0,$Q$6^2,$Q$5^2))*$U$5)/(18*$Q$15))*('IN-OUT'!$F$15^(-1)))*CC88</f>
        <v>8.1486195149853475E-4</v>
      </c>
      <c r="BZ88" s="254" t="e">
        <f t="shared" si="96"/>
        <v>#DIV/0!</v>
      </c>
      <c r="CA88" s="254" t="e">
        <f t="shared" si="114"/>
        <v>#DIV/0!</v>
      </c>
      <c r="CB88" s="254">
        <f t="shared" si="132"/>
        <v>5.2000000000000104E-4</v>
      </c>
      <c r="CC88" s="253">
        <f t="shared" si="97"/>
        <v>8.1486195149853475E-4</v>
      </c>
      <c r="CD88" s="253">
        <f t="shared" si="133"/>
        <v>4.7999999999999947E-4</v>
      </c>
      <c r="CE88" s="255">
        <f t="shared" si="115"/>
        <v>4.7999999999999945E-2</v>
      </c>
      <c r="CG88" s="258" t="e">
        <f>((((IF($Q$5=0,$Q$6,$Q$5)))/(12*$Q$19))+(((3*$Q$15)/(2*IF($Q$5=0,$Q$6,$Q$5)*$U$5*$Q$19))*'IN-OUT'!$F$15))*'Burland damage classification'!CK88</f>
        <v>#DIV/0!</v>
      </c>
      <c r="CH88" s="262">
        <f>(1+(((IF($Q$5=0,$Q$6^2,$Q$5^2))*$U$5)/(18*$Q$15))*('IN-OUT'!$F$15^(-1)))*CL88</f>
        <v>1.824280680158621E-3</v>
      </c>
      <c r="CI88" s="254" t="e">
        <f t="shared" si="98"/>
        <v>#DIV/0!</v>
      </c>
      <c r="CJ88" s="254" t="e">
        <f t="shared" si="116"/>
        <v>#DIV/0!</v>
      </c>
      <c r="CK88" s="254">
        <f t="shared" si="134"/>
        <v>1.5199999999999951E-3</v>
      </c>
      <c r="CL88" s="270">
        <f t="shared" si="99"/>
        <v>1.824280680158621E-3</v>
      </c>
      <c r="CM88" s="253">
        <f t="shared" si="135"/>
        <v>4.7999999999999947E-4</v>
      </c>
      <c r="CN88" s="255">
        <f t="shared" si="117"/>
        <v>4.7999999999999945E-2</v>
      </c>
      <c r="CS88" s="248"/>
      <c r="CY88" s="258" t="e">
        <f>((((IF($R$5=0,$R$6,$R$5)))/(12*$R$19))+(((3*$R$15)/(2*IF($R$5=0,$R$6,$R$5)*$U$5*$R$19))*'IN-OUT'!$F$15))*'Burland damage classification'!DC88</f>
        <v>#DIV/0!</v>
      </c>
      <c r="CZ88" s="262">
        <f>(1+(((IF($R$5=0,$R$6^2,$R$5^2))*$U$5)/(18*$R$15))*('IN-OUT'!$F$15^(-1)))*DD88</f>
        <v>2.8635642126552738E-4</v>
      </c>
      <c r="DA88" s="254" t="e">
        <f t="shared" si="100"/>
        <v>#DIV/0!</v>
      </c>
      <c r="DB88" s="254" t="e">
        <f t="shared" si="118"/>
        <v>#DIV/0!</v>
      </c>
      <c r="DC88" s="254">
        <f t="shared" si="136"/>
        <v>2.0000000000000601E-5</v>
      </c>
      <c r="DD88" s="253">
        <f t="shared" si="101"/>
        <v>2.8635642126552738E-4</v>
      </c>
      <c r="DE88" s="253">
        <f t="shared" si="137"/>
        <v>4.7999999999999947E-4</v>
      </c>
      <c r="DF88" s="255">
        <f t="shared" si="119"/>
        <v>4.7999999999999945E-2</v>
      </c>
      <c r="DH88" s="258" t="e">
        <f>((((IF($R$5=0,$R$6,$R$5)))/(12*$R$19))+(((3*$R$15)/(2*IF($R$5=0,$R$6,$R$5)*$U$5*$R$19))*'IN-OUT'!$F$15))*'Burland damage classification'!DL88</f>
        <v>#DIV/0!</v>
      </c>
      <c r="DI88" s="262">
        <f>(1+(((IF($R$5=0,$R$6^2,$R$5^2))*$U$5)/(18*$R$15))*('IN-OUT'!$F$15^(-1)))*DM88</f>
        <v>8.1486195149853475E-4</v>
      </c>
      <c r="DJ88" s="254" t="e">
        <f t="shared" si="102"/>
        <v>#DIV/0!</v>
      </c>
      <c r="DK88" s="254" t="e">
        <f t="shared" si="120"/>
        <v>#DIV/0!</v>
      </c>
      <c r="DL88" s="254">
        <f t="shared" si="138"/>
        <v>5.2000000000000104E-4</v>
      </c>
      <c r="DM88" s="253">
        <f t="shared" si="103"/>
        <v>8.1486195149853475E-4</v>
      </c>
      <c r="DN88" s="253">
        <f t="shared" si="139"/>
        <v>4.7999999999999947E-4</v>
      </c>
      <c r="DO88" s="255">
        <f t="shared" si="121"/>
        <v>4.7999999999999945E-2</v>
      </c>
      <c r="DQ88" s="258" t="e">
        <f>((((IF($R$5=0,$R$6,$R$5)))/(12*$R$19))+(((3*$R$15)/(2*IF($R$5=0,$R$6,$R$5)*$U$5*$R$19))*'IN-OUT'!$F$15))*'Burland damage classification'!DU88</f>
        <v>#DIV/0!</v>
      </c>
      <c r="DR88" s="262">
        <f>(1+(((IF($R$5=0,$R$6^2,$R$5^2))*$U$5)/(18*$R$15))*('IN-OUT'!$F$15^(-1)))*DV88</f>
        <v>1.824280680158621E-3</v>
      </c>
      <c r="DS88" s="254" t="e">
        <f t="shared" si="104"/>
        <v>#DIV/0!</v>
      </c>
      <c r="DT88" s="254" t="e">
        <f t="shared" si="122"/>
        <v>#DIV/0!</v>
      </c>
      <c r="DU88" s="254">
        <f t="shared" si="140"/>
        <v>1.5199999999999951E-3</v>
      </c>
      <c r="DV88" s="270">
        <f t="shared" si="105"/>
        <v>1.824280680158621E-3</v>
      </c>
      <c r="DW88" s="253">
        <f t="shared" si="141"/>
        <v>4.7999999999999947E-4</v>
      </c>
      <c r="DX88" s="255">
        <f t="shared" si="123"/>
        <v>4.7999999999999945E-2</v>
      </c>
    </row>
    <row r="89" spans="21:128">
      <c r="U89" s="262"/>
      <c r="AE89" s="258">
        <f>(((IF($P$5&lt;&gt;0,$P$5,IF($P$6&lt;&gt;0,$P$6,IF($P$7&lt;&gt;0,$P$7,0))))/(12*$P$19))+(((3*$P$15)/(2*(IF($P$5&lt;&gt;0,$P$5,IF($P$6&lt;&gt;0,$P$6,IF($P$7&lt;&gt;0,$P$7,0))))*$U$5*$P$19))*'IN-OUT'!$F$15))*'Burland damage classification'!AI89</f>
        <v>4.2802030354764568E-5</v>
      </c>
      <c r="AF89" s="254">
        <f>(1+(((IF($P$5&lt;&gt;0,$P$5^2,IF($P$6&lt;&gt;0,$P$6^2,IF($P$7&lt;&gt;0,$P$7^2))))*$U$5)/(18*$P$15))*('IN-OUT'!$F$15^(-1)))*AJ89</f>
        <v>2.9817293552621821E-4</v>
      </c>
      <c r="AG89" s="254">
        <f t="shared" si="88"/>
        <v>4.2802030354764568E-5</v>
      </c>
      <c r="AH89" s="254">
        <f t="shared" si="106"/>
        <v>4.2802030354764566E-3</v>
      </c>
      <c r="AI89" s="254">
        <f t="shared" si="124"/>
        <v>1.3333333333333935E-5</v>
      </c>
      <c r="AJ89" s="253">
        <f t="shared" si="91"/>
        <v>2.8225284173355426E-4</v>
      </c>
      <c r="AK89" s="253">
        <f t="shared" si="125"/>
        <v>4.8666666666666612E-4</v>
      </c>
      <c r="AL89" s="255">
        <f t="shared" si="107"/>
        <v>4.8666666666666615E-2</v>
      </c>
      <c r="AN89" s="258">
        <f>(((IF($P$5&lt;&gt;0,$P$5,IF($P$6&lt;&gt;0,$P$6,IF($P$7&lt;&gt;0,$P$7,0))))/(12*$P$19))+(((3*$P$15)/(2*(IF($P$5&lt;&gt;0,$P$5,IF($P$6&lt;&gt;0,$P$6,IF($P$7&lt;&gt;0,$P$7,0))))*$U$5*$P$19))*'IN-OUT'!$F$15))*'Burland damage classification'!AR89</f>
        <v>1.647878168658365E-3</v>
      </c>
      <c r="AO89" s="254">
        <f>(1+(((IF($P$5&lt;&gt;0,$P$5^2,IF($P$6&lt;&gt;0,$P$6^2,IF($P$7&lt;&gt;0,$P$7^2))))*$U$5)/(18*$P$15))*('IN-OUT'!$F$15^(-1)))*AS89</f>
        <v>8.577928346422014E-4</v>
      </c>
      <c r="AP89" s="254">
        <f t="shared" si="89"/>
        <v>8.577928346422014E-4</v>
      </c>
      <c r="AQ89" s="254">
        <f t="shared" si="108"/>
        <v>8.5779283464220146E-2</v>
      </c>
      <c r="AR89" s="254">
        <f t="shared" si="126"/>
        <v>5.1333333333333439E-4</v>
      </c>
      <c r="AS89" s="253">
        <f t="shared" si="92"/>
        <v>8.1199343182893644E-4</v>
      </c>
      <c r="AT89" s="253">
        <f t="shared" si="127"/>
        <v>4.8666666666666612E-4</v>
      </c>
      <c r="AU89" s="255">
        <f t="shared" si="109"/>
        <v>4.8666666666666615E-2</v>
      </c>
      <c r="AW89" s="258">
        <f>(((IF($P$5&lt;&gt;0,$P$5,IF($P$6&lt;&gt;0,$P$6,IF($P$7&lt;&gt;0,$P$7,0))))/(12*$P$19))+(((3*$P$15)/(2*(IF($P$5&lt;&gt;0,$P$5,IF($P$6&lt;&gt;0,$P$6,IF($P$7&lt;&gt;0,$P$7,0))))*$U$5*$P$19))*'IN-OUT'!$F$15))*'Burland damage classification'!BA89</f>
        <v>4.8580304452655433E-3</v>
      </c>
      <c r="AX89" s="254">
        <f>(1+(((IF($P$5&lt;&gt;0,$P$5^2,IF($P$6&lt;&gt;0,$P$6^2,IF($P$7&lt;&gt;0,$P$7^2))))*$U$5)/(18*$P$15))*('IN-OUT'!$F$15^(-1)))*BB89</f>
        <v>1.9244725217935537E-3</v>
      </c>
      <c r="AY89" s="254">
        <f t="shared" si="90"/>
        <v>1.9244725217935537E-3</v>
      </c>
      <c r="AZ89" s="254">
        <f t="shared" si="110"/>
        <v>0.19244725217935538</v>
      </c>
      <c r="BA89" s="254">
        <f t="shared" si="128"/>
        <v>1.5133333333333283E-3</v>
      </c>
      <c r="BB89" s="270">
        <f t="shared" si="93"/>
        <v>1.8217207982198225E-3</v>
      </c>
      <c r="BC89" s="253">
        <f t="shared" si="129"/>
        <v>4.8666666666666612E-4</v>
      </c>
      <c r="BD89" s="255">
        <f t="shared" si="111"/>
        <v>4.8666666666666615E-2</v>
      </c>
      <c r="BI89" s="248"/>
      <c r="BO89" s="258" t="e">
        <f>((((IF($Q$5=0,$Q$6,$Q$5)))/(12*$Q$19))+(((3*$Q$15)/(2*IF($Q$5=0,$Q$6,$Q$5)*$U$5*$Q$19))*'IN-OUT'!$F$15))*'Burland damage classification'!BS89</f>
        <v>#DIV/0!</v>
      </c>
      <c r="BP89" s="262">
        <f>(1+(((IF($Q$5=0,$Q$6^2,$Q$5^2))*$U$5)/(18*$Q$15))*('IN-OUT'!$F$15^(-1)))*BT89</f>
        <v>2.8225284173355426E-4</v>
      </c>
      <c r="BQ89" s="254" t="e">
        <f t="shared" si="94"/>
        <v>#DIV/0!</v>
      </c>
      <c r="BR89" s="254" t="e">
        <f t="shared" si="112"/>
        <v>#DIV/0!</v>
      </c>
      <c r="BS89" s="254">
        <f t="shared" si="130"/>
        <v>1.3333333333333935E-5</v>
      </c>
      <c r="BT89" s="253">
        <f t="shared" si="95"/>
        <v>2.8225284173355426E-4</v>
      </c>
      <c r="BU89" s="253">
        <f t="shared" si="131"/>
        <v>4.8666666666666612E-4</v>
      </c>
      <c r="BV89" s="255">
        <f t="shared" si="113"/>
        <v>4.8666666666666615E-2</v>
      </c>
      <c r="BX89" s="258" t="e">
        <f>((((IF($Q$5=0,$Q$6,$Q$5)))/(12*$Q$19))+(((3*$Q$15)/(2*IF($Q$5=0,$Q$6,$Q$5)*$U$5*$Q$19))*'IN-OUT'!$F$15))*'Burland damage classification'!CB89</f>
        <v>#DIV/0!</v>
      </c>
      <c r="BY89" s="262">
        <f>(1+(((IF($Q$5=0,$Q$6^2,$Q$5^2))*$U$5)/(18*$Q$15))*('IN-OUT'!$F$15^(-1)))*CC89</f>
        <v>8.1199343182893644E-4</v>
      </c>
      <c r="BZ89" s="254" t="e">
        <f t="shared" si="96"/>
        <v>#DIV/0!</v>
      </c>
      <c r="CA89" s="254" t="e">
        <f t="shared" si="114"/>
        <v>#DIV/0!</v>
      </c>
      <c r="CB89" s="254">
        <f t="shared" si="132"/>
        <v>5.1333333333333439E-4</v>
      </c>
      <c r="CC89" s="253">
        <f t="shared" si="97"/>
        <v>8.1199343182893644E-4</v>
      </c>
      <c r="CD89" s="253">
        <f t="shared" si="133"/>
        <v>4.8666666666666612E-4</v>
      </c>
      <c r="CE89" s="255">
        <f t="shared" si="115"/>
        <v>4.8666666666666615E-2</v>
      </c>
      <c r="CG89" s="258" t="e">
        <f>((((IF($Q$5=0,$Q$6,$Q$5)))/(12*$Q$19))+(((3*$Q$15)/(2*IF($Q$5=0,$Q$6,$Q$5)*$U$5*$Q$19))*'IN-OUT'!$F$15))*'Burland damage classification'!CK89</f>
        <v>#DIV/0!</v>
      </c>
      <c r="CH89" s="262">
        <f>(1+(((IF($Q$5=0,$Q$6^2,$Q$5^2))*$U$5)/(18*$Q$15))*('IN-OUT'!$F$15^(-1)))*CL89</f>
        <v>1.8217207982198225E-3</v>
      </c>
      <c r="CI89" s="254" t="e">
        <f t="shared" si="98"/>
        <v>#DIV/0!</v>
      </c>
      <c r="CJ89" s="254" t="e">
        <f t="shared" si="116"/>
        <v>#DIV/0!</v>
      </c>
      <c r="CK89" s="254">
        <f t="shared" si="134"/>
        <v>1.5133333333333283E-3</v>
      </c>
      <c r="CL89" s="270">
        <f t="shared" si="99"/>
        <v>1.8217207982198225E-3</v>
      </c>
      <c r="CM89" s="253">
        <f t="shared" si="135"/>
        <v>4.8666666666666612E-4</v>
      </c>
      <c r="CN89" s="255">
        <f t="shared" si="117"/>
        <v>4.8666666666666615E-2</v>
      </c>
      <c r="CS89" s="248"/>
      <c r="CY89" s="258" t="e">
        <f>((((IF($R$5=0,$R$6,$R$5)))/(12*$R$19))+(((3*$R$15)/(2*IF($R$5=0,$R$6,$R$5)*$U$5*$R$19))*'IN-OUT'!$F$15))*'Burland damage classification'!DC89</f>
        <v>#DIV/0!</v>
      </c>
      <c r="CZ89" s="262">
        <f>(1+(((IF($R$5=0,$R$6^2,$R$5^2))*$U$5)/(18*$R$15))*('IN-OUT'!$F$15^(-1)))*DD89</f>
        <v>2.8225284173355426E-4</v>
      </c>
      <c r="DA89" s="254" t="e">
        <f t="shared" si="100"/>
        <v>#DIV/0!</v>
      </c>
      <c r="DB89" s="254" t="e">
        <f t="shared" si="118"/>
        <v>#DIV/0!</v>
      </c>
      <c r="DC89" s="254">
        <f t="shared" si="136"/>
        <v>1.3333333333333935E-5</v>
      </c>
      <c r="DD89" s="253">
        <f t="shared" si="101"/>
        <v>2.8225284173355426E-4</v>
      </c>
      <c r="DE89" s="253">
        <f t="shared" si="137"/>
        <v>4.8666666666666612E-4</v>
      </c>
      <c r="DF89" s="255">
        <f t="shared" si="119"/>
        <v>4.8666666666666615E-2</v>
      </c>
      <c r="DH89" s="258" t="e">
        <f>((((IF($R$5=0,$R$6,$R$5)))/(12*$R$19))+(((3*$R$15)/(2*IF($R$5=0,$R$6,$R$5)*$U$5*$R$19))*'IN-OUT'!$F$15))*'Burland damage classification'!DL89</f>
        <v>#DIV/0!</v>
      </c>
      <c r="DI89" s="262">
        <f>(1+(((IF($R$5=0,$R$6^2,$R$5^2))*$U$5)/(18*$R$15))*('IN-OUT'!$F$15^(-1)))*DM89</f>
        <v>8.1199343182893644E-4</v>
      </c>
      <c r="DJ89" s="254" t="e">
        <f t="shared" si="102"/>
        <v>#DIV/0!</v>
      </c>
      <c r="DK89" s="254" t="e">
        <f t="shared" si="120"/>
        <v>#DIV/0!</v>
      </c>
      <c r="DL89" s="254">
        <f t="shared" si="138"/>
        <v>5.1333333333333439E-4</v>
      </c>
      <c r="DM89" s="253">
        <f t="shared" si="103"/>
        <v>8.1199343182893644E-4</v>
      </c>
      <c r="DN89" s="253">
        <f t="shared" si="139"/>
        <v>4.8666666666666612E-4</v>
      </c>
      <c r="DO89" s="255">
        <f t="shared" si="121"/>
        <v>4.8666666666666615E-2</v>
      </c>
      <c r="DQ89" s="258" t="e">
        <f>((((IF($R$5=0,$R$6,$R$5)))/(12*$R$19))+(((3*$R$15)/(2*IF($R$5=0,$R$6,$R$5)*$U$5*$R$19))*'IN-OUT'!$F$15))*'Burland damage classification'!DU89</f>
        <v>#DIV/0!</v>
      </c>
      <c r="DR89" s="262">
        <f>(1+(((IF($R$5=0,$R$6^2,$R$5^2))*$U$5)/(18*$R$15))*('IN-OUT'!$F$15^(-1)))*DV89</f>
        <v>1.8217207982198225E-3</v>
      </c>
      <c r="DS89" s="254" t="e">
        <f t="shared" si="104"/>
        <v>#DIV/0!</v>
      </c>
      <c r="DT89" s="254" t="e">
        <f t="shared" si="122"/>
        <v>#DIV/0!</v>
      </c>
      <c r="DU89" s="254">
        <f t="shared" si="140"/>
        <v>1.5133333333333283E-3</v>
      </c>
      <c r="DV89" s="270">
        <f t="shared" si="105"/>
        <v>1.8217207982198225E-3</v>
      </c>
      <c r="DW89" s="253">
        <f t="shared" si="141"/>
        <v>4.8666666666666612E-4</v>
      </c>
      <c r="DX89" s="255">
        <f t="shared" si="123"/>
        <v>4.8666666666666615E-2</v>
      </c>
    </row>
    <row r="90" spans="21:128">
      <c r="U90" s="262"/>
      <c r="AE90" s="258">
        <f>(((IF($P$5&lt;&gt;0,$P$5,IF($P$6&lt;&gt;0,$P$6,IF($P$7&lt;&gt;0,$P$7,0))))/(12*$P$19))+(((3*$P$15)/(2*(IF($P$5&lt;&gt;0,$P$5,IF($P$6&lt;&gt;0,$P$6,IF($P$7&lt;&gt;0,$P$7,0))))*$U$5*$P$19))*'IN-OUT'!$F$15))*'Burland damage classification'!AI90</f>
        <v>2.1401015177383249E-5</v>
      </c>
      <c r="AF90" s="254">
        <f>(1+(((IF($P$5&lt;&gt;0,$P$5^2,IF($P$6&lt;&gt;0,$P$6^2,IF($P$7&lt;&gt;0,$P$7^2))))*$U$5)/(18*$P$15))*('IN-OUT'!$F$15^(-1)))*AJ90</f>
        <v>2.9377393665091465E-4</v>
      </c>
      <c r="AG90" s="254">
        <f t="shared" si="88"/>
        <v>2.1401015177383249E-5</v>
      </c>
      <c r="AH90" s="254">
        <f t="shared" si="106"/>
        <v>2.140101517738325E-3</v>
      </c>
      <c r="AI90" s="254">
        <f t="shared" si="124"/>
        <v>6.666666666667268E-6</v>
      </c>
      <c r="AJ90" s="253">
        <f t="shared" si="91"/>
        <v>2.7808871486152307E-4</v>
      </c>
      <c r="AK90" s="253">
        <f t="shared" si="125"/>
        <v>4.9333333333333282E-4</v>
      </c>
      <c r="AL90" s="255">
        <f t="shared" si="107"/>
        <v>4.9333333333333285E-2</v>
      </c>
      <c r="AN90" s="258">
        <f>(((IF($P$5&lt;&gt;0,$P$5,IF($P$6&lt;&gt;0,$P$6,IF($P$7&lt;&gt;0,$P$7,0))))/(12*$P$19))+(((3*$P$15)/(2*(IF($P$5&lt;&gt;0,$P$5,IF($P$6&lt;&gt;0,$P$6,IF($P$7&lt;&gt;0,$P$7,0))))*$U$5*$P$19))*'IN-OUT'!$F$15))*'Burland damage classification'!AR90</f>
        <v>1.6264771534809837E-3</v>
      </c>
      <c r="AO90" s="254">
        <f>(1+(((IF($P$5&lt;&gt;0,$P$5^2,IF($P$6&lt;&gt;0,$P$6^2,IF($P$7&lt;&gt;0,$P$7^2))))*$U$5)/(18*$P$15))*('IN-OUT'!$F$15^(-1)))*AS90</f>
        <v>8.5475177678294987E-4</v>
      </c>
      <c r="AP90" s="254">
        <f t="shared" si="89"/>
        <v>8.5475177678294987E-4</v>
      </c>
      <c r="AQ90" s="254">
        <f t="shared" si="108"/>
        <v>8.5475177678294989E-2</v>
      </c>
      <c r="AR90" s="254">
        <f t="shared" si="126"/>
        <v>5.0666666666666774E-4</v>
      </c>
      <c r="AS90" s="253">
        <f t="shared" si="92"/>
        <v>8.0911474258393476E-4</v>
      </c>
      <c r="AT90" s="253">
        <f t="shared" si="127"/>
        <v>4.9333333333333282E-4</v>
      </c>
      <c r="AU90" s="255">
        <f t="shared" si="109"/>
        <v>4.9333333333333285E-2</v>
      </c>
      <c r="AW90" s="258">
        <f>(((IF($P$5&lt;&gt;0,$P$5,IF($P$6&lt;&gt;0,$P$6,IF($P$7&lt;&gt;0,$P$7,0))))/(12*$P$19))+(((3*$P$15)/(2*(IF($P$5&lt;&gt;0,$P$5,IF($P$6&lt;&gt;0,$P$6,IF($P$7&lt;&gt;0,$P$7,0))))*$U$5*$P$19))*'IN-OUT'!$F$15))*'Burland damage classification'!BA90</f>
        <v>4.8366294300881615E-3</v>
      </c>
      <c r="AX90" s="254">
        <f>(1+(((IF($P$5&lt;&gt;0,$P$5^2,IF($P$6&lt;&gt;0,$P$6^2,IF($P$7&lt;&gt;0,$P$7^2))))*$U$5)/(18*$P$15))*('IN-OUT'!$F$15^(-1)))*BB90</f>
        <v>1.9217644477507261E-3</v>
      </c>
      <c r="AY90" s="254">
        <f t="shared" si="90"/>
        <v>1.9217644477507261E-3</v>
      </c>
      <c r="AZ90" s="254">
        <f t="shared" si="110"/>
        <v>0.19217644477507262</v>
      </c>
      <c r="BA90" s="254">
        <f t="shared" si="128"/>
        <v>1.5066666666666616E-3</v>
      </c>
      <c r="BB90" s="270">
        <f t="shared" si="93"/>
        <v>1.8191573140697134E-3</v>
      </c>
      <c r="BC90" s="253">
        <f t="shared" si="129"/>
        <v>4.9333333333333282E-4</v>
      </c>
      <c r="BD90" s="255">
        <f t="shared" si="111"/>
        <v>4.9333333333333285E-2</v>
      </c>
      <c r="BI90" s="248"/>
      <c r="BO90" s="258" t="e">
        <f>((((IF($Q$5=0,$Q$6,$Q$5)))/(12*$Q$19))+(((3*$Q$15)/(2*IF($Q$5=0,$Q$6,$Q$5)*$U$5*$Q$19))*'IN-OUT'!$F$15))*'Burland damage classification'!BS90</f>
        <v>#DIV/0!</v>
      </c>
      <c r="BP90" s="262">
        <f>(1+(((IF($Q$5=0,$Q$6^2,$Q$5^2))*$U$5)/(18*$Q$15))*('IN-OUT'!$F$15^(-1)))*BT90</f>
        <v>2.7808871486152307E-4</v>
      </c>
      <c r="BQ90" s="254" t="e">
        <f t="shared" si="94"/>
        <v>#DIV/0!</v>
      </c>
      <c r="BR90" s="254" t="e">
        <f t="shared" si="112"/>
        <v>#DIV/0!</v>
      </c>
      <c r="BS90" s="254">
        <f t="shared" si="130"/>
        <v>6.666666666667268E-6</v>
      </c>
      <c r="BT90" s="253">
        <f t="shared" si="95"/>
        <v>2.7808871486152307E-4</v>
      </c>
      <c r="BU90" s="253">
        <f t="shared" si="131"/>
        <v>4.9333333333333282E-4</v>
      </c>
      <c r="BV90" s="255">
        <f t="shared" si="113"/>
        <v>4.9333333333333285E-2</v>
      </c>
      <c r="BX90" s="258" t="e">
        <f>((((IF($Q$5=0,$Q$6,$Q$5)))/(12*$Q$19))+(((3*$Q$15)/(2*IF($Q$5=0,$Q$6,$Q$5)*$U$5*$Q$19))*'IN-OUT'!$F$15))*'Burland damage classification'!CB90</f>
        <v>#DIV/0!</v>
      </c>
      <c r="BY90" s="262">
        <f>(1+(((IF($Q$5=0,$Q$6^2,$Q$5^2))*$U$5)/(18*$Q$15))*('IN-OUT'!$F$15^(-1)))*CC90</f>
        <v>8.0911474258393476E-4</v>
      </c>
      <c r="BZ90" s="254" t="e">
        <f t="shared" si="96"/>
        <v>#DIV/0!</v>
      </c>
      <c r="CA90" s="254" t="e">
        <f t="shared" si="114"/>
        <v>#DIV/0!</v>
      </c>
      <c r="CB90" s="254">
        <f t="shared" si="132"/>
        <v>5.0666666666666774E-4</v>
      </c>
      <c r="CC90" s="253">
        <f t="shared" si="97"/>
        <v>8.0911474258393476E-4</v>
      </c>
      <c r="CD90" s="253">
        <f t="shared" si="133"/>
        <v>4.9333333333333282E-4</v>
      </c>
      <c r="CE90" s="255">
        <f t="shared" si="115"/>
        <v>4.9333333333333285E-2</v>
      </c>
      <c r="CG90" s="258" t="e">
        <f>((((IF($Q$5=0,$Q$6,$Q$5)))/(12*$Q$19))+(((3*$Q$15)/(2*IF($Q$5=0,$Q$6,$Q$5)*$U$5*$Q$19))*'IN-OUT'!$F$15))*'Burland damage classification'!CK90</f>
        <v>#DIV/0!</v>
      </c>
      <c r="CH90" s="262">
        <f>(1+(((IF($Q$5=0,$Q$6^2,$Q$5^2))*$U$5)/(18*$Q$15))*('IN-OUT'!$F$15^(-1)))*CL90</f>
        <v>1.8191573140697134E-3</v>
      </c>
      <c r="CI90" s="254" t="e">
        <f t="shared" si="98"/>
        <v>#DIV/0!</v>
      </c>
      <c r="CJ90" s="254" t="e">
        <f t="shared" si="116"/>
        <v>#DIV/0!</v>
      </c>
      <c r="CK90" s="254">
        <f t="shared" si="134"/>
        <v>1.5066666666666616E-3</v>
      </c>
      <c r="CL90" s="270">
        <f t="shared" si="99"/>
        <v>1.8191573140697134E-3</v>
      </c>
      <c r="CM90" s="253">
        <f t="shared" si="135"/>
        <v>4.9333333333333282E-4</v>
      </c>
      <c r="CN90" s="255">
        <f t="shared" si="117"/>
        <v>4.9333333333333285E-2</v>
      </c>
      <c r="CS90" s="248"/>
      <c r="CY90" s="258" t="e">
        <f>((((IF($R$5=0,$R$6,$R$5)))/(12*$R$19))+(((3*$R$15)/(2*IF($R$5=0,$R$6,$R$5)*$U$5*$R$19))*'IN-OUT'!$F$15))*'Burland damage classification'!DC90</f>
        <v>#DIV/0!</v>
      </c>
      <c r="CZ90" s="262">
        <f>(1+(((IF($R$5=0,$R$6^2,$R$5^2))*$U$5)/(18*$R$15))*('IN-OUT'!$F$15^(-1)))*DD90</f>
        <v>2.7808871486152307E-4</v>
      </c>
      <c r="DA90" s="254" t="e">
        <f t="shared" si="100"/>
        <v>#DIV/0!</v>
      </c>
      <c r="DB90" s="254" t="e">
        <f t="shared" si="118"/>
        <v>#DIV/0!</v>
      </c>
      <c r="DC90" s="254">
        <f t="shared" si="136"/>
        <v>6.666666666667268E-6</v>
      </c>
      <c r="DD90" s="253">
        <f t="shared" si="101"/>
        <v>2.7808871486152307E-4</v>
      </c>
      <c r="DE90" s="253">
        <f t="shared" si="137"/>
        <v>4.9333333333333282E-4</v>
      </c>
      <c r="DF90" s="255">
        <f t="shared" si="119"/>
        <v>4.9333333333333285E-2</v>
      </c>
      <c r="DH90" s="258" t="e">
        <f>((((IF($R$5=0,$R$6,$R$5)))/(12*$R$19))+(((3*$R$15)/(2*IF($R$5=0,$R$6,$R$5)*$U$5*$R$19))*'IN-OUT'!$F$15))*'Burland damage classification'!DL90</f>
        <v>#DIV/0!</v>
      </c>
      <c r="DI90" s="262">
        <f>(1+(((IF($R$5=0,$R$6^2,$R$5^2))*$U$5)/(18*$R$15))*('IN-OUT'!$F$15^(-1)))*DM90</f>
        <v>8.0911474258393476E-4</v>
      </c>
      <c r="DJ90" s="254" t="e">
        <f t="shared" si="102"/>
        <v>#DIV/0!</v>
      </c>
      <c r="DK90" s="254" t="e">
        <f t="shared" si="120"/>
        <v>#DIV/0!</v>
      </c>
      <c r="DL90" s="254">
        <f t="shared" si="138"/>
        <v>5.0666666666666774E-4</v>
      </c>
      <c r="DM90" s="253">
        <f t="shared" si="103"/>
        <v>8.0911474258393476E-4</v>
      </c>
      <c r="DN90" s="253">
        <f t="shared" si="139"/>
        <v>4.9333333333333282E-4</v>
      </c>
      <c r="DO90" s="255">
        <f t="shared" si="121"/>
        <v>4.9333333333333285E-2</v>
      </c>
      <c r="DQ90" s="258" t="e">
        <f>((((IF($R$5=0,$R$6,$R$5)))/(12*$R$19))+(((3*$R$15)/(2*IF($R$5=0,$R$6,$R$5)*$U$5*$R$19))*'IN-OUT'!$F$15))*'Burland damage classification'!DU90</f>
        <v>#DIV/0!</v>
      </c>
      <c r="DR90" s="262">
        <f>(1+(((IF($R$5=0,$R$6^2,$R$5^2))*$U$5)/(18*$R$15))*('IN-OUT'!$F$15^(-1)))*DV90</f>
        <v>1.8191573140697134E-3</v>
      </c>
      <c r="DS90" s="254" t="e">
        <f t="shared" si="104"/>
        <v>#DIV/0!</v>
      </c>
      <c r="DT90" s="254" t="e">
        <f t="shared" si="122"/>
        <v>#DIV/0!</v>
      </c>
      <c r="DU90" s="254">
        <f t="shared" si="140"/>
        <v>1.5066666666666616E-3</v>
      </c>
      <c r="DV90" s="270">
        <f t="shared" si="105"/>
        <v>1.8191573140697134E-3</v>
      </c>
      <c r="DW90" s="253">
        <f t="shared" si="141"/>
        <v>4.9333333333333282E-4</v>
      </c>
      <c r="DX90" s="255">
        <f t="shared" si="123"/>
        <v>4.9333333333333285E-2</v>
      </c>
    </row>
    <row r="91" spans="21:128" ht="13.8" thickBot="1">
      <c r="U91" s="262"/>
      <c r="AE91" s="258">
        <f>(((IF($P$5&lt;&gt;0,$P$5,IF($P$6&lt;&gt;0,$P$6,IF($P$7&lt;&gt;0,$P$7,0))))/(12*$P$19))+(((3*$P$15)/(2*(IF($P$5&lt;&gt;0,$P$5,IF($P$6&lt;&gt;0,$P$6,IF($P$7&lt;&gt;0,$P$7,0))))*$U$5*$P$19))*'IN-OUT'!$F$15))*'Burland damage classification'!AI91</f>
        <v>1.9305643682326849E-18</v>
      </c>
      <c r="AF91" s="254">
        <f>(1+(((IF($P$5&lt;&gt;0,$P$5^2,IF($P$6&lt;&gt;0,$P$6^2,IF($P$7&lt;&gt;0,$P$7^2))))*$U$5)/(18*$P$15))*('IN-OUT'!$F$15^(-1)))*AJ91</f>
        <v>2.8930805766592287E-4</v>
      </c>
      <c r="AG91" s="259">
        <f t="shared" si="88"/>
        <v>1.9305643682326849E-18</v>
      </c>
      <c r="AH91" s="259">
        <f t="shared" si="106"/>
        <v>1.930564368232685E-16</v>
      </c>
      <c r="AI91" s="254">
        <f t="shared" si="124"/>
        <v>6.0139339255055324E-19</v>
      </c>
      <c r="AJ91" s="260">
        <f t="shared" si="91"/>
        <v>2.7386127875258338E-4</v>
      </c>
      <c r="AK91" s="253">
        <f t="shared" si="125"/>
        <v>4.9999999999999947E-4</v>
      </c>
      <c r="AL91" s="261">
        <f t="shared" si="107"/>
        <v>4.9999999999999947E-2</v>
      </c>
      <c r="AN91" s="258">
        <f>(((IF($P$5&lt;&gt;0,$P$5,IF($P$6&lt;&gt;0,$P$6,IF($P$7&lt;&gt;0,$P$7,0))))/(12*$P$19))+(((3*$P$15)/(2*(IF($P$5&lt;&gt;0,$P$5,IF($P$6&lt;&gt;0,$P$6,IF($P$7&lt;&gt;0,$P$7,0))))*$U$5*$P$19))*'IN-OUT'!$F$15))*'Burland damage classification'!AR91</f>
        <v>1.6050761383036025E-3</v>
      </c>
      <c r="AO91" s="254">
        <f>(1+(((IF($P$5&lt;&gt;0,$P$5^2,IF($P$6&lt;&gt;0,$P$6^2,IF($P$7&lt;&gt;0,$P$7^2))))*$U$5)/(18*$P$15))*('IN-OUT'!$F$15^(-1)))*AS91</f>
        <v>8.5169986066907185E-4</v>
      </c>
      <c r="AP91" s="254">
        <f t="shared" si="89"/>
        <v>8.5169986066907185E-4</v>
      </c>
      <c r="AQ91" s="254">
        <f t="shared" si="108"/>
        <v>8.5169986066907191E-2</v>
      </c>
      <c r="AR91" s="254">
        <f t="shared" si="126"/>
        <v>5.0000000000000109E-4</v>
      </c>
      <c r="AS91" s="253">
        <f t="shared" si="92"/>
        <v>8.0622577482985516E-4</v>
      </c>
      <c r="AT91" s="253">
        <f t="shared" si="127"/>
        <v>4.9999999999999947E-4</v>
      </c>
      <c r="AU91" s="255">
        <f t="shared" si="109"/>
        <v>4.9999999999999947E-2</v>
      </c>
      <c r="AW91" s="258">
        <f>(((IF($P$5&lt;&gt;0,$P$5,IF($P$6&lt;&gt;0,$P$6,IF($P$7&lt;&gt;0,$P$7,0))))/(12*$P$19))+(((3*$P$15)/(2*(IF($P$5&lt;&gt;0,$P$5,IF($P$6&lt;&gt;0,$P$6,IF($P$7&lt;&gt;0,$P$7,0))))*$U$5*$P$19))*'IN-OUT'!$F$15))*'Burland damage classification'!BA91</f>
        <v>4.8152284149107806E-3</v>
      </c>
      <c r="AX91" s="254">
        <f>(1+(((IF($P$5&lt;&gt;0,$P$5^2,IF($P$6&lt;&gt;0,$P$6^2,IF($P$7&lt;&gt;0,$P$7^2))))*$U$5)/(18*$P$15))*('IN-OUT'!$F$15^(-1)))*BB91</f>
        <v>1.9190525522087367E-3</v>
      </c>
      <c r="AY91" s="254">
        <f t="shared" si="90"/>
        <v>1.9190525522087367E-3</v>
      </c>
      <c r="AZ91" s="254">
        <f t="shared" si="110"/>
        <v>0.19190525522087368</v>
      </c>
      <c r="BA91" s="254">
        <f t="shared" si="128"/>
        <v>1.4999999999999948E-3</v>
      </c>
      <c r="BB91" s="270">
        <f t="shared" si="93"/>
        <v>1.8165902124584951E-3</v>
      </c>
      <c r="BC91" s="253">
        <f t="shared" si="129"/>
        <v>4.9999999999999947E-4</v>
      </c>
      <c r="BD91" s="255">
        <f t="shared" si="111"/>
        <v>4.9999999999999947E-2</v>
      </c>
      <c r="BI91" s="248"/>
      <c r="BO91" s="265" t="e">
        <f>((((IF($Q$5=0,$Q$6,$Q$5)))/(12*$Q$19))+(((3*$Q$15)/(2*IF($Q$5=0,$Q$6,$Q$5)*$U$5*$Q$19))*'IN-OUT'!$F$15))*'Burland damage classification'!BS91</f>
        <v>#DIV/0!</v>
      </c>
      <c r="BP91" s="272">
        <f>(1+(((IF($Q$5=0,$Q$6^2,$Q$5^2))*$U$5)/(18*$Q$15))*('IN-OUT'!$F$15^(-1)))*BT91</f>
        <v>2.7386127875258338E-4</v>
      </c>
      <c r="BQ91" s="259" t="e">
        <f t="shared" si="94"/>
        <v>#DIV/0!</v>
      </c>
      <c r="BR91" s="259" t="e">
        <f t="shared" si="112"/>
        <v>#DIV/0!</v>
      </c>
      <c r="BS91" s="254">
        <f t="shared" si="130"/>
        <v>6.0139339255055324E-19</v>
      </c>
      <c r="BT91" s="260">
        <f t="shared" si="95"/>
        <v>2.7386127875258338E-4</v>
      </c>
      <c r="BU91" s="253">
        <f t="shared" si="131"/>
        <v>4.9999999999999947E-4</v>
      </c>
      <c r="BV91" s="261">
        <f t="shared" si="113"/>
        <v>4.9999999999999947E-2</v>
      </c>
      <c r="BX91" s="258" t="e">
        <f>((((IF($Q$5=0,$Q$6,$Q$5)))/(12*$Q$19))+(((3*$Q$15)/(2*IF($Q$5=0,$Q$6,$Q$5)*$U$5*$Q$19))*'IN-OUT'!$F$15))*'Burland damage classification'!CB91</f>
        <v>#DIV/0!</v>
      </c>
      <c r="BY91" s="262">
        <f>(1+(((IF($Q$5=0,$Q$6^2,$Q$5^2))*$U$5)/(18*$Q$15))*('IN-OUT'!$F$15^(-1)))*CC91</f>
        <v>8.0622577482985516E-4</v>
      </c>
      <c r="BZ91" s="254" t="e">
        <f t="shared" si="96"/>
        <v>#DIV/0!</v>
      </c>
      <c r="CA91" s="254" t="e">
        <f t="shared" si="114"/>
        <v>#DIV/0!</v>
      </c>
      <c r="CB91" s="254">
        <f t="shared" si="132"/>
        <v>5.0000000000000109E-4</v>
      </c>
      <c r="CC91" s="253">
        <f t="shared" si="97"/>
        <v>8.0622577482985516E-4</v>
      </c>
      <c r="CD91" s="253">
        <f t="shared" si="133"/>
        <v>4.9999999999999947E-4</v>
      </c>
      <c r="CE91" s="255">
        <f t="shared" si="115"/>
        <v>4.9999999999999947E-2</v>
      </c>
      <c r="CG91" s="258" t="e">
        <f>((((IF($Q$5=0,$Q$6,$Q$5)))/(12*$Q$19))+(((3*$Q$15)/(2*IF($Q$5=0,$Q$6,$Q$5)*$U$5*$Q$19))*'IN-OUT'!$F$15))*'Burland damage classification'!CK91</f>
        <v>#DIV/0!</v>
      </c>
      <c r="CH91" s="262">
        <f>(1+(((IF($Q$5=0,$Q$6^2,$Q$5^2))*$U$5)/(18*$Q$15))*('IN-OUT'!$F$15^(-1)))*CL91</f>
        <v>1.8165902124584951E-3</v>
      </c>
      <c r="CI91" s="254" t="e">
        <f t="shared" si="98"/>
        <v>#DIV/0!</v>
      </c>
      <c r="CJ91" s="254" t="e">
        <f t="shared" si="116"/>
        <v>#DIV/0!</v>
      </c>
      <c r="CK91" s="254">
        <f t="shared" si="134"/>
        <v>1.4999999999999948E-3</v>
      </c>
      <c r="CL91" s="270">
        <f t="shared" si="99"/>
        <v>1.8165902124584951E-3</v>
      </c>
      <c r="CM91" s="253">
        <f t="shared" si="135"/>
        <v>4.9999999999999947E-4</v>
      </c>
      <c r="CN91" s="255">
        <f t="shared" si="117"/>
        <v>4.9999999999999947E-2</v>
      </c>
      <c r="CS91" s="248"/>
      <c r="CY91" s="265" t="e">
        <f>((((IF($R$5=0,$R$6,$R$5)))/(12*$R$19))+(((3*$R$15)/(2*IF($R$5=0,$R$6,$R$5)*$U$5*$R$19))*'IN-OUT'!$F$15))*'Burland damage classification'!DC91</f>
        <v>#DIV/0!</v>
      </c>
      <c r="CZ91" s="272">
        <f>(1+(((IF($R$5=0,$R$6^2,$R$5^2))*$U$5)/(18*$R$15))*('IN-OUT'!$F$15^(-1)))*DD91</f>
        <v>2.7386127875258338E-4</v>
      </c>
      <c r="DA91" s="259" t="e">
        <f t="shared" si="100"/>
        <v>#DIV/0!</v>
      </c>
      <c r="DB91" s="259" t="e">
        <f t="shared" si="118"/>
        <v>#DIV/0!</v>
      </c>
      <c r="DC91" s="254">
        <f t="shared" si="136"/>
        <v>6.0139339255055324E-19</v>
      </c>
      <c r="DD91" s="260">
        <f t="shared" si="101"/>
        <v>2.7386127875258338E-4</v>
      </c>
      <c r="DE91" s="253">
        <f t="shared" si="137"/>
        <v>4.9999999999999947E-4</v>
      </c>
      <c r="DF91" s="261">
        <f t="shared" si="119"/>
        <v>4.9999999999999947E-2</v>
      </c>
      <c r="DH91" s="258" t="e">
        <f>((((IF($R$5=0,$R$6,$R$5)))/(12*$R$19))+(((3*$R$15)/(2*IF($R$5=0,$R$6,$R$5)*$U$5*$R$19))*'IN-OUT'!$F$15))*'Burland damage classification'!DL91</f>
        <v>#DIV/0!</v>
      </c>
      <c r="DI91" s="262">
        <f>(1+(((IF($R$5=0,$R$6^2,$R$5^2))*$U$5)/(18*$R$15))*('IN-OUT'!$F$15^(-1)))*DM91</f>
        <v>8.0622577482985516E-4</v>
      </c>
      <c r="DJ91" s="254" t="e">
        <f t="shared" si="102"/>
        <v>#DIV/0!</v>
      </c>
      <c r="DK91" s="254" t="e">
        <f t="shared" si="120"/>
        <v>#DIV/0!</v>
      </c>
      <c r="DL91" s="254">
        <f t="shared" si="138"/>
        <v>5.0000000000000109E-4</v>
      </c>
      <c r="DM91" s="253">
        <f t="shared" si="103"/>
        <v>8.0622577482985516E-4</v>
      </c>
      <c r="DN91" s="253">
        <f t="shared" si="139"/>
        <v>4.9999999999999947E-4</v>
      </c>
      <c r="DO91" s="255">
        <f t="shared" si="121"/>
        <v>4.9999999999999947E-2</v>
      </c>
      <c r="DQ91" s="258" t="e">
        <f>((((IF($R$5=0,$R$6,$R$5)))/(12*$R$19))+(((3*$R$15)/(2*IF($R$5=0,$R$6,$R$5)*$U$5*$R$19))*'IN-OUT'!$F$15))*'Burland damage classification'!DU91</f>
        <v>#DIV/0!</v>
      </c>
      <c r="DR91" s="262">
        <f>(1+(((IF($R$5=0,$R$6^2,$R$5^2))*$U$5)/(18*$R$15))*('IN-OUT'!$F$15^(-1)))*DV91</f>
        <v>1.8165902124584951E-3</v>
      </c>
      <c r="DS91" s="254" t="e">
        <f t="shared" si="104"/>
        <v>#DIV/0!</v>
      </c>
      <c r="DT91" s="254" t="e">
        <f t="shared" si="122"/>
        <v>#DIV/0!</v>
      </c>
      <c r="DU91" s="254">
        <f t="shared" si="140"/>
        <v>1.4999999999999948E-3</v>
      </c>
      <c r="DV91" s="270">
        <f t="shared" si="105"/>
        <v>1.8165902124584951E-3</v>
      </c>
      <c r="DW91" s="253">
        <f t="shared" si="141"/>
        <v>4.9999999999999947E-4</v>
      </c>
      <c r="DX91" s="255">
        <f t="shared" si="123"/>
        <v>4.9999999999999947E-2</v>
      </c>
    </row>
    <row r="92" spans="21:128">
      <c r="U92" s="262"/>
      <c r="AJ92" s="254"/>
      <c r="AN92" s="258">
        <f>(((IF($P$5&lt;&gt;0,$P$5,IF($P$6&lt;&gt;0,$P$6,IF($P$7&lt;&gt;0,$P$7,0))))/(12*$P$19))+(((3*$P$15)/(2*(IF($P$5&lt;&gt;0,$P$5,IF($P$6&lt;&gt;0,$P$6,IF($P$7&lt;&gt;0,$P$7,0))))*$U$5*$P$19))*'IN-OUT'!$F$15))*'Burland damage classification'!AR92</f>
        <v>1.5836751231262211E-3</v>
      </c>
      <c r="AO92" s="254">
        <f>(1+(((IF($P$5&lt;&gt;0,$P$5^2,IF($P$6&lt;&gt;0,$P$6^2,IF($P$7&lt;&gt;0,$P$7^2))))*$U$5)/(18*$P$15))*('IN-OUT'!$F$15^(-1)))*AS92</f>
        <v>8.4863696915337295E-4</v>
      </c>
      <c r="AP92" s="254">
        <f t="shared" si="89"/>
        <v>8.4863696915337295E-4</v>
      </c>
      <c r="AQ92" s="254">
        <f t="shared" si="108"/>
        <v>8.4863696915337294E-2</v>
      </c>
      <c r="AR92" s="254">
        <f t="shared" si="126"/>
        <v>4.9333333333333445E-4</v>
      </c>
      <c r="AS92" s="253">
        <f t="shared" si="92"/>
        <v>8.0332641767424376E-4</v>
      </c>
      <c r="AT92" s="253">
        <f t="shared" si="127"/>
        <v>5.0666666666666612E-4</v>
      </c>
      <c r="AU92" s="255">
        <f t="shared" si="109"/>
        <v>5.066666666666661E-2</v>
      </c>
      <c r="AW92" s="258">
        <f>(((IF($P$5&lt;&gt;0,$P$5,IF($P$6&lt;&gt;0,$P$6,IF($P$7&lt;&gt;0,$P$7,0))))/(12*$P$19))+(((3*$P$15)/(2*(IF($P$5&lt;&gt;0,$P$5,IF($P$6&lt;&gt;0,$P$6,IF($P$7&lt;&gt;0,$P$7,0))))*$U$5*$P$19))*'IN-OUT'!$F$15))*'Burland damage classification'!BA92</f>
        <v>4.7938273997333988E-3</v>
      </c>
      <c r="AX92" s="254">
        <f>(1+(((IF($P$5&lt;&gt;0,$P$5^2,IF($P$6&lt;&gt;0,$P$6^2,IF($P$7&lt;&gt;0,$P$7^2))))*$U$5)/(18*$P$15))*('IN-OUT'!$F$15^(-1)))*BB92</f>
        <v>1.9163368189436529E-3</v>
      </c>
      <c r="AY92" s="254">
        <f t="shared" si="90"/>
        <v>1.9163368189436529E-3</v>
      </c>
      <c r="AZ92" s="254">
        <f t="shared" si="110"/>
        <v>0.1916336818943653</v>
      </c>
      <c r="BA92" s="254">
        <f t="shared" si="128"/>
        <v>1.4933333333333281E-3</v>
      </c>
      <c r="BB92" s="270">
        <f t="shared" si="93"/>
        <v>1.8140194780284656E-3</v>
      </c>
      <c r="BC92" s="253">
        <f t="shared" si="129"/>
        <v>5.0666666666666612E-4</v>
      </c>
      <c r="BD92" s="255">
        <f t="shared" si="111"/>
        <v>5.066666666666661E-2</v>
      </c>
      <c r="BI92" s="248"/>
      <c r="BT92" s="254"/>
      <c r="BX92" s="258" t="e">
        <f>((((IF($Q$5=0,$Q$6,$Q$5)))/(12*$Q$19))+(((3*$Q$15)/(2*IF($Q$5=0,$Q$6,$Q$5)*$U$5*$Q$19))*'IN-OUT'!$F$15))*'Burland damage classification'!CB92</f>
        <v>#DIV/0!</v>
      </c>
      <c r="BY92" s="262">
        <f>(1+(((IF($Q$5=0,$Q$6^2,$Q$5^2))*$U$5)/(18*$Q$15))*('IN-OUT'!$F$15^(-1)))*CC92</f>
        <v>8.0332641767424376E-4</v>
      </c>
      <c r="BZ92" s="254" t="e">
        <f t="shared" si="96"/>
        <v>#DIV/0!</v>
      </c>
      <c r="CA92" s="254" t="e">
        <f t="shared" si="114"/>
        <v>#DIV/0!</v>
      </c>
      <c r="CB92" s="254">
        <f t="shared" si="132"/>
        <v>4.9333333333333445E-4</v>
      </c>
      <c r="CC92" s="253">
        <f t="shared" si="97"/>
        <v>8.0332641767424376E-4</v>
      </c>
      <c r="CD92" s="253">
        <f t="shared" si="133"/>
        <v>5.0666666666666612E-4</v>
      </c>
      <c r="CE92" s="255">
        <f t="shared" si="115"/>
        <v>5.066666666666661E-2</v>
      </c>
      <c r="CG92" s="258" t="e">
        <f>((((IF($Q$5=0,$Q$6,$Q$5)))/(12*$Q$19))+(((3*$Q$15)/(2*IF($Q$5=0,$Q$6,$Q$5)*$U$5*$Q$19))*'IN-OUT'!$F$15))*'Burland damage classification'!CK92</f>
        <v>#DIV/0!</v>
      </c>
      <c r="CH92" s="262">
        <f>(1+(((IF($Q$5=0,$Q$6^2,$Q$5^2))*$U$5)/(18*$Q$15))*('IN-OUT'!$F$15^(-1)))*CL92</f>
        <v>1.8140194780284656E-3</v>
      </c>
      <c r="CI92" s="254" t="e">
        <f t="shared" si="98"/>
        <v>#DIV/0!</v>
      </c>
      <c r="CJ92" s="254" t="e">
        <f t="shared" si="116"/>
        <v>#DIV/0!</v>
      </c>
      <c r="CK92" s="254">
        <f t="shared" si="134"/>
        <v>1.4933333333333281E-3</v>
      </c>
      <c r="CL92" s="270">
        <f t="shared" si="99"/>
        <v>1.8140194780284656E-3</v>
      </c>
      <c r="CM92" s="253">
        <f t="shared" si="135"/>
        <v>5.0666666666666612E-4</v>
      </c>
      <c r="CN92" s="255">
        <f t="shared" si="117"/>
        <v>5.066666666666661E-2</v>
      </c>
      <c r="CS92" s="248"/>
      <c r="DD92" s="254"/>
      <c r="DH92" s="258" t="e">
        <f>((((IF($R$5=0,$R$6,$R$5)))/(12*$R$19))+(((3*$R$15)/(2*IF($R$5=0,$R$6,$R$5)*$U$5*$R$19))*'IN-OUT'!$F$15))*'Burland damage classification'!DL92</f>
        <v>#DIV/0!</v>
      </c>
      <c r="DI92" s="262">
        <f>(1+(((IF($R$5=0,$R$6^2,$R$5^2))*$U$5)/(18*$R$15))*('IN-OUT'!$F$15^(-1)))*DM92</f>
        <v>8.0332641767424376E-4</v>
      </c>
      <c r="DJ92" s="254" t="e">
        <f t="shared" si="102"/>
        <v>#DIV/0!</v>
      </c>
      <c r="DK92" s="254" t="e">
        <f t="shared" si="120"/>
        <v>#DIV/0!</v>
      </c>
      <c r="DL92" s="254">
        <f t="shared" si="138"/>
        <v>4.9333333333333445E-4</v>
      </c>
      <c r="DM92" s="253">
        <f t="shared" si="103"/>
        <v>8.0332641767424376E-4</v>
      </c>
      <c r="DN92" s="253">
        <f t="shared" si="139"/>
        <v>5.0666666666666612E-4</v>
      </c>
      <c r="DO92" s="255">
        <f t="shared" si="121"/>
        <v>5.066666666666661E-2</v>
      </c>
      <c r="DQ92" s="258" t="e">
        <f>((((IF($R$5=0,$R$6,$R$5)))/(12*$R$19))+(((3*$R$15)/(2*IF($R$5=0,$R$6,$R$5)*$U$5*$R$19))*'IN-OUT'!$F$15))*'Burland damage classification'!DU92</f>
        <v>#DIV/0!</v>
      </c>
      <c r="DR92" s="262">
        <f>(1+(((IF($R$5=0,$R$6^2,$R$5^2))*$U$5)/(18*$R$15))*('IN-OUT'!$F$15^(-1)))*DV92</f>
        <v>1.8140194780284656E-3</v>
      </c>
      <c r="DS92" s="254" t="e">
        <f t="shared" si="104"/>
        <v>#DIV/0!</v>
      </c>
      <c r="DT92" s="254" t="e">
        <f t="shared" si="122"/>
        <v>#DIV/0!</v>
      </c>
      <c r="DU92" s="254">
        <f t="shared" si="140"/>
        <v>1.4933333333333281E-3</v>
      </c>
      <c r="DV92" s="270">
        <f t="shared" si="105"/>
        <v>1.8140194780284656E-3</v>
      </c>
      <c r="DW92" s="253">
        <f t="shared" si="141"/>
        <v>5.0666666666666612E-4</v>
      </c>
      <c r="DX92" s="255">
        <f t="shared" si="123"/>
        <v>5.066666666666661E-2</v>
      </c>
    </row>
    <row r="93" spans="21:128">
      <c r="U93" s="262"/>
      <c r="AJ93" s="254"/>
      <c r="AN93" s="258">
        <f>(((IF($P$5&lt;&gt;0,$P$5,IF($P$6&lt;&gt;0,$P$6,IF($P$7&lt;&gt;0,$P$7,0))))/(12*$P$19))+(((3*$P$15)/(2*(IF($P$5&lt;&gt;0,$P$5,IF($P$6&lt;&gt;0,$P$6,IF($P$7&lt;&gt;0,$P$7,0))))*$U$5*$P$19))*'IN-OUT'!$F$15))*'Burland damage classification'!AR93</f>
        <v>1.56227410794884E-3</v>
      </c>
      <c r="AO93" s="254">
        <f>(1+(((IF($P$5&lt;&gt;0,$P$5^2,IF($P$6&lt;&gt;0,$P$6^2,IF($P$7&lt;&gt;0,$P$7^2))))*$U$5)/(18*$P$15))*('IN-OUT'!$F$15^(-1)))*AS93</f>
        <v>8.4556298296692824E-4</v>
      </c>
      <c r="AP93" s="254">
        <f t="shared" si="89"/>
        <v>8.4556298296692824E-4</v>
      </c>
      <c r="AQ93" s="254">
        <f t="shared" si="108"/>
        <v>8.4556298296692825E-2</v>
      </c>
      <c r="AR93" s="254">
        <f t="shared" si="126"/>
        <v>4.866666666666678E-4</v>
      </c>
      <c r="AS93" s="253">
        <f t="shared" si="92"/>
        <v>8.004165582161998E-4</v>
      </c>
      <c r="AT93" s="253">
        <f t="shared" si="127"/>
        <v>5.1333333333333276E-4</v>
      </c>
      <c r="AU93" s="255">
        <f t="shared" si="109"/>
        <v>5.1333333333333279E-2</v>
      </c>
      <c r="AW93" s="258">
        <f>(((IF($P$5&lt;&gt;0,$P$5,IF($P$6&lt;&gt;0,$P$6,IF($P$7&lt;&gt;0,$P$7,0))))/(12*$P$19))+(((3*$P$15)/(2*(IF($P$5&lt;&gt;0,$P$5,IF($P$6&lt;&gt;0,$P$6,IF($P$7&lt;&gt;0,$P$7,0))))*$U$5*$P$19))*'IN-OUT'!$F$15))*'Burland damage classification'!BA93</f>
        <v>4.772426384556017E-3</v>
      </c>
      <c r="AX93" s="254">
        <f>(1+(((IF($P$5&lt;&gt;0,$P$5^2,IF($P$6&lt;&gt;0,$P$6^2,IF($P$7&lt;&gt;0,$P$7^2))))*$U$5)/(18*$P$15))*('IN-OUT'!$F$15^(-1)))*BB93</f>
        <v>1.9136172316164205E-3</v>
      </c>
      <c r="AY93" s="254">
        <f t="shared" si="90"/>
        <v>1.9136172316164205E-3</v>
      </c>
      <c r="AZ93" s="254">
        <f t="shared" si="110"/>
        <v>0.19136172316164204</v>
      </c>
      <c r="BA93" s="254">
        <f t="shared" si="128"/>
        <v>1.4866666666666613E-3</v>
      </c>
      <c r="BB93" s="270">
        <f t="shared" si="93"/>
        <v>1.8114450953129477E-3</v>
      </c>
      <c r="BC93" s="253">
        <f t="shared" si="129"/>
        <v>5.1333333333333276E-4</v>
      </c>
      <c r="BD93" s="255">
        <f t="shared" si="111"/>
        <v>5.1333333333333279E-2</v>
      </c>
      <c r="BI93" s="248"/>
      <c r="BT93" s="254"/>
      <c r="BX93" s="258" t="e">
        <f>((((IF($Q$5=0,$Q$6,$Q$5)))/(12*$Q$19))+(((3*$Q$15)/(2*IF($Q$5=0,$Q$6,$Q$5)*$U$5*$Q$19))*'IN-OUT'!$F$15))*'Burland damage classification'!CB93</f>
        <v>#DIV/0!</v>
      </c>
      <c r="BY93" s="262">
        <f>(1+(((IF($Q$5=0,$Q$6^2,$Q$5^2))*$U$5)/(18*$Q$15))*('IN-OUT'!$F$15^(-1)))*CC93</f>
        <v>8.004165582161998E-4</v>
      </c>
      <c r="BZ93" s="254" t="e">
        <f t="shared" si="96"/>
        <v>#DIV/0!</v>
      </c>
      <c r="CA93" s="254" t="e">
        <f t="shared" si="114"/>
        <v>#DIV/0!</v>
      </c>
      <c r="CB93" s="254">
        <f t="shared" si="132"/>
        <v>4.866666666666678E-4</v>
      </c>
      <c r="CC93" s="253">
        <f t="shared" si="97"/>
        <v>8.004165582161998E-4</v>
      </c>
      <c r="CD93" s="253">
        <f t="shared" si="133"/>
        <v>5.1333333333333276E-4</v>
      </c>
      <c r="CE93" s="255">
        <f t="shared" si="115"/>
        <v>5.1333333333333279E-2</v>
      </c>
      <c r="CG93" s="258" t="e">
        <f>((((IF($Q$5=0,$Q$6,$Q$5)))/(12*$Q$19))+(((3*$Q$15)/(2*IF($Q$5=0,$Q$6,$Q$5)*$U$5*$Q$19))*'IN-OUT'!$F$15))*'Burland damage classification'!CK93</f>
        <v>#DIV/0!</v>
      </c>
      <c r="CH93" s="262">
        <f>(1+(((IF($Q$5=0,$Q$6^2,$Q$5^2))*$U$5)/(18*$Q$15))*('IN-OUT'!$F$15^(-1)))*CL93</f>
        <v>1.8114450953129477E-3</v>
      </c>
      <c r="CI93" s="254" t="e">
        <f t="shared" si="98"/>
        <v>#DIV/0!</v>
      </c>
      <c r="CJ93" s="254" t="e">
        <f t="shared" si="116"/>
        <v>#DIV/0!</v>
      </c>
      <c r="CK93" s="254">
        <f t="shared" si="134"/>
        <v>1.4866666666666613E-3</v>
      </c>
      <c r="CL93" s="270">
        <f t="shared" si="99"/>
        <v>1.8114450953129477E-3</v>
      </c>
      <c r="CM93" s="253">
        <f t="shared" si="135"/>
        <v>5.1333333333333276E-4</v>
      </c>
      <c r="CN93" s="255">
        <f t="shared" si="117"/>
        <v>5.1333333333333279E-2</v>
      </c>
      <c r="CS93" s="248"/>
      <c r="DD93" s="254"/>
      <c r="DH93" s="258" t="e">
        <f>((((IF($R$5=0,$R$6,$R$5)))/(12*$R$19))+(((3*$R$15)/(2*IF($R$5=0,$R$6,$R$5)*$U$5*$R$19))*'IN-OUT'!$F$15))*'Burland damage classification'!DL93</f>
        <v>#DIV/0!</v>
      </c>
      <c r="DI93" s="262">
        <f>(1+(((IF($R$5=0,$R$6^2,$R$5^2))*$U$5)/(18*$R$15))*('IN-OUT'!$F$15^(-1)))*DM93</f>
        <v>8.004165582161998E-4</v>
      </c>
      <c r="DJ93" s="254" t="e">
        <f t="shared" si="102"/>
        <v>#DIV/0!</v>
      </c>
      <c r="DK93" s="254" t="e">
        <f t="shared" si="120"/>
        <v>#DIV/0!</v>
      </c>
      <c r="DL93" s="254">
        <f t="shared" si="138"/>
        <v>4.866666666666678E-4</v>
      </c>
      <c r="DM93" s="253">
        <f t="shared" si="103"/>
        <v>8.004165582161998E-4</v>
      </c>
      <c r="DN93" s="253">
        <f t="shared" si="139"/>
        <v>5.1333333333333276E-4</v>
      </c>
      <c r="DO93" s="255">
        <f t="shared" si="121"/>
        <v>5.1333333333333279E-2</v>
      </c>
      <c r="DQ93" s="258" t="e">
        <f>((((IF($R$5=0,$R$6,$R$5)))/(12*$R$19))+(((3*$R$15)/(2*IF($R$5=0,$R$6,$R$5)*$U$5*$R$19))*'IN-OUT'!$F$15))*'Burland damage classification'!DU93</f>
        <v>#DIV/0!</v>
      </c>
      <c r="DR93" s="262">
        <f>(1+(((IF($R$5=0,$R$6^2,$R$5^2))*$U$5)/(18*$R$15))*('IN-OUT'!$F$15^(-1)))*DV93</f>
        <v>1.8114450953129477E-3</v>
      </c>
      <c r="DS93" s="254" t="e">
        <f t="shared" si="104"/>
        <v>#DIV/0!</v>
      </c>
      <c r="DT93" s="254" t="e">
        <f t="shared" si="122"/>
        <v>#DIV/0!</v>
      </c>
      <c r="DU93" s="254">
        <f t="shared" si="140"/>
        <v>1.4866666666666613E-3</v>
      </c>
      <c r="DV93" s="270">
        <f t="shared" si="105"/>
        <v>1.8114450953129477E-3</v>
      </c>
      <c r="DW93" s="253">
        <f t="shared" si="141"/>
        <v>5.1333333333333276E-4</v>
      </c>
      <c r="DX93" s="255">
        <f t="shared" si="123"/>
        <v>5.1333333333333279E-2</v>
      </c>
    </row>
    <row r="94" spans="21:128">
      <c r="U94" s="262"/>
      <c r="AJ94" s="254"/>
      <c r="AN94" s="258">
        <f>(((IF($P$5&lt;&gt;0,$P$5,IF($P$6&lt;&gt;0,$P$6,IF($P$7&lt;&gt;0,$P$7,0))))/(12*$P$19))+(((3*$P$15)/(2*(IF($P$5&lt;&gt;0,$P$5,IF($P$6&lt;&gt;0,$P$6,IF($P$7&lt;&gt;0,$P$7,0))))*$U$5*$P$19))*'IN-OUT'!$F$15))*'Burland damage classification'!AR94</f>
        <v>1.5408730927714586E-3</v>
      </c>
      <c r="AO94" s="254">
        <f>(1+(((IF($P$5&lt;&gt;0,$P$5^2,IF($P$6&lt;&gt;0,$P$6^2,IF($P$7&lt;&gt;0,$P$7^2))))*$U$5)/(18*$P$15))*('IN-OUT'!$F$15^(-1)))*AS94</f>
        <v>8.4247778066488864E-4</v>
      </c>
      <c r="AP94" s="254">
        <f t="shared" si="89"/>
        <v>8.4247778066488864E-4</v>
      </c>
      <c r="AQ94" s="254">
        <f t="shared" si="108"/>
        <v>8.4247778066488865E-2</v>
      </c>
      <c r="AR94" s="254">
        <f t="shared" si="126"/>
        <v>4.8000000000000115E-4</v>
      </c>
      <c r="AS94" s="253">
        <f t="shared" si="92"/>
        <v>7.9749608149507563E-4</v>
      </c>
      <c r="AT94" s="253">
        <f t="shared" si="127"/>
        <v>5.1999999999999941E-4</v>
      </c>
      <c r="AU94" s="255">
        <f t="shared" si="109"/>
        <v>5.1999999999999942E-2</v>
      </c>
      <c r="AW94" s="258">
        <f>(((IF($P$5&lt;&gt;0,$P$5,IF($P$6&lt;&gt;0,$P$6,IF($P$7&lt;&gt;0,$P$7,0))))/(12*$P$19))+(((3*$P$15)/(2*(IF($P$5&lt;&gt;0,$P$5,IF($P$6&lt;&gt;0,$P$6,IF($P$7&lt;&gt;0,$P$7,0))))*$U$5*$P$19))*'IN-OUT'!$F$15))*'Burland damage classification'!BA94</f>
        <v>4.7510253693786352E-3</v>
      </c>
      <c r="AX94" s="254">
        <f>(1+(((IF($P$5&lt;&gt;0,$P$5^2,IF($P$6&lt;&gt;0,$P$6^2,IF($P$7&lt;&gt;0,$P$7^2))))*$U$5)/(18*$P$15))*('IN-OUT'!$F$15^(-1)))*BB94</f>
        <v>1.910893773771715E-3</v>
      </c>
      <c r="AY94" s="254">
        <f t="shared" si="90"/>
        <v>1.910893773771715E-3</v>
      </c>
      <c r="AZ94" s="254">
        <f t="shared" si="110"/>
        <v>0.19108937737717149</v>
      </c>
      <c r="BA94" s="254">
        <f t="shared" si="128"/>
        <v>1.4799999999999946E-3</v>
      </c>
      <c r="BB94" s="270">
        <f t="shared" si="93"/>
        <v>1.8088670487352023E-3</v>
      </c>
      <c r="BC94" s="253">
        <f t="shared" si="129"/>
        <v>5.1999999999999941E-4</v>
      </c>
      <c r="BD94" s="255">
        <f t="shared" si="111"/>
        <v>5.1999999999999942E-2</v>
      </c>
      <c r="BI94" s="248"/>
      <c r="BT94" s="254"/>
      <c r="BX94" s="258" t="e">
        <f>((((IF($Q$5=0,$Q$6,$Q$5)))/(12*$Q$19))+(((3*$Q$15)/(2*IF($Q$5=0,$Q$6,$Q$5)*$U$5*$Q$19))*'IN-OUT'!$F$15))*'Burland damage classification'!CB94</f>
        <v>#DIV/0!</v>
      </c>
      <c r="BY94" s="262">
        <f>(1+(((IF($Q$5=0,$Q$6^2,$Q$5^2))*$U$5)/(18*$Q$15))*('IN-OUT'!$F$15^(-1)))*CC94</f>
        <v>7.9749608149507563E-4</v>
      </c>
      <c r="BZ94" s="254" t="e">
        <f t="shared" si="96"/>
        <v>#DIV/0!</v>
      </c>
      <c r="CA94" s="254" t="e">
        <f t="shared" si="114"/>
        <v>#DIV/0!</v>
      </c>
      <c r="CB94" s="254">
        <f t="shared" si="132"/>
        <v>4.8000000000000115E-4</v>
      </c>
      <c r="CC94" s="253">
        <f t="shared" si="97"/>
        <v>7.9749608149507563E-4</v>
      </c>
      <c r="CD94" s="253">
        <f t="shared" si="133"/>
        <v>5.1999999999999941E-4</v>
      </c>
      <c r="CE94" s="255">
        <f t="shared" si="115"/>
        <v>5.1999999999999942E-2</v>
      </c>
      <c r="CG94" s="258" t="e">
        <f>((((IF($Q$5=0,$Q$6,$Q$5)))/(12*$Q$19))+(((3*$Q$15)/(2*IF($Q$5=0,$Q$6,$Q$5)*$U$5*$Q$19))*'IN-OUT'!$F$15))*'Burland damage classification'!CK94</f>
        <v>#DIV/0!</v>
      </c>
      <c r="CH94" s="262">
        <f>(1+(((IF($Q$5=0,$Q$6^2,$Q$5^2))*$U$5)/(18*$Q$15))*('IN-OUT'!$F$15^(-1)))*CL94</f>
        <v>1.8088670487352023E-3</v>
      </c>
      <c r="CI94" s="254" t="e">
        <f t="shared" si="98"/>
        <v>#DIV/0!</v>
      </c>
      <c r="CJ94" s="254" t="e">
        <f t="shared" si="116"/>
        <v>#DIV/0!</v>
      </c>
      <c r="CK94" s="254">
        <f t="shared" si="134"/>
        <v>1.4799999999999946E-3</v>
      </c>
      <c r="CL94" s="270">
        <f t="shared" si="99"/>
        <v>1.8088670487352023E-3</v>
      </c>
      <c r="CM94" s="253">
        <f t="shared" si="135"/>
        <v>5.1999999999999941E-4</v>
      </c>
      <c r="CN94" s="255">
        <f t="shared" si="117"/>
        <v>5.1999999999999942E-2</v>
      </c>
      <c r="CS94" s="248"/>
      <c r="DD94" s="254"/>
      <c r="DH94" s="258" t="e">
        <f>((((IF($R$5=0,$R$6,$R$5)))/(12*$R$19))+(((3*$R$15)/(2*IF($R$5=0,$R$6,$R$5)*$U$5*$R$19))*'IN-OUT'!$F$15))*'Burland damage classification'!DL94</f>
        <v>#DIV/0!</v>
      </c>
      <c r="DI94" s="262">
        <f>(1+(((IF($R$5=0,$R$6^2,$R$5^2))*$U$5)/(18*$R$15))*('IN-OUT'!$F$15^(-1)))*DM94</f>
        <v>7.9749608149507563E-4</v>
      </c>
      <c r="DJ94" s="254" t="e">
        <f t="shared" si="102"/>
        <v>#DIV/0!</v>
      </c>
      <c r="DK94" s="254" t="e">
        <f t="shared" si="120"/>
        <v>#DIV/0!</v>
      </c>
      <c r="DL94" s="254">
        <f t="shared" si="138"/>
        <v>4.8000000000000115E-4</v>
      </c>
      <c r="DM94" s="253">
        <f t="shared" si="103"/>
        <v>7.9749608149507563E-4</v>
      </c>
      <c r="DN94" s="253">
        <f t="shared" si="139"/>
        <v>5.1999999999999941E-4</v>
      </c>
      <c r="DO94" s="255">
        <f t="shared" si="121"/>
        <v>5.1999999999999942E-2</v>
      </c>
      <c r="DQ94" s="258" t="e">
        <f>((((IF($R$5=0,$R$6,$R$5)))/(12*$R$19))+(((3*$R$15)/(2*IF($R$5=0,$R$6,$R$5)*$U$5*$R$19))*'IN-OUT'!$F$15))*'Burland damage classification'!DU94</f>
        <v>#DIV/0!</v>
      </c>
      <c r="DR94" s="262">
        <f>(1+(((IF($R$5=0,$R$6^2,$R$5^2))*$U$5)/(18*$R$15))*('IN-OUT'!$F$15^(-1)))*DV94</f>
        <v>1.8088670487352023E-3</v>
      </c>
      <c r="DS94" s="254" t="e">
        <f t="shared" si="104"/>
        <v>#DIV/0!</v>
      </c>
      <c r="DT94" s="254" t="e">
        <f t="shared" si="122"/>
        <v>#DIV/0!</v>
      </c>
      <c r="DU94" s="254">
        <f t="shared" si="140"/>
        <v>1.4799999999999946E-3</v>
      </c>
      <c r="DV94" s="270">
        <f t="shared" si="105"/>
        <v>1.8088670487352023E-3</v>
      </c>
      <c r="DW94" s="253">
        <f t="shared" si="141"/>
        <v>5.1999999999999941E-4</v>
      </c>
      <c r="DX94" s="255">
        <f t="shared" si="123"/>
        <v>5.1999999999999942E-2</v>
      </c>
    </row>
    <row r="95" spans="21:128">
      <c r="U95" s="262"/>
      <c r="AJ95" s="254"/>
      <c r="AN95" s="258">
        <f>(((IF($P$5&lt;&gt;0,$P$5,IF($P$6&lt;&gt;0,$P$6,IF($P$7&lt;&gt;0,$P$7,0))))/(12*$P$19))+(((3*$P$15)/(2*(IF($P$5&lt;&gt;0,$P$5,IF($P$6&lt;&gt;0,$P$6,IF($P$7&lt;&gt;0,$P$7,0))))*$U$5*$P$19))*'IN-OUT'!$F$15))*'Burland damage classification'!AR95</f>
        <v>1.5194720775940774E-3</v>
      </c>
      <c r="AO95" s="254">
        <f>(1+(((IF($P$5&lt;&gt;0,$P$5^2,IF($P$6&lt;&gt;0,$P$6^2,IF($P$7&lt;&gt;0,$P$7^2))))*$U$5)/(18*$P$15))*('IN-OUT'!$F$15^(-1)))*AS95</f>
        <v>8.3938123857049782E-4</v>
      </c>
      <c r="AP95" s="254">
        <f t="shared" si="89"/>
        <v>8.3938123857049782E-4</v>
      </c>
      <c r="AQ95" s="254">
        <f t="shared" si="108"/>
        <v>8.3938123857049782E-2</v>
      </c>
      <c r="AR95" s="254">
        <f t="shared" si="126"/>
        <v>4.733333333333345E-4</v>
      </c>
      <c r="AS95" s="253">
        <f t="shared" si="92"/>
        <v>7.9456487043748272E-4</v>
      </c>
      <c r="AT95" s="253">
        <f t="shared" si="127"/>
        <v>5.2666666666666606E-4</v>
      </c>
      <c r="AU95" s="255">
        <f t="shared" si="109"/>
        <v>5.2666666666666605E-2</v>
      </c>
      <c r="AW95" s="258">
        <f>(((IF($P$5&lt;&gt;0,$P$5,IF($P$6&lt;&gt;0,$P$6,IF($P$7&lt;&gt;0,$P$7,0))))/(12*$P$19))+(((3*$P$15)/(2*(IF($P$5&lt;&gt;0,$P$5,IF($P$6&lt;&gt;0,$P$6,IF($P$7&lt;&gt;0,$P$7,0))))*$U$5*$P$19))*'IN-OUT'!$F$15))*'Burland damage classification'!BA95</f>
        <v>4.7296243542012542E-3</v>
      </c>
      <c r="AX95" s="254">
        <f>(1+(((IF($P$5&lt;&gt;0,$P$5^2,IF($P$6&lt;&gt;0,$P$6^2,IF($P$7&lt;&gt;0,$P$7^2))))*$U$5)/(18*$P$15))*('IN-OUT'!$F$15^(-1)))*BB95</f>
        <v>1.9081664288367825E-3</v>
      </c>
      <c r="AY95" s="254">
        <f t="shared" si="90"/>
        <v>1.9081664288367825E-3</v>
      </c>
      <c r="AZ95" s="254">
        <f t="shared" si="110"/>
        <v>0.19081664288367825</v>
      </c>
      <c r="BA95" s="254">
        <f t="shared" si="128"/>
        <v>1.4733333333333278E-3</v>
      </c>
      <c r="BB95" s="270">
        <f t="shared" si="93"/>
        <v>1.8062853226073303E-3</v>
      </c>
      <c r="BC95" s="253">
        <f t="shared" si="129"/>
        <v>5.2666666666666606E-4</v>
      </c>
      <c r="BD95" s="255">
        <f t="shared" si="111"/>
        <v>5.2666666666666605E-2</v>
      </c>
      <c r="BI95" s="248"/>
      <c r="BT95" s="254"/>
      <c r="BX95" s="258" t="e">
        <f>((((IF($Q$5=0,$Q$6,$Q$5)))/(12*$Q$19))+(((3*$Q$15)/(2*IF($Q$5=0,$Q$6,$Q$5)*$U$5*$Q$19))*'IN-OUT'!$F$15))*'Burland damage classification'!CB95</f>
        <v>#DIV/0!</v>
      </c>
      <c r="BY95" s="262">
        <f>(1+(((IF($Q$5=0,$Q$6^2,$Q$5^2))*$U$5)/(18*$Q$15))*('IN-OUT'!$F$15^(-1)))*CC95</f>
        <v>7.9456487043748272E-4</v>
      </c>
      <c r="BZ95" s="254" t="e">
        <f t="shared" si="96"/>
        <v>#DIV/0!</v>
      </c>
      <c r="CA95" s="254" t="e">
        <f t="shared" si="114"/>
        <v>#DIV/0!</v>
      </c>
      <c r="CB95" s="254">
        <f t="shared" si="132"/>
        <v>4.733333333333345E-4</v>
      </c>
      <c r="CC95" s="253">
        <f t="shared" si="97"/>
        <v>7.9456487043748272E-4</v>
      </c>
      <c r="CD95" s="253">
        <f t="shared" si="133"/>
        <v>5.2666666666666606E-4</v>
      </c>
      <c r="CE95" s="255">
        <f t="shared" si="115"/>
        <v>5.2666666666666605E-2</v>
      </c>
      <c r="CG95" s="258" t="e">
        <f>((((IF($Q$5=0,$Q$6,$Q$5)))/(12*$Q$19))+(((3*$Q$15)/(2*IF($Q$5=0,$Q$6,$Q$5)*$U$5*$Q$19))*'IN-OUT'!$F$15))*'Burland damage classification'!CK95</f>
        <v>#DIV/0!</v>
      </c>
      <c r="CH95" s="262">
        <f>(1+(((IF($Q$5=0,$Q$6^2,$Q$5^2))*$U$5)/(18*$Q$15))*('IN-OUT'!$F$15^(-1)))*CL95</f>
        <v>1.8062853226073303E-3</v>
      </c>
      <c r="CI95" s="254" t="e">
        <f t="shared" si="98"/>
        <v>#DIV/0!</v>
      </c>
      <c r="CJ95" s="254" t="e">
        <f t="shared" si="116"/>
        <v>#DIV/0!</v>
      </c>
      <c r="CK95" s="254">
        <f t="shared" si="134"/>
        <v>1.4733333333333278E-3</v>
      </c>
      <c r="CL95" s="270">
        <f t="shared" si="99"/>
        <v>1.8062853226073303E-3</v>
      </c>
      <c r="CM95" s="253">
        <f t="shared" si="135"/>
        <v>5.2666666666666606E-4</v>
      </c>
      <c r="CN95" s="255">
        <f t="shared" si="117"/>
        <v>5.2666666666666605E-2</v>
      </c>
      <c r="CS95" s="248"/>
      <c r="DD95" s="254"/>
      <c r="DH95" s="258" t="e">
        <f>((((IF($R$5=0,$R$6,$R$5)))/(12*$R$19))+(((3*$R$15)/(2*IF($R$5=0,$R$6,$R$5)*$U$5*$R$19))*'IN-OUT'!$F$15))*'Burland damage classification'!DL95</f>
        <v>#DIV/0!</v>
      </c>
      <c r="DI95" s="262">
        <f>(1+(((IF($R$5=0,$R$6^2,$R$5^2))*$U$5)/(18*$R$15))*('IN-OUT'!$F$15^(-1)))*DM95</f>
        <v>7.9456487043748272E-4</v>
      </c>
      <c r="DJ95" s="254" t="e">
        <f t="shared" si="102"/>
        <v>#DIV/0!</v>
      </c>
      <c r="DK95" s="254" t="e">
        <f t="shared" si="120"/>
        <v>#DIV/0!</v>
      </c>
      <c r="DL95" s="254">
        <f t="shared" si="138"/>
        <v>4.733333333333345E-4</v>
      </c>
      <c r="DM95" s="253">
        <f t="shared" si="103"/>
        <v>7.9456487043748272E-4</v>
      </c>
      <c r="DN95" s="253">
        <f t="shared" si="139"/>
        <v>5.2666666666666606E-4</v>
      </c>
      <c r="DO95" s="255">
        <f t="shared" si="121"/>
        <v>5.2666666666666605E-2</v>
      </c>
      <c r="DQ95" s="258" t="e">
        <f>((((IF($R$5=0,$R$6,$R$5)))/(12*$R$19))+(((3*$R$15)/(2*IF($R$5=0,$R$6,$R$5)*$U$5*$R$19))*'IN-OUT'!$F$15))*'Burland damage classification'!DU95</f>
        <v>#DIV/0!</v>
      </c>
      <c r="DR95" s="262">
        <f>(1+(((IF($R$5=0,$R$6^2,$R$5^2))*$U$5)/(18*$R$15))*('IN-OUT'!$F$15^(-1)))*DV95</f>
        <v>1.8062853226073303E-3</v>
      </c>
      <c r="DS95" s="254" t="e">
        <f t="shared" si="104"/>
        <v>#DIV/0!</v>
      </c>
      <c r="DT95" s="254" t="e">
        <f t="shared" si="122"/>
        <v>#DIV/0!</v>
      </c>
      <c r="DU95" s="254">
        <f t="shared" si="140"/>
        <v>1.4733333333333278E-3</v>
      </c>
      <c r="DV95" s="270">
        <f t="shared" si="105"/>
        <v>1.8062853226073303E-3</v>
      </c>
      <c r="DW95" s="253">
        <f t="shared" si="141"/>
        <v>5.2666666666666606E-4</v>
      </c>
      <c r="DX95" s="255">
        <f t="shared" si="123"/>
        <v>5.2666666666666605E-2</v>
      </c>
    </row>
    <row r="96" spans="21:128">
      <c r="U96" s="262"/>
      <c r="AJ96" s="254"/>
      <c r="AN96" s="258">
        <f>(((IF($P$5&lt;&gt;0,$P$5,IF($P$6&lt;&gt;0,$P$6,IF($P$7&lt;&gt;0,$P$7,0))))/(12*$P$19))+(((3*$P$15)/(2*(IF($P$5&lt;&gt;0,$P$5,IF($P$6&lt;&gt;0,$P$6,IF($P$7&lt;&gt;0,$P$7,0))))*$U$5*$P$19))*'IN-OUT'!$F$15))*'Burland damage classification'!AR96</f>
        <v>1.4980710624166963E-3</v>
      </c>
      <c r="AO96" s="254">
        <f>(1+(((IF($P$5&lt;&gt;0,$P$5^2,IF($P$6&lt;&gt;0,$P$6^2,IF($P$7&lt;&gt;0,$P$7^2))))*$U$5)/(18*$P$15))*('IN-OUT'!$F$15^(-1)))*AS96</f>
        <v>8.362732307172397E-4</v>
      </c>
      <c r="AP96" s="254">
        <f t="shared" si="89"/>
        <v>8.362732307172397E-4</v>
      </c>
      <c r="AQ96" s="254">
        <f t="shared" si="108"/>
        <v>8.3627323071723964E-2</v>
      </c>
      <c r="AR96" s="254">
        <f t="shared" si="126"/>
        <v>4.6666666666666785E-4</v>
      </c>
      <c r="AS96" s="253">
        <f t="shared" si="92"/>
        <v>7.9162280580252807E-4</v>
      </c>
      <c r="AT96" s="253">
        <f t="shared" si="127"/>
        <v>5.3333333333333271E-4</v>
      </c>
      <c r="AU96" s="255">
        <f t="shared" si="109"/>
        <v>5.3333333333333274E-2</v>
      </c>
      <c r="AW96" s="258">
        <f>(((IF($P$5&lt;&gt;0,$P$5,IF($P$6&lt;&gt;0,$P$6,IF($P$7&lt;&gt;0,$P$7,0))))/(12*$P$19))+(((3*$P$15)/(2*(IF($P$5&lt;&gt;0,$P$5,IF($P$6&lt;&gt;0,$P$6,IF($P$7&lt;&gt;0,$P$7,0))))*$U$5*$P$19))*'IN-OUT'!$F$15))*'Burland damage classification'!BA96</f>
        <v>4.7082233390238724E-3</v>
      </c>
      <c r="AX96" s="254">
        <f>(1+(((IF($P$5&lt;&gt;0,$P$5^2,IF($P$6&lt;&gt;0,$P$6^2,IF($P$7&lt;&gt;0,$P$7^2))))*$U$5)/(18*$P$15))*('IN-OUT'!$F$15^(-1)))*BB96</f>
        <v>1.9054351801202616E-3</v>
      </c>
      <c r="AY96" s="254">
        <f t="shared" si="90"/>
        <v>1.9054351801202616E-3</v>
      </c>
      <c r="AZ96" s="254">
        <f t="shared" si="110"/>
        <v>0.19054351801202615</v>
      </c>
      <c r="BA96" s="254">
        <f t="shared" si="128"/>
        <v>1.466666666666661E-3</v>
      </c>
      <c r="BB96" s="270">
        <f t="shared" si="93"/>
        <v>1.803699901129158E-3</v>
      </c>
      <c r="BC96" s="253">
        <f t="shared" si="129"/>
        <v>5.3333333333333271E-4</v>
      </c>
      <c r="BD96" s="255">
        <f t="shared" si="111"/>
        <v>5.3333333333333274E-2</v>
      </c>
      <c r="BI96" s="248"/>
      <c r="BT96" s="254"/>
      <c r="BX96" s="258" t="e">
        <f>((((IF($Q$5=0,$Q$6,$Q$5)))/(12*$Q$19))+(((3*$Q$15)/(2*IF($Q$5=0,$Q$6,$Q$5)*$U$5*$Q$19))*'IN-OUT'!$F$15))*'Burland damage classification'!CB96</f>
        <v>#DIV/0!</v>
      </c>
      <c r="BY96" s="262">
        <f>(1+(((IF($Q$5=0,$Q$6^2,$Q$5^2))*$U$5)/(18*$Q$15))*('IN-OUT'!$F$15^(-1)))*CC96</f>
        <v>7.9162280580252807E-4</v>
      </c>
      <c r="BZ96" s="254" t="e">
        <f t="shared" si="96"/>
        <v>#DIV/0!</v>
      </c>
      <c r="CA96" s="254" t="e">
        <f t="shared" si="114"/>
        <v>#DIV/0!</v>
      </c>
      <c r="CB96" s="254">
        <f t="shared" si="132"/>
        <v>4.6666666666666785E-4</v>
      </c>
      <c r="CC96" s="253">
        <f t="shared" si="97"/>
        <v>7.9162280580252807E-4</v>
      </c>
      <c r="CD96" s="253">
        <f t="shared" si="133"/>
        <v>5.3333333333333271E-4</v>
      </c>
      <c r="CE96" s="255">
        <f t="shared" si="115"/>
        <v>5.3333333333333274E-2</v>
      </c>
      <c r="CG96" s="258" t="e">
        <f>((((IF($Q$5=0,$Q$6,$Q$5)))/(12*$Q$19))+(((3*$Q$15)/(2*IF($Q$5=0,$Q$6,$Q$5)*$U$5*$Q$19))*'IN-OUT'!$F$15))*'Burland damage classification'!CK96</f>
        <v>#DIV/0!</v>
      </c>
      <c r="CH96" s="262">
        <f>(1+(((IF($Q$5=0,$Q$6^2,$Q$5^2))*$U$5)/(18*$Q$15))*('IN-OUT'!$F$15^(-1)))*CL96</f>
        <v>1.803699901129158E-3</v>
      </c>
      <c r="CI96" s="254" t="e">
        <f t="shared" si="98"/>
        <v>#DIV/0!</v>
      </c>
      <c r="CJ96" s="254" t="e">
        <f t="shared" si="116"/>
        <v>#DIV/0!</v>
      </c>
      <c r="CK96" s="254">
        <f t="shared" si="134"/>
        <v>1.466666666666661E-3</v>
      </c>
      <c r="CL96" s="270">
        <f t="shared" si="99"/>
        <v>1.803699901129158E-3</v>
      </c>
      <c r="CM96" s="253">
        <f t="shared" si="135"/>
        <v>5.3333333333333271E-4</v>
      </c>
      <c r="CN96" s="255">
        <f t="shared" si="117"/>
        <v>5.3333333333333274E-2</v>
      </c>
      <c r="CS96" s="248"/>
      <c r="DD96" s="254"/>
      <c r="DH96" s="258" t="e">
        <f>((((IF($R$5=0,$R$6,$R$5)))/(12*$R$19))+(((3*$R$15)/(2*IF($R$5=0,$R$6,$R$5)*$U$5*$R$19))*'IN-OUT'!$F$15))*'Burland damage classification'!DL96</f>
        <v>#DIV/0!</v>
      </c>
      <c r="DI96" s="262">
        <f>(1+(((IF($R$5=0,$R$6^2,$R$5^2))*$U$5)/(18*$R$15))*('IN-OUT'!$F$15^(-1)))*DM96</f>
        <v>7.9162280580252807E-4</v>
      </c>
      <c r="DJ96" s="254" t="e">
        <f t="shared" si="102"/>
        <v>#DIV/0!</v>
      </c>
      <c r="DK96" s="254" t="e">
        <f t="shared" si="120"/>
        <v>#DIV/0!</v>
      </c>
      <c r="DL96" s="254">
        <f t="shared" si="138"/>
        <v>4.6666666666666785E-4</v>
      </c>
      <c r="DM96" s="253">
        <f t="shared" si="103"/>
        <v>7.9162280580252807E-4</v>
      </c>
      <c r="DN96" s="253">
        <f t="shared" si="139"/>
        <v>5.3333333333333271E-4</v>
      </c>
      <c r="DO96" s="255">
        <f t="shared" si="121"/>
        <v>5.3333333333333274E-2</v>
      </c>
      <c r="DQ96" s="258" t="e">
        <f>((((IF($R$5=0,$R$6,$R$5)))/(12*$R$19))+(((3*$R$15)/(2*IF($R$5=0,$R$6,$R$5)*$U$5*$R$19))*'IN-OUT'!$F$15))*'Burland damage classification'!DU96</f>
        <v>#DIV/0!</v>
      </c>
      <c r="DR96" s="262">
        <f>(1+(((IF($R$5=0,$R$6^2,$R$5^2))*$U$5)/(18*$R$15))*('IN-OUT'!$F$15^(-1)))*DV96</f>
        <v>1.803699901129158E-3</v>
      </c>
      <c r="DS96" s="254" t="e">
        <f t="shared" si="104"/>
        <v>#DIV/0!</v>
      </c>
      <c r="DT96" s="254" t="e">
        <f t="shared" si="122"/>
        <v>#DIV/0!</v>
      </c>
      <c r="DU96" s="254">
        <f t="shared" si="140"/>
        <v>1.466666666666661E-3</v>
      </c>
      <c r="DV96" s="270">
        <f t="shared" si="105"/>
        <v>1.803699901129158E-3</v>
      </c>
      <c r="DW96" s="253">
        <f t="shared" si="141"/>
        <v>5.3333333333333271E-4</v>
      </c>
      <c r="DX96" s="255">
        <f t="shared" si="123"/>
        <v>5.3333333333333274E-2</v>
      </c>
    </row>
    <row r="97" spans="3:128">
      <c r="U97" s="262"/>
      <c r="AJ97" s="254"/>
      <c r="AN97" s="258">
        <f>(((IF($P$5&lt;&gt;0,$P$5,IF($P$6&lt;&gt;0,$P$6,IF($P$7&lt;&gt;0,$P$7,0))))/(12*$P$19))+(((3*$P$15)/(2*(IF($P$5&lt;&gt;0,$P$5,IF($P$6&lt;&gt;0,$P$6,IF($P$7&lt;&gt;0,$P$7,0))))*$U$5*$P$19))*'IN-OUT'!$F$15))*'Burland damage classification'!AR97</f>
        <v>1.4766700472393149E-3</v>
      </c>
      <c r="AO97" s="254">
        <f>(1+(((IF($P$5&lt;&gt;0,$P$5^2,IF($P$6&lt;&gt;0,$P$6^2,IF($P$7&lt;&gt;0,$P$7^2))))*$U$5)/(18*$P$15))*('IN-OUT'!$F$15^(-1)))*AS97</f>
        <v>8.3315362878904644E-4</v>
      </c>
      <c r="AP97" s="254">
        <f t="shared" si="89"/>
        <v>8.3315362878904644E-4</v>
      </c>
      <c r="AQ97" s="254">
        <f t="shared" si="108"/>
        <v>8.3315362878904647E-2</v>
      </c>
      <c r="AR97" s="254">
        <f t="shared" si="126"/>
        <v>4.6000000000000121E-4</v>
      </c>
      <c r="AS97" s="253">
        <f t="shared" si="92"/>
        <v>7.8866976612521436E-4</v>
      </c>
      <c r="AT97" s="253">
        <f t="shared" si="127"/>
        <v>5.3999999999999936E-4</v>
      </c>
      <c r="AU97" s="255">
        <f t="shared" si="109"/>
        <v>5.3999999999999937E-2</v>
      </c>
      <c r="AW97" s="258">
        <f>(((IF($P$5&lt;&gt;0,$P$5,IF($P$6&lt;&gt;0,$P$6,IF($P$7&lt;&gt;0,$P$7,0))))/(12*$P$19))+(((3*$P$15)/(2*(IF($P$5&lt;&gt;0,$P$5,IF($P$6&lt;&gt;0,$P$6,IF($P$7&lt;&gt;0,$P$7,0))))*$U$5*$P$19))*'IN-OUT'!$F$15))*'Burland damage classification'!BA97</f>
        <v>4.6868223238464906E-3</v>
      </c>
      <c r="AX97" s="254">
        <f>(1+(((IF($P$5&lt;&gt;0,$P$5^2,IF($P$6&lt;&gt;0,$P$6^2,IF($P$7&lt;&gt;0,$P$7^2))))*$U$5)/(18*$P$15))*('IN-OUT'!$F$15^(-1)))*BB97</f>
        <v>1.9027000108109912E-3</v>
      </c>
      <c r="AY97" s="254">
        <f t="shared" si="90"/>
        <v>1.9027000108109912E-3</v>
      </c>
      <c r="AZ97" s="254">
        <f t="shared" si="110"/>
        <v>0.19027000108109912</v>
      </c>
      <c r="BA97" s="254">
        <f t="shared" si="128"/>
        <v>1.4599999999999943E-3</v>
      </c>
      <c r="BB97" s="270">
        <f t="shared" si="93"/>
        <v>1.8011107683871086E-3</v>
      </c>
      <c r="BC97" s="253">
        <f t="shared" si="129"/>
        <v>5.3999999999999936E-4</v>
      </c>
      <c r="BD97" s="255">
        <f t="shared" si="111"/>
        <v>5.3999999999999937E-2</v>
      </c>
      <c r="BI97" s="248"/>
      <c r="BT97" s="254"/>
      <c r="BX97" s="258" t="e">
        <f>((((IF($Q$5=0,$Q$6,$Q$5)))/(12*$Q$19))+(((3*$Q$15)/(2*IF($Q$5=0,$Q$6,$Q$5)*$U$5*$Q$19))*'IN-OUT'!$F$15))*'Burland damage classification'!CB97</f>
        <v>#DIV/0!</v>
      </c>
      <c r="BY97" s="262">
        <f>(1+(((IF($Q$5=0,$Q$6^2,$Q$5^2))*$U$5)/(18*$Q$15))*('IN-OUT'!$F$15^(-1)))*CC97</f>
        <v>7.8866976612521436E-4</v>
      </c>
      <c r="BZ97" s="254" t="e">
        <f t="shared" si="96"/>
        <v>#DIV/0!</v>
      </c>
      <c r="CA97" s="254" t="e">
        <f t="shared" si="114"/>
        <v>#DIV/0!</v>
      </c>
      <c r="CB97" s="254">
        <f t="shared" si="132"/>
        <v>4.6000000000000121E-4</v>
      </c>
      <c r="CC97" s="253">
        <f t="shared" si="97"/>
        <v>7.8866976612521436E-4</v>
      </c>
      <c r="CD97" s="253">
        <f t="shared" si="133"/>
        <v>5.3999999999999936E-4</v>
      </c>
      <c r="CE97" s="255">
        <f t="shared" si="115"/>
        <v>5.3999999999999937E-2</v>
      </c>
      <c r="CG97" s="258" t="e">
        <f>((((IF($Q$5=0,$Q$6,$Q$5)))/(12*$Q$19))+(((3*$Q$15)/(2*IF($Q$5=0,$Q$6,$Q$5)*$U$5*$Q$19))*'IN-OUT'!$F$15))*'Burland damage classification'!CK97</f>
        <v>#DIV/0!</v>
      </c>
      <c r="CH97" s="262">
        <f>(1+(((IF($Q$5=0,$Q$6^2,$Q$5^2))*$U$5)/(18*$Q$15))*('IN-OUT'!$F$15^(-1)))*CL97</f>
        <v>1.8011107683871086E-3</v>
      </c>
      <c r="CI97" s="254" t="e">
        <f t="shared" si="98"/>
        <v>#DIV/0!</v>
      </c>
      <c r="CJ97" s="254" t="e">
        <f t="shared" si="116"/>
        <v>#DIV/0!</v>
      </c>
      <c r="CK97" s="254">
        <f t="shared" si="134"/>
        <v>1.4599999999999943E-3</v>
      </c>
      <c r="CL97" s="270">
        <f t="shared" si="99"/>
        <v>1.8011107683871086E-3</v>
      </c>
      <c r="CM97" s="253">
        <f t="shared" si="135"/>
        <v>5.3999999999999936E-4</v>
      </c>
      <c r="CN97" s="255">
        <f t="shared" si="117"/>
        <v>5.3999999999999937E-2</v>
      </c>
      <c r="CS97" s="248"/>
      <c r="DD97" s="254"/>
      <c r="DH97" s="258" t="e">
        <f>((((IF($R$5=0,$R$6,$R$5)))/(12*$R$19))+(((3*$R$15)/(2*IF($R$5=0,$R$6,$R$5)*$U$5*$R$19))*'IN-OUT'!$F$15))*'Burland damage classification'!DL97</f>
        <v>#DIV/0!</v>
      </c>
      <c r="DI97" s="262">
        <f>(1+(((IF($R$5=0,$R$6^2,$R$5^2))*$U$5)/(18*$R$15))*('IN-OUT'!$F$15^(-1)))*DM97</f>
        <v>7.8866976612521436E-4</v>
      </c>
      <c r="DJ97" s="254" t="e">
        <f t="shared" si="102"/>
        <v>#DIV/0!</v>
      </c>
      <c r="DK97" s="254" t="e">
        <f t="shared" si="120"/>
        <v>#DIV/0!</v>
      </c>
      <c r="DL97" s="254">
        <f t="shared" si="138"/>
        <v>4.6000000000000121E-4</v>
      </c>
      <c r="DM97" s="253">
        <f t="shared" si="103"/>
        <v>7.8866976612521436E-4</v>
      </c>
      <c r="DN97" s="253">
        <f t="shared" si="139"/>
        <v>5.3999999999999936E-4</v>
      </c>
      <c r="DO97" s="255">
        <f t="shared" si="121"/>
        <v>5.3999999999999937E-2</v>
      </c>
      <c r="DQ97" s="258" t="e">
        <f>((((IF($R$5=0,$R$6,$R$5)))/(12*$R$19))+(((3*$R$15)/(2*IF($R$5=0,$R$6,$R$5)*$U$5*$R$19))*'IN-OUT'!$F$15))*'Burland damage classification'!DU97</f>
        <v>#DIV/0!</v>
      </c>
      <c r="DR97" s="262">
        <f>(1+(((IF($R$5=0,$R$6^2,$R$5^2))*$U$5)/(18*$R$15))*('IN-OUT'!$F$15^(-1)))*DV97</f>
        <v>1.8011107683871086E-3</v>
      </c>
      <c r="DS97" s="254" t="e">
        <f t="shared" si="104"/>
        <v>#DIV/0!</v>
      </c>
      <c r="DT97" s="254" t="e">
        <f t="shared" si="122"/>
        <v>#DIV/0!</v>
      </c>
      <c r="DU97" s="254">
        <f t="shared" si="140"/>
        <v>1.4599999999999943E-3</v>
      </c>
      <c r="DV97" s="270">
        <f t="shared" si="105"/>
        <v>1.8011107683871086E-3</v>
      </c>
      <c r="DW97" s="253">
        <f t="shared" si="141"/>
        <v>5.3999999999999936E-4</v>
      </c>
      <c r="DX97" s="255">
        <f t="shared" si="123"/>
        <v>5.3999999999999937E-2</v>
      </c>
    </row>
    <row r="98" spans="3:128">
      <c r="U98" s="262"/>
      <c r="AJ98" s="254"/>
      <c r="AN98" s="258">
        <f>(((IF($P$5&lt;&gt;0,$P$5,IF($P$6&lt;&gt;0,$P$6,IF($P$7&lt;&gt;0,$P$7,0))))/(12*$P$19))+(((3*$P$15)/(2*(IF($P$5&lt;&gt;0,$P$5,IF($P$6&lt;&gt;0,$P$6,IF($P$7&lt;&gt;0,$P$7,0))))*$U$5*$P$19))*'IN-OUT'!$F$15))*'Burland damage classification'!AR98</f>
        <v>1.4552690320619338E-3</v>
      </c>
      <c r="AO98" s="254">
        <f>(1+(((IF($P$5&lt;&gt;0,$P$5^2,IF($P$6&lt;&gt;0,$P$6^2,IF($P$7&lt;&gt;0,$P$7^2))))*$U$5)/(18*$P$15))*('IN-OUT'!$F$15^(-1)))*AS98</f>
        <v>8.3002230205848275E-4</v>
      </c>
      <c r="AP98" s="254">
        <f t="shared" si="89"/>
        <v>8.3002230205848275E-4</v>
      </c>
      <c r="AQ98" s="254">
        <f t="shared" si="108"/>
        <v>8.3002230205848279E-2</v>
      </c>
      <c r="AR98" s="254">
        <f t="shared" si="126"/>
        <v>4.5333333333333456E-4</v>
      </c>
      <c r="AS98" s="253">
        <f t="shared" si="92"/>
        <v>7.8570562765792502E-4</v>
      </c>
      <c r="AT98" s="253">
        <f t="shared" si="127"/>
        <v>5.46666666666666E-4</v>
      </c>
      <c r="AU98" s="255">
        <f t="shared" si="109"/>
        <v>5.46666666666666E-2</v>
      </c>
      <c r="AW98" s="258">
        <f>(((IF($P$5&lt;&gt;0,$P$5,IF($P$6&lt;&gt;0,$P$6,IF($P$7&lt;&gt;0,$P$7,0))))/(12*$P$19))+(((3*$P$15)/(2*(IF($P$5&lt;&gt;0,$P$5,IF($P$6&lt;&gt;0,$P$6,IF($P$7&lt;&gt;0,$P$7,0))))*$U$5*$P$19))*'IN-OUT'!$F$15))*'Burland damage classification'!BA98</f>
        <v>4.6654213086691088E-3</v>
      </c>
      <c r="AX98" s="254">
        <f>(1+(((IF($P$5&lt;&gt;0,$P$5^2,IF($P$6&lt;&gt;0,$P$6^2,IF($P$7&lt;&gt;0,$P$7^2))))*$U$5)/(18*$P$15))*('IN-OUT'!$F$15^(-1)))*BB98</f>
        <v>1.8999609039768055E-3</v>
      </c>
      <c r="AY98" s="254">
        <f t="shared" si="90"/>
        <v>1.8999609039768055E-3</v>
      </c>
      <c r="AZ98" s="254">
        <f t="shared" si="110"/>
        <v>0.18999609039768056</v>
      </c>
      <c r="BA98" s="254">
        <f t="shared" si="128"/>
        <v>1.4533333333333275E-3</v>
      </c>
      <c r="BB98" s="270">
        <f t="shared" si="93"/>
        <v>1.7985179083530604E-3</v>
      </c>
      <c r="BC98" s="253">
        <f t="shared" si="129"/>
        <v>5.46666666666666E-4</v>
      </c>
      <c r="BD98" s="255">
        <f t="shared" si="111"/>
        <v>5.46666666666666E-2</v>
      </c>
      <c r="BI98" s="248"/>
      <c r="BT98" s="254"/>
      <c r="BX98" s="258" t="e">
        <f>((((IF($Q$5=0,$Q$6,$Q$5)))/(12*$Q$19))+(((3*$Q$15)/(2*IF($Q$5=0,$Q$6,$Q$5)*$U$5*$Q$19))*'IN-OUT'!$F$15))*'Burland damage classification'!CB98</f>
        <v>#DIV/0!</v>
      </c>
      <c r="BY98" s="262">
        <f>(1+(((IF($Q$5=0,$Q$6^2,$Q$5^2))*$U$5)/(18*$Q$15))*('IN-OUT'!$F$15^(-1)))*CC98</f>
        <v>7.8570562765792502E-4</v>
      </c>
      <c r="BZ98" s="254" t="e">
        <f t="shared" si="96"/>
        <v>#DIV/0!</v>
      </c>
      <c r="CA98" s="254" t="e">
        <f t="shared" si="114"/>
        <v>#DIV/0!</v>
      </c>
      <c r="CB98" s="254">
        <f t="shared" si="132"/>
        <v>4.5333333333333456E-4</v>
      </c>
      <c r="CC98" s="253">
        <f t="shared" si="97"/>
        <v>7.8570562765792502E-4</v>
      </c>
      <c r="CD98" s="253">
        <f t="shared" si="133"/>
        <v>5.46666666666666E-4</v>
      </c>
      <c r="CE98" s="255">
        <f t="shared" si="115"/>
        <v>5.46666666666666E-2</v>
      </c>
      <c r="CG98" s="258" t="e">
        <f>((((IF($Q$5=0,$Q$6,$Q$5)))/(12*$Q$19))+(((3*$Q$15)/(2*IF($Q$5=0,$Q$6,$Q$5)*$U$5*$Q$19))*'IN-OUT'!$F$15))*'Burland damage classification'!CK98</f>
        <v>#DIV/0!</v>
      </c>
      <c r="CH98" s="262">
        <f>(1+(((IF($Q$5=0,$Q$6^2,$Q$5^2))*$U$5)/(18*$Q$15))*('IN-OUT'!$F$15^(-1)))*CL98</f>
        <v>1.7985179083530604E-3</v>
      </c>
      <c r="CI98" s="254" t="e">
        <f t="shared" si="98"/>
        <v>#DIV/0!</v>
      </c>
      <c r="CJ98" s="254" t="e">
        <f t="shared" si="116"/>
        <v>#DIV/0!</v>
      </c>
      <c r="CK98" s="254">
        <f t="shared" si="134"/>
        <v>1.4533333333333275E-3</v>
      </c>
      <c r="CL98" s="270">
        <f t="shared" si="99"/>
        <v>1.7985179083530604E-3</v>
      </c>
      <c r="CM98" s="253">
        <f t="shared" si="135"/>
        <v>5.46666666666666E-4</v>
      </c>
      <c r="CN98" s="255">
        <f t="shared" si="117"/>
        <v>5.46666666666666E-2</v>
      </c>
      <c r="CS98" s="248"/>
      <c r="DD98" s="254"/>
      <c r="DH98" s="258" t="e">
        <f>((((IF($R$5=0,$R$6,$R$5)))/(12*$R$19))+(((3*$R$15)/(2*IF($R$5=0,$R$6,$R$5)*$U$5*$R$19))*'IN-OUT'!$F$15))*'Burland damage classification'!DL98</f>
        <v>#DIV/0!</v>
      </c>
      <c r="DI98" s="262">
        <f>(1+(((IF($R$5=0,$R$6^2,$R$5^2))*$U$5)/(18*$R$15))*('IN-OUT'!$F$15^(-1)))*DM98</f>
        <v>7.8570562765792502E-4</v>
      </c>
      <c r="DJ98" s="254" t="e">
        <f t="shared" si="102"/>
        <v>#DIV/0!</v>
      </c>
      <c r="DK98" s="254" t="e">
        <f t="shared" si="120"/>
        <v>#DIV/0!</v>
      </c>
      <c r="DL98" s="254">
        <f t="shared" si="138"/>
        <v>4.5333333333333456E-4</v>
      </c>
      <c r="DM98" s="253">
        <f t="shared" si="103"/>
        <v>7.8570562765792502E-4</v>
      </c>
      <c r="DN98" s="253">
        <f t="shared" si="139"/>
        <v>5.46666666666666E-4</v>
      </c>
      <c r="DO98" s="255">
        <f t="shared" si="121"/>
        <v>5.46666666666666E-2</v>
      </c>
      <c r="DQ98" s="258" t="e">
        <f>((((IF($R$5=0,$R$6,$R$5)))/(12*$R$19))+(((3*$R$15)/(2*IF($R$5=0,$R$6,$R$5)*$U$5*$R$19))*'IN-OUT'!$F$15))*'Burland damage classification'!DU98</f>
        <v>#DIV/0!</v>
      </c>
      <c r="DR98" s="262">
        <f>(1+(((IF($R$5=0,$R$6^2,$R$5^2))*$U$5)/(18*$R$15))*('IN-OUT'!$F$15^(-1)))*DV98</f>
        <v>1.7985179083530604E-3</v>
      </c>
      <c r="DS98" s="254" t="e">
        <f t="shared" si="104"/>
        <v>#DIV/0!</v>
      </c>
      <c r="DT98" s="254" t="e">
        <f t="shared" si="122"/>
        <v>#DIV/0!</v>
      </c>
      <c r="DU98" s="254">
        <f t="shared" si="140"/>
        <v>1.4533333333333275E-3</v>
      </c>
      <c r="DV98" s="270">
        <f t="shared" si="105"/>
        <v>1.7985179083530604E-3</v>
      </c>
      <c r="DW98" s="253">
        <f t="shared" si="141"/>
        <v>5.46666666666666E-4</v>
      </c>
      <c r="DX98" s="255">
        <f t="shared" si="123"/>
        <v>5.46666666666666E-2</v>
      </c>
    </row>
    <row r="99" spans="3:128">
      <c r="U99" s="262"/>
      <c r="AJ99" s="254"/>
      <c r="AN99" s="258">
        <f>(((IF($P$5&lt;&gt;0,$P$5,IF($P$6&lt;&gt;0,$P$6,IF($P$7&lt;&gt;0,$P$7,0))))/(12*$P$19))+(((3*$P$15)/(2*(IF($P$5&lt;&gt;0,$P$5,IF($P$6&lt;&gt;0,$P$6,IF($P$7&lt;&gt;0,$P$7,0))))*$U$5*$P$19))*'IN-OUT'!$F$15))*'Burland damage classification'!AR99</f>
        <v>1.4338680168845524E-3</v>
      </c>
      <c r="AO99" s="254">
        <f>(1+(((IF($P$5&lt;&gt;0,$P$5^2,IF($P$6&lt;&gt;0,$P$6^2,IF($P$7&lt;&gt;0,$P$7^2))))*$U$5)/(18*$P$15))*('IN-OUT'!$F$15^(-1)))*AS99</f>
        <v>8.2687911732282223E-4</v>
      </c>
      <c r="AP99" s="254">
        <f t="shared" si="89"/>
        <v>8.2687911732282223E-4</v>
      </c>
      <c r="AQ99" s="254">
        <f t="shared" si="108"/>
        <v>8.2687911732282224E-2</v>
      </c>
      <c r="AR99" s="254">
        <f t="shared" si="126"/>
        <v>4.4666666666666791E-4</v>
      </c>
      <c r="AS99" s="253">
        <f t="shared" si="92"/>
        <v>7.8273026430991351E-4</v>
      </c>
      <c r="AT99" s="253">
        <f t="shared" si="127"/>
        <v>5.5333333333333265E-4</v>
      </c>
      <c r="AU99" s="255">
        <f t="shared" si="109"/>
        <v>5.5333333333333262E-2</v>
      </c>
      <c r="AW99" s="258">
        <f>(((IF($P$5&lt;&gt;0,$P$5,IF($P$6&lt;&gt;0,$P$6,IF($P$7&lt;&gt;0,$P$7,0))))/(12*$P$19))+(((3*$P$15)/(2*(IF($P$5&lt;&gt;0,$P$5,IF($P$6&lt;&gt;0,$P$6,IF($P$7&lt;&gt;0,$P$7,0))))*$U$5*$P$19))*'IN-OUT'!$F$15))*'Burland damage classification'!BA99</f>
        <v>4.644020293491727E-3</v>
      </c>
      <c r="AX99" s="254">
        <f>(1+(((IF($P$5&lt;&gt;0,$P$5^2,IF($P$6&lt;&gt;0,$P$6^2,IF($P$7&lt;&gt;0,$P$7^2))))*$U$5)/(18*$P$15))*('IN-OUT'!$F$15^(-1)))*BB99</f>
        <v>1.8972178425633081E-3</v>
      </c>
      <c r="AY99" s="254">
        <f t="shared" si="90"/>
        <v>1.8972178425633081E-3</v>
      </c>
      <c r="AZ99" s="254">
        <f t="shared" si="110"/>
        <v>0.18972178425633079</v>
      </c>
      <c r="BA99" s="254">
        <f t="shared" si="128"/>
        <v>1.4466666666666608E-3</v>
      </c>
      <c r="BB99" s="270">
        <f t="shared" si="93"/>
        <v>1.7959213048831884E-3</v>
      </c>
      <c r="BC99" s="253">
        <f t="shared" si="129"/>
        <v>5.5333333333333265E-4</v>
      </c>
      <c r="BD99" s="255">
        <f t="shared" si="111"/>
        <v>5.5333333333333262E-2</v>
      </c>
      <c r="BI99" s="248"/>
      <c r="BT99" s="254"/>
      <c r="BX99" s="258" t="e">
        <f>((((IF($Q$5=0,$Q$6,$Q$5)))/(12*$Q$19))+(((3*$Q$15)/(2*IF($Q$5=0,$Q$6,$Q$5)*$U$5*$Q$19))*'IN-OUT'!$F$15))*'Burland damage classification'!CB99</f>
        <v>#DIV/0!</v>
      </c>
      <c r="BY99" s="262">
        <f>(1+(((IF($Q$5=0,$Q$6^2,$Q$5^2))*$U$5)/(18*$Q$15))*('IN-OUT'!$F$15^(-1)))*CC99</f>
        <v>7.8273026430991351E-4</v>
      </c>
      <c r="BZ99" s="254" t="e">
        <f t="shared" si="96"/>
        <v>#DIV/0!</v>
      </c>
      <c r="CA99" s="254" t="e">
        <f t="shared" si="114"/>
        <v>#DIV/0!</v>
      </c>
      <c r="CB99" s="254">
        <f t="shared" si="132"/>
        <v>4.4666666666666791E-4</v>
      </c>
      <c r="CC99" s="253">
        <f t="shared" si="97"/>
        <v>7.8273026430991351E-4</v>
      </c>
      <c r="CD99" s="253">
        <f t="shared" si="133"/>
        <v>5.5333333333333265E-4</v>
      </c>
      <c r="CE99" s="255">
        <f t="shared" si="115"/>
        <v>5.5333333333333262E-2</v>
      </c>
      <c r="CG99" s="258" t="e">
        <f>((((IF($Q$5=0,$Q$6,$Q$5)))/(12*$Q$19))+(((3*$Q$15)/(2*IF($Q$5=0,$Q$6,$Q$5)*$U$5*$Q$19))*'IN-OUT'!$F$15))*'Burland damage classification'!CK99</f>
        <v>#DIV/0!</v>
      </c>
      <c r="CH99" s="262">
        <f>(1+(((IF($Q$5=0,$Q$6^2,$Q$5^2))*$U$5)/(18*$Q$15))*('IN-OUT'!$F$15^(-1)))*CL99</f>
        <v>1.7959213048831884E-3</v>
      </c>
      <c r="CI99" s="254" t="e">
        <f t="shared" si="98"/>
        <v>#DIV/0!</v>
      </c>
      <c r="CJ99" s="254" t="e">
        <f t="shared" si="116"/>
        <v>#DIV/0!</v>
      </c>
      <c r="CK99" s="254">
        <f t="shared" si="134"/>
        <v>1.4466666666666608E-3</v>
      </c>
      <c r="CL99" s="270">
        <f t="shared" si="99"/>
        <v>1.7959213048831884E-3</v>
      </c>
      <c r="CM99" s="253">
        <f t="shared" si="135"/>
        <v>5.5333333333333265E-4</v>
      </c>
      <c r="CN99" s="255">
        <f t="shared" si="117"/>
        <v>5.5333333333333262E-2</v>
      </c>
      <c r="CS99" s="248"/>
      <c r="DD99" s="254"/>
      <c r="DH99" s="258" t="e">
        <f>((((IF($R$5=0,$R$6,$R$5)))/(12*$R$19))+(((3*$R$15)/(2*IF($R$5=0,$R$6,$R$5)*$U$5*$R$19))*'IN-OUT'!$F$15))*'Burland damage classification'!DL99</f>
        <v>#DIV/0!</v>
      </c>
      <c r="DI99" s="262">
        <f>(1+(((IF($R$5=0,$R$6^2,$R$5^2))*$U$5)/(18*$R$15))*('IN-OUT'!$F$15^(-1)))*DM99</f>
        <v>7.8273026430991351E-4</v>
      </c>
      <c r="DJ99" s="254" t="e">
        <f t="shared" si="102"/>
        <v>#DIV/0!</v>
      </c>
      <c r="DK99" s="254" t="e">
        <f t="shared" si="120"/>
        <v>#DIV/0!</v>
      </c>
      <c r="DL99" s="254">
        <f t="shared" si="138"/>
        <v>4.4666666666666791E-4</v>
      </c>
      <c r="DM99" s="253">
        <f t="shared" si="103"/>
        <v>7.8273026430991351E-4</v>
      </c>
      <c r="DN99" s="253">
        <f t="shared" si="139"/>
        <v>5.5333333333333265E-4</v>
      </c>
      <c r="DO99" s="255">
        <f t="shared" si="121"/>
        <v>5.5333333333333262E-2</v>
      </c>
      <c r="DQ99" s="258" t="e">
        <f>((((IF($R$5=0,$R$6,$R$5)))/(12*$R$19))+(((3*$R$15)/(2*IF($R$5=0,$R$6,$R$5)*$U$5*$R$19))*'IN-OUT'!$F$15))*'Burland damage classification'!DU99</f>
        <v>#DIV/0!</v>
      </c>
      <c r="DR99" s="262">
        <f>(1+(((IF($R$5=0,$R$6^2,$R$5^2))*$U$5)/(18*$R$15))*('IN-OUT'!$F$15^(-1)))*DV99</f>
        <v>1.7959213048831884E-3</v>
      </c>
      <c r="DS99" s="254" t="e">
        <f t="shared" si="104"/>
        <v>#DIV/0!</v>
      </c>
      <c r="DT99" s="254" t="e">
        <f t="shared" si="122"/>
        <v>#DIV/0!</v>
      </c>
      <c r="DU99" s="254">
        <f t="shared" si="140"/>
        <v>1.4466666666666608E-3</v>
      </c>
      <c r="DV99" s="270">
        <f t="shared" si="105"/>
        <v>1.7959213048831884E-3</v>
      </c>
      <c r="DW99" s="253">
        <f t="shared" si="141"/>
        <v>5.5333333333333265E-4</v>
      </c>
      <c r="DX99" s="255">
        <f t="shared" si="123"/>
        <v>5.5333333333333262E-2</v>
      </c>
    </row>
    <row r="100" spans="3:128">
      <c r="U100" s="262"/>
      <c r="AJ100" s="254"/>
      <c r="AN100" s="258">
        <f>(((IF($P$5&lt;&gt;0,$P$5,IF($P$6&lt;&gt;0,$P$6,IF($P$7&lt;&gt;0,$P$7,0))))/(12*$P$19))+(((3*$P$15)/(2*(IF($P$5&lt;&gt;0,$P$5,IF($P$6&lt;&gt;0,$P$6,IF($P$7&lt;&gt;0,$P$7,0))))*$U$5*$P$19))*'IN-OUT'!$F$15))*'Burland damage classification'!AR100</f>
        <v>1.4124670017071712E-3</v>
      </c>
      <c r="AO100" s="254">
        <f>(1+(((IF($P$5&lt;&gt;0,$P$5^2,IF($P$6&lt;&gt;0,$P$6^2,IF($P$7&lt;&gt;0,$P$7^2))))*$U$5)/(18*$P$15))*('IN-OUT'!$F$15^(-1)))*AS100</f>
        <v>8.2372393883793161E-4</v>
      </c>
      <c r="AP100" s="254">
        <f t="shared" si="89"/>
        <v>8.2372393883793161E-4</v>
      </c>
      <c r="AQ100" s="254">
        <f t="shared" si="108"/>
        <v>8.2372393883793166E-2</v>
      </c>
      <c r="AR100" s="254">
        <f t="shared" si="126"/>
        <v>4.4000000000000126E-4</v>
      </c>
      <c r="AS100" s="253">
        <f t="shared" si="92"/>
        <v>7.7974354758471743E-4</v>
      </c>
      <c r="AT100" s="253">
        <f t="shared" si="127"/>
        <v>5.599999999999993E-4</v>
      </c>
      <c r="AU100" s="255">
        <f t="shared" si="109"/>
        <v>5.5999999999999932E-2</v>
      </c>
      <c r="AW100" s="258">
        <f>(((IF($P$5&lt;&gt;0,$P$5,IF($P$6&lt;&gt;0,$P$6,IF($P$7&lt;&gt;0,$P$7,0))))/(12*$P$19))+(((3*$P$15)/(2*(IF($P$5&lt;&gt;0,$P$5,IF($P$6&lt;&gt;0,$P$6,IF($P$7&lt;&gt;0,$P$7,0))))*$U$5*$P$19))*'IN-OUT'!$F$15))*'Burland damage classification'!BA100</f>
        <v>4.6226192783143461E-3</v>
      </c>
      <c r="AX100" s="254">
        <f>(1+(((IF($P$5&lt;&gt;0,$P$5^2,IF($P$6&lt;&gt;0,$P$6^2,IF($P$7&lt;&gt;0,$P$7^2))))*$U$5)/(18*$P$15))*('IN-OUT'!$F$15^(-1)))*BB100</f>
        <v>1.8944708093926353E-3</v>
      </c>
      <c r="AY100" s="254">
        <f t="shared" si="90"/>
        <v>1.8944708093926353E-3</v>
      </c>
      <c r="AZ100" s="254">
        <f t="shared" si="110"/>
        <v>0.18944708093926352</v>
      </c>
      <c r="BA100" s="254">
        <f t="shared" si="128"/>
        <v>1.439999999999994E-3</v>
      </c>
      <c r="BB100" s="270">
        <f t="shared" si="93"/>
        <v>1.7933209417167917E-3</v>
      </c>
      <c r="BC100" s="253">
        <f t="shared" si="129"/>
        <v>5.599999999999993E-4</v>
      </c>
      <c r="BD100" s="255">
        <f t="shared" si="111"/>
        <v>5.5999999999999932E-2</v>
      </c>
      <c r="BI100" s="248"/>
      <c r="BT100" s="254"/>
      <c r="BX100" s="258" t="e">
        <f>((((IF($Q$5=0,$Q$6,$Q$5)))/(12*$Q$19))+(((3*$Q$15)/(2*IF($Q$5=0,$Q$6,$Q$5)*$U$5*$Q$19))*'IN-OUT'!$F$15))*'Burland damage classification'!CB100</f>
        <v>#DIV/0!</v>
      </c>
      <c r="BY100" s="262">
        <f>(1+(((IF($Q$5=0,$Q$6^2,$Q$5^2))*$U$5)/(18*$Q$15))*('IN-OUT'!$F$15^(-1)))*CC100</f>
        <v>7.7974354758471743E-4</v>
      </c>
      <c r="BZ100" s="254" t="e">
        <f t="shared" si="96"/>
        <v>#DIV/0!</v>
      </c>
      <c r="CA100" s="254" t="e">
        <f t="shared" si="114"/>
        <v>#DIV/0!</v>
      </c>
      <c r="CB100" s="254">
        <f t="shared" si="132"/>
        <v>4.4000000000000126E-4</v>
      </c>
      <c r="CC100" s="253">
        <f t="shared" si="97"/>
        <v>7.7974354758471743E-4</v>
      </c>
      <c r="CD100" s="253">
        <f t="shared" si="133"/>
        <v>5.599999999999993E-4</v>
      </c>
      <c r="CE100" s="255">
        <f t="shared" si="115"/>
        <v>5.5999999999999932E-2</v>
      </c>
      <c r="CG100" s="258" t="e">
        <f>((((IF($Q$5=0,$Q$6,$Q$5)))/(12*$Q$19))+(((3*$Q$15)/(2*IF($Q$5=0,$Q$6,$Q$5)*$U$5*$Q$19))*'IN-OUT'!$F$15))*'Burland damage classification'!CK100</f>
        <v>#DIV/0!</v>
      </c>
      <c r="CH100" s="262">
        <f>(1+(((IF($Q$5=0,$Q$6^2,$Q$5^2))*$U$5)/(18*$Q$15))*('IN-OUT'!$F$15^(-1)))*CL100</f>
        <v>1.7933209417167917E-3</v>
      </c>
      <c r="CI100" s="254" t="e">
        <f t="shared" si="98"/>
        <v>#DIV/0!</v>
      </c>
      <c r="CJ100" s="254" t="e">
        <f t="shared" si="116"/>
        <v>#DIV/0!</v>
      </c>
      <c r="CK100" s="254">
        <f t="shared" si="134"/>
        <v>1.439999999999994E-3</v>
      </c>
      <c r="CL100" s="270">
        <f t="shared" si="99"/>
        <v>1.7933209417167917E-3</v>
      </c>
      <c r="CM100" s="253">
        <f t="shared" si="135"/>
        <v>5.599999999999993E-4</v>
      </c>
      <c r="CN100" s="255">
        <f t="shared" si="117"/>
        <v>5.5999999999999932E-2</v>
      </c>
      <c r="CS100" s="248"/>
      <c r="DD100" s="254"/>
      <c r="DH100" s="258" t="e">
        <f>((((IF($R$5=0,$R$6,$R$5)))/(12*$R$19))+(((3*$R$15)/(2*IF($R$5=0,$R$6,$R$5)*$U$5*$R$19))*'IN-OUT'!$F$15))*'Burland damage classification'!DL100</f>
        <v>#DIV/0!</v>
      </c>
      <c r="DI100" s="262">
        <f>(1+(((IF($R$5=0,$R$6^2,$R$5^2))*$U$5)/(18*$R$15))*('IN-OUT'!$F$15^(-1)))*DM100</f>
        <v>7.7974354758471743E-4</v>
      </c>
      <c r="DJ100" s="254" t="e">
        <f t="shared" si="102"/>
        <v>#DIV/0!</v>
      </c>
      <c r="DK100" s="254" t="e">
        <f t="shared" si="120"/>
        <v>#DIV/0!</v>
      </c>
      <c r="DL100" s="254">
        <f t="shared" si="138"/>
        <v>4.4000000000000126E-4</v>
      </c>
      <c r="DM100" s="253">
        <f t="shared" si="103"/>
        <v>7.7974354758471743E-4</v>
      </c>
      <c r="DN100" s="253">
        <f t="shared" si="139"/>
        <v>5.599999999999993E-4</v>
      </c>
      <c r="DO100" s="255">
        <f t="shared" si="121"/>
        <v>5.5999999999999932E-2</v>
      </c>
      <c r="DQ100" s="258" t="e">
        <f>((((IF($R$5=0,$R$6,$R$5)))/(12*$R$19))+(((3*$R$15)/(2*IF($R$5=0,$R$6,$R$5)*$U$5*$R$19))*'IN-OUT'!$F$15))*'Burland damage classification'!DU100</f>
        <v>#DIV/0!</v>
      </c>
      <c r="DR100" s="262">
        <f>(1+(((IF($R$5=0,$R$6^2,$R$5^2))*$U$5)/(18*$R$15))*('IN-OUT'!$F$15^(-1)))*DV100</f>
        <v>1.7933209417167917E-3</v>
      </c>
      <c r="DS100" s="254" t="e">
        <f t="shared" si="104"/>
        <v>#DIV/0!</v>
      </c>
      <c r="DT100" s="254" t="e">
        <f t="shared" si="122"/>
        <v>#DIV/0!</v>
      </c>
      <c r="DU100" s="254">
        <f t="shared" si="140"/>
        <v>1.439999999999994E-3</v>
      </c>
      <c r="DV100" s="270">
        <f t="shared" si="105"/>
        <v>1.7933209417167917E-3</v>
      </c>
      <c r="DW100" s="253">
        <f t="shared" si="141"/>
        <v>5.599999999999993E-4</v>
      </c>
      <c r="DX100" s="255">
        <f t="shared" si="123"/>
        <v>5.5999999999999932E-2</v>
      </c>
    </row>
    <row r="101" spans="3:128" ht="13.8" thickBot="1">
      <c r="U101" s="262"/>
      <c r="AJ101" s="254"/>
      <c r="AN101" s="258">
        <f>(((IF($P$5&lt;&gt;0,$P$5,IF($P$6&lt;&gt;0,$P$6,IF($P$7&lt;&gt;0,$P$7,0))))/(12*$P$19))+(((3*$P$15)/(2*(IF($P$5&lt;&gt;0,$P$5,IF($P$6&lt;&gt;0,$P$6,IF($P$7&lt;&gt;0,$P$7,0))))*$U$5*$P$19))*'IN-OUT'!$F$15))*'Burland damage classification'!AR101</f>
        <v>1.3910659865297899E-3</v>
      </c>
      <c r="AO101" s="254">
        <f>(1+(((IF($P$5&lt;&gt;0,$P$5^2,IF($P$6&lt;&gt;0,$P$6^2,IF($P$7&lt;&gt;0,$P$7^2))))*$U$5)/(18*$P$15))*('IN-OUT'!$F$15^(-1)))*AS101</f>
        <v>8.2055662824986246E-4</v>
      </c>
      <c r="AP101" s="254">
        <f t="shared" si="89"/>
        <v>8.2055662824986246E-4</v>
      </c>
      <c r="AQ101" s="254">
        <f t="shared" si="108"/>
        <v>8.2055662824986247E-2</v>
      </c>
      <c r="AR101" s="254">
        <f t="shared" si="126"/>
        <v>4.3333333333333461E-4</v>
      </c>
      <c r="AS101" s="253">
        <f t="shared" si="92"/>
        <v>7.7674534651540319E-4</v>
      </c>
      <c r="AT101" s="253">
        <f t="shared" si="127"/>
        <v>5.6666666666666595E-4</v>
      </c>
      <c r="AU101" s="255">
        <f t="shared" si="109"/>
        <v>5.6666666666666594E-2</v>
      </c>
      <c r="AW101" s="258">
        <f>(((IF($P$5&lt;&gt;0,$P$5,IF($P$6&lt;&gt;0,$P$6,IF($P$7&lt;&gt;0,$P$7,0))))/(12*$P$19))+(((3*$P$15)/(2*(IF($P$5&lt;&gt;0,$P$5,IF($P$6&lt;&gt;0,$P$6,IF($P$7&lt;&gt;0,$P$7,0))))*$U$5*$P$19))*'IN-OUT'!$F$15))*'Burland damage classification'!BA101</f>
        <v>4.6012182631369643E-3</v>
      </c>
      <c r="AX101" s="254">
        <f>(1+(((IF($P$5&lt;&gt;0,$P$5^2,IF($P$6&lt;&gt;0,$P$6^2,IF($P$7&lt;&gt;0,$P$7^2))))*$U$5)/(18*$P$15))*('IN-OUT'!$F$15^(-1)))*BB101</f>
        <v>1.8917197871622003E-3</v>
      </c>
      <c r="AY101" s="254">
        <f t="shared" si="90"/>
        <v>1.8917197871622003E-3</v>
      </c>
      <c r="AZ101" s="254">
        <f t="shared" si="110"/>
        <v>0.18917197871622002</v>
      </c>
      <c r="BA101" s="254">
        <f t="shared" si="128"/>
        <v>1.4333333333333273E-3</v>
      </c>
      <c r="BB101" s="270">
        <f t="shared" si="93"/>
        <v>1.790716802475106E-3</v>
      </c>
      <c r="BC101" s="253">
        <f t="shared" si="129"/>
        <v>5.6666666666666595E-4</v>
      </c>
      <c r="BD101" s="255">
        <f t="shared" si="111"/>
        <v>5.6666666666666594E-2</v>
      </c>
      <c r="BI101" s="248"/>
      <c r="BT101" s="254"/>
      <c r="BX101" s="258" t="e">
        <f>((((IF($Q$5=0,$Q$6,$Q$5)))/(12*$Q$19))+(((3*$Q$15)/(2*IF($Q$5=0,$Q$6,$Q$5)*$U$5*$Q$19))*'IN-OUT'!$F$15))*'Burland damage classification'!CB101</f>
        <v>#DIV/0!</v>
      </c>
      <c r="BY101" s="262">
        <f>(1+(((IF($Q$5=0,$Q$6^2,$Q$5^2))*$U$5)/(18*$Q$15))*('IN-OUT'!$F$15^(-1)))*CC101</f>
        <v>7.7674534651540319E-4</v>
      </c>
      <c r="BZ101" s="254" t="e">
        <f t="shared" si="96"/>
        <v>#DIV/0!</v>
      </c>
      <c r="CA101" s="254" t="e">
        <f t="shared" si="114"/>
        <v>#DIV/0!</v>
      </c>
      <c r="CB101" s="254">
        <f t="shared" si="132"/>
        <v>4.3333333333333461E-4</v>
      </c>
      <c r="CC101" s="253">
        <f t="shared" si="97"/>
        <v>7.7674534651540319E-4</v>
      </c>
      <c r="CD101" s="253">
        <f t="shared" si="133"/>
        <v>5.6666666666666595E-4</v>
      </c>
      <c r="CE101" s="255">
        <f t="shared" si="115"/>
        <v>5.6666666666666594E-2</v>
      </c>
      <c r="CG101" s="258" t="e">
        <f>((((IF($Q$5=0,$Q$6,$Q$5)))/(12*$Q$19))+(((3*$Q$15)/(2*IF($Q$5=0,$Q$6,$Q$5)*$U$5*$Q$19))*'IN-OUT'!$F$15))*'Burland damage classification'!CK101</f>
        <v>#DIV/0!</v>
      </c>
      <c r="CH101" s="262">
        <f>(1+(((IF($Q$5=0,$Q$6^2,$Q$5^2))*$U$5)/(18*$Q$15))*('IN-OUT'!$F$15^(-1)))*CL101</f>
        <v>1.790716802475106E-3</v>
      </c>
      <c r="CI101" s="254" t="e">
        <f t="shared" si="98"/>
        <v>#DIV/0!</v>
      </c>
      <c r="CJ101" s="254" t="e">
        <f t="shared" si="116"/>
        <v>#DIV/0!</v>
      </c>
      <c r="CK101" s="254">
        <f t="shared" si="134"/>
        <v>1.4333333333333273E-3</v>
      </c>
      <c r="CL101" s="270">
        <f t="shared" si="99"/>
        <v>1.790716802475106E-3</v>
      </c>
      <c r="CM101" s="253">
        <f t="shared" si="135"/>
        <v>5.6666666666666595E-4</v>
      </c>
      <c r="CN101" s="255">
        <f t="shared" si="117"/>
        <v>5.6666666666666594E-2</v>
      </c>
      <c r="CS101" s="248"/>
      <c r="DD101" s="254"/>
      <c r="DH101" s="258" t="e">
        <f>((((IF($R$5=0,$R$6,$R$5)))/(12*$R$19))+(((3*$R$15)/(2*IF($R$5=0,$R$6,$R$5)*$U$5*$R$19))*'IN-OUT'!$F$15))*'Burland damage classification'!DL101</f>
        <v>#DIV/0!</v>
      </c>
      <c r="DI101" s="262">
        <f>(1+(((IF($R$5=0,$R$6^2,$R$5^2))*$U$5)/(18*$R$15))*('IN-OUT'!$F$15^(-1)))*DM101</f>
        <v>7.7674534651540319E-4</v>
      </c>
      <c r="DJ101" s="254" t="e">
        <f t="shared" si="102"/>
        <v>#DIV/0!</v>
      </c>
      <c r="DK101" s="254" t="e">
        <f t="shared" si="120"/>
        <v>#DIV/0!</v>
      </c>
      <c r="DL101" s="254">
        <f t="shared" si="138"/>
        <v>4.3333333333333461E-4</v>
      </c>
      <c r="DM101" s="253">
        <f t="shared" si="103"/>
        <v>7.7674534651540319E-4</v>
      </c>
      <c r="DN101" s="253">
        <f t="shared" si="139"/>
        <v>5.6666666666666595E-4</v>
      </c>
      <c r="DO101" s="255">
        <f t="shared" si="121"/>
        <v>5.6666666666666594E-2</v>
      </c>
      <c r="DQ101" s="258" t="e">
        <f>((((IF($R$5=0,$R$6,$R$5)))/(12*$R$19))+(((3*$R$15)/(2*IF($R$5=0,$R$6,$R$5)*$U$5*$R$19))*'IN-OUT'!$F$15))*'Burland damage classification'!DU101</f>
        <v>#DIV/0!</v>
      </c>
      <c r="DR101" s="262">
        <f>(1+(((IF($R$5=0,$R$6^2,$R$5^2))*$U$5)/(18*$R$15))*('IN-OUT'!$F$15^(-1)))*DV101</f>
        <v>1.790716802475106E-3</v>
      </c>
      <c r="DS101" s="254" t="e">
        <f t="shared" si="104"/>
        <v>#DIV/0!</v>
      </c>
      <c r="DT101" s="254" t="e">
        <f t="shared" si="122"/>
        <v>#DIV/0!</v>
      </c>
      <c r="DU101" s="254">
        <f t="shared" si="140"/>
        <v>1.4333333333333273E-3</v>
      </c>
      <c r="DV101" s="270">
        <f t="shared" si="105"/>
        <v>1.790716802475106E-3</v>
      </c>
      <c r="DW101" s="253">
        <f t="shared" si="141"/>
        <v>5.6666666666666595E-4</v>
      </c>
      <c r="DX101" s="255">
        <f t="shared" si="123"/>
        <v>5.6666666666666594E-2</v>
      </c>
    </row>
    <row r="102" spans="3:128" ht="13.8" thickBot="1">
      <c r="C102" s="393" t="s">
        <v>232</v>
      </c>
      <c r="D102" s="394" t="s">
        <v>233</v>
      </c>
      <c r="E102" s="252" t="s">
        <v>234</v>
      </c>
      <c r="F102" s="395" t="s">
        <v>235</v>
      </c>
      <c r="U102" s="262"/>
      <c r="AJ102" s="254"/>
      <c r="AN102" s="258">
        <f>(((IF($P$5&lt;&gt;0,$P$5,IF($P$6&lt;&gt;0,$P$6,IF($P$7&lt;&gt;0,$P$7,0))))/(12*$P$19))+(((3*$P$15)/(2*(IF($P$5&lt;&gt;0,$P$5,IF($P$6&lt;&gt;0,$P$6,IF($P$7&lt;&gt;0,$P$7,0))))*$U$5*$P$19))*'IN-OUT'!$F$15))*'Burland damage classification'!AR102</f>
        <v>1.3696649713524087E-3</v>
      </c>
      <c r="AO102" s="254">
        <f>(1+(((IF($P$5&lt;&gt;0,$P$5^2,IF($P$6&lt;&gt;0,$P$6^2,IF($P$7&lt;&gt;0,$P$7^2))))*$U$5)/(18*$P$15))*('IN-OUT'!$F$15^(-1)))*AS102</f>
        <v>8.1737704452406151E-4</v>
      </c>
      <c r="AP102" s="254">
        <f t="shared" si="89"/>
        <v>8.1737704452406151E-4</v>
      </c>
      <c r="AQ102" s="254">
        <f t="shared" si="108"/>
        <v>8.1737704452406149E-2</v>
      </c>
      <c r="AR102" s="254">
        <f t="shared" si="126"/>
        <v>4.2666666666666797E-4</v>
      </c>
      <c r="AS102" s="253">
        <f t="shared" si="92"/>
        <v>7.7373552759755517E-4</v>
      </c>
      <c r="AT102" s="253">
        <f t="shared" si="127"/>
        <v>5.733333333333326E-4</v>
      </c>
      <c r="AU102" s="255">
        <f t="shared" si="109"/>
        <v>5.7333333333333257E-2</v>
      </c>
      <c r="AW102" s="258">
        <f>(((IF($P$5&lt;&gt;0,$P$5,IF($P$6&lt;&gt;0,$P$6,IF($P$7&lt;&gt;0,$P$7,0))))/(12*$P$19))+(((3*$P$15)/(2*(IF($P$5&lt;&gt;0,$P$5,IF($P$6&lt;&gt;0,$P$6,IF($P$7&lt;&gt;0,$P$7,0))))*$U$5*$P$19))*'IN-OUT'!$F$15))*'Burland damage classification'!BA102</f>
        <v>4.5798172479595825E-3</v>
      </c>
      <c r="AX102" s="254">
        <f>(1+(((IF($P$5&lt;&gt;0,$P$5^2,IF($P$6&lt;&gt;0,$P$6^2,IF($P$7&lt;&gt;0,$P$7^2))))*$U$5)/(18*$P$15))*('IN-OUT'!$F$15^(-1)))*BB102</f>
        <v>1.8889647584434213E-3</v>
      </c>
      <c r="AY102" s="254">
        <f t="shared" si="90"/>
        <v>1.8889647584434213E-3</v>
      </c>
      <c r="AZ102" s="254">
        <f t="shared" si="110"/>
        <v>0.18889647584434213</v>
      </c>
      <c r="BA102" s="254">
        <f t="shared" si="128"/>
        <v>1.4266666666666605E-3</v>
      </c>
      <c r="BB102" s="270">
        <f t="shared" si="93"/>
        <v>1.7881088706600988E-3</v>
      </c>
      <c r="BC102" s="253">
        <f t="shared" si="129"/>
        <v>5.733333333333326E-4</v>
      </c>
      <c r="BD102" s="255">
        <f t="shared" si="111"/>
        <v>5.7333333333333257E-2</v>
      </c>
      <c r="BI102" s="248"/>
      <c r="BT102" s="254"/>
      <c r="BX102" s="258" t="e">
        <f>((((IF($Q$5=0,$Q$6,$Q$5)))/(12*$Q$19))+(((3*$Q$15)/(2*IF($Q$5=0,$Q$6,$Q$5)*$U$5*$Q$19))*'IN-OUT'!$F$15))*'Burland damage classification'!CB102</f>
        <v>#DIV/0!</v>
      </c>
      <c r="BY102" s="262">
        <f>(1+(((IF($Q$5=0,$Q$6^2,$Q$5^2))*$U$5)/(18*$Q$15))*('IN-OUT'!$F$15^(-1)))*CC102</f>
        <v>7.7373552759755517E-4</v>
      </c>
      <c r="BZ102" s="254" t="e">
        <f t="shared" si="96"/>
        <v>#DIV/0!</v>
      </c>
      <c r="CA102" s="254" t="e">
        <f t="shared" si="114"/>
        <v>#DIV/0!</v>
      </c>
      <c r="CB102" s="254">
        <f t="shared" si="132"/>
        <v>4.2666666666666797E-4</v>
      </c>
      <c r="CC102" s="253">
        <f t="shared" si="97"/>
        <v>7.7373552759755517E-4</v>
      </c>
      <c r="CD102" s="253">
        <f t="shared" si="133"/>
        <v>5.733333333333326E-4</v>
      </c>
      <c r="CE102" s="255">
        <f t="shared" si="115"/>
        <v>5.7333333333333257E-2</v>
      </c>
      <c r="CG102" s="258" t="e">
        <f>((((IF($Q$5=0,$Q$6,$Q$5)))/(12*$Q$19))+(((3*$Q$15)/(2*IF($Q$5=0,$Q$6,$Q$5)*$U$5*$Q$19))*'IN-OUT'!$F$15))*'Burland damage classification'!CK102</f>
        <v>#DIV/0!</v>
      </c>
      <c r="CH102" s="262">
        <f>(1+(((IF($Q$5=0,$Q$6^2,$Q$5^2))*$U$5)/(18*$Q$15))*('IN-OUT'!$F$15^(-1)))*CL102</f>
        <v>1.7881088706600988E-3</v>
      </c>
      <c r="CI102" s="254" t="e">
        <f t="shared" si="98"/>
        <v>#DIV/0!</v>
      </c>
      <c r="CJ102" s="254" t="e">
        <f t="shared" si="116"/>
        <v>#DIV/0!</v>
      </c>
      <c r="CK102" s="254">
        <f t="shared" si="134"/>
        <v>1.4266666666666605E-3</v>
      </c>
      <c r="CL102" s="270">
        <f t="shared" si="99"/>
        <v>1.7881088706600988E-3</v>
      </c>
      <c r="CM102" s="253">
        <f t="shared" si="135"/>
        <v>5.733333333333326E-4</v>
      </c>
      <c r="CN102" s="255">
        <f t="shared" si="117"/>
        <v>5.7333333333333257E-2</v>
      </c>
      <c r="CS102" s="248"/>
      <c r="DD102" s="254"/>
      <c r="DH102" s="258" t="e">
        <f>((((IF($R$5=0,$R$6,$R$5)))/(12*$R$19))+(((3*$R$15)/(2*IF($R$5=0,$R$6,$R$5)*$U$5*$R$19))*'IN-OUT'!$F$15))*'Burland damage classification'!DL102</f>
        <v>#DIV/0!</v>
      </c>
      <c r="DI102" s="262">
        <f>(1+(((IF($R$5=0,$R$6^2,$R$5^2))*$U$5)/(18*$R$15))*('IN-OUT'!$F$15^(-1)))*DM102</f>
        <v>7.7373552759755517E-4</v>
      </c>
      <c r="DJ102" s="254" t="e">
        <f t="shared" si="102"/>
        <v>#DIV/0!</v>
      </c>
      <c r="DK102" s="254" t="e">
        <f t="shared" si="120"/>
        <v>#DIV/0!</v>
      </c>
      <c r="DL102" s="254">
        <f t="shared" si="138"/>
        <v>4.2666666666666797E-4</v>
      </c>
      <c r="DM102" s="253">
        <f t="shared" si="103"/>
        <v>7.7373552759755517E-4</v>
      </c>
      <c r="DN102" s="253">
        <f t="shared" si="139"/>
        <v>5.733333333333326E-4</v>
      </c>
      <c r="DO102" s="255">
        <f t="shared" si="121"/>
        <v>5.7333333333333257E-2</v>
      </c>
      <c r="DQ102" s="258" t="e">
        <f>((((IF($R$5=0,$R$6,$R$5)))/(12*$R$19))+(((3*$R$15)/(2*IF($R$5=0,$R$6,$R$5)*$U$5*$R$19))*'IN-OUT'!$F$15))*'Burland damage classification'!DU102</f>
        <v>#DIV/0!</v>
      </c>
      <c r="DR102" s="262">
        <f>(1+(((IF($R$5=0,$R$6^2,$R$5^2))*$U$5)/(18*$R$15))*('IN-OUT'!$F$15^(-1)))*DV102</f>
        <v>1.7881088706600988E-3</v>
      </c>
      <c r="DS102" s="254" t="e">
        <f t="shared" si="104"/>
        <v>#DIV/0!</v>
      </c>
      <c r="DT102" s="254" t="e">
        <f t="shared" si="122"/>
        <v>#DIV/0!</v>
      </c>
      <c r="DU102" s="254">
        <f t="shared" si="140"/>
        <v>1.4266666666666605E-3</v>
      </c>
      <c r="DV102" s="270">
        <f t="shared" si="105"/>
        <v>1.7881088706600988E-3</v>
      </c>
      <c r="DW102" s="253">
        <f t="shared" si="141"/>
        <v>5.733333333333326E-4</v>
      </c>
      <c r="DX102" s="255">
        <f t="shared" si="123"/>
        <v>5.7333333333333257E-2</v>
      </c>
    </row>
    <row r="103" spans="3:128">
      <c r="C103" s="290" t="str">
        <f>$I$4</f>
        <v/>
      </c>
      <c r="D103" s="291" t="str">
        <f>L5</f>
        <v/>
      </c>
      <c r="E103" s="333" t="str">
        <f>IF(C103="","",0)</f>
        <v/>
      </c>
      <c r="F103" s="396" t="str">
        <f>IF(D103="","",0)</f>
        <v/>
      </c>
      <c r="U103" s="262"/>
      <c r="AJ103" s="254"/>
      <c r="AN103" s="258">
        <f>(((IF($P$5&lt;&gt;0,$P$5,IF($P$6&lt;&gt;0,$P$6,IF($P$7&lt;&gt;0,$P$7,0))))/(12*$P$19))+(((3*$P$15)/(2*(IF($P$5&lt;&gt;0,$P$5,IF($P$6&lt;&gt;0,$P$6,IF($P$7&lt;&gt;0,$P$7,0))))*$U$5*$P$19))*'IN-OUT'!$F$15))*'Burland damage classification'!AR103</f>
        <v>1.3482639561750273E-3</v>
      </c>
      <c r="AO103" s="254">
        <f>(1+(((IF($P$5&lt;&gt;0,$P$5^2,IF($P$6&lt;&gt;0,$P$6^2,IF($P$7&lt;&gt;0,$P$7^2))))*$U$5)/(18*$P$15))*('IN-OUT'!$F$15^(-1)))*AS103</f>
        <v>8.1418504387208959E-4</v>
      </c>
      <c r="AP103" s="254">
        <f t="shared" si="89"/>
        <v>8.1418504387208959E-4</v>
      </c>
      <c r="AQ103" s="254">
        <f t="shared" si="108"/>
        <v>8.1418504387208962E-2</v>
      </c>
      <c r="AR103" s="254">
        <f t="shared" si="126"/>
        <v>4.2000000000000132E-4</v>
      </c>
      <c r="AS103" s="253">
        <f t="shared" si="92"/>
        <v>7.7071395471990808E-4</v>
      </c>
      <c r="AT103" s="253">
        <f t="shared" si="127"/>
        <v>5.7999999999999924E-4</v>
      </c>
      <c r="AU103" s="255">
        <f t="shared" si="109"/>
        <v>5.7999999999999927E-2</v>
      </c>
      <c r="AW103" s="258">
        <f>(((IF($P$5&lt;&gt;0,$P$5,IF($P$6&lt;&gt;0,$P$6,IF($P$7&lt;&gt;0,$P$7,0))))/(12*$P$19))+(((3*$P$15)/(2*(IF($P$5&lt;&gt;0,$P$5,IF($P$6&lt;&gt;0,$P$6,IF($P$7&lt;&gt;0,$P$7,0))))*$U$5*$P$19))*'IN-OUT'!$F$15))*'Burland damage classification'!BA103</f>
        <v>4.5584162327822007E-3</v>
      </c>
      <c r="AX103" s="254">
        <f>(1+(((IF($P$5&lt;&gt;0,$P$5^2,IF($P$6&lt;&gt;0,$P$6^2,IF($P$7&lt;&gt;0,$P$7^2))))*$U$5)/(18*$P$15))*('IN-OUT'!$F$15^(-1)))*BB103</f>
        <v>1.8862057056804346E-3</v>
      </c>
      <c r="AY103" s="254">
        <f t="shared" si="90"/>
        <v>1.8862057056804346E-3</v>
      </c>
      <c r="AZ103" s="254">
        <f t="shared" si="110"/>
        <v>0.18862057056804346</v>
      </c>
      <c r="BA103" s="254">
        <f t="shared" si="128"/>
        <v>1.4199999999999937E-3</v>
      </c>
      <c r="BB103" s="270">
        <f t="shared" si="93"/>
        <v>1.7854971296532517E-3</v>
      </c>
      <c r="BC103" s="253">
        <f t="shared" si="129"/>
        <v>5.7999999999999924E-4</v>
      </c>
      <c r="BD103" s="255">
        <f t="shared" si="111"/>
        <v>5.7999999999999927E-2</v>
      </c>
      <c r="BI103" s="248"/>
      <c r="BT103" s="254"/>
      <c r="BX103" s="258" t="e">
        <f>((((IF($Q$5=0,$Q$6,$Q$5)))/(12*$Q$19))+(((3*$Q$15)/(2*IF($Q$5=0,$Q$6,$Q$5)*$U$5*$Q$19))*'IN-OUT'!$F$15))*'Burland damage classification'!CB103</f>
        <v>#DIV/0!</v>
      </c>
      <c r="BY103" s="262">
        <f>(1+(((IF($Q$5=0,$Q$6^2,$Q$5^2))*$U$5)/(18*$Q$15))*('IN-OUT'!$F$15^(-1)))*CC103</f>
        <v>7.7071395471990808E-4</v>
      </c>
      <c r="BZ103" s="254" t="e">
        <f t="shared" si="96"/>
        <v>#DIV/0!</v>
      </c>
      <c r="CA103" s="254" t="e">
        <f t="shared" si="114"/>
        <v>#DIV/0!</v>
      </c>
      <c r="CB103" s="254">
        <f t="shared" si="132"/>
        <v>4.2000000000000132E-4</v>
      </c>
      <c r="CC103" s="253">
        <f t="shared" si="97"/>
        <v>7.7071395471990808E-4</v>
      </c>
      <c r="CD103" s="253">
        <f t="shared" si="133"/>
        <v>5.7999999999999924E-4</v>
      </c>
      <c r="CE103" s="255">
        <f t="shared" si="115"/>
        <v>5.7999999999999927E-2</v>
      </c>
      <c r="CG103" s="258" t="e">
        <f>((((IF($Q$5=0,$Q$6,$Q$5)))/(12*$Q$19))+(((3*$Q$15)/(2*IF($Q$5=0,$Q$6,$Q$5)*$U$5*$Q$19))*'IN-OUT'!$F$15))*'Burland damage classification'!CK103</f>
        <v>#DIV/0!</v>
      </c>
      <c r="CH103" s="262">
        <f>(1+(((IF($Q$5=0,$Q$6^2,$Q$5^2))*$U$5)/(18*$Q$15))*('IN-OUT'!$F$15^(-1)))*CL103</f>
        <v>1.7854971296532517E-3</v>
      </c>
      <c r="CI103" s="254" t="e">
        <f t="shared" si="98"/>
        <v>#DIV/0!</v>
      </c>
      <c r="CJ103" s="254" t="e">
        <f t="shared" si="116"/>
        <v>#DIV/0!</v>
      </c>
      <c r="CK103" s="254">
        <f t="shared" si="134"/>
        <v>1.4199999999999937E-3</v>
      </c>
      <c r="CL103" s="270">
        <f t="shared" si="99"/>
        <v>1.7854971296532517E-3</v>
      </c>
      <c r="CM103" s="253">
        <f t="shared" si="135"/>
        <v>5.7999999999999924E-4</v>
      </c>
      <c r="CN103" s="255">
        <f t="shared" si="117"/>
        <v>5.7999999999999927E-2</v>
      </c>
      <c r="CS103" s="248"/>
      <c r="DD103" s="254"/>
      <c r="DH103" s="258" t="e">
        <f>((((IF($R$5=0,$R$6,$R$5)))/(12*$R$19))+(((3*$R$15)/(2*IF($R$5=0,$R$6,$R$5)*$U$5*$R$19))*'IN-OUT'!$F$15))*'Burland damage classification'!DL103</f>
        <v>#DIV/0!</v>
      </c>
      <c r="DI103" s="262">
        <f>(1+(((IF($R$5=0,$R$6^2,$R$5^2))*$U$5)/(18*$R$15))*('IN-OUT'!$F$15^(-1)))*DM103</f>
        <v>7.7071395471990808E-4</v>
      </c>
      <c r="DJ103" s="254" t="e">
        <f t="shared" si="102"/>
        <v>#DIV/0!</v>
      </c>
      <c r="DK103" s="254" t="e">
        <f t="shared" si="120"/>
        <v>#DIV/0!</v>
      </c>
      <c r="DL103" s="254">
        <f t="shared" si="138"/>
        <v>4.2000000000000132E-4</v>
      </c>
      <c r="DM103" s="253">
        <f t="shared" si="103"/>
        <v>7.7071395471990808E-4</v>
      </c>
      <c r="DN103" s="253">
        <f t="shared" si="139"/>
        <v>5.7999999999999924E-4</v>
      </c>
      <c r="DO103" s="255">
        <f t="shared" si="121"/>
        <v>5.7999999999999927E-2</v>
      </c>
      <c r="DQ103" s="258" t="e">
        <f>((((IF($R$5=0,$R$6,$R$5)))/(12*$R$19))+(((3*$R$15)/(2*IF($R$5=0,$R$6,$R$5)*$U$5*$R$19))*'IN-OUT'!$F$15))*'Burland damage classification'!DU103</f>
        <v>#DIV/0!</v>
      </c>
      <c r="DR103" s="262">
        <f>(1+(((IF($R$5=0,$R$6^2,$R$5^2))*$U$5)/(18*$R$15))*('IN-OUT'!$F$15^(-1)))*DV103</f>
        <v>1.7854971296532517E-3</v>
      </c>
      <c r="DS103" s="254" t="e">
        <f t="shared" si="104"/>
        <v>#DIV/0!</v>
      </c>
      <c r="DT103" s="254" t="e">
        <f t="shared" si="122"/>
        <v>#DIV/0!</v>
      </c>
      <c r="DU103" s="254">
        <f t="shared" si="140"/>
        <v>1.4199999999999937E-3</v>
      </c>
      <c r="DV103" s="270">
        <f t="shared" si="105"/>
        <v>1.7854971296532517E-3</v>
      </c>
      <c r="DW103" s="253">
        <f t="shared" si="141"/>
        <v>5.7999999999999924E-4</v>
      </c>
      <c r="DX103" s="255">
        <f t="shared" si="123"/>
        <v>5.7999999999999927E-2</v>
      </c>
    </row>
    <row r="104" spans="3:128">
      <c r="C104" s="302" t="str">
        <f>$J$4</f>
        <v/>
      </c>
      <c r="D104" s="288" t="str">
        <f>M5</f>
        <v/>
      </c>
      <c r="E104" s="389" t="str">
        <f t="shared" ref="E104:F150" si="142">IF(C104="","",0)</f>
        <v/>
      </c>
      <c r="F104" s="397" t="str">
        <f t="shared" si="142"/>
        <v/>
      </c>
      <c r="U104" s="262"/>
      <c r="AN104" s="258">
        <f>(((IF($P$5&lt;&gt;0,$P$5,IF($P$6&lt;&gt;0,$P$6,IF($P$7&lt;&gt;0,$P$7,0))))/(12*$P$19))+(((3*$P$15)/(2*(IF($P$5&lt;&gt;0,$P$5,IF($P$6&lt;&gt;0,$P$6,IF($P$7&lt;&gt;0,$P$7,0))))*$U$5*$P$19))*'IN-OUT'!$F$15))*'Burland damage classification'!AR104</f>
        <v>1.3268629409976462E-3</v>
      </c>
      <c r="AO104" s="254">
        <f>(1+(((IF($P$5&lt;&gt;0,$P$5^2,IF($P$6&lt;&gt;0,$P$6^2,IF($P$7&lt;&gt;0,$P$7^2))))*$U$5)/(18*$P$15))*('IN-OUT'!$F$15^(-1)))*AS104</f>
        <v>8.1098047967574595E-4</v>
      </c>
      <c r="AP104" s="254">
        <f t="shared" si="89"/>
        <v>8.1098047967574595E-4</v>
      </c>
      <c r="AQ104" s="254">
        <f t="shared" si="108"/>
        <v>8.1098047967574596E-2</v>
      </c>
      <c r="AR104" s="254">
        <f t="shared" si="126"/>
        <v>4.1333333333333467E-4</v>
      </c>
      <c r="AS104" s="253">
        <f t="shared" si="92"/>
        <v>7.6768048909252198E-4</v>
      </c>
      <c r="AT104" s="253">
        <f t="shared" si="127"/>
        <v>5.8666666666666589E-4</v>
      </c>
      <c r="AU104" s="255">
        <f t="shared" si="109"/>
        <v>5.8666666666666589E-2</v>
      </c>
      <c r="AW104" s="258">
        <f>(((IF($P$5&lt;&gt;0,$P$5,IF($P$6&lt;&gt;0,$P$6,IF($P$7&lt;&gt;0,$P$7,0))))/(12*$P$19))+(((3*$P$15)/(2*(IF($P$5&lt;&gt;0,$P$5,IF($P$6&lt;&gt;0,$P$6,IF($P$7&lt;&gt;0,$P$7,0))))*$U$5*$P$19))*'IN-OUT'!$F$15))*'Burland damage classification'!BA104</f>
        <v>4.5370152176048197E-3</v>
      </c>
      <c r="AX104" s="254">
        <f>(1+(((IF($P$5&lt;&gt;0,$P$5^2,IF($P$6&lt;&gt;0,$P$6^2,IF($P$7&lt;&gt;0,$P$7^2))))*$U$5)/(18*$P$15))*('IN-OUT'!$F$15^(-1)))*BB104</f>
        <v>1.8834426111887879E-3</v>
      </c>
      <c r="AY104" s="254">
        <f t="shared" si="90"/>
        <v>1.8834426111887879E-3</v>
      </c>
      <c r="AZ104" s="254">
        <f t="shared" si="110"/>
        <v>0.18834426111887878</v>
      </c>
      <c r="BA104" s="254">
        <f t="shared" si="128"/>
        <v>1.413333333333327E-3</v>
      </c>
      <c r="BB104" s="270">
        <f t="shared" si="93"/>
        <v>1.7828815627143233E-3</v>
      </c>
      <c r="BC104" s="253">
        <f t="shared" si="129"/>
        <v>5.8666666666666589E-4</v>
      </c>
      <c r="BD104" s="255">
        <f t="shared" si="111"/>
        <v>5.8666666666666589E-2</v>
      </c>
      <c r="BI104" s="248"/>
      <c r="BX104" s="258" t="e">
        <f>((((IF($Q$5=0,$Q$6,$Q$5)))/(12*$Q$19))+(((3*$Q$15)/(2*IF($Q$5=0,$Q$6,$Q$5)*$U$5*$Q$19))*'IN-OUT'!$F$15))*'Burland damage classification'!CB104</f>
        <v>#DIV/0!</v>
      </c>
      <c r="BY104" s="262">
        <f>(1+(((IF($Q$5=0,$Q$6^2,$Q$5^2))*$U$5)/(18*$Q$15))*('IN-OUT'!$F$15^(-1)))*CC104</f>
        <v>7.6768048909252198E-4</v>
      </c>
      <c r="BZ104" s="254" t="e">
        <f t="shared" si="96"/>
        <v>#DIV/0!</v>
      </c>
      <c r="CA104" s="254" t="e">
        <f t="shared" si="114"/>
        <v>#DIV/0!</v>
      </c>
      <c r="CB104" s="254">
        <f t="shared" si="132"/>
        <v>4.1333333333333467E-4</v>
      </c>
      <c r="CC104" s="253">
        <f t="shared" si="97"/>
        <v>7.6768048909252198E-4</v>
      </c>
      <c r="CD104" s="253">
        <f t="shared" si="133"/>
        <v>5.8666666666666589E-4</v>
      </c>
      <c r="CE104" s="255">
        <f t="shared" si="115"/>
        <v>5.8666666666666589E-2</v>
      </c>
      <c r="CG104" s="258" t="e">
        <f>((((IF($Q$5=0,$Q$6,$Q$5)))/(12*$Q$19))+(((3*$Q$15)/(2*IF($Q$5=0,$Q$6,$Q$5)*$U$5*$Q$19))*'IN-OUT'!$F$15))*'Burland damage classification'!CK104</f>
        <v>#DIV/0!</v>
      </c>
      <c r="CH104" s="262">
        <f>(1+(((IF($Q$5=0,$Q$6^2,$Q$5^2))*$U$5)/(18*$Q$15))*('IN-OUT'!$F$15^(-1)))*CL104</f>
        <v>1.7828815627143233E-3</v>
      </c>
      <c r="CI104" s="254" t="e">
        <f t="shared" si="98"/>
        <v>#DIV/0!</v>
      </c>
      <c r="CJ104" s="254" t="e">
        <f t="shared" si="116"/>
        <v>#DIV/0!</v>
      </c>
      <c r="CK104" s="254">
        <f t="shared" si="134"/>
        <v>1.413333333333327E-3</v>
      </c>
      <c r="CL104" s="270">
        <f t="shared" si="99"/>
        <v>1.7828815627143233E-3</v>
      </c>
      <c r="CM104" s="253">
        <f t="shared" si="135"/>
        <v>5.8666666666666589E-4</v>
      </c>
      <c r="CN104" s="255">
        <f t="shared" si="117"/>
        <v>5.8666666666666589E-2</v>
      </c>
      <c r="CS104" s="248"/>
      <c r="DH104" s="258" t="e">
        <f>((((IF($R$5=0,$R$6,$R$5)))/(12*$R$19))+(((3*$R$15)/(2*IF($R$5=0,$R$6,$R$5)*$U$5*$R$19))*'IN-OUT'!$F$15))*'Burland damage classification'!DL104</f>
        <v>#DIV/0!</v>
      </c>
      <c r="DI104" s="262">
        <f>(1+(((IF($R$5=0,$R$6^2,$R$5^2))*$U$5)/(18*$R$15))*('IN-OUT'!$F$15^(-1)))*DM104</f>
        <v>7.6768048909252198E-4</v>
      </c>
      <c r="DJ104" s="254" t="e">
        <f t="shared" si="102"/>
        <v>#DIV/0!</v>
      </c>
      <c r="DK104" s="254" t="e">
        <f t="shared" si="120"/>
        <v>#DIV/0!</v>
      </c>
      <c r="DL104" s="254">
        <f t="shared" si="138"/>
        <v>4.1333333333333467E-4</v>
      </c>
      <c r="DM104" s="253">
        <f t="shared" si="103"/>
        <v>7.6768048909252198E-4</v>
      </c>
      <c r="DN104" s="253">
        <f t="shared" si="139"/>
        <v>5.8666666666666589E-4</v>
      </c>
      <c r="DO104" s="255">
        <f t="shared" si="121"/>
        <v>5.8666666666666589E-2</v>
      </c>
      <c r="DQ104" s="258" t="e">
        <f>((((IF($R$5=0,$R$6,$R$5)))/(12*$R$19))+(((3*$R$15)/(2*IF($R$5=0,$R$6,$R$5)*$U$5*$R$19))*'IN-OUT'!$F$15))*'Burland damage classification'!DU104</f>
        <v>#DIV/0!</v>
      </c>
      <c r="DR104" s="262">
        <f>(1+(((IF($R$5=0,$R$6^2,$R$5^2))*$U$5)/(18*$R$15))*('IN-OUT'!$F$15^(-1)))*DV104</f>
        <v>1.7828815627143233E-3</v>
      </c>
      <c r="DS104" s="254" t="e">
        <f t="shared" si="104"/>
        <v>#DIV/0!</v>
      </c>
      <c r="DT104" s="254" t="e">
        <f t="shared" si="122"/>
        <v>#DIV/0!</v>
      </c>
      <c r="DU104" s="254">
        <f t="shared" si="140"/>
        <v>1.413333333333327E-3</v>
      </c>
      <c r="DV104" s="270">
        <f t="shared" si="105"/>
        <v>1.7828815627143233E-3</v>
      </c>
      <c r="DW104" s="253">
        <f t="shared" si="141"/>
        <v>5.8666666666666589E-4</v>
      </c>
      <c r="DX104" s="255">
        <f t="shared" si="123"/>
        <v>5.8666666666666589E-2</v>
      </c>
    </row>
    <row r="105" spans="3:128">
      <c r="C105" s="302" t="str">
        <f>$I$5</f>
        <v/>
      </c>
      <c r="D105" s="288" t="str">
        <f>L6</f>
        <v/>
      </c>
      <c r="E105" s="389" t="str">
        <f t="shared" si="142"/>
        <v/>
      </c>
      <c r="F105" s="397" t="str">
        <f t="shared" si="142"/>
        <v/>
      </c>
      <c r="U105" s="262"/>
      <c r="AN105" s="258">
        <f>(((IF($P$5&lt;&gt;0,$P$5,IF($P$6&lt;&gt;0,$P$6,IF($P$7&lt;&gt;0,$P$7,0))))/(12*$P$19))+(((3*$P$15)/(2*(IF($P$5&lt;&gt;0,$P$5,IF($P$6&lt;&gt;0,$P$6,IF($P$7&lt;&gt;0,$P$7,0))))*$U$5*$P$19))*'IN-OUT'!$F$15))*'Burland damage classification'!AR105</f>
        <v>1.3054619258202648E-3</v>
      </c>
      <c r="AO105" s="254">
        <f>(1+(((IF($P$5&lt;&gt;0,$P$5^2,IF($P$6&lt;&gt;0,$P$6^2,IF($P$7&lt;&gt;0,$P$7^2))))*$U$5)/(18*$P$15))*('IN-OUT'!$F$15^(-1)))*AS105</f>
        <v>8.0776320240848404E-4</v>
      </c>
      <c r="AP105" s="254">
        <f t="shared" si="89"/>
        <v>8.0776320240848404E-4</v>
      </c>
      <c r="AQ105" s="254">
        <f t="shared" si="108"/>
        <v>8.0776320240848409E-2</v>
      </c>
      <c r="AR105" s="254">
        <f t="shared" si="126"/>
        <v>4.0666666666666802E-4</v>
      </c>
      <c r="AS105" s="253">
        <f t="shared" si="92"/>
        <v>7.6463498917239399E-4</v>
      </c>
      <c r="AT105" s="253">
        <f t="shared" si="127"/>
        <v>5.9333333333333254E-4</v>
      </c>
      <c r="AU105" s="255">
        <f t="shared" si="109"/>
        <v>5.9333333333333252E-2</v>
      </c>
      <c r="AW105" s="258">
        <f>(((IF($P$5&lt;&gt;0,$P$5,IF($P$6&lt;&gt;0,$P$6,IF($P$7&lt;&gt;0,$P$7,0))))/(12*$P$19))+(((3*$P$15)/(2*(IF($P$5&lt;&gt;0,$P$5,IF($P$6&lt;&gt;0,$P$6,IF($P$7&lt;&gt;0,$P$7,0))))*$U$5*$P$19))*'IN-OUT'!$F$15))*'Burland damage classification'!BA105</f>
        <v>4.5156142024274379E-3</v>
      </c>
      <c r="AX105" s="254">
        <f>(1+(((IF($P$5&lt;&gt;0,$P$5^2,IF($P$6&lt;&gt;0,$P$6^2,IF($P$7&lt;&gt;0,$P$7^2))))*$U$5)/(18*$P$15))*('IN-OUT'!$F$15^(-1)))*BB105</f>
        <v>1.8806754571541187E-3</v>
      </c>
      <c r="AY105" s="254">
        <f t="shared" si="90"/>
        <v>1.8806754571541187E-3</v>
      </c>
      <c r="AZ105" s="254">
        <f t="shared" si="110"/>
        <v>0.18806754571541187</v>
      </c>
      <c r="BA105" s="254">
        <f t="shared" si="128"/>
        <v>1.4066666666666602E-3</v>
      </c>
      <c r="BB105" s="270">
        <f t="shared" si="93"/>
        <v>1.7802621529800981E-3</v>
      </c>
      <c r="BC105" s="253">
        <f t="shared" si="129"/>
        <v>5.9333333333333254E-4</v>
      </c>
      <c r="BD105" s="255">
        <f t="shared" si="111"/>
        <v>5.9333333333333252E-2</v>
      </c>
      <c r="BI105" s="248"/>
      <c r="BX105" s="258" t="e">
        <f>((((IF($Q$5=0,$Q$6,$Q$5)))/(12*$Q$19))+(((3*$Q$15)/(2*IF($Q$5=0,$Q$6,$Q$5)*$U$5*$Q$19))*'IN-OUT'!$F$15))*'Burland damage classification'!CB105</f>
        <v>#DIV/0!</v>
      </c>
      <c r="BY105" s="262">
        <f>(1+(((IF($Q$5=0,$Q$6^2,$Q$5^2))*$U$5)/(18*$Q$15))*('IN-OUT'!$F$15^(-1)))*CC105</f>
        <v>7.6463498917239399E-4</v>
      </c>
      <c r="BZ105" s="254" t="e">
        <f t="shared" si="96"/>
        <v>#DIV/0!</v>
      </c>
      <c r="CA105" s="254" t="e">
        <f t="shared" si="114"/>
        <v>#DIV/0!</v>
      </c>
      <c r="CB105" s="254">
        <f t="shared" si="132"/>
        <v>4.0666666666666802E-4</v>
      </c>
      <c r="CC105" s="253">
        <f t="shared" si="97"/>
        <v>7.6463498917239399E-4</v>
      </c>
      <c r="CD105" s="253">
        <f t="shared" si="133"/>
        <v>5.9333333333333254E-4</v>
      </c>
      <c r="CE105" s="255">
        <f t="shared" si="115"/>
        <v>5.9333333333333252E-2</v>
      </c>
      <c r="CG105" s="258" t="e">
        <f>((((IF($Q$5=0,$Q$6,$Q$5)))/(12*$Q$19))+(((3*$Q$15)/(2*IF($Q$5=0,$Q$6,$Q$5)*$U$5*$Q$19))*'IN-OUT'!$F$15))*'Burland damage classification'!CK105</f>
        <v>#DIV/0!</v>
      </c>
      <c r="CH105" s="262">
        <f>(1+(((IF($Q$5=0,$Q$6^2,$Q$5^2))*$U$5)/(18*$Q$15))*('IN-OUT'!$F$15^(-1)))*CL105</f>
        <v>1.7802621529800981E-3</v>
      </c>
      <c r="CI105" s="254" t="e">
        <f t="shared" si="98"/>
        <v>#DIV/0!</v>
      </c>
      <c r="CJ105" s="254" t="e">
        <f t="shared" si="116"/>
        <v>#DIV/0!</v>
      </c>
      <c r="CK105" s="254">
        <f t="shared" si="134"/>
        <v>1.4066666666666602E-3</v>
      </c>
      <c r="CL105" s="270">
        <f t="shared" si="99"/>
        <v>1.7802621529800981E-3</v>
      </c>
      <c r="CM105" s="253">
        <f t="shared" si="135"/>
        <v>5.9333333333333254E-4</v>
      </c>
      <c r="CN105" s="255">
        <f t="shared" si="117"/>
        <v>5.9333333333333252E-2</v>
      </c>
      <c r="CS105" s="248"/>
      <c r="DH105" s="258" t="e">
        <f>((((IF($R$5=0,$R$6,$R$5)))/(12*$R$19))+(((3*$R$15)/(2*IF($R$5=0,$R$6,$R$5)*$U$5*$R$19))*'IN-OUT'!$F$15))*'Burland damage classification'!DL105</f>
        <v>#DIV/0!</v>
      </c>
      <c r="DI105" s="262">
        <f>(1+(((IF($R$5=0,$R$6^2,$R$5^2))*$U$5)/(18*$R$15))*('IN-OUT'!$F$15^(-1)))*DM105</f>
        <v>7.6463498917239399E-4</v>
      </c>
      <c r="DJ105" s="254" t="e">
        <f t="shared" si="102"/>
        <v>#DIV/0!</v>
      </c>
      <c r="DK105" s="254" t="e">
        <f t="shared" si="120"/>
        <v>#DIV/0!</v>
      </c>
      <c r="DL105" s="254">
        <f t="shared" si="138"/>
        <v>4.0666666666666802E-4</v>
      </c>
      <c r="DM105" s="253">
        <f t="shared" si="103"/>
        <v>7.6463498917239399E-4</v>
      </c>
      <c r="DN105" s="253">
        <f t="shared" si="139"/>
        <v>5.9333333333333254E-4</v>
      </c>
      <c r="DO105" s="255">
        <f t="shared" si="121"/>
        <v>5.9333333333333252E-2</v>
      </c>
      <c r="DQ105" s="258" t="e">
        <f>((((IF($R$5=0,$R$6,$R$5)))/(12*$R$19))+(((3*$R$15)/(2*IF($R$5=0,$R$6,$R$5)*$U$5*$R$19))*'IN-OUT'!$F$15))*'Burland damage classification'!DU105</f>
        <v>#DIV/0!</v>
      </c>
      <c r="DR105" s="262">
        <f>(1+(((IF($R$5=0,$R$6^2,$R$5^2))*$U$5)/(18*$R$15))*('IN-OUT'!$F$15^(-1)))*DV105</f>
        <v>1.7802621529800981E-3</v>
      </c>
      <c r="DS105" s="254" t="e">
        <f t="shared" si="104"/>
        <v>#DIV/0!</v>
      </c>
      <c r="DT105" s="254" t="e">
        <f t="shared" si="122"/>
        <v>#DIV/0!</v>
      </c>
      <c r="DU105" s="254">
        <f t="shared" si="140"/>
        <v>1.4066666666666602E-3</v>
      </c>
      <c r="DV105" s="270">
        <f t="shared" si="105"/>
        <v>1.7802621529800981E-3</v>
      </c>
      <c r="DW105" s="253">
        <f t="shared" si="141"/>
        <v>5.9333333333333254E-4</v>
      </c>
      <c r="DX105" s="255">
        <f t="shared" si="123"/>
        <v>5.9333333333333252E-2</v>
      </c>
    </row>
    <row r="106" spans="3:128">
      <c r="C106" s="302" t="str">
        <f>$J$5</f>
        <v/>
      </c>
      <c r="D106" s="288" t="str">
        <f>M6</f>
        <v/>
      </c>
      <c r="E106" s="389" t="str">
        <f t="shared" si="142"/>
        <v/>
      </c>
      <c r="F106" s="397" t="str">
        <f t="shared" si="142"/>
        <v/>
      </c>
      <c r="U106" s="262"/>
      <c r="AN106" s="258">
        <f>(((IF($P$5&lt;&gt;0,$P$5,IF($P$6&lt;&gt;0,$P$6,IF($P$7&lt;&gt;0,$P$7,0))))/(12*$P$19))+(((3*$P$15)/(2*(IF($P$5&lt;&gt;0,$P$5,IF($P$6&lt;&gt;0,$P$6,IF($P$7&lt;&gt;0,$P$7,0))))*$U$5*$P$19))*'IN-OUT'!$F$15))*'Burland damage classification'!AR106</f>
        <v>1.2840609106428836E-3</v>
      </c>
      <c r="AO106" s="254">
        <f>(1+(((IF($P$5&lt;&gt;0,$P$5^2,IF($P$6&lt;&gt;0,$P$6^2,IF($P$7&lt;&gt;0,$P$7^2))))*$U$5)/(18*$P$15))*('IN-OUT'!$F$15^(-1)))*AS106</f>
        <v>8.0453305955399766E-4</v>
      </c>
      <c r="AP106" s="254">
        <f t="shared" si="89"/>
        <v>8.0453305955399766E-4</v>
      </c>
      <c r="AQ106" s="254">
        <f t="shared" si="108"/>
        <v>8.0453305955399762E-2</v>
      </c>
      <c r="AR106" s="254">
        <f t="shared" si="126"/>
        <v>4.0000000000000137E-4</v>
      </c>
      <c r="AS106" s="253">
        <f t="shared" si="92"/>
        <v>7.6157731058639118E-4</v>
      </c>
      <c r="AT106" s="253">
        <f t="shared" si="127"/>
        <v>5.9999999999999919E-4</v>
      </c>
      <c r="AU106" s="255">
        <f t="shared" si="109"/>
        <v>5.9999999999999921E-2</v>
      </c>
      <c r="AW106" s="258">
        <f>(((IF($P$5&lt;&gt;0,$P$5,IF($P$6&lt;&gt;0,$P$6,IF($P$7&lt;&gt;0,$P$7,0))))/(12*$P$19))+(((3*$P$15)/(2*(IF($P$5&lt;&gt;0,$P$5,IF($P$6&lt;&gt;0,$P$6,IF($P$7&lt;&gt;0,$P$7,0))))*$U$5*$P$19))*'IN-OUT'!$F$15))*'Burland damage classification'!BA106</f>
        <v>4.4942131872500561E-3</v>
      </c>
      <c r="AX106" s="254">
        <f>(1+(((IF($P$5&lt;&gt;0,$P$5^2,IF($P$6&lt;&gt;0,$P$6^2,IF($P$7&lt;&gt;0,$P$7^2))))*$U$5)/(18*$P$15))*('IN-OUT'!$F$15^(-1)))*BB106</f>
        <v>1.8779042256308138E-3</v>
      </c>
      <c r="AY106" s="254">
        <f t="shared" si="90"/>
        <v>1.8779042256308138E-3</v>
      </c>
      <c r="AZ106" s="254">
        <f t="shared" si="110"/>
        <v>0.18779042256308137</v>
      </c>
      <c r="BA106" s="254">
        <f t="shared" si="128"/>
        <v>1.3999999999999935E-3</v>
      </c>
      <c r="BB106" s="270">
        <f t="shared" si="93"/>
        <v>1.777638883463118E-3</v>
      </c>
      <c r="BC106" s="253">
        <f t="shared" si="129"/>
        <v>5.9999999999999919E-4</v>
      </c>
      <c r="BD106" s="255">
        <f t="shared" si="111"/>
        <v>5.9999999999999921E-2</v>
      </c>
      <c r="BI106" s="248"/>
      <c r="BX106" s="258" t="e">
        <f>((((IF($Q$5=0,$Q$6,$Q$5)))/(12*$Q$19))+(((3*$Q$15)/(2*IF($Q$5=0,$Q$6,$Q$5)*$U$5*$Q$19))*'IN-OUT'!$F$15))*'Burland damage classification'!CB106</f>
        <v>#DIV/0!</v>
      </c>
      <c r="BY106" s="262">
        <f>(1+(((IF($Q$5=0,$Q$6^2,$Q$5^2))*$U$5)/(18*$Q$15))*('IN-OUT'!$F$15^(-1)))*CC106</f>
        <v>7.6157731058639118E-4</v>
      </c>
      <c r="BZ106" s="254" t="e">
        <f t="shared" si="96"/>
        <v>#DIV/0!</v>
      </c>
      <c r="CA106" s="254" t="e">
        <f t="shared" si="114"/>
        <v>#DIV/0!</v>
      </c>
      <c r="CB106" s="254">
        <f t="shared" si="132"/>
        <v>4.0000000000000137E-4</v>
      </c>
      <c r="CC106" s="253">
        <f t="shared" si="97"/>
        <v>7.6157731058639118E-4</v>
      </c>
      <c r="CD106" s="253">
        <f t="shared" si="133"/>
        <v>5.9999999999999919E-4</v>
      </c>
      <c r="CE106" s="255">
        <f t="shared" si="115"/>
        <v>5.9999999999999921E-2</v>
      </c>
      <c r="CG106" s="258" t="e">
        <f>((((IF($Q$5=0,$Q$6,$Q$5)))/(12*$Q$19))+(((3*$Q$15)/(2*IF($Q$5=0,$Q$6,$Q$5)*$U$5*$Q$19))*'IN-OUT'!$F$15))*'Burland damage classification'!CK106</f>
        <v>#DIV/0!</v>
      </c>
      <c r="CH106" s="262">
        <f>(1+(((IF($Q$5=0,$Q$6^2,$Q$5^2))*$U$5)/(18*$Q$15))*('IN-OUT'!$F$15^(-1)))*CL106</f>
        <v>1.777638883463118E-3</v>
      </c>
      <c r="CI106" s="254" t="e">
        <f t="shared" si="98"/>
        <v>#DIV/0!</v>
      </c>
      <c r="CJ106" s="254" t="e">
        <f t="shared" si="116"/>
        <v>#DIV/0!</v>
      </c>
      <c r="CK106" s="254">
        <f t="shared" si="134"/>
        <v>1.3999999999999935E-3</v>
      </c>
      <c r="CL106" s="270">
        <f t="shared" si="99"/>
        <v>1.777638883463118E-3</v>
      </c>
      <c r="CM106" s="253">
        <f t="shared" si="135"/>
        <v>5.9999999999999919E-4</v>
      </c>
      <c r="CN106" s="255">
        <f t="shared" si="117"/>
        <v>5.9999999999999921E-2</v>
      </c>
      <c r="CS106" s="248"/>
      <c r="DH106" s="258" t="e">
        <f>((((IF($R$5=0,$R$6,$R$5)))/(12*$R$19))+(((3*$R$15)/(2*IF($R$5=0,$R$6,$R$5)*$U$5*$R$19))*'IN-OUT'!$F$15))*'Burland damage classification'!DL106</f>
        <v>#DIV/0!</v>
      </c>
      <c r="DI106" s="262">
        <f>(1+(((IF($R$5=0,$R$6^2,$R$5^2))*$U$5)/(18*$R$15))*('IN-OUT'!$F$15^(-1)))*DM106</f>
        <v>7.6157731058639118E-4</v>
      </c>
      <c r="DJ106" s="254" t="e">
        <f t="shared" si="102"/>
        <v>#DIV/0!</v>
      </c>
      <c r="DK106" s="254" t="e">
        <f t="shared" si="120"/>
        <v>#DIV/0!</v>
      </c>
      <c r="DL106" s="254">
        <f t="shared" si="138"/>
        <v>4.0000000000000137E-4</v>
      </c>
      <c r="DM106" s="253">
        <f t="shared" si="103"/>
        <v>7.6157731058639118E-4</v>
      </c>
      <c r="DN106" s="253">
        <f t="shared" si="139"/>
        <v>5.9999999999999919E-4</v>
      </c>
      <c r="DO106" s="255">
        <f t="shared" si="121"/>
        <v>5.9999999999999921E-2</v>
      </c>
      <c r="DQ106" s="258" t="e">
        <f>((((IF($R$5=0,$R$6,$R$5)))/(12*$R$19))+(((3*$R$15)/(2*IF($R$5=0,$R$6,$R$5)*$U$5*$R$19))*'IN-OUT'!$F$15))*'Burland damage classification'!DU106</f>
        <v>#DIV/0!</v>
      </c>
      <c r="DR106" s="262">
        <f>(1+(((IF($R$5=0,$R$6^2,$R$5^2))*$U$5)/(18*$R$15))*('IN-OUT'!$F$15^(-1)))*DV106</f>
        <v>1.777638883463118E-3</v>
      </c>
      <c r="DS106" s="254" t="e">
        <f t="shared" si="104"/>
        <v>#DIV/0!</v>
      </c>
      <c r="DT106" s="254" t="e">
        <f t="shared" si="122"/>
        <v>#DIV/0!</v>
      </c>
      <c r="DU106" s="254">
        <f t="shared" si="140"/>
        <v>1.3999999999999935E-3</v>
      </c>
      <c r="DV106" s="270">
        <f t="shared" si="105"/>
        <v>1.777638883463118E-3</v>
      </c>
      <c r="DW106" s="253">
        <f t="shared" si="141"/>
        <v>5.9999999999999919E-4</v>
      </c>
      <c r="DX106" s="255">
        <f t="shared" si="123"/>
        <v>5.9999999999999921E-2</v>
      </c>
    </row>
    <row r="107" spans="3:128">
      <c r="C107" s="302" t="str">
        <f>$I$6</f>
        <v/>
      </c>
      <c r="D107" s="288" t="str">
        <f>L8</f>
        <v/>
      </c>
      <c r="E107" s="389" t="str">
        <f t="shared" si="142"/>
        <v/>
      </c>
      <c r="F107" s="397" t="str">
        <f t="shared" si="142"/>
        <v/>
      </c>
      <c r="U107" s="262"/>
      <c r="AN107" s="258">
        <f>(((IF($P$5&lt;&gt;0,$P$5,IF($P$6&lt;&gt;0,$P$6,IF($P$7&lt;&gt;0,$P$7,0))))/(12*$P$19))+(((3*$P$15)/(2*(IF($P$5&lt;&gt;0,$P$5,IF($P$6&lt;&gt;0,$P$6,IF($P$7&lt;&gt;0,$P$7,0))))*$U$5*$P$19))*'IN-OUT'!$F$15))*'Burland damage classification'!AR107</f>
        <v>1.2626598954655023E-3</v>
      </c>
      <c r="AO107" s="254">
        <f>(1+(((IF($P$5&lt;&gt;0,$P$5^2,IF($P$6&lt;&gt;0,$P$6^2,IF($P$7&lt;&gt;0,$P$7^2))))*$U$5)/(18*$P$15))*('IN-OUT'!$F$15^(-1)))*AS107</f>
        <v>8.0128989552185367E-4</v>
      </c>
      <c r="AP107" s="254">
        <f t="shared" si="89"/>
        <v>8.0128989552185367E-4</v>
      </c>
      <c r="AQ107" s="254">
        <f t="shared" si="108"/>
        <v>8.0128989552185365E-2</v>
      </c>
      <c r="AR107" s="254">
        <f t="shared" si="126"/>
        <v>3.9333333333333473E-4</v>
      </c>
      <c r="AS107" s="253">
        <f t="shared" si="92"/>
        <v>7.5850730605138796E-4</v>
      </c>
      <c r="AT107" s="253">
        <f t="shared" si="127"/>
        <v>6.0666666666666584E-4</v>
      </c>
      <c r="AU107" s="255">
        <f t="shared" si="109"/>
        <v>6.0666666666666584E-2</v>
      </c>
      <c r="AW107" s="258">
        <f>(((IF($P$5&lt;&gt;0,$P$5,IF($P$6&lt;&gt;0,$P$6,IF($P$7&lt;&gt;0,$P$7,0))))/(12*$P$19))+(((3*$P$15)/(2*(IF($P$5&lt;&gt;0,$P$5,IF($P$6&lt;&gt;0,$P$6,IF($P$7&lt;&gt;0,$P$7,0))))*$U$5*$P$19))*'IN-OUT'!$F$15))*'Burland damage classification'!BA107</f>
        <v>4.4728121720726743E-3</v>
      </c>
      <c r="AX107" s="254">
        <f>(1+(((IF($P$5&lt;&gt;0,$P$5^2,IF($P$6&lt;&gt;0,$P$6^2,IF($P$7&lt;&gt;0,$P$7^2))))*$U$5)/(18*$P$15))*('IN-OUT'!$F$15^(-1)))*BB107</f>
        <v>1.8751288985406523E-3</v>
      </c>
      <c r="AY107" s="254">
        <f t="shared" si="90"/>
        <v>1.8751288985406523E-3</v>
      </c>
      <c r="AZ107" s="254">
        <f t="shared" si="110"/>
        <v>0.18751288985406522</v>
      </c>
      <c r="BA107" s="254">
        <f t="shared" si="128"/>
        <v>1.3933333333333267E-3</v>
      </c>
      <c r="BB107" s="270">
        <f t="shared" si="93"/>
        <v>1.775011737050397E-3</v>
      </c>
      <c r="BC107" s="253">
        <f t="shared" si="129"/>
        <v>6.0666666666666584E-4</v>
      </c>
      <c r="BD107" s="255">
        <f t="shared" si="111"/>
        <v>6.0666666666666584E-2</v>
      </c>
      <c r="BI107" s="248"/>
      <c r="BX107" s="258" t="e">
        <f>((((IF($Q$5=0,$Q$6,$Q$5)))/(12*$Q$19))+(((3*$Q$15)/(2*IF($Q$5=0,$Q$6,$Q$5)*$U$5*$Q$19))*'IN-OUT'!$F$15))*'Burland damage classification'!CB107</f>
        <v>#DIV/0!</v>
      </c>
      <c r="BY107" s="262">
        <f>(1+(((IF($Q$5=0,$Q$6^2,$Q$5^2))*$U$5)/(18*$Q$15))*('IN-OUT'!$F$15^(-1)))*CC107</f>
        <v>7.5850730605138796E-4</v>
      </c>
      <c r="BZ107" s="254" t="e">
        <f t="shared" si="96"/>
        <v>#DIV/0!</v>
      </c>
      <c r="CA107" s="254" t="e">
        <f t="shared" si="114"/>
        <v>#DIV/0!</v>
      </c>
      <c r="CB107" s="254">
        <f t="shared" si="132"/>
        <v>3.9333333333333473E-4</v>
      </c>
      <c r="CC107" s="253">
        <f t="shared" si="97"/>
        <v>7.5850730605138796E-4</v>
      </c>
      <c r="CD107" s="253">
        <f t="shared" si="133"/>
        <v>6.0666666666666584E-4</v>
      </c>
      <c r="CE107" s="255">
        <f t="shared" si="115"/>
        <v>6.0666666666666584E-2</v>
      </c>
      <c r="CG107" s="258" t="e">
        <f>((((IF($Q$5=0,$Q$6,$Q$5)))/(12*$Q$19))+(((3*$Q$15)/(2*IF($Q$5=0,$Q$6,$Q$5)*$U$5*$Q$19))*'IN-OUT'!$F$15))*'Burland damage classification'!CK107</f>
        <v>#DIV/0!</v>
      </c>
      <c r="CH107" s="262">
        <f>(1+(((IF($Q$5=0,$Q$6^2,$Q$5^2))*$U$5)/(18*$Q$15))*('IN-OUT'!$F$15^(-1)))*CL107</f>
        <v>1.775011737050397E-3</v>
      </c>
      <c r="CI107" s="254" t="e">
        <f t="shared" si="98"/>
        <v>#DIV/0!</v>
      </c>
      <c r="CJ107" s="254" t="e">
        <f t="shared" si="116"/>
        <v>#DIV/0!</v>
      </c>
      <c r="CK107" s="254">
        <f t="shared" si="134"/>
        <v>1.3933333333333267E-3</v>
      </c>
      <c r="CL107" s="270">
        <f t="shared" si="99"/>
        <v>1.775011737050397E-3</v>
      </c>
      <c r="CM107" s="253">
        <f t="shared" si="135"/>
        <v>6.0666666666666584E-4</v>
      </c>
      <c r="CN107" s="255">
        <f t="shared" si="117"/>
        <v>6.0666666666666584E-2</v>
      </c>
      <c r="CS107" s="248"/>
      <c r="DH107" s="258" t="e">
        <f>((((IF($R$5=0,$R$6,$R$5)))/(12*$R$19))+(((3*$R$15)/(2*IF($R$5=0,$R$6,$R$5)*$U$5*$R$19))*'IN-OUT'!$F$15))*'Burland damage classification'!DL107</f>
        <v>#DIV/0!</v>
      </c>
      <c r="DI107" s="262">
        <f>(1+(((IF($R$5=0,$R$6^2,$R$5^2))*$U$5)/(18*$R$15))*('IN-OUT'!$F$15^(-1)))*DM107</f>
        <v>7.5850730605138796E-4</v>
      </c>
      <c r="DJ107" s="254" t="e">
        <f t="shared" si="102"/>
        <v>#DIV/0!</v>
      </c>
      <c r="DK107" s="254" t="e">
        <f t="shared" si="120"/>
        <v>#DIV/0!</v>
      </c>
      <c r="DL107" s="254">
        <f t="shared" si="138"/>
        <v>3.9333333333333473E-4</v>
      </c>
      <c r="DM107" s="253">
        <f t="shared" si="103"/>
        <v>7.5850730605138796E-4</v>
      </c>
      <c r="DN107" s="253">
        <f t="shared" si="139"/>
        <v>6.0666666666666584E-4</v>
      </c>
      <c r="DO107" s="255">
        <f t="shared" si="121"/>
        <v>6.0666666666666584E-2</v>
      </c>
      <c r="DQ107" s="258" t="e">
        <f>((((IF($R$5=0,$R$6,$R$5)))/(12*$R$19))+(((3*$R$15)/(2*IF($R$5=0,$R$6,$R$5)*$U$5*$R$19))*'IN-OUT'!$F$15))*'Burland damage classification'!DU107</f>
        <v>#DIV/0!</v>
      </c>
      <c r="DR107" s="262">
        <f>(1+(((IF($R$5=0,$R$6^2,$R$5^2))*$U$5)/(18*$R$15))*('IN-OUT'!$F$15^(-1)))*DV107</f>
        <v>1.775011737050397E-3</v>
      </c>
      <c r="DS107" s="254" t="e">
        <f t="shared" si="104"/>
        <v>#DIV/0!</v>
      </c>
      <c r="DT107" s="254" t="e">
        <f t="shared" si="122"/>
        <v>#DIV/0!</v>
      </c>
      <c r="DU107" s="254">
        <f t="shared" si="140"/>
        <v>1.3933333333333267E-3</v>
      </c>
      <c r="DV107" s="270">
        <f t="shared" si="105"/>
        <v>1.775011737050397E-3</v>
      </c>
      <c r="DW107" s="253">
        <f t="shared" si="141"/>
        <v>6.0666666666666584E-4</v>
      </c>
      <c r="DX107" s="255">
        <f t="shared" si="123"/>
        <v>6.0666666666666584E-2</v>
      </c>
    </row>
    <row r="108" spans="3:128">
      <c r="C108" s="302" t="str">
        <f>$J$6</f>
        <v/>
      </c>
      <c r="D108" s="288" t="str">
        <f>M8</f>
        <v/>
      </c>
      <c r="E108" s="389" t="str">
        <f t="shared" si="142"/>
        <v/>
      </c>
      <c r="F108" s="397" t="str">
        <f t="shared" si="142"/>
        <v/>
      </c>
      <c r="U108" s="262"/>
      <c r="AN108" s="258">
        <f>(((IF($P$5&lt;&gt;0,$P$5,IF($P$6&lt;&gt;0,$P$6,IF($P$7&lt;&gt;0,$P$7,0))))/(12*$P$19))+(((3*$P$15)/(2*(IF($P$5&lt;&gt;0,$P$5,IF($P$6&lt;&gt;0,$P$6,IF($P$7&lt;&gt;0,$P$7,0))))*$U$5*$P$19))*'IN-OUT'!$F$15))*'Burland damage classification'!AR108</f>
        <v>1.2412588802881211E-3</v>
      </c>
      <c r="AO108" s="254">
        <f>(1+(((IF($P$5&lt;&gt;0,$P$5^2,IF($P$6&lt;&gt;0,$P$6^2,IF($P$7&lt;&gt;0,$P$7^2))))*$U$5)/(18*$P$15))*('IN-OUT'!$F$15^(-1)))*AS108</f>
        <v>7.9803355156003915E-4</v>
      </c>
      <c r="AP108" s="254">
        <f t="shared" si="89"/>
        <v>7.9803355156003915E-4</v>
      </c>
      <c r="AQ108" s="254">
        <f t="shared" si="108"/>
        <v>7.9803355156003911E-2</v>
      </c>
      <c r="AR108" s="254">
        <f t="shared" si="126"/>
        <v>3.8666666666666808E-4</v>
      </c>
      <c r="AS108" s="253">
        <f t="shared" si="92"/>
        <v>7.5542482529148271E-4</v>
      </c>
      <c r="AT108" s="253">
        <f t="shared" si="127"/>
        <v>6.1333333333333248E-4</v>
      </c>
      <c r="AU108" s="255">
        <f t="shared" si="109"/>
        <v>6.1333333333333247E-2</v>
      </c>
      <c r="AW108" s="258">
        <f>(((IF($P$5&lt;&gt;0,$P$5,IF($P$6&lt;&gt;0,$P$6,IF($P$7&lt;&gt;0,$P$7,0))))/(12*$P$19))+(((3*$P$15)/(2*(IF($P$5&lt;&gt;0,$P$5,IF($P$6&lt;&gt;0,$P$6,IF($P$7&lt;&gt;0,$P$7,0))))*$U$5*$P$19))*'IN-OUT'!$F$15))*'Burland damage classification'!BA108</f>
        <v>4.4514111568952934E-3</v>
      </c>
      <c r="AX108" s="254">
        <f>(1+(((IF($P$5&lt;&gt;0,$P$5^2,IF($P$6&lt;&gt;0,$P$6^2,IF($P$7&lt;&gt;0,$P$7^2))))*$U$5)/(18*$P$15))*('IN-OUT'!$F$15^(-1)))*BB108</f>
        <v>1.8723494576714287E-3</v>
      </c>
      <c r="AY108" s="254">
        <f t="shared" si="90"/>
        <v>1.8723494576714287E-3</v>
      </c>
      <c r="AZ108" s="254">
        <f t="shared" si="110"/>
        <v>0.18723494576714286</v>
      </c>
      <c r="BA108" s="254">
        <f t="shared" si="128"/>
        <v>1.38666666666666E-3</v>
      </c>
      <c r="BB108" s="270">
        <f t="shared" si="93"/>
        <v>1.7723806965021184E-3</v>
      </c>
      <c r="BC108" s="253">
        <f t="shared" si="129"/>
        <v>6.1333333333333248E-4</v>
      </c>
      <c r="BD108" s="255">
        <f t="shared" si="111"/>
        <v>6.1333333333333247E-2</v>
      </c>
      <c r="BI108" s="248"/>
      <c r="BX108" s="258" t="e">
        <f>((((IF($Q$5=0,$Q$6,$Q$5)))/(12*$Q$19))+(((3*$Q$15)/(2*IF($Q$5=0,$Q$6,$Q$5)*$U$5*$Q$19))*'IN-OUT'!$F$15))*'Burland damage classification'!CB108</f>
        <v>#DIV/0!</v>
      </c>
      <c r="BY108" s="262">
        <f>(1+(((IF($Q$5=0,$Q$6^2,$Q$5^2))*$U$5)/(18*$Q$15))*('IN-OUT'!$F$15^(-1)))*CC108</f>
        <v>7.5542482529148271E-4</v>
      </c>
      <c r="BZ108" s="254" t="e">
        <f t="shared" si="96"/>
        <v>#DIV/0!</v>
      </c>
      <c r="CA108" s="254" t="e">
        <f t="shared" si="114"/>
        <v>#DIV/0!</v>
      </c>
      <c r="CB108" s="254">
        <f t="shared" si="132"/>
        <v>3.8666666666666808E-4</v>
      </c>
      <c r="CC108" s="253">
        <f t="shared" si="97"/>
        <v>7.5542482529148271E-4</v>
      </c>
      <c r="CD108" s="253">
        <f t="shared" si="133"/>
        <v>6.1333333333333248E-4</v>
      </c>
      <c r="CE108" s="255">
        <f t="shared" si="115"/>
        <v>6.1333333333333247E-2</v>
      </c>
      <c r="CG108" s="258" t="e">
        <f>((((IF($Q$5=0,$Q$6,$Q$5)))/(12*$Q$19))+(((3*$Q$15)/(2*IF($Q$5=0,$Q$6,$Q$5)*$U$5*$Q$19))*'IN-OUT'!$F$15))*'Burland damage classification'!CK108</f>
        <v>#DIV/0!</v>
      </c>
      <c r="CH108" s="262">
        <f>(1+(((IF($Q$5=0,$Q$6^2,$Q$5^2))*$U$5)/(18*$Q$15))*('IN-OUT'!$F$15^(-1)))*CL108</f>
        <v>1.7723806965021184E-3</v>
      </c>
      <c r="CI108" s="254" t="e">
        <f t="shared" si="98"/>
        <v>#DIV/0!</v>
      </c>
      <c r="CJ108" s="254" t="e">
        <f t="shared" si="116"/>
        <v>#DIV/0!</v>
      </c>
      <c r="CK108" s="254">
        <f t="shared" si="134"/>
        <v>1.38666666666666E-3</v>
      </c>
      <c r="CL108" s="270">
        <f t="shared" si="99"/>
        <v>1.7723806965021184E-3</v>
      </c>
      <c r="CM108" s="253">
        <f t="shared" si="135"/>
        <v>6.1333333333333248E-4</v>
      </c>
      <c r="CN108" s="255">
        <f t="shared" si="117"/>
        <v>6.1333333333333247E-2</v>
      </c>
      <c r="CS108" s="248"/>
      <c r="DH108" s="258" t="e">
        <f>((((IF($R$5=0,$R$6,$R$5)))/(12*$R$19))+(((3*$R$15)/(2*IF($R$5=0,$R$6,$R$5)*$U$5*$R$19))*'IN-OUT'!$F$15))*'Burland damage classification'!DL108</f>
        <v>#DIV/0!</v>
      </c>
      <c r="DI108" s="262">
        <f>(1+(((IF($R$5=0,$R$6^2,$R$5^2))*$U$5)/(18*$R$15))*('IN-OUT'!$F$15^(-1)))*DM108</f>
        <v>7.5542482529148271E-4</v>
      </c>
      <c r="DJ108" s="254" t="e">
        <f t="shared" si="102"/>
        <v>#DIV/0!</v>
      </c>
      <c r="DK108" s="254" t="e">
        <f t="shared" si="120"/>
        <v>#DIV/0!</v>
      </c>
      <c r="DL108" s="254">
        <f t="shared" si="138"/>
        <v>3.8666666666666808E-4</v>
      </c>
      <c r="DM108" s="253">
        <f t="shared" si="103"/>
        <v>7.5542482529148271E-4</v>
      </c>
      <c r="DN108" s="253">
        <f t="shared" si="139"/>
        <v>6.1333333333333248E-4</v>
      </c>
      <c r="DO108" s="255">
        <f t="shared" si="121"/>
        <v>6.1333333333333247E-2</v>
      </c>
      <c r="DQ108" s="258" t="e">
        <f>((((IF($R$5=0,$R$6,$R$5)))/(12*$R$19))+(((3*$R$15)/(2*IF($R$5=0,$R$6,$R$5)*$U$5*$R$19))*'IN-OUT'!$F$15))*'Burland damage classification'!DU108</f>
        <v>#DIV/0!</v>
      </c>
      <c r="DR108" s="262">
        <f>(1+(((IF($R$5=0,$R$6^2,$R$5^2))*$U$5)/(18*$R$15))*('IN-OUT'!$F$15^(-1)))*DV108</f>
        <v>1.7723806965021184E-3</v>
      </c>
      <c r="DS108" s="254" t="e">
        <f t="shared" si="104"/>
        <v>#DIV/0!</v>
      </c>
      <c r="DT108" s="254" t="e">
        <f t="shared" si="122"/>
        <v>#DIV/0!</v>
      </c>
      <c r="DU108" s="254">
        <f t="shared" si="140"/>
        <v>1.38666666666666E-3</v>
      </c>
      <c r="DV108" s="270">
        <f t="shared" si="105"/>
        <v>1.7723806965021184E-3</v>
      </c>
      <c r="DW108" s="253">
        <f t="shared" si="141"/>
        <v>6.1333333333333248E-4</v>
      </c>
      <c r="DX108" s="255">
        <f t="shared" si="123"/>
        <v>6.1333333333333247E-2</v>
      </c>
    </row>
    <row r="109" spans="3:128">
      <c r="C109" s="302" t="str">
        <f>$I$7</f>
        <v/>
      </c>
      <c r="D109" s="288" t="str">
        <f>L9</f>
        <v/>
      </c>
      <c r="E109" s="389" t="str">
        <f t="shared" si="142"/>
        <v/>
      </c>
      <c r="F109" s="397" t="str">
        <f t="shared" si="142"/>
        <v/>
      </c>
      <c r="U109" s="262"/>
      <c r="AN109" s="258">
        <f>(((IF($P$5&lt;&gt;0,$P$5,IF($P$6&lt;&gt;0,$P$6,IF($P$7&lt;&gt;0,$P$7,0))))/(12*$P$19))+(((3*$P$15)/(2*(IF($P$5&lt;&gt;0,$P$5,IF($P$6&lt;&gt;0,$P$6,IF($P$7&lt;&gt;0,$P$7,0))))*$U$5*$P$19))*'IN-OUT'!$F$15))*'Burland damage classification'!AR109</f>
        <v>1.2198578651107397E-3</v>
      </c>
      <c r="AO109" s="254">
        <f>(1+(((IF($P$5&lt;&gt;0,$P$5^2,IF($P$6&lt;&gt;0,$P$6^2,IF($P$7&lt;&gt;0,$P$7^2))))*$U$5)/(18*$P$15))*('IN-OUT'!$F$15^(-1)))*AS109</f>
        <v>7.9476386566428427E-4</v>
      </c>
      <c r="AP109" s="254">
        <f t="shared" si="89"/>
        <v>7.9476386566428427E-4</v>
      </c>
      <c r="AQ109" s="254">
        <f t="shared" si="108"/>
        <v>7.9476386566428428E-2</v>
      </c>
      <c r="AR109" s="254">
        <f t="shared" si="126"/>
        <v>3.8000000000000143E-4</v>
      </c>
      <c r="AS109" s="253">
        <f t="shared" si="92"/>
        <v>7.5232971495216153E-4</v>
      </c>
      <c r="AT109" s="253">
        <f t="shared" si="127"/>
        <v>6.1999999999999913E-4</v>
      </c>
      <c r="AU109" s="255">
        <f t="shared" si="109"/>
        <v>6.1999999999999916E-2</v>
      </c>
      <c r="AW109" s="258">
        <f>(((IF($P$5&lt;&gt;0,$P$5,IF($P$6&lt;&gt;0,$P$6,IF($P$7&lt;&gt;0,$P$7,0))))/(12*$P$19))+(((3*$P$15)/(2*(IF($P$5&lt;&gt;0,$P$5,IF($P$6&lt;&gt;0,$P$6,IF($P$7&lt;&gt;0,$P$7,0))))*$U$5*$P$19))*'IN-OUT'!$F$15))*'Burland damage classification'!BA109</f>
        <v>4.4300101417179116E-3</v>
      </c>
      <c r="AX109" s="254">
        <f>(1+(((IF($P$5&lt;&gt;0,$P$5^2,IF($P$6&lt;&gt;0,$P$6^2,IF($P$7&lt;&gt;0,$P$7^2))))*$U$5)/(18*$P$15))*('IN-OUT'!$F$15^(-1)))*BB109</f>
        <v>1.8695658846755593E-3</v>
      </c>
      <c r="AY109" s="254">
        <f t="shared" si="90"/>
        <v>1.8695658846755593E-3</v>
      </c>
      <c r="AZ109" s="254">
        <f t="shared" si="110"/>
        <v>0.18695658846755592</v>
      </c>
      <c r="BA109" s="254">
        <f t="shared" si="128"/>
        <v>1.3799999999999932E-3</v>
      </c>
      <c r="BB109" s="270">
        <f t="shared" si="93"/>
        <v>1.7697457444503155E-3</v>
      </c>
      <c r="BC109" s="253">
        <f t="shared" si="129"/>
        <v>6.1999999999999913E-4</v>
      </c>
      <c r="BD109" s="255">
        <f t="shared" si="111"/>
        <v>6.1999999999999916E-2</v>
      </c>
      <c r="BI109" s="248"/>
      <c r="BX109" s="258" t="e">
        <f>((((IF($Q$5=0,$Q$6,$Q$5)))/(12*$Q$19))+(((3*$Q$15)/(2*IF($Q$5=0,$Q$6,$Q$5)*$U$5*$Q$19))*'IN-OUT'!$F$15))*'Burland damage classification'!CB109</f>
        <v>#DIV/0!</v>
      </c>
      <c r="BY109" s="262">
        <f>(1+(((IF($Q$5=0,$Q$6^2,$Q$5^2))*$U$5)/(18*$Q$15))*('IN-OUT'!$F$15^(-1)))*CC109</f>
        <v>7.5232971495216153E-4</v>
      </c>
      <c r="BZ109" s="254" t="e">
        <f t="shared" si="96"/>
        <v>#DIV/0!</v>
      </c>
      <c r="CA109" s="254" t="e">
        <f t="shared" si="114"/>
        <v>#DIV/0!</v>
      </c>
      <c r="CB109" s="254">
        <f t="shared" si="132"/>
        <v>3.8000000000000143E-4</v>
      </c>
      <c r="CC109" s="253">
        <f t="shared" si="97"/>
        <v>7.5232971495216153E-4</v>
      </c>
      <c r="CD109" s="253">
        <f t="shared" si="133"/>
        <v>6.1999999999999913E-4</v>
      </c>
      <c r="CE109" s="255">
        <f t="shared" si="115"/>
        <v>6.1999999999999916E-2</v>
      </c>
      <c r="CG109" s="258" t="e">
        <f>((((IF($Q$5=0,$Q$6,$Q$5)))/(12*$Q$19))+(((3*$Q$15)/(2*IF($Q$5=0,$Q$6,$Q$5)*$U$5*$Q$19))*'IN-OUT'!$F$15))*'Burland damage classification'!CK109</f>
        <v>#DIV/0!</v>
      </c>
      <c r="CH109" s="262">
        <f>(1+(((IF($Q$5=0,$Q$6^2,$Q$5^2))*$U$5)/(18*$Q$15))*('IN-OUT'!$F$15^(-1)))*CL109</f>
        <v>1.7697457444503155E-3</v>
      </c>
      <c r="CI109" s="254" t="e">
        <f t="shared" si="98"/>
        <v>#DIV/0!</v>
      </c>
      <c r="CJ109" s="254" t="e">
        <f t="shared" si="116"/>
        <v>#DIV/0!</v>
      </c>
      <c r="CK109" s="254">
        <f t="shared" si="134"/>
        <v>1.3799999999999932E-3</v>
      </c>
      <c r="CL109" s="270">
        <f t="shared" si="99"/>
        <v>1.7697457444503155E-3</v>
      </c>
      <c r="CM109" s="253">
        <f t="shared" si="135"/>
        <v>6.1999999999999913E-4</v>
      </c>
      <c r="CN109" s="255">
        <f t="shared" si="117"/>
        <v>6.1999999999999916E-2</v>
      </c>
      <c r="CS109" s="248"/>
      <c r="DH109" s="258" t="e">
        <f>((((IF($R$5=0,$R$6,$R$5)))/(12*$R$19))+(((3*$R$15)/(2*IF($R$5=0,$R$6,$R$5)*$U$5*$R$19))*'IN-OUT'!$F$15))*'Burland damage classification'!DL109</f>
        <v>#DIV/0!</v>
      </c>
      <c r="DI109" s="262">
        <f>(1+(((IF($R$5=0,$R$6^2,$R$5^2))*$U$5)/(18*$R$15))*('IN-OUT'!$F$15^(-1)))*DM109</f>
        <v>7.5232971495216153E-4</v>
      </c>
      <c r="DJ109" s="254" t="e">
        <f t="shared" si="102"/>
        <v>#DIV/0!</v>
      </c>
      <c r="DK109" s="254" t="e">
        <f t="shared" si="120"/>
        <v>#DIV/0!</v>
      </c>
      <c r="DL109" s="254">
        <f t="shared" si="138"/>
        <v>3.8000000000000143E-4</v>
      </c>
      <c r="DM109" s="253">
        <f t="shared" si="103"/>
        <v>7.5232971495216153E-4</v>
      </c>
      <c r="DN109" s="253">
        <f t="shared" si="139"/>
        <v>6.1999999999999913E-4</v>
      </c>
      <c r="DO109" s="255">
        <f t="shared" si="121"/>
        <v>6.1999999999999916E-2</v>
      </c>
      <c r="DQ109" s="258" t="e">
        <f>((((IF($R$5=0,$R$6,$R$5)))/(12*$R$19))+(((3*$R$15)/(2*IF($R$5=0,$R$6,$R$5)*$U$5*$R$19))*'IN-OUT'!$F$15))*'Burland damage classification'!DU109</f>
        <v>#DIV/0!</v>
      </c>
      <c r="DR109" s="262">
        <f>(1+(((IF($R$5=0,$R$6^2,$R$5^2))*$U$5)/(18*$R$15))*('IN-OUT'!$F$15^(-1)))*DV109</f>
        <v>1.7697457444503155E-3</v>
      </c>
      <c r="DS109" s="254" t="e">
        <f t="shared" si="104"/>
        <v>#DIV/0!</v>
      </c>
      <c r="DT109" s="254" t="e">
        <f t="shared" si="122"/>
        <v>#DIV/0!</v>
      </c>
      <c r="DU109" s="254">
        <f t="shared" si="140"/>
        <v>1.3799999999999932E-3</v>
      </c>
      <c r="DV109" s="270">
        <f t="shared" si="105"/>
        <v>1.7697457444503155E-3</v>
      </c>
      <c r="DW109" s="253">
        <f t="shared" si="141"/>
        <v>6.1999999999999913E-4</v>
      </c>
      <c r="DX109" s="255">
        <f t="shared" si="123"/>
        <v>6.1999999999999916E-2</v>
      </c>
    </row>
    <row r="110" spans="3:128">
      <c r="C110" s="302" t="str">
        <f>$J$7</f>
        <v/>
      </c>
      <c r="D110" s="288" t="str">
        <f>M9</f>
        <v/>
      </c>
      <c r="E110" s="389" t="str">
        <f t="shared" si="142"/>
        <v/>
      </c>
      <c r="F110" s="397" t="str">
        <f t="shared" si="142"/>
        <v/>
      </c>
      <c r="U110" s="262"/>
      <c r="AN110" s="258">
        <f>(((IF($P$5&lt;&gt;0,$P$5,IF($P$6&lt;&gt;0,$P$6,IF($P$7&lt;&gt;0,$P$7,0))))/(12*$P$19))+(((3*$P$15)/(2*(IF($P$5&lt;&gt;0,$P$5,IF($P$6&lt;&gt;0,$P$6,IF($P$7&lt;&gt;0,$P$7,0))))*$U$5*$P$19))*'IN-OUT'!$F$15))*'Burland damage classification'!AR110</f>
        <v>1.1984568499333586E-3</v>
      </c>
      <c r="AO110" s="254">
        <f>(1+(((IF($P$5&lt;&gt;0,$P$5^2,IF($P$6&lt;&gt;0,$P$6^2,IF($P$7&lt;&gt;0,$P$7^2))))*$U$5)/(18*$P$15))*('IN-OUT'!$F$15^(-1)))*AS110</f>
        <v>7.9148067248401141E-4</v>
      </c>
      <c r="AP110" s="254">
        <f t="shared" si="89"/>
        <v>7.9148067248401141E-4</v>
      </c>
      <c r="AQ110" s="254">
        <f t="shared" si="108"/>
        <v>7.9148067248401135E-2</v>
      </c>
      <c r="AR110" s="254">
        <f t="shared" si="126"/>
        <v>3.7333333333333478E-4</v>
      </c>
      <c r="AS110" s="253">
        <f t="shared" si="92"/>
        <v>7.4922181851126961E-4</v>
      </c>
      <c r="AT110" s="253">
        <f t="shared" si="127"/>
        <v>6.2666666666666578E-4</v>
      </c>
      <c r="AU110" s="255">
        <f t="shared" si="109"/>
        <v>6.2666666666666579E-2</v>
      </c>
      <c r="AW110" s="258">
        <f>(((IF($P$5&lt;&gt;0,$P$5,IF($P$6&lt;&gt;0,$P$6,IF($P$7&lt;&gt;0,$P$7,0))))/(12*$P$19))+(((3*$P$15)/(2*(IF($P$5&lt;&gt;0,$P$5,IF($P$6&lt;&gt;0,$P$6,IF($P$7&lt;&gt;0,$P$7,0))))*$U$5*$P$19))*'IN-OUT'!$F$15))*'Burland damage classification'!BA110</f>
        <v>4.4086091265405298E-3</v>
      </c>
      <c r="AX110" s="254">
        <f>(1+(((IF($P$5&lt;&gt;0,$P$5^2,IF($P$6&lt;&gt;0,$P$6^2,IF($P$7&lt;&gt;0,$P$7^2))))*$U$5)/(18*$P$15))*('IN-OUT'!$F$15^(-1)))*BB110</f>
        <v>1.8667781610686685E-3</v>
      </c>
      <c r="AY110" s="254">
        <f t="shared" si="90"/>
        <v>1.8667781610686685E-3</v>
      </c>
      <c r="AZ110" s="254">
        <f t="shared" si="110"/>
        <v>0.18667781610686685</v>
      </c>
      <c r="BA110" s="254">
        <f t="shared" si="128"/>
        <v>1.3733333333333265E-3</v>
      </c>
      <c r="BB110" s="270">
        <f t="shared" si="93"/>
        <v>1.767106863397533E-3</v>
      </c>
      <c r="BC110" s="253">
        <f t="shared" si="129"/>
        <v>6.2666666666666578E-4</v>
      </c>
      <c r="BD110" s="255">
        <f t="shared" si="111"/>
        <v>6.2666666666666579E-2</v>
      </c>
      <c r="BI110" s="248"/>
      <c r="BX110" s="258" t="e">
        <f>((((IF($Q$5=0,$Q$6,$Q$5)))/(12*$Q$19))+(((3*$Q$15)/(2*IF($Q$5=0,$Q$6,$Q$5)*$U$5*$Q$19))*'IN-OUT'!$F$15))*'Burland damage classification'!CB110</f>
        <v>#DIV/0!</v>
      </c>
      <c r="BY110" s="262">
        <f>(1+(((IF($Q$5=0,$Q$6^2,$Q$5^2))*$U$5)/(18*$Q$15))*('IN-OUT'!$F$15^(-1)))*CC110</f>
        <v>7.4922181851126961E-4</v>
      </c>
      <c r="BZ110" s="254" t="e">
        <f t="shared" si="96"/>
        <v>#DIV/0!</v>
      </c>
      <c r="CA110" s="254" t="e">
        <f t="shared" si="114"/>
        <v>#DIV/0!</v>
      </c>
      <c r="CB110" s="254">
        <f t="shared" si="132"/>
        <v>3.7333333333333478E-4</v>
      </c>
      <c r="CC110" s="253">
        <f t="shared" si="97"/>
        <v>7.4922181851126961E-4</v>
      </c>
      <c r="CD110" s="253">
        <f t="shared" si="133"/>
        <v>6.2666666666666578E-4</v>
      </c>
      <c r="CE110" s="255">
        <f t="shared" si="115"/>
        <v>6.2666666666666579E-2</v>
      </c>
      <c r="CG110" s="258" t="e">
        <f>((((IF($Q$5=0,$Q$6,$Q$5)))/(12*$Q$19))+(((3*$Q$15)/(2*IF($Q$5=0,$Q$6,$Q$5)*$U$5*$Q$19))*'IN-OUT'!$F$15))*'Burland damage classification'!CK110</f>
        <v>#DIV/0!</v>
      </c>
      <c r="CH110" s="262">
        <f>(1+(((IF($Q$5=0,$Q$6^2,$Q$5^2))*$U$5)/(18*$Q$15))*('IN-OUT'!$F$15^(-1)))*CL110</f>
        <v>1.767106863397533E-3</v>
      </c>
      <c r="CI110" s="254" t="e">
        <f t="shared" si="98"/>
        <v>#DIV/0!</v>
      </c>
      <c r="CJ110" s="254" t="e">
        <f t="shared" si="116"/>
        <v>#DIV/0!</v>
      </c>
      <c r="CK110" s="254">
        <f t="shared" si="134"/>
        <v>1.3733333333333265E-3</v>
      </c>
      <c r="CL110" s="270">
        <f t="shared" si="99"/>
        <v>1.767106863397533E-3</v>
      </c>
      <c r="CM110" s="253">
        <f t="shared" si="135"/>
        <v>6.2666666666666578E-4</v>
      </c>
      <c r="CN110" s="255">
        <f t="shared" si="117"/>
        <v>6.2666666666666579E-2</v>
      </c>
      <c r="CS110" s="248"/>
      <c r="DH110" s="258" t="e">
        <f>((((IF($R$5=0,$R$6,$R$5)))/(12*$R$19))+(((3*$R$15)/(2*IF($R$5=0,$R$6,$R$5)*$U$5*$R$19))*'IN-OUT'!$F$15))*'Burland damage classification'!DL110</f>
        <v>#DIV/0!</v>
      </c>
      <c r="DI110" s="262">
        <f>(1+(((IF($R$5=0,$R$6^2,$R$5^2))*$U$5)/(18*$R$15))*('IN-OUT'!$F$15^(-1)))*DM110</f>
        <v>7.4922181851126961E-4</v>
      </c>
      <c r="DJ110" s="254" t="e">
        <f t="shared" si="102"/>
        <v>#DIV/0!</v>
      </c>
      <c r="DK110" s="254" t="e">
        <f t="shared" si="120"/>
        <v>#DIV/0!</v>
      </c>
      <c r="DL110" s="254">
        <f t="shared" si="138"/>
        <v>3.7333333333333478E-4</v>
      </c>
      <c r="DM110" s="253">
        <f t="shared" si="103"/>
        <v>7.4922181851126961E-4</v>
      </c>
      <c r="DN110" s="253">
        <f t="shared" si="139"/>
        <v>6.2666666666666578E-4</v>
      </c>
      <c r="DO110" s="255">
        <f t="shared" si="121"/>
        <v>6.2666666666666579E-2</v>
      </c>
      <c r="DQ110" s="258" t="e">
        <f>((((IF($R$5=0,$R$6,$R$5)))/(12*$R$19))+(((3*$R$15)/(2*IF($R$5=0,$R$6,$R$5)*$U$5*$R$19))*'IN-OUT'!$F$15))*'Burland damage classification'!DU110</f>
        <v>#DIV/0!</v>
      </c>
      <c r="DR110" s="262">
        <f>(1+(((IF($R$5=0,$R$6^2,$R$5^2))*$U$5)/(18*$R$15))*('IN-OUT'!$F$15^(-1)))*DV110</f>
        <v>1.767106863397533E-3</v>
      </c>
      <c r="DS110" s="254" t="e">
        <f t="shared" si="104"/>
        <v>#DIV/0!</v>
      </c>
      <c r="DT110" s="254" t="e">
        <f t="shared" si="122"/>
        <v>#DIV/0!</v>
      </c>
      <c r="DU110" s="254">
        <f t="shared" si="140"/>
        <v>1.3733333333333265E-3</v>
      </c>
      <c r="DV110" s="270">
        <f t="shared" si="105"/>
        <v>1.767106863397533E-3</v>
      </c>
      <c r="DW110" s="253">
        <f t="shared" si="141"/>
        <v>6.2666666666666578E-4</v>
      </c>
      <c r="DX110" s="255">
        <f t="shared" si="123"/>
        <v>6.2666666666666579E-2</v>
      </c>
    </row>
    <row r="111" spans="3:128">
      <c r="C111" s="302" t="str">
        <f>$I$8</f>
        <v/>
      </c>
      <c r="D111" s="288" t="str">
        <f>L11</f>
        <v/>
      </c>
      <c r="E111" s="389" t="str">
        <f t="shared" si="142"/>
        <v/>
      </c>
      <c r="F111" s="397" t="str">
        <f t="shared" si="142"/>
        <v/>
      </c>
      <c r="U111" s="262"/>
      <c r="AN111" s="258">
        <f>(((IF($P$5&lt;&gt;0,$P$5,IF($P$6&lt;&gt;0,$P$6,IF($P$7&lt;&gt;0,$P$7,0))))/(12*$P$19))+(((3*$P$15)/(2*(IF($P$5&lt;&gt;0,$P$5,IF($P$6&lt;&gt;0,$P$6,IF($P$7&lt;&gt;0,$P$7,0))))*$U$5*$P$19))*'IN-OUT'!$F$15))*'Burland damage classification'!AR111</f>
        <v>1.1770558347559772E-3</v>
      </c>
      <c r="AO111" s="254">
        <f>(1+(((IF($P$5&lt;&gt;0,$P$5^2,IF($P$6&lt;&gt;0,$P$6^2,IF($P$7&lt;&gt;0,$P$7^2))))*$U$5)/(18*$P$15))*('IN-OUT'!$F$15^(-1)))*AS111</f>
        <v>7.8818380322476158E-4</v>
      </c>
      <c r="AP111" s="254">
        <f t="shared" si="89"/>
        <v>7.8818380322476158E-4</v>
      </c>
      <c r="AQ111" s="254">
        <f t="shared" si="108"/>
        <v>7.8818380322476164E-2</v>
      </c>
      <c r="AR111" s="254">
        <f t="shared" si="126"/>
        <v>3.6666666666666813E-4</v>
      </c>
      <c r="AS111" s="253">
        <f t="shared" si="92"/>
        <v>7.4610097618664679E-4</v>
      </c>
      <c r="AT111" s="253">
        <f t="shared" si="127"/>
        <v>6.3333333333333243E-4</v>
      </c>
      <c r="AU111" s="255">
        <f t="shared" si="109"/>
        <v>6.3333333333333242E-2</v>
      </c>
      <c r="AW111" s="258">
        <f>(((IF($P$5&lt;&gt;0,$P$5,IF($P$6&lt;&gt;0,$P$6,IF($P$7&lt;&gt;0,$P$7,0))))/(12*$P$19))+(((3*$P$15)/(2*(IF($P$5&lt;&gt;0,$P$5,IF($P$6&lt;&gt;0,$P$6,IF($P$7&lt;&gt;0,$P$7,0))))*$U$5*$P$19))*'IN-OUT'!$F$15))*'Burland damage classification'!BA111</f>
        <v>4.3872081113631479E-3</v>
      </c>
      <c r="AX111" s="254">
        <f>(1+(((IF($P$5&lt;&gt;0,$P$5^2,IF($P$6&lt;&gt;0,$P$6^2,IF($P$7&lt;&gt;0,$P$7^2))))*$U$5)/(18*$P$15))*('IN-OUT'!$F$15^(-1)))*BB111</f>
        <v>1.8639862682281578E-3</v>
      </c>
      <c r="AY111" s="254">
        <f t="shared" si="90"/>
        <v>1.8639862682281578E-3</v>
      </c>
      <c r="AZ111" s="254">
        <f t="shared" si="110"/>
        <v>0.18639862682281577</v>
      </c>
      <c r="BA111" s="254">
        <f t="shared" si="128"/>
        <v>1.3666666666666597E-3</v>
      </c>
      <c r="BB111" s="270">
        <f t="shared" si="93"/>
        <v>1.7644640357154732E-3</v>
      </c>
      <c r="BC111" s="253">
        <f t="shared" si="129"/>
        <v>6.3333333333333243E-4</v>
      </c>
      <c r="BD111" s="255">
        <f t="shared" si="111"/>
        <v>6.3333333333333242E-2</v>
      </c>
      <c r="BI111" s="248"/>
      <c r="BX111" s="258" t="e">
        <f>((((IF($Q$5=0,$Q$6,$Q$5)))/(12*$Q$19))+(((3*$Q$15)/(2*IF($Q$5=0,$Q$6,$Q$5)*$U$5*$Q$19))*'IN-OUT'!$F$15))*'Burland damage classification'!CB111</f>
        <v>#DIV/0!</v>
      </c>
      <c r="BY111" s="262">
        <f>(1+(((IF($Q$5=0,$Q$6^2,$Q$5^2))*$U$5)/(18*$Q$15))*('IN-OUT'!$F$15^(-1)))*CC111</f>
        <v>7.4610097618664679E-4</v>
      </c>
      <c r="BZ111" s="254" t="e">
        <f t="shared" si="96"/>
        <v>#DIV/0!</v>
      </c>
      <c r="CA111" s="254" t="e">
        <f t="shared" si="114"/>
        <v>#DIV/0!</v>
      </c>
      <c r="CB111" s="254">
        <f t="shared" si="132"/>
        <v>3.6666666666666813E-4</v>
      </c>
      <c r="CC111" s="253">
        <f t="shared" si="97"/>
        <v>7.4610097618664679E-4</v>
      </c>
      <c r="CD111" s="253">
        <f t="shared" si="133"/>
        <v>6.3333333333333243E-4</v>
      </c>
      <c r="CE111" s="255">
        <f t="shared" si="115"/>
        <v>6.3333333333333242E-2</v>
      </c>
      <c r="CG111" s="258" t="e">
        <f>((((IF($Q$5=0,$Q$6,$Q$5)))/(12*$Q$19))+(((3*$Q$15)/(2*IF($Q$5=0,$Q$6,$Q$5)*$U$5*$Q$19))*'IN-OUT'!$F$15))*'Burland damage classification'!CK111</f>
        <v>#DIV/0!</v>
      </c>
      <c r="CH111" s="262">
        <f>(1+(((IF($Q$5=0,$Q$6^2,$Q$5^2))*$U$5)/(18*$Q$15))*('IN-OUT'!$F$15^(-1)))*CL111</f>
        <v>1.7644640357154732E-3</v>
      </c>
      <c r="CI111" s="254" t="e">
        <f t="shared" si="98"/>
        <v>#DIV/0!</v>
      </c>
      <c r="CJ111" s="254" t="e">
        <f t="shared" si="116"/>
        <v>#DIV/0!</v>
      </c>
      <c r="CK111" s="254">
        <f t="shared" si="134"/>
        <v>1.3666666666666597E-3</v>
      </c>
      <c r="CL111" s="270">
        <f t="shared" si="99"/>
        <v>1.7644640357154732E-3</v>
      </c>
      <c r="CM111" s="253">
        <f t="shared" si="135"/>
        <v>6.3333333333333243E-4</v>
      </c>
      <c r="CN111" s="255">
        <f t="shared" si="117"/>
        <v>6.3333333333333242E-2</v>
      </c>
      <c r="CS111" s="248"/>
      <c r="DH111" s="258" t="e">
        <f>((((IF($R$5=0,$R$6,$R$5)))/(12*$R$19))+(((3*$R$15)/(2*IF($R$5=0,$R$6,$R$5)*$U$5*$R$19))*'IN-OUT'!$F$15))*'Burland damage classification'!DL111</f>
        <v>#DIV/0!</v>
      </c>
      <c r="DI111" s="262">
        <f>(1+(((IF($R$5=0,$R$6^2,$R$5^2))*$U$5)/(18*$R$15))*('IN-OUT'!$F$15^(-1)))*DM111</f>
        <v>7.4610097618664679E-4</v>
      </c>
      <c r="DJ111" s="254" t="e">
        <f t="shared" si="102"/>
        <v>#DIV/0!</v>
      </c>
      <c r="DK111" s="254" t="e">
        <f t="shared" si="120"/>
        <v>#DIV/0!</v>
      </c>
      <c r="DL111" s="254">
        <f t="shared" si="138"/>
        <v>3.6666666666666813E-4</v>
      </c>
      <c r="DM111" s="253">
        <f t="shared" si="103"/>
        <v>7.4610097618664679E-4</v>
      </c>
      <c r="DN111" s="253">
        <f t="shared" si="139"/>
        <v>6.3333333333333243E-4</v>
      </c>
      <c r="DO111" s="255">
        <f t="shared" si="121"/>
        <v>6.3333333333333242E-2</v>
      </c>
      <c r="DQ111" s="258" t="e">
        <f>((((IF($R$5=0,$R$6,$R$5)))/(12*$R$19))+(((3*$R$15)/(2*IF($R$5=0,$R$6,$R$5)*$U$5*$R$19))*'IN-OUT'!$F$15))*'Burland damage classification'!DU111</f>
        <v>#DIV/0!</v>
      </c>
      <c r="DR111" s="262">
        <f>(1+(((IF($R$5=0,$R$6^2,$R$5^2))*$U$5)/(18*$R$15))*('IN-OUT'!$F$15^(-1)))*DV111</f>
        <v>1.7644640357154732E-3</v>
      </c>
      <c r="DS111" s="254" t="e">
        <f t="shared" si="104"/>
        <v>#DIV/0!</v>
      </c>
      <c r="DT111" s="254" t="e">
        <f t="shared" si="122"/>
        <v>#DIV/0!</v>
      </c>
      <c r="DU111" s="254">
        <f t="shared" si="140"/>
        <v>1.3666666666666597E-3</v>
      </c>
      <c r="DV111" s="270">
        <f t="shared" si="105"/>
        <v>1.7644640357154732E-3</v>
      </c>
      <c r="DW111" s="253">
        <f t="shared" si="141"/>
        <v>6.3333333333333243E-4</v>
      </c>
      <c r="DX111" s="255">
        <f t="shared" si="123"/>
        <v>6.3333333333333242E-2</v>
      </c>
    </row>
    <row r="112" spans="3:128">
      <c r="C112" s="302" t="str">
        <f>$J$8</f>
        <v/>
      </c>
      <c r="D112" s="288" t="str">
        <f>M11</f>
        <v/>
      </c>
      <c r="E112" s="389" t="str">
        <f t="shared" si="142"/>
        <v/>
      </c>
      <c r="F112" s="397" t="str">
        <f t="shared" si="142"/>
        <v/>
      </c>
      <c r="U112" s="262"/>
      <c r="AN112" s="258">
        <f>(((IF($P$5&lt;&gt;0,$P$5,IF($P$6&lt;&gt;0,$P$6,IF($P$7&lt;&gt;0,$P$7,0))))/(12*$P$19))+(((3*$P$15)/(2*(IF($P$5&lt;&gt;0,$P$5,IF($P$6&lt;&gt;0,$P$6,IF($P$7&lt;&gt;0,$P$7,0))))*$U$5*$P$19))*'IN-OUT'!$F$15))*'Burland damage classification'!AR112</f>
        <v>1.1556548195785961E-3</v>
      </c>
      <c r="AO112" s="254">
        <f>(1+(((IF($P$5&lt;&gt;0,$P$5^2,IF($P$6&lt;&gt;0,$P$6^2,IF($P$7&lt;&gt;0,$P$7^2))))*$U$5)/(18*$P$15))*('IN-OUT'!$F$15^(-1)))*AS112</f>
        <v>7.8487308554692865E-4</v>
      </c>
      <c r="AP112" s="254">
        <f t="shared" si="89"/>
        <v>7.8487308554692865E-4</v>
      </c>
      <c r="AQ112" s="254">
        <f t="shared" si="108"/>
        <v>7.8487308554692867E-2</v>
      </c>
      <c r="AR112" s="254">
        <f t="shared" si="126"/>
        <v>3.6000000000000149E-4</v>
      </c>
      <c r="AS112" s="253">
        <f t="shared" ref="AS112:AS143" si="143">($P$27^2-(2*0.35*$P$27*AT112))^0.5</f>
        <v>7.4296702484026882E-4</v>
      </c>
      <c r="AT112" s="253">
        <f t="shared" si="127"/>
        <v>6.3999999999999908E-4</v>
      </c>
      <c r="AU112" s="255">
        <f t="shared" si="109"/>
        <v>6.3999999999999904E-2</v>
      </c>
      <c r="AW112" s="258">
        <f>(((IF($P$5&lt;&gt;0,$P$5,IF($P$6&lt;&gt;0,$P$6,IF($P$7&lt;&gt;0,$P$7,0))))/(12*$P$19))+(((3*$P$15)/(2*(IF($P$5&lt;&gt;0,$P$5,IF($P$6&lt;&gt;0,$P$6,IF($P$7&lt;&gt;0,$P$7,0))))*$U$5*$P$19))*'IN-OUT'!$F$15))*'Burland damage classification'!BA112</f>
        <v>4.3658070961857661E-3</v>
      </c>
      <c r="AX112" s="254">
        <f>(1+(((IF($P$5&lt;&gt;0,$P$5^2,IF($P$6&lt;&gt;0,$P$6^2,IF($P$7&lt;&gt;0,$P$7^2))))*$U$5)/(18*$P$15))*('IN-OUT'!$F$15^(-1)))*BB112</f>
        <v>1.8611901873917525E-3</v>
      </c>
      <c r="AY112" s="254">
        <f t="shared" si="90"/>
        <v>1.8611901873917525E-3</v>
      </c>
      <c r="AZ112" s="254">
        <f t="shared" si="110"/>
        <v>0.18611901873917525</v>
      </c>
      <c r="BA112" s="254">
        <f t="shared" si="128"/>
        <v>1.3599999999999929E-3</v>
      </c>
      <c r="BB112" s="270">
        <f t="shared" si="93"/>
        <v>1.7618172436436195E-3</v>
      </c>
      <c r="BC112" s="253">
        <f t="shared" si="129"/>
        <v>6.3999999999999908E-4</v>
      </c>
      <c r="BD112" s="255">
        <f t="shared" si="111"/>
        <v>6.3999999999999904E-2</v>
      </c>
      <c r="BI112" s="248"/>
      <c r="BX112" s="258" t="e">
        <f>((((IF($Q$5=0,$Q$6,$Q$5)))/(12*$Q$19))+(((3*$Q$15)/(2*IF($Q$5=0,$Q$6,$Q$5)*$U$5*$Q$19))*'IN-OUT'!$F$15))*'Burland damage classification'!CB112</f>
        <v>#DIV/0!</v>
      </c>
      <c r="BY112" s="262">
        <f>(1+(((IF($Q$5=0,$Q$6^2,$Q$5^2))*$U$5)/(18*$Q$15))*('IN-OUT'!$F$15^(-1)))*CC112</f>
        <v>7.4296702484026882E-4</v>
      </c>
      <c r="BZ112" s="254" t="e">
        <f t="shared" si="96"/>
        <v>#DIV/0!</v>
      </c>
      <c r="CA112" s="254" t="e">
        <f t="shared" si="114"/>
        <v>#DIV/0!</v>
      </c>
      <c r="CB112" s="254">
        <f t="shared" si="132"/>
        <v>3.6000000000000149E-4</v>
      </c>
      <c r="CC112" s="253">
        <f t="shared" ref="CC112:CC143" si="144">($P$27^2-(2*0.35*$P$27*CD112))^0.5</f>
        <v>7.4296702484026882E-4</v>
      </c>
      <c r="CD112" s="253">
        <f t="shared" si="133"/>
        <v>6.3999999999999908E-4</v>
      </c>
      <c r="CE112" s="255">
        <f t="shared" si="115"/>
        <v>6.3999999999999904E-2</v>
      </c>
      <c r="CG112" s="258" t="e">
        <f>((((IF($Q$5=0,$Q$6,$Q$5)))/(12*$Q$19))+(((3*$Q$15)/(2*IF($Q$5=0,$Q$6,$Q$5)*$U$5*$Q$19))*'IN-OUT'!$F$15))*'Burland damage classification'!CK112</f>
        <v>#DIV/0!</v>
      </c>
      <c r="CH112" s="262">
        <f>(1+(((IF($Q$5=0,$Q$6^2,$Q$5^2))*$U$5)/(18*$Q$15))*('IN-OUT'!$F$15^(-1)))*CL112</f>
        <v>1.7618172436436195E-3</v>
      </c>
      <c r="CI112" s="254" t="e">
        <f t="shared" si="98"/>
        <v>#DIV/0!</v>
      </c>
      <c r="CJ112" s="254" t="e">
        <f t="shared" si="116"/>
        <v>#DIV/0!</v>
      </c>
      <c r="CK112" s="254">
        <f t="shared" si="134"/>
        <v>1.3599999999999929E-3</v>
      </c>
      <c r="CL112" s="270">
        <f t="shared" si="99"/>
        <v>1.7618172436436195E-3</v>
      </c>
      <c r="CM112" s="253">
        <f t="shared" si="135"/>
        <v>6.3999999999999908E-4</v>
      </c>
      <c r="CN112" s="255">
        <f t="shared" si="117"/>
        <v>6.3999999999999904E-2</v>
      </c>
      <c r="CS112" s="248"/>
      <c r="DH112" s="258" t="e">
        <f>((((IF($R$5=0,$R$6,$R$5)))/(12*$R$19))+(((3*$R$15)/(2*IF($R$5=0,$R$6,$R$5)*$U$5*$R$19))*'IN-OUT'!$F$15))*'Burland damage classification'!DL112</f>
        <v>#DIV/0!</v>
      </c>
      <c r="DI112" s="262">
        <f>(1+(((IF($R$5=0,$R$6^2,$R$5^2))*$U$5)/(18*$R$15))*('IN-OUT'!$F$15^(-1)))*DM112</f>
        <v>7.4296702484026882E-4</v>
      </c>
      <c r="DJ112" s="254" t="e">
        <f t="shared" si="102"/>
        <v>#DIV/0!</v>
      </c>
      <c r="DK112" s="254" t="e">
        <f t="shared" si="120"/>
        <v>#DIV/0!</v>
      </c>
      <c r="DL112" s="254">
        <f t="shared" si="138"/>
        <v>3.6000000000000149E-4</v>
      </c>
      <c r="DM112" s="253">
        <f t="shared" ref="DM112:DM143" si="145">($P$27^2-(2*0.35*$P$27*DN112))^0.5</f>
        <v>7.4296702484026882E-4</v>
      </c>
      <c r="DN112" s="253">
        <f t="shared" si="139"/>
        <v>6.3999999999999908E-4</v>
      </c>
      <c r="DO112" s="255">
        <f t="shared" si="121"/>
        <v>6.3999999999999904E-2</v>
      </c>
      <c r="DQ112" s="258" t="e">
        <f>((((IF($R$5=0,$R$6,$R$5)))/(12*$R$19))+(((3*$R$15)/(2*IF($R$5=0,$R$6,$R$5)*$U$5*$R$19))*'IN-OUT'!$F$15))*'Burland damage classification'!DU112</f>
        <v>#DIV/0!</v>
      </c>
      <c r="DR112" s="262">
        <f>(1+(((IF($R$5=0,$R$6^2,$R$5^2))*$U$5)/(18*$R$15))*('IN-OUT'!$F$15^(-1)))*DV112</f>
        <v>1.7618172436436195E-3</v>
      </c>
      <c r="DS112" s="254" t="e">
        <f t="shared" si="104"/>
        <v>#DIV/0!</v>
      </c>
      <c r="DT112" s="254" t="e">
        <f t="shared" si="122"/>
        <v>#DIV/0!</v>
      </c>
      <c r="DU112" s="254">
        <f t="shared" si="140"/>
        <v>1.3599999999999929E-3</v>
      </c>
      <c r="DV112" s="270">
        <f t="shared" si="105"/>
        <v>1.7618172436436195E-3</v>
      </c>
      <c r="DW112" s="253">
        <f t="shared" si="141"/>
        <v>6.3999999999999908E-4</v>
      </c>
      <c r="DX112" s="255">
        <f t="shared" si="123"/>
        <v>6.3999999999999904E-2</v>
      </c>
    </row>
    <row r="113" spans="3:128">
      <c r="C113" s="302" t="str">
        <f>$I$9</f>
        <v/>
      </c>
      <c r="D113" s="288" t="str">
        <f>L12</f>
        <v/>
      </c>
      <c r="E113" s="389" t="str">
        <f t="shared" si="142"/>
        <v/>
      </c>
      <c r="F113" s="397" t="str">
        <f t="shared" si="142"/>
        <v/>
      </c>
      <c r="U113" s="262"/>
      <c r="AN113" s="258">
        <f>(((IF($P$5&lt;&gt;0,$P$5,IF($P$6&lt;&gt;0,$P$6,IF($P$7&lt;&gt;0,$P$7,0))))/(12*$P$19))+(((3*$P$15)/(2*(IF($P$5&lt;&gt;0,$P$5,IF($P$6&lt;&gt;0,$P$6,IF($P$7&lt;&gt;0,$P$7,0))))*$U$5*$P$19))*'IN-OUT'!$F$15))*'Burland damage classification'!AR113</f>
        <v>1.1342538044012147E-3</v>
      </c>
      <c r="AO113" s="254">
        <f>(1+(((IF($P$5&lt;&gt;0,$P$5^2,IF($P$6&lt;&gt;0,$P$6^2,IF($P$7&lt;&gt;0,$P$7^2))))*$U$5)/(18*$P$15))*('IN-OUT'!$F$15^(-1)))*AS113</f>
        <v>7.8154834346063522E-4</v>
      </c>
      <c r="AP113" s="254">
        <f t="shared" si="89"/>
        <v>7.8154834346063522E-4</v>
      </c>
      <c r="AQ113" s="254">
        <f t="shared" si="108"/>
        <v>7.8154834346063518E-2</v>
      </c>
      <c r="AR113" s="254">
        <f t="shared" si="126"/>
        <v>3.5333333333333484E-4</v>
      </c>
      <c r="AS113" s="253">
        <f t="shared" si="143"/>
        <v>7.3981979787873613E-4</v>
      </c>
      <c r="AT113" s="253">
        <f t="shared" si="127"/>
        <v>6.4666666666666572E-4</v>
      </c>
      <c r="AU113" s="255">
        <f t="shared" si="109"/>
        <v>6.4666666666666567E-2</v>
      </c>
      <c r="AW113" s="258">
        <f>(((IF($P$5&lt;&gt;0,$P$5,IF($P$6&lt;&gt;0,$P$6,IF($P$7&lt;&gt;0,$P$7,0))))/(12*$P$19))+(((3*$P$15)/(2*(IF($P$5&lt;&gt;0,$P$5,IF($P$6&lt;&gt;0,$P$6,IF($P$7&lt;&gt;0,$P$7,0))))*$U$5*$P$19))*'IN-OUT'!$F$15))*'Burland damage classification'!BA113</f>
        <v>4.3444060810083852E-3</v>
      </c>
      <c r="AX113" s="254">
        <f>(1+(((IF($P$5&lt;&gt;0,$P$5^2,IF($P$6&lt;&gt;0,$P$6^2,IF($P$7&lt;&gt;0,$P$7^2))))*$U$5)/(18*$P$15))*('IN-OUT'!$F$15^(-1)))*BB113</f>
        <v>1.8583898996560326E-3</v>
      </c>
      <c r="AY113" s="254">
        <f t="shared" si="90"/>
        <v>1.8583898996560326E-3</v>
      </c>
      <c r="AZ113" s="254">
        <f t="shared" si="110"/>
        <v>0.18583898996560327</v>
      </c>
      <c r="BA113" s="254">
        <f t="shared" si="128"/>
        <v>1.3533333333333262E-3</v>
      </c>
      <c r="BB113" s="270">
        <f t="shared" si="93"/>
        <v>1.7591664692878464E-3</v>
      </c>
      <c r="BC113" s="253">
        <f t="shared" si="129"/>
        <v>6.4666666666666572E-4</v>
      </c>
      <c r="BD113" s="255">
        <f t="shared" si="111"/>
        <v>6.4666666666666567E-2</v>
      </c>
      <c r="BI113" s="248"/>
      <c r="BX113" s="258" t="e">
        <f>((((IF($Q$5=0,$Q$6,$Q$5)))/(12*$Q$19))+(((3*$Q$15)/(2*IF($Q$5=0,$Q$6,$Q$5)*$U$5*$Q$19))*'IN-OUT'!$F$15))*'Burland damage classification'!CB113</f>
        <v>#DIV/0!</v>
      </c>
      <c r="BY113" s="262">
        <f>(1+(((IF($Q$5=0,$Q$6^2,$Q$5^2))*$U$5)/(18*$Q$15))*('IN-OUT'!$F$15^(-1)))*CC113</f>
        <v>7.3981979787873613E-4</v>
      </c>
      <c r="BZ113" s="254" t="e">
        <f t="shared" si="96"/>
        <v>#DIV/0!</v>
      </c>
      <c r="CA113" s="254" t="e">
        <f t="shared" si="114"/>
        <v>#DIV/0!</v>
      </c>
      <c r="CB113" s="254">
        <f t="shared" si="132"/>
        <v>3.5333333333333484E-4</v>
      </c>
      <c r="CC113" s="253">
        <f t="shared" si="144"/>
        <v>7.3981979787873613E-4</v>
      </c>
      <c r="CD113" s="253">
        <f t="shared" si="133"/>
        <v>6.4666666666666572E-4</v>
      </c>
      <c r="CE113" s="255">
        <f t="shared" si="115"/>
        <v>6.4666666666666567E-2</v>
      </c>
      <c r="CG113" s="258" t="e">
        <f>((((IF($Q$5=0,$Q$6,$Q$5)))/(12*$Q$19))+(((3*$Q$15)/(2*IF($Q$5=0,$Q$6,$Q$5)*$U$5*$Q$19))*'IN-OUT'!$F$15))*'Burland damage classification'!CK113</f>
        <v>#DIV/0!</v>
      </c>
      <c r="CH113" s="262">
        <f>(1+(((IF($Q$5=0,$Q$6^2,$Q$5^2))*$U$5)/(18*$Q$15))*('IN-OUT'!$F$15^(-1)))*CL113</f>
        <v>1.7591664692878464E-3</v>
      </c>
      <c r="CI113" s="254" t="e">
        <f t="shared" si="98"/>
        <v>#DIV/0!</v>
      </c>
      <c r="CJ113" s="254" t="e">
        <f t="shared" si="116"/>
        <v>#DIV/0!</v>
      </c>
      <c r="CK113" s="254">
        <f t="shared" si="134"/>
        <v>1.3533333333333262E-3</v>
      </c>
      <c r="CL113" s="270">
        <f t="shared" si="99"/>
        <v>1.7591664692878464E-3</v>
      </c>
      <c r="CM113" s="253">
        <f t="shared" si="135"/>
        <v>6.4666666666666572E-4</v>
      </c>
      <c r="CN113" s="255">
        <f t="shared" si="117"/>
        <v>6.4666666666666567E-2</v>
      </c>
      <c r="CS113" s="248"/>
      <c r="DH113" s="258" t="e">
        <f>((((IF($R$5=0,$R$6,$R$5)))/(12*$R$19))+(((3*$R$15)/(2*IF($R$5=0,$R$6,$R$5)*$U$5*$R$19))*'IN-OUT'!$F$15))*'Burland damage classification'!DL113</f>
        <v>#DIV/0!</v>
      </c>
      <c r="DI113" s="262">
        <f>(1+(((IF($R$5=0,$R$6^2,$R$5^2))*$U$5)/(18*$R$15))*('IN-OUT'!$F$15^(-1)))*DM113</f>
        <v>7.3981979787873613E-4</v>
      </c>
      <c r="DJ113" s="254" t="e">
        <f t="shared" si="102"/>
        <v>#DIV/0!</v>
      </c>
      <c r="DK113" s="254" t="e">
        <f t="shared" si="120"/>
        <v>#DIV/0!</v>
      </c>
      <c r="DL113" s="254">
        <f t="shared" si="138"/>
        <v>3.5333333333333484E-4</v>
      </c>
      <c r="DM113" s="253">
        <f t="shared" si="145"/>
        <v>7.3981979787873613E-4</v>
      </c>
      <c r="DN113" s="253">
        <f t="shared" si="139"/>
        <v>6.4666666666666572E-4</v>
      </c>
      <c r="DO113" s="255">
        <f t="shared" si="121"/>
        <v>6.4666666666666567E-2</v>
      </c>
      <c r="DQ113" s="258" t="e">
        <f>((((IF($R$5=0,$R$6,$R$5)))/(12*$R$19))+(((3*$R$15)/(2*IF($R$5=0,$R$6,$R$5)*$U$5*$R$19))*'IN-OUT'!$F$15))*'Burland damage classification'!DU113</f>
        <v>#DIV/0!</v>
      </c>
      <c r="DR113" s="262">
        <f>(1+(((IF($R$5=0,$R$6^2,$R$5^2))*$U$5)/(18*$R$15))*('IN-OUT'!$F$15^(-1)))*DV113</f>
        <v>1.7591664692878464E-3</v>
      </c>
      <c r="DS113" s="254" t="e">
        <f t="shared" si="104"/>
        <v>#DIV/0!</v>
      </c>
      <c r="DT113" s="254" t="e">
        <f t="shared" si="122"/>
        <v>#DIV/0!</v>
      </c>
      <c r="DU113" s="254">
        <f t="shared" si="140"/>
        <v>1.3533333333333262E-3</v>
      </c>
      <c r="DV113" s="270">
        <f t="shared" si="105"/>
        <v>1.7591664692878464E-3</v>
      </c>
      <c r="DW113" s="253">
        <f t="shared" si="141"/>
        <v>6.4666666666666572E-4</v>
      </c>
      <c r="DX113" s="255">
        <f t="shared" si="123"/>
        <v>6.4666666666666567E-2</v>
      </c>
    </row>
    <row r="114" spans="3:128">
      <c r="C114" s="302" t="str">
        <f>$J$9</f>
        <v/>
      </c>
      <c r="D114" s="288" t="str">
        <f>M12</f>
        <v/>
      </c>
      <c r="E114" s="389" t="str">
        <f t="shared" si="142"/>
        <v/>
      </c>
      <c r="F114" s="397" t="str">
        <f t="shared" si="142"/>
        <v/>
      </c>
      <c r="U114" s="262"/>
      <c r="AN114" s="258">
        <f>(((IF($P$5&lt;&gt;0,$P$5,IF($P$6&lt;&gt;0,$P$6,IF($P$7&lt;&gt;0,$P$7,0))))/(12*$P$19))+(((3*$P$15)/(2*(IF($P$5&lt;&gt;0,$P$5,IF($P$6&lt;&gt;0,$P$6,IF($P$7&lt;&gt;0,$P$7,0))))*$U$5*$P$19))*'IN-OUT'!$F$15))*'Burland damage classification'!AR114</f>
        <v>1.1128527892238335E-3</v>
      </c>
      <c r="AO114" s="254">
        <f>(1+(((IF($P$5&lt;&gt;0,$P$5^2,IF($P$6&lt;&gt;0,$P$6^2,IF($P$7&lt;&gt;0,$P$7^2))))*$U$5)/(18*$P$15))*('IN-OUT'!$F$15^(-1)))*AS114</f>
        <v>7.7820939721656528E-4</v>
      </c>
      <c r="AP114" s="254">
        <f t="shared" si="89"/>
        <v>7.7820939721656528E-4</v>
      </c>
      <c r="AQ114" s="254">
        <f t="shared" si="108"/>
        <v>7.7820939721656532E-2</v>
      </c>
      <c r="AR114" s="254">
        <f t="shared" si="126"/>
        <v>3.4666666666666819E-4</v>
      </c>
      <c r="AS114" s="253">
        <f t="shared" si="143"/>
        <v>7.3665912514993487E-4</v>
      </c>
      <c r="AT114" s="253">
        <f t="shared" si="127"/>
        <v>6.5333333333333237E-4</v>
      </c>
      <c r="AU114" s="255">
        <f t="shared" si="109"/>
        <v>6.5333333333333243E-2</v>
      </c>
      <c r="AW114" s="258">
        <f>(((IF($P$5&lt;&gt;0,$P$5,IF($P$6&lt;&gt;0,$P$6,IF($P$7&lt;&gt;0,$P$7,0))))/(12*$P$19))+(((3*$P$15)/(2*(IF($P$5&lt;&gt;0,$P$5,IF($P$6&lt;&gt;0,$P$6,IF($P$7&lt;&gt;0,$P$7,0))))*$U$5*$P$19))*'IN-OUT'!$F$15))*'Burland damage classification'!BA114</f>
        <v>4.3230050658310034E-3</v>
      </c>
      <c r="AX114" s="254">
        <f>(1+(((IF($P$5&lt;&gt;0,$P$5^2,IF($P$6&lt;&gt;0,$P$6^2,IF($P$7&lt;&gt;0,$P$7^2))))*$U$5)/(18*$P$15))*('IN-OUT'!$F$15^(-1)))*BB114</f>
        <v>1.8555853859749418E-3</v>
      </c>
      <c r="AY114" s="254">
        <f t="shared" si="90"/>
        <v>1.8555853859749418E-3</v>
      </c>
      <c r="AZ114" s="254">
        <f t="shared" si="110"/>
        <v>0.18555853859749419</v>
      </c>
      <c r="BA114" s="254">
        <f t="shared" si="128"/>
        <v>1.3466666666666594E-3</v>
      </c>
      <c r="BB114" s="270">
        <f t="shared" si="93"/>
        <v>1.7565116946190067E-3</v>
      </c>
      <c r="BC114" s="253">
        <f t="shared" si="129"/>
        <v>6.5333333333333237E-4</v>
      </c>
      <c r="BD114" s="255">
        <f t="shared" si="111"/>
        <v>6.5333333333333243E-2</v>
      </c>
      <c r="BI114" s="248"/>
      <c r="BX114" s="258" t="e">
        <f>((((IF($Q$5=0,$Q$6,$Q$5)))/(12*$Q$19))+(((3*$Q$15)/(2*IF($Q$5=0,$Q$6,$Q$5)*$U$5*$Q$19))*'IN-OUT'!$F$15))*'Burland damage classification'!CB114</f>
        <v>#DIV/0!</v>
      </c>
      <c r="BY114" s="262">
        <f>(1+(((IF($Q$5=0,$Q$6^2,$Q$5^2))*$U$5)/(18*$Q$15))*('IN-OUT'!$F$15^(-1)))*CC114</f>
        <v>7.3665912514993487E-4</v>
      </c>
      <c r="BZ114" s="254" t="e">
        <f t="shared" si="96"/>
        <v>#DIV/0!</v>
      </c>
      <c r="CA114" s="254" t="e">
        <f t="shared" si="114"/>
        <v>#DIV/0!</v>
      </c>
      <c r="CB114" s="254">
        <f t="shared" si="132"/>
        <v>3.4666666666666819E-4</v>
      </c>
      <c r="CC114" s="253">
        <f t="shared" si="144"/>
        <v>7.3665912514993487E-4</v>
      </c>
      <c r="CD114" s="253">
        <f t="shared" si="133"/>
        <v>6.5333333333333237E-4</v>
      </c>
      <c r="CE114" s="255">
        <f t="shared" si="115"/>
        <v>6.5333333333333243E-2</v>
      </c>
      <c r="CG114" s="258" t="e">
        <f>((((IF($Q$5=0,$Q$6,$Q$5)))/(12*$Q$19))+(((3*$Q$15)/(2*IF($Q$5=0,$Q$6,$Q$5)*$U$5*$Q$19))*'IN-OUT'!$F$15))*'Burland damage classification'!CK114</f>
        <v>#DIV/0!</v>
      </c>
      <c r="CH114" s="262">
        <f>(1+(((IF($Q$5=0,$Q$6^2,$Q$5^2))*$U$5)/(18*$Q$15))*('IN-OUT'!$F$15^(-1)))*CL114</f>
        <v>1.7565116946190067E-3</v>
      </c>
      <c r="CI114" s="254" t="e">
        <f t="shared" si="98"/>
        <v>#DIV/0!</v>
      </c>
      <c r="CJ114" s="254" t="e">
        <f t="shared" si="116"/>
        <v>#DIV/0!</v>
      </c>
      <c r="CK114" s="254">
        <f t="shared" si="134"/>
        <v>1.3466666666666594E-3</v>
      </c>
      <c r="CL114" s="270">
        <f t="shared" si="99"/>
        <v>1.7565116946190067E-3</v>
      </c>
      <c r="CM114" s="253">
        <f t="shared" si="135"/>
        <v>6.5333333333333237E-4</v>
      </c>
      <c r="CN114" s="255">
        <f t="shared" si="117"/>
        <v>6.5333333333333243E-2</v>
      </c>
      <c r="CS114" s="248"/>
      <c r="DH114" s="258" t="e">
        <f>((((IF($R$5=0,$R$6,$R$5)))/(12*$R$19))+(((3*$R$15)/(2*IF($R$5=0,$R$6,$R$5)*$U$5*$R$19))*'IN-OUT'!$F$15))*'Burland damage classification'!DL114</f>
        <v>#DIV/0!</v>
      </c>
      <c r="DI114" s="262">
        <f>(1+(((IF($R$5=0,$R$6^2,$R$5^2))*$U$5)/(18*$R$15))*('IN-OUT'!$F$15^(-1)))*DM114</f>
        <v>7.3665912514993487E-4</v>
      </c>
      <c r="DJ114" s="254" t="e">
        <f t="shared" si="102"/>
        <v>#DIV/0!</v>
      </c>
      <c r="DK114" s="254" t="e">
        <f t="shared" si="120"/>
        <v>#DIV/0!</v>
      </c>
      <c r="DL114" s="254">
        <f t="shared" si="138"/>
        <v>3.4666666666666819E-4</v>
      </c>
      <c r="DM114" s="253">
        <f t="shared" si="145"/>
        <v>7.3665912514993487E-4</v>
      </c>
      <c r="DN114" s="253">
        <f t="shared" si="139"/>
        <v>6.5333333333333237E-4</v>
      </c>
      <c r="DO114" s="255">
        <f t="shared" si="121"/>
        <v>6.5333333333333243E-2</v>
      </c>
      <c r="DQ114" s="258" t="e">
        <f>((((IF($R$5=0,$R$6,$R$5)))/(12*$R$19))+(((3*$R$15)/(2*IF($R$5=0,$R$6,$R$5)*$U$5*$R$19))*'IN-OUT'!$F$15))*'Burland damage classification'!DU114</f>
        <v>#DIV/0!</v>
      </c>
      <c r="DR114" s="262">
        <f>(1+(((IF($R$5=0,$R$6^2,$R$5^2))*$U$5)/(18*$R$15))*('IN-OUT'!$F$15^(-1)))*DV114</f>
        <v>1.7565116946190067E-3</v>
      </c>
      <c r="DS114" s="254" t="e">
        <f t="shared" si="104"/>
        <v>#DIV/0!</v>
      </c>
      <c r="DT114" s="254" t="e">
        <f t="shared" si="122"/>
        <v>#DIV/0!</v>
      </c>
      <c r="DU114" s="254">
        <f t="shared" si="140"/>
        <v>1.3466666666666594E-3</v>
      </c>
      <c r="DV114" s="270">
        <f t="shared" si="105"/>
        <v>1.7565116946190067E-3</v>
      </c>
      <c r="DW114" s="253">
        <f t="shared" si="141"/>
        <v>6.5333333333333237E-4</v>
      </c>
      <c r="DX114" s="255">
        <f t="shared" si="123"/>
        <v>6.5333333333333243E-2</v>
      </c>
    </row>
    <row r="115" spans="3:128">
      <c r="C115" s="302" t="str">
        <f>$I$11</f>
        <v/>
      </c>
      <c r="D115" s="288" t="str">
        <f>L14</f>
        <v/>
      </c>
      <c r="E115" s="389" t="str">
        <f t="shared" si="142"/>
        <v/>
      </c>
      <c r="F115" s="397" t="str">
        <f t="shared" si="142"/>
        <v/>
      </c>
      <c r="U115" s="262"/>
      <c r="AN115" s="258">
        <f>(((IF($P$5&lt;&gt;0,$P$5,IF($P$6&lt;&gt;0,$P$6,IF($P$7&lt;&gt;0,$P$7,0))))/(12*$P$19))+(((3*$P$15)/(2*(IF($P$5&lt;&gt;0,$P$5,IF($P$6&lt;&gt;0,$P$6,IF($P$7&lt;&gt;0,$P$7,0))))*$U$5*$P$19))*'IN-OUT'!$F$15))*'Burland damage classification'!AR115</f>
        <v>1.0914517740464522E-3</v>
      </c>
      <c r="AO115" s="254">
        <f>(1+(((IF($P$5&lt;&gt;0,$P$5^2,IF($P$6&lt;&gt;0,$P$6^2,IF($P$7&lt;&gt;0,$P$7^2))))*$U$5)/(18*$P$15))*('IN-OUT'!$F$15^(-1)))*AS115</f>
        <v>7.7485606319256249E-4</v>
      </c>
      <c r="AP115" s="254">
        <f t="shared" si="89"/>
        <v>7.7485606319256249E-4</v>
      </c>
      <c r="AQ115" s="254">
        <f t="shared" si="108"/>
        <v>7.7485606319256245E-2</v>
      </c>
      <c r="AR115" s="254">
        <f t="shared" si="126"/>
        <v>3.4000000000000154E-4</v>
      </c>
      <c r="AS115" s="253">
        <f t="shared" si="143"/>
        <v>7.3348483283569034E-4</v>
      </c>
      <c r="AT115" s="253">
        <f t="shared" si="127"/>
        <v>6.5999999999999902E-4</v>
      </c>
      <c r="AU115" s="255">
        <f t="shared" si="109"/>
        <v>6.5999999999999906E-2</v>
      </c>
      <c r="AW115" s="258">
        <f>(((IF($P$5&lt;&gt;0,$P$5,IF($P$6&lt;&gt;0,$P$6,IF($P$7&lt;&gt;0,$P$7,0))))/(12*$P$19))+(((3*$P$15)/(2*(IF($P$5&lt;&gt;0,$P$5,IF($P$6&lt;&gt;0,$P$6,IF($P$7&lt;&gt;0,$P$7,0))))*$U$5*$P$19))*'IN-OUT'!$F$15))*'Burland damage classification'!BA115</f>
        <v>4.3016040506536216E-3</v>
      </c>
      <c r="AX115" s="254">
        <f>(1+(((IF($P$5&lt;&gt;0,$P$5^2,IF($P$6&lt;&gt;0,$P$6^2,IF($P$7&lt;&gt;0,$P$7^2))))*$U$5)/(18*$P$15))*('IN-OUT'!$F$15^(-1)))*BB115</f>
        <v>1.852776627158273E-3</v>
      </c>
      <c r="AY115" s="254">
        <f t="shared" si="90"/>
        <v>1.852776627158273E-3</v>
      </c>
      <c r="AZ115" s="254">
        <f t="shared" si="110"/>
        <v>0.1852776627158273</v>
      </c>
      <c r="BA115" s="254">
        <f t="shared" si="128"/>
        <v>1.3399999999999927E-3</v>
      </c>
      <c r="BB115" s="270">
        <f t="shared" si="93"/>
        <v>1.7538529014715005E-3</v>
      </c>
      <c r="BC115" s="253">
        <f t="shared" si="129"/>
        <v>6.5999999999999902E-4</v>
      </c>
      <c r="BD115" s="255">
        <f t="shared" si="111"/>
        <v>6.5999999999999906E-2</v>
      </c>
      <c r="BI115" s="248"/>
      <c r="BX115" s="258" t="e">
        <f>((((IF($Q$5=0,$Q$6,$Q$5)))/(12*$Q$19))+(((3*$Q$15)/(2*IF($Q$5=0,$Q$6,$Q$5)*$U$5*$Q$19))*'IN-OUT'!$F$15))*'Burland damage classification'!CB115</f>
        <v>#DIV/0!</v>
      </c>
      <c r="BY115" s="262">
        <f>(1+(((IF($Q$5=0,$Q$6^2,$Q$5^2))*$U$5)/(18*$Q$15))*('IN-OUT'!$F$15^(-1)))*CC115</f>
        <v>7.3348483283569034E-4</v>
      </c>
      <c r="BZ115" s="254" t="e">
        <f t="shared" si="96"/>
        <v>#DIV/0!</v>
      </c>
      <c r="CA115" s="254" t="e">
        <f t="shared" si="114"/>
        <v>#DIV/0!</v>
      </c>
      <c r="CB115" s="254">
        <f t="shared" si="132"/>
        <v>3.4000000000000154E-4</v>
      </c>
      <c r="CC115" s="253">
        <f t="shared" si="144"/>
        <v>7.3348483283569034E-4</v>
      </c>
      <c r="CD115" s="253">
        <f t="shared" si="133"/>
        <v>6.5999999999999902E-4</v>
      </c>
      <c r="CE115" s="255">
        <f t="shared" si="115"/>
        <v>6.5999999999999906E-2</v>
      </c>
      <c r="CG115" s="258" t="e">
        <f>((((IF($Q$5=0,$Q$6,$Q$5)))/(12*$Q$19))+(((3*$Q$15)/(2*IF($Q$5=0,$Q$6,$Q$5)*$U$5*$Q$19))*'IN-OUT'!$F$15))*'Burland damage classification'!CK115</f>
        <v>#DIV/0!</v>
      </c>
      <c r="CH115" s="262">
        <f>(1+(((IF($Q$5=0,$Q$6^2,$Q$5^2))*$U$5)/(18*$Q$15))*('IN-OUT'!$F$15^(-1)))*CL115</f>
        <v>1.7538529014715005E-3</v>
      </c>
      <c r="CI115" s="254" t="e">
        <f t="shared" si="98"/>
        <v>#DIV/0!</v>
      </c>
      <c r="CJ115" s="254" t="e">
        <f t="shared" si="116"/>
        <v>#DIV/0!</v>
      </c>
      <c r="CK115" s="254">
        <f t="shared" si="134"/>
        <v>1.3399999999999927E-3</v>
      </c>
      <c r="CL115" s="270">
        <f t="shared" si="99"/>
        <v>1.7538529014715005E-3</v>
      </c>
      <c r="CM115" s="253">
        <f t="shared" si="135"/>
        <v>6.5999999999999902E-4</v>
      </c>
      <c r="CN115" s="255">
        <f t="shared" si="117"/>
        <v>6.5999999999999906E-2</v>
      </c>
      <c r="CS115" s="248"/>
      <c r="DH115" s="258" t="e">
        <f>((((IF($R$5=0,$R$6,$R$5)))/(12*$R$19))+(((3*$R$15)/(2*IF($R$5=0,$R$6,$R$5)*$U$5*$R$19))*'IN-OUT'!$F$15))*'Burland damage classification'!DL115</f>
        <v>#DIV/0!</v>
      </c>
      <c r="DI115" s="262">
        <f>(1+(((IF($R$5=0,$R$6^2,$R$5^2))*$U$5)/(18*$R$15))*('IN-OUT'!$F$15^(-1)))*DM115</f>
        <v>7.3348483283569034E-4</v>
      </c>
      <c r="DJ115" s="254" t="e">
        <f t="shared" si="102"/>
        <v>#DIV/0!</v>
      </c>
      <c r="DK115" s="254" t="e">
        <f t="shared" si="120"/>
        <v>#DIV/0!</v>
      </c>
      <c r="DL115" s="254">
        <f t="shared" si="138"/>
        <v>3.4000000000000154E-4</v>
      </c>
      <c r="DM115" s="253">
        <f t="shared" si="145"/>
        <v>7.3348483283569034E-4</v>
      </c>
      <c r="DN115" s="253">
        <f t="shared" si="139"/>
        <v>6.5999999999999902E-4</v>
      </c>
      <c r="DO115" s="255">
        <f t="shared" si="121"/>
        <v>6.5999999999999906E-2</v>
      </c>
      <c r="DQ115" s="258" t="e">
        <f>((((IF($R$5=0,$R$6,$R$5)))/(12*$R$19))+(((3*$R$15)/(2*IF($R$5=0,$R$6,$R$5)*$U$5*$R$19))*'IN-OUT'!$F$15))*'Burland damage classification'!DU115</f>
        <v>#DIV/0!</v>
      </c>
      <c r="DR115" s="262">
        <f>(1+(((IF($R$5=0,$R$6^2,$R$5^2))*$U$5)/(18*$R$15))*('IN-OUT'!$F$15^(-1)))*DV115</f>
        <v>1.7538529014715005E-3</v>
      </c>
      <c r="DS115" s="254" t="e">
        <f t="shared" si="104"/>
        <v>#DIV/0!</v>
      </c>
      <c r="DT115" s="254" t="e">
        <f t="shared" si="122"/>
        <v>#DIV/0!</v>
      </c>
      <c r="DU115" s="254">
        <f t="shared" si="140"/>
        <v>1.3399999999999927E-3</v>
      </c>
      <c r="DV115" s="270">
        <f t="shared" si="105"/>
        <v>1.7538529014715005E-3</v>
      </c>
      <c r="DW115" s="253">
        <f t="shared" si="141"/>
        <v>6.5999999999999902E-4</v>
      </c>
      <c r="DX115" s="255">
        <f t="shared" si="123"/>
        <v>6.5999999999999906E-2</v>
      </c>
    </row>
    <row r="116" spans="3:128">
      <c r="C116" s="302" t="str">
        <f>$J$11</f>
        <v/>
      </c>
      <c r="D116" s="288" t="str">
        <f>M14</f>
        <v/>
      </c>
      <c r="E116" s="389" t="str">
        <f t="shared" si="142"/>
        <v/>
      </c>
      <c r="F116" s="397" t="str">
        <f t="shared" si="142"/>
        <v/>
      </c>
      <c r="U116" s="262"/>
      <c r="AN116" s="258">
        <f>(((IF($P$5&lt;&gt;0,$P$5,IF($P$6&lt;&gt;0,$P$6,IF($P$7&lt;&gt;0,$P$7,0))))/(12*$P$19))+(((3*$P$15)/(2*(IF($P$5&lt;&gt;0,$P$5,IF($P$6&lt;&gt;0,$P$6,IF($P$7&lt;&gt;0,$P$7,0))))*$U$5*$P$19))*'IN-OUT'!$F$15))*'Burland damage classification'!AR116</f>
        <v>1.070050758869071E-3</v>
      </c>
      <c r="AO116" s="254">
        <f>(1+(((IF($P$5&lt;&gt;0,$P$5^2,IF($P$6&lt;&gt;0,$P$6^2,IF($P$7&lt;&gt;0,$P$7^2))))*$U$5)/(18*$P$15))*('IN-OUT'!$F$15^(-1)))*AS116</f>
        <v>7.7148815377579393E-4</v>
      </c>
      <c r="AP116" s="254">
        <f t="shared" si="89"/>
        <v>7.7148815377579393E-4</v>
      </c>
      <c r="AQ116" s="254">
        <f t="shared" si="108"/>
        <v>7.7148815377579394E-2</v>
      </c>
      <c r="AR116" s="254">
        <f t="shared" si="126"/>
        <v>3.3333333333333489E-4</v>
      </c>
      <c r="AS116" s="253">
        <f t="shared" si="143"/>
        <v>7.3029674334022191E-4</v>
      </c>
      <c r="AT116" s="253">
        <f t="shared" si="127"/>
        <v>6.6666666666666567E-4</v>
      </c>
      <c r="AU116" s="255">
        <f t="shared" si="109"/>
        <v>6.6666666666666569E-2</v>
      </c>
      <c r="AW116" s="258">
        <f>(((IF($P$5&lt;&gt;0,$P$5,IF($P$6&lt;&gt;0,$P$6,IF($P$7&lt;&gt;0,$P$7,0))))/(12*$P$19))+(((3*$P$15)/(2*(IF($P$5&lt;&gt;0,$P$5,IF($P$6&lt;&gt;0,$P$6,IF($P$7&lt;&gt;0,$P$7,0))))*$U$5*$P$19))*'IN-OUT'!$F$15))*'Burland damage classification'!BA116</f>
        <v>4.2802030354762398E-3</v>
      </c>
      <c r="AX116" s="254">
        <f>(1+(((IF($P$5&lt;&gt;0,$P$5^2,IF($P$6&lt;&gt;0,$P$6^2,IF($P$7&lt;&gt;0,$P$7^2))))*$U$5)/(18*$P$15))*('IN-OUT'!$F$15^(-1)))*BB116</f>
        <v>1.849963603870141E-3</v>
      </c>
      <c r="AY116" s="254">
        <f t="shared" si="90"/>
        <v>1.849963603870141E-3</v>
      </c>
      <c r="AZ116" s="254">
        <f t="shared" si="110"/>
        <v>0.18499636038701411</v>
      </c>
      <c r="BA116" s="254">
        <f t="shared" si="128"/>
        <v>1.3333333333333259E-3</v>
      </c>
      <c r="BB116" s="270">
        <f t="shared" si="93"/>
        <v>1.7511900715418266E-3</v>
      </c>
      <c r="BC116" s="253">
        <f t="shared" si="129"/>
        <v>6.6666666666666567E-4</v>
      </c>
      <c r="BD116" s="255">
        <f t="shared" si="111"/>
        <v>6.6666666666666569E-2</v>
      </c>
      <c r="BI116" s="248"/>
      <c r="BX116" s="258" t="e">
        <f>((((IF($Q$5=0,$Q$6,$Q$5)))/(12*$Q$19))+(((3*$Q$15)/(2*IF($Q$5=0,$Q$6,$Q$5)*$U$5*$Q$19))*'IN-OUT'!$F$15))*'Burland damage classification'!CB116</f>
        <v>#DIV/0!</v>
      </c>
      <c r="BY116" s="262">
        <f>(1+(((IF($Q$5=0,$Q$6^2,$Q$5^2))*$U$5)/(18*$Q$15))*('IN-OUT'!$F$15^(-1)))*CC116</f>
        <v>7.3029674334022191E-4</v>
      </c>
      <c r="BZ116" s="254" t="e">
        <f t="shared" si="96"/>
        <v>#DIV/0!</v>
      </c>
      <c r="CA116" s="254" t="e">
        <f t="shared" si="114"/>
        <v>#DIV/0!</v>
      </c>
      <c r="CB116" s="254">
        <f t="shared" si="132"/>
        <v>3.3333333333333489E-4</v>
      </c>
      <c r="CC116" s="253">
        <f t="shared" si="144"/>
        <v>7.3029674334022191E-4</v>
      </c>
      <c r="CD116" s="253">
        <f t="shared" si="133"/>
        <v>6.6666666666666567E-4</v>
      </c>
      <c r="CE116" s="255">
        <f t="shared" si="115"/>
        <v>6.6666666666666569E-2</v>
      </c>
      <c r="CG116" s="258" t="e">
        <f>((((IF($Q$5=0,$Q$6,$Q$5)))/(12*$Q$19))+(((3*$Q$15)/(2*IF($Q$5=0,$Q$6,$Q$5)*$U$5*$Q$19))*'IN-OUT'!$F$15))*'Burland damage classification'!CK116</f>
        <v>#DIV/0!</v>
      </c>
      <c r="CH116" s="262">
        <f>(1+(((IF($Q$5=0,$Q$6^2,$Q$5^2))*$U$5)/(18*$Q$15))*('IN-OUT'!$F$15^(-1)))*CL116</f>
        <v>1.7511900715418266E-3</v>
      </c>
      <c r="CI116" s="254" t="e">
        <f t="shared" si="98"/>
        <v>#DIV/0!</v>
      </c>
      <c r="CJ116" s="254" t="e">
        <f t="shared" si="116"/>
        <v>#DIV/0!</v>
      </c>
      <c r="CK116" s="254">
        <f t="shared" si="134"/>
        <v>1.3333333333333259E-3</v>
      </c>
      <c r="CL116" s="270">
        <f t="shared" si="99"/>
        <v>1.7511900715418266E-3</v>
      </c>
      <c r="CM116" s="253">
        <f t="shared" si="135"/>
        <v>6.6666666666666567E-4</v>
      </c>
      <c r="CN116" s="255">
        <f t="shared" si="117"/>
        <v>6.6666666666666569E-2</v>
      </c>
      <c r="CS116" s="248"/>
      <c r="DH116" s="258" t="e">
        <f>((((IF($R$5=0,$R$6,$R$5)))/(12*$R$19))+(((3*$R$15)/(2*IF($R$5=0,$R$6,$R$5)*$U$5*$R$19))*'IN-OUT'!$F$15))*'Burland damage classification'!DL116</f>
        <v>#DIV/0!</v>
      </c>
      <c r="DI116" s="262">
        <f>(1+(((IF($R$5=0,$R$6^2,$R$5^2))*$U$5)/(18*$R$15))*('IN-OUT'!$F$15^(-1)))*DM116</f>
        <v>7.3029674334022191E-4</v>
      </c>
      <c r="DJ116" s="254" t="e">
        <f t="shared" si="102"/>
        <v>#DIV/0!</v>
      </c>
      <c r="DK116" s="254" t="e">
        <f t="shared" si="120"/>
        <v>#DIV/0!</v>
      </c>
      <c r="DL116" s="254">
        <f t="shared" si="138"/>
        <v>3.3333333333333489E-4</v>
      </c>
      <c r="DM116" s="253">
        <f t="shared" si="145"/>
        <v>7.3029674334022191E-4</v>
      </c>
      <c r="DN116" s="253">
        <f t="shared" si="139"/>
        <v>6.6666666666666567E-4</v>
      </c>
      <c r="DO116" s="255">
        <f t="shared" si="121"/>
        <v>6.6666666666666569E-2</v>
      </c>
      <c r="DQ116" s="258" t="e">
        <f>((((IF($R$5=0,$R$6,$R$5)))/(12*$R$19))+(((3*$R$15)/(2*IF($R$5=0,$R$6,$R$5)*$U$5*$R$19))*'IN-OUT'!$F$15))*'Burland damage classification'!DU116</f>
        <v>#DIV/0!</v>
      </c>
      <c r="DR116" s="262">
        <f>(1+(((IF($R$5=0,$R$6^2,$R$5^2))*$U$5)/(18*$R$15))*('IN-OUT'!$F$15^(-1)))*DV116</f>
        <v>1.7511900715418266E-3</v>
      </c>
      <c r="DS116" s="254" t="e">
        <f t="shared" si="104"/>
        <v>#DIV/0!</v>
      </c>
      <c r="DT116" s="254" t="e">
        <f t="shared" si="122"/>
        <v>#DIV/0!</v>
      </c>
      <c r="DU116" s="254">
        <f t="shared" si="140"/>
        <v>1.3333333333333259E-3</v>
      </c>
      <c r="DV116" s="270">
        <f t="shared" si="105"/>
        <v>1.7511900715418266E-3</v>
      </c>
      <c r="DW116" s="253">
        <f t="shared" si="141"/>
        <v>6.6666666666666567E-4</v>
      </c>
      <c r="DX116" s="255">
        <f t="shared" si="123"/>
        <v>6.6666666666666569E-2</v>
      </c>
    </row>
    <row r="117" spans="3:128">
      <c r="C117" s="302" t="str">
        <f>$I$12</f>
        <v/>
      </c>
      <c r="D117" s="288" t="str">
        <f>L15</f>
        <v/>
      </c>
      <c r="E117" s="389" t="str">
        <f t="shared" si="142"/>
        <v/>
      </c>
      <c r="F117" s="397" t="str">
        <f t="shared" si="142"/>
        <v/>
      </c>
      <c r="U117" s="262"/>
      <c r="AN117" s="258">
        <f>(((IF($P$5&lt;&gt;0,$P$5,IF($P$6&lt;&gt;0,$P$6,IF($P$7&lt;&gt;0,$P$7,0))))/(12*$P$19))+(((3*$P$15)/(2*(IF($P$5&lt;&gt;0,$P$5,IF($P$6&lt;&gt;0,$P$6,IF($P$7&lt;&gt;0,$P$7,0))))*$U$5*$P$19))*'IN-OUT'!$F$15))*'Burland damage classification'!AR117</f>
        <v>1.0486497436916896E-3</v>
      </c>
      <c r="AO117" s="254">
        <f>(1+(((IF($P$5&lt;&gt;0,$P$5^2,IF($P$6&lt;&gt;0,$P$6^2,IF($P$7&lt;&gt;0,$P$7^2))))*$U$5)/(18*$P$15))*('IN-OUT'!$F$15^(-1)))*AS117</f>
        <v>7.6810547724026146E-4</v>
      </c>
      <c r="AP117" s="254">
        <f t="shared" si="89"/>
        <v>7.6810547724026146E-4</v>
      </c>
      <c r="AQ117" s="254">
        <f t="shared" si="108"/>
        <v>7.6810547724026151E-2</v>
      </c>
      <c r="AR117" s="254">
        <f t="shared" si="126"/>
        <v>3.2666666666666825E-4</v>
      </c>
      <c r="AS117" s="253">
        <f t="shared" si="143"/>
        <v>7.2709467517419451E-4</v>
      </c>
      <c r="AT117" s="253">
        <f t="shared" si="127"/>
        <v>6.7333333333333232E-4</v>
      </c>
      <c r="AU117" s="255">
        <f t="shared" si="109"/>
        <v>6.7333333333333231E-2</v>
      </c>
      <c r="AW117" s="258">
        <f>(((IF($P$5&lt;&gt;0,$P$5,IF($P$6&lt;&gt;0,$P$6,IF($P$7&lt;&gt;0,$P$7,0))))/(12*$P$19))+(((3*$P$15)/(2*(IF($P$5&lt;&gt;0,$P$5,IF($P$6&lt;&gt;0,$P$6,IF($P$7&lt;&gt;0,$P$7,0))))*$U$5*$P$19))*'IN-OUT'!$F$15))*'Burland damage classification'!BA117</f>
        <v>4.2588020202988588E-3</v>
      </c>
      <c r="AX117" s="254">
        <f>(1+(((IF($P$5&lt;&gt;0,$P$5^2,IF($P$6&lt;&gt;0,$P$6^2,IF($P$7&lt;&gt;0,$P$7^2))))*$U$5)/(18*$P$15))*('IN-OUT'!$F$15^(-1)))*BB117</f>
        <v>1.8471462966274256E-3</v>
      </c>
      <c r="AY117" s="254">
        <f t="shared" si="90"/>
        <v>1.8471462966274256E-3</v>
      </c>
      <c r="AZ117" s="254">
        <f t="shared" si="110"/>
        <v>0.18471462966274255</v>
      </c>
      <c r="BA117" s="254">
        <f t="shared" si="128"/>
        <v>1.3266666666666592E-3</v>
      </c>
      <c r="BB117" s="270">
        <f t="shared" si="93"/>
        <v>1.7485231863871107E-3</v>
      </c>
      <c r="BC117" s="253">
        <f t="shared" si="129"/>
        <v>6.7333333333333232E-4</v>
      </c>
      <c r="BD117" s="255">
        <f t="shared" si="111"/>
        <v>6.7333333333333231E-2</v>
      </c>
      <c r="BI117" s="248"/>
      <c r="BX117" s="258" t="e">
        <f>((((IF($Q$5=0,$Q$6,$Q$5)))/(12*$Q$19))+(((3*$Q$15)/(2*IF($Q$5=0,$Q$6,$Q$5)*$U$5*$Q$19))*'IN-OUT'!$F$15))*'Burland damage classification'!CB117</f>
        <v>#DIV/0!</v>
      </c>
      <c r="BY117" s="262">
        <f>(1+(((IF($Q$5=0,$Q$6^2,$Q$5^2))*$U$5)/(18*$Q$15))*('IN-OUT'!$F$15^(-1)))*CC117</f>
        <v>7.2709467517419451E-4</v>
      </c>
      <c r="BZ117" s="254" t="e">
        <f t="shared" si="96"/>
        <v>#DIV/0!</v>
      </c>
      <c r="CA117" s="254" t="e">
        <f t="shared" si="114"/>
        <v>#DIV/0!</v>
      </c>
      <c r="CB117" s="254">
        <f t="shared" si="132"/>
        <v>3.2666666666666825E-4</v>
      </c>
      <c r="CC117" s="253">
        <f t="shared" si="144"/>
        <v>7.2709467517419451E-4</v>
      </c>
      <c r="CD117" s="253">
        <f t="shared" si="133"/>
        <v>6.7333333333333232E-4</v>
      </c>
      <c r="CE117" s="255">
        <f t="shared" si="115"/>
        <v>6.7333333333333231E-2</v>
      </c>
      <c r="CG117" s="258" t="e">
        <f>((((IF($Q$5=0,$Q$6,$Q$5)))/(12*$Q$19))+(((3*$Q$15)/(2*IF($Q$5=0,$Q$6,$Q$5)*$U$5*$Q$19))*'IN-OUT'!$F$15))*'Burland damage classification'!CK117</f>
        <v>#DIV/0!</v>
      </c>
      <c r="CH117" s="262">
        <f>(1+(((IF($Q$5=0,$Q$6^2,$Q$5^2))*$U$5)/(18*$Q$15))*('IN-OUT'!$F$15^(-1)))*CL117</f>
        <v>1.7485231863871107E-3</v>
      </c>
      <c r="CI117" s="254" t="e">
        <f t="shared" si="98"/>
        <v>#DIV/0!</v>
      </c>
      <c r="CJ117" s="254" t="e">
        <f t="shared" si="116"/>
        <v>#DIV/0!</v>
      </c>
      <c r="CK117" s="254">
        <f t="shared" si="134"/>
        <v>1.3266666666666592E-3</v>
      </c>
      <c r="CL117" s="270">
        <f t="shared" si="99"/>
        <v>1.7485231863871107E-3</v>
      </c>
      <c r="CM117" s="253">
        <f t="shared" si="135"/>
        <v>6.7333333333333232E-4</v>
      </c>
      <c r="CN117" s="255">
        <f t="shared" si="117"/>
        <v>6.7333333333333231E-2</v>
      </c>
      <c r="CS117" s="248"/>
      <c r="DH117" s="258" t="e">
        <f>((((IF($R$5=0,$R$6,$R$5)))/(12*$R$19))+(((3*$R$15)/(2*IF($R$5=0,$R$6,$R$5)*$U$5*$R$19))*'IN-OUT'!$F$15))*'Burland damage classification'!DL117</f>
        <v>#DIV/0!</v>
      </c>
      <c r="DI117" s="262">
        <f>(1+(((IF($R$5=0,$R$6^2,$R$5^2))*$U$5)/(18*$R$15))*('IN-OUT'!$F$15^(-1)))*DM117</f>
        <v>7.2709467517419451E-4</v>
      </c>
      <c r="DJ117" s="254" t="e">
        <f t="shared" si="102"/>
        <v>#DIV/0!</v>
      </c>
      <c r="DK117" s="254" t="e">
        <f t="shared" si="120"/>
        <v>#DIV/0!</v>
      </c>
      <c r="DL117" s="254">
        <f t="shared" si="138"/>
        <v>3.2666666666666825E-4</v>
      </c>
      <c r="DM117" s="253">
        <f t="shared" si="145"/>
        <v>7.2709467517419451E-4</v>
      </c>
      <c r="DN117" s="253">
        <f t="shared" si="139"/>
        <v>6.7333333333333232E-4</v>
      </c>
      <c r="DO117" s="255">
        <f t="shared" si="121"/>
        <v>6.7333333333333231E-2</v>
      </c>
      <c r="DQ117" s="258" t="e">
        <f>((((IF($R$5=0,$R$6,$R$5)))/(12*$R$19))+(((3*$R$15)/(2*IF($R$5=0,$R$6,$R$5)*$U$5*$R$19))*'IN-OUT'!$F$15))*'Burland damage classification'!DU117</f>
        <v>#DIV/0!</v>
      </c>
      <c r="DR117" s="262">
        <f>(1+(((IF($R$5=0,$R$6^2,$R$5^2))*$U$5)/(18*$R$15))*('IN-OUT'!$F$15^(-1)))*DV117</f>
        <v>1.7485231863871107E-3</v>
      </c>
      <c r="DS117" s="254" t="e">
        <f t="shared" si="104"/>
        <v>#DIV/0!</v>
      </c>
      <c r="DT117" s="254" t="e">
        <f t="shared" si="122"/>
        <v>#DIV/0!</v>
      </c>
      <c r="DU117" s="254">
        <f t="shared" si="140"/>
        <v>1.3266666666666592E-3</v>
      </c>
      <c r="DV117" s="270">
        <f t="shared" si="105"/>
        <v>1.7485231863871107E-3</v>
      </c>
      <c r="DW117" s="253">
        <f t="shared" si="141"/>
        <v>6.7333333333333232E-4</v>
      </c>
      <c r="DX117" s="255">
        <f t="shared" si="123"/>
        <v>6.7333333333333231E-2</v>
      </c>
    </row>
    <row r="118" spans="3:128">
      <c r="C118" s="302" t="str">
        <f>$J$12</f>
        <v/>
      </c>
      <c r="D118" s="288" t="str">
        <f>M15</f>
        <v/>
      </c>
      <c r="E118" s="389" t="str">
        <f t="shared" si="142"/>
        <v/>
      </c>
      <c r="F118" s="397" t="str">
        <f t="shared" si="142"/>
        <v/>
      </c>
      <c r="U118" s="262"/>
      <c r="AN118" s="258">
        <f>(((IF($P$5&lt;&gt;0,$P$5,IF($P$6&lt;&gt;0,$P$6,IF($P$7&lt;&gt;0,$P$7,0))))/(12*$P$19))+(((3*$P$15)/(2*(IF($P$5&lt;&gt;0,$P$5,IF($P$6&lt;&gt;0,$P$6,IF($P$7&lt;&gt;0,$P$7,0))))*$U$5*$P$19))*'IN-OUT'!$F$15))*'Burland damage classification'!AR118</f>
        <v>1.0272487285143085E-3</v>
      </c>
      <c r="AO118" s="254">
        <f>(1+(((IF($P$5&lt;&gt;0,$P$5^2,IF($P$6&lt;&gt;0,$P$6^2,IF($P$7&lt;&gt;0,$P$7^2))))*$U$5)/(18*$P$15))*('IN-OUT'!$F$15^(-1)))*AS118</f>
        <v>7.6470783761943767E-4</v>
      </c>
      <c r="AP118" s="254">
        <f t="shared" si="89"/>
        <v>7.6470783761943767E-4</v>
      </c>
      <c r="AQ118" s="254">
        <f t="shared" si="108"/>
        <v>7.6470783761943772E-2</v>
      </c>
      <c r="AR118" s="254">
        <f t="shared" si="126"/>
        <v>3.200000000000016E-4</v>
      </c>
      <c r="AS118" s="253">
        <f t="shared" si="143"/>
        <v>7.2387844283415472E-4</v>
      </c>
      <c r="AT118" s="253">
        <f t="shared" si="127"/>
        <v>6.7999999999999896E-4</v>
      </c>
      <c r="AU118" s="255">
        <f t="shared" si="109"/>
        <v>6.7999999999999894E-2</v>
      </c>
      <c r="AW118" s="258">
        <f>(((IF($P$5&lt;&gt;0,$P$5,IF($P$6&lt;&gt;0,$P$6,IF($P$7&lt;&gt;0,$P$7,0))))/(12*$P$19))+(((3*$P$15)/(2*(IF($P$5&lt;&gt;0,$P$5,IF($P$6&lt;&gt;0,$P$6,IF($P$7&lt;&gt;0,$P$7,0))))*$U$5*$P$19))*'IN-OUT'!$F$15))*'Burland damage classification'!BA118</f>
        <v>4.237401005121477E-3</v>
      </c>
      <c r="AX118" s="254">
        <f>(1+(((IF($P$5&lt;&gt;0,$P$5^2,IF($P$6&lt;&gt;0,$P$6^2,IF($P$7&lt;&gt;0,$P$7^2))))*$U$5)/(18*$P$15))*('IN-OUT'!$F$15^(-1)))*BB118</f>
        <v>1.8443246857981993E-3</v>
      </c>
      <c r="AY118" s="254">
        <f t="shared" si="90"/>
        <v>1.8443246857981993E-3</v>
      </c>
      <c r="AZ118" s="254">
        <f t="shared" si="110"/>
        <v>0.18443246857981993</v>
      </c>
      <c r="BA118" s="254">
        <f t="shared" si="128"/>
        <v>1.3199999999999924E-3</v>
      </c>
      <c r="BB118" s="270">
        <f t="shared" si="93"/>
        <v>1.745852227423616E-3</v>
      </c>
      <c r="BC118" s="253">
        <f t="shared" si="129"/>
        <v>6.7999999999999896E-4</v>
      </c>
      <c r="BD118" s="255">
        <f t="shared" si="111"/>
        <v>6.7999999999999894E-2</v>
      </c>
      <c r="BI118" s="248"/>
      <c r="BX118" s="258" t="e">
        <f>((((IF($Q$5=0,$Q$6,$Q$5)))/(12*$Q$19))+(((3*$Q$15)/(2*IF($Q$5=0,$Q$6,$Q$5)*$U$5*$Q$19))*'IN-OUT'!$F$15))*'Burland damage classification'!CB118</f>
        <v>#DIV/0!</v>
      </c>
      <c r="BY118" s="262">
        <f>(1+(((IF($Q$5=0,$Q$6^2,$Q$5^2))*$U$5)/(18*$Q$15))*('IN-OUT'!$F$15^(-1)))*CC118</f>
        <v>7.2387844283415472E-4</v>
      </c>
      <c r="BZ118" s="254" t="e">
        <f t="shared" si="96"/>
        <v>#DIV/0!</v>
      </c>
      <c r="CA118" s="254" t="e">
        <f t="shared" si="114"/>
        <v>#DIV/0!</v>
      </c>
      <c r="CB118" s="254">
        <f t="shared" si="132"/>
        <v>3.200000000000016E-4</v>
      </c>
      <c r="CC118" s="253">
        <f t="shared" si="144"/>
        <v>7.2387844283415472E-4</v>
      </c>
      <c r="CD118" s="253">
        <f t="shared" si="133"/>
        <v>6.7999999999999896E-4</v>
      </c>
      <c r="CE118" s="255">
        <f t="shared" si="115"/>
        <v>6.7999999999999894E-2</v>
      </c>
      <c r="CG118" s="258" t="e">
        <f>((((IF($Q$5=0,$Q$6,$Q$5)))/(12*$Q$19))+(((3*$Q$15)/(2*IF($Q$5=0,$Q$6,$Q$5)*$U$5*$Q$19))*'IN-OUT'!$F$15))*'Burland damage classification'!CK118</f>
        <v>#DIV/0!</v>
      </c>
      <c r="CH118" s="262">
        <f>(1+(((IF($Q$5=0,$Q$6^2,$Q$5^2))*$U$5)/(18*$Q$15))*('IN-OUT'!$F$15^(-1)))*CL118</f>
        <v>1.745852227423616E-3</v>
      </c>
      <c r="CI118" s="254" t="e">
        <f t="shared" si="98"/>
        <v>#DIV/0!</v>
      </c>
      <c r="CJ118" s="254" t="e">
        <f t="shared" si="116"/>
        <v>#DIV/0!</v>
      </c>
      <c r="CK118" s="254">
        <f t="shared" si="134"/>
        <v>1.3199999999999924E-3</v>
      </c>
      <c r="CL118" s="270">
        <f t="shared" si="99"/>
        <v>1.745852227423616E-3</v>
      </c>
      <c r="CM118" s="253">
        <f t="shared" si="135"/>
        <v>6.7999999999999896E-4</v>
      </c>
      <c r="CN118" s="255">
        <f t="shared" si="117"/>
        <v>6.7999999999999894E-2</v>
      </c>
      <c r="CS118" s="248"/>
      <c r="DH118" s="258" t="e">
        <f>((((IF($R$5=0,$R$6,$R$5)))/(12*$R$19))+(((3*$R$15)/(2*IF($R$5=0,$R$6,$R$5)*$U$5*$R$19))*'IN-OUT'!$F$15))*'Burland damage classification'!DL118</f>
        <v>#DIV/0!</v>
      </c>
      <c r="DI118" s="262">
        <f>(1+(((IF($R$5=0,$R$6^2,$R$5^2))*$U$5)/(18*$R$15))*('IN-OUT'!$F$15^(-1)))*DM118</f>
        <v>7.2387844283415472E-4</v>
      </c>
      <c r="DJ118" s="254" t="e">
        <f t="shared" si="102"/>
        <v>#DIV/0!</v>
      </c>
      <c r="DK118" s="254" t="e">
        <f t="shared" si="120"/>
        <v>#DIV/0!</v>
      </c>
      <c r="DL118" s="254">
        <f t="shared" si="138"/>
        <v>3.200000000000016E-4</v>
      </c>
      <c r="DM118" s="253">
        <f t="shared" si="145"/>
        <v>7.2387844283415472E-4</v>
      </c>
      <c r="DN118" s="253">
        <f t="shared" si="139"/>
        <v>6.7999999999999896E-4</v>
      </c>
      <c r="DO118" s="255">
        <f t="shared" si="121"/>
        <v>6.7999999999999894E-2</v>
      </c>
      <c r="DQ118" s="258" t="e">
        <f>((((IF($R$5=0,$R$6,$R$5)))/(12*$R$19))+(((3*$R$15)/(2*IF($R$5=0,$R$6,$R$5)*$U$5*$R$19))*'IN-OUT'!$F$15))*'Burland damage classification'!DU118</f>
        <v>#DIV/0!</v>
      </c>
      <c r="DR118" s="262">
        <f>(1+(((IF($R$5=0,$R$6^2,$R$5^2))*$U$5)/(18*$R$15))*('IN-OUT'!$F$15^(-1)))*DV118</f>
        <v>1.745852227423616E-3</v>
      </c>
      <c r="DS118" s="254" t="e">
        <f t="shared" si="104"/>
        <v>#DIV/0!</v>
      </c>
      <c r="DT118" s="254" t="e">
        <f t="shared" si="122"/>
        <v>#DIV/0!</v>
      </c>
      <c r="DU118" s="254">
        <f t="shared" si="140"/>
        <v>1.3199999999999924E-3</v>
      </c>
      <c r="DV118" s="270">
        <f t="shared" si="105"/>
        <v>1.745852227423616E-3</v>
      </c>
      <c r="DW118" s="253">
        <f t="shared" si="141"/>
        <v>6.7999999999999896E-4</v>
      </c>
      <c r="DX118" s="255">
        <f t="shared" si="123"/>
        <v>6.7999999999999894E-2</v>
      </c>
    </row>
    <row r="119" spans="3:128">
      <c r="C119" s="302" t="str">
        <f>$I$13</f>
        <v/>
      </c>
      <c r="D119" s="288" t="str">
        <f>L16</f>
        <v/>
      </c>
      <c r="E119" s="389" t="str">
        <f t="shared" si="142"/>
        <v/>
      </c>
      <c r="F119" s="397" t="str">
        <f t="shared" si="142"/>
        <v/>
      </c>
      <c r="U119" s="262"/>
      <c r="AN119" s="258">
        <f>(((IF($P$5&lt;&gt;0,$P$5,IF($P$6&lt;&gt;0,$P$6,IF($P$7&lt;&gt;0,$P$7,0))))/(12*$P$19))+(((3*$P$15)/(2*(IF($P$5&lt;&gt;0,$P$5,IF($P$6&lt;&gt;0,$P$6,IF($P$7&lt;&gt;0,$P$7,0))))*$U$5*$P$19))*'IN-OUT'!$F$15))*'Burland damage classification'!AR119</f>
        <v>1.0058477133369271E-3</v>
      </c>
      <c r="AO119" s="254">
        <f>(1+(((IF($P$5&lt;&gt;0,$P$5^2,IF($P$6&lt;&gt;0,$P$6^2,IF($P$7&lt;&gt;0,$P$7^2))))*$U$5)/(18*$P$15))*('IN-OUT'!$F$15^(-1)))*AS119</f>
        <v>7.6129503457378659E-4</v>
      </c>
      <c r="AP119" s="254">
        <f t="shared" si="89"/>
        <v>7.6129503457378659E-4</v>
      </c>
      <c r="AQ119" s="254">
        <f t="shared" si="108"/>
        <v>7.6129503457378664E-2</v>
      </c>
      <c r="AR119" s="254">
        <f t="shared" si="126"/>
        <v>3.1333333333333495E-4</v>
      </c>
      <c r="AS119" s="253">
        <f t="shared" si="143"/>
        <v>7.206478566771249E-4</v>
      </c>
      <c r="AT119" s="253">
        <f t="shared" si="127"/>
        <v>6.8666666666666561E-4</v>
      </c>
      <c r="AU119" s="255">
        <f t="shared" si="109"/>
        <v>6.8666666666666556E-2</v>
      </c>
      <c r="AW119" s="258">
        <f>(((IF($P$5&lt;&gt;0,$P$5,IF($P$6&lt;&gt;0,$P$6,IF($P$7&lt;&gt;0,$P$7,0))))/(12*$P$19))+(((3*$P$15)/(2*(IF($P$5&lt;&gt;0,$P$5,IF($P$6&lt;&gt;0,$P$6,IF($P$7&lt;&gt;0,$P$7,0))))*$U$5*$P$19))*'IN-OUT'!$F$15))*'Burland damage classification'!BA119</f>
        <v>4.2159999899440952E-3</v>
      </c>
      <c r="AX119" s="254">
        <f>(1+(((IF($P$5&lt;&gt;0,$P$5^2,IF($P$6&lt;&gt;0,$P$6^2,IF($P$7&lt;&gt;0,$P$7^2))))*$U$5)/(18*$P$15))*('IN-OUT'!$F$15^(-1)))*BB119</f>
        <v>1.8414987516001307E-3</v>
      </c>
      <c r="AY119" s="254">
        <f t="shared" si="90"/>
        <v>1.8414987516001307E-3</v>
      </c>
      <c r="AZ119" s="254">
        <f t="shared" si="110"/>
        <v>0.18414987516001308</v>
      </c>
      <c r="BA119" s="254">
        <f t="shared" si="128"/>
        <v>1.3133333333333256E-3</v>
      </c>
      <c r="BB119" s="270">
        <f t="shared" si="93"/>
        <v>1.7431771759252321E-3</v>
      </c>
      <c r="BC119" s="253">
        <f t="shared" si="129"/>
        <v>6.8666666666666561E-4</v>
      </c>
      <c r="BD119" s="255">
        <f t="shared" si="111"/>
        <v>6.8666666666666556E-2</v>
      </c>
      <c r="BI119" s="248"/>
      <c r="BX119" s="258" t="e">
        <f>((((IF($Q$5=0,$Q$6,$Q$5)))/(12*$Q$19))+(((3*$Q$15)/(2*IF($Q$5=0,$Q$6,$Q$5)*$U$5*$Q$19))*'IN-OUT'!$F$15))*'Burland damage classification'!CB119</f>
        <v>#DIV/0!</v>
      </c>
      <c r="BY119" s="262">
        <f>(1+(((IF($Q$5=0,$Q$6^2,$Q$5^2))*$U$5)/(18*$Q$15))*('IN-OUT'!$F$15^(-1)))*CC119</f>
        <v>7.206478566771249E-4</v>
      </c>
      <c r="BZ119" s="254" t="e">
        <f t="shared" si="96"/>
        <v>#DIV/0!</v>
      </c>
      <c r="CA119" s="254" t="e">
        <f t="shared" si="114"/>
        <v>#DIV/0!</v>
      </c>
      <c r="CB119" s="254">
        <f t="shared" si="132"/>
        <v>3.1333333333333495E-4</v>
      </c>
      <c r="CC119" s="253">
        <f t="shared" si="144"/>
        <v>7.206478566771249E-4</v>
      </c>
      <c r="CD119" s="253">
        <f t="shared" si="133"/>
        <v>6.8666666666666561E-4</v>
      </c>
      <c r="CE119" s="255">
        <f t="shared" si="115"/>
        <v>6.8666666666666556E-2</v>
      </c>
      <c r="CG119" s="258" t="e">
        <f>((((IF($Q$5=0,$Q$6,$Q$5)))/(12*$Q$19))+(((3*$Q$15)/(2*IF($Q$5=0,$Q$6,$Q$5)*$U$5*$Q$19))*'IN-OUT'!$F$15))*'Burland damage classification'!CK119</f>
        <v>#DIV/0!</v>
      </c>
      <c r="CH119" s="262">
        <f>(1+(((IF($Q$5=0,$Q$6^2,$Q$5^2))*$U$5)/(18*$Q$15))*('IN-OUT'!$F$15^(-1)))*CL119</f>
        <v>1.7431771759252321E-3</v>
      </c>
      <c r="CI119" s="254" t="e">
        <f t="shared" si="98"/>
        <v>#DIV/0!</v>
      </c>
      <c r="CJ119" s="254" t="e">
        <f t="shared" si="116"/>
        <v>#DIV/0!</v>
      </c>
      <c r="CK119" s="254">
        <f t="shared" si="134"/>
        <v>1.3133333333333256E-3</v>
      </c>
      <c r="CL119" s="270">
        <f t="shared" si="99"/>
        <v>1.7431771759252321E-3</v>
      </c>
      <c r="CM119" s="253">
        <f t="shared" si="135"/>
        <v>6.8666666666666561E-4</v>
      </c>
      <c r="CN119" s="255">
        <f t="shared" si="117"/>
        <v>6.8666666666666556E-2</v>
      </c>
      <c r="CS119" s="248"/>
      <c r="DH119" s="258" t="e">
        <f>((((IF($R$5=0,$R$6,$R$5)))/(12*$R$19))+(((3*$R$15)/(2*IF($R$5=0,$R$6,$R$5)*$U$5*$R$19))*'IN-OUT'!$F$15))*'Burland damage classification'!DL119</f>
        <v>#DIV/0!</v>
      </c>
      <c r="DI119" s="262">
        <f>(1+(((IF($R$5=0,$R$6^2,$R$5^2))*$U$5)/(18*$R$15))*('IN-OUT'!$F$15^(-1)))*DM119</f>
        <v>7.206478566771249E-4</v>
      </c>
      <c r="DJ119" s="254" t="e">
        <f t="shared" si="102"/>
        <v>#DIV/0!</v>
      </c>
      <c r="DK119" s="254" t="e">
        <f t="shared" si="120"/>
        <v>#DIV/0!</v>
      </c>
      <c r="DL119" s="254">
        <f t="shared" si="138"/>
        <v>3.1333333333333495E-4</v>
      </c>
      <c r="DM119" s="253">
        <f t="shared" si="145"/>
        <v>7.206478566771249E-4</v>
      </c>
      <c r="DN119" s="253">
        <f t="shared" si="139"/>
        <v>6.8666666666666561E-4</v>
      </c>
      <c r="DO119" s="255">
        <f t="shared" si="121"/>
        <v>6.8666666666666556E-2</v>
      </c>
      <c r="DQ119" s="258" t="e">
        <f>((((IF($R$5=0,$R$6,$R$5)))/(12*$R$19))+(((3*$R$15)/(2*IF($R$5=0,$R$6,$R$5)*$U$5*$R$19))*'IN-OUT'!$F$15))*'Burland damage classification'!DU119</f>
        <v>#DIV/0!</v>
      </c>
      <c r="DR119" s="262">
        <f>(1+(((IF($R$5=0,$R$6^2,$R$5^2))*$U$5)/(18*$R$15))*('IN-OUT'!$F$15^(-1)))*DV119</f>
        <v>1.7431771759252321E-3</v>
      </c>
      <c r="DS119" s="254" t="e">
        <f t="shared" si="104"/>
        <v>#DIV/0!</v>
      </c>
      <c r="DT119" s="254" t="e">
        <f t="shared" si="122"/>
        <v>#DIV/0!</v>
      </c>
      <c r="DU119" s="254">
        <f t="shared" si="140"/>
        <v>1.3133333333333256E-3</v>
      </c>
      <c r="DV119" s="270">
        <f t="shared" si="105"/>
        <v>1.7431771759252321E-3</v>
      </c>
      <c r="DW119" s="253">
        <f t="shared" si="141"/>
        <v>6.8666666666666561E-4</v>
      </c>
      <c r="DX119" s="255">
        <f t="shared" si="123"/>
        <v>6.8666666666666556E-2</v>
      </c>
    </row>
    <row r="120" spans="3:128">
      <c r="C120" s="302" t="str">
        <f>$J$13</f>
        <v/>
      </c>
      <c r="D120" s="288" t="str">
        <f>M16</f>
        <v/>
      </c>
      <c r="E120" s="389" t="str">
        <f t="shared" si="142"/>
        <v/>
      </c>
      <c r="F120" s="397" t="str">
        <f t="shared" si="142"/>
        <v/>
      </c>
      <c r="U120" s="262"/>
      <c r="AN120" s="258">
        <f>(((IF($P$5&lt;&gt;0,$P$5,IF($P$6&lt;&gt;0,$P$6,IF($P$7&lt;&gt;0,$P$7,0))))/(12*$P$19))+(((3*$P$15)/(2*(IF($P$5&lt;&gt;0,$P$5,IF($P$6&lt;&gt;0,$P$6,IF($P$7&lt;&gt;0,$P$7,0))))*$U$5*$P$19))*'IN-OUT'!$F$15))*'Burland damage classification'!AR120</f>
        <v>9.8444669815954595E-4</v>
      </c>
      <c r="AO120" s="254">
        <f>(1+(((IF($P$5&lt;&gt;0,$P$5^2,IF($P$6&lt;&gt;0,$P$6^2,IF($P$7&lt;&gt;0,$P$7^2))))*$U$5)/(18*$P$15))*('IN-OUT'!$F$15^(-1)))*AS120</f>
        <v>7.5786686325291311E-4</v>
      </c>
      <c r="AP120" s="254">
        <f t="shared" si="89"/>
        <v>7.5786686325291311E-4</v>
      </c>
      <c r="AQ120" s="254">
        <f t="shared" si="108"/>
        <v>7.5786686325291314E-2</v>
      </c>
      <c r="AR120" s="254">
        <f t="shared" si="126"/>
        <v>3.066666666666683E-4</v>
      </c>
      <c r="AS120" s="253">
        <f t="shared" si="143"/>
        <v>7.1740272279011271E-4</v>
      </c>
      <c r="AT120" s="253">
        <f t="shared" si="127"/>
        <v>6.9333333333333226E-4</v>
      </c>
      <c r="AU120" s="255">
        <f t="shared" si="109"/>
        <v>6.9333333333333219E-2</v>
      </c>
      <c r="AW120" s="258">
        <f>(((IF($P$5&lt;&gt;0,$P$5,IF($P$6&lt;&gt;0,$P$6,IF($P$7&lt;&gt;0,$P$7,0))))/(12*$P$19))+(((3*$P$15)/(2*(IF($P$5&lt;&gt;0,$P$5,IF($P$6&lt;&gt;0,$P$6,IF($P$7&lt;&gt;0,$P$7,0))))*$U$5*$P$19))*'IN-OUT'!$F$15))*'Burland damage classification'!BA120</f>
        <v>4.1945989747667134E-3</v>
      </c>
      <c r="AX120" s="254">
        <f>(1+(((IF($P$5&lt;&gt;0,$P$5^2,IF($P$6&lt;&gt;0,$P$6^2,IF($P$7&lt;&gt;0,$P$7^2))))*$U$5)/(18*$P$15))*('IN-OUT'!$F$15^(-1)))*BB120</f>
        <v>1.8386684740988662E-3</v>
      </c>
      <c r="AY120" s="254">
        <f t="shared" si="90"/>
        <v>1.8386684740988662E-3</v>
      </c>
      <c r="AZ120" s="254">
        <f t="shared" si="110"/>
        <v>0.18386684740988662</v>
      </c>
      <c r="BA120" s="254">
        <f t="shared" si="128"/>
        <v>1.3066666666666589E-3</v>
      </c>
      <c r="BB120" s="270">
        <f t="shared" si="93"/>
        <v>1.7404980130219438E-3</v>
      </c>
      <c r="BC120" s="253">
        <f t="shared" si="129"/>
        <v>6.9333333333333226E-4</v>
      </c>
      <c r="BD120" s="255">
        <f t="shared" si="111"/>
        <v>6.9333333333333219E-2</v>
      </c>
      <c r="BI120" s="248"/>
      <c r="BX120" s="258" t="e">
        <f>((((IF($Q$5=0,$Q$6,$Q$5)))/(12*$Q$19))+(((3*$Q$15)/(2*IF($Q$5=0,$Q$6,$Q$5)*$U$5*$Q$19))*'IN-OUT'!$F$15))*'Burland damage classification'!CB120</f>
        <v>#DIV/0!</v>
      </c>
      <c r="BY120" s="262">
        <f>(1+(((IF($Q$5=0,$Q$6^2,$Q$5^2))*$U$5)/(18*$Q$15))*('IN-OUT'!$F$15^(-1)))*CC120</f>
        <v>7.1740272279011271E-4</v>
      </c>
      <c r="BZ120" s="254" t="e">
        <f t="shared" si="96"/>
        <v>#DIV/0!</v>
      </c>
      <c r="CA120" s="254" t="e">
        <f t="shared" si="114"/>
        <v>#DIV/0!</v>
      </c>
      <c r="CB120" s="254">
        <f t="shared" si="132"/>
        <v>3.066666666666683E-4</v>
      </c>
      <c r="CC120" s="253">
        <f t="shared" si="144"/>
        <v>7.1740272279011271E-4</v>
      </c>
      <c r="CD120" s="253">
        <f t="shared" si="133"/>
        <v>6.9333333333333226E-4</v>
      </c>
      <c r="CE120" s="255">
        <f t="shared" si="115"/>
        <v>6.9333333333333219E-2</v>
      </c>
      <c r="CG120" s="258" t="e">
        <f>((((IF($Q$5=0,$Q$6,$Q$5)))/(12*$Q$19))+(((3*$Q$15)/(2*IF($Q$5=0,$Q$6,$Q$5)*$U$5*$Q$19))*'IN-OUT'!$F$15))*'Burland damage classification'!CK120</f>
        <v>#DIV/0!</v>
      </c>
      <c r="CH120" s="262">
        <f>(1+(((IF($Q$5=0,$Q$6^2,$Q$5^2))*$U$5)/(18*$Q$15))*('IN-OUT'!$F$15^(-1)))*CL120</f>
        <v>1.7404980130219438E-3</v>
      </c>
      <c r="CI120" s="254" t="e">
        <f t="shared" si="98"/>
        <v>#DIV/0!</v>
      </c>
      <c r="CJ120" s="254" t="e">
        <f t="shared" si="116"/>
        <v>#DIV/0!</v>
      </c>
      <c r="CK120" s="254">
        <f t="shared" si="134"/>
        <v>1.3066666666666589E-3</v>
      </c>
      <c r="CL120" s="270">
        <f t="shared" si="99"/>
        <v>1.7404980130219438E-3</v>
      </c>
      <c r="CM120" s="253">
        <f t="shared" si="135"/>
        <v>6.9333333333333226E-4</v>
      </c>
      <c r="CN120" s="255">
        <f t="shared" si="117"/>
        <v>6.9333333333333219E-2</v>
      </c>
      <c r="CS120" s="248"/>
      <c r="DH120" s="258" t="e">
        <f>((((IF($R$5=0,$R$6,$R$5)))/(12*$R$19))+(((3*$R$15)/(2*IF($R$5=0,$R$6,$R$5)*$U$5*$R$19))*'IN-OUT'!$F$15))*'Burland damage classification'!DL120</f>
        <v>#DIV/0!</v>
      </c>
      <c r="DI120" s="262">
        <f>(1+(((IF($R$5=0,$R$6^2,$R$5^2))*$U$5)/(18*$R$15))*('IN-OUT'!$F$15^(-1)))*DM120</f>
        <v>7.1740272279011271E-4</v>
      </c>
      <c r="DJ120" s="254" t="e">
        <f t="shared" si="102"/>
        <v>#DIV/0!</v>
      </c>
      <c r="DK120" s="254" t="e">
        <f t="shared" si="120"/>
        <v>#DIV/0!</v>
      </c>
      <c r="DL120" s="254">
        <f t="shared" si="138"/>
        <v>3.066666666666683E-4</v>
      </c>
      <c r="DM120" s="253">
        <f t="shared" si="145"/>
        <v>7.1740272279011271E-4</v>
      </c>
      <c r="DN120" s="253">
        <f t="shared" si="139"/>
        <v>6.9333333333333226E-4</v>
      </c>
      <c r="DO120" s="255">
        <f t="shared" si="121"/>
        <v>6.9333333333333219E-2</v>
      </c>
      <c r="DQ120" s="258" t="e">
        <f>((((IF($R$5=0,$R$6,$R$5)))/(12*$R$19))+(((3*$R$15)/(2*IF($R$5=0,$R$6,$R$5)*$U$5*$R$19))*'IN-OUT'!$F$15))*'Burland damage classification'!DU120</f>
        <v>#DIV/0!</v>
      </c>
      <c r="DR120" s="262">
        <f>(1+(((IF($R$5=0,$R$6^2,$R$5^2))*$U$5)/(18*$R$15))*('IN-OUT'!$F$15^(-1)))*DV120</f>
        <v>1.7404980130219438E-3</v>
      </c>
      <c r="DS120" s="254" t="e">
        <f t="shared" si="104"/>
        <v>#DIV/0!</v>
      </c>
      <c r="DT120" s="254" t="e">
        <f t="shared" si="122"/>
        <v>#DIV/0!</v>
      </c>
      <c r="DU120" s="254">
        <f t="shared" si="140"/>
        <v>1.3066666666666589E-3</v>
      </c>
      <c r="DV120" s="270">
        <f t="shared" si="105"/>
        <v>1.7404980130219438E-3</v>
      </c>
      <c r="DW120" s="253">
        <f t="shared" si="141"/>
        <v>6.9333333333333226E-4</v>
      </c>
      <c r="DX120" s="255">
        <f t="shared" si="123"/>
        <v>6.9333333333333219E-2</v>
      </c>
    </row>
    <row r="121" spans="3:128">
      <c r="C121" s="302" t="str">
        <f>$I$15</f>
        <v/>
      </c>
      <c r="D121" s="288" t="str">
        <f>L17</f>
        <v/>
      </c>
      <c r="E121" s="389" t="str">
        <f t="shared" si="142"/>
        <v/>
      </c>
      <c r="F121" s="397" t="str">
        <f t="shared" si="142"/>
        <v/>
      </c>
      <c r="U121" s="262"/>
      <c r="AN121" s="258">
        <f>(((IF($P$5&lt;&gt;0,$P$5,IF($P$6&lt;&gt;0,$P$6,IF($P$7&lt;&gt;0,$P$7,0))))/(12*$P$19))+(((3*$P$15)/(2*(IF($P$5&lt;&gt;0,$P$5,IF($P$6&lt;&gt;0,$P$6,IF($P$7&lt;&gt;0,$P$7,0))))*$U$5*$P$19))*'IN-OUT'!$F$15))*'Burland damage classification'!AR121</f>
        <v>9.6304568298216469E-4</v>
      </c>
      <c r="AO121" s="254">
        <f>(1+(((IF($P$5&lt;&gt;0,$P$5^2,IF($P$6&lt;&gt;0,$P$6^2,IF($P$7&lt;&gt;0,$P$7^2))))*$U$5)/(18*$P$15))*('IN-OUT'!$F$15^(-1)))*AS121</f>
        <v>7.5442311415207608E-4</v>
      </c>
      <c r="AP121" s="254">
        <f t="shared" si="89"/>
        <v>7.5442311415207608E-4</v>
      </c>
      <c r="AQ121" s="254">
        <f t="shared" si="108"/>
        <v>7.5442311415207602E-2</v>
      </c>
      <c r="AR121" s="254">
        <f t="shared" si="126"/>
        <v>3.0000000000000165E-4</v>
      </c>
      <c r="AS121" s="253">
        <f t="shared" si="143"/>
        <v>7.1414284285428546E-4</v>
      </c>
      <c r="AT121" s="253">
        <f t="shared" si="127"/>
        <v>6.9999999999999891E-4</v>
      </c>
      <c r="AU121" s="255">
        <f t="shared" si="109"/>
        <v>6.9999999999999896E-2</v>
      </c>
      <c r="AW121" s="258">
        <f>(((IF($P$5&lt;&gt;0,$P$5,IF($P$6&lt;&gt;0,$P$6,IF($P$7&lt;&gt;0,$P$7,0))))/(12*$P$19))+(((3*$P$15)/(2*(IF($P$5&lt;&gt;0,$P$5,IF($P$6&lt;&gt;0,$P$6,IF($P$7&lt;&gt;0,$P$7,0))))*$U$5*$P$19))*'IN-OUT'!$F$15))*'Burland damage classification'!BA121</f>
        <v>4.1731979595893325E-3</v>
      </c>
      <c r="AX121" s="254">
        <f>(1+(((IF($P$5&lt;&gt;0,$P$5^2,IF($P$6&lt;&gt;0,$P$6^2,IF($P$7&lt;&gt;0,$P$7^2))))*$U$5)/(18*$P$15))*('IN-OUT'!$F$15^(-1)))*BB121</f>
        <v>1.8358338332063898E-3</v>
      </c>
      <c r="AY121" s="254">
        <f t="shared" si="90"/>
        <v>1.8358338332063898E-3</v>
      </c>
      <c r="AZ121" s="254">
        <f t="shared" si="110"/>
        <v>0.18358338332063898</v>
      </c>
      <c r="BA121" s="254">
        <f t="shared" si="128"/>
        <v>1.2999999999999921E-3</v>
      </c>
      <c r="BB121" s="270">
        <f t="shared" si="93"/>
        <v>1.7378147196982772E-3</v>
      </c>
      <c r="BC121" s="253">
        <f t="shared" si="129"/>
        <v>6.9999999999999891E-4</v>
      </c>
      <c r="BD121" s="255">
        <f t="shared" si="111"/>
        <v>6.9999999999999896E-2</v>
      </c>
      <c r="BI121" s="248"/>
      <c r="BX121" s="258" t="e">
        <f>((((IF($Q$5=0,$Q$6,$Q$5)))/(12*$Q$19))+(((3*$Q$15)/(2*IF($Q$5=0,$Q$6,$Q$5)*$U$5*$Q$19))*'IN-OUT'!$F$15))*'Burland damage classification'!CB121</f>
        <v>#DIV/0!</v>
      </c>
      <c r="BY121" s="262">
        <f>(1+(((IF($Q$5=0,$Q$6^2,$Q$5^2))*$U$5)/(18*$Q$15))*('IN-OUT'!$F$15^(-1)))*CC121</f>
        <v>7.1414284285428546E-4</v>
      </c>
      <c r="BZ121" s="254" t="e">
        <f t="shared" si="96"/>
        <v>#DIV/0!</v>
      </c>
      <c r="CA121" s="254" t="e">
        <f t="shared" si="114"/>
        <v>#DIV/0!</v>
      </c>
      <c r="CB121" s="254">
        <f t="shared" si="132"/>
        <v>3.0000000000000165E-4</v>
      </c>
      <c r="CC121" s="253">
        <f t="shared" si="144"/>
        <v>7.1414284285428546E-4</v>
      </c>
      <c r="CD121" s="253">
        <f t="shared" si="133"/>
        <v>6.9999999999999891E-4</v>
      </c>
      <c r="CE121" s="255">
        <f t="shared" si="115"/>
        <v>6.9999999999999896E-2</v>
      </c>
      <c r="CG121" s="258" t="e">
        <f>((((IF($Q$5=0,$Q$6,$Q$5)))/(12*$Q$19))+(((3*$Q$15)/(2*IF($Q$5=0,$Q$6,$Q$5)*$U$5*$Q$19))*'IN-OUT'!$F$15))*'Burland damage classification'!CK121</f>
        <v>#DIV/0!</v>
      </c>
      <c r="CH121" s="262">
        <f>(1+(((IF($Q$5=0,$Q$6^2,$Q$5^2))*$U$5)/(18*$Q$15))*('IN-OUT'!$F$15^(-1)))*CL121</f>
        <v>1.7378147196982772E-3</v>
      </c>
      <c r="CI121" s="254" t="e">
        <f t="shared" si="98"/>
        <v>#DIV/0!</v>
      </c>
      <c r="CJ121" s="254" t="e">
        <f t="shared" si="116"/>
        <v>#DIV/0!</v>
      </c>
      <c r="CK121" s="254">
        <f t="shared" si="134"/>
        <v>1.2999999999999921E-3</v>
      </c>
      <c r="CL121" s="270">
        <f t="shared" si="99"/>
        <v>1.7378147196982772E-3</v>
      </c>
      <c r="CM121" s="253">
        <f t="shared" si="135"/>
        <v>6.9999999999999891E-4</v>
      </c>
      <c r="CN121" s="255">
        <f t="shared" si="117"/>
        <v>6.9999999999999896E-2</v>
      </c>
      <c r="CS121" s="248"/>
      <c r="DH121" s="258" t="e">
        <f>((((IF($R$5=0,$R$6,$R$5)))/(12*$R$19))+(((3*$R$15)/(2*IF($R$5=0,$R$6,$R$5)*$U$5*$R$19))*'IN-OUT'!$F$15))*'Burland damage classification'!DL121</f>
        <v>#DIV/0!</v>
      </c>
      <c r="DI121" s="262">
        <f>(1+(((IF($R$5=0,$R$6^2,$R$5^2))*$U$5)/(18*$R$15))*('IN-OUT'!$F$15^(-1)))*DM121</f>
        <v>7.1414284285428546E-4</v>
      </c>
      <c r="DJ121" s="254" t="e">
        <f t="shared" si="102"/>
        <v>#DIV/0!</v>
      </c>
      <c r="DK121" s="254" t="e">
        <f t="shared" si="120"/>
        <v>#DIV/0!</v>
      </c>
      <c r="DL121" s="254">
        <f t="shared" si="138"/>
        <v>3.0000000000000165E-4</v>
      </c>
      <c r="DM121" s="253">
        <f t="shared" si="145"/>
        <v>7.1414284285428546E-4</v>
      </c>
      <c r="DN121" s="253">
        <f t="shared" si="139"/>
        <v>6.9999999999999891E-4</v>
      </c>
      <c r="DO121" s="255">
        <f t="shared" si="121"/>
        <v>6.9999999999999896E-2</v>
      </c>
      <c r="DQ121" s="258" t="e">
        <f>((((IF($R$5=0,$R$6,$R$5)))/(12*$R$19))+(((3*$R$15)/(2*IF($R$5=0,$R$6,$R$5)*$U$5*$R$19))*'IN-OUT'!$F$15))*'Burland damage classification'!DU121</f>
        <v>#DIV/0!</v>
      </c>
      <c r="DR121" s="262">
        <f>(1+(((IF($R$5=0,$R$6^2,$R$5^2))*$U$5)/(18*$R$15))*('IN-OUT'!$F$15^(-1)))*DV121</f>
        <v>1.7378147196982772E-3</v>
      </c>
      <c r="DS121" s="254" t="e">
        <f t="shared" si="104"/>
        <v>#DIV/0!</v>
      </c>
      <c r="DT121" s="254" t="e">
        <f t="shared" si="122"/>
        <v>#DIV/0!</v>
      </c>
      <c r="DU121" s="254">
        <f t="shared" si="140"/>
        <v>1.2999999999999921E-3</v>
      </c>
      <c r="DV121" s="270">
        <f t="shared" si="105"/>
        <v>1.7378147196982772E-3</v>
      </c>
      <c r="DW121" s="253">
        <f t="shared" si="141"/>
        <v>6.9999999999999891E-4</v>
      </c>
      <c r="DX121" s="255">
        <f t="shared" si="123"/>
        <v>6.9999999999999896E-2</v>
      </c>
    </row>
    <row r="122" spans="3:128">
      <c r="C122" s="302" t="str">
        <f>$J$15</f>
        <v/>
      </c>
      <c r="D122" s="288" t="str">
        <f>M17</f>
        <v/>
      </c>
      <c r="E122" s="389" t="str">
        <f t="shared" si="142"/>
        <v/>
      </c>
      <c r="F122" s="397" t="str">
        <f t="shared" si="142"/>
        <v/>
      </c>
      <c r="U122" s="262"/>
      <c r="AN122" s="258">
        <f>(((IF($P$5&lt;&gt;0,$P$5,IF($P$6&lt;&gt;0,$P$6,IF($P$7&lt;&gt;0,$P$7,0))))/(12*$P$19))+(((3*$P$15)/(2*(IF($P$5&lt;&gt;0,$P$5,IF($P$6&lt;&gt;0,$P$6,IF($P$7&lt;&gt;0,$P$7,0))))*$U$5*$P$19))*'IN-OUT'!$F$15))*'Burland damage classification'!AR122</f>
        <v>9.4164466780478342E-4</v>
      </c>
      <c r="AO122" s="254">
        <f>(1+(((IF($P$5&lt;&gt;0,$P$5^2,IF($P$6&lt;&gt;0,$P$6^2,IF($P$7&lt;&gt;0,$P$7^2))))*$U$5)/(18*$P$15))*('IN-OUT'!$F$15^(-1)))*AS122</f>
        <v>7.50963572962779E-4</v>
      </c>
      <c r="AP122" s="254">
        <f t="shared" si="89"/>
        <v>7.50963572962779E-4</v>
      </c>
      <c r="AQ122" s="254">
        <f t="shared" si="108"/>
        <v>7.5096357296277894E-2</v>
      </c>
      <c r="AR122" s="254">
        <f t="shared" si="126"/>
        <v>2.9333333333333501E-4</v>
      </c>
      <c r="AS122" s="253">
        <f t="shared" si="143"/>
        <v>7.1086801400353783E-4</v>
      </c>
      <c r="AT122" s="253">
        <f t="shared" si="127"/>
        <v>7.0666666666666556E-4</v>
      </c>
      <c r="AU122" s="255">
        <f t="shared" si="109"/>
        <v>7.0666666666666558E-2</v>
      </c>
      <c r="AW122" s="258">
        <f>(((IF($P$5&lt;&gt;0,$P$5,IF($P$6&lt;&gt;0,$P$6,IF($P$7&lt;&gt;0,$P$7,0))))/(12*$P$19))+(((3*$P$15)/(2*(IF($P$5&lt;&gt;0,$P$5,IF($P$6&lt;&gt;0,$P$6,IF($P$7&lt;&gt;0,$P$7,0))))*$U$5*$P$19))*'IN-OUT'!$F$15))*'Burland damage classification'!BA122</f>
        <v>4.1517969444119507E-3</v>
      </c>
      <c r="AX122" s="254">
        <f>(1+(((IF($P$5&lt;&gt;0,$P$5^2,IF($P$6&lt;&gt;0,$P$6^2,IF($P$7&lt;&gt;0,$P$7^2))))*$U$5)/(18*$P$15))*('IN-OUT'!$F$15^(-1)))*BB122</f>
        <v>1.8329948086793588E-3</v>
      </c>
      <c r="AY122" s="254">
        <f t="shared" si="90"/>
        <v>1.8329948086793588E-3</v>
      </c>
      <c r="AZ122" s="254">
        <f t="shared" si="110"/>
        <v>0.18329948086793588</v>
      </c>
      <c r="BA122" s="254">
        <f t="shared" si="128"/>
        <v>1.2933333333333254E-3</v>
      </c>
      <c r="BB122" s="270">
        <f t="shared" si="93"/>
        <v>1.7351272767917251E-3</v>
      </c>
      <c r="BC122" s="253">
        <f t="shared" si="129"/>
        <v>7.0666666666666556E-4</v>
      </c>
      <c r="BD122" s="255">
        <f t="shared" si="111"/>
        <v>7.0666666666666558E-2</v>
      </c>
      <c r="BI122" s="248"/>
      <c r="BX122" s="258" t="e">
        <f>((((IF($Q$5=0,$Q$6,$Q$5)))/(12*$Q$19))+(((3*$Q$15)/(2*IF($Q$5=0,$Q$6,$Q$5)*$U$5*$Q$19))*'IN-OUT'!$F$15))*'Burland damage classification'!CB122</f>
        <v>#DIV/0!</v>
      </c>
      <c r="BY122" s="262">
        <f>(1+(((IF($Q$5=0,$Q$6^2,$Q$5^2))*$U$5)/(18*$Q$15))*('IN-OUT'!$F$15^(-1)))*CC122</f>
        <v>7.1086801400353783E-4</v>
      </c>
      <c r="BZ122" s="254" t="e">
        <f t="shared" si="96"/>
        <v>#DIV/0!</v>
      </c>
      <c r="CA122" s="254" t="e">
        <f t="shared" si="114"/>
        <v>#DIV/0!</v>
      </c>
      <c r="CB122" s="254">
        <f t="shared" si="132"/>
        <v>2.9333333333333501E-4</v>
      </c>
      <c r="CC122" s="253">
        <f t="shared" si="144"/>
        <v>7.1086801400353783E-4</v>
      </c>
      <c r="CD122" s="253">
        <f t="shared" si="133"/>
        <v>7.0666666666666556E-4</v>
      </c>
      <c r="CE122" s="255">
        <f t="shared" si="115"/>
        <v>7.0666666666666558E-2</v>
      </c>
      <c r="CG122" s="258" t="e">
        <f>((((IF($Q$5=0,$Q$6,$Q$5)))/(12*$Q$19))+(((3*$Q$15)/(2*IF($Q$5=0,$Q$6,$Q$5)*$U$5*$Q$19))*'IN-OUT'!$F$15))*'Burland damage classification'!CK122</f>
        <v>#DIV/0!</v>
      </c>
      <c r="CH122" s="262">
        <f>(1+(((IF($Q$5=0,$Q$6^2,$Q$5^2))*$U$5)/(18*$Q$15))*('IN-OUT'!$F$15^(-1)))*CL122</f>
        <v>1.7351272767917251E-3</v>
      </c>
      <c r="CI122" s="254" t="e">
        <f t="shared" si="98"/>
        <v>#DIV/0!</v>
      </c>
      <c r="CJ122" s="254" t="e">
        <f t="shared" si="116"/>
        <v>#DIV/0!</v>
      </c>
      <c r="CK122" s="254">
        <f t="shared" si="134"/>
        <v>1.2933333333333254E-3</v>
      </c>
      <c r="CL122" s="270">
        <f t="shared" si="99"/>
        <v>1.7351272767917251E-3</v>
      </c>
      <c r="CM122" s="253">
        <f t="shared" si="135"/>
        <v>7.0666666666666556E-4</v>
      </c>
      <c r="CN122" s="255">
        <f t="shared" si="117"/>
        <v>7.0666666666666558E-2</v>
      </c>
      <c r="CS122" s="248"/>
      <c r="DH122" s="258" t="e">
        <f>((((IF($R$5=0,$R$6,$R$5)))/(12*$R$19))+(((3*$R$15)/(2*IF($R$5=0,$R$6,$R$5)*$U$5*$R$19))*'IN-OUT'!$F$15))*'Burland damage classification'!DL122</f>
        <v>#DIV/0!</v>
      </c>
      <c r="DI122" s="262">
        <f>(1+(((IF($R$5=0,$R$6^2,$R$5^2))*$U$5)/(18*$R$15))*('IN-OUT'!$F$15^(-1)))*DM122</f>
        <v>7.1086801400353783E-4</v>
      </c>
      <c r="DJ122" s="254" t="e">
        <f t="shared" si="102"/>
        <v>#DIV/0!</v>
      </c>
      <c r="DK122" s="254" t="e">
        <f t="shared" si="120"/>
        <v>#DIV/0!</v>
      </c>
      <c r="DL122" s="254">
        <f t="shared" si="138"/>
        <v>2.9333333333333501E-4</v>
      </c>
      <c r="DM122" s="253">
        <f t="shared" si="145"/>
        <v>7.1086801400353783E-4</v>
      </c>
      <c r="DN122" s="253">
        <f t="shared" si="139"/>
        <v>7.0666666666666556E-4</v>
      </c>
      <c r="DO122" s="255">
        <f t="shared" si="121"/>
        <v>7.0666666666666558E-2</v>
      </c>
      <c r="DQ122" s="258" t="e">
        <f>((((IF($R$5=0,$R$6,$R$5)))/(12*$R$19))+(((3*$R$15)/(2*IF($R$5=0,$R$6,$R$5)*$U$5*$R$19))*'IN-OUT'!$F$15))*'Burland damage classification'!DU122</f>
        <v>#DIV/0!</v>
      </c>
      <c r="DR122" s="262">
        <f>(1+(((IF($R$5=0,$R$6^2,$R$5^2))*$U$5)/(18*$R$15))*('IN-OUT'!$F$15^(-1)))*DV122</f>
        <v>1.7351272767917251E-3</v>
      </c>
      <c r="DS122" s="254" t="e">
        <f t="shared" si="104"/>
        <v>#DIV/0!</v>
      </c>
      <c r="DT122" s="254" t="e">
        <f t="shared" si="122"/>
        <v>#DIV/0!</v>
      </c>
      <c r="DU122" s="254">
        <f t="shared" si="140"/>
        <v>1.2933333333333254E-3</v>
      </c>
      <c r="DV122" s="270">
        <f t="shared" si="105"/>
        <v>1.7351272767917251E-3</v>
      </c>
      <c r="DW122" s="253">
        <f t="shared" si="141"/>
        <v>7.0666666666666556E-4</v>
      </c>
      <c r="DX122" s="255">
        <f t="shared" si="123"/>
        <v>7.0666666666666558E-2</v>
      </c>
    </row>
    <row r="123" spans="3:128">
      <c r="C123" s="302" t="str">
        <f>$I$16</f>
        <v/>
      </c>
      <c r="D123" s="288" t="str">
        <f>L18</f>
        <v/>
      </c>
      <c r="E123" s="389" t="str">
        <f t="shared" si="142"/>
        <v/>
      </c>
      <c r="F123" s="397" t="str">
        <f t="shared" si="142"/>
        <v/>
      </c>
      <c r="U123" s="262"/>
      <c r="AN123" s="258">
        <f>(((IF($P$5&lt;&gt;0,$P$5,IF($P$6&lt;&gt;0,$P$6,IF($P$7&lt;&gt;0,$P$7,0))))/(12*$P$19))+(((3*$P$15)/(2*(IF($P$5&lt;&gt;0,$P$5,IF($P$6&lt;&gt;0,$P$6,IF($P$7&lt;&gt;0,$P$7,0))))*$U$5*$P$19))*'IN-OUT'!$F$15))*'Burland damage classification'!AR123</f>
        <v>9.2024365262740216E-4</v>
      </c>
      <c r="AO123" s="254">
        <f>(1+(((IF($P$5&lt;&gt;0,$P$5^2,IF($P$6&lt;&gt;0,$P$6^2,IF($P$7&lt;&gt;0,$P$7^2))))*$U$5)/(18*$P$15))*('IN-OUT'!$F$15^(-1)))*AS123</f>
        <v>7.4748802041713666E-4</v>
      </c>
      <c r="AP123" s="254">
        <f t="shared" si="89"/>
        <v>7.4748802041713666E-4</v>
      </c>
      <c r="AQ123" s="254">
        <f t="shared" si="108"/>
        <v>7.4748802041713663E-2</v>
      </c>
      <c r="AR123" s="254">
        <f t="shared" si="126"/>
        <v>2.8666666666666836E-4</v>
      </c>
      <c r="AS123" s="253">
        <f t="shared" si="143"/>
        <v>7.0757802867716811E-4</v>
      </c>
      <c r="AT123" s="253">
        <f t="shared" si="127"/>
        <v>7.133333333333322E-4</v>
      </c>
      <c r="AU123" s="255">
        <f t="shared" si="109"/>
        <v>7.1333333333333221E-2</v>
      </c>
      <c r="AW123" s="258">
        <f>(((IF($P$5&lt;&gt;0,$P$5,IF($P$6&lt;&gt;0,$P$6,IF($P$7&lt;&gt;0,$P$7,0))))/(12*$P$19))+(((3*$P$15)/(2*(IF($P$5&lt;&gt;0,$P$5,IF($P$6&lt;&gt;0,$P$6,IF($P$7&lt;&gt;0,$P$7,0))))*$U$5*$P$19))*'IN-OUT'!$F$15))*'Burland damage classification'!BA123</f>
        <v>4.1303959292345689E-3</v>
      </c>
      <c r="AX123" s="254">
        <f>(1+(((IF($P$5&lt;&gt;0,$P$5^2,IF($P$6&lt;&gt;0,$P$6^2,IF($P$7&lt;&gt;0,$P$7^2))))*$U$5)/(18*$P$15))*('IN-OUT'!$F$15^(-1)))*BB123</f>
        <v>1.8301513801174188E-3</v>
      </c>
      <c r="AY123" s="254">
        <f t="shared" si="90"/>
        <v>1.8301513801174188E-3</v>
      </c>
      <c r="AZ123" s="254">
        <f t="shared" si="110"/>
        <v>0.18301513801174188</v>
      </c>
      <c r="BA123" s="254">
        <f t="shared" si="128"/>
        <v>1.2866666666666586E-3</v>
      </c>
      <c r="BB123" s="270">
        <f t="shared" si="93"/>
        <v>1.7324356649911518E-3</v>
      </c>
      <c r="BC123" s="253">
        <f t="shared" si="129"/>
        <v>7.133333333333322E-4</v>
      </c>
      <c r="BD123" s="255">
        <f t="shared" si="111"/>
        <v>7.1333333333333221E-2</v>
      </c>
      <c r="BI123" s="248"/>
      <c r="BX123" s="258" t="e">
        <f>((((IF($Q$5=0,$Q$6,$Q$5)))/(12*$Q$19))+(((3*$Q$15)/(2*IF($Q$5=0,$Q$6,$Q$5)*$U$5*$Q$19))*'IN-OUT'!$F$15))*'Burland damage classification'!CB123</f>
        <v>#DIV/0!</v>
      </c>
      <c r="BY123" s="262">
        <f>(1+(((IF($Q$5=0,$Q$6^2,$Q$5^2))*$U$5)/(18*$Q$15))*('IN-OUT'!$F$15^(-1)))*CC123</f>
        <v>7.0757802867716811E-4</v>
      </c>
      <c r="BZ123" s="254" t="e">
        <f t="shared" si="96"/>
        <v>#DIV/0!</v>
      </c>
      <c r="CA123" s="254" t="e">
        <f t="shared" si="114"/>
        <v>#DIV/0!</v>
      </c>
      <c r="CB123" s="254">
        <f t="shared" si="132"/>
        <v>2.8666666666666836E-4</v>
      </c>
      <c r="CC123" s="253">
        <f t="shared" si="144"/>
        <v>7.0757802867716811E-4</v>
      </c>
      <c r="CD123" s="253">
        <f t="shared" si="133"/>
        <v>7.133333333333322E-4</v>
      </c>
      <c r="CE123" s="255">
        <f t="shared" si="115"/>
        <v>7.1333333333333221E-2</v>
      </c>
      <c r="CG123" s="258" t="e">
        <f>((((IF($Q$5=0,$Q$6,$Q$5)))/(12*$Q$19))+(((3*$Q$15)/(2*IF($Q$5=0,$Q$6,$Q$5)*$U$5*$Q$19))*'IN-OUT'!$F$15))*'Burland damage classification'!CK123</f>
        <v>#DIV/0!</v>
      </c>
      <c r="CH123" s="262">
        <f>(1+(((IF($Q$5=0,$Q$6^2,$Q$5^2))*$U$5)/(18*$Q$15))*('IN-OUT'!$F$15^(-1)))*CL123</f>
        <v>1.7324356649911518E-3</v>
      </c>
      <c r="CI123" s="254" t="e">
        <f t="shared" si="98"/>
        <v>#DIV/0!</v>
      </c>
      <c r="CJ123" s="254" t="e">
        <f t="shared" si="116"/>
        <v>#DIV/0!</v>
      </c>
      <c r="CK123" s="254">
        <f t="shared" si="134"/>
        <v>1.2866666666666586E-3</v>
      </c>
      <c r="CL123" s="270">
        <f t="shared" si="99"/>
        <v>1.7324356649911518E-3</v>
      </c>
      <c r="CM123" s="253">
        <f t="shared" si="135"/>
        <v>7.133333333333322E-4</v>
      </c>
      <c r="CN123" s="255">
        <f t="shared" si="117"/>
        <v>7.1333333333333221E-2</v>
      </c>
      <c r="CS123" s="248"/>
      <c r="DH123" s="258" t="e">
        <f>((((IF($R$5=0,$R$6,$R$5)))/(12*$R$19))+(((3*$R$15)/(2*IF($R$5=0,$R$6,$R$5)*$U$5*$R$19))*'IN-OUT'!$F$15))*'Burland damage classification'!DL123</f>
        <v>#DIV/0!</v>
      </c>
      <c r="DI123" s="262">
        <f>(1+(((IF($R$5=0,$R$6^2,$R$5^2))*$U$5)/(18*$R$15))*('IN-OUT'!$F$15^(-1)))*DM123</f>
        <v>7.0757802867716811E-4</v>
      </c>
      <c r="DJ123" s="254" t="e">
        <f t="shared" si="102"/>
        <v>#DIV/0!</v>
      </c>
      <c r="DK123" s="254" t="e">
        <f t="shared" si="120"/>
        <v>#DIV/0!</v>
      </c>
      <c r="DL123" s="254">
        <f t="shared" si="138"/>
        <v>2.8666666666666836E-4</v>
      </c>
      <c r="DM123" s="253">
        <f t="shared" si="145"/>
        <v>7.0757802867716811E-4</v>
      </c>
      <c r="DN123" s="253">
        <f t="shared" si="139"/>
        <v>7.133333333333322E-4</v>
      </c>
      <c r="DO123" s="255">
        <f t="shared" si="121"/>
        <v>7.1333333333333221E-2</v>
      </c>
      <c r="DQ123" s="258" t="e">
        <f>((((IF($R$5=0,$R$6,$R$5)))/(12*$R$19))+(((3*$R$15)/(2*IF($R$5=0,$R$6,$R$5)*$U$5*$R$19))*'IN-OUT'!$F$15))*'Burland damage classification'!DU123</f>
        <v>#DIV/0!</v>
      </c>
      <c r="DR123" s="262">
        <f>(1+(((IF($R$5=0,$R$6^2,$R$5^2))*$U$5)/(18*$R$15))*('IN-OUT'!$F$15^(-1)))*DV123</f>
        <v>1.7324356649911518E-3</v>
      </c>
      <c r="DS123" s="254" t="e">
        <f t="shared" si="104"/>
        <v>#DIV/0!</v>
      </c>
      <c r="DT123" s="254" t="e">
        <f t="shared" si="122"/>
        <v>#DIV/0!</v>
      </c>
      <c r="DU123" s="254">
        <f t="shared" si="140"/>
        <v>1.2866666666666586E-3</v>
      </c>
      <c r="DV123" s="270">
        <f t="shared" si="105"/>
        <v>1.7324356649911518E-3</v>
      </c>
      <c r="DW123" s="253">
        <f t="shared" si="141"/>
        <v>7.133333333333322E-4</v>
      </c>
      <c r="DX123" s="255">
        <f t="shared" si="123"/>
        <v>7.1333333333333221E-2</v>
      </c>
    </row>
    <row r="124" spans="3:128">
      <c r="C124" s="302" t="str">
        <f>$J$16</f>
        <v/>
      </c>
      <c r="D124" s="288" t="str">
        <f>M18</f>
        <v/>
      </c>
      <c r="E124" s="389" t="str">
        <f t="shared" si="142"/>
        <v/>
      </c>
      <c r="F124" s="397" t="str">
        <f t="shared" si="142"/>
        <v/>
      </c>
      <c r="U124" s="262"/>
      <c r="AN124" s="258">
        <f>(((IF($P$5&lt;&gt;0,$P$5,IF($P$6&lt;&gt;0,$P$6,IF($P$7&lt;&gt;0,$P$7,0))))/(12*$P$19))+(((3*$P$15)/(2*(IF($P$5&lt;&gt;0,$P$5,IF($P$6&lt;&gt;0,$P$6,IF($P$7&lt;&gt;0,$P$7,0))))*$U$5*$P$19))*'IN-OUT'!$F$15))*'Burland damage classification'!AR124</f>
        <v>8.9884263745002089E-4</v>
      </c>
      <c r="AO124" s="254">
        <f>(1+(((IF($P$5&lt;&gt;0,$P$5^2,IF($P$6&lt;&gt;0,$P$6^2,IF($P$7&lt;&gt;0,$P$7^2))))*$U$5)/(18*$P$15))*('IN-OUT'!$F$15^(-1)))*AS124</f>
        <v>7.4399623212569857E-4</v>
      </c>
      <c r="AP124" s="254">
        <f t="shared" si="89"/>
        <v>7.4399623212569857E-4</v>
      </c>
      <c r="AQ124" s="254">
        <f t="shared" si="108"/>
        <v>7.4399623212569863E-2</v>
      </c>
      <c r="AR124" s="254">
        <f t="shared" si="126"/>
        <v>2.8000000000000171E-4</v>
      </c>
      <c r="AS124" s="253">
        <f t="shared" si="143"/>
        <v>7.0427267446636084E-4</v>
      </c>
      <c r="AT124" s="253">
        <f t="shared" si="127"/>
        <v>7.1999999999999885E-4</v>
      </c>
      <c r="AU124" s="255">
        <f t="shared" si="109"/>
        <v>7.1999999999999884E-2</v>
      </c>
      <c r="AW124" s="258">
        <f>(((IF($P$5&lt;&gt;0,$P$5,IF($P$6&lt;&gt;0,$P$6,IF($P$7&lt;&gt;0,$P$7,0))))/(12*$P$19))+(((3*$P$15)/(2*(IF($P$5&lt;&gt;0,$P$5,IF($P$6&lt;&gt;0,$P$6,IF($P$7&lt;&gt;0,$P$7,0))))*$U$5*$P$19))*'IN-OUT'!$F$15))*'Burland damage classification'!BA124</f>
        <v>4.1089949140571871E-3</v>
      </c>
      <c r="AX124" s="254">
        <f>(1+(((IF($P$5&lt;&gt;0,$P$5^2,IF($P$6&lt;&gt;0,$P$6^2,IF($P$7&lt;&gt;0,$P$7^2))))*$U$5)/(18*$P$15))*('IN-OUT'!$F$15^(-1)))*BB124</f>
        <v>1.8273035269614913E-3</v>
      </c>
      <c r="AY124" s="254">
        <f t="shared" si="90"/>
        <v>1.8273035269614913E-3</v>
      </c>
      <c r="AZ124" s="254">
        <f t="shared" si="110"/>
        <v>0.18273035269614912</v>
      </c>
      <c r="BA124" s="254">
        <f t="shared" si="128"/>
        <v>1.2799999999999919E-3</v>
      </c>
      <c r="BB124" s="270">
        <f t="shared" si="93"/>
        <v>1.7297398648351725E-3</v>
      </c>
      <c r="BC124" s="253">
        <f t="shared" si="129"/>
        <v>7.1999999999999885E-4</v>
      </c>
      <c r="BD124" s="255">
        <f t="shared" si="111"/>
        <v>7.1999999999999884E-2</v>
      </c>
      <c r="BI124" s="248"/>
      <c r="BX124" s="258" t="e">
        <f>((((IF($Q$5=0,$Q$6,$Q$5)))/(12*$Q$19))+(((3*$Q$15)/(2*IF($Q$5=0,$Q$6,$Q$5)*$U$5*$Q$19))*'IN-OUT'!$F$15))*'Burland damage classification'!CB124</f>
        <v>#DIV/0!</v>
      </c>
      <c r="BY124" s="262">
        <f>(1+(((IF($Q$5=0,$Q$6^2,$Q$5^2))*$U$5)/(18*$Q$15))*('IN-OUT'!$F$15^(-1)))*CC124</f>
        <v>7.0427267446636084E-4</v>
      </c>
      <c r="BZ124" s="254" t="e">
        <f t="shared" si="96"/>
        <v>#DIV/0!</v>
      </c>
      <c r="CA124" s="254" t="e">
        <f t="shared" si="114"/>
        <v>#DIV/0!</v>
      </c>
      <c r="CB124" s="254">
        <f t="shared" si="132"/>
        <v>2.8000000000000171E-4</v>
      </c>
      <c r="CC124" s="253">
        <f t="shared" si="144"/>
        <v>7.0427267446636084E-4</v>
      </c>
      <c r="CD124" s="253">
        <f t="shared" si="133"/>
        <v>7.1999999999999885E-4</v>
      </c>
      <c r="CE124" s="255">
        <f t="shared" si="115"/>
        <v>7.1999999999999884E-2</v>
      </c>
      <c r="CG124" s="258" t="e">
        <f>((((IF($Q$5=0,$Q$6,$Q$5)))/(12*$Q$19))+(((3*$Q$15)/(2*IF($Q$5=0,$Q$6,$Q$5)*$U$5*$Q$19))*'IN-OUT'!$F$15))*'Burland damage classification'!CK124</f>
        <v>#DIV/0!</v>
      </c>
      <c r="CH124" s="262">
        <f>(1+(((IF($Q$5=0,$Q$6^2,$Q$5^2))*$U$5)/(18*$Q$15))*('IN-OUT'!$F$15^(-1)))*CL124</f>
        <v>1.7297398648351725E-3</v>
      </c>
      <c r="CI124" s="254" t="e">
        <f t="shared" si="98"/>
        <v>#DIV/0!</v>
      </c>
      <c r="CJ124" s="254" t="e">
        <f t="shared" si="116"/>
        <v>#DIV/0!</v>
      </c>
      <c r="CK124" s="254">
        <f t="shared" si="134"/>
        <v>1.2799999999999919E-3</v>
      </c>
      <c r="CL124" s="270">
        <f t="shared" si="99"/>
        <v>1.7297398648351725E-3</v>
      </c>
      <c r="CM124" s="253">
        <f t="shared" si="135"/>
        <v>7.1999999999999885E-4</v>
      </c>
      <c r="CN124" s="255">
        <f t="shared" si="117"/>
        <v>7.1999999999999884E-2</v>
      </c>
      <c r="CS124" s="248"/>
      <c r="DH124" s="258" t="e">
        <f>((((IF($R$5=0,$R$6,$R$5)))/(12*$R$19))+(((3*$R$15)/(2*IF($R$5=0,$R$6,$R$5)*$U$5*$R$19))*'IN-OUT'!$F$15))*'Burland damage classification'!DL124</f>
        <v>#DIV/0!</v>
      </c>
      <c r="DI124" s="262">
        <f>(1+(((IF($R$5=0,$R$6^2,$R$5^2))*$U$5)/(18*$R$15))*('IN-OUT'!$F$15^(-1)))*DM124</f>
        <v>7.0427267446636084E-4</v>
      </c>
      <c r="DJ124" s="254" t="e">
        <f t="shared" si="102"/>
        <v>#DIV/0!</v>
      </c>
      <c r="DK124" s="254" t="e">
        <f t="shared" si="120"/>
        <v>#DIV/0!</v>
      </c>
      <c r="DL124" s="254">
        <f t="shared" si="138"/>
        <v>2.8000000000000171E-4</v>
      </c>
      <c r="DM124" s="253">
        <f t="shared" si="145"/>
        <v>7.0427267446636084E-4</v>
      </c>
      <c r="DN124" s="253">
        <f t="shared" si="139"/>
        <v>7.1999999999999885E-4</v>
      </c>
      <c r="DO124" s="255">
        <f t="shared" si="121"/>
        <v>7.1999999999999884E-2</v>
      </c>
      <c r="DQ124" s="258" t="e">
        <f>((((IF($R$5=0,$R$6,$R$5)))/(12*$R$19))+(((3*$R$15)/(2*IF($R$5=0,$R$6,$R$5)*$U$5*$R$19))*'IN-OUT'!$F$15))*'Burland damage classification'!DU124</f>
        <v>#DIV/0!</v>
      </c>
      <c r="DR124" s="262">
        <f>(1+(((IF($R$5=0,$R$6^2,$R$5^2))*$U$5)/(18*$R$15))*('IN-OUT'!$F$15^(-1)))*DV124</f>
        <v>1.7297398648351725E-3</v>
      </c>
      <c r="DS124" s="254" t="e">
        <f t="shared" si="104"/>
        <v>#DIV/0!</v>
      </c>
      <c r="DT124" s="254" t="e">
        <f t="shared" si="122"/>
        <v>#DIV/0!</v>
      </c>
      <c r="DU124" s="254">
        <f t="shared" si="140"/>
        <v>1.2799999999999919E-3</v>
      </c>
      <c r="DV124" s="270">
        <f t="shared" si="105"/>
        <v>1.7297398648351725E-3</v>
      </c>
      <c r="DW124" s="253">
        <f t="shared" si="141"/>
        <v>7.1999999999999885E-4</v>
      </c>
      <c r="DX124" s="255">
        <f t="shared" si="123"/>
        <v>7.1999999999999884E-2</v>
      </c>
    </row>
    <row r="125" spans="3:128">
      <c r="C125" s="302" t="str">
        <f>$I$18</f>
        <v/>
      </c>
      <c r="D125" s="288" t="str">
        <f>L19</f>
        <v/>
      </c>
      <c r="E125" s="389" t="str">
        <f t="shared" si="142"/>
        <v/>
      </c>
      <c r="F125" s="397" t="str">
        <f t="shared" si="142"/>
        <v/>
      </c>
      <c r="U125" s="262"/>
      <c r="AN125" s="258">
        <f>(((IF($P$5&lt;&gt;0,$P$5,IF($P$6&lt;&gt;0,$P$6,IF($P$7&lt;&gt;0,$P$7,0))))/(12*$P$19))+(((3*$P$15)/(2*(IF($P$5&lt;&gt;0,$P$5,IF($P$6&lt;&gt;0,$P$6,IF($P$7&lt;&gt;0,$P$7,0))))*$U$5*$P$19))*'IN-OUT'!$F$15))*'Burland damage classification'!AR125</f>
        <v>8.7744162227263963E-4</v>
      </c>
      <c r="AO125" s="254">
        <f>(1+(((IF($P$5&lt;&gt;0,$P$5^2,IF($P$6&lt;&gt;0,$P$6^2,IF($P$7&lt;&gt;0,$P$7^2))))*$U$5)/(18*$P$15))*('IN-OUT'!$F$15^(-1)))*AS125</f>
        <v>7.4048797840838921E-4</v>
      </c>
      <c r="AP125" s="254">
        <f t="shared" si="89"/>
        <v>7.4048797840838921E-4</v>
      </c>
      <c r="AQ125" s="254">
        <f t="shared" si="108"/>
        <v>7.4048797840838926E-2</v>
      </c>
      <c r="AR125" s="254">
        <f t="shared" si="126"/>
        <v>2.7333333333333506E-4</v>
      </c>
      <c r="AS125" s="253">
        <f t="shared" si="143"/>
        <v>7.0095173395415332E-4</v>
      </c>
      <c r="AT125" s="253">
        <f t="shared" si="127"/>
        <v>7.266666666666655E-4</v>
      </c>
      <c r="AU125" s="255">
        <f t="shared" si="109"/>
        <v>7.2666666666666546E-2</v>
      </c>
      <c r="AW125" s="258">
        <f>(((IF($P$5&lt;&gt;0,$P$5,IF($P$6&lt;&gt;0,$P$6,IF($P$7&lt;&gt;0,$P$7,0))))/(12*$P$19))+(((3*$P$15)/(2*(IF($P$5&lt;&gt;0,$P$5,IF($P$6&lt;&gt;0,$P$6,IF($P$7&lt;&gt;0,$P$7,0))))*$U$5*$P$19))*'IN-OUT'!$F$15))*'Burland damage classification'!BA125</f>
        <v>4.0875938988798053E-3</v>
      </c>
      <c r="AX125" s="254">
        <f>(1+(((IF($P$5&lt;&gt;0,$P$5^2,IF($P$6&lt;&gt;0,$P$6^2,IF($P$7&lt;&gt;0,$P$7^2))))*$U$5)/(18*$P$15))*('IN-OUT'!$F$15^(-1)))*BB125</f>
        <v>1.8244512284920416E-3</v>
      </c>
      <c r="AY125" s="254">
        <f t="shared" si="90"/>
        <v>1.8244512284920416E-3</v>
      </c>
      <c r="AZ125" s="254">
        <f t="shared" si="110"/>
        <v>0.18244512284920417</v>
      </c>
      <c r="BA125" s="254">
        <f t="shared" si="128"/>
        <v>1.2733333333333251E-3</v>
      </c>
      <c r="BB125" s="270">
        <f t="shared" si="93"/>
        <v>1.7270398567105127E-3</v>
      </c>
      <c r="BC125" s="253">
        <f t="shared" si="129"/>
        <v>7.266666666666655E-4</v>
      </c>
      <c r="BD125" s="255">
        <f t="shared" si="111"/>
        <v>7.2666666666666546E-2</v>
      </c>
      <c r="BI125" s="248"/>
      <c r="BX125" s="258" t="e">
        <f>((((IF($Q$5=0,$Q$6,$Q$5)))/(12*$Q$19))+(((3*$Q$15)/(2*IF($Q$5=0,$Q$6,$Q$5)*$U$5*$Q$19))*'IN-OUT'!$F$15))*'Burland damage classification'!CB125</f>
        <v>#DIV/0!</v>
      </c>
      <c r="BY125" s="262">
        <f>(1+(((IF($Q$5=0,$Q$6^2,$Q$5^2))*$U$5)/(18*$Q$15))*('IN-OUT'!$F$15^(-1)))*CC125</f>
        <v>7.0095173395415332E-4</v>
      </c>
      <c r="BZ125" s="254" t="e">
        <f t="shared" si="96"/>
        <v>#DIV/0!</v>
      </c>
      <c r="CA125" s="254" t="e">
        <f t="shared" si="114"/>
        <v>#DIV/0!</v>
      </c>
      <c r="CB125" s="254">
        <f t="shared" si="132"/>
        <v>2.7333333333333506E-4</v>
      </c>
      <c r="CC125" s="253">
        <f t="shared" si="144"/>
        <v>7.0095173395415332E-4</v>
      </c>
      <c r="CD125" s="253">
        <f t="shared" si="133"/>
        <v>7.266666666666655E-4</v>
      </c>
      <c r="CE125" s="255">
        <f t="shared" si="115"/>
        <v>7.2666666666666546E-2</v>
      </c>
      <c r="CG125" s="258" t="e">
        <f>((((IF($Q$5=0,$Q$6,$Q$5)))/(12*$Q$19))+(((3*$Q$15)/(2*IF($Q$5=0,$Q$6,$Q$5)*$U$5*$Q$19))*'IN-OUT'!$F$15))*'Burland damage classification'!CK125</f>
        <v>#DIV/0!</v>
      </c>
      <c r="CH125" s="262">
        <f>(1+(((IF($Q$5=0,$Q$6^2,$Q$5^2))*$U$5)/(18*$Q$15))*('IN-OUT'!$F$15^(-1)))*CL125</f>
        <v>1.7270398567105127E-3</v>
      </c>
      <c r="CI125" s="254" t="e">
        <f t="shared" si="98"/>
        <v>#DIV/0!</v>
      </c>
      <c r="CJ125" s="254" t="e">
        <f t="shared" si="116"/>
        <v>#DIV/0!</v>
      </c>
      <c r="CK125" s="254">
        <f t="shared" si="134"/>
        <v>1.2733333333333251E-3</v>
      </c>
      <c r="CL125" s="270">
        <f t="shared" si="99"/>
        <v>1.7270398567105127E-3</v>
      </c>
      <c r="CM125" s="253">
        <f t="shared" si="135"/>
        <v>7.266666666666655E-4</v>
      </c>
      <c r="CN125" s="255">
        <f t="shared" si="117"/>
        <v>7.2666666666666546E-2</v>
      </c>
      <c r="CS125" s="248"/>
      <c r="DH125" s="258" t="e">
        <f>((((IF($R$5=0,$R$6,$R$5)))/(12*$R$19))+(((3*$R$15)/(2*IF($R$5=0,$R$6,$R$5)*$U$5*$R$19))*'IN-OUT'!$F$15))*'Burland damage classification'!DL125</f>
        <v>#DIV/0!</v>
      </c>
      <c r="DI125" s="262">
        <f>(1+(((IF($R$5=0,$R$6^2,$R$5^2))*$U$5)/(18*$R$15))*('IN-OUT'!$F$15^(-1)))*DM125</f>
        <v>7.0095173395415332E-4</v>
      </c>
      <c r="DJ125" s="254" t="e">
        <f t="shared" si="102"/>
        <v>#DIV/0!</v>
      </c>
      <c r="DK125" s="254" t="e">
        <f t="shared" si="120"/>
        <v>#DIV/0!</v>
      </c>
      <c r="DL125" s="254">
        <f t="shared" si="138"/>
        <v>2.7333333333333506E-4</v>
      </c>
      <c r="DM125" s="253">
        <f t="shared" si="145"/>
        <v>7.0095173395415332E-4</v>
      </c>
      <c r="DN125" s="253">
        <f t="shared" si="139"/>
        <v>7.266666666666655E-4</v>
      </c>
      <c r="DO125" s="255">
        <f t="shared" si="121"/>
        <v>7.2666666666666546E-2</v>
      </c>
      <c r="DQ125" s="258" t="e">
        <f>((((IF($R$5=0,$R$6,$R$5)))/(12*$R$19))+(((3*$R$15)/(2*IF($R$5=0,$R$6,$R$5)*$U$5*$R$19))*'IN-OUT'!$F$15))*'Burland damage classification'!DU125</f>
        <v>#DIV/0!</v>
      </c>
      <c r="DR125" s="262">
        <f>(1+(((IF($R$5=0,$R$6^2,$R$5^2))*$U$5)/(18*$R$15))*('IN-OUT'!$F$15^(-1)))*DV125</f>
        <v>1.7270398567105127E-3</v>
      </c>
      <c r="DS125" s="254" t="e">
        <f t="shared" si="104"/>
        <v>#DIV/0!</v>
      </c>
      <c r="DT125" s="254" t="e">
        <f t="shared" si="122"/>
        <v>#DIV/0!</v>
      </c>
      <c r="DU125" s="254">
        <f t="shared" si="140"/>
        <v>1.2733333333333251E-3</v>
      </c>
      <c r="DV125" s="270">
        <f t="shared" si="105"/>
        <v>1.7270398567105127E-3</v>
      </c>
      <c r="DW125" s="253">
        <f t="shared" si="141"/>
        <v>7.266666666666655E-4</v>
      </c>
      <c r="DX125" s="255">
        <f t="shared" si="123"/>
        <v>7.2666666666666546E-2</v>
      </c>
    </row>
    <row r="126" spans="3:128">
      <c r="C126" s="302" t="str">
        <f>$J$18</f>
        <v/>
      </c>
      <c r="D126" s="288" t="str">
        <f>M19</f>
        <v/>
      </c>
      <c r="E126" s="389" t="str">
        <f t="shared" si="142"/>
        <v/>
      </c>
      <c r="F126" s="397" t="str">
        <f t="shared" si="142"/>
        <v/>
      </c>
      <c r="U126" s="262"/>
      <c r="AN126" s="258">
        <f>(((IF($P$5&lt;&gt;0,$P$5,IF($P$6&lt;&gt;0,$P$6,IF($P$7&lt;&gt;0,$P$7,0))))/(12*$P$19))+(((3*$P$15)/(2*(IF($P$5&lt;&gt;0,$P$5,IF($P$6&lt;&gt;0,$P$6,IF($P$7&lt;&gt;0,$P$7,0))))*$U$5*$P$19))*'IN-OUT'!$F$15))*'Burland damage classification'!AR126</f>
        <v>8.5604060709525837E-4</v>
      </c>
      <c r="AO126" s="254">
        <f>(1+(((IF($P$5&lt;&gt;0,$P$5^2,IF($P$6&lt;&gt;0,$P$6^2,IF($P$7&lt;&gt;0,$P$7^2))))*$U$5)/(18*$P$15))*('IN-OUT'!$F$15^(-1)))*AS126</f>
        <v>7.3696302411820492E-4</v>
      </c>
      <c r="AP126" s="254">
        <f t="shared" si="89"/>
        <v>7.3696302411820492E-4</v>
      </c>
      <c r="AQ126" s="254">
        <f t="shared" si="108"/>
        <v>7.3696302411820486E-2</v>
      </c>
      <c r="AR126" s="254">
        <f t="shared" si="126"/>
        <v>2.6666666666666841E-4</v>
      </c>
      <c r="AS126" s="253">
        <f t="shared" si="143"/>
        <v>6.976149845485456E-4</v>
      </c>
      <c r="AT126" s="253">
        <f t="shared" si="127"/>
        <v>7.3333333333333215E-4</v>
      </c>
      <c r="AU126" s="255">
        <f t="shared" si="109"/>
        <v>7.3333333333333209E-2</v>
      </c>
      <c r="AW126" s="258">
        <f>(((IF($P$5&lt;&gt;0,$P$5,IF($P$6&lt;&gt;0,$P$6,IF($P$7&lt;&gt;0,$P$7,0))))/(12*$P$19))+(((3*$P$15)/(2*(IF($P$5&lt;&gt;0,$P$5,IF($P$6&lt;&gt;0,$P$6,IF($P$7&lt;&gt;0,$P$7,0))))*$U$5*$P$19))*'IN-OUT'!$F$15))*'Burland damage classification'!BA126</f>
        <v>4.0661928837024243E-3</v>
      </c>
      <c r="AX126" s="254">
        <f>(1+(((IF($P$5&lt;&gt;0,$P$5^2,IF($P$6&lt;&gt;0,$P$6^2,IF($P$7&lt;&gt;0,$P$7^2))))*$U$5)/(18*$P$15))*('IN-OUT'!$F$15^(-1)))*BB126</f>
        <v>1.8215944638273179E-3</v>
      </c>
      <c r="AY126" s="254">
        <f t="shared" si="90"/>
        <v>1.8215944638273179E-3</v>
      </c>
      <c r="AZ126" s="254">
        <f t="shared" si="110"/>
        <v>0.18215944638273179</v>
      </c>
      <c r="BA126" s="254">
        <f t="shared" si="128"/>
        <v>1.2666666666666584E-3</v>
      </c>
      <c r="BB126" s="270">
        <f t="shared" si="93"/>
        <v>1.7243356208503423E-3</v>
      </c>
      <c r="BC126" s="253">
        <f t="shared" si="129"/>
        <v>7.3333333333333215E-4</v>
      </c>
      <c r="BD126" s="255">
        <f t="shared" si="111"/>
        <v>7.3333333333333209E-2</v>
      </c>
      <c r="BI126" s="248"/>
      <c r="BX126" s="258" t="e">
        <f>((((IF($Q$5=0,$Q$6,$Q$5)))/(12*$Q$19))+(((3*$Q$15)/(2*IF($Q$5=0,$Q$6,$Q$5)*$U$5*$Q$19))*'IN-OUT'!$F$15))*'Burland damage classification'!CB126</f>
        <v>#DIV/0!</v>
      </c>
      <c r="BY126" s="262">
        <f>(1+(((IF($Q$5=0,$Q$6^2,$Q$5^2))*$U$5)/(18*$Q$15))*('IN-OUT'!$F$15^(-1)))*CC126</f>
        <v>6.976149845485456E-4</v>
      </c>
      <c r="BZ126" s="254" t="e">
        <f t="shared" si="96"/>
        <v>#DIV/0!</v>
      </c>
      <c r="CA126" s="254" t="e">
        <f t="shared" si="114"/>
        <v>#DIV/0!</v>
      </c>
      <c r="CB126" s="254">
        <f t="shared" si="132"/>
        <v>2.6666666666666841E-4</v>
      </c>
      <c r="CC126" s="253">
        <f t="shared" si="144"/>
        <v>6.976149845485456E-4</v>
      </c>
      <c r="CD126" s="253">
        <f t="shared" si="133"/>
        <v>7.3333333333333215E-4</v>
      </c>
      <c r="CE126" s="255">
        <f t="shared" si="115"/>
        <v>7.3333333333333209E-2</v>
      </c>
      <c r="CG126" s="258" t="e">
        <f>((((IF($Q$5=0,$Q$6,$Q$5)))/(12*$Q$19))+(((3*$Q$15)/(2*IF($Q$5=0,$Q$6,$Q$5)*$U$5*$Q$19))*'IN-OUT'!$F$15))*'Burland damage classification'!CK126</f>
        <v>#DIV/0!</v>
      </c>
      <c r="CH126" s="262">
        <f>(1+(((IF($Q$5=0,$Q$6^2,$Q$5^2))*$U$5)/(18*$Q$15))*('IN-OUT'!$F$15^(-1)))*CL126</f>
        <v>1.7243356208503423E-3</v>
      </c>
      <c r="CI126" s="254" t="e">
        <f t="shared" si="98"/>
        <v>#DIV/0!</v>
      </c>
      <c r="CJ126" s="254" t="e">
        <f t="shared" si="116"/>
        <v>#DIV/0!</v>
      </c>
      <c r="CK126" s="254">
        <f t="shared" si="134"/>
        <v>1.2666666666666584E-3</v>
      </c>
      <c r="CL126" s="270">
        <f t="shared" si="99"/>
        <v>1.7243356208503423E-3</v>
      </c>
      <c r="CM126" s="253">
        <f t="shared" si="135"/>
        <v>7.3333333333333215E-4</v>
      </c>
      <c r="CN126" s="255">
        <f t="shared" si="117"/>
        <v>7.3333333333333209E-2</v>
      </c>
      <c r="CS126" s="248"/>
      <c r="DH126" s="258" t="e">
        <f>((((IF($R$5=0,$R$6,$R$5)))/(12*$R$19))+(((3*$R$15)/(2*IF($R$5=0,$R$6,$R$5)*$U$5*$R$19))*'IN-OUT'!$F$15))*'Burland damage classification'!DL126</f>
        <v>#DIV/0!</v>
      </c>
      <c r="DI126" s="262">
        <f>(1+(((IF($R$5=0,$R$6^2,$R$5^2))*$U$5)/(18*$R$15))*('IN-OUT'!$F$15^(-1)))*DM126</f>
        <v>6.976149845485456E-4</v>
      </c>
      <c r="DJ126" s="254" t="e">
        <f t="shared" si="102"/>
        <v>#DIV/0!</v>
      </c>
      <c r="DK126" s="254" t="e">
        <f t="shared" si="120"/>
        <v>#DIV/0!</v>
      </c>
      <c r="DL126" s="254">
        <f t="shared" si="138"/>
        <v>2.6666666666666841E-4</v>
      </c>
      <c r="DM126" s="253">
        <f t="shared" si="145"/>
        <v>6.976149845485456E-4</v>
      </c>
      <c r="DN126" s="253">
        <f t="shared" si="139"/>
        <v>7.3333333333333215E-4</v>
      </c>
      <c r="DO126" s="255">
        <f t="shared" si="121"/>
        <v>7.3333333333333209E-2</v>
      </c>
      <c r="DQ126" s="258" t="e">
        <f>((((IF($R$5=0,$R$6,$R$5)))/(12*$R$19))+(((3*$R$15)/(2*IF($R$5=0,$R$6,$R$5)*$U$5*$R$19))*'IN-OUT'!$F$15))*'Burland damage classification'!DU126</f>
        <v>#DIV/0!</v>
      </c>
      <c r="DR126" s="262">
        <f>(1+(((IF($R$5=0,$R$6^2,$R$5^2))*$U$5)/(18*$R$15))*('IN-OUT'!$F$15^(-1)))*DV126</f>
        <v>1.7243356208503423E-3</v>
      </c>
      <c r="DS126" s="254" t="e">
        <f t="shared" si="104"/>
        <v>#DIV/0!</v>
      </c>
      <c r="DT126" s="254" t="e">
        <f t="shared" si="122"/>
        <v>#DIV/0!</v>
      </c>
      <c r="DU126" s="254">
        <f t="shared" si="140"/>
        <v>1.2666666666666584E-3</v>
      </c>
      <c r="DV126" s="270">
        <f t="shared" si="105"/>
        <v>1.7243356208503423E-3</v>
      </c>
      <c r="DW126" s="253">
        <f t="shared" si="141"/>
        <v>7.3333333333333215E-4</v>
      </c>
      <c r="DX126" s="255">
        <f t="shared" si="123"/>
        <v>7.3333333333333209E-2</v>
      </c>
    </row>
    <row r="127" spans="3:128">
      <c r="C127" s="302" t="str">
        <f>$I$19</f>
        <v/>
      </c>
      <c r="D127" s="288" t="str">
        <f>L21</f>
        <v/>
      </c>
      <c r="E127" s="389" t="str">
        <f t="shared" si="142"/>
        <v/>
      </c>
      <c r="F127" s="397" t="str">
        <f t="shared" si="142"/>
        <v/>
      </c>
      <c r="U127" s="262"/>
      <c r="AN127" s="258">
        <f>(((IF($P$5&lt;&gt;0,$P$5,IF($P$6&lt;&gt;0,$P$6,IF($P$7&lt;&gt;0,$P$7,0))))/(12*$P$19))+(((3*$P$15)/(2*(IF($P$5&lt;&gt;0,$P$5,IF($P$6&lt;&gt;0,$P$6,IF($P$7&lt;&gt;0,$P$7,0))))*$U$5*$P$19))*'IN-OUT'!$F$15))*'Burland damage classification'!AR127</f>
        <v>8.346395919178771E-4</v>
      </c>
      <c r="AO127" s="254">
        <f>(1+(((IF($P$5&lt;&gt;0,$P$5^2,IF($P$6&lt;&gt;0,$P$6^2,IF($P$7&lt;&gt;0,$P$7^2))))*$U$5)/(18*$P$15))*('IN-OUT'!$F$15^(-1)))*AS127</f>
        <v>7.3342112845728447E-4</v>
      </c>
      <c r="AP127" s="254">
        <f t="shared" si="89"/>
        <v>7.3342112845728447E-4</v>
      </c>
      <c r="AQ127" s="254">
        <f t="shared" si="108"/>
        <v>7.3342112845728447E-2</v>
      </c>
      <c r="AR127" s="254">
        <f t="shared" si="126"/>
        <v>2.6000000000000177E-4</v>
      </c>
      <c r="AS127" s="253">
        <f t="shared" si="143"/>
        <v>6.9426219830839191E-4</v>
      </c>
      <c r="AT127" s="253">
        <f t="shared" si="127"/>
        <v>7.399999999999988E-4</v>
      </c>
      <c r="AU127" s="255">
        <f t="shared" si="109"/>
        <v>7.3999999999999885E-2</v>
      </c>
      <c r="AW127" s="258">
        <f>(((IF($P$5&lt;&gt;0,$P$5,IF($P$6&lt;&gt;0,$P$6,IF($P$7&lt;&gt;0,$P$7,0))))/(12*$P$19))+(((3*$P$15)/(2*(IF($P$5&lt;&gt;0,$P$5,IF($P$6&lt;&gt;0,$P$6,IF($P$7&lt;&gt;0,$P$7,0))))*$U$5*$P$19))*'IN-OUT'!$F$15))*'Burland damage classification'!BA127</f>
        <v>4.0447918685250425E-3</v>
      </c>
      <c r="AX127" s="254">
        <f>(1+(((IF($P$5&lt;&gt;0,$P$5^2,IF($P$6&lt;&gt;0,$P$6^2,IF($P$7&lt;&gt;0,$P$7^2))))*$U$5)/(18*$P$15))*('IN-OUT'!$F$15^(-1)))*BB127</f>
        <v>1.8187332119215689E-3</v>
      </c>
      <c r="AY127" s="254">
        <f t="shared" si="90"/>
        <v>1.8187332119215689E-3</v>
      </c>
      <c r="AZ127" s="254">
        <f t="shared" si="110"/>
        <v>0.18187332119215691</v>
      </c>
      <c r="BA127" s="254">
        <f t="shared" si="128"/>
        <v>1.2599999999999916E-3</v>
      </c>
      <c r="BB127" s="270">
        <f t="shared" si="93"/>
        <v>1.7216271373325879E-3</v>
      </c>
      <c r="BC127" s="253">
        <f t="shared" si="129"/>
        <v>7.399999999999988E-4</v>
      </c>
      <c r="BD127" s="255">
        <f t="shared" si="111"/>
        <v>7.3999999999999885E-2</v>
      </c>
      <c r="BI127" s="248"/>
      <c r="BX127" s="258" t="e">
        <f>((((IF($Q$5=0,$Q$6,$Q$5)))/(12*$Q$19))+(((3*$Q$15)/(2*IF($Q$5=0,$Q$6,$Q$5)*$U$5*$Q$19))*'IN-OUT'!$F$15))*'Burland damage classification'!CB127</f>
        <v>#DIV/0!</v>
      </c>
      <c r="BY127" s="262">
        <f>(1+(((IF($Q$5=0,$Q$6^2,$Q$5^2))*$U$5)/(18*$Q$15))*('IN-OUT'!$F$15^(-1)))*CC127</f>
        <v>6.9426219830839191E-4</v>
      </c>
      <c r="BZ127" s="254" t="e">
        <f t="shared" si="96"/>
        <v>#DIV/0!</v>
      </c>
      <c r="CA127" s="254" t="e">
        <f t="shared" si="114"/>
        <v>#DIV/0!</v>
      </c>
      <c r="CB127" s="254">
        <f t="shared" si="132"/>
        <v>2.6000000000000177E-4</v>
      </c>
      <c r="CC127" s="253">
        <f t="shared" si="144"/>
        <v>6.9426219830839191E-4</v>
      </c>
      <c r="CD127" s="253">
        <f t="shared" si="133"/>
        <v>7.399999999999988E-4</v>
      </c>
      <c r="CE127" s="255">
        <f t="shared" si="115"/>
        <v>7.3999999999999885E-2</v>
      </c>
      <c r="CG127" s="258" t="e">
        <f>((((IF($Q$5=0,$Q$6,$Q$5)))/(12*$Q$19))+(((3*$Q$15)/(2*IF($Q$5=0,$Q$6,$Q$5)*$U$5*$Q$19))*'IN-OUT'!$F$15))*'Burland damage classification'!CK127</f>
        <v>#DIV/0!</v>
      </c>
      <c r="CH127" s="262">
        <f>(1+(((IF($Q$5=0,$Q$6^2,$Q$5^2))*$U$5)/(18*$Q$15))*('IN-OUT'!$F$15^(-1)))*CL127</f>
        <v>1.7216271373325879E-3</v>
      </c>
      <c r="CI127" s="254" t="e">
        <f t="shared" si="98"/>
        <v>#DIV/0!</v>
      </c>
      <c r="CJ127" s="254" t="e">
        <f t="shared" si="116"/>
        <v>#DIV/0!</v>
      </c>
      <c r="CK127" s="254">
        <f t="shared" si="134"/>
        <v>1.2599999999999916E-3</v>
      </c>
      <c r="CL127" s="270">
        <f t="shared" si="99"/>
        <v>1.7216271373325879E-3</v>
      </c>
      <c r="CM127" s="253">
        <f t="shared" si="135"/>
        <v>7.399999999999988E-4</v>
      </c>
      <c r="CN127" s="255">
        <f t="shared" si="117"/>
        <v>7.3999999999999885E-2</v>
      </c>
      <c r="CS127" s="248"/>
      <c r="DH127" s="258" t="e">
        <f>((((IF($R$5=0,$R$6,$R$5)))/(12*$R$19))+(((3*$R$15)/(2*IF($R$5=0,$R$6,$R$5)*$U$5*$R$19))*'IN-OUT'!$F$15))*'Burland damage classification'!DL127</f>
        <v>#DIV/0!</v>
      </c>
      <c r="DI127" s="262">
        <f>(1+(((IF($R$5=0,$R$6^2,$R$5^2))*$U$5)/(18*$R$15))*('IN-OUT'!$F$15^(-1)))*DM127</f>
        <v>6.9426219830839191E-4</v>
      </c>
      <c r="DJ127" s="254" t="e">
        <f t="shared" si="102"/>
        <v>#DIV/0!</v>
      </c>
      <c r="DK127" s="254" t="e">
        <f t="shared" si="120"/>
        <v>#DIV/0!</v>
      </c>
      <c r="DL127" s="254">
        <f t="shared" si="138"/>
        <v>2.6000000000000177E-4</v>
      </c>
      <c r="DM127" s="253">
        <f t="shared" si="145"/>
        <v>6.9426219830839191E-4</v>
      </c>
      <c r="DN127" s="253">
        <f t="shared" si="139"/>
        <v>7.399999999999988E-4</v>
      </c>
      <c r="DO127" s="255">
        <f t="shared" si="121"/>
        <v>7.3999999999999885E-2</v>
      </c>
      <c r="DQ127" s="258" t="e">
        <f>((((IF($R$5=0,$R$6,$R$5)))/(12*$R$19))+(((3*$R$15)/(2*IF($R$5=0,$R$6,$R$5)*$U$5*$R$19))*'IN-OUT'!$F$15))*'Burland damage classification'!DU127</f>
        <v>#DIV/0!</v>
      </c>
      <c r="DR127" s="262">
        <f>(1+(((IF($R$5=0,$R$6^2,$R$5^2))*$U$5)/(18*$R$15))*('IN-OUT'!$F$15^(-1)))*DV127</f>
        <v>1.7216271373325879E-3</v>
      </c>
      <c r="DS127" s="254" t="e">
        <f t="shared" si="104"/>
        <v>#DIV/0!</v>
      </c>
      <c r="DT127" s="254" t="e">
        <f t="shared" si="122"/>
        <v>#DIV/0!</v>
      </c>
      <c r="DU127" s="254">
        <f t="shared" si="140"/>
        <v>1.2599999999999916E-3</v>
      </c>
      <c r="DV127" s="270">
        <f t="shared" si="105"/>
        <v>1.7216271373325879E-3</v>
      </c>
      <c r="DW127" s="253">
        <f t="shared" si="141"/>
        <v>7.399999999999988E-4</v>
      </c>
      <c r="DX127" s="255">
        <f t="shared" si="123"/>
        <v>7.3999999999999885E-2</v>
      </c>
    </row>
    <row r="128" spans="3:128">
      <c r="C128" s="302" t="str">
        <f>$J$19</f>
        <v/>
      </c>
      <c r="D128" s="288" t="str">
        <f>M21</f>
        <v/>
      </c>
      <c r="E128" s="389" t="str">
        <f t="shared" si="142"/>
        <v/>
      </c>
      <c r="F128" s="397" t="str">
        <f t="shared" si="142"/>
        <v/>
      </c>
      <c r="U128" s="262"/>
      <c r="AN128" s="258">
        <f>(((IF($P$5&lt;&gt;0,$P$5,IF($P$6&lt;&gt;0,$P$6,IF($P$7&lt;&gt;0,$P$7,0))))/(12*$P$19))+(((3*$P$15)/(2*(IF($P$5&lt;&gt;0,$P$5,IF($P$6&lt;&gt;0,$P$6,IF($P$7&lt;&gt;0,$P$7,0))))*$U$5*$P$19))*'IN-OUT'!$F$15))*'Burland damage classification'!AR128</f>
        <v>8.1323857674049584E-4</v>
      </c>
      <c r="AO128" s="254">
        <f>(1+(((IF($P$5&lt;&gt;0,$P$5^2,IF($P$6&lt;&gt;0,$P$6^2,IF($P$7&lt;&gt;0,$P$7^2))))*$U$5)/(18*$P$15))*('IN-OUT'!$F$15^(-1)))*AS128</f>
        <v>7.2986204478494643E-4</v>
      </c>
      <c r="AP128" s="254">
        <f t="shared" si="89"/>
        <v>7.2986204478494643E-4</v>
      </c>
      <c r="AQ128" s="254">
        <f t="shared" si="108"/>
        <v>7.2986204478494646E-2</v>
      </c>
      <c r="AR128" s="254">
        <f t="shared" si="126"/>
        <v>2.5333333333333512E-4</v>
      </c>
      <c r="AS128" s="253">
        <f t="shared" si="143"/>
        <v>6.9089314176168674E-4</v>
      </c>
      <c r="AT128" s="253">
        <f t="shared" si="127"/>
        <v>7.4666666666666544E-4</v>
      </c>
      <c r="AU128" s="255">
        <f t="shared" si="109"/>
        <v>7.4666666666666548E-2</v>
      </c>
      <c r="AW128" s="258">
        <f>(((IF($P$5&lt;&gt;0,$P$5,IF($P$6&lt;&gt;0,$P$6,IF($P$7&lt;&gt;0,$P$7,0))))/(12*$P$19))+(((3*$P$15)/(2*(IF($P$5&lt;&gt;0,$P$5,IF($P$6&lt;&gt;0,$P$6,IF($P$7&lt;&gt;0,$P$7,0))))*$U$5*$P$19))*'IN-OUT'!$F$15))*'Burland damage classification'!BA128</f>
        <v>4.0233908533476607E-3</v>
      </c>
      <c r="AX128" s="254">
        <f>(1+(((IF($P$5&lt;&gt;0,$P$5^2,IF($P$6&lt;&gt;0,$P$6^2,IF($P$7&lt;&gt;0,$P$7^2))))*$U$5)/(18*$P$15))*('IN-OUT'!$F$15^(-1)))*BB128</f>
        <v>1.8158674515632357E-3</v>
      </c>
      <c r="AY128" s="254">
        <f t="shared" si="90"/>
        <v>1.8158674515632357E-3</v>
      </c>
      <c r="AZ128" s="254">
        <f t="shared" si="110"/>
        <v>0.18158674515632356</v>
      </c>
      <c r="BA128" s="254">
        <f t="shared" si="128"/>
        <v>1.2533333333333248E-3</v>
      </c>
      <c r="BB128" s="270">
        <f t="shared" si="93"/>
        <v>1.7189143860782212E-3</v>
      </c>
      <c r="BC128" s="253">
        <f t="shared" si="129"/>
        <v>7.4666666666666544E-4</v>
      </c>
      <c r="BD128" s="255">
        <f t="shared" si="111"/>
        <v>7.4666666666666548E-2</v>
      </c>
      <c r="BI128" s="248"/>
      <c r="BX128" s="258" t="e">
        <f>((((IF($Q$5=0,$Q$6,$Q$5)))/(12*$Q$19))+(((3*$Q$15)/(2*IF($Q$5=0,$Q$6,$Q$5)*$U$5*$Q$19))*'IN-OUT'!$F$15))*'Burland damage classification'!CB128</f>
        <v>#DIV/0!</v>
      </c>
      <c r="BY128" s="262">
        <f>(1+(((IF($Q$5=0,$Q$6^2,$Q$5^2))*$U$5)/(18*$Q$15))*('IN-OUT'!$F$15^(-1)))*CC128</f>
        <v>6.9089314176168674E-4</v>
      </c>
      <c r="BZ128" s="254" t="e">
        <f t="shared" si="96"/>
        <v>#DIV/0!</v>
      </c>
      <c r="CA128" s="254" t="e">
        <f t="shared" si="114"/>
        <v>#DIV/0!</v>
      </c>
      <c r="CB128" s="254">
        <f t="shared" si="132"/>
        <v>2.5333333333333512E-4</v>
      </c>
      <c r="CC128" s="253">
        <f t="shared" si="144"/>
        <v>6.9089314176168674E-4</v>
      </c>
      <c r="CD128" s="253">
        <f t="shared" si="133"/>
        <v>7.4666666666666544E-4</v>
      </c>
      <c r="CE128" s="255">
        <f t="shared" si="115"/>
        <v>7.4666666666666548E-2</v>
      </c>
      <c r="CG128" s="258" t="e">
        <f>((((IF($Q$5=0,$Q$6,$Q$5)))/(12*$Q$19))+(((3*$Q$15)/(2*IF($Q$5=0,$Q$6,$Q$5)*$U$5*$Q$19))*'IN-OUT'!$F$15))*'Burland damage classification'!CK128</f>
        <v>#DIV/0!</v>
      </c>
      <c r="CH128" s="262">
        <f>(1+(((IF($Q$5=0,$Q$6^2,$Q$5^2))*$U$5)/(18*$Q$15))*('IN-OUT'!$F$15^(-1)))*CL128</f>
        <v>1.7189143860782212E-3</v>
      </c>
      <c r="CI128" s="254" t="e">
        <f t="shared" si="98"/>
        <v>#DIV/0!</v>
      </c>
      <c r="CJ128" s="254" t="e">
        <f t="shared" si="116"/>
        <v>#DIV/0!</v>
      </c>
      <c r="CK128" s="254">
        <f t="shared" si="134"/>
        <v>1.2533333333333248E-3</v>
      </c>
      <c r="CL128" s="270">
        <f t="shared" si="99"/>
        <v>1.7189143860782212E-3</v>
      </c>
      <c r="CM128" s="253">
        <f t="shared" si="135"/>
        <v>7.4666666666666544E-4</v>
      </c>
      <c r="CN128" s="255">
        <f t="shared" si="117"/>
        <v>7.4666666666666548E-2</v>
      </c>
      <c r="CS128" s="248"/>
      <c r="DH128" s="258" t="e">
        <f>((((IF($R$5=0,$R$6,$R$5)))/(12*$R$19))+(((3*$R$15)/(2*IF($R$5=0,$R$6,$R$5)*$U$5*$R$19))*'IN-OUT'!$F$15))*'Burland damage classification'!DL128</f>
        <v>#DIV/0!</v>
      </c>
      <c r="DI128" s="262">
        <f>(1+(((IF($R$5=0,$R$6^2,$R$5^2))*$U$5)/(18*$R$15))*('IN-OUT'!$F$15^(-1)))*DM128</f>
        <v>6.9089314176168674E-4</v>
      </c>
      <c r="DJ128" s="254" t="e">
        <f t="shared" si="102"/>
        <v>#DIV/0!</v>
      </c>
      <c r="DK128" s="254" t="e">
        <f t="shared" si="120"/>
        <v>#DIV/0!</v>
      </c>
      <c r="DL128" s="254">
        <f t="shared" si="138"/>
        <v>2.5333333333333512E-4</v>
      </c>
      <c r="DM128" s="253">
        <f t="shared" si="145"/>
        <v>6.9089314176168674E-4</v>
      </c>
      <c r="DN128" s="253">
        <f t="shared" si="139"/>
        <v>7.4666666666666544E-4</v>
      </c>
      <c r="DO128" s="255">
        <f t="shared" si="121"/>
        <v>7.4666666666666548E-2</v>
      </c>
      <c r="DQ128" s="258" t="e">
        <f>((((IF($R$5=0,$R$6,$R$5)))/(12*$R$19))+(((3*$R$15)/(2*IF($R$5=0,$R$6,$R$5)*$U$5*$R$19))*'IN-OUT'!$F$15))*'Burland damage classification'!DU128</f>
        <v>#DIV/0!</v>
      </c>
      <c r="DR128" s="262">
        <f>(1+(((IF($R$5=0,$R$6^2,$R$5^2))*$U$5)/(18*$R$15))*('IN-OUT'!$F$15^(-1)))*DV128</f>
        <v>1.7189143860782212E-3</v>
      </c>
      <c r="DS128" s="254" t="e">
        <f t="shared" si="104"/>
        <v>#DIV/0!</v>
      </c>
      <c r="DT128" s="254" t="e">
        <f t="shared" si="122"/>
        <v>#DIV/0!</v>
      </c>
      <c r="DU128" s="254">
        <f t="shared" si="140"/>
        <v>1.2533333333333248E-3</v>
      </c>
      <c r="DV128" s="270">
        <f t="shared" si="105"/>
        <v>1.7189143860782212E-3</v>
      </c>
      <c r="DW128" s="253">
        <f t="shared" si="141"/>
        <v>7.4666666666666544E-4</v>
      </c>
      <c r="DX128" s="255">
        <f t="shared" si="123"/>
        <v>7.4666666666666548E-2</v>
      </c>
    </row>
    <row r="129" spans="3:128">
      <c r="C129" s="302" t="str">
        <f>$I$20</f>
        <v/>
      </c>
      <c r="D129" s="288" t="str">
        <f>L22</f>
        <v/>
      </c>
      <c r="E129" s="389" t="str">
        <f t="shared" si="142"/>
        <v/>
      </c>
      <c r="F129" s="397" t="str">
        <f t="shared" si="142"/>
        <v/>
      </c>
      <c r="U129" s="262"/>
      <c r="AN129" s="258">
        <f>(((IF($P$5&lt;&gt;0,$P$5,IF($P$6&lt;&gt;0,$P$6,IF($P$7&lt;&gt;0,$P$7,0))))/(12*$P$19))+(((3*$P$15)/(2*(IF($P$5&lt;&gt;0,$P$5,IF($P$6&lt;&gt;0,$P$6,IF($P$7&lt;&gt;0,$P$7,0))))*$U$5*$P$19))*'IN-OUT'!$F$15))*'Burland damage classification'!AR129</f>
        <v>7.9183756156311457E-4</v>
      </c>
      <c r="AO129" s="254">
        <f>(1+(((IF($P$5&lt;&gt;0,$P$5^2,IF($P$6&lt;&gt;0,$P$6^2,IF($P$7&lt;&gt;0,$P$7^2))))*$U$5)/(18*$P$15))*('IN-OUT'!$F$15^(-1)))*AS129</f>
        <v>7.2628552041725965E-4</v>
      </c>
      <c r="AP129" s="254">
        <f t="shared" si="89"/>
        <v>7.2628552041725965E-4</v>
      </c>
      <c r="AQ129" s="254">
        <f t="shared" si="108"/>
        <v>7.2628552041725969E-2</v>
      </c>
      <c r="AR129" s="254">
        <f t="shared" si="126"/>
        <v>2.4666666666666847E-4</v>
      </c>
      <c r="AS129" s="253">
        <f t="shared" si="143"/>
        <v>6.8750757571583705E-4</v>
      </c>
      <c r="AT129" s="253">
        <f t="shared" si="127"/>
        <v>7.5333333333333209E-4</v>
      </c>
      <c r="AU129" s="255">
        <f t="shared" si="109"/>
        <v>7.5333333333333211E-2</v>
      </c>
      <c r="AW129" s="258">
        <f>(((IF($P$5&lt;&gt;0,$P$5,IF($P$6&lt;&gt;0,$P$6,IF($P$7&lt;&gt;0,$P$7,0))))/(12*$P$19))+(((3*$P$15)/(2*(IF($P$5&lt;&gt;0,$P$5,IF($P$6&lt;&gt;0,$P$6,IF($P$7&lt;&gt;0,$P$7,0))))*$U$5*$P$19))*'IN-OUT'!$F$15))*'Burland damage classification'!BA129</f>
        <v>4.0019898381702789E-3</v>
      </c>
      <c r="AX129" s="254">
        <f>(1+(((IF($P$5&lt;&gt;0,$P$5^2,IF($P$6&lt;&gt;0,$P$6^2,IF($P$7&lt;&gt;0,$P$7^2))))*$U$5)/(18*$P$15))*('IN-OUT'!$F$15^(-1)))*BB129</f>
        <v>1.8129971613731152E-3</v>
      </c>
      <c r="AY129" s="254">
        <f t="shared" si="90"/>
        <v>1.8129971613731152E-3</v>
      </c>
      <c r="AZ129" s="254">
        <f t="shared" si="110"/>
        <v>0.18129971613731152</v>
      </c>
      <c r="BA129" s="254">
        <f t="shared" si="128"/>
        <v>1.2466666666666581E-3</v>
      </c>
      <c r="BB129" s="270">
        <f t="shared" si="93"/>
        <v>1.7161973468495209E-3</v>
      </c>
      <c r="BC129" s="253">
        <f t="shared" si="129"/>
        <v>7.5333333333333209E-4</v>
      </c>
      <c r="BD129" s="255">
        <f t="shared" si="111"/>
        <v>7.5333333333333211E-2</v>
      </c>
      <c r="BI129" s="248"/>
      <c r="BX129" s="258" t="e">
        <f>((((IF($Q$5=0,$Q$6,$Q$5)))/(12*$Q$19))+(((3*$Q$15)/(2*IF($Q$5=0,$Q$6,$Q$5)*$U$5*$Q$19))*'IN-OUT'!$F$15))*'Burland damage classification'!CB129</f>
        <v>#DIV/0!</v>
      </c>
      <c r="BY129" s="262">
        <f>(1+(((IF($Q$5=0,$Q$6^2,$Q$5^2))*$U$5)/(18*$Q$15))*('IN-OUT'!$F$15^(-1)))*CC129</f>
        <v>6.8750757571583705E-4</v>
      </c>
      <c r="BZ129" s="254" t="e">
        <f t="shared" si="96"/>
        <v>#DIV/0!</v>
      </c>
      <c r="CA129" s="254" t="e">
        <f t="shared" si="114"/>
        <v>#DIV/0!</v>
      </c>
      <c r="CB129" s="254">
        <f t="shared" si="132"/>
        <v>2.4666666666666847E-4</v>
      </c>
      <c r="CC129" s="253">
        <f t="shared" si="144"/>
        <v>6.8750757571583705E-4</v>
      </c>
      <c r="CD129" s="253">
        <f t="shared" si="133"/>
        <v>7.5333333333333209E-4</v>
      </c>
      <c r="CE129" s="255">
        <f t="shared" si="115"/>
        <v>7.5333333333333211E-2</v>
      </c>
      <c r="CG129" s="258" t="e">
        <f>((((IF($Q$5=0,$Q$6,$Q$5)))/(12*$Q$19))+(((3*$Q$15)/(2*IF($Q$5=0,$Q$6,$Q$5)*$U$5*$Q$19))*'IN-OUT'!$F$15))*'Burland damage classification'!CK129</f>
        <v>#DIV/0!</v>
      </c>
      <c r="CH129" s="262">
        <f>(1+(((IF($Q$5=0,$Q$6^2,$Q$5^2))*$U$5)/(18*$Q$15))*('IN-OUT'!$F$15^(-1)))*CL129</f>
        <v>1.7161973468495209E-3</v>
      </c>
      <c r="CI129" s="254" t="e">
        <f t="shared" si="98"/>
        <v>#DIV/0!</v>
      </c>
      <c r="CJ129" s="254" t="e">
        <f t="shared" si="116"/>
        <v>#DIV/0!</v>
      </c>
      <c r="CK129" s="254">
        <f t="shared" si="134"/>
        <v>1.2466666666666581E-3</v>
      </c>
      <c r="CL129" s="270">
        <f t="shared" si="99"/>
        <v>1.7161973468495209E-3</v>
      </c>
      <c r="CM129" s="253">
        <f t="shared" si="135"/>
        <v>7.5333333333333209E-4</v>
      </c>
      <c r="CN129" s="255">
        <f t="shared" si="117"/>
        <v>7.5333333333333211E-2</v>
      </c>
      <c r="CS129" s="248"/>
      <c r="DH129" s="258" t="e">
        <f>((((IF($R$5=0,$R$6,$R$5)))/(12*$R$19))+(((3*$R$15)/(2*IF($R$5=0,$R$6,$R$5)*$U$5*$R$19))*'IN-OUT'!$F$15))*'Burland damage classification'!DL129</f>
        <v>#DIV/0!</v>
      </c>
      <c r="DI129" s="262">
        <f>(1+(((IF($R$5=0,$R$6^2,$R$5^2))*$U$5)/(18*$R$15))*('IN-OUT'!$F$15^(-1)))*DM129</f>
        <v>6.8750757571583705E-4</v>
      </c>
      <c r="DJ129" s="254" t="e">
        <f t="shared" si="102"/>
        <v>#DIV/0!</v>
      </c>
      <c r="DK129" s="254" t="e">
        <f t="shared" si="120"/>
        <v>#DIV/0!</v>
      </c>
      <c r="DL129" s="254">
        <f t="shared" si="138"/>
        <v>2.4666666666666847E-4</v>
      </c>
      <c r="DM129" s="253">
        <f t="shared" si="145"/>
        <v>6.8750757571583705E-4</v>
      </c>
      <c r="DN129" s="253">
        <f t="shared" si="139"/>
        <v>7.5333333333333209E-4</v>
      </c>
      <c r="DO129" s="255">
        <f t="shared" si="121"/>
        <v>7.5333333333333211E-2</v>
      </c>
      <c r="DQ129" s="258" t="e">
        <f>((((IF($R$5=0,$R$6,$R$5)))/(12*$R$19))+(((3*$R$15)/(2*IF($R$5=0,$R$6,$R$5)*$U$5*$R$19))*'IN-OUT'!$F$15))*'Burland damage classification'!DU129</f>
        <v>#DIV/0!</v>
      </c>
      <c r="DR129" s="262">
        <f>(1+(((IF($R$5=0,$R$6^2,$R$5^2))*$U$5)/(18*$R$15))*('IN-OUT'!$F$15^(-1)))*DV129</f>
        <v>1.7161973468495209E-3</v>
      </c>
      <c r="DS129" s="254" t="e">
        <f t="shared" si="104"/>
        <v>#DIV/0!</v>
      </c>
      <c r="DT129" s="254" t="e">
        <f t="shared" si="122"/>
        <v>#DIV/0!</v>
      </c>
      <c r="DU129" s="254">
        <f t="shared" si="140"/>
        <v>1.2466666666666581E-3</v>
      </c>
      <c r="DV129" s="270">
        <f t="shared" si="105"/>
        <v>1.7161973468495209E-3</v>
      </c>
      <c r="DW129" s="253">
        <f t="shared" si="141"/>
        <v>7.5333333333333209E-4</v>
      </c>
      <c r="DX129" s="255">
        <f t="shared" si="123"/>
        <v>7.5333333333333211E-2</v>
      </c>
    </row>
    <row r="130" spans="3:128">
      <c r="C130" s="302" t="str">
        <f>$J$20</f>
        <v/>
      </c>
      <c r="D130" s="288" t="str">
        <f>M22</f>
        <v/>
      </c>
      <c r="E130" s="389" t="str">
        <f t="shared" si="142"/>
        <v/>
      </c>
      <c r="F130" s="397" t="str">
        <f t="shared" si="142"/>
        <v/>
      </c>
      <c r="U130" s="262"/>
      <c r="AN130" s="258">
        <f>(((IF($P$5&lt;&gt;0,$P$5,IF($P$6&lt;&gt;0,$P$6,IF($P$7&lt;&gt;0,$P$7,0))))/(12*$P$19))+(((3*$P$15)/(2*(IF($P$5&lt;&gt;0,$P$5,IF($P$6&lt;&gt;0,$P$6,IF($P$7&lt;&gt;0,$P$7,0))))*$U$5*$P$19))*'IN-OUT'!$F$15))*'Burland damage classification'!AR130</f>
        <v>7.7043654638573331E-4</v>
      </c>
      <c r="AO130" s="254">
        <f>(1+(((IF($P$5&lt;&gt;0,$P$5^2,IF($P$6&lt;&gt;0,$P$6^2,IF($P$7&lt;&gt;0,$P$7^2))))*$U$5)/(18*$P$15))*('IN-OUT'!$F$15^(-1)))*AS130</f>
        <v>7.2269129641768654E-4</v>
      </c>
      <c r="AP130" s="254">
        <f t="shared" si="89"/>
        <v>7.2269129641768654E-4</v>
      </c>
      <c r="AQ130" s="254">
        <f t="shared" si="108"/>
        <v>7.2269129641768654E-2</v>
      </c>
      <c r="AR130" s="254">
        <f t="shared" si="126"/>
        <v>2.400000000000018E-4</v>
      </c>
      <c r="AS130" s="253">
        <f t="shared" si="143"/>
        <v>6.8410525505948336E-4</v>
      </c>
      <c r="AT130" s="253">
        <f t="shared" si="127"/>
        <v>7.5999999999999874E-4</v>
      </c>
      <c r="AU130" s="255">
        <f t="shared" si="109"/>
        <v>7.5999999999999873E-2</v>
      </c>
      <c r="AW130" s="258">
        <f>(((IF($P$5&lt;&gt;0,$P$5,IF($P$6&lt;&gt;0,$P$6,IF($P$7&lt;&gt;0,$P$7,0))))/(12*$P$19))+(((3*$P$15)/(2*(IF($P$5&lt;&gt;0,$P$5,IF($P$6&lt;&gt;0,$P$6,IF($P$7&lt;&gt;0,$P$7,0))))*$U$5*$P$19))*'IN-OUT'!$F$15))*'Burland damage classification'!BA130</f>
        <v>3.980588822992898E-3</v>
      </c>
      <c r="AX130" s="254">
        <f>(1+(((IF($P$5&lt;&gt;0,$P$5^2,IF($P$6&lt;&gt;0,$P$6^2,IF($P$7&lt;&gt;0,$P$7^2))))*$U$5)/(18*$P$15))*('IN-OUT'!$F$15^(-1)))*BB130</f>
        <v>1.8101223198025006E-3</v>
      </c>
      <c r="AY130" s="254">
        <f t="shared" si="90"/>
        <v>1.8101223198025006E-3</v>
      </c>
      <c r="AZ130" s="254">
        <f t="shared" si="110"/>
        <v>0.18101223198025007</v>
      </c>
      <c r="BA130" s="254">
        <f t="shared" si="128"/>
        <v>1.2399999999999913E-3</v>
      </c>
      <c r="BB130" s="270">
        <f t="shared" si="93"/>
        <v>1.713475999248312E-3</v>
      </c>
      <c r="BC130" s="253">
        <f t="shared" si="129"/>
        <v>7.5999999999999874E-4</v>
      </c>
      <c r="BD130" s="255">
        <f t="shared" si="111"/>
        <v>7.5999999999999873E-2</v>
      </c>
      <c r="BI130" s="248"/>
      <c r="BX130" s="258" t="e">
        <f>((((IF($Q$5=0,$Q$6,$Q$5)))/(12*$Q$19))+(((3*$Q$15)/(2*IF($Q$5=0,$Q$6,$Q$5)*$U$5*$Q$19))*'IN-OUT'!$F$15))*'Burland damage classification'!CB130</f>
        <v>#DIV/0!</v>
      </c>
      <c r="BY130" s="262">
        <f>(1+(((IF($Q$5=0,$Q$6^2,$Q$5^2))*$U$5)/(18*$Q$15))*('IN-OUT'!$F$15^(-1)))*CC130</f>
        <v>6.8410525505948336E-4</v>
      </c>
      <c r="BZ130" s="254" t="e">
        <f t="shared" si="96"/>
        <v>#DIV/0!</v>
      </c>
      <c r="CA130" s="254" t="e">
        <f t="shared" si="114"/>
        <v>#DIV/0!</v>
      </c>
      <c r="CB130" s="254">
        <f t="shared" si="132"/>
        <v>2.400000000000018E-4</v>
      </c>
      <c r="CC130" s="253">
        <f t="shared" si="144"/>
        <v>6.8410525505948336E-4</v>
      </c>
      <c r="CD130" s="253">
        <f t="shared" si="133"/>
        <v>7.5999999999999874E-4</v>
      </c>
      <c r="CE130" s="255">
        <f t="shared" si="115"/>
        <v>7.5999999999999873E-2</v>
      </c>
      <c r="CG130" s="258" t="e">
        <f>((((IF($Q$5=0,$Q$6,$Q$5)))/(12*$Q$19))+(((3*$Q$15)/(2*IF($Q$5=0,$Q$6,$Q$5)*$U$5*$Q$19))*'IN-OUT'!$F$15))*'Burland damage classification'!CK130</f>
        <v>#DIV/0!</v>
      </c>
      <c r="CH130" s="262">
        <f>(1+(((IF($Q$5=0,$Q$6^2,$Q$5^2))*$U$5)/(18*$Q$15))*('IN-OUT'!$F$15^(-1)))*CL130</f>
        <v>1.713475999248312E-3</v>
      </c>
      <c r="CI130" s="254" t="e">
        <f t="shared" si="98"/>
        <v>#DIV/0!</v>
      </c>
      <c r="CJ130" s="254" t="e">
        <f t="shared" si="116"/>
        <v>#DIV/0!</v>
      </c>
      <c r="CK130" s="254">
        <f t="shared" si="134"/>
        <v>1.2399999999999913E-3</v>
      </c>
      <c r="CL130" s="270">
        <f t="shared" si="99"/>
        <v>1.713475999248312E-3</v>
      </c>
      <c r="CM130" s="253">
        <f t="shared" si="135"/>
        <v>7.5999999999999874E-4</v>
      </c>
      <c r="CN130" s="255">
        <f t="shared" si="117"/>
        <v>7.5999999999999873E-2</v>
      </c>
      <c r="CS130" s="248"/>
      <c r="DH130" s="258" t="e">
        <f>((((IF($R$5=0,$R$6,$R$5)))/(12*$R$19))+(((3*$R$15)/(2*IF($R$5=0,$R$6,$R$5)*$U$5*$R$19))*'IN-OUT'!$F$15))*'Burland damage classification'!DL130</f>
        <v>#DIV/0!</v>
      </c>
      <c r="DI130" s="262">
        <f>(1+(((IF($R$5=0,$R$6^2,$R$5^2))*$U$5)/(18*$R$15))*('IN-OUT'!$F$15^(-1)))*DM130</f>
        <v>6.8410525505948336E-4</v>
      </c>
      <c r="DJ130" s="254" t="e">
        <f t="shared" si="102"/>
        <v>#DIV/0!</v>
      </c>
      <c r="DK130" s="254" t="e">
        <f t="shared" si="120"/>
        <v>#DIV/0!</v>
      </c>
      <c r="DL130" s="254">
        <f t="shared" si="138"/>
        <v>2.400000000000018E-4</v>
      </c>
      <c r="DM130" s="253">
        <f t="shared" si="145"/>
        <v>6.8410525505948336E-4</v>
      </c>
      <c r="DN130" s="253">
        <f t="shared" si="139"/>
        <v>7.5999999999999874E-4</v>
      </c>
      <c r="DO130" s="255">
        <f t="shared" si="121"/>
        <v>7.5999999999999873E-2</v>
      </c>
      <c r="DQ130" s="258" t="e">
        <f>((((IF($R$5=0,$R$6,$R$5)))/(12*$R$19))+(((3*$R$15)/(2*IF($R$5=0,$R$6,$R$5)*$U$5*$R$19))*'IN-OUT'!$F$15))*'Burland damage classification'!DU130</f>
        <v>#DIV/0!</v>
      </c>
      <c r="DR130" s="262">
        <f>(1+(((IF($R$5=0,$R$6^2,$R$5^2))*$U$5)/(18*$R$15))*('IN-OUT'!$F$15^(-1)))*DV130</f>
        <v>1.713475999248312E-3</v>
      </c>
      <c r="DS130" s="254" t="e">
        <f t="shared" si="104"/>
        <v>#DIV/0!</v>
      </c>
      <c r="DT130" s="254" t="e">
        <f t="shared" si="122"/>
        <v>#DIV/0!</v>
      </c>
      <c r="DU130" s="254">
        <f t="shared" si="140"/>
        <v>1.2399999999999913E-3</v>
      </c>
      <c r="DV130" s="270">
        <f t="shared" si="105"/>
        <v>1.713475999248312E-3</v>
      </c>
      <c r="DW130" s="253">
        <f t="shared" si="141"/>
        <v>7.5999999999999874E-4</v>
      </c>
      <c r="DX130" s="255">
        <f t="shared" si="123"/>
        <v>7.5999999999999873E-2</v>
      </c>
    </row>
    <row r="131" spans="3:128">
      <c r="C131" s="302" t="str">
        <f>$I$21</f>
        <v/>
      </c>
      <c r="D131" s="288" t="str">
        <f>L24</f>
        <v/>
      </c>
      <c r="E131" s="389" t="str">
        <f t="shared" si="142"/>
        <v/>
      </c>
      <c r="F131" s="397" t="str">
        <f t="shared" si="142"/>
        <v/>
      </c>
      <c r="U131" s="262"/>
      <c r="AN131" s="258">
        <f>(((IF($P$5&lt;&gt;0,$P$5,IF($P$6&lt;&gt;0,$P$6,IF($P$7&lt;&gt;0,$P$7,0))))/(12*$P$19))+(((3*$P$15)/(2*(IF($P$5&lt;&gt;0,$P$5,IF($P$6&lt;&gt;0,$P$6,IF($P$7&lt;&gt;0,$P$7,0))))*$U$5*$P$19))*'IN-OUT'!$F$15))*'Burland damage classification'!AR131</f>
        <v>7.4903553120835194E-4</v>
      </c>
      <c r="AO131" s="254">
        <f>(1+(((IF($P$5&lt;&gt;0,$P$5^2,IF($P$6&lt;&gt;0,$P$6^2,IF($P$7&lt;&gt;0,$P$7^2))))*$U$5)/(18*$P$15))*('IN-OUT'!$F$15^(-1)))*AS131</f>
        <v>7.1907910737830727E-4</v>
      </c>
      <c r="AP131" s="254">
        <f t="shared" ref="AP131:AP166" si="146">MIN(AN131,AO131)</f>
        <v>7.1907910737830727E-4</v>
      </c>
      <c r="AQ131" s="254">
        <f t="shared" si="108"/>
        <v>7.1907910737830733E-2</v>
      </c>
      <c r="AR131" s="254">
        <f t="shared" si="126"/>
        <v>2.3333333333333512E-4</v>
      </c>
      <c r="AS131" s="253">
        <f t="shared" si="143"/>
        <v>6.8068592855540519E-4</v>
      </c>
      <c r="AT131" s="253">
        <f t="shared" si="127"/>
        <v>7.6666666666666539E-4</v>
      </c>
      <c r="AU131" s="255">
        <f t="shared" si="109"/>
        <v>7.6666666666666536E-2</v>
      </c>
      <c r="AW131" s="258">
        <f>(((IF($P$5&lt;&gt;0,$P$5,IF($P$6&lt;&gt;0,$P$6,IF($P$7&lt;&gt;0,$P$7,0))))/(12*$P$19))+(((3*$P$15)/(2*(IF($P$5&lt;&gt;0,$P$5,IF($P$6&lt;&gt;0,$P$6,IF($P$7&lt;&gt;0,$P$7,0))))*$U$5*$P$19))*'IN-OUT'!$F$15))*'Burland damage classification'!BA131</f>
        <v>3.9591878078155162E-3</v>
      </c>
      <c r="AX131" s="254">
        <f>(1+(((IF($P$5&lt;&gt;0,$P$5^2,IF($P$6&lt;&gt;0,$P$6^2,IF($P$7&lt;&gt;0,$P$7^2))))*$U$5)/(18*$P$15))*('IN-OUT'!$F$15^(-1)))*BB131</f>
        <v>1.8072429051312941E-3</v>
      </c>
      <c r="AY131" s="254">
        <f t="shared" ref="AY131:AY166" si="147">MIN(AW131,AX131)</f>
        <v>1.8072429051312941E-3</v>
      </c>
      <c r="AZ131" s="254">
        <f t="shared" si="110"/>
        <v>0.18072429051312941</v>
      </c>
      <c r="BA131" s="254">
        <f t="shared" si="128"/>
        <v>1.2333333333333246E-3</v>
      </c>
      <c r="BB131" s="270">
        <f t="shared" si="93"/>
        <v>1.7107503227141792E-3</v>
      </c>
      <c r="BC131" s="253">
        <f t="shared" si="129"/>
        <v>7.6666666666666539E-4</v>
      </c>
      <c r="BD131" s="255">
        <f t="shared" si="111"/>
        <v>7.6666666666666536E-2</v>
      </c>
      <c r="BI131" s="248"/>
      <c r="BX131" s="258" t="e">
        <f>((((IF($Q$5=0,$Q$6,$Q$5)))/(12*$Q$19))+(((3*$Q$15)/(2*IF($Q$5=0,$Q$6,$Q$5)*$U$5*$Q$19))*'IN-OUT'!$F$15))*'Burland damage classification'!CB131</f>
        <v>#DIV/0!</v>
      </c>
      <c r="BY131" s="262">
        <f>(1+(((IF($Q$5=0,$Q$6^2,$Q$5^2))*$U$5)/(18*$Q$15))*('IN-OUT'!$F$15^(-1)))*CC131</f>
        <v>6.8068592855540519E-4</v>
      </c>
      <c r="BZ131" s="254" t="e">
        <f t="shared" si="96"/>
        <v>#DIV/0!</v>
      </c>
      <c r="CA131" s="254" t="e">
        <f t="shared" si="114"/>
        <v>#DIV/0!</v>
      </c>
      <c r="CB131" s="254">
        <f t="shared" si="132"/>
        <v>2.3333333333333512E-4</v>
      </c>
      <c r="CC131" s="253">
        <f t="shared" si="144"/>
        <v>6.8068592855540519E-4</v>
      </c>
      <c r="CD131" s="253">
        <f t="shared" si="133"/>
        <v>7.6666666666666539E-4</v>
      </c>
      <c r="CE131" s="255">
        <f t="shared" si="115"/>
        <v>7.6666666666666536E-2</v>
      </c>
      <c r="CG131" s="258" t="e">
        <f>((((IF($Q$5=0,$Q$6,$Q$5)))/(12*$Q$19))+(((3*$Q$15)/(2*IF($Q$5=0,$Q$6,$Q$5)*$U$5*$Q$19))*'IN-OUT'!$F$15))*'Burland damage classification'!CK131</f>
        <v>#DIV/0!</v>
      </c>
      <c r="CH131" s="262">
        <f>(1+(((IF($Q$5=0,$Q$6^2,$Q$5^2))*$U$5)/(18*$Q$15))*('IN-OUT'!$F$15^(-1)))*CL131</f>
        <v>1.7107503227141792E-3</v>
      </c>
      <c r="CI131" s="254" t="e">
        <f t="shared" si="98"/>
        <v>#DIV/0!</v>
      </c>
      <c r="CJ131" s="254" t="e">
        <f t="shared" si="116"/>
        <v>#DIV/0!</v>
      </c>
      <c r="CK131" s="254">
        <f t="shared" si="134"/>
        <v>1.2333333333333246E-3</v>
      </c>
      <c r="CL131" s="270">
        <f t="shared" si="99"/>
        <v>1.7107503227141792E-3</v>
      </c>
      <c r="CM131" s="253">
        <f t="shared" si="135"/>
        <v>7.6666666666666539E-4</v>
      </c>
      <c r="CN131" s="255">
        <f t="shared" si="117"/>
        <v>7.6666666666666536E-2</v>
      </c>
      <c r="CS131" s="248"/>
      <c r="DH131" s="258" t="e">
        <f>((((IF($R$5=0,$R$6,$R$5)))/(12*$R$19))+(((3*$R$15)/(2*IF($R$5=0,$R$6,$R$5)*$U$5*$R$19))*'IN-OUT'!$F$15))*'Burland damage classification'!DL131</f>
        <v>#DIV/0!</v>
      </c>
      <c r="DI131" s="262">
        <f>(1+(((IF($R$5=0,$R$6^2,$R$5^2))*$U$5)/(18*$R$15))*('IN-OUT'!$F$15^(-1)))*DM131</f>
        <v>6.8068592855540519E-4</v>
      </c>
      <c r="DJ131" s="254" t="e">
        <f t="shared" si="102"/>
        <v>#DIV/0!</v>
      </c>
      <c r="DK131" s="254" t="e">
        <f t="shared" si="120"/>
        <v>#DIV/0!</v>
      </c>
      <c r="DL131" s="254">
        <f t="shared" si="138"/>
        <v>2.3333333333333512E-4</v>
      </c>
      <c r="DM131" s="253">
        <f t="shared" si="145"/>
        <v>6.8068592855540519E-4</v>
      </c>
      <c r="DN131" s="253">
        <f t="shared" si="139"/>
        <v>7.6666666666666539E-4</v>
      </c>
      <c r="DO131" s="255">
        <f t="shared" si="121"/>
        <v>7.6666666666666536E-2</v>
      </c>
      <c r="DQ131" s="258" t="e">
        <f>((((IF($R$5=0,$R$6,$R$5)))/(12*$R$19))+(((3*$R$15)/(2*IF($R$5=0,$R$6,$R$5)*$U$5*$R$19))*'IN-OUT'!$F$15))*'Burland damage classification'!DU131</f>
        <v>#DIV/0!</v>
      </c>
      <c r="DR131" s="262">
        <f>(1+(((IF($R$5=0,$R$6^2,$R$5^2))*$U$5)/(18*$R$15))*('IN-OUT'!$F$15^(-1)))*DV131</f>
        <v>1.7107503227141792E-3</v>
      </c>
      <c r="DS131" s="254" t="e">
        <f t="shared" si="104"/>
        <v>#DIV/0!</v>
      </c>
      <c r="DT131" s="254" t="e">
        <f t="shared" si="122"/>
        <v>#DIV/0!</v>
      </c>
      <c r="DU131" s="254">
        <f t="shared" si="140"/>
        <v>1.2333333333333246E-3</v>
      </c>
      <c r="DV131" s="270">
        <f t="shared" si="105"/>
        <v>1.7107503227141792E-3</v>
      </c>
      <c r="DW131" s="253">
        <f t="shared" si="141"/>
        <v>7.6666666666666539E-4</v>
      </c>
      <c r="DX131" s="255">
        <f t="shared" si="123"/>
        <v>7.6666666666666536E-2</v>
      </c>
    </row>
    <row r="132" spans="3:128">
      <c r="C132" s="302" t="str">
        <f>$J$21</f>
        <v/>
      </c>
      <c r="D132" s="288" t="str">
        <f>M24</f>
        <v/>
      </c>
      <c r="E132" s="389" t="str">
        <f t="shared" si="142"/>
        <v/>
      </c>
      <c r="F132" s="397" t="str">
        <f t="shared" si="142"/>
        <v/>
      </c>
      <c r="U132" s="262"/>
      <c r="AN132" s="258">
        <f>(((IF($P$5&lt;&gt;0,$P$5,IF($P$6&lt;&gt;0,$P$6,IF($P$7&lt;&gt;0,$P$7,0))))/(12*$P$19))+(((3*$P$15)/(2*(IF($P$5&lt;&gt;0,$P$5,IF($P$6&lt;&gt;0,$P$6,IF($P$7&lt;&gt;0,$P$7,0))))*$U$5*$P$19))*'IN-OUT'!$F$15))*'Burland damage classification'!AR132</f>
        <v>7.2763451603097056E-4</v>
      </c>
      <c r="AO132" s="254">
        <f>(1+(((IF($P$5&lt;&gt;0,$P$5^2,IF($P$6&lt;&gt;0,$P$6^2,IF($P$7&lt;&gt;0,$P$7^2))))*$U$5)/(18*$P$15))*('IN-OUT'!$F$15^(-1)))*AS132</f>
        <v>7.1544868119110389E-4</v>
      </c>
      <c r="AP132" s="254">
        <f t="shared" si="146"/>
        <v>7.1544868119110389E-4</v>
      </c>
      <c r="AQ132" s="254">
        <f t="shared" si="108"/>
        <v>7.1544868119110386E-2</v>
      </c>
      <c r="AR132" s="254">
        <f t="shared" si="126"/>
        <v>2.2666666666666844E-4</v>
      </c>
      <c r="AS132" s="253">
        <f t="shared" si="143"/>
        <v>6.772493386240163E-4</v>
      </c>
      <c r="AT132" s="253">
        <f t="shared" si="127"/>
        <v>7.7333333333333204E-4</v>
      </c>
      <c r="AU132" s="255">
        <f t="shared" si="109"/>
        <v>7.7333333333333198E-2</v>
      </c>
      <c r="AW132" s="258">
        <f>(((IF($P$5&lt;&gt;0,$P$5,IF($P$6&lt;&gt;0,$P$6,IF($P$7&lt;&gt;0,$P$7,0))))/(12*$P$19))+(((3*$P$15)/(2*(IF($P$5&lt;&gt;0,$P$5,IF($P$6&lt;&gt;0,$P$6,IF($P$7&lt;&gt;0,$P$7,0))))*$U$5*$P$19))*'IN-OUT'!$F$15))*'Burland damage classification'!BA132</f>
        <v>3.9377867926381344E-3</v>
      </c>
      <c r="AX132" s="254">
        <f>(1+(((IF($P$5&lt;&gt;0,$P$5^2,IF($P$6&lt;&gt;0,$P$6^2,IF($P$7&lt;&gt;0,$P$7^2))))*$U$5)/(18*$P$15))*('IN-OUT'!$F$15^(-1)))*BB132</f>
        <v>1.8043588954660915E-3</v>
      </c>
      <c r="AY132" s="254">
        <f t="shared" si="147"/>
        <v>1.8043588954660915E-3</v>
      </c>
      <c r="AZ132" s="254">
        <f t="shared" si="110"/>
        <v>0.18043588954660916</v>
      </c>
      <c r="BA132" s="254">
        <f t="shared" si="128"/>
        <v>1.2266666666666578E-3</v>
      </c>
      <c r="BB132" s="270">
        <f t="shared" si="93"/>
        <v>1.7080202965226541E-3</v>
      </c>
      <c r="BC132" s="253">
        <f t="shared" si="129"/>
        <v>7.7333333333333204E-4</v>
      </c>
      <c r="BD132" s="255">
        <f t="shared" si="111"/>
        <v>7.7333333333333198E-2</v>
      </c>
      <c r="BI132" s="248"/>
      <c r="BX132" s="258" t="e">
        <f>((((IF($Q$5=0,$Q$6,$Q$5)))/(12*$Q$19))+(((3*$Q$15)/(2*IF($Q$5=0,$Q$6,$Q$5)*$U$5*$Q$19))*'IN-OUT'!$F$15))*'Burland damage classification'!CB132</f>
        <v>#DIV/0!</v>
      </c>
      <c r="BY132" s="262">
        <f>(1+(((IF($Q$5=0,$Q$6^2,$Q$5^2))*$U$5)/(18*$Q$15))*('IN-OUT'!$F$15^(-1)))*CC132</f>
        <v>6.772493386240163E-4</v>
      </c>
      <c r="BZ132" s="254" t="e">
        <f t="shared" si="96"/>
        <v>#DIV/0!</v>
      </c>
      <c r="CA132" s="254" t="e">
        <f t="shared" si="114"/>
        <v>#DIV/0!</v>
      </c>
      <c r="CB132" s="254">
        <f t="shared" si="132"/>
        <v>2.2666666666666844E-4</v>
      </c>
      <c r="CC132" s="253">
        <f t="shared" si="144"/>
        <v>6.772493386240163E-4</v>
      </c>
      <c r="CD132" s="253">
        <f t="shared" si="133"/>
        <v>7.7333333333333204E-4</v>
      </c>
      <c r="CE132" s="255">
        <f t="shared" si="115"/>
        <v>7.7333333333333198E-2</v>
      </c>
      <c r="CG132" s="258" t="e">
        <f>((((IF($Q$5=0,$Q$6,$Q$5)))/(12*$Q$19))+(((3*$Q$15)/(2*IF($Q$5=0,$Q$6,$Q$5)*$U$5*$Q$19))*'IN-OUT'!$F$15))*'Burland damage classification'!CK132</f>
        <v>#DIV/0!</v>
      </c>
      <c r="CH132" s="262">
        <f>(1+(((IF($Q$5=0,$Q$6^2,$Q$5^2))*$U$5)/(18*$Q$15))*('IN-OUT'!$F$15^(-1)))*CL132</f>
        <v>1.7080202965226541E-3</v>
      </c>
      <c r="CI132" s="254" t="e">
        <f t="shared" si="98"/>
        <v>#DIV/0!</v>
      </c>
      <c r="CJ132" s="254" t="e">
        <f t="shared" si="116"/>
        <v>#DIV/0!</v>
      </c>
      <c r="CK132" s="254">
        <f t="shared" si="134"/>
        <v>1.2266666666666578E-3</v>
      </c>
      <c r="CL132" s="270">
        <f t="shared" si="99"/>
        <v>1.7080202965226541E-3</v>
      </c>
      <c r="CM132" s="253">
        <f t="shared" si="135"/>
        <v>7.7333333333333204E-4</v>
      </c>
      <c r="CN132" s="255">
        <f t="shared" si="117"/>
        <v>7.7333333333333198E-2</v>
      </c>
      <c r="CS132" s="248"/>
      <c r="DH132" s="258" t="e">
        <f>((((IF($R$5=0,$R$6,$R$5)))/(12*$R$19))+(((3*$R$15)/(2*IF($R$5=0,$R$6,$R$5)*$U$5*$R$19))*'IN-OUT'!$F$15))*'Burland damage classification'!DL132</f>
        <v>#DIV/0!</v>
      </c>
      <c r="DI132" s="262">
        <f>(1+(((IF($R$5=0,$R$6^2,$R$5^2))*$U$5)/(18*$R$15))*('IN-OUT'!$F$15^(-1)))*DM132</f>
        <v>6.772493386240163E-4</v>
      </c>
      <c r="DJ132" s="254" t="e">
        <f t="shared" si="102"/>
        <v>#DIV/0!</v>
      </c>
      <c r="DK132" s="254" t="e">
        <f t="shared" si="120"/>
        <v>#DIV/0!</v>
      </c>
      <c r="DL132" s="254">
        <f t="shared" si="138"/>
        <v>2.2666666666666844E-4</v>
      </c>
      <c r="DM132" s="253">
        <f t="shared" si="145"/>
        <v>6.772493386240163E-4</v>
      </c>
      <c r="DN132" s="253">
        <f t="shared" si="139"/>
        <v>7.7333333333333204E-4</v>
      </c>
      <c r="DO132" s="255">
        <f t="shared" si="121"/>
        <v>7.7333333333333198E-2</v>
      </c>
      <c r="DQ132" s="258" t="e">
        <f>((((IF($R$5=0,$R$6,$R$5)))/(12*$R$19))+(((3*$R$15)/(2*IF($R$5=0,$R$6,$R$5)*$U$5*$R$19))*'IN-OUT'!$F$15))*'Burland damage classification'!DU132</f>
        <v>#DIV/0!</v>
      </c>
      <c r="DR132" s="262">
        <f>(1+(((IF($R$5=0,$R$6^2,$R$5^2))*$U$5)/(18*$R$15))*('IN-OUT'!$F$15^(-1)))*DV132</f>
        <v>1.7080202965226541E-3</v>
      </c>
      <c r="DS132" s="254" t="e">
        <f t="shared" si="104"/>
        <v>#DIV/0!</v>
      </c>
      <c r="DT132" s="254" t="e">
        <f t="shared" si="122"/>
        <v>#DIV/0!</v>
      </c>
      <c r="DU132" s="254">
        <f t="shared" si="140"/>
        <v>1.2266666666666578E-3</v>
      </c>
      <c r="DV132" s="270">
        <f t="shared" si="105"/>
        <v>1.7080202965226541E-3</v>
      </c>
      <c r="DW132" s="253">
        <f t="shared" si="141"/>
        <v>7.7333333333333204E-4</v>
      </c>
      <c r="DX132" s="255">
        <f t="shared" si="123"/>
        <v>7.7333333333333198E-2</v>
      </c>
    </row>
    <row r="133" spans="3:128">
      <c r="C133" s="302" t="str">
        <f>$I$22</f>
        <v/>
      </c>
      <c r="D133" s="288" t="str">
        <f>L25</f>
        <v/>
      </c>
      <c r="E133" s="389" t="str">
        <f t="shared" si="142"/>
        <v/>
      </c>
      <c r="F133" s="397" t="str">
        <f t="shared" si="142"/>
        <v/>
      </c>
      <c r="U133" s="262"/>
      <c r="AN133" s="258">
        <f>(((IF($P$5&lt;&gt;0,$P$5,IF($P$6&lt;&gt;0,$P$6,IF($P$7&lt;&gt;0,$P$7,0))))/(12*$P$19))+(((3*$P$15)/(2*(IF($P$5&lt;&gt;0,$P$5,IF($P$6&lt;&gt;0,$P$6,IF($P$7&lt;&gt;0,$P$7,0))))*$U$5*$P$19))*'IN-OUT'!$F$15))*'Burland damage classification'!AR133</f>
        <v>7.0623350085358919E-4</v>
      </c>
      <c r="AO133" s="254">
        <f>(1+(((IF($P$5&lt;&gt;0,$P$5^2,IF($P$6&lt;&gt;0,$P$6^2,IF($P$7&lt;&gt;0,$P$7^2))))*$U$5)/(18*$P$15))*('IN-OUT'!$F$15^(-1)))*AS133</f>
        <v>7.1179973880874416E-4</v>
      </c>
      <c r="AP133" s="254">
        <f t="shared" si="146"/>
        <v>7.0623350085358919E-4</v>
      </c>
      <c r="AQ133" s="254">
        <f t="shared" si="108"/>
        <v>7.0623350085358916E-2</v>
      </c>
      <c r="AR133" s="254">
        <f t="shared" si="126"/>
        <v>2.2000000000000177E-4</v>
      </c>
      <c r="AS133" s="253">
        <f t="shared" si="143"/>
        <v>6.7379522111692125E-4</v>
      </c>
      <c r="AT133" s="253">
        <f t="shared" si="127"/>
        <v>7.7999999999999868E-4</v>
      </c>
      <c r="AU133" s="255">
        <f t="shared" si="109"/>
        <v>7.7999999999999875E-2</v>
      </c>
      <c r="AW133" s="258">
        <f>(((IF($P$5&lt;&gt;0,$P$5,IF($P$6&lt;&gt;0,$P$6,IF($P$7&lt;&gt;0,$P$7,0))))/(12*$P$19))+(((3*$P$15)/(2*(IF($P$5&lt;&gt;0,$P$5,IF($P$6&lt;&gt;0,$P$6,IF($P$7&lt;&gt;0,$P$7,0))))*$U$5*$P$19))*'IN-OUT'!$F$15))*'Burland damage classification'!BA133</f>
        <v>3.9163857774607526E-3</v>
      </c>
      <c r="AX133" s="254">
        <f>(1+(((IF($P$5&lt;&gt;0,$P$5^2,IF($P$6&lt;&gt;0,$P$6^2,IF($P$7&lt;&gt;0,$P$7^2))))*$U$5)/(18*$P$15))*('IN-OUT'!$F$15^(-1)))*BB133</f>
        <v>1.8014702687382399E-3</v>
      </c>
      <c r="AY133" s="254">
        <f t="shared" si="147"/>
        <v>1.8014702687382399E-3</v>
      </c>
      <c r="AZ133" s="254">
        <f t="shared" si="110"/>
        <v>0.180147026873824</v>
      </c>
      <c r="BA133" s="254">
        <f t="shared" si="128"/>
        <v>1.2199999999999911E-3</v>
      </c>
      <c r="BB133" s="270">
        <f t="shared" si="93"/>
        <v>1.7052858997833769E-3</v>
      </c>
      <c r="BC133" s="253">
        <f t="shared" si="129"/>
        <v>7.7999999999999868E-4</v>
      </c>
      <c r="BD133" s="255">
        <f t="shared" si="111"/>
        <v>7.7999999999999875E-2</v>
      </c>
      <c r="BI133" s="248"/>
      <c r="BX133" s="258" t="e">
        <f>((((IF($Q$5=0,$Q$6,$Q$5)))/(12*$Q$19))+(((3*$Q$15)/(2*IF($Q$5=0,$Q$6,$Q$5)*$U$5*$Q$19))*'IN-OUT'!$F$15))*'Burland damage classification'!CB133</f>
        <v>#DIV/0!</v>
      </c>
      <c r="BY133" s="262">
        <f>(1+(((IF($Q$5=0,$Q$6^2,$Q$5^2))*$U$5)/(18*$Q$15))*('IN-OUT'!$F$15^(-1)))*CC133</f>
        <v>6.7379522111692125E-4</v>
      </c>
      <c r="BZ133" s="254" t="e">
        <f t="shared" si="96"/>
        <v>#DIV/0!</v>
      </c>
      <c r="CA133" s="254" t="e">
        <f t="shared" si="114"/>
        <v>#DIV/0!</v>
      </c>
      <c r="CB133" s="254">
        <f t="shared" si="132"/>
        <v>2.2000000000000177E-4</v>
      </c>
      <c r="CC133" s="253">
        <f t="shared" si="144"/>
        <v>6.7379522111692125E-4</v>
      </c>
      <c r="CD133" s="253">
        <f t="shared" si="133"/>
        <v>7.7999999999999868E-4</v>
      </c>
      <c r="CE133" s="255">
        <f t="shared" si="115"/>
        <v>7.7999999999999875E-2</v>
      </c>
      <c r="CG133" s="258" t="e">
        <f>((((IF($Q$5=0,$Q$6,$Q$5)))/(12*$Q$19))+(((3*$Q$15)/(2*IF($Q$5=0,$Q$6,$Q$5)*$U$5*$Q$19))*'IN-OUT'!$F$15))*'Burland damage classification'!CK133</f>
        <v>#DIV/0!</v>
      </c>
      <c r="CH133" s="262">
        <f>(1+(((IF($Q$5=0,$Q$6^2,$Q$5^2))*$U$5)/(18*$Q$15))*('IN-OUT'!$F$15^(-1)))*CL133</f>
        <v>1.7052858997833769E-3</v>
      </c>
      <c r="CI133" s="254" t="e">
        <f t="shared" si="98"/>
        <v>#DIV/0!</v>
      </c>
      <c r="CJ133" s="254" t="e">
        <f t="shared" si="116"/>
        <v>#DIV/0!</v>
      </c>
      <c r="CK133" s="254">
        <f t="shared" si="134"/>
        <v>1.2199999999999911E-3</v>
      </c>
      <c r="CL133" s="270">
        <f t="shared" si="99"/>
        <v>1.7052858997833769E-3</v>
      </c>
      <c r="CM133" s="253">
        <f t="shared" si="135"/>
        <v>7.7999999999999868E-4</v>
      </c>
      <c r="CN133" s="255">
        <f t="shared" si="117"/>
        <v>7.7999999999999875E-2</v>
      </c>
      <c r="CS133" s="248"/>
      <c r="DH133" s="258" t="e">
        <f>((((IF($R$5=0,$R$6,$R$5)))/(12*$R$19))+(((3*$R$15)/(2*IF($R$5=0,$R$6,$R$5)*$U$5*$R$19))*'IN-OUT'!$F$15))*'Burland damage classification'!DL133</f>
        <v>#DIV/0!</v>
      </c>
      <c r="DI133" s="262">
        <f>(1+(((IF($R$5=0,$R$6^2,$R$5^2))*$U$5)/(18*$R$15))*('IN-OUT'!$F$15^(-1)))*DM133</f>
        <v>6.7379522111692125E-4</v>
      </c>
      <c r="DJ133" s="254" t="e">
        <f t="shared" si="102"/>
        <v>#DIV/0!</v>
      </c>
      <c r="DK133" s="254" t="e">
        <f t="shared" si="120"/>
        <v>#DIV/0!</v>
      </c>
      <c r="DL133" s="254">
        <f t="shared" si="138"/>
        <v>2.2000000000000177E-4</v>
      </c>
      <c r="DM133" s="253">
        <f t="shared" si="145"/>
        <v>6.7379522111692125E-4</v>
      </c>
      <c r="DN133" s="253">
        <f t="shared" si="139"/>
        <v>7.7999999999999868E-4</v>
      </c>
      <c r="DO133" s="255">
        <f t="shared" si="121"/>
        <v>7.7999999999999875E-2</v>
      </c>
      <c r="DQ133" s="258" t="e">
        <f>((((IF($R$5=0,$R$6,$R$5)))/(12*$R$19))+(((3*$R$15)/(2*IF($R$5=0,$R$6,$R$5)*$U$5*$R$19))*'IN-OUT'!$F$15))*'Burland damage classification'!DU133</f>
        <v>#DIV/0!</v>
      </c>
      <c r="DR133" s="262">
        <f>(1+(((IF($R$5=0,$R$6^2,$R$5^2))*$U$5)/(18*$R$15))*('IN-OUT'!$F$15^(-1)))*DV133</f>
        <v>1.7052858997833769E-3</v>
      </c>
      <c r="DS133" s="254" t="e">
        <f t="shared" si="104"/>
        <v>#DIV/0!</v>
      </c>
      <c r="DT133" s="254" t="e">
        <f t="shared" si="122"/>
        <v>#DIV/0!</v>
      </c>
      <c r="DU133" s="254">
        <f t="shared" si="140"/>
        <v>1.2199999999999911E-3</v>
      </c>
      <c r="DV133" s="270">
        <f t="shared" si="105"/>
        <v>1.7052858997833769E-3</v>
      </c>
      <c r="DW133" s="253">
        <f t="shared" si="141"/>
        <v>7.7999999999999868E-4</v>
      </c>
      <c r="DX133" s="255">
        <f t="shared" si="123"/>
        <v>7.7999999999999875E-2</v>
      </c>
    </row>
    <row r="134" spans="3:128">
      <c r="C134" s="302" t="str">
        <f>$J$22</f>
        <v/>
      </c>
      <c r="D134" s="288" t="str">
        <f>M25</f>
        <v/>
      </c>
      <c r="E134" s="389" t="str">
        <f t="shared" si="142"/>
        <v/>
      </c>
      <c r="F134" s="397" t="str">
        <f t="shared" si="142"/>
        <v/>
      </c>
      <c r="U134" s="262"/>
      <c r="AN134" s="258">
        <f>(((IF($P$5&lt;&gt;0,$P$5,IF($P$6&lt;&gt;0,$P$6,IF($P$7&lt;&gt;0,$P$7,0))))/(12*$P$19))+(((3*$P$15)/(2*(IF($P$5&lt;&gt;0,$P$5,IF($P$6&lt;&gt;0,$P$6,IF($P$7&lt;&gt;0,$P$7,0))))*$U$5*$P$19))*'IN-OUT'!$F$15))*'Burland damage classification'!AR134</f>
        <v>6.8483248567620793E-4</v>
      </c>
      <c r="AO134" s="254">
        <f>(1+(((IF($P$5&lt;&gt;0,$P$5^2,IF($P$6&lt;&gt;0,$P$6^2,IF($P$7&lt;&gt;0,$P$7^2))))*$U$5)/(18*$P$15))*('IN-OUT'!$F$15^(-1)))*AS134</f>
        <v>7.0813199399427163E-4</v>
      </c>
      <c r="AP134" s="254">
        <f t="shared" si="146"/>
        <v>6.8483248567620793E-4</v>
      </c>
      <c r="AQ134" s="254">
        <f t="shared" si="108"/>
        <v>6.8483248567620794E-2</v>
      </c>
      <c r="AR134" s="254">
        <f t="shared" si="126"/>
        <v>2.1333333333333509E-4</v>
      </c>
      <c r="AS134" s="253">
        <f t="shared" si="143"/>
        <v>6.7032330507996976E-4</v>
      </c>
      <c r="AT134" s="253">
        <f t="shared" si="127"/>
        <v>7.8666666666666533E-4</v>
      </c>
      <c r="AU134" s="255">
        <f t="shared" si="109"/>
        <v>7.8666666666666538E-2</v>
      </c>
      <c r="AW134" s="258">
        <f>(((IF($P$5&lt;&gt;0,$P$5,IF($P$6&lt;&gt;0,$P$6,IF($P$7&lt;&gt;0,$P$7,0))))/(12*$P$19))+(((3*$P$15)/(2*(IF($P$5&lt;&gt;0,$P$5,IF($P$6&lt;&gt;0,$P$6,IF($P$7&lt;&gt;0,$P$7,0))))*$U$5*$P$19))*'IN-OUT'!$F$15))*'Burland damage classification'!BA134</f>
        <v>3.8949847622833712E-3</v>
      </c>
      <c r="AX134" s="254">
        <f>(1+(((IF($P$5&lt;&gt;0,$P$5^2,IF($P$6&lt;&gt;0,$P$6^2,IF($P$7&lt;&gt;0,$P$7^2))))*$U$5)/(18*$P$15))*('IN-OUT'!$F$15^(-1)))*BB134</f>
        <v>1.7985770027018691E-3</v>
      </c>
      <c r="AY134" s="254">
        <f t="shared" si="147"/>
        <v>1.7985770027018691E-3</v>
      </c>
      <c r="AZ134" s="254">
        <f t="shared" si="110"/>
        <v>0.17985770027018691</v>
      </c>
      <c r="BA134" s="254">
        <f t="shared" si="128"/>
        <v>1.2133333333333243E-3</v>
      </c>
      <c r="BB134" s="270">
        <f t="shared" si="93"/>
        <v>1.7025471114382321E-3</v>
      </c>
      <c r="BC134" s="253">
        <f t="shared" si="129"/>
        <v>7.8666666666666533E-4</v>
      </c>
      <c r="BD134" s="255">
        <f t="shared" si="111"/>
        <v>7.8666666666666538E-2</v>
      </c>
      <c r="BI134" s="248"/>
      <c r="BX134" s="258" t="e">
        <f>((((IF($Q$5=0,$Q$6,$Q$5)))/(12*$Q$19))+(((3*$Q$15)/(2*IF($Q$5=0,$Q$6,$Q$5)*$U$5*$Q$19))*'IN-OUT'!$F$15))*'Burland damage classification'!CB134</f>
        <v>#DIV/0!</v>
      </c>
      <c r="BY134" s="262">
        <f>(1+(((IF($Q$5=0,$Q$6^2,$Q$5^2))*$U$5)/(18*$Q$15))*('IN-OUT'!$F$15^(-1)))*CC134</f>
        <v>6.7032330507996976E-4</v>
      </c>
      <c r="BZ134" s="254" t="e">
        <f t="shared" si="96"/>
        <v>#DIV/0!</v>
      </c>
      <c r="CA134" s="254" t="e">
        <f t="shared" si="114"/>
        <v>#DIV/0!</v>
      </c>
      <c r="CB134" s="254">
        <f t="shared" si="132"/>
        <v>2.1333333333333509E-4</v>
      </c>
      <c r="CC134" s="253">
        <f t="shared" si="144"/>
        <v>6.7032330507996976E-4</v>
      </c>
      <c r="CD134" s="253">
        <f t="shared" si="133"/>
        <v>7.8666666666666533E-4</v>
      </c>
      <c r="CE134" s="255">
        <f t="shared" si="115"/>
        <v>7.8666666666666538E-2</v>
      </c>
      <c r="CG134" s="258" t="e">
        <f>((((IF($Q$5=0,$Q$6,$Q$5)))/(12*$Q$19))+(((3*$Q$15)/(2*IF($Q$5=0,$Q$6,$Q$5)*$U$5*$Q$19))*'IN-OUT'!$F$15))*'Burland damage classification'!CK134</f>
        <v>#DIV/0!</v>
      </c>
      <c r="CH134" s="262">
        <f>(1+(((IF($Q$5=0,$Q$6^2,$Q$5^2))*$U$5)/(18*$Q$15))*('IN-OUT'!$F$15^(-1)))*CL134</f>
        <v>1.7025471114382321E-3</v>
      </c>
      <c r="CI134" s="254" t="e">
        <f t="shared" si="98"/>
        <v>#DIV/0!</v>
      </c>
      <c r="CJ134" s="254" t="e">
        <f t="shared" si="116"/>
        <v>#DIV/0!</v>
      </c>
      <c r="CK134" s="254">
        <f t="shared" si="134"/>
        <v>1.2133333333333243E-3</v>
      </c>
      <c r="CL134" s="270">
        <f t="shared" si="99"/>
        <v>1.7025471114382321E-3</v>
      </c>
      <c r="CM134" s="253">
        <f t="shared" si="135"/>
        <v>7.8666666666666533E-4</v>
      </c>
      <c r="CN134" s="255">
        <f t="shared" si="117"/>
        <v>7.8666666666666538E-2</v>
      </c>
      <c r="CS134" s="248"/>
      <c r="DH134" s="258" t="e">
        <f>((((IF($R$5=0,$R$6,$R$5)))/(12*$R$19))+(((3*$R$15)/(2*IF($R$5=0,$R$6,$R$5)*$U$5*$R$19))*'IN-OUT'!$F$15))*'Burland damage classification'!DL134</f>
        <v>#DIV/0!</v>
      </c>
      <c r="DI134" s="262">
        <f>(1+(((IF($R$5=0,$R$6^2,$R$5^2))*$U$5)/(18*$R$15))*('IN-OUT'!$F$15^(-1)))*DM134</f>
        <v>6.7032330507996976E-4</v>
      </c>
      <c r="DJ134" s="254" t="e">
        <f t="shared" si="102"/>
        <v>#DIV/0!</v>
      </c>
      <c r="DK134" s="254" t="e">
        <f t="shared" si="120"/>
        <v>#DIV/0!</v>
      </c>
      <c r="DL134" s="254">
        <f t="shared" si="138"/>
        <v>2.1333333333333509E-4</v>
      </c>
      <c r="DM134" s="253">
        <f t="shared" si="145"/>
        <v>6.7032330507996976E-4</v>
      </c>
      <c r="DN134" s="253">
        <f t="shared" si="139"/>
        <v>7.8666666666666533E-4</v>
      </c>
      <c r="DO134" s="255">
        <f t="shared" si="121"/>
        <v>7.8666666666666538E-2</v>
      </c>
      <c r="DQ134" s="258" t="e">
        <f>((((IF($R$5=0,$R$6,$R$5)))/(12*$R$19))+(((3*$R$15)/(2*IF($R$5=0,$R$6,$R$5)*$U$5*$R$19))*'IN-OUT'!$F$15))*'Burland damage classification'!DU134</f>
        <v>#DIV/0!</v>
      </c>
      <c r="DR134" s="262">
        <f>(1+(((IF($R$5=0,$R$6^2,$R$5^2))*$U$5)/(18*$R$15))*('IN-OUT'!$F$15^(-1)))*DV134</f>
        <v>1.7025471114382321E-3</v>
      </c>
      <c r="DS134" s="254" t="e">
        <f t="shared" si="104"/>
        <v>#DIV/0!</v>
      </c>
      <c r="DT134" s="254" t="e">
        <f t="shared" si="122"/>
        <v>#DIV/0!</v>
      </c>
      <c r="DU134" s="254">
        <f t="shared" si="140"/>
        <v>1.2133333333333243E-3</v>
      </c>
      <c r="DV134" s="270">
        <f t="shared" si="105"/>
        <v>1.7025471114382321E-3</v>
      </c>
      <c r="DW134" s="253">
        <f t="shared" si="141"/>
        <v>7.8666666666666533E-4</v>
      </c>
      <c r="DX134" s="255">
        <f t="shared" si="123"/>
        <v>7.8666666666666538E-2</v>
      </c>
    </row>
    <row r="135" spans="3:128">
      <c r="C135" s="302" t="str">
        <f>$I$23</f>
        <v/>
      </c>
      <c r="D135" s="288">
        <f>L30</f>
        <v>-15</v>
      </c>
      <c r="E135" s="389" t="str">
        <f t="shared" si="142"/>
        <v/>
      </c>
      <c r="F135" s="397">
        <f t="shared" si="142"/>
        <v>0</v>
      </c>
      <c r="U135" s="262"/>
      <c r="AN135" s="258">
        <f>(((IF($P$5&lt;&gt;0,$P$5,IF($P$6&lt;&gt;0,$P$6,IF($P$7&lt;&gt;0,$P$7,0))))/(12*$P$19))+(((3*$P$15)/(2*(IF($P$5&lt;&gt;0,$P$5,IF($P$6&lt;&gt;0,$P$6,IF($P$7&lt;&gt;0,$P$7,0))))*$U$5*$P$19))*'IN-OUT'!$F$15))*'Burland damage classification'!AR135</f>
        <v>6.6343147049882656E-4</v>
      </c>
      <c r="AO135" s="254">
        <f>(1+(((IF($P$5&lt;&gt;0,$P$5^2,IF($P$6&lt;&gt;0,$P$6^2,IF($P$7&lt;&gt;0,$P$7^2))))*$U$5)/(18*$P$15))*('IN-OUT'!$F$15^(-1)))*AS135</f>
        <v>7.0444515305906525E-4</v>
      </c>
      <c r="AP135" s="254">
        <f t="shared" si="146"/>
        <v>6.6343147049882656E-4</v>
      </c>
      <c r="AQ135" s="254">
        <f t="shared" si="108"/>
        <v>6.6343147049882659E-2</v>
      </c>
      <c r="AR135" s="254">
        <f t="shared" si="126"/>
        <v>2.0666666666666842E-4</v>
      </c>
      <c r="AS135" s="253">
        <f t="shared" si="143"/>
        <v>6.668333125052074E-4</v>
      </c>
      <c r="AT135" s="253">
        <f t="shared" si="127"/>
        <v>7.9333333333333198E-4</v>
      </c>
      <c r="AU135" s="255">
        <f t="shared" si="109"/>
        <v>7.93333333333332E-2</v>
      </c>
      <c r="AW135" s="258">
        <f>(((IF($P$5&lt;&gt;0,$P$5,IF($P$6&lt;&gt;0,$P$6,IF($P$7&lt;&gt;0,$P$7,0))))/(12*$P$19))+(((3*$P$15)/(2*(IF($P$5&lt;&gt;0,$P$5,IF($P$6&lt;&gt;0,$P$6,IF($P$7&lt;&gt;0,$P$7,0))))*$U$5*$P$19))*'IN-OUT'!$F$15))*'Burland damage classification'!BA135</f>
        <v>3.8735837471059894E-3</v>
      </c>
      <c r="AX135" s="254">
        <f>(1+(((IF($P$5&lt;&gt;0,$P$5^2,IF($P$6&lt;&gt;0,$P$6^2,IF($P$7&lt;&gt;0,$P$7^2))))*$U$5)/(18*$P$15))*('IN-OUT'!$F$15^(-1)))*BB135</f>
        <v>1.7956790749318913E-3</v>
      </c>
      <c r="AY135" s="254">
        <f t="shared" si="147"/>
        <v>1.7956790749318913E-3</v>
      </c>
      <c r="AZ135" s="254">
        <f t="shared" si="110"/>
        <v>0.17956790749318913</v>
      </c>
      <c r="BA135" s="254">
        <f t="shared" si="128"/>
        <v>1.2066666666666575E-3</v>
      </c>
      <c r="BB135" s="270">
        <f t="shared" si="93"/>
        <v>1.6998039102594554E-3</v>
      </c>
      <c r="BC135" s="253">
        <f t="shared" si="129"/>
        <v>7.9333333333333198E-4</v>
      </c>
      <c r="BD135" s="255">
        <f t="shared" si="111"/>
        <v>7.93333333333332E-2</v>
      </c>
      <c r="BI135" s="248"/>
      <c r="BX135" s="258" t="e">
        <f>((((IF($Q$5=0,$Q$6,$Q$5)))/(12*$Q$19))+(((3*$Q$15)/(2*IF($Q$5=0,$Q$6,$Q$5)*$U$5*$Q$19))*'IN-OUT'!$F$15))*'Burland damage classification'!CB135</f>
        <v>#DIV/0!</v>
      </c>
      <c r="BY135" s="262">
        <f>(1+(((IF($Q$5=0,$Q$6^2,$Q$5^2))*$U$5)/(18*$Q$15))*('IN-OUT'!$F$15^(-1)))*CC135</f>
        <v>6.668333125052074E-4</v>
      </c>
      <c r="BZ135" s="254" t="e">
        <f t="shared" si="96"/>
        <v>#DIV/0!</v>
      </c>
      <c r="CA135" s="254" t="e">
        <f t="shared" si="114"/>
        <v>#DIV/0!</v>
      </c>
      <c r="CB135" s="254">
        <f t="shared" si="132"/>
        <v>2.0666666666666842E-4</v>
      </c>
      <c r="CC135" s="253">
        <f t="shared" si="144"/>
        <v>6.668333125052074E-4</v>
      </c>
      <c r="CD135" s="253">
        <f t="shared" si="133"/>
        <v>7.9333333333333198E-4</v>
      </c>
      <c r="CE135" s="255">
        <f t="shared" si="115"/>
        <v>7.93333333333332E-2</v>
      </c>
      <c r="CG135" s="258" t="e">
        <f>((((IF($Q$5=0,$Q$6,$Q$5)))/(12*$Q$19))+(((3*$Q$15)/(2*IF($Q$5=0,$Q$6,$Q$5)*$U$5*$Q$19))*'IN-OUT'!$F$15))*'Burland damage classification'!CK135</f>
        <v>#DIV/0!</v>
      </c>
      <c r="CH135" s="262">
        <f>(1+(((IF($Q$5=0,$Q$6^2,$Q$5^2))*$U$5)/(18*$Q$15))*('IN-OUT'!$F$15^(-1)))*CL135</f>
        <v>1.6998039102594554E-3</v>
      </c>
      <c r="CI135" s="254" t="e">
        <f t="shared" si="98"/>
        <v>#DIV/0!</v>
      </c>
      <c r="CJ135" s="254" t="e">
        <f t="shared" si="116"/>
        <v>#DIV/0!</v>
      </c>
      <c r="CK135" s="254">
        <f t="shared" si="134"/>
        <v>1.2066666666666575E-3</v>
      </c>
      <c r="CL135" s="270">
        <f t="shared" si="99"/>
        <v>1.6998039102594554E-3</v>
      </c>
      <c r="CM135" s="253">
        <f t="shared" si="135"/>
        <v>7.9333333333333198E-4</v>
      </c>
      <c r="CN135" s="255">
        <f t="shared" si="117"/>
        <v>7.93333333333332E-2</v>
      </c>
      <c r="CS135" s="248"/>
      <c r="DH135" s="258" t="e">
        <f>((((IF($R$5=0,$R$6,$R$5)))/(12*$R$19))+(((3*$R$15)/(2*IF($R$5=0,$R$6,$R$5)*$U$5*$R$19))*'IN-OUT'!$F$15))*'Burland damage classification'!DL135</f>
        <v>#DIV/0!</v>
      </c>
      <c r="DI135" s="262">
        <f>(1+(((IF($R$5=0,$R$6^2,$R$5^2))*$U$5)/(18*$R$15))*('IN-OUT'!$F$15^(-1)))*DM135</f>
        <v>6.668333125052074E-4</v>
      </c>
      <c r="DJ135" s="254" t="e">
        <f t="shared" si="102"/>
        <v>#DIV/0!</v>
      </c>
      <c r="DK135" s="254" t="e">
        <f t="shared" si="120"/>
        <v>#DIV/0!</v>
      </c>
      <c r="DL135" s="254">
        <f t="shared" si="138"/>
        <v>2.0666666666666842E-4</v>
      </c>
      <c r="DM135" s="253">
        <f t="shared" si="145"/>
        <v>6.668333125052074E-4</v>
      </c>
      <c r="DN135" s="253">
        <f t="shared" si="139"/>
        <v>7.9333333333333198E-4</v>
      </c>
      <c r="DO135" s="255">
        <f t="shared" si="121"/>
        <v>7.93333333333332E-2</v>
      </c>
      <c r="DQ135" s="258" t="e">
        <f>((((IF($R$5=0,$R$6,$R$5)))/(12*$R$19))+(((3*$R$15)/(2*IF($R$5=0,$R$6,$R$5)*$U$5*$R$19))*'IN-OUT'!$F$15))*'Burland damage classification'!DU135</f>
        <v>#DIV/0!</v>
      </c>
      <c r="DR135" s="262">
        <f>(1+(((IF($R$5=0,$R$6^2,$R$5^2))*$U$5)/(18*$R$15))*('IN-OUT'!$F$15^(-1)))*DV135</f>
        <v>1.6998039102594554E-3</v>
      </c>
      <c r="DS135" s="254" t="e">
        <f t="shared" si="104"/>
        <v>#DIV/0!</v>
      </c>
      <c r="DT135" s="254" t="e">
        <f t="shared" si="122"/>
        <v>#DIV/0!</v>
      </c>
      <c r="DU135" s="254">
        <f t="shared" si="140"/>
        <v>1.2066666666666575E-3</v>
      </c>
      <c r="DV135" s="270">
        <f t="shared" si="105"/>
        <v>1.6998039102594554E-3</v>
      </c>
      <c r="DW135" s="253">
        <f t="shared" si="141"/>
        <v>7.9333333333333198E-4</v>
      </c>
      <c r="DX135" s="255">
        <f t="shared" si="123"/>
        <v>7.93333333333332E-2</v>
      </c>
    </row>
    <row r="136" spans="3:128">
      <c r="C136" s="302" t="str">
        <f>$J$23</f>
        <v/>
      </c>
      <c r="D136" s="288">
        <f>M30</f>
        <v>-12.488417999999999</v>
      </c>
      <c r="E136" s="389" t="str">
        <f t="shared" si="142"/>
        <v/>
      </c>
      <c r="F136" s="397">
        <f t="shared" si="142"/>
        <v>0</v>
      </c>
      <c r="U136" s="262"/>
      <c r="AN136" s="258">
        <f>(((IF($P$5&lt;&gt;0,$P$5,IF($P$6&lt;&gt;0,$P$6,IF($P$7&lt;&gt;0,$P$7,0))))/(12*$P$19))+(((3*$P$15)/(2*(IF($P$5&lt;&gt;0,$P$5,IF($P$6&lt;&gt;0,$P$6,IF($P$7&lt;&gt;0,$P$7,0))))*$U$5*$P$19))*'IN-OUT'!$F$15))*'Burland damage classification'!AR136</f>
        <v>6.4203045532144518E-4</v>
      </c>
      <c r="AO136" s="254">
        <f>(1+(((IF($P$5&lt;&gt;0,$P$5^2,IF($P$6&lt;&gt;0,$P$6^2,IF($P$7&lt;&gt;0,$P$7^2))))*$U$5)/(18*$P$15))*('IN-OUT'!$F$15^(-1)))*AS136</f>
        <v>7.0073891458839104E-4</v>
      </c>
      <c r="AP136" s="254">
        <f t="shared" si="146"/>
        <v>6.4203045532144518E-4</v>
      </c>
      <c r="AQ136" s="254">
        <f t="shared" si="108"/>
        <v>6.4203045532144523E-2</v>
      </c>
      <c r="AR136" s="254">
        <f t="shared" si="126"/>
        <v>2.0000000000000174E-4</v>
      </c>
      <c r="AS136" s="253">
        <f t="shared" si="143"/>
        <v>6.6332495807108066E-4</v>
      </c>
      <c r="AT136" s="253">
        <f t="shared" si="127"/>
        <v>7.9999999999999863E-4</v>
      </c>
      <c r="AU136" s="255">
        <f t="shared" si="109"/>
        <v>7.9999999999999863E-2</v>
      </c>
      <c r="AW136" s="258">
        <f>(((IF($P$5&lt;&gt;0,$P$5,IF($P$6&lt;&gt;0,$P$6,IF($P$7&lt;&gt;0,$P$7,0))))/(12*$P$19))+(((3*$P$15)/(2*(IF($P$5&lt;&gt;0,$P$5,IF($P$6&lt;&gt;0,$P$6,IF($P$7&lt;&gt;0,$P$7,0))))*$U$5*$P$19))*'IN-OUT'!$F$15))*'Burland damage classification'!BA136</f>
        <v>3.852182731928608E-3</v>
      </c>
      <c r="AX136" s="254">
        <f>(1+(((IF($P$5&lt;&gt;0,$P$5^2,IF($P$6&lt;&gt;0,$P$6^2,IF($P$7&lt;&gt;0,$P$7^2))))*$U$5)/(18*$P$15))*('IN-OUT'!$F$15^(-1)))*BB136</f>
        <v>1.7927764628219735E-3</v>
      </c>
      <c r="AY136" s="254">
        <f t="shared" si="147"/>
        <v>1.7927764628219735E-3</v>
      </c>
      <c r="AZ136" s="254">
        <f t="shared" si="110"/>
        <v>0.17927764628219736</v>
      </c>
      <c r="BA136" s="254">
        <f t="shared" si="128"/>
        <v>1.1999999999999908E-3</v>
      </c>
      <c r="BB136" s="270">
        <f t="shared" si="93"/>
        <v>1.6970562748477146E-3</v>
      </c>
      <c r="BC136" s="253">
        <f t="shared" si="129"/>
        <v>7.9999999999999863E-4</v>
      </c>
      <c r="BD136" s="255">
        <f t="shared" si="111"/>
        <v>7.9999999999999863E-2</v>
      </c>
      <c r="BI136" s="248"/>
      <c r="BX136" s="258" t="e">
        <f>((((IF($Q$5=0,$Q$6,$Q$5)))/(12*$Q$19))+(((3*$Q$15)/(2*IF($Q$5=0,$Q$6,$Q$5)*$U$5*$Q$19))*'IN-OUT'!$F$15))*'Burland damage classification'!CB136</f>
        <v>#DIV/0!</v>
      </c>
      <c r="BY136" s="262">
        <f>(1+(((IF($Q$5=0,$Q$6^2,$Q$5^2))*$U$5)/(18*$Q$15))*('IN-OUT'!$F$15^(-1)))*CC136</f>
        <v>6.6332495807108066E-4</v>
      </c>
      <c r="BZ136" s="254" t="e">
        <f t="shared" si="96"/>
        <v>#DIV/0!</v>
      </c>
      <c r="CA136" s="254" t="e">
        <f t="shared" si="114"/>
        <v>#DIV/0!</v>
      </c>
      <c r="CB136" s="254">
        <f t="shared" si="132"/>
        <v>2.0000000000000174E-4</v>
      </c>
      <c r="CC136" s="253">
        <f t="shared" si="144"/>
        <v>6.6332495807108066E-4</v>
      </c>
      <c r="CD136" s="253">
        <f t="shared" si="133"/>
        <v>7.9999999999999863E-4</v>
      </c>
      <c r="CE136" s="255">
        <f t="shared" si="115"/>
        <v>7.9999999999999863E-2</v>
      </c>
      <c r="CG136" s="258" t="e">
        <f>((((IF($Q$5=0,$Q$6,$Q$5)))/(12*$Q$19))+(((3*$Q$15)/(2*IF($Q$5=0,$Q$6,$Q$5)*$U$5*$Q$19))*'IN-OUT'!$F$15))*'Burland damage classification'!CK136</f>
        <v>#DIV/0!</v>
      </c>
      <c r="CH136" s="262">
        <f>(1+(((IF($Q$5=0,$Q$6^2,$Q$5^2))*$U$5)/(18*$Q$15))*('IN-OUT'!$F$15^(-1)))*CL136</f>
        <v>1.6970562748477146E-3</v>
      </c>
      <c r="CI136" s="254" t="e">
        <f t="shared" si="98"/>
        <v>#DIV/0!</v>
      </c>
      <c r="CJ136" s="254" t="e">
        <f t="shared" si="116"/>
        <v>#DIV/0!</v>
      </c>
      <c r="CK136" s="254">
        <f t="shared" si="134"/>
        <v>1.1999999999999908E-3</v>
      </c>
      <c r="CL136" s="270">
        <f t="shared" si="99"/>
        <v>1.6970562748477146E-3</v>
      </c>
      <c r="CM136" s="253">
        <f t="shared" si="135"/>
        <v>7.9999999999999863E-4</v>
      </c>
      <c r="CN136" s="255">
        <f t="shared" si="117"/>
        <v>7.9999999999999863E-2</v>
      </c>
      <c r="CS136" s="248"/>
      <c r="DH136" s="258" t="e">
        <f>((((IF($R$5=0,$R$6,$R$5)))/(12*$R$19))+(((3*$R$15)/(2*IF($R$5=0,$R$6,$R$5)*$U$5*$R$19))*'IN-OUT'!$F$15))*'Burland damage classification'!DL136</f>
        <v>#DIV/0!</v>
      </c>
      <c r="DI136" s="262">
        <f>(1+(((IF($R$5=0,$R$6^2,$R$5^2))*$U$5)/(18*$R$15))*('IN-OUT'!$F$15^(-1)))*DM136</f>
        <v>6.6332495807108066E-4</v>
      </c>
      <c r="DJ136" s="254" t="e">
        <f t="shared" si="102"/>
        <v>#DIV/0!</v>
      </c>
      <c r="DK136" s="254" t="e">
        <f t="shared" si="120"/>
        <v>#DIV/0!</v>
      </c>
      <c r="DL136" s="254">
        <f t="shared" si="138"/>
        <v>2.0000000000000174E-4</v>
      </c>
      <c r="DM136" s="253">
        <f t="shared" si="145"/>
        <v>6.6332495807108066E-4</v>
      </c>
      <c r="DN136" s="253">
        <f t="shared" si="139"/>
        <v>7.9999999999999863E-4</v>
      </c>
      <c r="DO136" s="255">
        <f t="shared" si="121"/>
        <v>7.9999999999999863E-2</v>
      </c>
      <c r="DQ136" s="258" t="e">
        <f>((((IF($R$5=0,$R$6,$R$5)))/(12*$R$19))+(((3*$R$15)/(2*IF($R$5=0,$R$6,$R$5)*$U$5*$R$19))*'IN-OUT'!$F$15))*'Burland damage classification'!DU136</f>
        <v>#DIV/0!</v>
      </c>
      <c r="DR136" s="262">
        <f>(1+(((IF($R$5=0,$R$6^2,$R$5^2))*$U$5)/(18*$R$15))*('IN-OUT'!$F$15^(-1)))*DV136</f>
        <v>1.6970562748477146E-3</v>
      </c>
      <c r="DS136" s="254" t="e">
        <f t="shared" si="104"/>
        <v>#DIV/0!</v>
      </c>
      <c r="DT136" s="254" t="e">
        <f t="shared" si="122"/>
        <v>#DIV/0!</v>
      </c>
      <c r="DU136" s="254">
        <f t="shared" si="140"/>
        <v>1.1999999999999908E-3</v>
      </c>
      <c r="DV136" s="270">
        <f t="shared" si="105"/>
        <v>1.6970562748477146E-3</v>
      </c>
      <c r="DW136" s="253">
        <f t="shared" si="141"/>
        <v>7.9999999999999863E-4</v>
      </c>
      <c r="DX136" s="255">
        <f t="shared" si="123"/>
        <v>7.9999999999999863E-2</v>
      </c>
    </row>
    <row r="137" spans="3:128">
      <c r="C137" s="302" t="str">
        <f>$I$25</f>
        <v/>
      </c>
      <c r="D137" s="288" t="str">
        <f>L31</f>
        <v/>
      </c>
      <c r="E137" s="389" t="str">
        <f t="shared" si="142"/>
        <v/>
      </c>
      <c r="F137" s="397" t="str">
        <f t="shared" si="142"/>
        <v/>
      </c>
      <c r="U137" s="262"/>
      <c r="AN137" s="258">
        <f>(((IF($P$5&lt;&gt;0,$P$5,IF($P$6&lt;&gt;0,$P$6,IF($P$7&lt;&gt;0,$P$7,0))))/(12*$P$19))+(((3*$P$15)/(2*(IF($P$5&lt;&gt;0,$P$5,IF($P$6&lt;&gt;0,$P$6,IF($P$7&lt;&gt;0,$P$7,0))))*$U$5*$P$19))*'IN-OUT'!$F$15))*'Burland damage classification'!AR137</f>
        <v>6.2062944014406381E-4</v>
      </c>
      <c r="AO137" s="254">
        <f>(1+(((IF($P$5&lt;&gt;0,$P$5^2,IF($P$6&lt;&gt;0,$P$6^2,IF($P$7&lt;&gt;0,$P$7^2))))*$U$5)/(18*$P$15))*('IN-OUT'!$F$15^(-1)))*AS137</f>
        <v>6.9701296915381937E-4</v>
      </c>
      <c r="AP137" s="254">
        <f t="shared" si="146"/>
        <v>6.2062944014406381E-4</v>
      </c>
      <c r="AQ137" s="254">
        <f t="shared" si="108"/>
        <v>6.2062944014406381E-2</v>
      </c>
      <c r="AR137" s="254">
        <f t="shared" si="126"/>
        <v>1.9333333333333507E-4</v>
      </c>
      <c r="AS137" s="253">
        <f t="shared" si="143"/>
        <v>6.5979794887020848E-4</v>
      </c>
      <c r="AT137" s="253">
        <f t="shared" si="127"/>
        <v>8.0666666666666528E-4</v>
      </c>
      <c r="AU137" s="255">
        <f t="shared" si="109"/>
        <v>8.0666666666666526E-2</v>
      </c>
      <c r="AW137" s="258">
        <f>(((IF($P$5&lt;&gt;0,$P$5,IF($P$6&lt;&gt;0,$P$6,IF($P$7&lt;&gt;0,$P$7,0))))/(12*$P$19))+(((3*$P$15)/(2*(IF($P$5&lt;&gt;0,$P$5,IF($P$6&lt;&gt;0,$P$6,IF($P$7&lt;&gt;0,$P$7,0))))*$U$5*$P$19))*'IN-OUT'!$F$15))*'Burland damage classification'!BA137</f>
        <v>3.8307817167512262E-3</v>
      </c>
      <c r="AX137" s="254">
        <f>(1+(((IF($P$5&lt;&gt;0,$P$5^2,IF($P$6&lt;&gt;0,$P$6^2,IF($P$7&lt;&gt;0,$P$7^2))))*$U$5)/(18*$P$15))*('IN-OUT'!$F$15^(-1)))*BB137</f>
        <v>1.7898691435824798E-3</v>
      </c>
      <c r="AY137" s="254">
        <f t="shared" si="147"/>
        <v>1.7898691435824798E-3</v>
      </c>
      <c r="AZ137" s="254">
        <f t="shared" si="110"/>
        <v>0.17898691435824798</v>
      </c>
      <c r="BA137" s="254">
        <f t="shared" si="128"/>
        <v>1.193333333333324E-3</v>
      </c>
      <c r="BB137" s="270">
        <f t="shared" si="93"/>
        <v>1.6943041836301616E-3</v>
      </c>
      <c r="BC137" s="253">
        <f t="shared" si="129"/>
        <v>8.0666666666666528E-4</v>
      </c>
      <c r="BD137" s="255">
        <f t="shared" si="111"/>
        <v>8.0666666666666526E-2</v>
      </c>
      <c r="BI137" s="248"/>
      <c r="BX137" s="258" t="e">
        <f>((((IF($Q$5=0,$Q$6,$Q$5)))/(12*$Q$19))+(((3*$Q$15)/(2*IF($Q$5=0,$Q$6,$Q$5)*$U$5*$Q$19))*'IN-OUT'!$F$15))*'Burland damage classification'!CB137</f>
        <v>#DIV/0!</v>
      </c>
      <c r="BY137" s="262">
        <f>(1+(((IF($Q$5=0,$Q$6^2,$Q$5^2))*$U$5)/(18*$Q$15))*('IN-OUT'!$F$15^(-1)))*CC137</f>
        <v>6.5979794887020848E-4</v>
      </c>
      <c r="BZ137" s="254" t="e">
        <f t="shared" si="96"/>
        <v>#DIV/0!</v>
      </c>
      <c r="CA137" s="254" t="e">
        <f t="shared" si="114"/>
        <v>#DIV/0!</v>
      </c>
      <c r="CB137" s="254">
        <f t="shared" si="132"/>
        <v>1.9333333333333507E-4</v>
      </c>
      <c r="CC137" s="253">
        <f t="shared" si="144"/>
        <v>6.5979794887020848E-4</v>
      </c>
      <c r="CD137" s="253">
        <f t="shared" si="133"/>
        <v>8.0666666666666528E-4</v>
      </c>
      <c r="CE137" s="255">
        <f t="shared" si="115"/>
        <v>8.0666666666666526E-2</v>
      </c>
      <c r="CG137" s="258" t="e">
        <f>((((IF($Q$5=0,$Q$6,$Q$5)))/(12*$Q$19))+(((3*$Q$15)/(2*IF($Q$5=0,$Q$6,$Q$5)*$U$5*$Q$19))*'IN-OUT'!$F$15))*'Burland damage classification'!CK137</f>
        <v>#DIV/0!</v>
      </c>
      <c r="CH137" s="262">
        <f>(1+(((IF($Q$5=0,$Q$6^2,$Q$5^2))*$U$5)/(18*$Q$15))*('IN-OUT'!$F$15^(-1)))*CL137</f>
        <v>1.6943041836301616E-3</v>
      </c>
      <c r="CI137" s="254" t="e">
        <f t="shared" si="98"/>
        <v>#DIV/0!</v>
      </c>
      <c r="CJ137" s="254" t="e">
        <f t="shared" si="116"/>
        <v>#DIV/0!</v>
      </c>
      <c r="CK137" s="254">
        <f t="shared" si="134"/>
        <v>1.193333333333324E-3</v>
      </c>
      <c r="CL137" s="270">
        <f t="shared" si="99"/>
        <v>1.6943041836301616E-3</v>
      </c>
      <c r="CM137" s="253">
        <f t="shared" si="135"/>
        <v>8.0666666666666528E-4</v>
      </c>
      <c r="CN137" s="255">
        <f t="shared" si="117"/>
        <v>8.0666666666666526E-2</v>
      </c>
      <c r="CS137" s="248"/>
      <c r="DH137" s="258" t="e">
        <f>((((IF($R$5=0,$R$6,$R$5)))/(12*$R$19))+(((3*$R$15)/(2*IF($R$5=0,$R$6,$R$5)*$U$5*$R$19))*'IN-OUT'!$F$15))*'Burland damage classification'!DL137</f>
        <v>#DIV/0!</v>
      </c>
      <c r="DI137" s="262">
        <f>(1+(((IF($R$5=0,$R$6^2,$R$5^2))*$U$5)/(18*$R$15))*('IN-OUT'!$F$15^(-1)))*DM137</f>
        <v>6.5979794887020848E-4</v>
      </c>
      <c r="DJ137" s="254" t="e">
        <f t="shared" si="102"/>
        <v>#DIV/0!</v>
      </c>
      <c r="DK137" s="254" t="e">
        <f t="shared" si="120"/>
        <v>#DIV/0!</v>
      </c>
      <c r="DL137" s="254">
        <f t="shared" si="138"/>
        <v>1.9333333333333507E-4</v>
      </c>
      <c r="DM137" s="253">
        <f t="shared" si="145"/>
        <v>6.5979794887020848E-4</v>
      </c>
      <c r="DN137" s="253">
        <f t="shared" si="139"/>
        <v>8.0666666666666528E-4</v>
      </c>
      <c r="DO137" s="255">
        <f t="shared" si="121"/>
        <v>8.0666666666666526E-2</v>
      </c>
      <c r="DQ137" s="258" t="e">
        <f>((((IF($R$5=0,$R$6,$R$5)))/(12*$R$19))+(((3*$R$15)/(2*IF($R$5=0,$R$6,$R$5)*$U$5*$R$19))*'IN-OUT'!$F$15))*'Burland damage classification'!DU137</f>
        <v>#DIV/0!</v>
      </c>
      <c r="DR137" s="262">
        <f>(1+(((IF($R$5=0,$R$6^2,$R$5^2))*$U$5)/(18*$R$15))*('IN-OUT'!$F$15^(-1)))*DV137</f>
        <v>1.6943041836301616E-3</v>
      </c>
      <c r="DS137" s="254" t="e">
        <f t="shared" si="104"/>
        <v>#DIV/0!</v>
      </c>
      <c r="DT137" s="254" t="e">
        <f t="shared" si="122"/>
        <v>#DIV/0!</v>
      </c>
      <c r="DU137" s="254">
        <f t="shared" si="140"/>
        <v>1.193333333333324E-3</v>
      </c>
      <c r="DV137" s="270">
        <f t="shared" si="105"/>
        <v>1.6943041836301616E-3</v>
      </c>
      <c r="DW137" s="253">
        <f t="shared" si="141"/>
        <v>8.0666666666666528E-4</v>
      </c>
      <c r="DX137" s="255">
        <f t="shared" si="123"/>
        <v>8.0666666666666526E-2</v>
      </c>
    </row>
    <row r="138" spans="3:128">
      <c r="C138" s="302" t="str">
        <f>$J$25</f>
        <v/>
      </c>
      <c r="D138" s="288" t="str">
        <f>M31</f>
        <v/>
      </c>
      <c r="E138" s="389" t="str">
        <f t="shared" si="142"/>
        <v/>
      </c>
      <c r="F138" s="397" t="str">
        <f t="shared" si="142"/>
        <v/>
      </c>
      <c r="U138" s="262"/>
      <c r="AN138" s="258">
        <f>(((IF($P$5&lt;&gt;0,$P$5,IF($P$6&lt;&gt;0,$P$6,IF($P$7&lt;&gt;0,$P$7,0))))/(12*$P$19))+(((3*$P$15)/(2*(IF($P$5&lt;&gt;0,$P$5,IF($P$6&lt;&gt;0,$P$6,IF($P$7&lt;&gt;0,$P$7,0))))*$U$5*$P$19))*'IN-OUT'!$F$15))*'Burland damage classification'!AR138</f>
        <v>5.9922842496668244E-4</v>
      </c>
      <c r="AO138" s="254">
        <f>(1+(((IF($P$5&lt;&gt;0,$P$5^2,IF($P$6&lt;&gt;0,$P$6^2,IF($P$7&lt;&gt;0,$P$7^2))))*$U$5)/(18*$P$15))*('IN-OUT'!$F$15^(-1)))*AS138</f>
        <v>6.9326699901172979E-4</v>
      </c>
      <c r="AP138" s="254">
        <f t="shared" si="146"/>
        <v>5.9922842496668244E-4</v>
      </c>
      <c r="AQ138" s="254">
        <f t="shared" si="108"/>
        <v>5.9922842496668245E-2</v>
      </c>
      <c r="AR138" s="254">
        <f t="shared" si="126"/>
        <v>1.8666666666666839E-4</v>
      </c>
      <c r="AS138" s="253">
        <f t="shared" si="143"/>
        <v>6.5625198412398538E-4</v>
      </c>
      <c r="AT138" s="253">
        <f t="shared" si="127"/>
        <v>8.1333333333333192E-4</v>
      </c>
      <c r="AU138" s="255">
        <f t="shared" si="109"/>
        <v>8.1333333333333188E-2</v>
      </c>
      <c r="AW138" s="258">
        <f>(((IF($P$5&lt;&gt;0,$P$5,IF($P$6&lt;&gt;0,$P$6,IF($P$7&lt;&gt;0,$P$7,0))))/(12*$P$19))+(((3*$P$15)/(2*(IF($P$5&lt;&gt;0,$P$5,IF($P$6&lt;&gt;0,$P$6,IF($P$7&lt;&gt;0,$P$7,0))))*$U$5*$P$19))*'IN-OUT'!$F$15))*'Burland damage classification'!BA138</f>
        <v>3.8093807015738448E-3</v>
      </c>
      <c r="AX138" s="254">
        <f>(1+(((IF($P$5&lt;&gt;0,$P$5^2,IF($P$6&lt;&gt;0,$P$6^2,IF($P$7&lt;&gt;0,$P$7^2))))*$U$5)/(18*$P$15))*('IN-OUT'!$F$15^(-1)))*BB138</f>
        <v>1.7869570942383854E-3</v>
      </c>
      <c r="AY138" s="254">
        <f t="shared" si="147"/>
        <v>1.7869570942383854E-3</v>
      </c>
      <c r="AZ138" s="254">
        <f t="shared" si="110"/>
        <v>0.17869570942383853</v>
      </c>
      <c r="BA138" s="254">
        <f t="shared" si="128"/>
        <v>1.1866666666666573E-3</v>
      </c>
      <c r="BB138" s="270">
        <f t="shared" si="93"/>
        <v>1.6915476148584572E-3</v>
      </c>
      <c r="BC138" s="253">
        <f t="shared" si="129"/>
        <v>8.1333333333333192E-4</v>
      </c>
      <c r="BD138" s="255">
        <f t="shared" si="111"/>
        <v>8.1333333333333188E-2</v>
      </c>
      <c r="BI138" s="248"/>
      <c r="BX138" s="258" t="e">
        <f>((((IF($Q$5=0,$Q$6,$Q$5)))/(12*$Q$19))+(((3*$Q$15)/(2*IF($Q$5=0,$Q$6,$Q$5)*$U$5*$Q$19))*'IN-OUT'!$F$15))*'Burland damage classification'!CB138</f>
        <v>#DIV/0!</v>
      </c>
      <c r="BY138" s="262">
        <f>(1+(((IF($Q$5=0,$Q$6^2,$Q$5^2))*$U$5)/(18*$Q$15))*('IN-OUT'!$F$15^(-1)))*CC138</f>
        <v>6.5625198412398538E-4</v>
      </c>
      <c r="BZ138" s="254" t="e">
        <f t="shared" si="96"/>
        <v>#DIV/0!</v>
      </c>
      <c r="CA138" s="254" t="e">
        <f t="shared" si="114"/>
        <v>#DIV/0!</v>
      </c>
      <c r="CB138" s="254">
        <f t="shared" si="132"/>
        <v>1.8666666666666839E-4</v>
      </c>
      <c r="CC138" s="253">
        <f t="shared" si="144"/>
        <v>6.5625198412398538E-4</v>
      </c>
      <c r="CD138" s="253">
        <f t="shared" si="133"/>
        <v>8.1333333333333192E-4</v>
      </c>
      <c r="CE138" s="255">
        <f t="shared" si="115"/>
        <v>8.1333333333333188E-2</v>
      </c>
      <c r="CG138" s="258" t="e">
        <f>((((IF($Q$5=0,$Q$6,$Q$5)))/(12*$Q$19))+(((3*$Q$15)/(2*IF($Q$5=0,$Q$6,$Q$5)*$U$5*$Q$19))*'IN-OUT'!$F$15))*'Burland damage classification'!CK138</f>
        <v>#DIV/0!</v>
      </c>
      <c r="CH138" s="262">
        <f>(1+(((IF($Q$5=0,$Q$6^2,$Q$5^2))*$U$5)/(18*$Q$15))*('IN-OUT'!$F$15^(-1)))*CL138</f>
        <v>1.6915476148584572E-3</v>
      </c>
      <c r="CI138" s="254" t="e">
        <f t="shared" si="98"/>
        <v>#DIV/0!</v>
      </c>
      <c r="CJ138" s="254" t="e">
        <f t="shared" si="116"/>
        <v>#DIV/0!</v>
      </c>
      <c r="CK138" s="254">
        <f t="shared" si="134"/>
        <v>1.1866666666666573E-3</v>
      </c>
      <c r="CL138" s="270">
        <f t="shared" si="99"/>
        <v>1.6915476148584572E-3</v>
      </c>
      <c r="CM138" s="253">
        <f t="shared" si="135"/>
        <v>8.1333333333333192E-4</v>
      </c>
      <c r="CN138" s="255">
        <f t="shared" si="117"/>
        <v>8.1333333333333188E-2</v>
      </c>
      <c r="CS138" s="248"/>
      <c r="DH138" s="258" t="e">
        <f>((((IF($R$5=0,$R$6,$R$5)))/(12*$R$19))+(((3*$R$15)/(2*IF($R$5=0,$R$6,$R$5)*$U$5*$R$19))*'IN-OUT'!$F$15))*'Burland damage classification'!DL138</f>
        <v>#DIV/0!</v>
      </c>
      <c r="DI138" s="262">
        <f>(1+(((IF($R$5=0,$R$6^2,$R$5^2))*$U$5)/(18*$R$15))*('IN-OUT'!$F$15^(-1)))*DM138</f>
        <v>6.5625198412398538E-4</v>
      </c>
      <c r="DJ138" s="254" t="e">
        <f t="shared" si="102"/>
        <v>#DIV/0!</v>
      </c>
      <c r="DK138" s="254" t="e">
        <f t="shared" si="120"/>
        <v>#DIV/0!</v>
      </c>
      <c r="DL138" s="254">
        <f t="shared" si="138"/>
        <v>1.8666666666666839E-4</v>
      </c>
      <c r="DM138" s="253">
        <f t="shared" si="145"/>
        <v>6.5625198412398538E-4</v>
      </c>
      <c r="DN138" s="253">
        <f t="shared" si="139"/>
        <v>8.1333333333333192E-4</v>
      </c>
      <c r="DO138" s="255">
        <f t="shared" si="121"/>
        <v>8.1333333333333188E-2</v>
      </c>
      <c r="DQ138" s="258" t="e">
        <f>((((IF($R$5=0,$R$6,$R$5)))/(12*$R$19))+(((3*$R$15)/(2*IF($R$5=0,$R$6,$R$5)*$U$5*$R$19))*'IN-OUT'!$F$15))*'Burland damage classification'!DU138</f>
        <v>#DIV/0!</v>
      </c>
      <c r="DR138" s="262">
        <f>(1+(((IF($R$5=0,$R$6^2,$R$5^2))*$U$5)/(18*$R$15))*('IN-OUT'!$F$15^(-1)))*DV138</f>
        <v>1.6915476148584572E-3</v>
      </c>
      <c r="DS138" s="254" t="e">
        <f t="shared" si="104"/>
        <v>#DIV/0!</v>
      </c>
      <c r="DT138" s="254" t="e">
        <f t="shared" si="122"/>
        <v>#DIV/0!</v>
      </c>
      <c r="DU138" s="254">
        <f t="shared" si="140"/>
        <v>1.1866666666666573E-3</v>
      </c>
      <c r="DV138" s="270">
        <f t="shared" si="105"/>
        <v>1.6915476148584572E-3</v>
      </c>
      <c r="DW138" s="253">
        <f t="shared" si="141"/>
        <v>8.1333333333333192E-4</v>
      </c>
      <c r="DX138" s="255">
        <f t="shared" si="123"/>
        <v>8.1333333333333188E-2</v>
      </c>
    </row>
    <row r="139" spans="3:128">
      <c r="C139" s="302" t="str">
        <f>$I$26</f>
        <v/>
      </c>
      <c r="D139" s="288" t="str">
        <f>L34</f>
        <v/>
      </c>
      <c r="E139" s="389" t="str">
        <f t="shared" si="142"/>
        <v/>
      </c>
      <c r="F139" s="397" t="str">
        <f t="shared" si="142"/>
        <v/>
      </c>
      <c r="U139" s="262"/>
      <c r="AN139" s="258">
        <f>(((IF($P$5&lt;&gt;0,$P$5,IF($P$6&lt;&gt;0,$P$6,IF($P$7&lt;&gt;0,$P$7,0))))/(12*$P$19))+(((3*$P$15)/(2*(IF($P$5&lt;&gt;0,$P$5,IF($P$6&lt;&gt;0,$P$6,IF($P$7&lt;&gt;0,$P$7,0))))*$U$5*$P$19))*'IN-OUT'!$F$15))*'Burland damage classification'!AR139</f>
        <v>5.7782740978930117E-4</v>
      </c>
      <c r="AO139" s="254">
        <f>(1+(((IF($P$5&lt;&gt;0,$P$5^2,IF($P$6&lt;&gt;0,$P$6^2,IF($P$7&lt;&gt;0,$P$7^2))))*$U$5)/(18*$P$15))*('IN-OUT'!$F$15^(-1)))*AS139</f>
        <v>6.895006777870755E-4</v>
      </c>
      <c r="AP139" s="254">
        <f t="shared" si="146"/>
        <v>5.7782740978930117E-4</v>
      </c>
      <c r="AQ139" s="254">
        <f t="shared" si="108"/>
        <v>5.7782740978930117E-2</v>
      </c>
      <c r="AR139" s="254">
        <f t="shared" si="126"/>
        <v>1.8000000000000172E-4</v>
      </c>
      <c r="AS139" s="253">
        <f t="shared" si="143"/>
        <v>6.5268675488322958E-4</v>
      </c>
      <c r="AT139" s="253">
        <f t="shared" si="127"/>
        <v>8.1999999999999857E-4</v>
      </c>
      <c r="AU139" s="255">
        <f t="shared" si="109"/>
        <v>8.1999999999999851E-2</v>
      </c>
      <c r="AW139" s="258">
        <f>(((IF($P$5&lt;&gt;0,$P$5,IF($P$6&lt;&gt;0,$P$6,IF($P$7&lt;&gt;0,$P$7,0))))/(12*$P$19))+(((3*$P$15)/(2*(IF($P$5&lt;&gt;0,$P$5,IF($P$6&lt;&gt;0,$P$6,IF($P$7&lt;&gt;0,$P$7,0))))*$U$5*$P$19))*'IN-OUT'!$F$15))*'Burland damage classification'!BA139</f>
        <v>3.787979686396463E-3</v>
      </c>
      <c r="AX139" s="254">
        <f>(1+(((IF($P$5&lt;&gt;0,$P$5^2,IF($P$6&lt;&gt;0,$P$6^2,IF($P$7&lt;&gt;0,$P$7^2))))*$U$5)/(18*$P$15))*('IN-OUT'!$F$15^(-1)))*BB139</f>
        <v>1.7840402916271556E-3</v>
      </c>
      <c r="AY139" s="254">
        <f t="shared" si="147"/>
        <v>1.7840402916271556E-3</v>
      </c>
      <c r="AZ139" s="254">
        <f t="shared" si="110"/>
        <v>0.17840402916271556</v>
      </c>
      <c r="BA139" s="254">
        <f t="shared" si="128"/>
        <v>1.1799999999999905E-3</v>
      </c>
      <c r="BB139" s="270">
        <f t="shared" si="93"/>
        <v>1.6887865466067645E-3</v>
      </c>
      <c r="BC139" s="253">
        <f t="shared" si="129"/>
        <v>8.1999999999999857E-4</v>
      </c>
      <c r="BD139" s="255">
        <f t="shared" si="111"/>
        <v>8.1999999999999851E-2</v>
      </c>
      <c r="BI139" s="248"/>
      <c r="BX139" s="258" t="e">
        <f>((((IF($Q$5=0,$Q$6,$Q$5)))/(12*$Q$19))+(((3*$Q$15)/(2*IF($Q$5=0,$Q$6,$Q$5)*$U$5*$Q$19))*'IN-OUT'!$F$15))*'Burland damage classification'!CB139</f>
        <v>#DIV/0!</v>
      </c>
      <c r="BY139" s="262">
        <f>(1+(((IF($Q$5=0,$Q$6^2,$Q$5^2))*$U$5)/(18*$Q$15))*('IN-OUT'!$F$15^(-1)))*CC139</f>
        <v>6.5268675488322958E-4</v>
      </c>
      <c r="BZ139" s="254" t="e">
        <f t="shared" si="96"/>
        <v>#DIV/0!</v>
      </c>
      <c r="CA139" s="254" t="e">
        <f t="shared" si="114"/>
        <v>#DIV/0!</v>
      </c>
      <c r="CB139" s="254">
        <f t="shared" si="132"/>
        <v>1.8000000000000172E-4</v>
      </c>
      <c r="CC139" s="253">
        <f t="shared" si="144"/>
        <v>6.5268675488322958E-4</v>
      </c>
      <c r="CD139" s="253">
        <f t="shared" si="133"/>
        <v>8.1999999999999857E-4</v>
      </c>
      <c r="CE139" s="255">
        <f t="shared" si="115"/>
        <v>8.1999999999999851E-2</v>
      </c>
      <c r="CG139" s="258" t="e">
        <f>((((IF($Q$5=0,$Q$6,$Q$5)))/(12*$Q$19))+(((3*$Q$15)/(2*IF($Q$5=0,$Q$6,$Q$5)*$U$5*$Q$19))*'IN-OUT'!$F$15))*'Burland damage classification'!CK139</f>
        <v>#DIV/0!</v>
      </c>
      <c r="CH139" s="262">
        <f>(1+(((IF($Q$5=0,$Q$6^2,$Q$5^2))*$U$5)/(18*$Q$15))*('IN-OUT'!$F$15^(-1)))*CL139</f>
        <v>1.6887865466067645E-3</v>
      </c>
      <c r="CI139" s="254" t="e">
        <f t="shared" si="98"/>
        <v>#DIV/0!</v>
      </c>
      <c r="CJ139" s="254" t="e">
        <f t="shared" si="116"/>
        <v>#DIV/0!</v>
      </c>
      <c r="CK139" s="254">
        <f t="shared" si="134"/>
        <v>1.1799999999999905E-3</v>
      </c>
      <c r="CL139" s="270">
        <f t="shared" si="99"/>
        <v>1.6887865466067645E-3</v>
      </c>
      <c r="CM139" s="253">
        <f t="shared" si="135"/>
        <v>8.1999999999999857E-4</v>
      </c>
      <c r="CN139" s="255">
        <f t="shared" si="117"/>
        <v>8.1999999999999851E-2</v>
      </c>
      <c r="CS139" s="248"/>
      <c r="DH139" s="258" t="e">
        <f>((((IF($R$5=0,$R$6,$R$5)))/(12*$R$19))+(((3*$R$15)/(2*IF($R$5=0,$R$6,$R$5)*$U$5*$R$19))*'IN-OUT'!$F$15))*'Burland damage classification'!DL139</f>
        <v>#DIV/0!</v>
      </c>
      <c r="DI139" s="262">
        <f>(1+(((IF($R$5=0,$R$6^2,$R$5^2))*$U$5)/(18*$R$15))*('IN-OUT'!$F$15^(-1)))*DM139</f>
        <v>6.5268675488322958E-4</v>
      </c>
      <c r="DJ139" s="254" t="e">
        <f t="shared" si="102"/>
        <v>#DIV/0!</v>
      </c>
      <c r="DK139" s="254" t="e">
        <f t="shared" si="120"/>
        <v>#DIV/0!</v>
      </c>
      <c r="DL139" s="254">
        <f t="shared" si="138"/>
        <v>1.8000000000000172E-4</v>
      </c>
      <c r="DM139" s="253">
        <f t="shared" si="145"/>
        <v>6.5268675488322958E-4</v>
      </c>
      <c r="DN139" s="253">
        <f t="shared" si="139"/>
        <v>8.1999999999999857E-4</v>
      </c>
      <c r="DO139" s="255">
        <f t="shared" si="121"/>
        <v>8.1999999999999851E-2</v>
      </c>
      <c r="DQ139" s="258" t="e">
        <f>((((IF($R$5=0,$R$6,$R$5)))/(12*$R$19))+(((3*$R$15)/(2*IF($R$5=0,$R$6,$R$5)*$U$5*$R$19))*'IN-OUT'!$F$15))*'Burland damage classification'!DU139</f>
        <v>#DIV/0!</v>
      </c>
      <c r="DR139" s="262">
        <f>(1+(((IF($R$5=0,$R$6^2,$R$5^2))*$U$5)/(18*$R$15))*('IN-OUT'!$F$15^(-1)))*DV139</f>
        <v>1.6887865466067645E-3</v>
      </c>
      <c r="DS139" s="254" t="e">
        <f t="shared" si="104"/>
        <v>#DIV/0!</v>
      </c>
      <c r="DT139" s="254" t="e">
        <f t="shared" si="122"/>
        <v>#DIV/0!</v>
      </c>
      <c r="DU139" s="254">
        <f t="shared" si="140"/>
        <v>1.1799999999999905E-3</v>
      </c>
      <c r="DV139" s="270">
        <f t="shared" si="105"/>
        <v>1.6887865466067645E-3</v>
      </c>
      <c r="DW139" s="253">
        <f t="shared" si="141"/>
        <v>8.1999999999999857E-4</v>
      </c>
      <c r="DX139" s="255">
        <f t="shared" si="123"/>
        <v>8.1999999999999851E-2</v>
      </c>
    </row>
    <row r="140" spans="3:128">
      <c r="C140" s="302" t="str">
        <f>$J$26</f>
        <v/>
      </c>
      <c r="D140" s="288" t="str">
        <f>M34</f>
        <v/>
      </c>
      <c r="E140" s="389" t="str">
        <f t="shared" si="142"/>
        <v/>
      </c>
      <c r="F140" s="397" t="str">
        <f t="shared" si="142"/>
        <v/>
      </c>
      <c r="U140" s="262"/>
      <c r="AN140" s="258">
        <f>(((IF($P$5&lt;&gt;0,$P$5,IF($P$6&lt;&gt;0,$P$6,IF($P$7&lt;&gt;0,$P$7,0))))/(12*$P$19))+(((3*$P$15)/(2*(IF($P$5&lt;&gt;0,$P$5,IF($P$6&lt;&gt;0,$P$6,IF($P$7&lt;&gt;0,$P$7,0))))*$U$5*$P$19))*'IN-OUT'!$F$15))*'Burland damage classification'!AR140</f>
        <v>5.564263946119198E-4</v>
      </c>
      <c r="AO140" s="254">
        <f>(1+(((IF($P$5&lt;&gt;0,$P$5^2,IF($P$6&lt;&gt;0,$P$6^2,IF($P$7&lt;&gt;0,$P$7^2))))*$U$5)/(18*$P$15))*('IN-OUT'!$F$15^(-1)))*AS140</f>
        <v>6.8571367014151261E-4</v>
      </c>
      <c r="AP140" s="254">
        <f t="shared" si="146"/>
        <v>5.564263946119198E-4</v>
      </c>
      <c r="AQ140" s="254">
        <f t="shared" si="108"/>
        <v>5.5642639461191981E-2</v>
      </c>
      <c r="AR140" s="254">
        <f t="shared" si="126"/>
        <v>1.7333333333333504E-4</v>
      </c>
      <c r="AS140" s="253">
        <f t="shared" si="143"/>
        <v>6.4910194371403196E-4</v>
      </c>
      <c r="AT140" s="253">
        <f t="shared" si="127"/>
        <v>8.2666666666666522E-4</v>
      </c>
      <c r="AU140" s="255">
        <f t="shared" si="109"/>
        <v>8.2666666666666527E-2</v>
      </c>
      <c r="AW140" s="258">
        <f>(((IF($P$5&lt;&gt;0,$P$5,IF($P$6&lt;&gt;0,$P$6,IF($P$7&lt;&gt;0,$P$7,0))))/(12*$P$19))+(((3*$P$15)/(2*(IF($P$5&lt;&gt;0,$P$5,IF($P$6&lt;&gt;0,$P$6,IF($P$7&lt;&gt;0,$P$7,0))))*$U$5*$P$19))*'IN-OUT'!$F$15))*'Burland damage classification'!BA140</f>
        <v>3.7665786712190816E-3</v>
      </c>
      <c r="AX140" s="254">
        <f>(1+(((IF($P$5&lt;&gt;0,$P$5^2,IF($P$6&lt;&gt;0,$P$6^2,IF($P$7&lt;&gt;0,$P$7^2))))*$U$5)/(18*$P$15))*('IN-OUT'!$F$15^(-1)))*BB140</f>
        <v>1.7811187123965993E-3</v>
      </c>
      <c r="AY140" s="254">
        <f t="shared" si="147"/>
        <v>1.7811187123965993E-3</v>
      </c>
      <c r="AZ140" s="254">
        <f t="shared" si="110"/>
        <v>0.17811187123965994</v>
      </c>
      <c r="BA140" s="254">
        <f t="shared" si="128"/>
        <v>1.1733333333333238E-3</v>
      </c>
      <c r="BB140" s="270">
        <f t="shared" si="93"/>
        <v>1.6860209567697161E-3</v>
      </c>
      <c r="BC140" s="253">
        <f t="shared" si="129"/>
        <v>8.2666666666666522E-4</v>
      </c>
      <c r="BD140" s="255">
        <f t="shared" si="111"/>
        <v>8.2666666666666527E-2</v>
      </c>
      <c r="BI140" s="248"/>
      <c r="BX140" s="258" t="e">
        <f>((((IF($Q$5=0,$Q$6,$Q$5)))/(12*$Q$19))+(((3*$Q$15)/(2*IF($Q$5=0,$Q$6,$Q$5)*$U$5*$Q$19))*'IN-OUT'!$F$15))*'Burland damage classification'!CB140</f>
        <v>#DIV/0!</v>
      </c>
      <c r="BY140" s="262">
        <f>(1+(((IF($Q$5=0,$Q$6^2,$Q$5^2))*$U$5)/(18*$Q$15))*('IN-OUT'!$F$15^(-1)))*CC140</f>
        <v>6.4910194371403196E-4</v>
      </c>
      <c r="BZ140" s="254" t="e">
        <f t="shared" si="96"/>
        <v>#DIV/0!</v>
      </c>
      <c r="CA140" s="254" t="e">
        <f t="shared" si="114"/>
        <v>#DIV/0!</v>
      </c>
      <c r="CB140" s="254">
        <f t="shared" si="132"/>
        <v>1.7333333333333504E-4</v>
      </c>
      <c r="CC140" s="253">
        <f t="shared" si="144"/>
        <v>6.4910194371403196E-4</v>
      </c>
      <c r="CD140" s="253">
        <f t="shared" si="133"/>
        <v>8.2666666666666522E-4</v>
      </c>
      <c r="CE140" s="255">
        <f t="shared" si="115"/>
        <v>8.2666666666666527E-2</v>
      </c>
      <c r="CG140" s="258" t="e">
        <f>((((IF($Q$5=0,$Q$6,$Q$5)))/(12*$Q$19))+(((3*$Q$15)/(2*IF($Q$5=0,$Q$6,$Q$5)*$U$5*$Q$19))*'IN-OUT'!$F$15))*'Burland damage classification'!CK140</f>
        <v>#DIV/0!</v>
      </c>
      <c r="CH140" s="262">
        <f>(1+(((IF($Q$5=0,$Q$6^2,$Q$5^2))*$U$5)/(18*$Q$15))*('IN-OUT'!$F$15^(-1)))*CL140</f>
        <v>1.6860209567697161E-3</v>
      </c>
      <c r="CI140" s="254" t="e">
        <f t="shared" si="98"/>
        <v>#DIV/0!</v>
      </c>
      <c r="CJ140" s="254" t="e">
        <f t="shared" si="116"/>
        <v>#DIV/0!</v>
      </c>
      <c r="CK140" s="254">
        <f t="shared" si="134"/>
        <v>1.1733333333333238E-3</v>
      </c>
      <c r="CL140" s="270">
        <f t="shared" si="99"/>
        <v>1.6860209567697161E-3</v>
      </c>
      <c r="CM140" s="253">
        <f t="shared" si="135"/>
        <v>8.2666666666666522E-4</v>
      </c>
      <c r="CN140" s="255">
        <f t="shared" si="117"/>
        <v>8.2666666666666527E-2</v>
      </c>
      <c r="CS140" s="248"/>
      <c r="DH140" s="258" t="e">
        <f>((((IF($R$5=0,$R$6,$R$5)))/(12*$R$19))+(((3*$R$15)/(2*IF($R$5=0,$R$6,$R$5)*$U$5*$R$19))*'IN-OUT'!$F$15))*'Burland damage classification'!DL140</f>
        <v>#DIV/0!</v>
      </c>
      <c r="DI140" s="262">
        <f>(1+(((IF($R$5=0,$R$6^2,$R$5^2))*$U$5)/(18*$R$15))*('IN-OUT'!$F$15^(-1)))*DM140</f>
        <v>6.4910194371403196E-4</v>
      </c>
      <c r="DJ140" s="254" t="e">
        <f t="shared" si="102"/>
        <v>#DIV/0!</v>
      </c>
      <c r="DK140" s="254" t="e">
        <f t="shared" si="120"/>
        <v>#DIV/0!</v>
      </c>
      <c r="DL140" s="254">
        <f t="shared" si="138"/>
        <v>1.7333333333333504E-4</v>
      </c>
      <c r="DM140" s="253">
        <f t="shared" si="145"/>
        <v>6.4910194371403196E-4</v>
      </c>
      <c r="DN140" s="253">
        <f t="shared" si="139"/>
        <v>8.2666666666666522E-4</v>
      </c>
      <c r="DO140" s="255">
        <f t="shared" si="121"/>
        <v>8.2666666666666527E-2</v>
      </c>
      <c r="DQ140" s="258" t="e">
        <f>((((IF($R$5=0,$R$6,$R$5)))/(12*$R$19))+(((3*$R$15)/(2*IF($R$5=0,$R$6,$R$5)*$U$5*$R$19))*'IN-OUT'!$F$15))*'Burland damage classification'!DU140</f>
        <v>#DIV/0!</v>
      </c>
      <c r="DR140" s="262">
        <f>(1+(((IF($R$5=0,$R$6^2,$R$5^2))*$U$5)/(18*$R$15))*('IN-OUT'!$F$15^(-1)))*DV140</f>
        <v>1.6860209567697161E-3</v>
      </c>
      <c r="DS140" s="254" t="e">
        <f t="shared" si="104"/>
        <v>#DIV/0!</v>
      </c>
      <c r="DT140" s="254" t="e">
        <f t="shared" si="122"/>
        <v>#DIV/0!</v>
      </c>
      <c r="DU140" s="254">
        <f t="shared" si="140"/>
        <v>1.1733333333333238E-3</v>
      </c>
      <c r="DV140" s="270">
        <f t="shared" si="105"/>
        <v>1.6860209567697161E-3</v>
      </c>
      <c r="DW140" s="253">
        <f t="shared" si="141"/>
        <v>8.2666666666666522E-4</v>
      </c>
      <c r="DX140" s="255">
        <f t="shared" si="123"/>
        <v>8.2666666666666527E-2</v>
      </c>
    </row>
    <row r="141" spans="3:128">
      <c r="C141" s="302" t="str">
        <f>$I$29</f>
        <v/>
      </c>
      <c r="D141" s="288"/>
      <c r="E141" s="389" t="str">
        <f t="shared" si="142"/>
        <v/>
      </c>
      <c r="F141" s="397" t="str">
        <f t="shared" si="142"/>
        <v/>
      </c>
      <c r="U141" s="262"/>
      <c r="AN141" s="258">
        <f>(((IF($P$5&lt;&gt;0,$P$5,IF($P$6&lt;&gt;0,$P$6,IF($P$7&lt;&gt;0,$P$7,0))))/(12*$P$19))+(((3*$P$15)/(2*(IF($P$5&lt;&gt;0,$P$5,IF($P$6&lt;&gt;0,$P$6,IF($P$7&lt;&gt;0,$P$7,0))))*$U$5*$P$19))*'IN-OUT'!$F$15))*'Burland damage classification'!AR141</f>
        <v>5.3502537943453843E-4</v>
      </c>
      <c r="AO141" s="254">
        <f>(1+(((IF($P$5&lt;&gt;0,$P$5^2,IF($P$6&lt;&gt;0,$P$6^2,IF($P$7&lt;&gt;0,$P$7^2))))*$U$5)/(18*$P$15))*('IN-OUT'!$F$15^(-1)))*AS141</f>
        <v>6.8190563142494273E-4</v>
      </c>
      <c r="AP141" s="254">
        <f t="shared" si="146"/>
        <v>5.3502537943453843E-4</v>
      </c>
      <c r="AQ141" s="254">
        <f t="shared" si="108"/>
        <v>5.3502537943453846E-2</v>
      </c>
      <c r="AR141" s="254">
        <f t="shared" si="126"/>
        <v>1.6666666666666837E-4</v>
      </c>
      <c r="AS141" s="253">
        <f t="shared" si="143"/>
        <v>6.4549722436790357E-4</v>
      </c>
      <c r="AT141" s="253">
        <f t="shared" si="127"/>
        <v>8.3333333333333187E-4</v>
      </c>
      <c r="AU141" s="255">
        <f t="shared" si="109"/>
        <v>8.333333333333319E-2</v>
      </c>
      <c r="AW141" s="258">
        <f>(((IF($P$5&lt;&gt;0,$P$5,IF($P$6&lt;&gt;0,$P$6,IF($P$7&lt;&gt;0,$P$7,0))))/(12*$P$19))+(((3*$P$15)/(2*(IF($P$5&lt;&gt;0,$P$5,IF($P$6&lt;&gt;0,$P$6,IF($P$7&lt;&gt;0,$P$7,0))))*$U$5*$P$19))*'IN-OUT'!$F$15))*'Burland damage classification'!BA141</f>
        <v>3.7451776560416998E-3</v>
      </c>
      <c r="AX141" s="254">
        <f>(1+(((IF($P$5&lt;&gt;0,$P$5^2,IF($P$6&lt;&gt;0,$P$6^2,IF($P$7&lt;&gt;0,$P$7^2))))*$U$5)/(18*$P$15))*('IN-OUT'!$F$15^(-1)))*BB141</f>
        <v>1.7781923330026856E-3</v>
      </c>
      <c r="AY141" s="254">
        <f t="shared" si="147"/>
        <v>1.7781923330026856E-3</v>
      </c>
      <c r="AZ141" s="254">
        <f t="shared" si="110"/>
        <v>0.17781923330026855</v>
      </c>
      <c r="BA141" s="254">
        <f t="shared" si="128"/>
        <v>1.166666666666657E-3</v>
      </c>
      <c r="BB141" s="270">
        <f t="shared" si="93"/>
        <v>1.6832508230603469E-3</v>
      </c>
      <c r="BC141" s="253">
        <f t="shared" si="129"/>
        <v>8.3333333333333187E-4</v>
      </c>
      <c r="BD141" s="255">
        <f t="shared" si="111"/>
        <v>8.333333333333319E-2</v>
      </c>
      <c r="BI141" s="248"/>
      <c r="BX141" s="258" t="e">
        <f>((((IF($Q$5=0,$Q$6,$Q$5)))/(12*$Q$19))+(((3*$Q$15)/(2*IF($Q$5=0,$Q$6,$Q$5)*$U$5*$Q$19))*'IN-OUT'!$F$15))*'Burland damage classification'!CB141</f>
        <v>#DIV/0!</v>
      </c>
      <c r="BY141" s="262">
        <f>(1+(((IF($Q$5=0,$Q$6^2,$Q$5^2))*$U$5)/(18*$Q$15))*('IN-OUT'!$F$15^(-1)))*CC141</f>
        <v>6.4549722436790357E-4</v>
      </c>
      <c r="BZ141" s="254" t="e">
        <f t="shared" si="96"/>
        <v>#DIV/0!</v>
      </c>
      <c r="CA141" s="254" t="e">
        <f t="shared" si="114"/>
        <v>#DIV/0!</v>
      </c>
      <c r="CB141" s="254">
        <f t="shared" si="132"/>
        <v>1.6666666666666837E-4</v>
      </c>
      <c r="CC141" s="253">
        <f t="shared" si="144"/>
        <v>6.4549722436790357E-4</v>
      </c>
      <c r="CD141" s="253">
        <f t="shared" si="133"/>
        <v>8.3333333333333187E-4</v>
      </c>
      <c r="CE141" s="255">
        <f t="shared" si="115"/>
        <v>8.333333333333319E-2</v>
      </c>
      <c r="CG141" s="258" t="e">
        <f>((((IF($Q$5=0,$Q$6,$Q$5)))/(12*$Q$19))+(((3*$Q$15)/(2*IF($Q$5=0,$Q$6,$Q$5)*$U$5*$Q$19))*'IN-OUT'!$F$15))*'Burland damage classification'!CK141</f>
        <v>#DIV/0!</v>
      </c>
      <c r="CH141" s="262">
        <f>(1+(((IF($Q$5=0,$Q$6^2,$Q$5^2))*$U$5)/(18*$Q$15))*('IN-OUT'!$F$15^(-1)))*CL141</f>
        <v>1.6832508230603469E-3</v>
      </c>
      <c r="CI141" s="254" t="e">
        <f t="shared" si="98"/>
        <v>#DIV/0!</v>
      </c>
      <c r="CJ141" s="254" t="e">
        <f t="shared" si="116"/>
        <v>#DIV/0!</v>
      </c>
      <c r="CK141" s="254">
        <f t="shared" si="134"/>
        <v>1.166666666666657E-3</v>
      </c>
      <c r="CL141" s="270">
        <f t="shared" si="99"/>
        <v>1.6832508230603469E-3</v>
      </c>
      <c r="CM141" s="253">
        <f t="shared" si="135"/>
        <v>8.3333333333333187E-4</v>
      </c>
      <c r="CN141" s="255">
        <f t="shared" si="117"/>
        <v>8.333333333333319E-2</v>
      </c>
      <c r="CS141" s="248"/>
      <c r="DH141" s="258" t="e">
        <f>((((IF($R$5=0,$R$6,$R$5)))/(12*$R$19))+(((3*$R$15)/(2*IF($R$5=0,$R$6,$R$5)*$U$5*$R$19))*'IN-OUT'!$F$15))*'Burland damage classification'!DL141</f>
        <v>#DIV/0!</v>
      </c>
      <c r="DI141" s="262">
        <f>(1+(((IF($R$5=0,$R$6^2,$R$5^2))*$U$5)/(18*$R$15))*('IN-OUT'!$F$15^(-1)))*DM141</f>
        <v>6.4549722436790357E-4</v>
      </c>
      <c r="DJ141" s="254" t="e">
        <f t="shared" si="102"/>
        <v>#DIV/0!</v>
      </c>
      <c r="DK141" s="254" t="e">
        <f t="shared" si="120"/>
        <v>#DIV/0!</v>
      </c>
      <c r="DL141" s="254">
        <f t="shared" si="138"/>
        <v>1.6666666666666837E-4</v>
      </c>
      <c r="DM141" s="253">
        <f t="shared" si="145"/>
        <v>6.4549722436790357E-4</v>
      </c>
      <c r="DN141" s="253">
        <f t="shared" si="139"/>
        <v>8.3333333333333187E-4</v>
      </c>
      <c r="DO141" s="255">
        <f t="shared" si="121"/>
        <v>8.333333333333319E-2</v>
      </c>
      <c r="DQ141" s="258" t="e">
        <f>((((IF($R$5=0,$R$6,$R$5)))/(12*$R$19))+(((3*$R$15)/(2*IF($R$5=0,$R$6,$R$5)*$U$5*$R$19))*'IN-OUT'!$F$15))*'Burland damage classification'!DU141</f>
        <v>#DIV/0!</v>
      </c>
      <c r="DR141" s="262">
        <f>(1+(((IF($R$5=0,$R$6^2,$R$5^2))*$U$5)/(18*$R$15))*('IN-OUT'!$F$15^(-1)))*DV141</f>
        <v>1.6832508230603469E-3</v>
      </c>
      <c r="DS141" s="254" t="e">
        <f t="shared" si="104"/>
        <v>#DIV/0!</v>
      </c>
      <c r="DT141" s="254" t="e">
        <f t="shared" si="122"/>
        <v>#DIV/0!</v>
      </c>
      <c r="DU141" s="254">
        <f t="shared" si="140"/>
        <v>1.166666666666657E-3</v>
      </c>
      <c r="DV141" s="270">
        <f t="shared" si="105"/>
        <v>1.6832508230603469E-3</v>
      </c>
      <c r="DW141" s="253">
        <f t="shared" si="141"/>
        <v>8.3333333333333187E-4</v>
      </c>
      <c r="DX141" s="255">
        <f t="shared" si="123"/>
        <v>8.333333333333319E-2</v>
      </c>
    </row>
    <row r="142" spans="3:128">
      <c r="C142" s="302" t="str">
        <f>$J$29</f>
        <v/>
      </c>
      <c r="D142" s="288"/>
      <c r="E142" s="389" t="str">
        <f t="shared" si="142"/>
        <v/>
      </c>
      <c r="F142" s="397" t="str">
        <f t="shared" si="142"/>
        <v/>
      </c>
      <c r="U142" s="262"/>
      <c r="AN142" s="258">
        <f>(((IF($P$5&lt;&gt;0,$P$5,IF($P$6&lt;&gt;0,$P$6,IF($P$7&lt;&gt;0,$P$7,0))))/(12*$P$19))+(((3*$P$15)/(2*(IF($P$5&lt;&gt;0,$P$5,IF($P$6&lt;&gt;0,$P$6,IF($P$7&lt;&gt;0,$P$7,0))))*$U$5*$P$19))*'IN-OUT'!$F$15))*'Burland damage classification'!AR142</f>
        <v>5.1362436425715706E-4</v>
      </c>
      <c r="AO142" s="254">
        <f>(1+(((IF($P$5&lt;&gt;0,$P$5^2,IF($P$6&lt;&gt;0,$P$6^2,IF($P$7&lt;&gt;0,$P$7^2))))*$U$5)/(18*$P$15))*('IN-OUT'!$F$15^(-1)))*AS142</f>
        <v>6.7807620730944132E-4</v>
      </c>
      <c r="AP142" s="254">
        <f t="shared" si="146"/>
        <v>5.1362436425715706E-4</v>
      </c>
      <c r="AQ142" s="254">
        <f t="shared" si="108"/>
        <v>5.1362436425715703E-2</v>
      </c>
      <c r="AR142" s="254">
        <f t="shared" si="126"/>
        <v>1.6000000000000169E-4</v>
      </c>
      <c r="AS142" s="253">
        <f t="shared" si="143"/>
        <v>6.4187226143524925E-4</v>
      </c>
      <c r="AT142" s="253">
        <f t="shared" si="127"/>
        <v>8.3999999999999852E-4</v>
      </c>
      <c r="AU142" s="255">
        <f t="shared" si="109"/>
        <v>8.3999999999999853E-2</v>
      </c>
      <c r="AW142" s="258">
        <f>(((IF($P$5&lt;&gt;0,$P$5,IF($P$6&lt;&gt;0,$P$6,IF($P$7&lt;&gt;0,$P$7,0))))/(12*$P$19))+(((3*$P$15)/(2*(IF($P$5&lt;&gt;0,$P$5,IF($P$6&lt;&gt;0,$P$6,IF($P$7&lt;&gt;0,$P$7,0))))*$U$5*$P$19))*'IN-OUT'!$F$15))*'Burland damage classification'!BA142</f>
        <v>3.7237766408643185E-3</v>
      </c>
      <c r="AX142" s="254">
        <f>(1+(((IF($P$5&lt;&gt;0,$P$5^2,IF($P$6&lt;&gt;0,$P$6^2,IF($P$7&lt;&gt;0,$P$7^2))))*$U$5)/(18*$P$15))*('IN-OUT'!$F$15^(-1)))*BB142</f>
        <v>1.7752611297073304E-3</v>
      </c>
      <c r="AY142" s="254">
        <f t="shared" si="147"/>
        <v>1.7752611297073304E-3</v>
      </c>
      <c r="AZ142" s="254">
        <f t="shared" si="110"/>
        <v>0.17752611297073304</v>
      </c>
      <c r="BA142" s="254">
        <f t="shared" si="128"/>
        <v>1.1599999999999902E-3</v>
      </c>
      <c r="BB142" s="270">
        <f t="shared" si="93"/>
        <v>1.6804761230080009E-3</v>
      </c>
      <c r="BC142" s="253">
        <f t="shared" si="129"/>
        <v>8.3999999999999852E-4</v>
      </c>
      <c r="BD142" s="255">
        <f t="shared" si="111"/>
        <v>8.3999999999999853E-2</v>
      </c>
      <c r="BI142" s="248"/>
      <c r="BX142" s="258" t="e">
        <f>((((IF($Q$5=0,$Q$6,$Q$5)))/(12*$Q$19))+(((3*$Q$15)/(2*IF($Q$5=0,$Q$6,$Q$5)*$U$5*$Q$19))*'IN-OUT'!$F$15))*'Burland damage classification'!CB142</f>
        <v>#DIV/0!</v>
      </c>
      <c r="BY142" s="262">
        <f>(1+(((IF($Q$5=0,$Q$6^2,$Q$5^2))*$U$5)/(18*$Q$15))*('IN-OUT'!$F$15^(-1)))*CC142</f>
        <v>6.4187226143524925E-4</v>
      </c>
      <c r="BZ142" s="254" t="e">
        <f t="shared" si="96"/>
        <v>#DIV/0!</v>
      </c>
      <c r="CA142" s="254" t="e">
        <f t="shared" si="114"/>
        <v>#DIV/0!</v>
      </c>
      <c r="CB142" s="254">
        <f t="shared" si="132"/>
        <v>1.6000000000000169E-4</v>
      </c>
      <c r="CC142" s="253">
        <f t="shared" si="144"/>
        <v>6.4187226143524925E-4</v>
      </c>
      <c r="CD142" s="253">
        <f t="shared" si="133"/>
        <v>8.3999999999999852E-4</v>
      </c>
      <c r="CE142" s="255">
        <f t="shared" si="115"/>
        <v>8.3999999999999853E-2</v>
      </c>
      <c r="CG142" s="258" t="e">
        <f>((((IF($Q$5=0,$Q$6,$Q$5)))/(12*$Q$19))+(((3*$Q$15)/(2*IF($Q$5=0,$Q$6,$Q$5)*$U$5*$Q$19))*'IN-OUT'!$F$15))*'Burland damage classification'!CK142</f>
        <v>#DIV/0!</v>
      </c>
      <c r="CH142" s="262">
        <f>(1+(((IF($Q$5=0,$Q$6^2,$Q$5^2))*$U$5)/(18*$Q$15))*('IN-OUT'!$F$15^(-1)))*CL142</f>
        <v>1.6804761230080009E-3</v>
      </c>
      <c r="CI142" s="254" t="e">
        <f t="shared" si="98"/>
        <v>#DIV/0!</v>
      </c>
      <c r="CJ142" s="254" t="e">
        <f t="shared" si="116"/>
        <v>#DIV/0!</v>
      </c>
      <c r="CK142" s="254">
        <f t="shared" si="134"/>
        <v>1.1599999999999902E-3</v>
      </c>
      <c r="CL142" s="270">
        <f t="shared" si="99"/>
        <v>1.6804761230080009E-3</v>
      </c>
      <c r="CM142" s="253">
        <f t="shared" si="135"/>
        <v>8.3999999999999852E-4</v>
      </c>
      <c r="CN142" s="255">
        <f t="shared" si="117"/>
        <v>8.3999999999999853E-2</v>
      </c>
      <c r="CS142" s="248"/>
      <c r="DH142" s="258" t="e">
        <f>((((IF($R$5=0,$R$6,$R$5)))/(12*$R$19))+(((3*$R$15)/(2*IF($R$5=0,$R$6,$R$5)*$U$5*$R$19))*'IN-OUT'!$F$15))*'Burland damage classification'!DL142</f>
        <v>#DIV/0!</v>
      </c>
      <c r="DI142" s="262">
        <f>(1+(((IF($R$5=0,$R$6^2,$R$5^2))*$U$5)/(18*$R$15))*('IN-OUT'!$F$15^(-1)))*DM142</f>
        <v>6.4187226143524925E-4</v>
      </c>
      <c r="DJ142" s="254" t="e">
        <f t="shared" si="102"/>
        <v>#DIV/0!</v>
      </c>
      <c r="DK142" s="254" t="e">
        <f t="shared" si="120"/>
        <v>#DIV/0!</v>
      </c>
      <c r="DL142" s="254">
        <f t="shared" si="138"/>
        <v>1.6000000000000169E-4</v>
      </c>
      <c r="DM142" s="253">
        <f t="shared" si="145"/>
        <v>6.4187226143524925E-4</v>
      </c>
      <c r="DN142" s="253">
        <f t="shared" si="139"/>
        <v>8.3999999999999852E-4</v>
      </c>
      <c r="DO142" s="255">
        <f t="shared" si="121"/>
        <v>8.3999999999999853E-2</v>
      </c>
      <c r="DQ142" s="258" t="e">
        <f>((((IF($R$5=0,$R$6,$R$5)))/(12*$R$19))+(((3*$R$15)/(2*IF($R$5=0,$R$6,$R$5)*$U$5*$R$19))*'IN-OUT'!$F$15))*'Burland damage classification'!DU142</f>
        <v>#DIV/0!</v>
      </c>
      <c r="DR142" s="262">
        <f>(1+(((IF($R$5=0,$R$6^2,$R$5^2))*$U$5)/(18*$R$15))*('IN-OUT'!$F$15^(-1)))*DV142</f>
        <v>1.6804761230080009E-3</v>
      </c>
      <c r="DS142" s="254" t="e">
        <f t="shared" si="104"/>
        <v>#DIV/0!</v>
      </c>
      <c r="DT142" s="254" t="e">
        <f t="shared" si="122"/>
        <v>#DIV/0!</v>
      </c>
      <c r="DU142" s="254">
        <f t="shared" si="140"/>
        <v>1.1599999999999902E-3</v>
      </c>
      <c r="DV142" s="270">
        <f t="shared" si="105"/>
        <v>1.6804761230080009E-3</v>
      </c>
      <c r="DW142" s="253">
        <f t="shared" si="141"/>
        <v>8.3999999999999852E-4</v>
      </c>
      <c r="DX142" s="255">
        <f t="shared" si="123"/>
        <v>8.3999999999999853E-2</v>
      </c>
    </row>
    <row r="143" spans="3:128">
      <c r="C143" s="302">
        <f>$I$30</f>
        <v>-22.198671000000001</v>
      </c>
      <c r="D143" s="288"/>
      <c r="E143" s="389">
        <f t="shared" si="142"/>
        <v>0</v>
      </c>
      <c r="F143" s="397" t="str">
        <f t="shared" si="142"/>
        <v/>
      </c>
      <c r="U143" s="262"/>
      <c r="AN143" s="258">
        <f>(((IF($P$5&lt;&gt;0,$P$5,IF($P$6&lt;&gt;0,$P$6,IF($P$7&lt;&gt;0,$P$7,0))))/(12*$P$19))+(((3*$P$15)/(2*(IF($P$5&lt;&gt;0,$P$5,IF($P$6&lt;&gt;0,$P$6,IF($P$7&lt;&gt;0,$P$7,0))))*$U$5*$P$19))*'IN-OUT'!$F$15))*'Burland damage classification'!AR143</f>
        <v>4.9222334907977579E-4</v>
      </c>
      <c r="AO143" s="254">
        <f>(1+(((IF($P$5&lt;&gt;0,$P$5^2,IF($P$6&lt;&gt;0,$P$6^2,IF($P$7&lt;&gt;0,$P$7^2))))*$U$5)/(18*$P$15))*('IN-OUT'!$F$15^(-1)))*AS143</f>
        <v>6.7422503340447328E-4</v>
      </c>
      <c r="AP143" s="254">
        <f t="shared" si="146"/>
        <v>4.9222334907977579E-4</v>
      </c>
      <c r="AQ143" s="254">
        <f t="shared" si="108"/>
        <v>4.9222334907977582E-2</v>
      </c>
      <c r="AR143" s="254">
        <f t="shared" si="126"/>
        <v>1.5333333333333502E-4</v>
      </c>
      <c r="AS143" s="253">
        <f t="shared" si="143"/>
        <v>6.3822670998112758E-4</v>
      </c>
      <c r="AT143" s="253">
        <f t="shared" si="127"/>
        <v>8.4666666666666516E-4</v>
      </c>
      <c r="AU143" s="255">
        <f t="shared" si="109"/>
        <v>8.4666666666666515E-2</v>
      </c>
      <c r="AW143" s="258">
        <f>(((IF($P$5&lt;&gt;0,$P$5,IF($P$6&lt;&gt;0,$P$6,IF($P$7&lt;&gt;0,$P$7,0))))/(12*$P$19))+(((3*$P$15)/(2*(IF($P$5&lt;&gt;0,$P$5,IF($P$6&lt;&gt;0,$P$6,IF($P$7&lt;&gt;0,$P$7,0))))*$U$5*$P$19))*'IN-OUT'!$F$15))*'Burland damage classification'!BA143</f>
        <v>3.7023756256869367E-3</v>
      </c>
      <c r="AX143" s="254">
        <f>(1+(((IF($P$5&lt;&gt;0,$P$5^2,IF($P$6&lt;&gt;0,$P$6^2,IF($P$7&lt;&gt;0,$P$7^2))))*$U$5)/(18*$P$15))*('IN-OUT'!$F$15^(-1)))*BB143</f>
        <v>1.772325078576151E-3</v>
      </c>
      <c r="AY143" s="254">
        <f t="shared" si="147"/>
        <v>1.772325078576151E-3</v>
      </c>
      <c r="AZ143" s="254">
        <f t="shared" si="110"/>
        <v>0.1772325078576151</v>
      </c>
      <c r="BA143" s="254">
        <f t="shared" si="128"/>
        <v>1.1533333333333235E-3</v>
      </c>
      <c r="BB143" s="270">
        <f t="shared" si="93"/>
        <v>1.6776968339562034E-3</v>
      </c>
      <c r="BC143" s="253">
        <f t="shared" si="129"/>
        <v>8.4666666666666516E-4</v>
      </c>
      <c r="BD143" s="255">
        <f t="shared" si="111"/>
        <v>8.4666666666666515E-2</v>
      </c>
      <c r="BI143" s="248"/>
      <c r="BX143" s="258" t="e">
        <f>((((IF($Q$5=0,$Q$6,$Q$5)))/(12*$Q$19))+(((3*$Q$15)/(2*IF($Q$5=0,$Q$6,$Q$5)*$U$5*$Q$19))*'IN-OUT'!$F$15))*'Burland damage classification'!CB143</f>
        <v>#DIV/0!</v>
      </c>
      <c r="BY143" s="262">
        <f>(1+(((IF($Q$5=0,$Q$6^2,$Q$5^2))*$U$5)/(18*$Q$15))*('IN-OUT'!$F$15^(-1)))*CC143</f>
        <v>6.3822670998112758E-4</v>
      </c>
      <c r="BZ143" s="254" t="e">
        <f t="shared" si="96"/>
        <v>#DIV/0!</v>
      </c>
      <c r="CA143" s="254" t="e">
        <f t="shared" si="114"/>
        <v>#DIV/0!</v>
      </c>
      <c r="CB143" s="254">
        <f t="shared" si="132"/>
        <v>1.5333333333333502E-4</v>
      </c>
      <c r="CC143" s="253">
        <f t="shared" si="144"/>
        <v>6.3822670998112758E-4</v>
      </c>
      <c r="CD143" s="253">
        <f t="shared" si="133"/>
        <v>8.4666666666666516E-4</v>
      </c>
      <c r="CE143" s="255">
        <f t="shared" si="115"/>
        <v>8.4666666666666515E-2</v>
      </c>
      <c r="CG143" s="258" t="e">
        <f>((((IF($Q$5=0,$Q$6,$Q$5)))/(12*$Q$19))+(((3*$Q$15)/(2*IF($Q$5=0,$Q$6,$Q$5)*$U$5*$Q$19))*'IN-OUT'!$F$15))*'Burland damage classification'!CK143</f>
        <v>#DIV/0!</v>
      </c>
      <c r="CH143" s="262">
        <f>(1+(((IF($Q$5=0,$Q$6^2,$Q$5^2))*$U$5)/(18*$Q$15))*('IN-OUT'!$F$15^(-1)))*CL143</f>
        <v>1.6776968339562034E-3</v>
      </c>
      <c r="CI143" s="254" t="e">
        <f t="shared" si="98"/>
        <v>#DIV/0!</v>
      </c>
      <c r="CJ143" s="254" t="e">
        <f t="shared" si="116"/>
        <v>#DIV/0!</v>
      </c>
      <c r="CK143" s="254">
        <f t="shared" si="134"/>
        <v>1.1533333333333235E-3</v>
      </c>
      <c r="CL143" s="270">
        <f t="shared" si="99"/>
        <v>1.6776968339562034E-3</v>
      </c>
      <c r="CM143" s="253">
        <f t="shared" si="135"/>
        <v>8.4666666666666516E-4</v>
      </c>
      <c r="CN143" s="255">
        <f t="shared" si="117"/>
        <v>8.4666666666666515E-2</v>
      </c>
      <c r="CS143" s="248"/>
      <c r="DH143" s="258" t="e">
        <f>((((IF($R$5=0,$R$6,$R$5)))/(12*$R$19))+(((3*$R$15)/(2*IF($R$5=0,$R$6,$R$5)*$U$5*$R$19))*'IN-OUT'!$F$15))*'Burland damage classification'!DL143</f>
        <v>#DIV/0!</v>
      </c>
      <c r="DI143" s="262">
        <f>(1+(((IF($R$5=0,$R$6^2,$R$5^2))*$U$5)/(18*$R$15))*('IN-OUT'!$F$15^(-1)))*DM143</f>
        <v>6.3822670998112758E-4</v>
      </c>
      <c r="DJ143" s="254" t="e">
        <f t="shared" si="102"/>
        <v>#DIV/0!</v>
      </c>
      <c r="DK143" s="254" t="e">
        <f t="shared" si="120"/>
        <v>#DIV/0!</v>
      </c>
      <c r="DL143" s="254">
        <f t="shared" si="138"/>
        <v>1.5333333333333502E-4</v>
      </c>
      <c r="DM143" s="253">
        <f t="shared" si="145"/>
        <v>6.3822670998112758E-4</v>
      </c>
      <c r="DN143" s="253">
        <f t="shared" si="139"/>
        <v>8.4666666666666516E-4</v>
      </c>
      <c r="DO143" s="255">
        <f t="shared" si="121"/>
        <v>8.4666666666666515E-2</v>
      </c>
      <c r="DQ143" s="258" t="e">
        <f>((((IF($R$5=0,$R$6,$R$5)))/(12*$R$19))+(((3*$R$15)/(2*IF($R$5=0,$R$6,$R$5)*$U$5*$R$19))*'IN-OUT'!$F$15))*'Burland damage classification'!DU143</f>
        <v>#DIV/0!</v>
      </c>
      <c r="DR143" s="262">
        <f>(1+(((IF($R$5=0,$R$6^2,$R$5^2))*$U$5)/(18*$R$15))*('IN-OUT'!$F$15^(-1)))*DV143</f>
        <v>1.6776968339562034E-3</v>
      </c>
      <c r="DS143" s="254" t="e">
        <f t="shared" si="104"/>
        <v>#DIV/0!</v>
      </c>
      <c r="DT143" s="254" t="e">
        <f t="shared" si="122"/>
        <v>#DIV/0!</v>
      </c>
      <c r="DU143" s="254">
        <f t="shared" si="140"/>
        <v>1.1533333333333235E-3</v>
      </c>
      <c r="DV143" s="270">
        <f t="shared" si="105"/>
        <v>1.6776968339562034E-3</v>
      </c>
      <c r="DW143" s="253">
        <f t="shared" si="141"/>
        <v>8.4666666666666516E-4</v>
      </c>
      <c r="DX143" s="255">
        <f t="shared" si="123"/>
        <v>8.4666666666666515E-2</v>
      </c>
    </row>
    <row r="144" spans="3:128">
      <c r="C144" s="302">
        <f>$J$30</f>
        <v>-15</v>
      </c>
      <c r="D144" s="288"/>
      <c r="E144" s="389">
        <f t="shared" si="142"/>
        <v>0</v>
      </c>
      <c r="F144" s="397" t="str">
        <f t="shared" si="142"/>
        <v/>
      </c>
      <c r="U144" s="262"/>
      <c r="AN144" s="258">
        <f>(((IF($P$5&lt;&gt;0,$P$5,IF($P$6&lt;&gt;0,$P$6,IF($P$7&lt;&gt;0,$P$7,0))))/(12*$P$19))+(((3*$P$15)/(2*(IF($P$5&lt;&gt;0,$P$5,IF($P$6&lt;&gt;0,$P$6,IF($P$7&lt;&gt;0,$P$7,0))))*$U$5*$P$19))*'IN-OUT'!$F$15))*'Burland damage classification'!AR144</f>
        <v>4.7082233390239442E-4</v>
      </c>
      <c r="AO144" s="254">
        <f>(1+(((IF($P$5&lt;&gt;0,$P$5^2,IF($P$6&lt;&gt;0,$P$6^2,IF($P$7&lt;&gt;0,$P$7^2))))*$U$5)/(18*$P$15))*('IN-OUT'!$F$15^(-1)))*AS144</f>
        <v>6.7035173485221165E-4</v>
      </c>
      <c r="AP144" s="254">
        <f t="shared" si="146"/>
        <v>4.7082233390239442E-4</v>
      </c>
      <c r="AQ144" s="254">
        <f t="shared" si="108"/>
        <v>4.7082233390239439E-2</v>
      </c>
      <c r="AR144" s="254">
        <f t="shared" si="126"/>
        <v>1.4666666666666834E-4</v>
      </c>
      <c r="AS144" s="253">
        <f t="shared" ref="AS144:AS166" si="148">($P$27^2-(2*0.35*$P$27*AT144))^0.5</f>
        <v>6.3456021516217654E-4</v>
      </c>
      <c r="AT144" s="253">
        <f t="shared" si="127"/>
        <v>8.5333333333333181E-4</v>
      </c>
      <c r="AU144" s="255">
        <f t="shared" si="109"/>
        <v>8.5333333333333178E-2</v>
      </c>
      <c r="AW144" s="258">
        <f>(((IF($P$5&lt;&gt;0,$P$5,IF($P$6&lt;&gt;0,$P$6,IF($P$7&lt;&gt;0,$P$7,0))))/(12*$P$19))+(((3*$P$15)/(2*(IF($P$5&lt;&gt;0,$P$5,IF($P$6&lt;&gt;0,$P$6,IF($P$7&lt;&gt;0,$P$7,0))))*$U$5*$P$19))*'IN-OUT'!$F$15))*'Burland damage classification'!BA144</f>
        <v>3.6809746105095553E-3</v>
      </c>
      <c r="AX144" s="254">
        <f>(1+(((IF($P$5&lt;&gt;0,$P$5^2,IF($P$6&lt;&gt;0,$P$6^2,IF($P$7&lt;&gt;0,$P$7^2))))*$U$5)/(18*$P$15))*('IN-OUT'!$F$15^(-1)))*BB144</f>
        <v>1.7693841554761852E-3</v>
      </c>
      <c r="AY144" s="254">
        <f t="shared" si="147"/>
        <v>1.7693841554761852E-3</v>
      </c>
      <c r="AZ144" s="254">
        <f t="shared" si="110"/>
        <v>0.17693841554761852</v>
      </c>
      <c r="BA144" s="254">
        <f t="shared" si="128"/>
        <v>1.1466666666666567E-3</v>
      </c>
      <c r="BB144" s="270">
        <f t="shared" ref="BB144:BB207" si="149">($P$28^2-(2*0.35*$P$28*BC144))^0.5</f>
        <v>1.6749129330605025E-3</v>
      </c>
      <c r="BC144" s="253">
        <f t="shared" si="129"/>
        <v>8.5333333333333181E-4</v>
      </c>
      <c r="BD144" s="255">
        <f t="shared" si="111"/>
        <v>8.5333333333333178E-2</v>
      </c>
      <c r="BI144" s="248"/>
      <c r="BX144" s="258" t="e">
        <f>((((IF($Q$5=0,$Q$6,$Q$5)))/(12*$Q$19))+(((3*$Q$15)/(2*IF($Q$5=0,$Q$6,$Q$5)*$U$5*$Q$19))*'IN-OUT'!$F$15))*'Burland damage classification'!CB144</f>
        <v>#DIV/0!</v>
      </c>
      <c r="BY144" s="262">
        <f>(1+(((IF($Q$5=0,$Q$6^2,$Q$5^2))*$U$5)/(18*$Q$15))*('IN-OUT'!$F$15^(-1)))*CC144</f>
        <v>6.3456021516217654E-4</v>
      </c>
      <c r="BZ144" s="254" t="e">
        <f t="shared" ref="BZ144:BZ166" si="150">MIN(BX144,BY144)</f>
        <v>#DIV/0!</v>
      </c>
      <c r="CA144" s="254" t="e">
        <f t="shared" si="114"/>
        <v>#DIV/0!</v>
      </c>
      <c r="CB144" s="254">
        <f t="shared" si="132"/>
        <v>1.4666666666666834E-4</v>
      </c>
      <c r="CC144" s="253">
        <f t="shared" ref="CC144:CC166" si="151">($P$27^2-(2*0.35*$P$27*CD144))^0.5</f>
        <v>6.3456021516217654E-4</v>
      </c>
      <c r="CD144" s="253">
        <f t="shared" si="133"/>
        <v>8.5333333333333181E-4</v>
      </c>
      <c r="CE144" s="255">
        <f t="shared" si="115"/>
        <v>8.5333333333333178E-2</v>
      </c>
      <c r="CG144" s="258" t="e">
        <f>((((IF($Q$5=0,$Q$6,$Q$5)))/(12*$Q$19))+(((3*$Q$15)/(2*IF($Q$5=0,$Q$6,$Q$5)*$U$5*$Q$19))*'IN-OUT'!$F$15))*'Burland damage classification'!CK144</f>
        <v>#DIV/0!</v>
      </c>
      <c r="CH144" s="262">
        <f>(1+(((IF($Q$5=0,$Q$6^2,$Q$5^2))*$U$5)/(18*$Q$15))*('IN-OUT'!$F$15^(-1)))*CL144</f>
        <v>1.6749129330605025E-3</v>
      </c>
      <c r="CI144" s="254" t="e">
        <f t="shared" ref="CI144:CI207" si="152">MIN(CG144,CH144)</f>
        <v>#DIV/0!</v>
      </c>
      <c r="CJ144" s="254" t="e">
        <f t="shared" si="116"/>
        <v>#DIV/0!</v>
      </c>
      <c r="CK144" s="254">
        <f t="shared" si="134"/>
        <v>1.1466666666666567E-3</v>
      </c>
      <c r="CL144" s="270">
        <f t="shared" ref="CL144:CL207" si="153">($P$28^2-(2*0.35*$P$28*CM144))^0.5</f>
        <v>1.6749129330605025E-3</v>
      </c>
      <c r="CM144" s="253">
        <f t="shared" si="135"/>
        <v>8.5333333333333181E-4</v>
      </c>
      <c r="CN144" s="255">
        <f t="shared" si="117"/>
        <v>8.5333333333333178E-2</v>
      </c>
      <c r="CS144" s="248"/>
      <c r="DH144" s="258" t="e">
        <f>((((IF($R$5=0,$R$6,$R$5)))/(12*$R$19))+(((3*$R$15)/(2*IF($R$5=0,$R$6,$R$5)*$U$5*$R$19))*'IN-OUT'!$F$15))*'Burland damage classification'!DL144</f>
        <v>#DIV/0!</v>
      </c>
      <c r="DI144" s="262">
        <f>(1+(((IF($R$5=0,$R$6^2,$R$5^2))*$U$5)/(18*$R$15))*('IN-OUT'!$F$15^(-1)))*DM144</f>
        <v>6.3456021516217654E-4</v>
      </c>
      <c r="DJ144" s="254" t="e">
        <f t="shared" ref="DJ144:DJ166" si="154">MIN(DH144,DI144)</f>
        <v>#DIV/0!</v>
      </c>
      <c r="DK144" s="254" t="e">
        <f t="shared" si="120"/>
        <v>#DIV/0!</v>
      </c>
      <c r="DL144" s="254">
        <f t="shared" si="138"/>
        <v>1.4666666666666834E-4</v>
      </c>
      <c r="DM144" s="253">
        <f t="shared" ref="DM144:DM166" si="155">($P$27^2-(2*0.35*$P$27*DN144))^0.5</f>
        <v>6.3456021516217654E-4</v>
      </c>
      <c r="DN144" s="253">
        <f t="shared" si="139"/>
        <v>8.5333333333333181E-4</v>
      </c>
      <c r="DO144" s="255">
        <f t="shared" si="121"/>
        <v>8.5333333333333178E-2</v>
      </c>
      <c r="DQ144" s="258" t="e">
        <f>((((IF($R$5=0,$R$6,$R$5)))/(12*$R$19))+(((3*$R$15)/(2*IF($R$5=0,$R$6,$R$5)*$U$5*$R$19))*'IN-OUT'!$F$15))*'Burland damage classification'!DU144</f>
        <v>#DIV/0!</v>
      </c>
      <c r="DR144" s="262">
        <f>(1+(((IF($R$5=0,$R$6^2,$R$5^2))*$U$5)/(18*$R$15))*('IN-OUT'!$F$15^(-1)))*DV144</f>
        <v>1.6749129330605025E-3</v>
      </c>
      <c r="DS144" s="254" t="e">
        <f t="shared" ref="DS144:DS207" si="156">MIN(DQ144,DR144)</f>
        <v>#DIV/0!</v>
      </c>
      <c r="DT144" s="254" t="e">
        <f t="shared" si="122"/>
        <v>#DIV/0!</v>
      </c>
      <c r="DU144" s="254">
        <f t="shared" si="140"/>
        <v>1.1466666666666567E-3</v>
      </c>
      <c r="DV144" s="270">
        <f t="shared" ref="DV144:DV207" si="157">($P$28^2-(2*0.35*$P$28*DW144))^0.5</f>
        <v>1.6749129330605025E-3</v>
      </c>
      <c r="DW144" s="253">
        <f t="shared" si="141"/>
        <v>8.5333333333333181E-4</v>
      </c>
      <c r="DX144" s="255">
        <f t="shared" si="123"/>
        <v>8.5333333333333178E-2</v>
      </c>
    </row>
    <row r="145" spans="3:128">
      <c r="C145" s="302" t="str">
        <f>$I$31</f>
        <v/>
      </c>
      <c r="D145" s="288"/>
      <c r="E145" s="389" t="str">
        <f t="shared" si="142"/>
        <v/>
      </c>
      <c r="F145" s="397" t="str">
        <f t="shared" si="142"/>
        <v/>
      </c>
      <c r="U145" s="262"/>
      <c r="AN145" s="258">
        <f>(((IF($P$5&lt;&gt;0,$P$5,IF($P$6&lt;&gt;0,$P$6,IF($P$7&lt;&gt;0,$P$7,0))))/(12*$P$19))+(((3*$P$15)/(2*(IF($P$5&lt;&gt;0,$P$5,IF($P$6&lt;&gt;0,$P$6,IF($P$7&lt;&gt;0,$P$7,0))))*$U$5*$P$19))*'IN-OUT'!$F$15))*'Burland damage classification'!AR145</f>
        <v>4.4942131872501305E-4</v>
      </c>
      <c r="AO145" s="254">
        <f>(1+(((IF($P$5&lt;&gt;0,$P$5^2,IF($P$6&lt;&gt;0,$P$6^2,IF($P$7&lt;&gt;0,$P$7^2))))*$U$5)/(18*$P$15))*('IN-OUT'!$F$15^(-1)))*AS145</f>
        <v>6.6645592590168815E-4</v>
      </c>
      <c r="AP145" s="254">
        <f t="shared" si="146"/>
        <v>4.4942131872501305E-4</v>
      </c>
      <c r="AQ145" s="254">
        <f t="shared" ref="AQ145:AQ166" si="158">AP145*100</f>
        <v>4.4942131872501304E-2</v>
      </c>
      <c r="AR145" s="254">
        <f t="shared" si="126"/>
        <v>1.4000000000000167E-4</v>
      </c>
      <c r="AS145" s="253">
        <f t="shared" si="148"/>
        <v>6.3087241182350096E-4</v>
      </c>
      <c r="AT145" s="253">
        <f t="shared" si="127"/>
        <v>8.5999999999999846E-4</v>
      </c>
      <c r="AU145" s="255">
        <f t="shared" ref="AU145:AU166" si="159">AT145*100</f>
        <v>8.599999999999984E-2</v>
      </c>
      <c r="AW145" s="258">
        <f>(((IF($P$5&lt;&gt;0,$P$5,IF($P$6&lt;&gt;0,$P$6,IF($P$7&lt;&gt;0,$P$7,0))))/(12*$P$19))+(((3*$P$15)/(2*(IF($P$5&lt;&gt;0,$P$5,IF($P$6&lt;&gt;0,$P$6,IF($P$7&lt;&gt;0,$P$7,0))))*$U$5*$P$19))*'IN-OUT'!$F$15))*'Burland damage classification'!BA145</f>
        <v>3.6595735953321735E-3</v>
      </c>
      <c r="AX145" s="254">
        <f>(1+(((IF($P$5&lt;&gt;0,$P$5^2,IF($P$6&lt;&gt;0,$P$6^2,IF($P$7&lt;&gt;0,$P$7^2))))*$U$5)/(18*$P$15))*('IN-OUT'!$F$15^(-1)))*BB145</f>
        <v>1.7664383360735769E-3</v>
      </c>
      <c r="AY145" s="254">
        <f t="shared" si="147"/>
        <v>1.7664383360735769E-3</v>
      </c>
      <c r="AZ145" s="254">
        <f t="shared" ref="AZ145:AZ208" si="160">AY145*100</f>
        <v>0.17664383360735769</v>
      </c>
      <c r="BA145" s="254">
        <f t="shared" si="128"/>
        <v>1.13999999999999E-3</v>
      </c>
      <c r="BB145" s="270">
        <f t="shared" si="149"/>
        <v>1.6721243972862791E-3</v>
      </c>
      <c r="BC145" s="253">
        <f t="shared" si="129"/>
        <v>8.5999999999999846E-4</v>
      </c>
      <c r="BD145" s="255">
        <f t="shared" ref="BD145:BD208" si="161">BC145*100</f>
        <v>8.599999999999984E-2</v>
      </c>
      <c r="BI145" s="248"/>
      <c r="BX145" s="258" t="e">
        <f>((((IF($Q$5=0,$Q$6,$Q$5)))/(12*$Q$19))+(((3*$Q$15)/(2*IF($Q$5=0,$Q$6,$Q$5)*$U$5*$Q$19))*'IN-OUT'!$F$15))*'Burland damage classification'!CB145</f>
        <v>#DIV/0!</v>
      </c>
      <c r="BY145" s="262">
        <f>(1+(((IF($Q$5=0,$Q$6^2,$Q$5^2))*$U$5)/(18*$Q$15))*('IN-OUT'!$F$15^(-1)))*CC145</f>
        <v>6.3087241182350096E-4</v>
      </c>
      <c r="BZ145" s="254" t="e">
        <f t="shared" si="150"/>
        <v>#DIV/0!</v>
      </c>
      <c r="CA145" s="254" t="e">
        <f t="shared" ref="CA145:CA166" si="162">BZ145*100</f>
        <v>#DIV/0!</v>
      </c>
      <c r="CB145" s="254">
        <f t="shared" si="132"/>
        <v>1.4000000000000167E-4</v>
      </c>
      <c r="CC145" s="253">
        <f t="shared" si="151"/>
        <v>6.3087241182350096E-4</v>
      </c>
      <c r="CD145" s="253">
        <f t="shared" si="133"/>
        <v>8.5999999999999846E-4</v>
      </c>
      <c r="CE145" s="255">
        <f t="shared" ref="CE145:CE166" si="163">CD145*100</f>
        <v>8.599999999999984E-2</v>
      </c>
      <c r="CG145" s="258" t="e">
        <f>((((IF($Q$5=0,$Q$6,$Q$5)))/(12*$Q$19))+(((3*$Q$15)/(2*IF($Q$5=0,$Q$6,$Q$5)*$U$5*$Q$19))*'IN-OUT'!$F$15))*'Burland damage classification'!CK145</f>
        <v>#DIV/0!</v>
      </c>
      <c r="CH145" s="262">
        <f>(1+(((IF($Q$5=0,$Q$6^2,$Q$5^2))*$U$5)/(18*$Q$15))*('IN-OUT'!$F$15^(-1)))*CL145</f>
        <v>1.6721243972862791E-3</v>
      </c>
      <c r="CI145" s="254" t="e">
        <f t="shared" si="152"/>
        <v>#DIV/0!</v>
      </c>
      <c r="CJ145" s="254" t="e">
        <f t="shared" ref="CJ145:CJ208" si="164">CI145*100</f>
        <v>#DIV/0!</v>
      </c>
      <c r="CK145" s="254">
        <f t="shared" si="134"/>
        <v>1.13999999999999E-3</v>
      </c>
      <c r="CL145" s="270">
        <f t="shared" si="153"/>
        <v>1.6721243972862791E-3</v>
      </c>
      <c r="CM145" s="253">
        <f t="shared" si="135"/>
        <v>8.5999999999999846E-4</v>
      </c>
      <c r="CN145" s="255">
        <f t="shared" ref="CN145:CN208" si="165">CM145*100</f>
        <v>8.599999999999984E-2</v>
      </c>
      <c r="CS145" s="248"/>
      <c r="DH145" s="258" t="e">
        <f>((((IF($R$5=0,$R$6,$R$5)))/(12*$R$19))+(((3*$R$15)/(2*IF($R$5=0,$R$6,$R$5)*$U$5*$R$19))*'IN-OUT'!$F$15))*'Burland damage classification'!DL145</f>
        <v>#DIV/0!</v>
      </c>
      <c r="DI145" s="262">
        <f>(1+(((IF($R$5=0,$R$6^2,$R$5^2))*$U$5)/(18*$R$15))*('IN-OUT'!$F$15^(-1)))*DM145</f>
        <v>6.3087241182350096E-4</v>
      </c>
      <c r="DJ145" s="254" t="e">
        <f t="shared" si="154"/>
        <v>#DIV/0!</v>
      </c>
      <c r="DK145" s="254" t="e">
        <f t="shared" ref="DK145:DK166" si="166">DJ145*100</f>
        <v>#DIV/0!</v>
      </c>
      <c r="DL145" s="254">
        <f t="shared" si="138"/>
        <v>1.4000000000000167E-4</v>
      </c>
      <c r="DM145" s="253">
        <f t="shared" si="155"/>
        <v>6.3087241182350096E-4</v>
      </c>
      <c r="DN145" s="253">
        <f t="shared" si="139"/>
        <v>8.5999999999999846E-4</v>
      </c>
      <c r="DO145" s="255">
        <f t="shared" ref="DO145:DO166" si="167">DN145*100</f>
        <v>8.599999999999984E-2</v>
      </c>
      <c r="DQ145" s="258" t="e">
        <f>((((IF($R$5=0,$R$6,$R$5)))/(12*$R$19))+(((3*$R$15)/(2*IF($R$5=0,$R$6,$R$5)*$U$5*$R$19))*'IN-OUT'!$F$15))*'Burland damage classification'!DU145</f>
        <v>#DIV/0!</v>
      </c>
      <c r="DR145" s="262">
        <f>(1+(((IF($R$5=0,$R$6^2,$R$5^2))*$U$5)/(18*$R$15))*('IN-OUT'!$F$15^(-1)))*DV145</f>
        <v>1.6721243972862791E-3</v>
      </c>
      <c r="DS145" s="254" t="e">
        <f t="shared" si="156"/>
        <v>#DIV/0!</v>
      </c>
      <c r="DT145" s="254" t="e">
        <f t="shared" ref="DT145:DT208" si="168">DS145*100</f>
        <v>#DIV/0!</v>
      </c>
      <c r="DU145" s="254">
        <f t="shared" si="140"/>
        <v>1.13999999999999E-3</v>
      </c>
      <c r="DV145" s="270">
        <f t="shared" si="157"/>
        <v>1.6721243972862791E-3</v>
      </c>
      <c r="DW145" s="253">
        <f t="shared" si="141"/>
        <v>8.5999999999999846E-4</v>
      </c>
      <c r="DX145" s="255">
        <f t="shared" ref="DX145:DX208" si="169">DW145*100</f>
        <v>8.599999999999984E-2</v>
      </c>
    </row>
    <row r="146" spans="3:128">
      <c r="C146" s="302" t="str">
        <f>$J$31</f>
        <v/>
      </c>
      <c r="D146" s="288"/>
      <c r="E146" s="389" t="str">
        <f t="shared" si="142"/>
        <v/>
      </c>
      <c r="F146" s="397" t="str">
        <f t="shared" si="142"/>
        <v/>
      </c>
      <c r="U146" s="262"/>
      <c r="AN146" s="258">
        <f>(((IF($P$5&lt;&gt;0,$P$5,IF($P$6&lt;&gt;0,$P$6,IF($P$7&lt;&gt;0,$P$7,0))))/(12*$P$19))+(((3*$P$15)/(2*(IF($P$5&lt;&gt;0,$P$5,IF($P$6&lt;&gt;0,$P$6,IF($P$7&lt;&gt;0,$P$7,0))))*$U$5*$P$19))*'IN-OUT'!$F$15))*'Burland damage classification'!AR146</f>
        <v>4.2802030354763173E-4</v>
      </c>
      <c r="AO146" s="254">
        <f>(1+(((IF($P$5&lt;&gt;0,$P$5^2,IF($P$6&lt;&gt;0,$P$6^2,IF($P$7&lt;&gt;0,$P$7^2))))*$U$5)/(18*$P$15))*('IN-OUT'!$F$15^(-1)))*AS146</f>
        <v>6.6253720946040685E-4</v>
      </c>
      <c r="AP146" s="254">
        <f t="shared" si="146"/>
        <v>4.2802030354763173E-4</v>
      </c>
      <c r="AQ146" s="254">
        <f t="shared" si="158"/>
        <v>4.2802030354763175E-2</v>
      </c>
      <c r="AR146" s="254">
        <f t="shared" ref="AR146:AR166" si="170">AR145-($P$27/150)</f>
        <v>1.3333333333333499E-4</v>
      </c>
      <c r="AS146" s="253">
        <f t="shared" si="148"/>
        <v>6.2716292407422676E-4</v>
      </c>
      <c r="AT146" s="253">
        <f t="shared" ref="AT146:AT166" si="171">AT145+($P$27/150)</f>
        <v>8.6666666666666511E-4</v>
      </c>
      <c r="AU146" s="255">
        <f t="shared" si="159"/>
        <v>8.6666666666666517E-2</v>
      </c>
      <c r="AW146" s="258">
        <f>(((IF($P$5&lt;&gt;0,$P$5,IF($P$6&lt;&gt;0,$P$6,IF($P$7&lt;&gt;0,$P$7,0))))/(12*$P$19))+(((3*$P$15)/(2*(IF($P$5&lt;&gt;0,$P$5,IF($P$6&lt;&gt;0,$P$6,IF($P$7&lt;&gt;0,$P$7,0))))*$U$5*$P$19))*'IN-OUT'!$F$15))*'Burland damage classification'!BA146</f>
        <v>3.6381725801547917E-3</v>
      </c>
      <c r="AX146" s="254">
        <f>(1+(((IF($P$5&lt;&gt;0,$P$5^2,IF($P$6&lt;&gt;0,$P$6^2,IF($P$7&lt;&gt;0,$P$7^2))))*$U$5)/(18*$P$15))*('IN-OUT'!$F$15^(-1)))*BB146</f>
        <v>1.7634875958312268E-3</v>
      </c>
      <c r="AY146" s="254">
        <f t="shared" si="147"/>
        <v>1.7634875958312268E-3</v>
      </c>
      <c r="AZ146" s="254">
        <f t="shared" si="160"/>
        <v>0.17634875958312268</v>
      </c>
      <c r="BA146" s="254">
        <f t="shared" ref="BA146:BA209" si="172">BA145-($P$28/300)</f>
        <v>1.1333333333333232E-3</v>
      </c>
      <c r="BB146" s="270">
        <f t="shared" si="149"/>
        <v>1.6693312034065226E-3</v>
      </c>
      <c r="BC146" s="253">
        <f t="shared" ref="BC146:BC209" si="173">BC145+($P$28/300)</f>
        <v>8.6666666666666511E-4</v>
      </c>
      <c r="BD146" s="255">
        <f t="shared" si="161"/>
        <v>8.6666666666666517E-2</v>
      </c>
      <c r="BI146" s="248"/>
      <c r="BX146" s="258" t="e">
        <f>((((IF($Q$5=0,$Q$6,$Q$5)))/(12*$Q$19))+(((3*$Q$15)/(2*IF($Q$5=0,$Q$6,$Q$5)*$U$5*$Q$19))*'IN-OUT'!$F$15))*'Burland damage classification'!CB146</f>
        <v>#DIV/0!</v>
      </c>
      <c r="BY146" s="262">
        <f>(1+(((IF($Q$5=0,$Q$6^2,$Q$5^2))*$U$5)/(18*$Q$15))*('IN-OUT'!$F$15^(-1)))*CC146</f>
        <v>6.2716292407422676E-4</v>
      </c>
      <c r="BZ146" s="254" t="e">
        <f t="shared" si="150"/>
        <v>#DIV/0!</v>
      </c>
      <c r="CA146" s="254" t="e">
        <f t="shared" si="162"/>
        <v>#DIV/0!</v>
      </c>
      <c r="CB146" s="254">
        <f t="shared" ref="CB146:CB166" si="174">CB145-($P$27/150)</f>
        <v>1.3333333333333499E-4</v>
      </c>
      <c r="CC146" s="253">
        <f t="shared" si="151"/>
        <v>6.2716292407422676E-4</v>
      </c>
      <c r="CD146" s="253">
        <f t="shared" ref="CD146:CD166" si="175">CD145+($P$27/150)</f>
        <v>8.6666666666666511E-4</v>
      </c>
      <c r="CE146" s="255">
        <f t="shared" si="163"/>
        <v>8.6666666666666517E-2</v>
      </c>
      <c r="CG146" s="258" t="e">
        <f>((((IF($Q$5=0,$Q$6,$Q$5)))/(12*$Q$19))+(((3*$Q$15)/(2*IF($Q$5=0,$Q$6,$Q$5)*$U$5*$Q$19))*'IN-OUT'!$F$15))*'Burland damage classification'!CK146</f>
        <v>#DIV/0!</v>
      </c>
      <c r="CH146" s="262">
        <f>(1+(((IF($Q$5=0,$Q$6^2,$Q$5^2))*$U$5)/(18*$Q$15))*('IN-OUT'!$F$15^(-1)))*CL146</f>
        <v>1.6693312034065226E-3</v>
      </c>
      <c r="CI146" s="254" t="e">
        <f t="shared" si="152"/>
        <v>#DIV/0!</v>
      </c>
      <c r="CJ146" s="254" t="e">
        <f t="shared" si="164"/>
        <v>#DIV/0!</v>
      </c>
      <c r="CK146" s="254">
        <f t="shared" ref="CK146:CK209" si="176">CK145-($P$28/300)</f>
        <v>1.1333333333333232E-3</v>
      </c>
      <c r="CL146" s="270">
        <f t="shared" si="153"/>
        <v>1.6693312034065226E-3</v>
      </c>
      <c r="CM146" s="253">
        <f t="shared" ref="CM146:CM209" si="177">CM145+($P$28/300)</f>
        <v>8.6666666666666511E-4</v>
      </c>
      <c r="CN146" s="255">
        <f t="shared" si="165"/>
        <v>8.6666666666666517E-2</v>
      </c>
      <c r="CS146" s="248"/>
      <c r="DH146" s="258" t="e">
        <f>((((IF($R$5=0,$R$6,$R$5)))/(12*$R$19))+(((3*$R$15)/(2*IF($R$5=0,$R$6,$R$5)*$U$5*$R$19))*'IN-OUT'!$F$15))*'Burland damage classification'!DL146</f>
        <v>#DIV/0!</v>
      </c>
      <c r="DI146" s="262">
        <f>(1+(((IF($R$5=0,$R$6^2,$R$5^2))*$U$5)/(18*$R$15))*('IN-OUT'!$F$15^(-1)))*DM146</f>
        <v>6.2716292407422676E-4</v>
      </c>
      <c r="DJ146" s="254" t="e">
        <f t="shared" si="154"/>
        <v>#DIV/0!</v>
      </c>
      <c r="DK146" s="254" t="e">
        <f t="shared" si="166"/>
        <v>#DIV/0!</v>
      </c>
      <c r="DL146" s="254">
        <f t="shared" ref="DL146:DL166" si="178">DL145-($P$27/150)</f>
        <v>1.3333333333333499E-4</v>
      </c>
      <c r="DM146" s="253">
        <f t="shared" si="155"/>
        <v>6.2716292407422676E-4</v>
      </c>
      <c r="DN146" s="253">
        <f t="shared" ref="DN146:DN166" si="179">DN145+($P$27/150)</f>
        <v>8.6666666666666511E-4</v>
      </c>
      <c r="DO146" s="255">
        <f t="shared" si="167"/>
        <v>8.6666666666666517E-2</v>
      </c>
      <c r="DQ146" s="258" t="e">
        <f>((((IF($R$5=0,$R$6,$R$5)))/(12*$R$19))+(((3*$R$15)/(2*IF($R$5=0,$R$6,$R$5)*$U$5*$R$19))*'IN-OUT'!$F$15))*'Burland damage classification'!DU146</f>
        <v>#DIV/0!</v>
      </c>
      <c r="DR146" s="262">
        <f>(1+(((IF($R$5=0,$R$6^2,$R$5^2))*$U$5)/(18*$R$15))*('IN-OUT'!$F$15^(-1)))*DV146</f>
        <v>1.6693312034065226E-3</v>
      </c>
      <c r="DS146" s="254" t="e">
        <f t="shared" si="156"/>
        <v>#DIV/0!</v>
      </c>
      <c r="DT146" s="254" t="e">
        <f t="shared" si="168"/>
        <v>#DIV/0!</v>
      </c>
      <c r="DU146" s="254">
        <f t="shared" ref="DU146:DU209" si="180">DU145-($P$28/300)</f>
        <v>1.1333333333333232E-3</v>
      </c>
      <c r="DV146" s="270">
        <f t="shared" si="157"/>
        <v>1.6693312034065226E-3</v>
      </c>
      <c r="DW146" s="253">
        <f t="shared" ref="DW146:DW209" si="181">DW145+($P$28/300)</f>
        <v>8.6666666666666511E-4</v>
      </c>
      <c r="DX146" s="255">
        <f t="shared" si="169"/>
        <v>8.6666666666666517E-2</v>
      </c>
    </row>
    <row r="147" spans="3:128">
      <c r="C147" s="302" t="str">
        <f>$I$32</f>
        <v/>
      </c>
      <c r="D147" s="288"/>
      <c r="E147" s="389" t="str">
        <f t="shared" si="142"/>
        <v/>
      </c>
      <c r="F147" s="397" t="str">
        <f t="shared" si="142"/>
        <v/>
      </c>
      <c r="U147" s="262"/>
      <c r="AN147" s="258">
        <f>(((IF($P$5&lt;&gt;0,$P$5,IF($P$6&lt;&gt;0,$P$6,IF($P$7&lt;&gt;0,$P$7,0))))/(12*$P$19))+(((3*$P$15)/(2*(IF($P$5&lt;&gt;0,$P$5,IF($P$6&lt;&gt;0,$P$6,IF($P$7&lt;&gt;0,$P$7,0))))*$U$5*$P$19))*'IN-OUT'!$F$15))*'Burland damage classification'!AR147</f>
        <v>4.0661928837025036E-4</v>
      </c>
      <c r="AO147" s="254">
        <f>(1+(((IF($P$5&lt;&gt;0,$P$5^2,IF($P$6&lt;&gt;0,$P$6^2,IF($P$7&lt;&gt;0,$P$7^2))))*$U$5)/(18*$P$15))*('IN-OUT'!$F$15^(-1)))*AS147</f>
        <v>6.5859517662194417E-4</v>
      </c>
      <c r="AP147" s="254">
        <f t="shared" si="146"/>
        <v>4.0661928837025036E-4</v>
      </c>
      <c r="AQ147" s="254">
        <f t="shared" si="158"/>
        <v>4.0661928837025033E-2</v>
      </c>
      <c r="AR147" s="254">
        <f t="shared" si="170"/>
        <v>1.2666666666666832E-4</v>
      </c>
      <c r="AS147" s="253">
        <f t="shared" si="148"/>
        <v>6.234313648403228E-4</v>
      </c>
      <c r="AT147" s="253">
        <f t="shared" si="171"/>
        <v>8.7333333333333176E-4</v>
      </c>
      <c r="AU147" s="255">
        <f t="shared" si="159"/>
        <v>8.733333333333318E-2</v>
      </c>
      <c r="AW147" s="258">
        <f>(((IF($P$5&lt;&gt;0,$P$5,IF($P$6&lt;&gt;0,$P$6,IF($P$7&lt;&gt;0,$P$7,0))))/(12*$P$19))+(((3*$P$15)/(2*(IF($P$5&lt;&gt;0,$P$5,IF($P$6&lt;&gt;0,$P$6,IF($P$7&lt;&gt;0,$P$7,0))))*$U$5*$P$19))*'IN-OUT'!$F$15))*'Burland damage classification'!BA147</f>
        <v>3.6167715649774103E-3</v>
      </c>
      <c r="AX147" s="254">
        <f>(1+(((IF($P$5&lt;&gt;0,$P$5^2,IF($P$6&lt;&gt;0,$P$6^2,IF($P$7&lt;&gt;0,$P$7^2))))*$U$5)/(18*$P$15))*('IN-OUT'!$F$15^(-1)))*BB147</f>
        <v>1.7605319100064086E-3</v>
      </c>
      <c r="AY147" s="254">
        <f t="shared" si="147"/>
        <v>1.7605319100064086E-3</v>
      </c>
      <c r="AZ147" s="254">
        <f t="shared" si="160"/>
        <v>0.17605319100064087</v>
      </c>
      <c r="BA147" s="254">
        <f t="shared" si="172"/>
        <v>1.1266666666666565E-3</v>
      </c>
      <c r="BB147" s="270">
        <f t="shared" si="149"/>
        <v>1.6665333279995739E-3</v>
      </c>
      <c r="BC147" s="253">
        <f t="shared" si="173"/>
        <v>8.7333333333333176E-4</v>
      </c>
      <c r="BD147" s="255">
        <f t="shared" si="161"/>
        <v>8.733333333333318E-2</v>
      </c>
      <c r="BI147" s="248"/>
      <c r="BX147" s="258" t="e">
        <f>((((IF($Q$5=0,$Q$6,$Q$5)))/(12*$Q$19))+(((3*$Q$15)/(2*IF($Q$5=0,$Q$6,$Q$5)*$U$5*$Q$19))*'IN-OUT'!$F$15))*'Burland damage classification'!CB147</f>
        <v>#DIV/0!</v>
      </c>
      <c r="BY147" s="262">
        <f>(1+(((IF($Q$5=0,$Q$6^2,$Q$5^2))*$U$5)/(18*$Q$15))*('IN-OUT'!$F$15^(-1)))*CC147</f>
        <v>6.234313648403228E-4</v>
      </c>
      <c r="BZ147" s="254" t="e">
        <f t="shared" si="150"/>
        <v>#DIV/0!</v>
      </c>
      <c r="CA147" s="254" t="e">
        <f t="shared" si="162"/>
        <v>#DIV/0!</v>
      </c>
      <c r="CB147" s="254">
        <f t="shared" si="174"/>
        <v>1.2666666666666832E-4</v>
      </c>
      <c r="CC147" s="253">
        <f t="shared" si="151"/>
        <v>6.234313648403228E-4</v>
      </c>
      <c r="CD147" s="253">
        <f t="shared" si="175"/>
        <v>8.7333333333333176E-4</v>
      </c>
      <c r="CE147" s="255">
        <f t="shared" si="163"/>
        <v>8.733333333333318E-2</v>
      </c>
      <c r="CG147" s="258" t="e">
        <f>((((IF($Q$5=0,$Q$6,$Q$5)))/(12*$Q$19))+(((3*$Q$15)/(2*IF($Q$5=0,$Q$6,$Q$5)*$U$5*$Q$19))*'IN-OUT'!$F$15))*'Burland damage classification'!CK147</f>
        <v>#DIV/0!</v>
      </c>
      <c r="CH147" s="262">
        <f>(1+(((IF($Q$5=0,$Q$6^2,$Q$5^2))*$U$5)/(18*$Q$15))*('IN-OUT'!$F$15^(-1)))*CL147</f>
        <v>1.6665333279995739E-3</v>
      </c>
      <c r="CI147" s="254" t="e">
        <f t="shared" si="152"/>
        <v>#DIV/0!</v>
      </c>
      <c r="CJ147" s="254" t="e">
        <f t="shared" si="164"/>
        <v>#DIV/0!</v>
      </c>
      <c r="CK147" s="254">
        <f t="shared" si="176"/>
        <v>1.1266666666666565E-3</v>
      </c>
      <c r="CL147" s="270">
        <f t="shared" si="153"/>
        <v>1.6665333279995739E-3</v>
      </c>
      <c r="CM147" s="253">
        <f t="shared" si="177"/>
        <v>8.7333333333333176E-4</v>
      </c>
      <c r="CN147" s="255">
        <f t="shared" si="165"/>
        <v>8.733333333333318E-2</v>
      </c>
      <c r="CS147" s="248"/>
      <c r="DH147" s="258" t="e">
        <f>((((IF($R$5=0,$R$6,$R$5)))/(12*$R$19))+(((3*$R$15)/(2*IF($R$5=0,$R$6,$R$5)*$U$5*$R$19))*'IN-OUT'!$F$15))*'Burland damage classification'!DL147</f>
        <v>#DIV/0!</v>
      </c>
      <c r="DI147" s="262">
        <f>(1+(((IF($R$5=0,$R$6^2,$R$5^2))*$U$5)/(18*$R$15))*('IN-OUT'!$F$15^(-1)))*DM147</f>
        <v>6.234313648403228E-4</v>
      </c>
      <c r="DJ147" s="254" t="e">
        <f t="shared" si="154"/>
        <v>#DIV/0!</v>
      </c>
      <c r="DK147" s="254" t="e">
        <f t="shared" si="166"/>
        <v>#DIV/0!</v>
      </c>
      <c r="DL147" s="254">
        <f t="shared" si="178"/>
        <v>1.2666666666666832E-4</v>
      </c>
      <c r="DM147" s="253">
        <f t="shared" si="155"/>
        <v>6.234313648403228E-4</v>
      </c>
      <c r="DN147" s="253">
        <f t="shared" si="179"/>
        <v>8.7333333333333176E-4</v>
      </c>
      <c r="DO147" s="255">
        <f t="shared" si="167"/>
        <v>8.733333333333318E-2</v>
      </c>
      <c r="DQ147" s="258" t="e">
        <f>((((IF($R$5=0,$R$6,$R$5)))/(12*$R$19))+(((3*$R$15)/(2*IF($R$5=0,$R$6,$R$5)*$U$5*$R$19))*'IN-OUT'!$F$15))*'Burland damage classification'!DU147</f>
        <v>#DIV/0!</v>
      </c>
      <c r="DR147" s="262">
        <f>(1+(((IF($R$5=0,$R$6^2,$R$5^2))*$U$5)/(18*$R$15))*('IN-OUT'!$F$15^(-1)))*DV147</f>
        <v>1.6665333279995739E-3</v>
      </c>
      <c r="DS147" s="254" t="e">
        <f t="shared" si="156"/>
        <v>#DIV/0!</v>
      </c>
      <c r="DT147" s="254" t="e">
        <f t="shared" si="168"/>
        <v>#DIV/0!</v>
      </c>
      <c r="DU147" s="254">
        <f t="shared" si="180"/>
        <v>1.1266666666666565E-3</v>
      </c>
      <c r="DV147" s="270">
        <f t="shared" si="157"/>
        <v>1.6665333279995739E-3</v>
      </c>
      <c r="DW147" s="253">
        <f t="shared" si="181"/>
        <v>8.7333333333333176E-4</v>
      </c>
      <c r="DX147" s="255">
        <f t="shared" si="169"/>
        <v>8.733333333333318E-2</v>
      </c>
    </row>
    <row r="148" spans="3:128">
      <c r="C148" s="302" t="str">
        <f>$J$32</f>
        <v/>
      </c>
      <c r="D148" s="288"/>
      <c r="E148" s="389" t="str">
        <f t="shared" si="142"/>
        <v/>
      </c>
      <c r="F148" s="397" t="str">
        <f t="shared" si="142"/>
        <v/>
      </c>
      <c r="U148" s="262"/>
      <c r="AN148" s="258">
        <f>(((IF($P$5&lt;&gt;0,$P$5,IF($P$6&lt;&gt;0,$P$6,IF($P$7&lt;&gt;0,$P$7,0))))/(12*$P$19))+(((3*$P$15)/(2*(IF($P$5&lt;&gt;0,$P$5,IF($P$6&lt;&gt;0,$P$6,IF($P$7&lt;&gt;0,$P$7,0))))*$U$5*$P$19))*'IN-OUT'!$F$15))*'Burland damage classification'!AR148</f>
        <v>3.8521827319286909E-4</v>
      </c>
      <c r="AO148" s="254">
        <f>(1+(((IF($P$5&lt;&gt;0,$P$5^2,IF($P$6&lt;&gt;0,$P$6^2,IF($P$7&lt;&gt;0,$P$7^2))))*$U$5)/(18*$P$15))*('IN-OUT'!$F$15^(-1)))*AS148</f>
        <v>6.5462940616794519E-4</v>
      </c>
      <c r="AP148" s="254">
        <f t="shared" si="146"/>
        <v>3.8521827319286909E-4</v>
      </c>
      <c r="AQ148" s="254">
        <f t="shared" si="158"/>
        <v>3.8521827319286911E-2</v>
      </c>
      <c r="AR148" s="254">
        <f t="shared" si="170"/>
        <v>1.2000000000000166E-4</v>
      </c>
      <c r="AS148" s="253">
        <f t="shared" si="148"/>
        <v>6.1967733539318762E-4</v>
      </c>
      <c r="AT148" s="253">
        <f t="shared" si="171"/>
        <v>8.7999999999999841E-4</v>
      </c>
      <c r="AU148" s="255">
        <f t="shared" si="159"/>
        <v>8.7999999999999842E-2</v>
      </c>
      <c r="AW148" s="258">
        <f>(((IF($P$5&lt;&gt;0,$P$5,IF($P$6&lt;&gt;0,$P$6,IF($P$7&lt;&gt;0,$P$7,0))))/(12*$P$19))+(((3*$P$15)/(2*(IF($P$5&lt;&gt;0,$P$5,IF($P$6&lt;&gt;0,$P$6,IF($P$7&lt;&gt;0,$P$7,0))))*$U$5*$P$19))*'IN-OUT'!$F$15))*'Burland damage classification'!BA148</f>
        <v>3.5953705498000285E-3</v>
      </c>
      <c r="AX148" s="254">
        <f>(1+(((IF($P$5&lt;&gt;0,$P$5^2,IF($P$6&lt;&gt;0,$P$6^2,IF($P$7&lt;&gt;0,$P$7^2))))*$U$5)/(18*$P$15))*('IN-OUT'!$F$15^(-1)))*BB148</f>
        <v>1.7575712536483485E-3</v>
      </c>
      <c r="AY148" s="254">
        <f t="shared" si="147"/>
        <v>1.7575712536483485E-3</v>
      </c>
      <c r="AZ148" s="254">
        <f t="shared" si="160"/>
        <v>0.17575712536483484</v>
      </c>
      <c r="BA148" s="254">
        <f t="shared" si="172"/>
        <v>1.1199999999999897E-3</v>
      </c>
      <c r="BB148" s="270">
        <f t="shared" si="149"/>
        <v>1.6637307474468344E-3</v>
      </c>
      <c r="BC148" s="253">
        <f t="shared" si="173"/>
        <v>8.7999999999999841E-4</v>
      </c>
      <c r="BD148" s="255">
        <f t="shared" si="161"/>
        <v>8.7999999999999842E-2</v>
      </c>
      <c r="BI148" s="248"/>
      <c r="BX148" s="258" t="e">
        <f>((((IF($Q$5=0,$Q$6,$Q$5)))/(12*$Q$19))+(((3*$Q$15)/(2*IF($Q$5=0,$Q$6,$Q$5)*$U$5*$Q$19))*'IN-OUT'!$F$15))*'Burland damage classification'!CB148</f>
        <v>#DIV/0!</v>
      </c>
      <c r="BY148" s="262">
        <f>(1+(((IF($Q$5=0,$Q$6^2,$Q$5^2))*$U$5)/(18*$Q$15))*('IN-OUT'!$F$15^(-1)))*CC148</f>
        <v>6.1967733539318762E-4</v>
      </c>
      <c r="BZ148" s="254" t="e">
        <f t="shared" si="150"/>
        <v>#DIV/0!</v>
      </c>
      <c r="CA148" s="254" t="e">
        <f t="shared" si="162"/>
        <v>#DIV/0!</v>
      </c>
      <c r="CB148" s="254">
        <f t="shared" si="174"/>
        <v>1.2000000000000166E-4</v>
      </c>
      <c r="CC148" s="253">
        <f t="shared" si="151"/>
        <v>6.1967733539318762E-4</v>
      </c>
      <c r="CD148" s="253">
        <f t="shared" si="175"/>
        <v>8.7999999999999841E-4</v>
      </c>
      <c r="CE148" s="255">
        <f t="shared" si="163"/>
        <v>8.7999999999999842E-2</v>
      </c>
      <c r="CG148" s="258" t="e">
        <f>((((IF($Q$5=0,$Q$6,$Q$5)))/(12*$Q$19))+(((3*$Q$15)/(2*IF($Q$5=0,$Q$6,$Q$5)*$U$5*$Q$19))*'IN-OUT'!$F$15))*'Burland damage classification'!CK148</f>
        <v>#DIV/0!</v>
      </c>
      <c r="CH148" s="262">
        <f>(1+(((IF($Q$5=0,$Q$6^2,$Q$5^2))*$U$5)/(18*$Q$15))*('IN-OUT'!$F$15^(-1)))*CL148</f>
        <v>1.6637307474468344E-3</v>
      </c>
      <c r="CI148" s="254" t="e">
        <f t="shared" si="152"/>
        <v>#DIV/0!</v>
      </c>
      <c r="CJ148" s="254" t="e">
        <f t="shared" si="164"/>
        <v>#DIV/0!</v>
      </c>
      <c r="CK148" s="254">
        <f t="shared" si="176"/>
        <v>1.1199999999999897E-3</v>
      </c>
      <c r="CL148" s="270">
        <f t="shared" si="153"/>
        <v>1.6637307474468344E-3</v>
      </c>
      <c r="CM148" s="253">
        <f t="shared" si="177"/>
        <v>8.7999999999999841E-4</v>
      </c>
      <c r="CN148" s="255">
        <f t="shared" si="165"/>
        <v>8.7999999999999842E-2</v>
      </c>
      <c r="CS148" s="248"/>
      <c r="DH148" s="258" t="e">
        <f>((((IF($R$5=0,$R$6,$R$5)))/(12*$R$19))+(((3*$R$15)/(2*IF($R$5=0,$R$6,$R$5)*$U$5*$R$19))*'IN-OUT'!$F$15))*'Burland damage classification'!DL148</f>
        <v>#DIV/0!</v>
      </c>
      <c r="DI148" s="262">
        <f>(1+(((IF($R$5=0,$R$6^2,$R$5^2))*$U$5)/(18*$R$15))*('IN-OUT'!$F$15^(-1)))*DM148</f>
        <v>6.1967733539318762E-4</v>
      </c>
      <c r="DJ148" s="254" t="e">
        <f t="shared" si="154"/>
        <v>#DIV/0!</v>
      </c>
      <c r="DK148" s="254" t="e">
        <f t="shared" si="166"/>
        <v>#DIV/0!</v>
      </c>
      <c r="DL148" s="254">
        <f t="shared" si="178"/>
        <v>1.2000000000000166E-4</v>
      </c>
      <c r="DM148" s="253">
        <f t="shared" si="155"/>
        <v>6.1967733539318762E-4</v>
      </c>
      <c r="DN148" s="253">
        <f t="shared" si="179"/>
        <v>8.7999999999999841E-4</v>
      </c>
      <c r="DO148" s="255">
        <f t="shared" si="167"/>
        <v>8.7999999999999842E-2</v>
      </c>
      <c r="DQ148" s="258" t="e">
        <f>((((IF($R$5=0,$R$6,$R$5)))/(12*$R$19))+(((3*$R$15)/(2*IF($R$5=0,$R$6,$R$5)*$U$5*$R$19))*'IN-OUT'!$F$15))*'Burland damage classification'!DU148</f>
        <v>#DIV/0!</v>
      </c>
      <c r="DR148" s="262">
        <f>(1+(((IF($R$5=0,$R$6^2,$R$5^2))*$U$5)/(18*$R$15))*('IN-OUT'!$F$15^(-1)))*DV148</f>
        <v>1.6637307474468344E-3</v>
      </c>
      <c r="DS148" s="254" t="e">
        <f t="shared" si="156"/>
        <v>#DIV/0!</v>
      </c>
      <c r="DT148" s="254" t="e">
        <f t="shared" si="168"/>
        <v>#DIV/0!</v>
      </c>
      <c r="DU148" s="254">
        <f t="shared" si="180"/>
        <v>1.1199999999999897E-3</v>
      </c>
      <c r="DV148" s="270">
        <f t="shared" si="157"/>
        <v>1.6637307474468344E-3</v>
      </c>
      <c r="DW148" s="253">
        <f t="shared" si="181"/>
        <v>8.7999999999999841E-4</v>
      </c>
      <c r="DX148" s="255">
        <f t="shared" si="169"/>
        <v>8.7999999999999842E-2</v>
      </c>
    </row>
    <row r="149" spans="3:128">
      <c r="C149" s="302" t="str">
        <f>$I$35</f>
        <v/>
      </c>
      <c r="D149" s="288"/>
      <c r="E149" s="389" t="str">
        <f t="shared" si="142"/>
        <v/>
      </c>
      <c r="F149" s="397" t="str">
        <f t="shared" si="142"/>
        <v/>
      </c>
      <c r="U149" s="262"/>
      <c r="AN149" s="258">
        <f>(((IF($P$5&lt;&gt;0,$P$5,IF($P$6&lt;&gt;0,$P$6,IF($P$7&lt;&gt;0,$P$7,0))))/(12*$P$19))+(((3*$P$15)/(2*(IF($P$5&lt;&gt;0,$P$5,IF($P$6&lt;&gt;0,$P$6,IF($P$7&lt;&gt;0,$P$7,0))))*$U$5*$P$19))*'IN-OUT'!$F$15))*'Burland damage classification'!AR149</f>
        <v>3.6381725801548778E-4</v>
      </c>
      <c r="AO149" s="254">
        <f>(1+(((IF($P$5&lt;&gt;0,$P$5^2,IF($P$6&lt;&gt;0,$P$6^2,IF($P$7&lt;&gt;0,$P$7^2))))*$U$5)/(18*$P$15))*('IN-OUT'!$F$15^(-1)))*AS149</f>
        <v>6.5063946404280077E-4</v>
      </c>
      <c r="AP149" s="254">
        <f t="shared" si="146"/>
        <v>3.6381725801548778E-4</v>
      </c>
      <c r="AQ149" s="254">
        <f t="shared" si="158"/>
        <v>3.6381725801548775E-2</v>
      </c>
      <c r="AR149" s="254">
        <f t="shared" si="170"/>
        <v>1.1333333333333499E-4</v>
      </c>
      <c r="AS149" s="253">
        <f t="shared" si="148"/>
        <v>6.1590042485237361E-4</v>
      </c>
      <c r="AT149" s="253">
        <f t="shared" si="171"/>
        <v>8.8666666666666505E-4</v>
      </c>
      <c r="AU149" s="255">
        <f t="shared" si="159"/>
        <v>8.8666666666666505E-2</v>
      </c>
      <c r="AW149" s="258">
        <f>(((IF($P$5&lt;&gt;0,$P$5,IF($P$6&lt;&gt;0,$P$6,IF($P$7&lt;&gt;0,$P$7,0))))/(12*$P$19))+(((3*$P$15)/(2*(IF($P$5&lt;&gt;0,$P$5,IF($P$6&lt;&gt;0,$P$6,IF($P$7&lt;&gt;0,$P$7,0))))*$U$5*$P$19))*'IN-OUT'!$F$15))*'Burland damage classification'!BA149</f>
        <v>3.5739695346226471E-3</v>
      </c>
      <c r="AX149" s="254">
        <f>(1+(((IF($P$5&lt;&gt;0,$P$5^2,IF($P$6&lt;&gt;0,$P$6^2,IF($P$7&lt;&gt;0,$P$7^2))))*$U$5)/(18*$P$15))*('IN-OUT'!$F$15^(-1)))*BB149</f>
        <v>1.7546056015957661E-3</v>
      </c>
      <c r="AY149" s="254">
        <f t="shared" si="147"/>
        <v>1.7546056015957661E-3</v>
      </c>
      <c r="AZ149" s="254">
        <f t="shared" si="160"/>
        <v>0.17546056015957662</v>
      </c>
      <c r="BA149" s="254">
        <f t="shared" si="172"/>
        <v>1.113333333333323E-3</v>
      </c>
      <c r="BB149" s="270">
        <f t="shared" si="149"/>
        <v>1.660923437930439E-3</v>
      </c>
      <c r="BC149" s="253">
        <f t="shared" si="173"/>
        <v>8.8666666666666505E-4</v>
      </c>
      <c r="BD149" s="255">
        <f t="shared" si="161"/>
        <v>8.8666666666666505E-2</v>
      </c>
      <c r="BI149" s="248"/>
      <c r="BX149" s="258" t="e">
        <f>((((IF($Q$5=0,$Q$6,$Q$5)))/(12*$Q$19))+(((3*$Q$15)/(2*IF($Q$5=0,$Q$6,$Q$5)*$U$5*$Q$19))*'IN-OUT'!$F$15))*'Burland damage classification'!CB149</f>
        <v>#DIV/0!</v>
      </c>
      <c r="BY149" s="262">
        <f>(1+(((IF($Q$5=0,$Q$6^2,$Q$5^2))*$U$5)/(18*$Q$15))*('IN-OUT'!$F$15^(-1)))*CC149</f>
        <v>6.1590042485237361E-4</v>
      </c>
      <c r="BZ149" s="254" t="e">
        <f t="shared" si="150"/>
        <v>#DIV/0!</v>
      </c>
      <c r="CA149" s="254" t="e">
        <f t="shared" si="162"/>
        <v>#DIV/0!</v>
      </c>
      <c r="CB149" s="254">
        <f t="shared" si="174"/>
        <v>1.1333333333333499E-4</v>
      </c>
      <c r="CC149" s="253">
        <f t="shared" si="151"/>
        <v>6.1590042485237361E-4</v>
      </c>
      <c r="CD149" s="253">
        <f t="shared" si="175"/>
        <v>8.8666666666666505E-4</v>
      </c>
      <c r="CE149" s="255">
        <f t="shared" si="163"/>
        <v>8.8666666666666505E-2</v>
      </c>
      <c r="CG149" s="258" t="e">
        <f>((((IF($Q$5=0,$Q$6,$Q$5)))/(12*$Q$19))+(((3*$Q$15)/(2*IF($Q$5=0,$Q$6,$Q$5)*$U$5*$Q$19))*'IN-OUT'!$F$15))*'Burland damage classification'!CK149</f>
        <v>#DIV/0!</v>
      </c>
      <c r="CH149" s="262">
        <f>(1+(((IF($Q$5=0,$Q$6^2,$Q$5^2))*$U$5)/(18*$Q$15))*('IN-OUT'!$F$15^(-1)))*CL149</f>
        <v>1.660923437930439E-3</v>
      </c>
      <c r="CI149" s="254" t="e">
        <f t="shared" si="152"/>
        <v>#DIV/0!</v>
      </c>
      <c r="CJ149" s="254" t="e">
        <f t="shared" si="164"/>
        <v>#DIV/0!</v>
      </c>
      <c r="CK149" s="254">
        <f t="shared" si="176"/>
        <v>1.113333333333323E-3</v>
      </c>
      <c r="CL149" s="270">
        <f t="shared" si="153"/>
        <v>1.660923437930439E-3</v>
      </c>
      <c r="CM149" s="253">
        <f t="shared" si="177"/>
        <v>8.8666666666666505E-4</v>
      </c>
      <c r="CN149" s="255">
        <f t="shared" si="165"/>
        <v>8.8666666666666505E-2</v>
      </c>
      <c r="CS149" s="248"/>
      <c r="DH149" s="258" t="e">
        <f>((((IF($R$5=0,$R$6,$R$5)))/(12*$R$19))+(((3*$R$15)/(2*IF($R$5=0,$R$6,$R$5)*$U$5*$R$19))*'IN-OUT'!$F$15))*'Burland damage classification'!DL149</f>
        <v>#DIV/0!</v>
      </c>
      <c r="DI149" s="262">
        <f>(1+(((IF($R$5=0,$R$6^2,$R$5^2))*$U$5)/(18*$R$15))*('IN-OUT'!$F$15^(-1)))*DM149</f>
        <v>6.1590042485237361E-4</v>
      </c>
      <c r="DJ149" s="254" t="e">
        <f t="shared" si="154"/>
        <v>#DIV/0!</v>
      </c>
      <c r="DK149" s="254" t="e">
        <f t="shared" si="166"/>
        <v>#DIV/0!</v>
      </c>
      <c r="DL149" s="254">
        <f t="shared" si="178"/>
        <v>1.1333333333333499E-4</v>
      </c>
      <c r="DM149" s="253">
        <f t="shared" si="155"/>
        <v>6.1590042485237361E-4</v>
      </c>
      <c r="DN149" s="253">
        <f t="shared" si="179"/>
        <v>8.8666666666666505E-4</v>
      </c>
      <c r="DO149" s="255">
        <f t="shared" si="167"/>
        <v>8.8666666666666505E-2</v>
      </c>
      <c r="DQ149" s="258" t="e">
        <f>((((IF($R$5=0,$R$6,$R$5)))/(12*$R$19))+(((3*$R$15)/(2*IF($R$5=0,$R$6,$R$5)*$U$5*$R$19))*'IN-OUT'!$F$15))*'Burland damage classification'!DU149</f>
        <v>#DIV/0!</v>
      </c>
      <c r="DR149" s="262">
        <f>(1+(((IF($R$5=0,$R$6^2,$R$5^2))*$U$5)/(18*$R$15))*('IN-OUT'!$F$15^(-1)))*DV149</f>
        <v>1.660923437930439E-3</v>
      </c>
      <c r="DS149" s="254" t="e">
        <f t="shared" si="156"/>
        <v>#DIV/0!</v>
      </c>
      <c r="DT149" s="254" t="e">
        <f t="shared" si="168"/>
        <v>#DIV/0!</v>
      </c>
      <c r="DU149" s="254">
        <f t="shared" si="180"/>
        <v>1.113333333333323E-3</v>
      </c>
      <c r="DV149" s="270">
        <f t="shared" si="157"/>
        <v>1.660923437930439E-3</v>
      </c>
      <c r="DW149" s="253">
        <f t="shared" si="181"/>
        <v>8.8666666666666505E-4</v>
      </c>
      <c r="DX149" s="255">
        <f t="shared" si="169"/>
        <v>8.8666666666666505E-2</v>
      </c>
    </row>
    <row r="150" spans="3:128" ht="13.8" thickBot="1">
      <c r="C150" s="398" t="str">
        <f>$J$35</f>
        <v/>
      </c>
      <c r="D150" s="310"/>
      <c r="E150" s="399" t="str">
        <f t="shared" si="142"/>
        <v/>
      </c>
      <c r="F150" s="400" t="str">
        <f t="shared" si="142"/>
        <v/>
      </c>
      <c r="U150" s="262"/>
      <c r="AN150" s="258">
        <f>(((IF($P$5&lt;&gt;0,$P$5,IF($P$6&lt;&gt;0,$P$6,IF($P$7&lt;&gt;0,$P$7,0))))/(12*$P$19))+(((3*$P$15)/(2*(IF($P$5&lt;&gt;0,$P$5,IF($P$6&lt;&gt;0,$P$6,IF($P$7&lt;&gt;0,$P$7,0))))*$U$5*$P$19))*'IN-OUT'!$F$15))*'Burland damage classification'!AR150</f>
        <v>3.4241624283810646E-4</v>
      </c>
      <c r="AO150" s="254">
        <f>(1+(((IF($P$5&lt;&gt;0,$P$5^2,IF($P$6&lt;&gt;0,$P$6^2,IF($P$7&lt;&gt;0,$P$7^2))))*$U$5)/(18*$P$15))*('IN-OUT'!$F$15^(-1)))*AS150</f>
        <v>6.4662490279914972E-4</v>
      </c>
      <c r="AP150" s="254">
        <f t="shared" si="146"/>
        <v>3.4241624283810646E-4</v>
      </c>
      <c r="AQ150" s="254">
        <f t="shared" si="158"/>
        <v>3.4241624283810647E-2</v>
      </c>
      <c r="AR150" s="254">
        <f t="shared" si="170"/>
        <v>1.0666666666666833E-4</v>
      </c>
      <c r="AS150" s="253">
        <f t="shared" si="148"/>
        <v>6.1210020966069578E-4</v>
      </c>
      <c r="AT150" s="253">
        <f t="shared" si="171"/>
        <v>8.933333333333317E-4</v>
      </c>
      <c r="AU150" s="255">
        <f t="shared" si="159"/>
        <v>8.9333333333333168E-2</v>
      </c>
      <c r="AW150" s="258">
        <f>(((IF($P$5&lt;&gt;0,$P$5,IF($P$6&lt;&gt;0,$P$6,IF($P$7&lt;&gt;0,$P$7,0))))/(12*$P$19))+(((3*$P$15)/(2*(IF($P$5&lt;&gt;0,$P$5,IF($P$6&lt;&gt;0,$P$6,IF($P$7&lt;&gt;0,$P$7,0))))*$U$5*$P$19))*'IN-OUT'!$F$15))*'Burland damage classification'!BA150</f>
        <v>3.5525685194452653E-3</v>
      </c>
      <c r="AX150" s="254">
        <f>(1+(((IF($P$5&lt;&gt;0,$P$5^2,IF($P$6&lt;&gt;0,$P$6^2,IF($P$7&lt;&gt;0,$P$7^2))))*$U$5)/(18*$P$15))*('IN-OUT'!$F$15^(-1)))*BB150</f>
        <v>1.751634928474382E-3</v>
      </c>
      <c r="AY150" s="254">
        <f t="shared" si="147"/>
        <v>1.751634928474382E-3</v>
      </c>
      <c r="AZ150" s="254">
        <f t="shared" si="160"/>
        <v>0.17516349284743821</v>
      </c>
      <c r="BA150" s="254">
        <f t="shared" si="172"/>
        <v>1.1066666666666562E-3</v>
      </c>
      <c r="BB150" s="270">
        <f t="shared" si="149"/>
        <v>1.6581113754308952E-3</v>
      </c>
      <c r="BC150" s="253">
        <f t="shared" si="173"/>
        <v>8.933333333333317E-4</v>
      </c>
      <c r="BD150" s="255">
        <f t="shared" si="161"/>
        <v>8.9333333333333168E-2</v>
      </c>
      <c r="BI150" s="248"/>
      <c r="BX150" s="258" t="e">
        <f>((((IF($Q$5=0,$Q$6,$Q$5)))/(12*$Q$19))+(((3*$Q$15)/(2*IF($Q$5=0,$Q$6,$Q$5)*$U$5*$Q$19))*'IN-OUT'!$F$15))*'Burland damage classification'!CB150</f>
        <v>#DIV/0!</v>
      </c>
      <c r="BY150" s="262">
        <f>(1+(((IF($Q$5=0,$Q$6^2,$Q$5^2))*$U$5)/(18*$Q$15))*('IN-OUT'!$F$15^(-1)))*CC150</f>
        <v>6.1210020966069578E-4</v>
      </c>
      <c r="BZ150" s="254" t="e">
        <f t="shared" si="150"/>
        <v>#DIV/0!</v>
      </c>
      <c r="CA150" s="254" t="e">
        <f t="shared" si="162"/>
        <v>#DIV/0!</v>
      </c>
      <c r="CB150" s="254">
        <f t="shared" si="174"/>
        <v>1.0666666666666833E-4</v>
      </c>
      <c r="CC150" s="253">
        <f t="shared" si="151"/>
        <v>6.1210020966069578E-4</v>
      </c>
      <c r="CD150" s="253">
        <f t="shared" si="175"/>
        <v>8.933333333333317E-4</v>
      </c>
      <c r="CE150" s="255">
        <f t="shared" si="163"/>
        <v>8.9333333333333168E-2</v>
      </c>
      <c r="CG150" s="258" t="e">
        <f>((((IF($Q$5=0,$Q$6,$Q$5)))/(12*$Q$19))+(((3*$Q$15)/(2*IF($Q$5=0,$Q$6,$Q$5)*$U$5*$Q$19))*'IN-OUT'!$F$15))*'Burland damage classification'!CK150</f>
        <v>#DIV/0!</v>
      </c>
      <c r="CH150" s="262">
        <f>(1+(((IF($Q$5=0,$Q$6^2,$Q$5^2))*$U$5)/(18*$Q$15))*('IN-OUT'!$F$15^(-1)))*CL150</f>
        <v>1.6581113754308952E-3</v>
      </c>
      <c r="CI150" s="254" t="e">
        <f t="shared" si="152"/>
        <v>#DIV/0!</v>
      </c>
      <c r="CJ150" s="254" t="e">
        <f t="shared" si="164"/>
        <v>#DIV/0!</v>
      </c>
      <c r="CK150" s="254">
        <f t="shared" si="176"/>
        <v>1.1066666666666562E-3</v>
      </c>
      <c r="CL150" s="270">
        <f t="shared" si="153"/>
        <v>1.6581113754308952E-3</v>
      </c>
      <c r="CM150" s="253">
        <f t="shared" si="177"/>
        <v>8.933333333333317E-4</v>
      </c>
      <c r="CN150" s="255">
        <f t="shared" si="165"/>
        <v>8.9333333333333168E-2</v>
      </c>
      <c r="CS150" s="248"/>
      <c r="DH150" s="258" t="e">
        <f>((((IF($R$5=0,$R$6,$R$5)))/(12*$R$19))+(((3*$R$15)/(2*IF($R$5=0,$R$6,$R$5)*$U$5*$R$19))*'IN-OUT'!$F$15))*'Burland damage classification'!DL150</f>
        <v>#DIV/0!</v>
      </c>
      <c r="DI150" s="262">
        <f>(1+(((IF($R$5=0,$R$6^2,$R$5^2))*$U$5)/(18*$R$15))*('IN-OUT'!$F$15^(-1)))*DM150</f>
        <v>6.1210020966069578E-4</v>
      </c>
      <c r="DJ150" s="254" t="e">
        <f t="shared" si="154"/>
        <v>#DIV/0!</v>
      </c>
      <c r="DK150" s="254" t="e">
        <f t="shared" si="166"/>
        <v>#DIV/0!</v>
      </c>
      <c r="DL150" s="254">
        <f t="shared" si="178"/>
        <v>1.0666666666666833E-4</v>
      </c>
      <c r="DM150" s="253">
        <f t="shared" si="155"/>
        <v>6.1210020966069578E-4</v>
      </c>
      <c r="DN150" s="253">
        <f t="shared" si="179"/>
        <v>8.933333333333317E-4</v>
      </c>
      <c r="DO150" s="255">
        <f t="shared" si="167"/>
        <v>8.9333333333333168E-2</v>
      </c>
      <c r="DQ150" s="258" t="e">
        <f>((((IF($R$5=0,$R$6,$R$5)))/(12*$R$19))+(((3*$R$15)/(2*IF($R$5=0,$R$6,$R$5)*$U$5*$R$19))*'IN-OUT'!$F$15))*'Burland damage classification'!DU150</f>
        <v>#DIV/0!</v>
      </c>
      <c r="DR150" s="262">
        <f>(1+(((IF($R$5=0,$R$6^2,$R$5^2))*$U$5)/(18*$R$15))*('IN-OUT'!$F$15^(-1)))*DV150</f>
        <v>1.6581113754308952E-3</v>
      </c>
      <c r="DS150" s="254" t="e">
        <f t="shared" si="156"/>
        <v>#DIV/0!</v>
      </c>
      <c r="DT150" s="254" t="e">
        <f t="shared" si="168"/>
        <v>#DIV/0!</v>
      </c>
      <c r="DU150" s="254">
        <f t="shared" si="180"/>
        <v>1.1066666666666562E-3</v>
      </c>
      <c r="DV150" s="270">
        <f t="shared" si="157"/>
        <v>1.6581113754308952E-3</v>
      </c>
      <c r="DW150" s="253">
        <f t="shared" si="181"/>
        <v>8.933333333333317E-4</v>
      </c>
      <c r="DX150" s="255">
        <f t="shared" si="169"/>
        <v>8.9333333333333168E-2</v>
      </c>
    </row>
    <row r="151" spans="3:128">
      <c r="U151" s="262"/>
      <c r="AN151" s="258">
        <f>(((IF($P$5&lt;&gt;0,$P$5,IF($P$6&lt;&gt;0,$P$6,IF($P$7&lt;&gt;0,$P$7,0))))/(12*$P$19))+(((3*$P$15)/(2*(IF($P$5&lt;&gt;0,$P$5,IF($P$6&lt;&gt;0,$P$6,IF($P$7&lt;&gt;0,$P$7,0))))*$U$5*$P$19))*'IN-OUT'!$F$15))*'Burland damage classification'!AR151</f>
        <v>3.2101522766072514E-4</v>
      </c>
      <c r="AO151" s="254">
        <f>(1+(((IF($P$5&lt;&gt;0,$P$5^2,IF($P$6&lt;&gt;0,$P$6^2,IF($P$7&lt;&gt;0,$P$7^2))))*$U$5)/(18*$P$15))*('IN-OUT'!$F$15^(-1)))*AS151</f>
        <v>6.4258526101219947E-4</v>
      </c>
      <c r="AP151" s="254">
        <f t="shared" si="146"/>
        <v>3.2101522766072514E-4</v>
      </c>
      <c r="AQ151" s="254">
        <f t="shared" si="158"/>
        <v>3.2101522766072511E-2</v>
      </c>
      <c r="AR151" s="254">
        <f t="shared" si="170"/>
        <v>1.0000000000000167E-4</v>
      </c>
      <c r="AS151" s="253">
        <f t="shared" si="148"/>
        <v>6.0827625302982294E-4</v>
      </c>
      <c r="AT151" s="253">
        <f t="shared" si="171"/>
        <v>8.9999999999999835E-4</v>
      </c>
      <c r="AU151" s="255">
        <f t="shared" si="159"/>
        <v>8.999999999999983E-2</v>
      </c>
      <c r="AW151" s="258">
        <f>(((IF($P$5&lt;&gt;0,$P$5,IF($P$6&lt;&gt;0,$P$6,IF($P$7&lt;&gt;0,$P$7,0))))/(12*$P$19))+(((3*$P$15)/(2*(IF($P$5&lt;&gt;0,$P$5,IF($P$6&lt;&gt;0,$P$6,IF($P$7&lt;&gt;0,$P$7,0))))*$U$5*$P$19))*'IN-OUT'!$F$15))*'Burland damage classification'!BA151</f>
        <v>3.5311675042678839E-3</v>
      </c>
      <c r="AX151" s="254">
        <f>(1+(((IF($P$5&lt;&gt;0,$P$5^2,IF($P$6&lt;&gt;0,$P$6^2,IF($P$7&lt;&gt;0,$P$7^2))))*$U$5)/(18*$P$15))*('IN-OUT'!$F$15^(-1)))*BB151</f>
        <v>1.7486592086943835E-3</v>
      </c>
      <c r="AY151" s="254">
        <f t="shared" si="147"/>
        <v>1.7486592086943835E-3</v>
      </c>
      <c r="AZ151" s="254">
        <f t="shared" si="160"/>
        <v>0.17486592086943833</v>
      </c>
      <c r="BA151" s="254">
        <f t="shared" si="172"/>
        <v>1.0999999999999894E-3</v>
      </c>
      <c r="BB151" s="270">
        <f t="shared" si="149"/>
        <v>1.6552945357246856E-3</v>
      </c>
      <c r="BC151" s="253">
        <f t="shared" si="173"/>
        <v>8.9999999999999835E-4</v>
      </c>
      <c r="BD151" s="255">
        <f t="shared" si="161"/>
        <v>8.999999999999983E-2</v>
      </c>
      <c r="BI151" s="248"/>
      <c r="BX151" s="258" t="e">
        <f>((((IF($Q$5=0,$Q$6,$Q$5)))/(12*$Q$19))+(((3*$Q$15)/(2*IF($Q$5=0,$Q$6,$Q$5)*$U$5*$Q$19))*'IN-OUT'!$F$15))*'Burland damage classification'!CB151</f>
        <v>#DIV/0!</v>
      </c>
      <c r="BY151" s="262">
        <f>(1+(((IF($Q$5=0,$Q$6^2,$Q$5^2))*$U$5)/(18*$Q$15))*('IN-OUT'!$F$15^(-1)))*CC151</f>
        <v>6.0827625302982294E-4</v>
      </c>
      <c r="BZ151" s="254" t="e">
        <f t="shared" si="150"/>
        <v>#DIV/0!</v>
      </c>
      <c r="CA151" s="254" t="e">
        <f t="shared" si="162"/>
        <v>#DIV/0!</v>
      </c>
      <c r="CB151" s="254">
        <f t="shared" si="174"/>
        <v>1.0000000000000167E-4</v>
      </c>
      <c r="CC151" s="253">
        <f t="shared" si="151"/>
        <v>6.0827625302982294E-4</v>
      </c>
      <c r="CD151" s="253">
        <f t="shared" si="175"/>
        <v>8.9999999999999835E-4</v>
      </c>
      <c r="CE151" s="255">
        <f t="shared" si="163"/>
        <v>8.999999999999983E-2</v>
      </c>
      <c r="CG151" s="258" t="e">
        <f>((((IF($Q$5=0,$Q$6,$Q$5)))/(12*$Q$19))+(((3*$Q$15)/(2*IF($Q$5=0,$Q$6,$Q$5)*$U$5*$Q$19))*'IN-OUT'!$F$15))*'Burland damage classification'!CK151</f>
        <v>#DIV/0!</v>
      </c>
      <c r="CH151" s="262">
        <f>(1+(((IF($Q$5=0,$Q$6^2,$Q$5^2))*$U$5)/(18*$Q$15))*('IN-OUT'!$F$15^(-1)))*CL151</f>
        <v>1.6552945357246856E-3</v>
      </c>
      <c r="CI151" s="254" t="e">
        <f t="shared" si="152"/>
        <v>#DIV/0!</v>
      </c>
      <c r="CJ151" s="254" t="e">
        <f t="shared" si="164"/>
        <v>#DIV/0!</v>
      </c>
      <c r="CK151" s="254">
        <f t="shared" si="176"/>
        <v>1.0999999999999894E-3</v>
      </c>
      <c r="CL151" s="270">
        <f t="shared" si="153"/>
        <v>1.6552945357246856E-3</v>
      </c>
      <c r="CM151" s="253">
        <f t="shared" si="177"/>
        <v>8.9999999999999835E-4</v>
      </c>
      <c r="CN151" s="255">
        <f t="shared" si="165"/>
        <v>8.999999999999983E-2</v>
      </c>
      <c r="CS151" s="248"/>
      <c r="DH151" s="258" t="e">
        <f>((((IF($R$5=0,$R$6,$R$5)))/(12*$R$19))+(((3*$R$15)/(2*IF($R$5=0,$R$6,$R$5)*$U$5*$R$19))*'IN-OUT'!$F$15))*'Burland damage classification'!DL151</f>
        <v>#DIV/0!</v>
      </c>
      <c r="DI151" s="262">
        <f>(1+(((IF($R$5=0,$R$6^2,$R$5^2))*$U$5)/(18*$R$15))*('IN-OUT'!$F$15^(-1)))*DM151</f>
        <v>6.0827625302982294E-4</v>
      </c>
      <c r="DJ151" s="254" t="e">
        <f t="shared" si="154"/>
        <v>#DIV/0!</v>
      </c>
      <c r="DK151" s="254" t="e">
        <f t="shared" si="166"/>
        <v>#DIV/0!</v>
      </c>
      <c r="DL151" s="254">
        <f t="shared" si="178"/>
        <v>1.0000000000000167E-4</v>
      </c>
      <c r="DM151" s="253">
        <f t="shared" si="155"/>
        <v>6.0827625302982294E-4</v>
      </c>
      <c r="DN151" s="253">
        <f t="shared" si="179"/>
        <v>8.9999999999999835E-4</v>
      </c>
      <c r="DO151" s="255">
        <f t="shared" si="167"/>
        <v>8.999999999999983E-2</v>
      </c>
      <c r="DQ151" s="258" t="e">
        <f>((((IF($R$5=0,$R$6,$R$5)))/(12*$R$19))+(((3*$R$15)/(2*IF($R$5=0,$R$6,$R$5)*$U$5*$R$19))*'IN-OUT'!$F$15))*'Burland damage classification'!DU151</f>
        <v>#DIV/0!</v>
      </c>
      <c r="DR151" s="262">
        <f>(1+(((IF($R$5=0,$R$6^2,$R$5^2))*$U$5)/(18*$R$15))*('IN-OUT'!$F$15^(-1)))*DV151</f>
        <v>1.6552945357246856E-3</v>
      </c>
      <c r="DS151" s="254" t="e">
        <f t="shared" si="156"/>
        <v>#DIV/0!</v>
      </c>
      <c r="DT151" s="254" t="e">
        <f t="shared" si="168"/>
        <v>#DIV/0!</v>
      </c>
      <c r="DU151" s="254">
        <f t="shared" si="180"/>
        <v>1.0999999999999894E-3</v>
      </c>
      <c r="DV151" s="270">
        <f t="shared" si="157"/>
        <v>1.6552945357246856E-3</v>
      </c>
      <c r="DW151" s="253">
        <f t="shared" si="181"/>
        <v>8.9999999999999835E-4</v>
      </c>
      <c r="DX151" s="255">
        <f t="shared" si="169"/>
        <v>8.999999999999983E-2</v>
      </c>
    </row>
    <row r="152" spans="3:128">
      <c r="U152" s="262"/>
      <c r="AN152" s="258">
        <f>(((IF($P$5&lt;&gt;0,$P$5,IF($P$6&lt;&gt;0,$P$6,IF($P$7&lt;&gt;0,$P$7,0))))/(12*$P$19))+(((3*$P$15)/(2*(IF($P$5&lt;&gt;0,$P$5,IF($P$6&lt;&gt;0,$P$6,IF($P$7&lt;&gt;0,$P$7,0))))*$U$5*$P$19))*'IN-OUT'!$F$15))*'Burland damage classification'!AR152</f>
        <v>2.9961421248334388E-4</v>
      </c>
      <c r="AO152" s="254">
        <f>(1+(((IF($P$5&lt;&gt;0,$P$5^2,IF($P$6&lt;&gt;0,$P$6^2,IF($P$7&lt;&gt;0,$P$7^2))))*$U$5)/(18*$P$15))*('IN-OUT'!$F$15^(-1)))*AS152</f>
        <v>6.3852006266069917E-4</v>
      </c>
      <c r="AP152" s="254">
        <f t="shared" si="146"/>
        <v>2.9961421248334388E-4</v>
      </c>
      <c r="AQ152" s="254">
        <f t="shared" si="158"/>
        <v>2.9961421248334386E-2</v>
      </c>
      <c r="AR152" s="254">
        <f t="shared" si="170"/>
        <v>9.333333333333501E-5</v>
      </c>
      <c r="AS152" s="253">
        <f t="shared" si="148"/>
        <v>6.0442810435430163E-4</v>
      </c>
      <c r="AT152" s="253">
        <f t="shared" si="171"/>
        <v>9.06666666666665E-4</v>
      </c>
      <c r="AU152" s="255">
        <f t="shared" si="159"/>
        <v>9.0666666666666507E-2</v>
      </c>
      <c r="AW152" s="258">
        <f>(((IF($P$5&lt;&gt;0,$P$5,IF($P$6&lt;&gt;0,$P$6,IF($P$7&lt;&gt;0,$P$7,0))))/(12*$P$19))+(((3*$P$15)/(2*(IF($P$5&lt;&gt;0,$P$5,IF($P$6&lt;&gt;0,$P$6,IF($P$7&lt;&gt;0,$P$7,0))))*$U$5*$P$19))*'IN-OUT'!$F$15))*'Burland damage classification'!BA152</f>
        <v>3.5097664890905021E-3</v>
      </c>
      <c r="AX152" s="254">
        <f>(1+(((IF($P$5&lt;&gt;0,$P$5^2,IF($P$6&lt;&gt;0,$P$6^2,IF($P$7&lt;&gt;0,$P$7^2))))*$U$5)/(18*$P$15))*('IN-OUT'!$F$15^(-1)))*BB152</f>
        <v>1.745678416447852E-3</v>
      </c>
      <c r="AY152" s="254">
        <f t="shared" si="147"/>
        <v>1.745678416447852E-3</v>
      </c>
      <c r="AZ152" s="254">
        <f t="shared" si="160"/>
        <v>0.1745678416447852</v>
      </c>
      <c r="BA152" s="254">
        <f t="shared" si="172"/>
        <v>1.0933333333333227E-3</v>
      </c>
      <c r="BB152" s="270">
        <f t="shared" si="149"/>
        <v>1.6524728943818319E-3</v>
      </c>
      <c r="BC152" s="253">
        <f t="shared" si="173"/>
        <v>9.06666666666665E-4</v>
      </c>
      <c r="BD152" s="255">
        <f t="shared" si="161"/>
        <v>9.0666666666666507E-2</v>
      </c>
      <c r="BI152" s="248"/>
      <c r="BX152" s="258" t="e">
        <f>((((IF($Q$5=0,$Q$6,$Q$5)))/(12*$Q$19))+(((3*$Q$15)/(2*IF($Q$5=0,$Q$6,$Q$5)*$U$5*$Q$19))*'IN-OUT'!$F$15))*'Burland damage classification'!CB152</f>
        <v>#DIV/0!</v>
      </c>
      <c r="BY152" s="262">
        <f>(1+(((IF($Q$5=0,$Q$6^2,$Q$5^2))*$U$5)/(18*$Q$15))*('IN-OUT'!$F$15^(-1)))*CC152</f>
        <v>6.0442810435430163E-4</v>
      </c>
      <c r="BZ152" s="254" t="e">
        <f t="shared" si="150"/>
        <v>#DIV/0!</v>
      </c>
      <c r="CA152" s="254" t="e">
        <f t="shared" si="162"/>
        <v>#DIV/0!</v>
      </c>
      <c r="CB152" s="254">
        <f t="shared" si="174"/>
        <v>9.333333333333501E-5</v>
      </c>
      <c r="CC152" s="253">
        <f t="shared" si="151"/>
        <v>6.0442810435430163E-4</v>
      </c>
      <c r="CD152" s="253">
        <f t="shared" si="175"/>
        <v>9.06666666666665E-4</v>
      </c>
      <c r="CE152" s="255">
        <f t="shared" si="163"/>
        <v>9.0666666666666507E-2</v>
      </c>
      <c r="CG152" s="258" t="e">
        <f>((((IF($Q$5=0,$Q$6,$Q$5)))/(12*$Q$19))+(((3*$Q$15)/(2*IF($Q$5=0,$Q$6,$Q$5)*$U$5*$Q$19))*'IN-OUT'!$F$15))*'Burland damage classification'!CK152</f>
        <v>#DIV/0!</v>
      </c>
      <c r="CH152" s="262">
        <f>(1+(((IF($Q$5=0,$Q$6^2,$Q$5^2))*$U$5)/(18*$Q$15))*('IN-OUT'!$F$15^(-1)))*CL152</f>
        <v>1.6524728943818319E-3</v>
      </c>
      <c r="CI152" s="254" t="e">
        <f t="shared" si="152"/>
        <v>#DIV/0!</v>
      </c>
      <c r="CJ152" s="254" t="e">
        <f t="shared" si="164"/>
        <v>#DIV/0!</v>
      </c>
      <c r="CK152" s="254">
        <f t="shared" si="176"/>
        <v>1.0933333333333227E-3</v>
      </c>
      <c r="CL152" s="270">
        <f t="shared" si="153"/>
        <v>1.6524728943818319E-3</v>
      </c>
      <c r="CM152" s="253">
        <f t="shared" si="177"/>
        <v>9.06666666666665E-4</v>
      </c>
      <c r="CN152" s="255">
        <f t="shared" si="165"/>
        <v>9.0666666666666507E-2</v>
      </c>
      <c r="CS152" s="248"/>
      <c r="DH152" s="258" t="e">
        <f>((((IF($R$5=0,$R$6,$R$5)))/(12*$R$19))+(((3*$R$15)/(2*IF($R$5=0,$R$6,$R$5)*$U$5*$R$19))*'IN-OUT'!$F$15))*'Burland damage classification'!DL152</f>
        <v>#DIV/0!</v>
      </c>
      <c r="DI152" s="262">
        <f>(1+(((IF($R$5=0,$R$6^2,$R$5^2))*$U$5)/(18*$R$15))*('IN-OUT'!$F$15^(-1)))*DM152</f>
        <v>6.0442810435430163E-4</v>
      </c>
      <c r="DJ152" s="254" t="e">
        <f t="shared" si="154"/>
        <v>#DIV/0!</v>
      </c>
      <c r="DK152" s="254" t="e">
        <f t="shared" si="166"/>
        <v>#DIV/0!</v>
      </c>
      <c r="DL152" s="254">
        <f t="shared" si="178"/>
        <v>9.333333333333501E-5</v>
      </c>
      <c r="DM152" s="253">
        <f t="shared" si="155"/>
        <v>6.0442810435430163E-4</v>
      </c>
      <c r="DN152" s="253">
        <f t="shared" si="179"/>
        <v>9.06666666666665E-4</v>
      </c>
      <c r="DO152" s="255">
        <f t="shared" si="167"/>
        <v>9.0666666666666507E-2</v>
      </c>
      <c r="DQ152" s="258" t="e">
        <f>((((IF($R$5=0,$R$6,$R$5)))/(12*$R$19))+(((3*$R$15)/(2*IF($R$5=0,$R$6,$R$5)*$U$5*$R$19))*'IN-OUT'!$F$15))*'Burland damage classification'!DU152</f>
        <v>#DIV/0!</v>
      </c>
      <c r="DR152" s="262">
        <f>(1+(((IF($R$5=0,$R$6^2,$R$5^2))*$U$5)/(18*$R$15))*('IN-OUT'!$F$15^(-1)))*DV152</f>
        <v>1.6524728943818319E-3</v>
      </c>
      <c r="DS152" s="254" t="e">
        <f t="shared" si="156"/>
        <v>#DIV/0!</v>
      </c>
      <c r="DT152" s="254" t="e">
        <f t="shared" si="168"/>
        <v>#DIV/0!</v>
      </c>
      <c r="DU152" s="254">
        <f t="shared" si="180"/>
        <v>1.0933333333333227E-3</v>
      </c>
      <c r="DV152" s="270">
        <f t="shared" si="157"/>
        <v>1.6524728943818319E-3</v>
      </c>
      <c r="DW152" s="253">
        <f t="shared" si="181"/>
        <v>9.06666666666665E-4</v>
      </c>
      <c r="DX152" s="255">
        <f t="shared" si="169"/>
        <v>9.0666666666666507E-2</v>
      </c>
    </row>
    <row r="153" spans="3:128">
      <c r="U153" s="262"/>
      <c r="AN153" s="258">
        <f>(((IF($P$5&lt;&gt;0,$P$5,IF($P$6&lt;&gt;0,$P$6,IF($P$7&lt;&gt;0,$P$7,0))))/(12*$P$19))+(((3*$P$15)/(2*(IF($P$5&lt;&gt;0,$P$5,IF($P$6&lt;&gt;0,$P$6,IF($P$7&lt;&gt;0,$P$7,0))))*$U$5*$P$19))*'IN-OUT'!$F$15))*'Burland damage classification'!AR153</f>
        <v>2.7821319730596256E-4</v>
      </c>
      <c r="AO153" s="254">
        <f>(1+(((IF($P$5&lt;&gt;0,$P$5^2,IF($P$6&lt;&gt;0,$P$6^2,IF($P$7&lt;&gt;0,$P$7^2))))*$U$5)/(18*$P$15))*('IN-OUT'!$F$15^(-1)))*AS153</f>
        <v>6.3442881647221062E-4</v>
      </c>
      <c r="AP153" s="254">
        <f t="shared" si="146"/>
        <v>2.7821319730596256E-4</v>
      </c>
      <c r="AQ153" s="254">
        <f t="shared" si="158"/>
        <v>2.7821319730596254E-2</v>
      </c>
      <c r="AR153" s="254">
        <f t="shared" si="170"/>
        <v>8.6666666666668349E-5</v>
      </c>
      <c r="AS153" s="253">
        <f t="shared" si="148"/>
        <v>6.0055529859178488E-4</v>
      </c>
      <c r="AT153" s="253">
        <f t="shared" si="171"/>
        <v>9.1333333333333165E-4</v>
      </c>
      <c r="AU153" s="255">
        <f t="shared" si="159"/>
        <v>9.1333333333333169E-2</v>
      </c>
      <c r="AW153" s="258">
        <f>(((IF($P$5&lt;&gt;0,$P$5,IF($P$6&lt;&gt;0,$P$6,IF($P$7&lt;&gt;0,$P$7,0))))/(12*$P$19))+(((3*$P$15)/(2*(IF($P$5&lt;&gt;0,$P$5,IF($P$6&lt;&gt;0,$P$6,IF($P$7&lt;&gt;0,$P$7,0))))*$U$5*$P$19))*'IN-OUT'!$F$15))*'Burland damage classification'!BA153</f>
        <v>3.4883654739131208E-3</v>
      </c>
      <c r="AX153" s="254">
        <f>(1+(((IF($P$5&lt;&gt;0,$P$5^2,IF($P$6&lt;&gt;0,$P$6^2,IF($P$7&lt;&gt;0,$P$7^2))))*$U$5)/(18*$P$15))*('IN-OUT'!$F$15^(-1)))*BB153</f>
        <v>1.7426925257061536E-3</v>
      </c>
      <c r="AY153" s="254">
        <f t="shared" si="147"/>
        <v>1.7426925257061536E-3</v>
      </c>
      <c r="AZ153" s="254">
        <f t="shared" si="160"/>
        <v>0.17426925257061537</v>
      </c>
      <c r="BA153" s="254">
        <f t="shared" si="172"/>
        <v>1.0866666666666559E-3</v>
      </c>
      <c r="BB153" s="270">
        <f t="shared" si="149"/>
        <v>1.6496464267634248E-3</v>
      </c>
      <c r="BC153" s="253">
        <f t="shared" si="173"/>
        <v>9.1333333333333165E-4</v>
      </c>
      <c r="BD153" s="255">
        <f t="shared" si="161"/>
        <v>9.1333333333333169E-2</v>
      </c>
      <c r="BI153" s="248"/>
      <c r="BX153" s="258" t="e">
        <f>((((IF($Q$5=0,$Q$6,$Q$5)))/(12*$Q$19))+(((3*$Q$15)/(2*IF($Q$5=0,$Q$6,$Q$5)*$U$5*$Q$19))*'IN-OUT'!$F$15))*'Burland damage classification'!CB153</f>
        <v>#DIV/0!</v>
      </c>
      <c r="BY153" s="262">
        <f>(1+(((IF($Q$5=0,$Q$6^2,$Q$5^2))*$U$5)/(18*$Q$15))*('IN-OUT'!$F$15^(-1)))*CC153</f>
        <v>6.0055529859178488E-4</v>
      </c>
      <c r="BZ153" s="254" t="e">
        <f t="shared" si="150"/>
        <v>#DIV/0!</v>
      </c>
      <c r="CA153" s="254" t="e">
        <f t="shared" si="162"/>
        <v>#DIV/0!</v>
      </c>
      <c r="CB153" s="254">
        <f t="shared" si="174"/>
        <v>8.6666666666668349E-5</v>
      </c>
      <c r="CC153" s="253">
        <f t="shared" si="151"/>
        <v>6.0055529859178488E-4</v>
      </c>
      <c r="CD153" s="253">
        <f t="shared" si="175"/>
        <v>9.1333333333333165E-4</v>
      </c>
      <c r="CE153" s="255">
        <f t="shared" si="163"/>
        <v>9.1333333333333169E-2</v>
      </c>
      <c r="CG153" s="258" t="e">
        <f>((((IF($Q$5=0,$Q$6,$Q$5)))/(12*$Q$19))+(((3*$Q$15)/(2*IF($Q$5=0,$Q$6,$Q$5)*$U$5*$Q$19))*'IN-OUT'!$F$15))*'Burland damage classification'!CK153</f>
        <v>#DIV/0!</v>
      </c>
      <c r="CH153" s="262">
        <f>(1+(((IF($Q$5=0,$Q$6^2,$Q$5^2))*$U$5)/(18*$Q$15))*('IN-OUT'!$F$15^(-1)))*CL153</f>
        <v>1.6496464267634248E-3</v>
      </c>
      <c r="CI153" s="254" t="e">
        <f t="shared" si="152"/>
        <v>#DIV/0!</v>
      </c>
      <c r="CJ153" s="254" t="e">
        <f t="shared" si="164"/>
        <v>#DIV/0!</v>
      </c>
      <c r="CK153" s="254">
        <f t="shared" si="176"/>
        <v>1.0866666666666559E-3</v>
      </c>
      <c r="CL153" s="270">
        <f t="shared" si="153"/>
        <v>1.6496464267634248E-3</v>
      </c>
      <c r="CM153" s="253">
        <f t="shared" si="177"/>
        <v>9.1333333333333165E-4</v>
      </c>
      <c r="CN153" s="255">
        <f t="shared" si="165"/>
        <v>9.1333333333333169E-2</v>
      </c>
      <c r="CS153" s="248"/>
      <c r="DH153" s="258" t="e">
        <f>((((IF($R$5=0,$R$6,$R$5)))/(12*$R$19))+(((3*$R$15)/(2*IF($R$5=0,$R$6,$R$5)*$U$5*$R$19))*'IN-OUT'!$F$15))*'Burland damage classification'!DL153</f>
        <v>#DIV/0!</v>
      </c>
      <c r="DI153" s="262">
        <f>(1+(((IF($R$5=0,$R$6^2,$R$5^2))*$U$5)/(18*$R$15))*('IN-OUT'!$F$15^(-1)))*DM153</f>
        <v>6.0055529859178488E-4</v>
      </c>
      <c r="DJ153" s="254" t="e">
        <f t="shared" si="154"/>
        <v>#DIV/0!</v>
      </c>
      <c r="DK153" s="254" t="e">
        <f t="shared" si="166"/>
        <v>#DIV/0!</v>
      </c>
      <c r="DL153" s="254">
        <f t="shared" si="178"/>
        <v>8.6666666666668349E-5</v>
      </c>
      <c r="DM153" s="253">
        <f t="shared" si="155"/>
        <v>6.0055529859178488E-4</v>
      </c>
      <c r="DN153" s="253">
        <f t="shared" si="179"/>
        <v>9.1333333333333165E-4</v>
      </c>
      <c r="DO153" s="255">
        <f t="shared" si="167"/>
        <v>9.1333333333333169E-2</v>
      </c>
      <c r="DQ153" s="258" t="e">
        <f>((((IF($R$5=0,$R$6,$R$5)))/(12*$R$19))+(((3*$R$15)/(2*IF($R$5=0,$R$6,$R$5)*$U$5*$R$19))*'IN-OUT'!$F$15))*'Burland damage classification'!DU153</f>
        <v>#DIV/0!</v>
      </c>
      <c r="DR153" s="262">
        <f>(1+(((IF($R$5=0,$R$6^2,$R$5^2))*$U$5)/(18*$R$15))*('IN-OUT'!$F$15^(-1)))*DV153</f>
        <v>1.6496464267634248E-3</v>
      </c>
      <c r="DS153" s="254" t="e">
        <f t="shared" si="156"/>
        <v>#DIV/0!</v>
      </c>
      <c r="DT153" s="254" t="e">
        <f t="shared" si="168"/>
        <v>#DIV/0!</v>
      </c>
      <c r="DU153" s="254">
        <f t="shared" si="180"/>
        <v>1.0866666666666559E-3</v>
      </c>
      <c r="DV153" s="270">
        <f t="shared" si="157"/>
        <v>1.6496464267634248E-3</v>
      </c>
      <c r="DW153" s="253">
        <f t="shared" si="181"/>
        <v>9.1333333333333165E-4</v>
      </c>
      <c r="DX153" s="255">
        <f t="shared" si="169"/>
        <v>9.1333333333333169E-2</v>
      </c>
    </row>
    <row r="154" spans="3:128">
      <c r="U154" s="262"/>
      <c r="AN154" s="258">
        <f>(((IF($P$5&lt;&gt;0,$P$5,IF($P$6&lt;&gt;0,$P$6,IF($P$7&lt;&gt;0,$P$7,0))))/(12*$P$19))+(((3*$P$15)/(2*(IF($P$5&lt;&gt;0,$P$5,IF($P$6&lt;&gt;0,$P$6,IF($P$7&lt;&gt;0,$P$7,0))))*$U$5*$P$19))*'IN-OUT'!$F$15))*'Burland damage classification'!AR154</f>
        <v>2.5681218212858124E-4</v>
      </c>
      <c r="AO154" s="254">
        <f>(1+(((IF($P$5&lt;&gt;0,$P$5^2,IF($P$6&lt;&gt;0,$P$6^2,IF($P$7&lt;&gt;0,$P$7^2))))*$U$5)/(18*$P$15))*('IN-OUT'!$F$15^(-1)))*AS154</f>
        <v>6.3031101523012938E-4</v>
      </c>
      <c r="AP154" s="254">
        <f t="shared" si="146"/>
        <v>2.5681218212858124E-4</v>
      </c>
      <c r="AQ154" s="254">
        <f t="shared" si="158"/>
        <v>2.5681218212858126E-2</v>
      </c>
      <c r="AR154" s="254">
        <f t="shared" si="170"/>
        <v>8.0000000000001687E-5</v>
      </c>
      <c r="AS154" s="253">
        <f t="shared" si="148"/>
        <v>5.9665735560705281E-4</v>
      </c>
      <c r="AT154" s="253">
        <f t="shared" si="171"/>
        <v>9.1999999999999829E-4</v>
      </c>
      <c r="AU154" s="255">
        <f t="shared" si="159"/>
        <v>9.1999999999999832E-2</v>
      </c>
      <c r="AW154" s="258">
        <f>(((IF($P$5&lt;&gt;0,$P$5,IF($P$6&lt;&gt;0,$P$6,IF($P$7&lt;&gt;0,$P$7,0))))/(12*$P$19))+(((3*$P$15)/(2*(IF($P$5&lt;&gt;0,$P$5,IF($P$6&lt;&gt;0,$P$6,IF($P$7&lt;&gt;0,$P$7,0))))*$U$5*$P$19))*'IN-OUT'!$F$15))*'Burland damage classification'!BA154</f>
        <v>3.466964458735739E-3</v>
      </c>
      <c r="AX154" s="254">
        <f>(1+(((IF($P$5&lt;&gt;0,$P$5^2,IF($P$6&lt;&gt;0,$P$6^2,IF($P$7&lt;&gt;0,$P$7^2))))*$U$5)/(18*$P$15))*('IN-OUT'!$F$15^(-1)))*BB154</f>
        <v>1.7397015102172864E-3</v>
      </c>
      <c r="AY154" s="254">
        <f t="shared" si="147"/>
        <v>1.7397015102172864E-3</v>
      </c>
      <c r="AZ154" s="254">
        <f t="shared" si="160"/>
        <v>0.17397015102172864</v>
      </c>
      <c r="BA154" s="254">
        <f t="shared" si="172"/>
        <v>1.0799999999999892E-3</v>
      </c>
      <c r="BB154" s="270">
        <f t="shared" si="149"/>
        <v>1.6468151080191128E-3</v>
      </c>
      <c r="BC154" s="253">
        <f t="shared" si="173"/>
        <v>9.1999999999999829E-4</v>
      </c>
      <c r="BD154" s="255">
        <f t="shared" si="161"/>
        <v>9.1999999999999832E-2</v>
      </c>
      <c r="BI154" s="248"/>
      <c r="BX154" s="258" t="e">
        <f>((((IF($Q$5=0,$Q$6,$Q$5)))/(12*$Q$19))+(((3*$Q$15)/(2*IF($Q$5=0,$Q$6,$Q$5)*$U$5*$Q$19))*'IN-OUT'!$F$15))*'Burland damage classification'!CB154</f>
        <v>#DIV/0!</v>
      </c>
      <c r="BY154" s="262">
        <f>(1+(((IF($Q$5=0,$Q$6^2,$Q$5^2))*$U$5)/(18*$Q$15))*('IN-OUT'!$F$15^(-1)))*CC154</f>
        <v>5.9665735560705281E-4</v>
      </c>
      <c r="BZ154" s="254" t="e">
        <f t="shared" si="150"/>
        <v>#DIV/0!</v>
      </c>
      <c r="CA154" s="254" t="e">
        <f t="shared" si="162"/>
        <v>#DIV/0!</v>
      </c>
      <c r="CB154" s="254">
        <f t="shared" si="174"/>
        <v>8.0000000000001687E-5</v>
      </c>
      <c r="CC154" s="253">
        <f t="shared" si="151"/>
        <v>5.9665735560705281E-4</v>
      </c>
      <c r="CD154" s="253">
        <f t="shared" si="175"/>
        <v>9.1999999999999829E-4</v>
      </c>
      <c r="CE154" s="255">
        <f t="shared" si="163"/>
        <v>9.1999999999999832E-2</v>
      </c>
      <c r="CG154" s="258" t="e">
        <f>((((IF($Q$5=0,$Q$6,$Q$5)))/(12*$Q$19))+(((3*$Q$15)/(2*IF($Q$5=0,$Q$6,$Q$5)*$U$5*$Q$19))*'IN-OUT'!$F$15))*'Burland damage classification'!CK154</f>
        <v>#DIV/0!</v>
      </c>
      <c r="CH154" s="262">
        <f>(1+(((IF($Q$5=0,$Q$6^2,$Q$5^2))*$U$5)/(18*$Q$15))*('IN-OUT'!$F$15^(-1)))*CL154</f>
        <v>1.6468151080191128E-3</v>
      </c>
      <c r="CI154" s="254" t="e">
        <f t="shared" si="152"/>
        <v>#DIV/0!</v>
      </c>
      <c r="CJ154" s="254" t="e">
        <f t="shared" si="164"/>
        <v>#DIV/0!</v>
      </c>
      <c r="CK154" s="254">
        <f t="shared" si="176"/>
        <v>1.0799999999999892E-3</v>
      </c>
      <c r="CL154" s="270">
        <f t="shared" si="153"/>
        <v>1.6468151080191128E-3</v>
      </c>
      <c r="CM154" s="253">
        <f t="shared" si="177"/>
        <v>9.1999999999999829E-4</v>
      </c>
      <c r="CN154" s="255">
        <f t="shared" si="165"/>
        <v>9.1999999999999832E-2</v>
      </c>
      <c r="CS154" s="248"/>
      <c r="DH154" s="258" t="e">
        <f>((((IF($R$5=0,$R$6,$R$5)))/(12*$R$19))+(((3*$R$15)/(2*IF($R$5=0,$R$6,$R$5)*$U$5*$R$19))*'IN-OUT'!$F$15))*'Burland damage classification'!DL154</f>
        <v>#DIV/0!</v>
      </c>
      <c r="DI154" s="262">
        <f>(1+(((IF($R$5=0,$R$6^2,$R$5^2))*$U$5)/(18*$R$15))*('IN-OUT'!$F$15^(-1)))*DM154</f>
        <v>5.9665735560705281E-4</v>
      </c>
      <c r="DJ154" s="254" t="e">
        <f t="shared" si="154"/>
        <v>#DIV/0!</v>
      </c>
      <c r="DK154" s="254" t="e">
        <f t="shared" si="166"/>
        <v>#DIV/0!</v>
      </c>
      <c r="DL154" s="254">
        <f t="shared" si="178"/>
        <v>8.0000000000001687E-5</v>
      </c>
      <c r="DM154" s="253">
        <f t="shared" si="155"/>
        <v>5.9665735560705281E-4</v>
      </c>
      <c r="DN154" s="253">
        <f t="shared" si="179"/>
        <v>9.1999999999999829E-4</v>
      </c>
      <c r="DO154" s="255">
        <f t="shared" si="167"/>
        <v>9.1999999999999832E-2</v>
      </c>
      <c r="DQ154" s="258" t="e">
        <f>((((IF($R$5=0,$R$6,$R$5)))/(12*$R$19))+(((3*$R$15)/(2*IF($R$5=0,$R$6,$R$5)*$U$5*$R$19))*'IN-OUT'!$F$15))*'Burland damage classification'!DU154</f>
        <v>#DIV/0!</v>
      </c>
      <c r="DR154" s="262">
        <f>(1+(((IF($R$5=0,$R$6^2,$R$5^2))*$U$5)/(18*$R$15))*('IN-OUT'!$F$15^(-1)))*DV154</f>
        <v>1.6468151080191128E-3</v>
      </c>
      <c r="DS154" s="254" t="e">
        <f t="shared" si="156"/>
        <v>#DIV/0!</v>
      </c>
      <c r="DT154" s="254" t="e">
        <f t="shared" si="168"/>
        <v>#DIV/0!</v>
      </c>
      <c r="DU154" s="254">
        <f t="shared" si="180"/>
        <v>1.0799999999999892E-3</v>
      </c>
      <c r="DV154" s="270">
        <f t="shared" si="157"/>
        <v>1.6468151080191128E-3</v>
      </c>
      <c r="DW154" s="253">
        <f t="shared" si="181"/>
        <v>9.1999999999999829E-4</v>
      </c>
      <c r="DX154" s="255">
        <f t="shared" si="169"/>
        <v>9.1999999999999832E-2</v>
      </c>
    </row>
    <row r="155" spans="3:128">
      <c r="U155" s="262"/>
      <c r="AN155" s="258">
        <f>(((IF($P$5&lt;&gt;0,$P$5,IF($P$6&lt;&gt;0,$P$6,IF($P$7&lt;&gt;0,$P$7,0))))/(12*$P$19))+(((3*$P$15)/(2*(IF($P$5&lt;&gt;0,$P$5,IF($P$6&lt;&gt;0,$P$6,IF($P$7&lt;&gt;0,$P$7,0))))*$U$5*$P$19))*'IN-OUT'!$F$15))*'Burland damage classification'!AR155</f>
        <v>2.3541116695119995E-4</v>
      </c>
      <c r="AO155" s="254">
        <f>(1+(((IF($P$5&lt;&gt;0,$P$5^2,IF($P$6&lt;&gt;0,$P$6^2,IF($P$7&lt;&gt;0,$P$7^2))))*$U$5)/(18*$P$15))*('IN-OUT'!$F$15^(-1)))*AS155</f>
        <v>6.2616613503968987E-4</v>
      </c>
      <c r="AP155" s="254">
        <f t="shared" si="146"/>
        <v>2.3541116695119995E-4</v>
      </c>
      <c r="AQ155" s="254">
        <f t="shared" si="158"/>
        <v>2.3541116695119994E-2</v>
      </c>
      <c r="AR155" s="254">
        <f t="shared" si="170"/>
        <v>7.3333333333335025E-5</v>
      </c>
      <c r="AS155" s="253">
        <f t="shared" si="148"/>
        <v>5.9273377947720719E-4</v>
      </c>
      <c r="AT155" s="253">
        <f t="shared" si="171"/>
        <v>9.2666666666666494E-4</v>
      </c>
      <c r="AU155" s="255">
        <f t="shared" si="159"/>
        <v>9.2666666666666495E-2</v>
      </c>
      <c r="AW155" s="258">
        <f>(((IF($P$5&lt;&gt;0,$P$5,IF($P$6&lt;&gt;0,$P$6,IF($P$7&lt;&gt;0,$P$7,0))))/(12*$P$19))+(((3*$P$15)/(2*(IF($P$5&lt;&gt;0,$P$5,IF($P$6&lt;&gt;0,$P$6,IF($P$7&lt;&gt;0,$P$7,0))))*$U$5*$P$19))*'IN-OUT'!$F$15))*'Burland damage classification'!BA155</f>
        <v>3.4455634435583576E-3</v>
      </c>
      <c r="AX155" s="254">
        <f>(1+(((IF($P$5&lt;&gt;0,$P$5^2,IF($P$6&lt;&gt;0,$P$6^2,IF($P$7&lt;&gt;0,$P$7^2))))*$U$5)/(18*$P$15))*('IN-OUT'!$F$15^(-1)))*BB155</f>
        <v>1.7367053435031862E-3</v>
      </c>
      <c r="AY155" s="254">
        <f t="shared" si="147"/>
        <v>1.7367053435031862E-3</v>
      </c>
      <c r="AZ155" s="254">
        <f t="shared" si="160"/>
        <v>0.17367053435031862</v>
      </c>
      <c r="BA155" s="254">
        <f t="shared" si="172"/>
        <v>1.0733333333333224E-3</v>
      </c>
      <c r="BB155" s="270">
        <f t="shared" si="149"/>
        <v>1.6439789130845532E-3</v>
      </c>
      <c r="BC155" s="253">
        <f t="shared" si="173"/>
        <v>9.2666666666666494E-4</v>
      </c>
      <c r="BD155" s="255">
        <f t="shared" si="161"/>
        <v>9.2666666666666495E-2</v>
      </c>
      <c r="BI155" s="248"/>
      <c r="BX155" s="258" t="e">
        <f>((((IF($Q$5=0,$Q$6,$Q$5)))/(12*$Q$19))+(((3*$Q$15)/(2*IF($Q$5=0,$Q$6,$Q$5)*$U$5*$Q$19))*'IN-OUT'!$F$15))*'Burland damage classification'!CB155</f>
        <v>#DIV/0!</v>
      </c>
      <c r="BY155" s="262">
        <f>(1+(((IF($Q$5=0,$Q$6^2,$Q$5^2))*$U$5)/(18*$Q$15))*('IN-OUT'!$F$15^(-1)))*CC155</f>
        <v>5.9273377947720719E-4</v>
      </c>
      <c r="BZ155" s="254" t="e">
        <f t="shared" si="150"/>
        <v>#DIV/0!</v>
      </c>
      <c r="CA155" s="254" t="e">
        <f t="shared" si="162"/>
        <v>#DIV/0!</v>
      </c>
      <c r="CB155" s="254">
        <f t="shared" si="174"/>
        <v>7.3333333333335025E-5</v>
      </c>
      <c r="CC155" s="253">
        <f t="shared" si="151"/>
        <v>5.9273377947720719E-4</v>
      </c>
      <c r="CD155" s="253">
        <f t="shared" si="175"/>
        <v>9.2666666666666494E-4</v>
      </c>
      <c r="CE155" s="255">
        <f t="shared" si="163"/>
        <v>9.2666666666666495E-2</v>
      </c>
      <c r="CG155" s="258" t="e">
        <f>((((IF($Q$5=0,$Q$6,$Q$5)))/(12*$Q$19))+(((3*$Q$15)/(2*IF($Q$5=0,$Q$6,$Q$5)*$U$5*$Q$19))*'IN-OUT'!$F$15))*'Burland damage classification'!CK155</f>
        <v>#DIV/0!</v>
      </c>
      <c r="CH155" s="262">
        <f>(1+(((IF($Q$5=0,$Q$6^2,$Q$5^2))*$U$5)/(18*$Q$15))*('IN-OUT'!$F$15^(-1)))*CL155</f>
        <v>1.6439789130845532E-3</v>
      </c>
      <c r="CI155" s="254" t="e">
        <f t="shared" si="152"/>
        <v>#DIV/0!</v>
      </c>
      <c r="CJ155" s="254" t="e">
        <f t="shared" si="164"/>
        <v>#DIV/0!</v>
      </c>
      <c r="CK155" s="254">
        <f t="shared" si="176"/>
        <v>1.0733333333333224E-3</v>
      </c>
      <c r="CL155" s="270">
        <f t="shared" si="153"/>
        <v>1.6439789130845532E-3</v>
      </c>
      <c r="CM155" s="253">
        <f t="shared" si="177"/>
        <v>9.2666666666666494E-4</v>
      </c>
      <c r="CN155" s="255">
        <f t="shared" si="165"/>
        <v>9.2666666666666495E-2</v>
      </c>
      <c r="CS155" s="248"/>
      <c r="DH155" s="258" t="e">
        <f>((((IF($R$5=0,$R$6,$R$5)))/(12*$R$19))+(((3*$R$15)/(2*IF($R$5=0,$R$6,$R$5)*$U$5*$R$19))*'IN-OUT'!$F$15))*'Burland damage classification'!DL155</f>
        <v>#DIV/0!</v>
      </c>
      <c r="DI155" s="262">
        <f>(1+(((IF($R$5=0,$R$6^2,$R$5^2))*$U$5)/(18*$R$15))*('IN-OUT'!$F$15^(-1)))*DM155</f>
        <v>5.9273377947720719E-4</v>
      </c>
      <c r="DJ155" s="254" t="e">
        <f t="shared" si="154"/>
        <v>#DIV/0!</v>
      </c>
      <c r="DK155" s="254" t="e">
        <f t="shared" si="166"/>
        <v>#DIV/0!</v>
      </c>
      <c r="DL155" s="254">
        <f t="shared" si="178"/>
        <v>7.3333333333335025E-5</v>
      </c>
      <c r="DM155" s="253">
        <f t="shared" si="155"/>
        <v>5.9273377947720719E-4</v>
      </c>
      <c r="DN155" s="253">
        <f t="shared" si="179"/>
        <v>9.2666666666666494E-4</v>
      </c>
      <c r="DO155" s="255">
        <f t="shared" si="167"/>
        <v>9.2666666666666495E-2</v>
      </c>
      <c r="DQ155" s="258" t="e">
        <f>((((IF($R$5=0,$R$6,$R$5)))/(12*$R$19))+(((3*$R$15)/(2*IF($R$5=0,$R$6,$R$5)*$U$5*$R$19))*'IN-OUT'!$F$15))*'Burland damage classification'!DU155</f>
        <v>#DIV/0!</v>
      </c>
      <c r="DR155" s="262">
        <f>(1+(((IF($R$5=0,$R$6^2,$R$5^2))*$U$5)/(18*$R$15))*('IN-OUT'!$F$15^(-1)))*DV155</f>
        <v>1.6439789130845532E-3</v>
      </c>
      <c r="DS155" s="254" t="e">
        <f t="shared" si="156"/>
        <v>#DIV/0!</v>
      </c>
      <c r="DT155" s="254" t="e">
        <f t="shared" si="168"/>
        <v>#DIV/0!</v>
      </c>
      <c r="DU155" s="254">
        <f t="shared" si="180"/>
        <v>1.0733333333333224E-3</v>
      </c>
      <c r="DV155" s="270">
        <f t="shared" si="157"/>
        <v>1.6439789130845532E-3</v>
      </c>
      <c r="DW155" s="253">
        <f t="shared" si="181"/>
        <v>9.2666666666666494E-4</v>
      </c>
      <c r="DX155" s="255">
        <f t="shared" si="169"/>
        <v>9.2666666666666495E-2</v>
      </c>
    </row>
    <row r="156" spans="3:128">
      <c r="U156" s="262"/>
      <c r="AN156" s="258">
        <f>(((IF($P$5&lt;&gt;0,$P$5,IF($P$6&lt;&gt;0,$P$6,IF($P$7&lt;&gt;0,$P$7,0))))/(12*$P$19))+(((3*$P$15)/(2*(IF($P$5&lt;&gt;0,$P$5,IF($P$6&lt;&gt;0,$P$6,IF($P$7&lt;&gt;0,$P$7,0))))*$U$5*$P$19))*'IN-OUT'!$F$15))*'Burland damage classification'!AR156</f>
        <v>2.1401015177381866E-4</v>
      </c>
      <c r="AO156" s="254">
        <f>(1+(((IF($P$5&lt;&gt;0,$P$5^2,IF($P$6&lt;&gt;0,$P$6^2,IF($P$7&lt;&gt;0,$P$7^2))))*$U$5)/(18*$P$15))*('IN-OUT'!$F$15^(-1)))*AS156</f>
        <v>6.2199363454994443E-4</v>
      </c>
      <c r="AP156" s="254">
        <f t="shared" si="146"/>
        <v>2.1401015177381866E-4</v>
      </c>
      <c r="AQ156" s="254">
        <f t="shared" si="158"/>
        <v>2.1401015177381865E-2</v>
      </c>
      <c r="AR156" s="254">
        <f t="shared" si="170"/>
        <v>6.6666666666668364E-5</v>
      </c>
      <c r="AS156" s="253">
        <f t="shared" si="148"/>
        <v>5.8878405775519079E-4</v>
      </c>
      <c r="AT156" s="253">
        <f t="shared" si="171"/>
        <v>9.3333333333333159E-4</v>
      </c>
      <c r="AU156" s="255">
        <f t="shared" si="159"/>
        <v>9.3333333333333157E-2</v>
      </c>
      <c r="AW156" s="258">
        <f>(((IF($P$5&lt;&gt;0,$P$5,IF($P$6&lt;&gt;0,$P$6,IF($P$7&lt;&gt;0,$P$7,0))))/(12*$P$19))+(((3*$P$15)/(2*(IF($P$5&lt;&gt;0,$P$5,IF($P$6&lt;&gt;0,$P$6,IF($P$7&lt;&gt;0,$P$7,0))))*$U$5*$P$19))*'IN-OUT'!$F$15))*'Burland damage classification'!BA156</f>
        <v>3.4241624283809758E-3</v>
      </c>
      <c r="AX156" s="254">
        <f>(1+(((IF($P$5&lt;&gt;0,$P$5^2,IF($P$6&lt;&gt;0,$P$6^2,IF($P$7&lt;&gt;0,$P$7^2))))*$U$5)/(18*$P$15))*('IN-OUT'!$F$15^(-1)))*BB156</f>
        <v>1.7337039988569944E-3</v>
      </c>
      <c r="AY156" s="254">
        <f t="shared" si="147"/>
        <v>1.7337039988569944E-3</v>
      </c>
      <c r="AZ156" s="254">
        <f t="shared" si="160"/>
        <v>0.17337039988569944</v>
      </c>
      <c r="BA156" s="254">
        <f t="shared" si="172"/>
        <v>1.0666666666666557E-3</v>
      </c>
      <c r="BB156" s="270">
        <f t="shared" si="149"/>
        <v>1.6411378166788235E-3</v>
      </c>
      <c r="BC156" s="253">
        <f t="shared" si="173"/>
        <v>9.3333333333333159E-4</v>
      </c>
      <c r="BD156" s="255">
        <f t="shared" si="161"/>
        <v>9.3333333333333157E-2</v>
      </c>
      <c r="BI156" s="248"/>
      <c r="BX156" s="258" t="e">
        <f>((((IF($Q$5=0,$Q$6,$Q$5)))/(12*$Q$19))+(((3*$Q$15)/(2*IF($Q$5=0,$Q$6,$Q$5)*$U$5*$Q$19))*'IN-OUT'!$F$15))*'Burland damage classification'!CB156</f>
        <v>#DIV/0!</v>
      </c>
      <c r="BY156" s="262">
        <f>(1+(((IF($Q$5=0,$Q$6^2,$Q$5^2))*$U$5)/(18*$Q$15))*('IN-OUT'!$F$15^(-1)))*CC156</f>
        <v>5.8878405775519079E-4</v>
      </c>
      <c r="BZ156" s="254" t="e">
        <f t="shared" si="150"/>
        <v>#DIV/0!</v>
      </c>
      <c r="CA156" s="254" t="e">
        <f t="shared" si="162"/>
        <v>#DIV/0!</v>
      </c>
      <c r="CB156" s="254">
        <f t="shared" si="174"/>
        <v>6.6666666666668364E-5</v>
      </c>
      <c r="CC156" s="253">
        <f t="shared" si="151"/>
        <v>5.8878405775519079E-4</v>
      </c>
      <c r="CD156" s="253">
        <f t="shared" si="175"/>
        <v>9.3333333333333159E-4</v>
      </c>
      <c r="CE156" s="255">
        <f t="shared" si="163"/>
        <v>9.3333333333333157E-2</v>
      </c>
      <c r="CG156" s="258" t="e">
        <f>((((IF($Q$5=0,$Q$6,$Q$5)))/(12*$Q$19))+(((3*$Q$15)/(2*IF($Q$5=0,$Q$6,$Q$5)*$U$5*$Q$19))*'IN-OUT'!$F$15))*'Burland damage classification'!CK156</f>
        <v>#DIV/0!</v>
      </c>
      <c r="CH156" s="262">
        <f>(1+(((IF($Q$5=0,$Q$6^2,$Q$5^2))*$U$5)/(18*$Q$15))*('IN-OUT'!$F$15^(-1)))*CL156</f>
        <v>1.6411378166788235E-3</v>
      </c>
      <c r="CI156" s="254" t="e">
        <f t="shared" si="152"/>
        <v>#DIV/0!</v>
      </c>
      <c r="CJ156" s="254" t="e">
        <f t="shared" si="164"/>
        <v>#DIV/0!</v>
      </c>
      <c r="CK156" s="254">
        <f t="shared" si="176"/>
        <v>1.0666666666666557E-3</v>
      </c>
      <c r="CL156" s="270">
        <f t="shared" si="153"/>
        <v>1.6411378166788235E-3</v>
      </c>
      <c r="CM156" s="253">
        <f t="shared" si="177"/>
        <v>9.3333333333333159E-4</v>
      </c>
      <c r="CN156" s="255">
        <f t="shared" si="165"/>
        <v>9.3333333333333157E-2</v>
      </c>
      <c r="CS156" s="248"/>
      <c r="DH156" s="258" t="e">
        <f>((((IF($R$5=0,$R$6,$R$5)))/(12*$R$19))+(((3*$R$15)/(2*IF($R$5=0,$R$6,$R$5)*$U$5*$R$19))*'IN-OUT'!$F$15))*'Burland damage classification'!DL156</f>
        <v>#DIV/0!</v>
      </c>
      <c r="DI156" s="262">
        <f>(1+(((IF($R$5=0,$R$6^2,$R$5^2))*$U$5)/(18*$R$15))*('IN-OUT'!$F$15^(-1)))*DM156</f>
        <v>5.8878405775519079E-4</v>
      </c>
      <c r="DJ156" s="254" t="e">
        <f t="shared" si="154"/>
        <v>#DIV/0!</v>
      </c>
      <c r="DK156" s="254" t="e">
        <f t="shared" si="166"/>
        <v>#DIV/0!</v>
      </c>
      <c r="DL156" s="254">
        <f t="shared" si="178"/>
        <v>6.6666666666668364E-5</v>
      </c>
      <c r="DM156" s="253">
        <f t="shared" si="155"/>
        <v>5.8878405775519079E-4</v>
      </c>
      <c r="DN156" s="253">
        <f t="shared" si="179"/>
        <v>9.3333333333333159E-4</v>
      </c>
      <c r="DO156" s="255">
        <f t="shared" si="167"/>
        <v>9.3333333333333157E-2</v>
      </c>
      <c r="DQ156" s="258" t="e">
        <f>((((IF($R$5=0,$R$6,$R$5)))/(12*$R$19))+(((3*$R$15)/(2*IF($R$5=0,$R$6,$R$5)*$U$5*$R$19))*'IN-OUT'!$F$15))*'Burland damage classification'!DU156</f>
        <v>#DIV/0!</v>
      </c>
      <c r="DR156" s="262">
        <f>(1+(((IF($R$5=0,$R$6^2,$R$5^2))*$U$5)/(18*$R$15))*('IN-OUT'!$F$15^(-1)))*DV156</f>
        <v>1.6411378166788235E-3</v>
      </c>
      <c r="DS156" s="254" t="e">
        <f t="shared" si="156"/>
        <v>#DIV/0!</v>
      </c>
      <c r="DT156" s="254" t="e">
        <f t="shared" si="168"/>
        <v>#DIV/0!</v>
      </c>
      <c r="DU156" s="254">
        <f t="shared" si="180"/>
        <v>1.0666666666666557E-3</v>
      </c>
      <c r="DV156" s="270">
        <f t="shared" si="157"/>
        <v>1.6411378166788235E-3</v>
      </c>
      <c r="DW156" s="253">
        <f t="shared" si="181"/>
        <v>9.3333333333333159E-4</v>
      </c>
      <c r="DX156" s="255">
        <f t="shared" si="169"/>
        <v>9.3333333333333157E-2</v>
      </c>
    </row>
    <row r="157" spans="3:128">
      <c r="U157" s="262"/>
      <c r="AN157" s="258">
        <f>(((IF($P$5&lt;&gt;0,$P$5,IF($P$6&lt;&gt;0,$P$6,IF($P$7&lt;&gt;0,$P$7,0))))/(12*$P$19))+(((3*$P$15)/(2*(IF($P$5&lt;&gt;0,$P$5,IF($P$6&lt;&gt;0,$P$6,IF($P$7&lt;&gt;0,$P$7,0))))*$U$5*$P$19))*'IN-OUT'!$F$15))*'Burland damage classification'!AR157</f>
        <v>1.9260913659643731E-4</v>
      </c>
      <c r="AO157" s="254">
        <f>(1+(((IF($P$5&lt;&gt;0,$P$5^2,IF($P$6&lt;&gt;0,$P$6^2,IF($P$7&lt;&gt;0,$P$7^2))))*$U$5)/(18*$P$15))*('IN-OUT'!$F$15^(-1)))*AS157</f>
        <v>6.1779295412844957E-4</v>
      </c>
      <c r="AP157" s="254">
        <f t="shared" si="146"/>
        <v>1.9260913659643731E-4</v>
      </c>
      <c r="AQ157" s="254">
        <f t="shared" si="158"/>
        <v>1.926091365964373E-2</v>
      </c>
      <c r="AR157" s="254">
        <f t="shared" si="170"/>
        <v>6.0000000000001696E-5</v>
      </c>
      <c r="AS157" s="253">
        <f t="shared" si="148"/>
        <v>5.8480766068853894E-4</v>
      </c>
      <c r="AT157" s="253">
        <f t="shared" si="171"/>
        <v>9.3999999999999824E-4</v>
      </c>
      <c r="AU157" s="255">
        <f t="shared" si="159"/>
        <v>9.399999999999982E-2</v>
      </c>
      <c r="AW157" s="258">
        <f>(((IF($P$5&lt;&gt;0,$P$5,IF($P$6&lt;&gt;0,$P$6,IF($P$7&lt;&gt;0,$P$7,0))))/(12*$P$19))+(((3*$P$15)/(2*(IF($P$5&lt;&gt;0,$P$5,IF($P$6&lt;&gt;0,$P$6,IF($P$7&lt;&gt;0,$P$7,0))))*$U$5*$P$19))*'IN-OUT'!$F$15))*'Burland damage classification'!BA157</f>
        <v>3.402761413203594E-3</v>
      </c>
      <c r="AX157" s="254">
        <f>(1+(((IF($P$5&lt;&gt;0,$P$5^2,IF($P$6&lt;&gt;0,$P$6^2,IF($P$7&lt;&gt;0,$P$7^2))))*$U$5)/(18*$P$15))*('IN-OUT'!$F$15^(-1)))*BB157</f>
        <v>1.730697449340279E-3</v>
      </c>
      <c r="AY157" s="254">
        <f t="shared" si="147"/>
        <v>1.730697449340279E-3</v>
      </c>
      <c r="AZ157" s="254">
        <f t="shared" si="160"/>
        <v>0.17306974493402791</v>
      </c>
      <c r="BA157" s="254">
        <f t="shared" si="172"/>
        <v>1.0599999999999889E-3</v>
      </c>
      <c r="BB157" s="270">
        <f t="shared" si="149"/>
        <v>1.6382917933017924E-3</v>
      </c>
      <c r="BC157" s="253">
        <f t="shared" si="173"/>
        <v>9.3999999999999824E-4</v>
      </c>
      <c r="BD157" s="255">
        <f t="shared" si="161"/>
        <v>9.399999999999982E-2</v>
      </c>
      <c r="BI157" s="248"/>
      <c r="BX157" s="258" t="e">
        <f>((((IF($Q$5=0,$Q$6,$Q$5)))/(12*$Q$19))+(((3*$Q$15)/(2*IF($Q$5=0,$Q$6,$Q$5)*$U$5*$Q$19))*'IN-OUT'!$F$15))*'Burland damage classification'!CB157</f>
        <v>#DIV/0!</v>
      </c>
      <c r="BY157" s="262">
        <f>(1+(((IF($Q$5=0,$Q$6^2,$Q$5^2))*$U$5)/(18*$Q$15))*('IN-OUT'!$F$15^(-1)))*CC157</f>
        <v>5.8480766068853894E-4</v>
      </c>
      <c r="BZ157" s="254" t="e">
        <f t="shared" si="150"/>
        <v>#DIV/0!</v>
      </c>
      <c r="CA157" s="254" t="e">
        <f t="shared" si="162"/>
        <v>#DIV/0!</v>
      </c>
      <c r="CB157" s="254">
        <f t="shared" si="174"/>
        <v>6.0000000000001696E-5</v>
      </c>
      <c r="CC157" s="253">
        <f t="shared" si="151"/>
        <v>5.8480766068853894E-4</v>
      </c>
      <c r="CD157" s="253">
        <f t="shared" si="175"/>
        <v>9.3999999999999824E-4</v>
      </c>
      <c r="CE157" s="255">
        <f t="shared" si="163"/>
        <v>9.399999999999982E-2</v>
      </c>
      <c r="CG157" s="258" t="e">
        <f>((((IF($Q$5=0,$Q$6,$Q$5)))/(12*$Q$19))+(((3*$Q$15)/(2*IF($Q$5=0,$Q$6,$Q$5)*$U$5*$Q$19))*'IN-OUT'!$F$15))*'Burland damage classification'!CK157</f>
        <v>#DIV/0!</v>
      </c>
      <c r="CH157" s="262">
        <f>(1+(((IF($Q$5=0,$Q$6^2,$Q$5^2))*$U$5)/(18*$Q$15))*('IN-OUT'!$F$15^(-1)))*CL157</f>
        <v>1.6382917933017924E-3</v>
      </c>
      <c r="CI157" s="254" t="e">
        <f t="shared" si="152"/>
        <v>#DIV/0!</v>
      </c>
      <c r="CJ157" s="254" t="e">
        <f t="shared" si="164"/>
        <v>#DIV/0!</v>
      </c>
      <c r="CK157" s="254">
        <f t="shared" si="176"/>
        <v>1.0599999999999889E-3</v>
      </c>
      <c r="CL157" s="270">
        <f t="shared" si="153"/>
        <v>1.6382917933017924E-3</v>
      </c>
      <c r="CM157" s="253">
        <f t="shared" si="177"/>
        <v>9.3999999999999824E-4</v>
      </c>
      <c r="CN157" s="255">
        <f t="shared" si="165"/>
        <v>9.399999999999982E-2</v>
      </c>
      <c r="CS157" s="248"/>
      <c r="DH157" s="258" t="e">
        <f>((((IF($R$5=0,$R$6,$R$5)))/(12*$R$19))+(((3*$R$15)/(2*IF($R$5=0,$R$6,$R$5)*$U$5*$R$19))*'IN-OUT'!$F$15))*'Burland damage classification'!DL157</f>
        <v>#DIV/0!</v>
      </c>
      <c r="DI157" s="262">
        <f>(1+(((IF($R$5=0,$R$6^2,$R$5^2))*$U$5)/(18*$R$15))*('IN-OUT'!$F$15^(-1)))*DM157</f>
        <v>5.8480766068853894E-4</v>
      </c>
      <c r="DJ157" s="254" t="e">
        <f t="shared" si="154"/>
        <v>#DIV/0!</v>
      </c>
      <c r="DK157" s="254" t="e">
        <f t="shared" si="166"/>
        <v>#DIV/0!</v>
      </c>
      <c r="DL157" s="254">
        <f t="shared" si="178"/>
        <v>6.0000000000001696E-5</v>
      </c>
      <c r="DM157" s="253">
        <f t="shared" si="155"/>
        <v>5.8480766068853894E-4</v>
      </c>
      <c r="DN157" s="253">
        <f t="shared" si="179"/>
        <v>9.3999999999999824E-4</v>
      </c>
      <c r="DO157" s="255">
        <f t="shared" si="167"/>
        <v>9.399999999999982E-2</v>
      </c>
      <c r="DQ157" s="258" t="e">
        <f>((((IF($R$5=0,$R$6,$R$5)))/(12*$R$19))+(((3*$R$15)/(2*IF($R$5=0,$R$6,$R$5)*$U$5*$R$19))*'IN-OUT'!$F$15))*'Burland damage classification'!DU157</f>
        <v>#DIV/0!</v>
      </c>
      <c r="DR157" s="262">
        <f>(1+(((IF($R$5=0,$R$6^2,$R$5^2))*$U$5)/(18*$R$15))*('IN-OUT'!$F$15^(-1)))*DV157</f>
        <v>1.6382917933017924E-3</v>
      </c>
      <c r="DS157" s="254" t="e">
        <f t="shared" si="156"/>
        <v>#DIV/0!</v>
      </c>
      <c r="DT157" s="254" t="e">
        <f t="shared" si="168"/>
        <v>#DIV/0!</v>
      </c>
      <c r="DU157" s="254">
        <f t="shared" si="180"/>
        <v>1.0599999999999889E-3</v>
      </c>
      <c r="DV157" s="270">
        <f t="shared" si="157"/>
        <v>1.6382917933017924E-3</v>
      </c>
      <c r="DW157" s="253">
        <f t="shared" si="181"/>
        <v>9.3999999999999824E-4</v>
      </c>
      <c r="DX157" s="255">
        <f t="shared" si="169"/>
        <v>9.399999999999982E-2</v>
      </c>
    </row>
    <row r="158" spans="3:128">
      <c r="U158" s="262"/>
      <c r="AN158" s="258">
        <f>(((IF($P$5&lt;&gt;0,$P$5,IF($P$6&lt;&gt;0,$P$6,IF($P$7&lt;&gt;0,$P$7,0))))/(12*$P$19))+(((3*$P$15)/(2*(IF($P$5&lt;&gt;0,$P$5,IF($P$6&lt;&gt;0,$P$6,IF($P$7&lt;&gt;0,$P$7,0))))*$U$5*$P$19))*'IN-OUT'!$F$15))*'Burland damage classification'!AR158</f>
        <v>1.7120812141905599E-4</v>
      </c>
      <c r="AO158" s="254">
        <f>(1+(((IF($P$5&lt;&gt;0,$P$5^2,IF($P$6&lt;&gt;0,$P$6^2,IF($P$7&lt;&gt;0,$P$7^2))))*$U$5)/(18*$P$15))*('IN-OUT'!$F$15^(-1)))*AS158</f>
        <v>6.1356351498509365E-4</v>
      </c>
      <c r="AP158" s="254">
        <f t="shared" si="146"/>
        <v>1.7120812141905599E-4</v>
      </c>
      <c r="AQ158" s="254">
        <f t="shared" si="158"/>
        <v>1.7120812141905601E-2</v>
      </c>
      <c r="AR158" s="254">
        <f t="shared" si="170"/>
        <v>5.3333333333335027E-5</v>
      </c>
      <c r="AS158" s="253">
        <f t="shared" si="148"/>
        <v>5.8080404038998777E-4</v>
      </c>
      <c r="AT158" s="253">
        <f t="shared" si="171"/>
        <v>9.4666666666666489E-4</v>
      </c>
      <c r="AU158" s="255">
        <f t="shared" si="159"/>
        <v>9.4666666666666482E-2</v>
      </c>
      <c r="AW158" s="258">
        <f>(((IF($P$5&lt;&gt;0,$P$5,IF($P$6&lt;&gt;0,$P$6,IF($P$7&lt;&gt;0,$P$7,0))))/(12*$P$19))+(((3*$P$15)/(2*(IF($P$5&lt;&gt;0,$P$5,IF($P$6&lt;&gt;0,$P$6,IF($P$7&lt;&gt;0,$P$7,0))))*$U$5*$P$19))*'IN-OUT'!$F$15))*'Burland damage classification'!BA158</f>
        <v>3.3813603980262126E-3</v>
      </c>
      <c r="AX158" s="254">
        <f>(1+(((IF($P$5&lt;&gt;0,$P$5^2,IF($P$6&lt;&gt;0,$P$6^2,IF($P$7&lt;&gt;0,$P$7^2))))*$U$5)/(18*$P$15))*('IN-OUT'!$F$15^(-1)))*BB158</f>
        <v>1.7276856677802129E-3</v>
      </c>
      <c r="AY158" s="254">
        <f t="shared" si="147"/>
        <v>1.7276856677802129E-3</v>
      </c>
      <c r="AZ158" s="254">
        <f t="shared" si="160"/>
        <v>0.1727685667780213</v>
      </c>
      <c r="BA158" s="254">
        <f t="shared" si="172"/>
        <v>1.0533333333333221E-3</v>
      </c>
      <c r="BB158" s="270">
        <f t="shared" si="149"/>
        <v>1.6354408172314489E-3</v>
      </c>
      <c r="BC158" s="253">
        <f t="shared" si="173"/>
        <v>9.4666666666666489E-4</v>
      </c>
      <c r="BD158" s="255">
        <f t="shared" si="161"/>
        <v>9.4666666666666482E-2</v>
      </c>
      <c r="BI158" s="248"/>
      <c r="BX158" s="258" t="e">
        <f>((((IF($Q$5=0,$Q$6,$Q$5)))/(12*$Q$19))+(((3*$Q$15)/(2*IF($Q$5=0,$Q$6,$Q$5)*$U$5*$Q$19))*'IN-OUT'!$F$15))*'Burland damage classification'!CB158</f>
        <v>#DIV/0!</v>
      </c>
      <c r="BY158" s="262">
        <f>(1+(((IF($Q$5=0,$Q$6^2,$Q$5^2))*$U$5)/(18*$Q$15))*('IN-OUT'!$F$15^(-1)))*CC158</f>
        <v>5.8080404038998777E-4</v>
      </c>
      <c r="BZ158" s="254" t="e">
        <f t="shared" si="150"/>
        <v>#DIV/0!</v>
      </c>
      <c r="CA158" s="254" t="e">
        <f t="shared" si="162"/>
        <v>#DIV/0!</v>
      </c>
      <c r="CB158" s="254">
        <f t="shared" si="174"/>
        <v>5.3333333333335027E-5</v>
      </c>
      <c r="CC158" s="253">
        <f t="shared" si="151"/>
        <v>5.8080404038998777E-4</v>
      </c>
      <c r="CD158" s="253">
        <f t="shared" si="175"/>
        <v>9.4666666666666489E-4</v>
      </c>
      <c r="CE158" s="255">
        <f t="shared" si="163"/>
        <v>9.4666666666666482E-2</v>
      </c>
      <c r="CG158" s="258" t="e">
        <f>((((IF($Q$5=0,$Q$6,$Q$5)))/(12*$Q$19))+(((3*$Q$15)/(2*IF($Q$5=0,$Q$6,$Q$5)*$U$5*$Q$19))*'IN-OUT'!$F$15))*'Burland damage classification'!CK158</f>
        <v>#DIV/0!</v>
      </c>
      <c r="CH158" s="262">
        <f>(1+(((IF($Q$5=0,$Q$6^2,$Q$5^2))*$U$5)/(18*$Q$15))*('IN-OUT'!$F$15^(-1)))*CL158</f>
        <v>1.6354408172314489E-3</v>
      </c>
      <c r="CI158" s="254" t="e">
        <f t="shared" si="152"/>
        <v>#DIV/0!</v>
      </c>
      <c r="CJ158" s="254" t="e">
        <f t="shared" si="164"/>
        <v>#DIV/0!</v>
      </c>
      <c r="CK158" s="254">
        <f t="shared" si="176"/>
        <v>1.0533333333333221E-3</v>
      </c>
      <c r="CL158" s="270">
        <f t="shared" si="153"/>
        <v>1.6354408172314489E-3</v>
      </c>
      <c r="CM158" s="253">
        <f t="shared" si="177"/>
        <v>9.4666666666666489E-4</v>
      </c>
      <c r="CN158" s="255">
        <f t="shared" si="165"/>
        <v>9.4666666666666482E-2</v>
      </c>
      <c r="CS158" s="248"/>
      <c r="DH158" s="258" t="e">
        <f>((((IF($R$5=0,$R$6,$R$5)))/(12*$R$19))+(((3*$R$15)/(2*IF($R$5=0,$R$6,$R$5)*$U$5*$R$19))*'IN-OUT'!$F$15))*'Burland damage classification'!DL158</f>
        <v>#DIV/0!</v>
      </c>
      <c r="DI158" s="262">
        <f>(1+(((IF($R$5=0,$R$6^2,$R$5^2))*$U$5)/(18*$R$15))*('IN-OUT'!$F$15^(-1)))*DM158</f>
        <v>5.8080404038998777E-4</v>
      </c>
      <c r="DJ158" s="254" t="e">
        <f t="shared" si="154"/>
        <v>#DIV/0!</v>
      </c>
      <c r="DK158" s="254" t="e">
        <f t="shared" si="166"/>
        <v>#DIV/0!</v>
      </c>
      <c r="DL158" s="254">
        <f t="shared" si="178"/>
        <v>5.3333333333335027E-5</v>
      </c>
      <c r="DM158" s="253">
        <f t="shared" si="155"/>
        <v>5.8080404038998777E-4</v>
      </c>
      <c r="DN158" s="253">
        <f t="shared" si="179"/>
        <v>9.4666666666666489E-4</v>
      </c>
      <c r="DO158" s="255">
        <f t="shared" si="167"/>
        <v>9.4666666666666482E-2</v>
      </c>
      <c r="DQ158" s="258" t="e">
        <f>((((IF($R$5=0,$R$6,$R$5)))/(12*$R$19))+(((3*$R$15)/(2*IF($R$5=0,$R$6,$R$5)*$U$5*$R$19))*'IN-OUT'!$F$15))*'Burland damage classification'!DU158</f>
        <v>#DIV/0!</v>
      </c>
      <c r="DR158" s="262">
        <f>(1+(((IF($R$5=0,$R$6^2,$R$5^2))*$U$5)/(18*$R$15))*('IN-OUT'!$F$15^(-1)))*DV158</f>
        <v>1.6354408172314489E-3</v>
      </c>
      <c r="DS158" s="254" t="e">
        <f t="shared" si="156"/>
        <v>#DIV/0!</v>
      </c>
      <c r="DT158" s="254" t="e">
        <f t="shared" si="168"/>
        <v>#DIV/0!</v>
      </c>
      <c r="DU158" s="254">
        <f t="shared" si="180"/>
        <v>1.0533333333333221E-3</v>
      </c>
      <c r="DV158" s="270">
        <f t="shared" si="157"/>
        <v>1.6354408172314489E-3</v>
      </c>
      <c r="DW158" s="253">
        <f t="shared" si="181"/>
        <v>9.4666666666666489E-4</v>
      </c>
      <c r="DX158" s="255">
        <f t="shared" si="169"/>
        <v>9.4666666666666482E-2</v>
      </c>
    </row>
    <row r="159" spans="3:128">
      <c r="U159" s="262"/>
      <c r="AN159" s="258">
        <f>(((IF($P$5&lt;&gt;0,$P$5,IF($P$6&lt;&gt;0,$P$6,IF($P$7&lt;&gt;0,$P$7,0))))/(12*$P$19))+(((3*$P$15)/(2*(IF($P$5&lt;&gt;0,$P$5,IF($P$6&lt;&gt;0,$P$6,IF($P$7&lt;&gt;0,$P$7,0))))*$U$5*$P$19))*'IN-OUT'!$F$15))*'Burland damage classification'!AR159</f>
        <v>1.4980710624167468E-4</v>
      </c>
      <c r="AO159" s="254">
        <f>(1+(((IF($P$5&lt;&gt;0,$P$5^2,IF($P$6&lt;&gt;0,$P$6^2,IF($P$7&lt;&gt;0,$P$7^2))))*$U$5)/(18*$P$15))*('IN-OUT'!$F$15^(-1)))*AS159</f>
        <v>6.0930471824118503E-4</v>
      </c>
      <c r="AP159" s="254">
        <f t="shared" si="146"/>
        <v>1.4980710624167468E-4</v>
      </c>
      <c r="AQ159" s="254">
        <f t="shared" si="158"/>
        <v>1.4980710624167467E-2</v>
      </c>
      <c r="AR159" s="254">
        <f t="shared" si="170"/>
        <v>4.6666666666668359E-5</v>
      </c>
      <c r="AS159" s="253">
        <f t="shared" si="148"/>
        <v>5.7677262995626611E-4</v>
      </c>
      <c r="AT159" s="253">
        <f t="shared" si="171"/>
        <v>9.5333333333333153E-4</v>
      </c>
      <c r="AU159" s="255">
        <f t="shared" si="159"/>
        <v>9.5333333333333159E-2</v>
      </c>
      <c r="AW159" s="258">
        <f>(((IF($P$5&lt;&gt;0,$P$5,IF($P$6&lt;&gt;0,$P$6,IF($P$7&lt;&gt;0,$P$7,0))))/(12*$P$19))+(((3*$P$15)/(2*(IF($P$5&lt;&gt;0,$P$5,IF($P$6&lt;&gt;0,$P$6,IF($P$7&lt;&gt;0,$P$7,0))))*$U$5*$P$19))*'IN-OUT'!$F$15))*'Burland damage classification'!BA159</f>
        <v>3.3599593828488308E-3</v>
      </c>
      <c r="AX159" s="254">
        <f>(1+(((IF($P$5&lt;&gt;0,$P$5^2,IF($P$6&lt;&gt;0,$P$6^2,IF($P$7&lt;&gt;0,$P$7^2))))*$U$5)/(18*$P$15))*('IN-OUT'!$F$15^(-1)))*BB159</f>
        <v>1.7246686267667112E-3</v>
      </c>
      <c r="AY159" s="254">
        <f t="shared" si="147"/>
        <v>1.7246686267667112E-3</v>
      </c>
      <c r="AZ159" s="254">
        <f t="shared" si="160"/>
        <v>0.17246686267667111</v>
      </c>
      <c r="BA159" s="254">
        <f t="shared" si="172"/>
        <v>1.0466666666666554E-3</v>
      </c>
      <c r="BB159" s="270">
        <f t="shared" si="149"/>
        <v>1.6325848625211908E-3</v>
      </c>
      <c r="BC159" s="253">
        <f t="shared" si="173"/>
        <v>9.5333333333333153E-4</v>
      </c>
      <c r="BD159" s="255">
        <f t="shared" si="161"/>
        <v>9.5333333333333159E-2</v>
      </c>
      <c r="BI159" s="248"/>
      <c r="BX159" s="258" t="e">
        <f>((((IF($Q$5=0,$Q$6,$Q$5)))/(12*$Q$19))+(((3*$Q$15)/(2*IF($Q$5=0,$Q$6,$Q$5)*$U$5*$Q$19))*'IN-OUT'!$F$15))*'Burland damage classification'!CB159</f>
        <v>#DIV/0!</v>
      </c>
      <c r="BY159" s="262">
        <f>(1+(((IF($Q$5=0,$Q$6^2,$Q$5^2))*$U$5)/(18*$Q$15))*('IN-OUT'!$F$15^(-1)))*CC159</f>
        <v>5.7677262995626611E-4</v>
      </c>
      <c r="BZ159" s="254" t="e">
        <f t="shared" si="150"/>
        <v>#DIV/0!</v>
      </c>
      <c r="CA159" s="254" t="e">
        <f t="shared" si="162"/>
        <v>#DIV/0!</v>
      </c>
      <c r="CB159" s="254">
        <f t="shared" si="174"/>
        <v>4.6666666666668359E-5</v>
      </c>
      <c r="CC159" s="253">
        <f t="shared" si="151"/>
        <v>5.7677262995626611E-4</v>
      </c>
      <c r="CD159" s="253">
        <f t="shared" si="175"/>
        <v>9.5333333333333153E-4</v>
      </c>
      <c r="CE159" s="255">
        <f t="shared" si="163"/>
        <v>9.5333333333333159E-2</v>
      </c>
      <c r="CG159" s="258" t="e">
        <f>((((IF($Q$5=0,$Q$6,$Q$5)))/(12*$Q$19))+(((3*$Q$15)/(2*IF($Q$5=0,$Q$6,$Q$5)*$U$5*$Q$19))*'IN-OUT'!$F$15))*'Burland damage classification'!CK159</f>
        <v>#DIV/0!</v>
      </c>
      <c r="CH159" s="262">
        <f>(1+(((IF($Q$5=0,$Q$6^2,$Q$5^2))*$U$5)/(18*$Q$15))*('IN-OUT'!$F$15^(-1)))*CL159</f>
        <v>1.6325848625211908E-3</v>
      </c>
      <c r="CI159" s="254" t="e">
        <f t="shared" si="152"/>
        <v>#DIV/0!</v>
      </c>
      <c r="CJ159" s="254" t="e">
        <f t="shared" si="164"/>
        <v>#DIV/0!</v>
      </c>
      <c r="CK159" s="254">
        <f t="shared" si="176"/>
        <v>1.0466666666666554E-3</v>
      </c>
      <c r="CL159" s="270">
        <f t="shared" si="153"/>
        <v>1.6325848625211908E-3</v>
      </c>
      <c r="CM159" s="253">
        <f t="shared" si="177"/>
        <v>9.5333333333333153E-4</v>
      </c>
      <c r="CN159" s="255">
        <f t="shared" si="165"/>
        <v>9.5333333333333159E-2</v>
      </c>
      <c r="CS159" s="248"/>
      <c r="DH159" s="258" t="e">
        <f>((((IF($R$5=0,$R$6,$R$5)))/(12*$R$19))+(((3*$R$15)/(2*IF($R$5=0,$R$6,$R$5)*$U$5*$R$19))*'IN-OUT'!$F$15))*'Burland damage classification'!DL159</f>
        <v>#DIV/0!</v>
      </c>
      <c r="DI159" s="262">
        <f>(1+(((IF($R$5=0,$R$6^2,$R$5^2))*$U$5)/(18*$R$15))*('IN-OUT'!$F$15^(-1)))*DM159</f>
        <v>5.7677262995626611E-4</v>
      </c>
      <c r="DJ159" s="254" t="e">
        <f t="shared" si="154"/>
        <v>#DIV/0!</v>
      </c>
      <c r="DK159" s="254" t="e">
        <f t="shared" si="166"/>
        <v>#DIV/0!</v>
      </c>
      <c r="DL159" s="254">
        <f t="shared" si="178"/>
        <v>4.6666666666668359E-5</v>
      </c>
      <c r="DM159" s="253">
        <f t="shared" si="155"/>
        <v>5.7677262995626611E-4</v>
      </c>
      <c r="DN159" s="253">
        <f t="shared" si="179"/>
        <v>9.5333333333333153E-4</v>
      </c>
      <c r="DO159" s="255">
        <f t="shared" si="167"/>
        <v>9.5333333333333159E-2</v>
      </c>
      <c r="DQ159" s="258" t="e">
        <f>((((IF($R$5=0,$R$6,$R$5)))/(12*$R$19))+(((3*$R$15)/(2*IF($R$5=0,$R$6,$R$5)*$U$5*$R$19))*'IN-OUT'!$F$15))*'Burland damage classification'!DU159</f>
        <v>#DIV/0!</v>
      </c>
      <c r="DR159" s="262">
        <f>(1+(((IF($R$5=0,$R$6^2,$R$5^2))*$U$5)/(18*$R$15))*('IN-OUT'!$F$15^(-1)))*DV159</f>
        <v>1.6325848625211908E-3</v>
      </c>
      <c r="DS159" s="254" t="e">
        <f t="shared" si="156"/>
        <v>#DIV/0!</v>
      </c>
      <c r="DT159" s="254" t="e">
        <f t="shared" si="168"/>
        <v>#DIV/0!</v>
      </c>
      <c r="DU159" s="254">
        <f t="shared" si="180"/>
        <v>1.0466666666666554E-3</v>
      </c>
      <c r="DV159" s="270">
        <f t="shared" si="157"/>
        <v>1.6325848625211908E-3</v>
      </c>
      <c r="DW159" s="253">
        <f t="shared" si="181"/>
        <v>9.5333333333333153E-4</v>
      </c>
      <c r="DX159" s="255">
        <f t="shared" si="169"/>
        <v>9.5333333333333159E-2</v>
      </c>
    </row>
    <row r="160" spans="3:128">
      <c r="U160" s="262"/>
      <c r="AN160" s="258">
        <f>(((IF($P$5&lt;&gt;0,$P$5,IF($P$6&lt;&gt;0,$P$6,IF($P$7&lt;&gt;0,$P$7,0))))/(12*$P$19))+(((3*$P$15)/(2*(IF($P$5&lt;&gt;0,$P$5,IF($P$6&lt;&gt;0,$P$6,IF($P$7&lt;&gt;0,$P$7,0))))*$U$5*$P$19))*'IN-OUT'!$F$15))*'Burland damage classification'!AR160</f>
        <v>1.2840609106429336E-4</v>
      </c>
      <c r="AO160" s="254">
        <f>(1+(((IF($P$5&lt;&gt;0,$P$5^2,IF($P$6&lt;&gt;0,$P$6^2,IF($P$7&lt;&gt;0,$P$7^2))))*$U$5)/(18*$P$15))*('IN-OUT'!$F$15^(-1)))*AS160</f>
        <v>6.0501594393955974E-4</v>
      </c>
      <c r="AP160" s="254">
        <f t="shared" si="146"/>
        <v>1.2840609106429336E-4</v>
      </c>
      <c r="AQ160" s="254">
        <f t="shared" si="158"/>
        <v>1.2840609106429335E-2</v>
      </c>
      <c r="AR160" s="254">
        <f t="shared" si="170"/>
        <v>4.0000000000001691E-5</v>
      </c>
      <c r="AS160" s="253">
        <f t="shared" si="148"/>
        <v>5.7271284253105519E-4</v>
      </c>
      <c r="AT160" s="253">
        <f t="shared" si="171"/>
        <v>9.5999999999999818E-4</v>
      </c>
      <c r="AU160" s="255">
        <f t="shared" si="159"/>
        <v>9.5999999999999822E-2</v>
      </c>
      <c r="AW160" s="258">
        <f>(((IF($P$5&lt;&gt;0,$P$5,IF($P$6&lt;&gt;0,$P$6,IF($P$7&lt;&gt;0,$P$7,0))))/(12*$P$19))+(((3*$P$15)/(2*(IF($P$5&lt;&gt;0,$P$5,IF($P$6&lt;&gt;0,$P$6,IF($P$7&lt;&gt;0,$P$7,0))))*$U$5*$P$19))*'IN-OUT'!$F$15))*'Burland damage classification'!BA160</f>
        <v>3.3385583676714494E-3</v>
      </c>
      <c r="AX160" s="254">
        <f>(1+(((IF($P$5&lt;&gt;0,$P$5^2,IF($P$6&lt;&gt;0,$P$6^2,IF($P$7&lt;&gt;0,$P$7^2))))*$U$5)/(18*$P$15))*('IN-OUT'!$F$15^(-1)))*BB160</f>
        <v>1.7216462986495184E-3</v>
      </c>
      <c r="AY160" s="254">
        <f t="shared" si="147"/>
        <v>1.7216462986495184E-3</v>
      </c>
      <c r="AZ160" s="254">
        <f t="shared" si="160"/>
        <v>0.17216462986495185</v>
      </c>
      <c r="BA160" s="254">
        <f t="shared" si="172"/>
        <v>1.0399999999999886E-3</v>
      </c>
      <c r="BB160" s="270">
        <f t="shared" si="149"/>
        <v>1.6297239029970697E-3</v>
      </c>
      <c r="BC160" s="253">
        <f t="shared" si="173"/>
        <v>9.5999999999999818E-4</v>
      </c>
      <c r="BD160" s="255">
        <f t="shared" si="161"/>
        <v>9.5999999999999822E-2</v>
      </c>
      <c r="BI160" s="248"/>
      <c r="BX160" s="258" t="e">
        <f>((((IF($Q$5=0,$Q$6,$Q$5)))/(12*$Q$19))+(((3*$Q$15)/(2*IF($Q$5=0,$Q$6,$Q$5)*$U$5*$Q$19))*'IN-OUT'!$F$15))*'Burland damage classification'!CB160</f>
        <v>#DIV/0!</v>
      </c>
      <c r="BY160" s="262">
        <f>(1+(((IF($Q$5=0,$Q$6^2,$Q$5^2))*$U$5)/(18*$Q$15))*('IN-OUT'!$F$15^(-1)))*CC160</f>
        <v>5.7271284253105519E-4</v>
      </c>
      <c r="BZ160" s="254" t="e">
        <f t="shared" si="150"/>
        <v>#DIV/0!</v>
      </c>
      <c r="CA160" s="254" t="e">
        <f t="shared" si="162"/>
        <v>#DIV/0!</v>
      </c>
      <c r="CB160" s="254">
        <f t="shared" si="174"/>
        <v>4.0000000000001691E-5</v>
      </c>
      <c r="CC160" s="253">
        <f t="shared" si="151"/>
        <v>5.7271284253105519E-4</v>
      </c>
      <c r="CD160" s="253">
        <f t="shared" si="175"/>
        <v>9.5999999999999818E-4</v>
      </c>
      <c r="CE160" s="255">
        <f t="shared" si="163"/>
        <v>9.5999999999999822E-2</v>
      </c>
      <c r="CG160" s="258" t="e">
        <f>((((IF($Q$5=0,$Q$6,$Q$5)))/(12*$Q$19))+(((3*$Q$15)/(2*IF($Q$5=0,$Q$6,$Q$5)*$U$5*$Q$19))*'IN-OUT'!$F$15))*'Burland damage classification'!CK160</f>
        <v>#DIV/0!</v>
      </c>
      <c r="CH160" s="262">
        <f>(1+(((IF($Q$5=0,$Q$6^2,$Q$5^2))*$U$5)/(18*$Q$15))*('IN-OUT'!$F$15^(-1)))*CL160</f>
        <v>1.6297239029970697E-3</v>
      </c>
      <c r="CI160" s="254" t="e">
        <f t="shared" si="152"/>
        <v>#DIV/0!</v>
      </c>
      <c r="CJ160" s="254" t="e">
        <f t="shared" si="164"/>
        <v>#DIV/0!</v>
      </c>
      <c r="CK160" s="254">
        <f t="shared" si="176"/>
        <v>1.0399999999999886E-3</v>
      </c>
      <c r="CL160" s="270">
        <f t="shared" si="153"/>
        <v>1.6297239029970697E-3</v>
      </c>
      <c r="CM160" s="253">
        <f t="shared" si="177"/>
        <v>9.5999999999999818E-4</v>
      </c>
      <c r="CN160" s="255">
        <f t="shared" si="165"/>
        <v>9.5999999999999822E-2</v>
      </c>
      <c r="CS160" s="248"/>
      <c r="DH160" s="258" t="e">
        <f>((((IF($R$5=0,$R$6,$R$5)))/(12*$R$19))+(((3*$R$15)/(2*IF($R$5=0,$R$6,$R$5)*$U$5*$R$19))*'IN-OUT'!$F$15))*'Burland damage classification'!DL160</f>
        <v>#DIV/0!</v>
      </c>
      <c r="DI160" s="262">
        <f>(1+(((IF($R$5=0,$R$6^2,$R$5^2))*$U$5)/(18*$R$15))*('IN-OUT'!$F$15^(-1)))*DM160</f>
        <v>5.7271284253105519E-4</v>
      </c>
      <c r="DJ160" s="254" t="e">
        <f t="shared" si="154"/>
        <v>#DIV/0!</v>
      </c>
      <c r="DK160" s="254" t="e">
        <f t="shared" si="166"/>
        <v>#DIV/0!</v>
      </c>
      <c r="DL160" s="254">
        <f t="shared" si="178"/>
        <v>4.0000000000001691E-5</v>
      </c>
      <c r="DM160" s="253">
        <f t="shared" si="155"/>
        <v>5.7271284253105519E-4</v>
      </c>
      <c r="DN160" s="253">
        <f t="shared" si="179"/>
        <v>9.5999999999999818E-4</v>
      </c>
      <c r="DO160" s="255">
        <f t="shared" si="167"/>
        <v>9.5999999999999822E-2</v>
      </c>
      <c r="DQ160" s="258" t="e">
        <f>((((IF($R$5=0,$R$6,$R$5)))/(12*$R$19))+(((3*$R$15)/(2*IF($R$5=0,$R$6,$R$5)*$U$5*$R$19))*'IN-OUT'!$F$15))*'Burland damage classification'!DU160</f>
        <v>#DIV/0!</v>
      </c>
      <c r="DR160" s="262">
        <f>(1+(((IF($R$5=0,$R$6^2,$R$5^2))*$U$5)/(18*$R$15))*('IN-OUT'!$F$15^(-1)))*DV160</f>
        <v>1.6297239029970697E-3</v>
      </c>
      <c r="DS160" s="254" t="e">
        <f t="shared" si="156"/>
        <v>#DIV/0!</v>
      </c>
      <c r="DT160" s="254" t="e">
        <f t="shared" si="168"/>
        <v>#DIV/0!</v>
      </c>
      <c r="DU160" s="254">
        <f t="shared" si="180"/>
        <v>1.0399999999999886E-3</v>
      </c>
      <c r="DV160" s="270">
        <f t="shared" si="157"/>
        <v>1.6297239029970697E-3</v>
      </c>
      <c r="DW160" s="253">
        <f t="shared" si="181"/>
        <v>9.5999999999999818E-4</v>
      </c>
      <c r="DX160" s="255">
        <f t="shared" si="169"/>
        <v>9.5999999999999822E-2</v>
      </c>
    </row>
    <row r="161" spans="21:128">
      <c r="U161" s="262"/>
      <c r="AN161" s="258">
        <f>(((IF($P$5&lt;&gt;0,$P$5,IF($P$6&lt;&gt;0,$P$6,IF($P$7&lt;&gt;0,$P$7,0))))/(12*$P$19))+(((3*$P$15)/(2*(IF($P$5&lt;&gt;0,$P$5,IF($P$6&lt;&gt;0,$P$6,IF($P$7&lt;&gt;0,$P$7,0))))*$U$5*$P$19))*'IN-OUT'!$F$15))*'Burland damage classification'!AR161</f>
        <v>1.0700507588691203E-4</v>
      </c>
      <c r="AO161" s="254">
        <f>(1+(((IF($P$5&lt;&gt;0,$P$5^2,IF($P$6&lt;&gt;0,$P$6^2,IF($P$7&lt;&gt;0,$P$7^2))))*$U$5)/(18*$P$15))*('IN-OUT'!$F$15^(-1)))*AS161</f>
        <v>6.0069654999107759E-4</v>
      </c>
      <c r="AP161" s="254">
        <f t="shared" si="146"/>
        <v>1.0700507588691203E-4</v>
      </c>
      <c r="AQ161" s="254">
        <f t="shared" si="158"/>
        <v>1.0700507588691203E-2</v>
      </c>
      <c r="AR161" s="254">
        <f t="shared" si="170"/>
        <v>3.3333333333335022E-5</v>
      </c>
      <c r="AS161" s="253">
        <f t="shared" si="148"/>
        <v>5.6862407030773381E-4</v>
      </c>
      <c r="AT161" s="253">
        <f t="shared" si="171"/>
        <v>9.6666666666666483E-4</v>
      </c>
      <c r="AU161" s="255">
        <f t="shared" si="159"/>
        <v>9.6666666666666484E-2</v>
      </c>
      <c r="AW161" s="258">
        <f>(((IF($P$5&lt;&gt;0,$P$5,IF($P$6&lt;&gt;0,$P$6,IF($P$7&lt;&gt;0,$P$7,0))))/(12*$P$19))+(((3*$P$15)/(2*(IF($P$5&lt;&gt;0,$P$5,IF($P$6&lt;&gt;0,$P$6,IF($P$7&lt;&gt;0,$P$7,0))))*$U$5*$P$19))*'IN-OUT'!$F$15))*'Burland damage classification'!BA161</f>
        <v>3.3171573524940676E-3</v>
      </c>
      <c r="AX161" s="254">
        <f>(1+(((IF($P$5&lt;&gt;0,$P$5^2,IF($P$6&lt;&gt;0,$P$6^2,IF($P$7&lt;&gt;0,$P$7^2))))*$U$5)/(18*$P$15))*('IN-OUT'!$F$15^(-1)))*BB161</f>
        <v>1.7186186555352529E-3</v>
      </c>
      <c r="AY161" s="254">
        <f t="shared" si="147"/>
        <v>1.7186186555352529E-3</v>
      </c>
      <c r="AZ161" s="254">
        <f t="shared" si="160"/>
        <v>0.17186186555352528</v>
      </c>
      <c r="BA161" s="254">
        <f t="shared" si="172"/>
        <v>1.0333333333333219E-3</v>
      </c>
      <c r="BB161" s="270">
        <f t="shared" si="149"/>
        <v>1.6268579122549914E-3</v>
      </c>
      <c r="BC161" s="253">
        <f t="shared" si="173"/>
        <v>9.6666666666666483E-4</v>
      </c>
      <c r="BD161" s="255">
        <f t="shared" si="161"/>
        <v>9.6666666666666484E-2</v>
      </c>
      <c r="BI161" s="248"/>
      <c r="BX161" s="258" t="e">
        <f>((((IF($Q$5=0,$Q$6,$Q$5)))/(12*$Q$19))+(((3*$Q$15)/(2*IF($Q$5=0,$Q$6,$Q$5)*$U$5*$Q$19))*'IN-OUT'!$F$15))*'Burland damage classification'!CB161</f>
        <v>#DIV/0!</v>
      </c>
      <c r="BY161" s="262">
        <f>(1+(((IF($Q$5=0,$Q$6^2,$Q$5^2))*$U$5)/(18*$Q$15))*('IN-OUT'!$F$15^(-1)))*CC161</f>
        <v>5.6862407030773381E-4</v>
      </c>
      <c r="BZ161" s="254" t="e">
        <f t="shared" si="150"/>
        <v>#DIV/0!</v>
      </c>
      <c r="CA161" s="254" t="e">
        <f t="shared" si="162"/>
        <v>#DIV/0!</v>
      </c>
      <c r="CB161" s="254">
        <f t="shared" si="174"/>
        <v>3.3333333333335022E-5</v>
      </c>
      <c r="CC161" s="253">
        <f t="shared" si="151"/>
        <v>5.6862407030773381E-4</v>
      </c>
      <c r="CD161" s="253">
        <f t="shared" si="175"/>
        <v>9.6666666666666483E-4</v>
      </c>
      <c r="CE161" s="255">
        <f t="shared" si="163"/>
        <v>9.6666666666666484E-2</v>
      </c>
      <c r="CG161" s="258" t="e">
        <f>((((IF($Q$5=0,$Q$6,$Q$5)))/(12*$Q$19))+(((3*$Q$15)/(2*IF($Q$5=0,$Q$6,$Q$5)*$U$5*$Q$19))*'IN-OUT'!$F$15))*'Burland damage classification'!CK161</f>
        <v>#DIV/0!</v>
      </c>
      <c r="CH161" s="262">
        <f>(1+(((IF($Q$5=0,$Q$6^2,$Q$5^2))*$U$5)/(18*$Q$15))*('IN-OUT'!$F$15^(-1)))*CL161</f>
        <v>1.6268579122549914E-3</v>
      </c>
      <c r="CI161" s="254" t="e">
        <f t="shared" si="152"/>
        <v>#DIV/0!</v>
      </c>
      <c r="CJ161" s="254" t="e">
        <f t="shared" si="164"/>
        <v>#DIV/0!</v>
      </c>
      <c r="CK161" s="254">
        <f t="shared" si="176"/>
        <v>1.0333333333333219E-3</v>
      </c>
      <c r="CL161" s="270">
        <f t="shared" si="153"/>
        <v>1.6268579122549914E-3</v>
      </c>
      <c r="CM161" s="253">
        <f t="shared" si="177"/>
        <v>9.6666666666666483E-4</v>
      </c>
      <c r="CN161" s="255">
        <f t="shared" si="165"/>
        <v>9.6666666666666484E-2</v>
      </c>
      <c r="CS161" s="248"/>
      <c r="DH161" s="258" t="e">
        <f>((((IF($R$5=0,$R$6,$R$5)))/(12*$R$19))+(((3*$R$15)/(2*IF($R$5=0,$R$6,$R$5)*$U$5*$R$19))*'IN-OUT'!$F$15))*'Burland damage classification'!DL161</f>
        <v>#DIV/0!</v>
      </c>
      <c r="DI161" s="262">
        <f>(1+(((IF($R$5=0,$R$6^2,$R$5^2))*$U$5)/(18*$R$15))*('IN-OUT'!$F$15^(-1)))*DM161</f>
        <v>5.6862407030773381E-4</v>
      </c>
      <c r="DJ161" s="254" t="e">
        <f t="shared" si="154"/>
        <v>#DIV/0!</v>
      </c>
      <c r="DK161" s="254" t="e">
        <f t="shared" si="166"/>
        <v>#DIV/0!</v>
      </c>
      <c r="DL161" s="254">
        <f t="shared" si="178"/>
        <v>3.3333333333335022E-5</v>
      </c>
      <c r="DM161" s="253">
        <f t="shared" si="155"/>
        <v>5.6862407030773381E-4</v>
      </c>
      <c r="DN161" s="253">
        <f t="shared" si="179"/>
        <v>9.6666666666666483E-4</v>
      </c>
      <c r="DO161" s="255">
        <f t="shared" si="167"/>
        <v>9.6666666666666484E-2</v>
      </c>
      <c r="DQ161" s="258" t="e">
        <f>((((IF($R$5=0,$R$6,$R$5)))/(12*$R$19))+(((3*$R$15)/(2*IF($R$5=0,$R$6,$R$5)*$U$5*$R$19))*'IN-OUT'!$F$15))*'Burland damage classification'!DU161</f>
        <v>#DIV/0!</v>
      </c>
      <c r="DR161" s="262">
        <f>(1+(((IF($R$5=0,$R$6^2,$R$5^2))*$U$5)/(18*$R$15))*('IN-OUT'!$F$15^(-1)))*DV161</f>
        <v>1.6268579122549914E-3</v>
      </c>
      <c r="DS161" s="254" t="e">
        <f t="shared" si="156"/>
        <v>#DIV/0!</v>
      </c>
      <c r="DT161" s="254" t="e">
        <f t="shared" si="168"/>
        <v>#DIV/0!</v>
      </c>
      <c r="DU161" s="254">
        <f t="shared" si="180"/>
        <v>1.0333333333333219E-3</v>
      </c>
      <c r="DV161" s="270">
        <f t="shared" si="157"/>
        <v>1.6268579122549914E-3</v>
      </c>
      <c r="DW161" s="253">
        <f t="shared" si="181"/>
        <v>9.6666666666666483E-4</v>
      </c>
      <c r="DX161" s="255">
        <f t="shared" si="169"/>
        <v>9.6666666666666484E-2</v>
      </c>
    </row>
    <row r="162" spans="21:128">
      <c r="U162" s="262"/>
      <c r="AN162" s="258">
        <f>(((IF($P$5&lt;&gt;0,$P$5,IF($P$6&lt;&gt;0,$P$6,IF($P$7&lt;&gt;0,$P$7,0))))/(12*$P$19))+(((3*$P$15)/(2*(IF($P$5&lt;&gt;0,$P$5,IF($P$6&lt;&gt;0,$P$6,IF($P$7&lt;&gt;0,$P$7,0))))*$U$5*$P$19))*'IN-OUT'!$F$15))*'Burland damage classification'!AR162</f>
        <v>8.5604060709530694E-5</v>
      </c>
      <c r="AO162" s="254">
        <f>(1+(((IF($P$5&lt;&gt;0,$P$5^2,IF($P$6&lt;&gt;0,$P$6^2,IF($P$7&lt;&gt;0,$P$7^2))))*$U$5)/(18*$P$15))*('IN-OUT'!$F$15^(-1)))*AS162</f>
        <v>5.9634587105243707E-4</v>
      </c>
      <c r="AP162" s="254">
        <f t="shared" si="146"/>
        <v>8.5604060709530694E-5</v>
      </c>
      <c r="AQ162" s="254">
        <f t="shared" si="158"/>
        <v>8.5604060709530694E-3</v>
      </c>
      <c r="AR162" s="254">
        <f t="shared" si="170"/>
        <v>2.6666666666668354E-5</v>
      </c>
      <c r="AS162" s="253">
        <f t="shared" si="148"/>
        <v>5.6450568346710906E-4</v>
      </c>
      <c r="AT162" s="253">
        <f t="shared" si="171"/>
        <v>9.7333333333333148E-4</v>
      </c>
      <c r="AU162" s="255">
        <f t="shared" si="159"/>
        <v>9.7333333333333147E-2</v>
      </c>
      <c r="AW162" s="258">
        <f>(((IF($P$5&lt;&gt;0,$P$5,IF($P$6&lt;&gt;0,$P$6,IF($P$7&lt;&gt;0,$P$7,0))))/(12*$P$19))+(((3*$P$15)/(2*(IF($P$5&lt;&gt;0,$P$5,IF($P$6&lt;&gt;0,$P$6,IF($P$7&lt;&gt;0,$P$7,0))))*$U$5*$P$19))*'IN-OUT'!$F$15))*'Burland damage classification'!BA162</f>
        <v>3.2957563373166862E-3</v>
      </c>
      <c r="AX162" s="254">
        <f>(1+(((IF($P$5&lt;&gt;0,$P$5^2,IF($P$6&lt;&gt;0,$P$6^2,IF($P$7&lt;&gt;0,$P$7^2))))*$U$5)/(18*$P$15))*('IN-OUT'!$F$15^(-1)))*BB162</f>
        <v>1.7155856692844032E-3</v>
      </c>
      <c r="AY162" s="254">
        <f t="shared" si="147"/>
        <v>1.7155856692844032E-3</v>
      </c>
      <c r="AZ162" s="254">
        <f t="shared" si="160"/>
        <v>0.17155856692844032</v>
      </c>
      <c r="BA162" s="254">
        <f t="shared" si="172"/>
        <v>1.0266666666666551E-3</v>
      </c>
      <c r="BB162" s="270">
        <f t="shared" si="149"/>
        <v>1.6239868636578733E-3</v>
      </c>
      <c r="BC162" s="253">
        <f t="shared" si="173"/>
        <v>9.7333333333333148E-4</v>
      </c>
      <c r="BD162" s="255">
        <f t="shared" si="161"/>
        <v>9.7333333333333147E-2</v>
      </c>
      <c r="BI162" s="248"/>
      <c r="BX162" s="258" t="e">
        <f>((((IF($Q$5=0,$Q$6,$Q$5)))/(12*$Q$19))+(((3*$Q$15)/(2*IF($Q$5=0,$Q$6,$Q$5)*$U$5*$Q$19))*'IN-OUT'!$F$15))*'Burland damage classification'!CB162</f>
        <v>#DIV/0!</v>
      </c>
      <c r="BY162" s="262">
        <f>(1+(((IF($Q$5=0,$Q$6^2,$Q$5^2))*$U$5)/(18*$Q$15))*('IN-OUT'!$F$15^(-1)))*CC162</f>
        <v>5.6450568346710906E-4</v>
      </c>
      <c r="BZ162" s="254" t="e">
        <f t="shared" si="150"/>
        <v>#DIV/0!</v>
      </c>
      <c r="CA162" s="254" t="e">
        <f t="shared" si="162"/>
        <v>#DIV/0!</v>
      </c>
      <c r="CB162" s="254">
        <f t="shared" si="174"/>
        <v>2.6666666666668354E-5</v>
      </c>
      <c r="CC162" s="253">
        <f t="shared" si="151"/>
        <v>5.6450568346710906E-4</v>
      </c>
      <c r="CD162" s="253">
        <f t="shared" si="175"/>
        <v>9.7333333333333148E-4</v>
      </c>
      <c r="CE162" s="255">
        <f t="shared" si="163"/>
        <v>9.7333333333333147E-2</v>
      </c>
      <c r="CG162" s="258" t="e">
        <f>((((IF($Q$5=0,$Q$6,$Q$5)))/(12*$Q$19))+(((3*$Q$15)/(2*IF($Q$5=0,$Q$6,$Q$5)*$U$5*$Q$19))*'IN-OUT'!$F$15))*'Burland damage classification'!CK162</f>
        <v>#DIV/0!</v>
      </c>
      <c r="CH162" s="262">
        <f>(1+(((IF($Q$5=0,$Q$6^2,$Q$5^2))*$U$5)/(18*$Q$15))*('IN-OUT'!$F$15^(-1)))*CL162</f>
        <v>1.6239868636578733E-3</v>
      </c>
      <c r="CI162" s="254" t="e">
        <f t="shared" si="152"/>
        <v>#DIV/0!</v>
      </c>
      <c r="CJ162" s="254" t="e">
        <f t="shared" si="164"/>
        <v>#DIV/0!</v>
      </c>
      <c r="CK162" s="254">
        <f t="shared" si="176"/>
        <v>1.0266666666666551E-3</v>
      </c>
      <c r="CL162" s="270">
        <f t="shared" si="153"/>
        <v>1.6239868636578733E-3</v>
      </c>
      <c r="CM162" s="253">
        <f t="shared" si="177"/>
        <v>9.7333333333333148E-4</v>
      </c>
      <c r="CN162" s="255">
        <f t="shared" si="165"/>
        <v>9.7333333333333147E-2</v>
      </c>
      <c r="CS162" s="248"/>
      <c r="DH162" s="258" t="e">
        <f>((((IF($R$5=0,$R$6,$R$5)))/(12*$R$19))+(((3*$R$15)/(2*IF($R$5=0,$R$6,$R$5)*$U$5*$R$19))*'IN-OUT'!$F$15))*'Burland damage classification'!DL162</f>
        <v>#DIV/0!</v>
      </c>
      <c r="DI162" s="262">
        <f>(1+(((IF($R$5=0,$R$6^2,$R$5^2))*$U$5)/(18*$R$15))*('IN-OUT'!$F$15^(-1)))*DM162</f>
        <v>5.6450568346710906E-4</v>
      </c>
      <c r="DJ162" s="254" t="e">
        <f t="shared" si="154"/>
        <v>#DIV/0!</v>
      </c>
      <c r="DK162" s="254" t="e">
        <f t="shared" si="166"/>
        <v>#DIV/0!</v>
      </c>
      <c r="DL162" s="254">
        <f t="shared" si="178"/>
        <v>2.6666666666668354E-5</v>
      </c>
      <c r="DM162" s="253">
        <f t="shared" si="155"/>
        <v>5.6450568346710906E-4</v>
      </c>
      <c r="DN162" s="253">
        <f t="shared" si="179"/>
        <v>9.7333333333333148E-4</v>
      </c>
      <c r="DO162" s="255">
        <f t="shared" si="167"/>
        <v>9.7333333333333147E-2</v>
      </c>
      <c r="DQ162" s="258" t="e">
        <f>((((IF($R$5=0,$R$6,$R$5)))/(12*$R$19))+(((3*$R$15)/(2*IF($R$5=0,$R$6,$R$5)*$U$5*$R$19))*'IN-OUT'!$F$15))*'Burland damage classification'!DU162</f>
        <v>#DIV/0!</v>
      </c>
      <c r="DR162" s="262">
        <f>(1+(((IF($R$5=0,$R$6^2,$R$5^2))*$U$5)/(18*$R$15))*('IN-OUT'!$F$15^(-1)))*DV162</f>
        <v>1.6239868636578733E-3</v>
      </c>
      <c r="DS162" s="254" t="e">
        <f t="shared" si="156"/>
        <v>#DIV/0!</v>
      </c>
      <c r="DT162" s="254" t="e">
        <f t="shared" si="168"/>
        <v>#DIV/0!</v>
      </c>
      <c r="DU162" s="254">
        <f t="shared" si="180"/>
        <v>1.0266666666666551E-3</v>
      </c>
      <c r="DV162" s="270">
        <f t="shared" si="157"/>
        <v>1.6239868636578733E-3</v>
      </c>
      <c r="DW162" s="253">
        <f t="shared" si="181"/>
        <v>9.7333333333333148E-4</v>
      </c>
      <c r="DX162" s="255">
        <f t="shared" si="169"/>
        <v>9.7333333333333147E-2</v>
      </c>
    </row>
    <row r="163" spans="21:128">
      <c r="U163" s="262"/>
      <c r="AN163" s="258">
        <f>(((IF($P$5&lt;&gt;0,$P$5,IF($P$6&lt;&gt;0,$P$6,IF($P$7&lt;&gt;0,$P$7,0))))/(12*$P$19))+(((3*$P$15)/(2*(IF($P$5&lt;&gt;0,$P$5,IF($P$6&lt;&gt;0,$P$6,IF($P$7&lt;&gt;0,$P$7,0))))*$U$5*$P$19))*'IN-OUT'!$F$15))*'Burland damage classification'!AR163</f>
        <v>6.4203045532149376E-5</v>
      </c>
      <c r="AO163" s="254">
        <f>(1+(((IF($P$5&lt;&gt;0,$P$5^2,IF($P$6&lt;&gt;0,$P$6^2,IF($P$7&lt;&gt;0,$P$7^2))))*$U$5)/(18*$P$15))*('IN-OUT'!$F$15^(-1)))*AS163</f>
        <v>5.9196321732975644E-4</v>
      </c>
      <c r="AP163" s="254">
        <f t="shared" si="146"/>
        <v>6.4203045532149376E-5</v>
      </c>
      <c r="AQ163" s="254">
        <f t="shared" si="158"/>
        <v>6.4203045532149373E-3</v>
      </c>
      <c r="AR163" s="254">
        <f t="shared" si="170"/>
        <v>2.0000000000001686E-5</v>
      </c>
      <c r="AS163" s="253">
        <f t="shared" si="148"/>
        <v>5.6035702904487711E-4</v>
      </c>
      <c r="AT163" s="253">
        <f t="shared" si="171"/>
        <v>9.7999999999999823E-4</v>
      </c>
      <c r="AU163" s="255">
        <f t="shared" si="159"/>
        <v>9.7999999999999823E-2</v>
      </c>
      <c r="AW163" s="258">
        <f>(((IF($P$5&lt;&gt;0,$P$5,IF($P$6&lt;&gt;0,$P$6,IF($P$7&lt;&gt;0,$P$7,0))))/(12*$P$19))+(((3*$P$15)/(2*(IF($P$5&lt;&gt;0,$P$5,IF($P$6&lt;&gt;0,$P$6,IF($P$7&lt;&gt;0,$P$7,0))))*$U$5*$P$19))*'IN-OUT'!$F$15))*'Burland damage classification'!BA163</f>
        <v>3.2743553221393044E-3</v>
      </c>
      <c r="AX163" s="254">
        <f>(1+(((IF($P$5&lt;&gt;0,$P$5^2,IF($P$6&lt;&gt;0,$P$6^2,IF($P$7&lt;&gt;0,$P$7^2))))*$U$5)/(18*$P$15))*('IN-OUT'!$F$15^(-1)))*BB163</f>
        <v>1.7125473115082769E-3</v>
      </c>
      <c r="AY163" s="254">
        <f t="shared" si="147"/>
        <v>1.7125473115082769E-3</v>
      </c>
      <c r="AZ163" s="254">
        <f t="shared" si="160"/>
        <v>0.17125473115082768</v>
      </c>
      <c r="BA163" s="254">
        <f t="shared" si="172"/>
        <v>1.0199999999999884E-3</v>
      </c>
      <c r="BB163" s="270">
        <f t="shared" si="149"/>
        <v>1.6211107303327563E-3</v>
      </c>
      <c r="BC163" s="253">
        <f t="shared" si="173"/>
        <v>9.7999999999999823E-4</v>
      </c>
      <c r="BD163" s="255">
        <f t="shared" si="161"/>
        <v>9.7999999999999823E-2</v>
      </c>
      <c r="BI163" s="248"/>
      <c r="BX163" s="258" t="e">
        <f>((((IF($Q$5=0,$Q$6,$Q$5)))/(12*$Q$19))+(((3*$Q$15)/(2*IF($Q$5=0,$Q$6,$Q$5)*$U$5*$Q$19))*'IN-OUT'!$F$15))*'Burland damage classification'!CB163</f>
        <v>#DIV/0!</v>
      </c>
      <c r="BY163" s="262">
        <f>(1+(((IF($Q$5=0,$Q$6^2,$Q$5^2))*$U$5)/(18*$Q$15))*('IN-OUT'!$F$15^(-1)))*CC163</f>
        <v>5.6035702904487711E-4</v>
      </c>
      <c r="BZ163" s="254" t="e">
        <f t="shared" si="150"/>
        <v>#DIV/0!</v>
      </c>
      <c r="CA163" s="254" t="e">
        <f t="shared" si="162"/>
        <v>#DIV/0!</v>
      </c>
      <c r="CB163" s="254">
        <f t="shared" si="174"/>
        <v>2.0000000000001686E-5</v>
      </c>
      <c r="CC163" s="253">
        <f t="shared" si="151"/>
        <v>5.6035702904487711E-4</v>
      </c>
      <c r="CD163" s="253">
        <f t="shared" si="175"/>
        <v>9.7999999999999823E-4</v>
      </c>
      <c r="CE163" s="255">
        <f t="shared" si="163"/>
        <v>9.7999999999999823E-2</v>
      </c>
      <c r="CG163" s="258" t="e">
        <f>((((IF($Q$5=0,$Q$6,$Q$5)))/(12*$Q$19))+(((3*$Q$15)/(2*IF($Q$5=0,$Q$6,$Q$5)*$U$5*$Q$19))*'IN-OUT'!$F$15))*'Burland damage classification'!CK163</f>
        <v>#DIV/0!</v>
      </c>
      <c r="CH163" s="262">
        <f>(1+(((IF($Q$5=0,$Q$6^2,$Q$5^2))*$U$5)/(18*$Q$15))*('IN-OUT'!$F$15^(-1)))*CL163</f>
        <v>1.6211107303327563E-3</v>
      </c>
      <c r="CI163" s="254" t="e">
        <f t="shared" si="152"/>
        <v>#DIV/0!</v>
      </c>
      <c r="CJ163" s="254" t="e">
        <f t="shared" si="164"/>
        <v>#DIV/0!</v>
      </c>
      <c r="CK163" s="254">
        <f t="shared" si="176"/>
        <v>1.0199999999999884E-3</v>
      </c>
      <c r="CL163" s="270">
        <f t="shared" si="153"/>
        <v>1.6211107303327563E-3</v>
      </c>
      <c r="CM163" s="253">
        <f t="shared" si="177"/>
        <v>9.7999999999999823E-4</v>
      </c>
      <c r="CN163" s="255">
        <f t="shared" si="165"/>
        <v>9.7999999999999823E-2</v>
      </c>
      <c r="CS163" s="248"/>
      <c r="DH163" s="258" t="e">
        <f>((((IF($R$5=0,$R$6,$R$5)))/(12*$R$19))+(((3*$R$15)/(2*IF($R$5=0,$R$6,$R$5)*$U$5*$R$19))*'IN-OUT'!$F$15))*'Burland damage classification'!DL163</f>
        <v>#DIV/0!</v>
      </c>
      <c r="DI163" s="262">
        <f>(1+(((IF($R$5=0,$R$6^2,$R$5^2))*$U$5)/(18*$R$15))*('IN-OUT'!$F$15^(-1)))*DM163</f>
        <v>5.6035702904487711E-4</v>
      </c>
      <c r="DJ163" s="254" t="e">
        <f t="shared" si="154"/>
        <v>#DIV/0!</v>
      </c>
      <c r="DK163" s="254" t="e">
        <f t="shared" si="166"/>
        <v>#DIV/0!</v>
      </c>
      <c r="DL163" s="254">
        <f t="shared" si="178"/>
        <v>2.0000000000001686E-5</v>
      </c>
      <c r="DM163" s="253">
        <f t="shared" si="155"/>
        <v>5.6035702904487711E-4</v>
      </c>
      <c r="DN163" s="253">
        <f t="shared" si="179"/>
        <v>9.7999999999999823E-4</v>
      </c>
      <c r="DO163" s="255">
        <f t="shared" si="167"/>
        <v>9.7999999999999823E-2</v>
      </c>
      <c r="DQ163" s="258" t="e">
        <f>((((IF($R$5=0,$R$6,$R$5)))/(12*$R$19))+(((3*$R$15)/(2*IF($R$5=0,$R$6,$R$5)*$U$5*$R$19))*'IN-OUT'!$F$15))*'Burland damage classification'!DU163</f>
        <v>#DIV/0!</v>
      </c>
      <c r="DR163" s="262">
        <f>(1+(((IF($R$5=0,$R$6^2,$R$5^2))*$U$5)/(18*$R$15))*('IN-OUT'!$F$15^(-1)))*DV163</f>
        <v>1.6211107303327563E-3</v>
      </c>
      <c r="DS163" s="254" t="e">
        <f t="shared" si="156"/>
        <v>#DIV/0!</v>
      </c>
      <c r="DT163" s="254" t="e">
        <f t="shared" si="168"/>
        <v>#DIV/0!</v>
      </c>
      <c r="DU163" s="254">
        <f t="shared" si="180"/>
        <v>1.0199999999999884E-3</v>
      </c>
      <c r="DV163" s="270">
        <f t="shared" si="157"/>
        <v>1.6211107303327563E-3</v>
      </c>
      <c r="DW163" s="253">
        <f t="shared" si="181"/>
        <v>9.7999999999999823E-4</v>
      </c>
      <c r="DX163" s="255">
        <f t="shared" si="169"/>
        <v>9.7999999999999823E-2</v>
      </c>
    </row>
    <row r="164" spans="21:128">
      <c r="U164" s="262"/>
      <c r="AN164" s="258">
        <f>(((IF($P$5&lt;&gt;0,$P$5,IF($P$6&lt;&gt;0,$P$6,IF($P$7&lt;&gt;0,$P$7,0))))/(12*$P$19))+(((3*$P$15)/(2*(IF($P$5&lt;&gt;0,$P$5,IF($P$6&lt;&gt;0,$P$6,IF($P$7&lt;&gt;0,$P$7,0))))*$U$5*$P$19))*'IN-OUT'!$F$15))*'Burland damage classification'!AR164</f>
        <v>4.2802030354768051E-5</v>
      </c>
      <c r="AO164" s="254">
        <f>(1+(((IF($P$5&lt;&gt;0,$P$5^2,IF($P$6&lt;&gt;0,$P$6^2,IF($P$7&lt;&gt;0,$P$7^2))))*$U$5)/(18*$P$15))*('IN-OUT'!$F$15^(-1)))*AS164</f>
        <v>5.8754787330182984E-4</v>
      </c>
      <c r="AP164" s="254">
        <f t="shared" si="146"/>
        <v>4.2802030354768051E-5</v>
      </c>
      <c r="AQ164" s="254">
        <f t="shared" si="158"/>
        <v>4.2802030354768053E-3</v>
      </c>
      <c r="AR164" s="254">
        <f t="shared" si="170"/>
        <v>1.3333333333335019E-5</v>
      </c>
      <c r="AS164" s="253">
        <f t="shared" si="148"/>
        <v>5.5617742972304668E-4</v>
      </c>
      <c r="AT164" s="253">
        <f t="shared" si="171"/>
        <v>9.8666666666666499E-4</v>
      </c>
      <c r="AU164" s="255">
        <f t="shared" si="159"/>
        <v>9.86666666666665E-2</v>
      </c>
      <c r="AW164" s="258">
        <f>(((IF($P$5&lt;&gt;0,$P$5,IF($P$6&lt;&gt;0,$P$6,IF($P$7&lt;&gt;0,$P$7,0))))/(12*$P$19))+(((3*$P$15)/(2*(IF($P$5&lt;&gt;0,$P$5,IF($P$6&lt;&gt;0,$P$6,IF($P$7&lt;&gt;0,$P$7,0))))*$U$5*$P$19))*'IN-OUT'!$F$15))*'Burland damage classification'!BA164</f>
        <v>3.2529543069619231E-3</v>
      </c>
      <c r="AX164" s="254">
        <f>(1+(((IF($P$5&lt;&gt;0,$P$5^2,IF($P$6&lt;&gt;0,$P$6^2,IF($P$7&lt;&gt;0,$P$7^2))))*$U$5)/(18*$P$15))*('IN-OUT'!$F$15^(-1)))*BB164</f>
        <v>1.7095035535659002E-3</v>
      </c>
      <c r="AY164" s="254">
        <f t="shared" si="147"/>
        <v>1.7095035535659002E-3</v>
      </c>
      <c r="AZ164" s="254">
        <f t="shared" si="160"/>
        <v>0.17095035535659001</v>
      </c>
      <c r="BA164" s="254">
        <f t="shared" si="172"/>
        <v>1.0133333333333216E-3</v>
      </c>
      <c r="BB164" s="270">
        <f t="shared" si="149"/>
        <v>1.61822948516787E-3</v>
      </c>
      <c r="BC164" s="253">
        <f t="shared" si="173"/>
        <v>9.8666666666666499E-4</v>
      </c>
      <c r="BD164" s="255">
        <f t="shared" si="161"/>
        <v>9.86666666666665E-2</v>
      </c>
      <c r="BI164" s="248"/>
      <c r="BX164" s="258" t="e">
        <f>((((IF($Q$5=0,$Q$6,$Q$5)))/(12*$Q$19))+(((3*$Q$15)/(2*IF($Q$5=0,$Q$6,$Q$5)*$U$5*$Q$19))*'IN-OUT'!$F$15))*'Burland damage classification'!CB164</f>
        <v>#DIV/0!</v>
      </c>
      <c r="BY164" s="262">
        <f>(1+(((IF($Q$5=0,$Q$6^2,$Q$5^2))*$U$5)/(18*$Q$15))*('IN-OUT'!$F$15^(-1)))*CC164</f>
        <v>5.5617742972304668E-4</v>
      </c>
      <c r="BZ164" s="254" t="e">
        <f t="shared" si="150"/>
        <v>#DIV/0!</v>
      </c>
      <c r="CA164" s="254" t="e">
        <f t="shared" si="162"/>
        <v>#DIV/0!</v>
      </c>
      <c r="CB164" s="254">
        <f t="shared" si="174"/>
        <v>1.3333333333335019E-5</v>
      </c>
      <c r="CC164" s="253">
        <f t="shared" si="151"/>
        <v>5.5617742972304668E-4</v>
      </c>
      <c r="CD164" s="253">
        <f t="shared" si="175"/>
        <v>9.8666666666666499E-4</v>
      </c>
      <c r="CE164" s="255">
        <f t="shared" si="163"/>
        <v>9.86666666666665E-2</v>
      </c>
      <c r="CG164" s="258" t="e">
        <f>((((IF($Q$5=0,$Q$6,$Q$5)))/(12*$Q$19))+(((3*$Q$15)/(2*IF($Q$5=0,$Q$6,$Q$5)*$U$5*$Q$19))*'IN-OUT'!$F$15))*'Burland damage classification'!CK164</f>
        <v>#DIV/0!</v>
      </c>
      <c r="CH164" s="262">
        <f>(1+(((IF($Q$5=0,$Q$6^2,$Q$5^2))*$U$5)/(18*$Q$15))*('IN-OUT'!$F$15^(-1)))*CL164</f>
        <v>1.61822948516787E-3</v>
      </c>
      <c r="CI164" s="254" t="e">
        <f t="shared" si="152"/>
        <v>#DIV/0!</v>
      </c>
      <c r="CJ164" s="254" t="e">
        <f t="shared" si="164"/>
        <v>#DIV/0!</v>
      </c>
      <c r="CK164" s="254">
        <f t="shared" si="176"/>
        <v>1.0133333333333216E-3</v>
      </c>
      <c r="CL164" s="270">
        <f t="shared" si="153"/>
        <v>1.61822948516787E-3</v>
      </c>
      <c r="CM164" s="253">
        <f t="shared" si="177"/>
        <v>9.8666666666666499E-4</v>
      </c>
      <c r="CN164" s="255">
        <f t="shared" si="165"/>
        <v>9.86666666666665E-2</v>
      </c>
      <c r="CS164" s="248"/>
      <c r="DH164" s="258" t="e">
        <f>((((IF($R$5=0,$R$6,$R$5)))/(12*$R$19))+(((3*$R$15)/(2*IF($R$5=0,$R$6,$R$5)*$U$5*$R$19))*'IN-OUT'!$F$15))*'Burland damage classification'!DL164</f>
        <v>#DIV/0!</v>
      </c>
      <c r="DI164" s="262">
        <f>(1+(((IF($R$5=0,$R$6^2,$R$5^2))*$U$5)/(18*$R$15))*('IN-OUT'!$F$15^(-1)))*DM164</f>
        <v>5.5617742972304668E-4</v>
      </c>
      <c r="DJ164" s="254" t="e">
        <f t="shared" si="154"/>
        <v>#DIV/0!</v>
      </c>
      <c r="DK164" s="254" t="e">
        <f t="shared" si="166"/>
        <v>#DIV/0!</v>
      </c>
      <c r="DL164" s="254">
        <f t="shared" si="178"/>
        <v>1.3333333333335019E-5</v>
      </c>
      <c r="DM164" s="253">
        <f t="shared" si="155"/>
        <v>5.5617742972304668E-4</v>
      </c>
      <c r="DN164" s="253">
        <f t="shared" si="179"/>
        <v>9.8666666666666499E-4</v>
      </c>
      <c r="DO164" s="255">
        <f t="shared" si="167"/>
        <v>9.86666666666665E-2</v>
      </c>
      <c r="DQ164" s="258" t="e">
        <f>((((IF($R$5=0,$R$6,$R$5)))/(12*$R$19))+(((3*$R$15)/(2*IF($R$5=0,$R$6,$R$5)*$U$5*$R$19))*'IN-OUT'!$F$15))*'Burland damage classification'!DU164</f>
        <v>#DIV/0!</v>
      </c>
      <c r="DR164" s="262">
        <f>(1+(((IF($R$5=0,$R$6^2,$R$5^2))*$U$5)/(18*$R$15))*('IN-OUT'!$F$15^(-1)))*DV164</f>
        <v>1.61822948516787E-3</v>
      </c>
      <c r="DS164" s="254" t="e">
        <f t="shared" si="156"/>
        <v>#DIV/0!</v>
      </c>
      <c r="DT164" s="254" t="e">
        <f t="shared" si="168"/>
        <v>#DIV/0!</v>
      </c>
      <c r="DU164" s="254">
        <f t="shared" si="180"/>
        <v>1.0133333333333216E-3</v>
      </c>
      <c r="DV164" s="270">
        <f t="shared" si="157"/>
        <v>1.61822948516787E-3</v>
      </c>
      <c r="DW164" s="253">
        <f t="shared" si="181"/>
        <v>9.8666666666666499E-4</v>
      </c>
      <c r="DX164" s="255">
        <f t="shared" si="169"/>
        <v>9.86666666666665E-2</v>
      </c>
    </row>
    <row r="165" spans="21:128">
      <c r="U165" s="262"/>
      <c r="AN165" s="258">
        <f>(((IF($P$5&lt;&gt;0,$P$5,IF($P$6&lt;&gt;0,$P$6,IF($P$7&lt;&gt;0,$P$7,0))))/(12*$P$19))+(((3*$P$15)/(2*(IF($P$5&lt;&gt;0,$P$5,IF($P$6&lt;&gt;0,$P$6,IF($P$7&lt;&gt;0,$P$7,0))))*$U$5*$P$19))*'IN-OUT'!$F$15))*'Burland damage classification'!AR165</f>
        <v>2.1401015177386729E-5</v>
      </c>
      <c r="AO165" s="254">
        <f>(1+(((IF($P$5&lt;&gt;0,$P$5^2,IF($P$6&lt;&gt;0,$P$6^2,IF($P$7&lt;&gt;0,$P$7^2))))*$U$5)/(18*$P$15))*('IN-OUT'!$F$15^(-1)))*AS165</f>
        <v>5.8309909635636517E-4</v>
      </c>
      <c r="AP165" s="254">
        <f t="shared" si="146"/>
        <v>2.1401015177386729E-5</v>
      </c>
      <c r="AQ165" s="254">
        <f t="shared" si="158"/>
        <v>2.1401015177386728E-3</v>
      </c>
      <c r="AR165" s="254">
        <f t="shared" si="170"/>
        <v>6.6666666666683522E-6</v>
      </c>
      <c r="AS165" s="253">
        <f t="shared" si="148"/>
        <v>5.5196618253899193E-4</v>
      </c>
      <c r="AT165" s="253">
        <f t="shared" si="171"/>
        <v>9.9333333333333175E-4</v>
      </c>
      <c r="AU165" s="255">
        <f t="shared" si="159"/>
        <v>9.9333333333333176E-2</v>
      </c>
      <c r="AW165" s="258">
        <f>(((IF($P$5&lt;&gt;0,$P$5,IF($P$6&lt;&gt;0,$P$6,IF($P$7&lt;&gt;0,$P$7,0))))/(12*$P$19))+(((3*$P$15)/(2*(IF($P$5&lt;&gt;0,$P$5,IF($P$6&lt;&gt;0,$P$6,IF($P$7&lt;&gt;0,$P$7,0))))*$U$5*$P$19))*'IN-OUT'!$F$15))*'Burland damage classification'!BA165</f>
        <v>3.2315532917845413E-3</v>
      </c>
      <c r="AX165" s="254">
        <f>(1+(((IF($P$5&lt;&gt;0,$P$5^2,IF($P$6&lt;&gt;0,$P$6^2,IF($P$7&lt;&gt;0,$P$7^2))))*$U$5)/(18*$P$15))*('IN-OUT'!$F$15^(-1)))*BB165</f>
        <v>1.7064543665608679E-3</v>
      </c>
      <c r="AY165" s="254">
        <f t="shared" si="147"/>
        <v>1.7064543665608679E-3</v>
      </c>
      <c r="AZ165" s="254">
        <f t="shared" si="160"/>
        <v>0.17064543665608678</v>
      </c>
      <c r="BA165" s="254">
        <f t="shared" si="172"/>
        <v>1.0066666666666549E-3</v>
      </c>
      <c r="BB165" s="270">
        <f t="shared" si="149"/>
        <v>1.6153431008096501E-3</v>
      </c>
      <c r="BC165" s="253">
        <f t="shared" si="173"/>
        <v>9.9333333333333175E-4</v>
      </c>
      <c r="BD165" s="255">
        <f t="shared" si="161"/>
        <v>9.9333333333333176E-2</v>
      </c>
      <c r="BI165" s="248"/>
      <c r="BX165" s="258" t="e">
        <f>((((IF($Q$5=0,$Q$6,$Q$5)))/(12*$Q$19))+(((3*$Q$15)/(2*IF($Q$5=0,$Q$6,$Q$5)*$U$5*$Q$19))*'IN-OUT'!$F$15))*'Burland damage classification'!CB165</f>
        <v>#DIV/0!</v>
      </c>
      <c r="BY165" s="262">
        <f>(1+(((IF($Q$5=0,$Q$6^2,$Q$5^2))*$U$5)/(18*$Q$15))*('IN-OUT'!$F$15^(-1)))*CC165</f>
        <v>5.5196618253899193E-4</v>
      </c>
      <c r="BZ165" s="254" t="e">
        <f t="shared" si="150"/>
        <v>#DIV/0!</v>
      </c>
      <c r="CA165" s="254" t="e">
        <f t="shared" si="162"/>
        <v>#DIV/0!</v>
      </c>
      <c r="CB165" s="254">
        <f t="shared" si="174"/>
        <v>6.6666666666683522E-6</v>
      </c>
      <c r="CC165" s="253">
        <f t="shared" si="151"/>
        <v>5.5196618253899193E-4</v>
      </c>
      <c r="CD165" s="253">
        <f t="shared" si="175"/>
        <v>9.9333333333333175E-4</v>
      </c>
      <c r="CE165" s="255">
        <f t="shared" si="163"/>
        <v>9.9333333333333176E-2</v>
      </c>
      <c r="CG165" s="258" t="e">
        <f>((((IF($Q$5=0,$Q$6,$Q$5)))/(12*$Q$19))+(((3*$Q$15)/(2*IF($Q$5=0,$Q$6,$Q$5)*$U$5*$Q$19))*'IN-OUT'!$F$15))*'Burland damage classification'!CK165</f>
        <v>#DIV/0!</v>
      </c>
      <c r="CH165" s="262">
        <f>(1+(((IF($Q$5=0,$Q$6^2,$Q$5^2))*$U$5)/(18*$Q$15))*('IN-OUT'!$F$15^(-1)))*CL165</f>
        <v>1.6153431008096501E-3</v>
      </c>
      <c r="CI165" s="254" t="e">
        <f t="shared" si="152"/>
        <v>#DIV/0!</v>
      </c>
      <c r="CJ165" s="254" t="e">
        <f t="shared" si="164"/>
        <v>#DIV/0!</v>
      </c>
      <c r="CK165" s="254">
        <f t="shared" si="176"/>
        <v>1.0066666666666549E-3</v>
      </c>
      <c r="CL165" s="270">
        <f t="shared" si="153"/>
        <v>1.6153431008096501E-3</v>
      </c>
      <c r="CM165" s="253">
        <f t="shared" si="177"/>
        <v>9.9333333333333175E-4</v>
      </c>
      <c r="CN165" s="255">
        <f t="shared" si="165"/>
        <v>9.9333333333333176E-2</v>
      </c>
      <c r="CS165" s="248"/>
      <c r="DH165" s="258" t="e">
        <f>((((IF($R$5=0,$R$6,$R$5)))/(12*$R$19))+(((3*$R$15)/(2*IF($R$5=0,$R$6,$R$5)*$U$5*$R$19))*'IN-OUT'!$F$15))*'Burland damage classification'!DL165</f>
        <v>#DIV/0!</v>
      </c>
      <c r="DI165" s="262">
        <f>(1+(((IF($R$5=0,$R$6^2,$R$5^2))*$U$5)/(18*$R$15))*('IN-OUT'!$F$15^(-1)))*DM165</f>
        <v>5.5196618253899193E-4</v>
      </c>
      <c r="DJ165" s="254" t="e">
        <f t="shared" si="154"/>
        <v>#DIV/0!</v>
      </c>
      <c r="DK165" s="254" t="e">
        <f t="shared" si="166"/>
        <v>#DIV/0!</v>
      </c>
      <c r="DL165" s="254">
        <f t="shared" si="178"/>
        <v>6.6666666666683522E-6</v>
      </c>
      <c r="DM165" s="253">
        <f t="shared" si="155"/>
        <v>5.5196618253899193E-4</v>
      </c>
      <c r="DN165" s="253">
        <f t="shared" si="179"/>
        <v>9.9333333333333175E-4</v>
      </c>
      <c r="DO165" s="255">
        <f t="shared" si="167"/>
        <v>9.9333333333333176E-2</v>
      </c>
      <c r="DQ165" s="258" t="e">
        <f>((((IF($R$5=0,$R$6,$R$5)))/(12*$R$19))+(((3*$R$15)/(2*IF($R$5=0,$R$6,$R$5)*$U$5*$R$19))*'IN-OUT'!$F$15))*'Burland damage classification'!DU165</f>
        <v>#DIV/0!</v>
      </c>
      <c r="DR165" s="262">
        <f>(1+(((IF($R$5=0,$R$6^2,$R$5^2))*$U$5)/(18*$R$15))*('IN-OUT'!$F$15^(-1)))*DV165</f>
        <v>1.6153431008096501E-3</v>
      </c>
      <c r="DS165" s="254" t="e">
        <f t="shared" si="156"/>
        <v>#DIV/0!</v>
      </c>
      <c r="DT165" s="254" t="e">
        <f t="shared" si="168"/>
        <v>#DIV/0!</v>
      </c>
      <c r="DU165" s="254">
        <f t="shared" si="180"/>
        <v>1.0066666666666549E-3</v>
      </c>
      <c r="DV165" s="270">
        <f t="shared" si="157"/>
        <v>1.6153431008096501E-3</v>
      </c>
      <c r="DW165" s="253">
        <f t="shared" si="181"/>
        <v>9.9333333333333175E-4</v>
      </c>
      <c r="DX165" s="255">
        <f t="shared" si="169"/>
        <v>9.9333333333333176E-2</v>
      </c>
    </row>
    <row r="166" spans="21:128" ht="13.8" thickBot="1">
      <c r="U166" s="262"/>
      <c r="AN166" s="258">
        <f>(((IF($P$5&lt;&gt;0,$P$5,IF($P$6&lt;&gt;0,$P$6,IF($P$7&lt;&gt;0,$P$7,0))))/(12*$P$19))+(((3*$P$15)/(2*(IF($P$5&lt;&gt;0,$P$5,IF($P$6&lt;&gt;0,$P$6,IF($P$7&lt;&gt;0,$P$7,0))))*$U$5*$P$19))*'IN-OUT'!$F$15))*'Burland damage classification'!AR166</f>
        <v>5.411018440539497E-18</v>
      </c>
      <c r="AO166" s="254">
        <f>(1+(((IF($P$5&lt;&gt;0,$P$5^2,IF($P$6&lt;&gt;0,$P$6^2,IF($P$7&lt;&gt;0,$P$7^2))))*$U$5)/(18*$P$15))*('IN-OUT'!$F$15^(-1)))*AS166</f>
        <v>5.7861611533184607E-4</v>
      </c>
      <c r="AP166" s="259">
        <f t="shared" si="146"/>
        <v>5.411018440539497E-18</v>
      </c>
      <c r="AQ166" s="259">
        <f t="shared" si="158"/>
        <v>5.411018440539497E-16</v>
      </c>
      <c r="AR166" s="254">
        <f t="shared" si="170"/>
        <v>1.6855955650360577E-18</v>
      </c>
      <c r="AS166" s="260">
        <f t="shared" si="148"/>
        <v>5.4772255750516708E-4</v>
      </c>
      <c r="AT166" s="253">
        <f t="shared" si="171"/>
        <v>9.999999999999985E-4</v>
      </c>
      <c r="AU166" s="261">
        <f t="shared" si="159"/>
        <v>9.9999999999999853E-2</v>
      </c>
      <c r="AW166" s="258">
        <f>(((IF($P$5&lt;&gt;0,$P$5,IF($P$6&lt;&gt;0,$P$6,IF($P$7&lt;&gt;0,$P$7,0))))/(12*$P$19))+(((3*$P$15)/(2*(IF($P$5&lt;&gt;0,$P$5,IF($P$6&lt;&gt;0,$P$6,IF($P$7&lt;&gt;0,$P$7,0))))*$U$5*$P$19))*'IN-OUT'!$F$15))*'Burland damage classification'!BA166</f>
        <v>3.2101522766071599E-3</v>
      </c>
      <c r="AX166" s="254">
        <f>(1+(((IF($P$5&lt;&gt;0,$P$5^2,IF($P$6&lt;&gt;0,$P$6^2,IF($P$7&lt;&gt;0,$P$7^2))))*$U$5)/(18*$P$15))*('IN-OUT'!$F$15^(-1)))*BB166</f>
        <v>1.7033997213381439E-3</v>
      </c>
      <c r="AY166" s="254">
        <f t="shared" si="147"/>
        <v>1.7033997213381439E-3</v>
      </c>
      <c r="AZ166" s="254">
        <f t="shared" si="160"/>
        <v>0.17033997213381438</v>
      </c>
      <c r="BA166" s="254">
        <f t="shared" si="172"/>
        <v>9.9999999999998809E-4</v>
      </c>
      <c r="BB166" s="270">
        <f t="shared" si="149"/>
        <v>1.6124515496597105E-3</v>
      </c>
      <c r="BC166" s="253">
        <f t="shared" si="173"/>
        <v>9.999999999999985E-4</v>
      </c>
      <c r="BD166" s="255">
        <f t="shared" si="161"/>
        <v>9.9999999999999853E-2</v>
      </c>
      <c r="BI166" s="248"/>
      <c r="BX166" s="265" t="e">
        <f>((((IF($Q$5=0,$Q$6,$Q$5)))/(12*$Q$19))+(((3*$Q$15)/(2*IF($Q$5=0,$Q$6,$Q$5)*$U$5*$Q$19))*'IN-OUT'!$F$15))*'Burland damage classification'!CB166</f>
        <v>#DIV/0!</v>
      </c>
      <c r="BY166" s="272">
        <f>(1+(((IF($Q$5=0,$Q$6^2,$Q$5^2))*$U$5)/(18*$Q$15))*('IN-OUT'!$F$15^(-1)))*CC166</f>
        <v>5.4772255750516708E-4</v>
      </c>
      <c r="BZ166" s="259" t="e">
        <f t="shared" si="150"/>
        <v>#DIV/0!</v>
      </c>
      <c r="CA166" s="259" t="e">
        <f t="shared" si="162"/>
        <v>#DIV/0!</v>
      </c>
      <c r="CB166" s="254">
        <f t="shared" si="174"/>
        <v>1.6855955650360577E-18</v>
      </c>
      <c r="CC166" s="260">
        <f t="shared" si="151"/>
        <v>5.4772255750516708E-4</v>
      </c>
      <c r="CD166" s="253">
        <f t="shared" si="175"/>
        <v>9.999999999999985E-4</v>
      </c>
      <c r="CE166" s="261">
        <f t="shared" si="163"/>
        <v>9.9999999999999853E-2</v>
      </c>
      <c r="CG166" s="258" t="e">
        <f>((((IF($Q$5=0,$Q$6,$Q$5)))/(12*$Q$19))+(((3*$Q$15)/(2*IF($Q$5=0,$Q$6,$Q$5)*$U$5*$Q$19))*'IN-OUT'!$F$15))*'Burland damage classification'!CK166</f>
        <v>#DIV/0!</v>
      </c>
      <c r="CH166" s="262">
        <f>(1+(((IF($Q$5=0,$Q$6^2,$Q$5^2))*$U$5)/(18*$Q$15))*('IN-OUT'!$F$15^(-1)))*CL166</f>
        <v>1.6124515496597105E-3</v>
      </c>
      <c r="CI166" s="254" t="e">
        <f t="shared" si="152"/>
        <v>#DIV/0!</v>
      </c>
      <c r="CJ166" s="254" t="e">
        <f t="shared" si="164"/>
        <v>#DIV/0!</v>
      </c>
      <c r="CK166" s="254">
        <f t="shared" si="176"/>
        <v>9.9999999999998809E-4</v>
      </c>
      <c r="CL166" s="270">
        <f t="shared" si="153"/>
        <v>1.6124515496597105E-3</v>
      </c>
      <c r="CM166" s="253">
        <f t="shared" si="177"/>
        <v>9.999999999999985E-4</v>
      </c>
      <c r="CN166" s="255">
        <f t="shared" si="165"/>
        <v>9.9999999999999853E-2</v>
      </c>
      <c r="CS166" s="248"/>
      <c r="DH166" s="265" t="e">
        <f>((((IF($R$5=0,$R$6,$R$5)))/(12*$R$19))+(((3*$R$15)/(2*IF($R$5=0,$R$6,$R$5)*$U$5*$R$19))*'IN-OUT'!$F$15))*'Burland damage classification'!DL166</f>
        <v>#DIV/0!</v>
      </c>
      <c r="DI166" s="272">
        <f>(1+(((IF($R$5=0,$R$6^2,$R$5^2))*$U$5)/(18*$R$15))*('IN-OUT'!$F$15^(-1)))*DM166</f>
        <v>5.4772255750516708E-4</v>
      </c>
      <c r="DJ166" s="259" t="e">
        <f t="shared" si="154"/>
        <v>#DIV/0!</v>
      </c>
      <c r="DK166" s="259" t="e">
        <f t="shared" si="166"/>
        <v>#DIV/0!</v>
      </c>
      <c r="DL166" s="254">
        <f t="shared" si="178"/>
        <v>1.6855955650360577E-18</v>
      </c>
      <c r="DM166" s="260">
        <f t="shared" si="155"/>
        <v>5.4772255750516708E-4</v>
      </c>
      <c r="DN166" s="253">
        <f t="shared" si="179"/>
        <v>9.999999999999985E-4</v>
      </c>
      <c r="DO166" s="261">
        <f t="shared" si="167"/>
        <v>9.9999999999999853E-2</v>
      </c>
      <c r="DQ166" s="258" t="e">
        <f>((((IF($R$5=0,$R$6,$R$5)))/(12*$R$19))+(((3*$R$15)/(2*IF($R$5=0,$R$6,$R$5)*$U$5*$R$19))*'IN-OUT'!$F$15))*'Burland damage classification'!DU166</f>
        <v>#DIV/0!</v>
      </c>
      <c r="DR166" s="262">
        <f>(1+(((IF($R$5=0,$R$6^2,$R$5^2))*$U$5)/(18*$R$15))*('IN-OUT'!$F$15^(-1)))*DV166</f>
        <v>1.6124515496597105E-3</v>
      </c>
      <c r="DS166" s="254" t="e">
        <f t="shared" si="156"/>
        <v>#DIV/0!</v>
      </c>
      <c r="DT166" s="254" t="e">
        <f t="shared" si="168"/>
        <v>#DIV/0!</v>
      </c>
      <c r="DU166" s="254">
        <f t="shared" si="180"/>
        <v>9.9999999999998809E-4</v>
      </c>
      <c r="DV166" s="270">
        <f t="shared" si="157"/>
        <v>1.6124515496597105E-3</v>
      </c>
      <c r="DW166" s="253">
        <f t="shared" si="181"/>
        <v>9.999999999999985E-4</v>
      </c>
      <c r="DX166" s="255">
        <f t="shared" si="169"/>
        <v>9.9999999999999853E-2</v>
      </c>
    </row>
    <row r="167" spans="21:128">
      <c r="U167" s="262"/>
      <c r="AS167" s="254"/>
      <c r="AW167" s="258">
        <f>(((IF($P$5&lt;&gt;0,$P$5,IF($P$6&lt;&gt;0,$P$6,IF($P$7&lt;&gt;0,$P$7,0))))/(12*$P$19))+(((3*$P$15)/(2*(IF($P$5&lt;&gt;0,$P$5,IF($P$6&lt;&gt;0,$P$6,IF($P$7&lt;&gt;0,$P$7,0))))*$U$5*$P$19))*'IN-OUT'!$F$15))*'Burland damage classification'!BA167</f>
        <v>3.1887512614297781E-3</v>
      </c>
      <c r="AX167" s="254">
        <f>(1+(((IF($P$5&lt;&gt;0,$P$5^2,IF($P$6&lt;&gt;0,$P$6^2,IF($P$7&lt;&gt;0,$P$7^2))))*$U$5)/(18*$P$15))*('IN-OUT'!$F$15^(-1)))*BB167</f>
        <v>1.7003395884808068E-3</v>
      </c>
      <c r="AY167" s="254">
        <f t="shared" ref="AY167:AY230" si="182">MIN(AW167,AX167)</f>
        <v>1.7003395884808068E-3</v>
      </c>
      <c r="AZ167" s="254">
        <f t="shared" si="160"/>
        <v>0.17003395884808067</v>
      </c>
      <c r="BA167" s="254">
        <f t="shared" si="172"/>
        <v>9.9333333333332134E-4</v>
      </c>
      <c r="BB167" s="270">
        <f t="shared" si="149"/>
        <v>1.6095548038717628E-3</v>
      </c>
      <c r="BC167" s="253">
        <f t="shared" si="173"/>
        <v>1.0066666666666653E-3</v>
      </c>
      <c r="BD167" s="255">
        <f t="shared" si="161"/>
        <v>0.10066666666666653</v>
      </c>
      <c r="BI167" s="248"/>
      <c r="CC167" s="254"/>
      <c r="CG167" s="258" t="e">
        <f>((((IF($Q$5=0,$Q$6,$Q$5)))/(12*$Q$19))+(((3*$Q$15)/(2*IF($Q$5=0,$Q$6,$Q$5)*$U$5*$Q$19))*'IN-OUT'!$F$15))*'Burland damage classification'!CK167</f>
        <v>#DIV/0!</v>
      </c>
      <c r="CH167" s="262">
        <f>(1+(((IF($Q$5=0,$Q$6^2,$Q$5^2))*$U$5)/(18*$Q$15))*('IN-OUT'!$F$15^(-1)))*CL167</f>
        <v>1.6095548038717628E-3</v>
      </c>
      <c r="CI167" s="254" t="e">
        <f t="shared" si="152"/>
        <v>#DIV/0!</v>
      </c>
      <c r="CJ167" s="254" t="e">
        <f t="shared" si="164"/>
        <v>#DIV/0!</v>
      </c>
      <c r="CK167" s="254">
        <f t="shared" si="176"/>
        <v>9.9333333333332134E-4</v>
      </c>
      <c r="CL167" s="270">
        <f t="shared" si="153"/>
        <v>1.6095548038717628E-3</v>
      </c>
      <c r="CM167" s="253">
        <f t="shared" si="177"/>
        <v>1.0066666666666653E-3</v>
      </c>
      <c r="CN167" s="255">
        <f t="shared" si="165"/>
        <v>0.10066666666666653</v>
      </c>
      <c r="CS167" s="248"/>
      <c r="DM167" s="254"/>
      <c r="DQ167" s="258" t="e">
        <f>((((IF($R$5=0,$R$6,$R$5)))/(12*$R$19))+(((3*$R$15)/(2*IF($R$5=0,$R$6,$R$5)*$U$5*$R$19))*'IN-OUT'!$F$15))*'Burland damage classification'!DU167</f>
        <v>#DIV/0!</v>
      </c>
      <c r="DR167" s="262">
        <f>(1+(((IF($R$5=0,$R$6^2,$R$5^2))*$U$5)/(18*$R$15))*('IN-OUT'!$F$15^(-1)))*DV167</f>
        <v>1.6095548038717628E-3</v>
      </c>
      <c r="DS167" s="254" t="e">
        <f t="shared" si="156"/>
        <v>#DIV/0!</v>
      </c>
      <c r="DT167" s="254" t="e">
        <f t="shared" si="168"/>
        <v>#DIV/0!</v>
      </c>
      <c r="DU167" s="254">
        <f t="shared" si="180"/>
        <v>9.9333333333332134E-4</v>
      </c>
      <c r="DV167" s="270">
        <f t="shared" si="157"/>
        <v>1.6095548038717628E-3</v>
      </c>
      <c r="DW167" s="253">
        <f t="shared" si="181"/>
        <v>1.0066666666666653E-3</v>
      </c>
      <c r="DX167" s="255">
        <f t="shared" si="169"/>
        <v>0.10066666666666653</v>
      </c>
    </row>
    <row r="168" spans="21:128">
      <c r="U168" s="262"/>
      <c r="AS168" s="254"/>
      <c r="AW168" s="258">
        <f>(((IF($P$5&lt;&gt;0,$P$5,IF($P$6&lt;&gt;0,$P$6,IF($P$7&lt;&gt;0,$P$7,0))))/(12*$P$19))+(((3*$P$15)/(2*(IF($P$5&lt;&gt;0,$P$5,IF($P$6&lt;&gt;0,$P$6,IF($P$7&lt;&gt;0,$P$7,0))))*$U$5*$P$19))*'IN-OUT'!$F$15))*'Burland damage classification'!BA168</f>
        <v>3.1673502462523967E-3</v>
      </c>
      <c r="AX168" s="254">
        <f>(1+(((IF($P$5&lt;&gt;0,$P$5^2,IF($P$6&lt;&gt;0,$P$6^2,IF($P$7&lt;&gt;0,$P$7^2))))*$U$5)/(18*$P$15))*('IN-OUT'!$F$15^(-1)))*BB168</f>
        <v>1.6972739383067463E-3</v>
      </c>
      <c r="AY168" s="254">
        <f t="shared" si="182"/>
        <v>1.6972739383067463E-3</v>
      </c>
      <c r="AZ168" s="254">
        <f t="shared" si="160"/>
        <v>0.16972739383067464</v>
      </c>
      <c r="BA168" s="254">
        <f t="shared" si="172"/>
        <v>9.8666666666665458E-4</v>
      </c>
      <c r="BB168" s="270">
        <f t="shared" si="149"/>
        <v>1.6066528353484879E-3</v>
      </c>
      <c r="BC168" s="253">
        <f t="shared" si="173"/>
        <v>1.013333333333332E-3</v>
      </c>
      <c r="BD168" s="255">
        <f t="shared" si="161"/>
        <v>0.10133333333333321</v>
      </c>
      <c r="BI168" s="248"/>
      <c r="CC168" s="254"/>
      <c r="CG168" s="258" t="e">
        <f>((((IF($Q$5=0,$Q$6,$Q$5)))/(12*$Q$19))+(((3*$Q$15)/(2*IF($Q$5=0,$Q$6,$Q$5)*$U$5*$Q$19))*'IN-OUT'!$F$15))*'Burland damage classification'!CK168</f>
        <v>#DIV/0!</v>
      </c>
      <c r="CH168" s="262">
        <f>(1+(((IF($Q$5=0,$Q$6^2,$Q$5^2))*$U$5)/(18*$Q$15))*('IN-OUT'!$F$15^(-1)))*CL168</f>
        <v>1.6066528353484879E-3</v>
      </c>
      <c r="CI168" s="254" t="e">
        <f t="shared" si="152"/>
        <v>#DIV/0!</v>
      </c>
      <c r="CJ168" s="254" t="e">
        <f t="shared" si="164"/>
        <v>#DIV/0!</v>
      </c>
      <c r="CK168" s="254">
        <f t="shared" si="176"/>
        <v>9.8666666666665458E-4</v>
      </c>
      <c r="CL168" s="270">
        <f t="shared" si="153"/>
        <v>1.6066528353484879E-3</v>
      </c>
      <c r="CM168" s="253">
        <f t="shared" si="177"/>
        <v>1.013333333333332E-3</v>
      </c>
      <c r="CN168" s="255">
        <f t="shared" si="165"/>
        <v>0.10133333333333321</v>
      </c>
      <c r="CS168" s="248"/>
      <c r="DM168" s="254"/>
      <c r="DQ168" s="258" t="e">
        <f>((((IF($R$5=0,$R$6,$R$5)))/(12*$R$19))+(((3*$R$15)/(2*IF($R$5=0,$R$6,$R$5)*$U$5*$R$19))*'IN-OUT'!$F$15))*'Burland damage classification'!DU168</f>
        <v>#DIV/0!</v>
      </c>
      <c r="DR168" s="262">
        <f>(1+(((IF($R$5=0,$R$6^2,$R$5^2))*$U$5)/(18*$R$15))*('IN-OUT'!$F$15^(-1)))*DV168</f>
        <v>1.6066528353484879E-3</v>
      </c>
      <c r="DS168" s="254" t="e">
        <f t="shared" si="156"/>
        <v>#DIV/0!</v>
      </c>
      <c r="DT168" s="254" t="e">
        <f t="shared" si="168"/>
        <v>#DIV/0!</v>
      </c>
      <c r="DU168" s="254">
        <f t="shared" si="180"/>
        <v>9.8666666666665458E-4</v>
      </c>
      <c r="DV168" s="270">
        <f t="shared" si="157"/>
        <v>1.6066528353484879E-3</v>
      </c>
      <c r="DW168" s="253">
        <f t="shared" si="181"/>
        <v>1.013333333333332E-3</v>
      </c>
      <c r="DX168" s="255">
        <f t="shared" si="169"/>
        <v>0.10133333333333321</v>
      </c>
    </row>
    <row r="169" spans="21:128">
      <c r="U169" s="262"/>
      <c r="AS169" s="254"/>
      <c r="AW169" s="258">
        <f>(((IF($P$5&lt;&gt;0,$P$5,IF($P$6&lt;&gt;0,$P$6,IF($P$7&lt;&gt;0,$P$7,0))))/(12*$P$19))+(((3*$P$15)/(2*(IF($P$5&lt;&gt;0,$P$5,IF($P$6&lt;&gt;0,$P$6,IF($P$7&lt;&gt;0,$P$7,0))))*$U$5*$P$19))*'IN-OUT'!$F$15))*'Burland damage classification'!BA169</f>
        <v>3.1459492310750149E-3</v>
      </c>
      <c r="AX169" s="254">
        <f>(1+(((IF($P$5&lt;&gt;0,$P$5^2,IF($P$6&lt;&gt;0,$P$6^2,IF($P$7&lt;&gt;0,$P$7^2))))*$U$5)/(18*$P$15))*('IN-OUT'!$F$15^(-1)))*BB169</f>
        <v>1.6942027408653033E-3</v>
      </c>
      <c r="AY169" s="254">
        <f t="shared" si="182"/>
        <v>1.6942027408653033E-3</v>
      </c>
      <c r="AZ169" s="254">
        <f t="shared" si="160"/>
        <v>0.16942027408653032</v>
      </c>
      <c r="BA169" s="254">
        <f t="shared" si="172"/>
        <v>9.7999999999998783E-4</v>
      </c>
      <c r="BB169" s="270">
        <f t="shared" si="149"/>
        <v>1.603745615738357E-3</v>
      </c>
      <c r="BC169" s="253">
        <f t="shared" si="173"/>
        <v>1.0199999999999988E-3</v>
      </c>
      <c r="BD169" s="255">
        <f t="shared" si="161"/>
        <v>0.10199999999999988</v>
      </c>
      <c r="BI169" s="248"/>
      <c r="CC169" s="254"/>
      <c r="CG169" s="258" t="e">
        <f>((((IF($Q$5=0,$Q$6,$Q$5)))/(12*$Q$19))+(((3*$Q$15)/(2*IF($Q$5=0,$Q$6,$Q$5)*$U$5*$Q$19))*'IN-OUT'!$F$15))*'Burland damage classification'!CK169</f>
        <v>#DIV/0!</v>
      </c>
      <c r="CH169" s="262">
        <f>(1+(((IF($Q$5=0,$Q$6^2,$Q$5^2))*$U$5)/(18*$Q$15))*('IN-OUT'!$F$15^(-1)))*CL169</f>
        <v>1.603745615738357E-3</v>
      </c>
      <c r="CI169" s="254" t="e">
        <f t="shared" si="152"/>
        <v>#DIV/0!</v>
      </c>
      <c r="CJ169" s="254" t="e">
        <f t="shared" si="164"/>
        <v>#DIV/0!</v>
      </c>
      <c r="CK169" s="254">
        <f t="shared" si="176"/>
        <v>9.7999999999998783E-4</v>
      </c>
      <c r="CL169" s="270">
        <f t="shared" si="153"/>
        <v>1.603745615738357E-3</v>
      </c>
      <c r="CM169" s="253">
        <f t="shared" si="177"/>
        <v>1.0199999999999988E-3</v>
      </c>
      <c r="CN169" s="255">
        <f t="shared" si="165"/>
        <v>0.10199999999999988</v>
      </c>
      <c r="CS169" s="248"/>
      <c r="DM169" s="254"/>
      <c r="DQ169" s="258" t="e">
        <f>((((IF($R$5=0,$R$6,$R$5)))/(12*$R$19))+(((3*$R$15)/(2*IF($R$5=0,$R$6,$R$5)*$U$5*$R$19))*'IN-OUT'!$F$15))*'Burland damage classification'!DU169</f>
        <v>#DIV/0!</v>
      </c>
      <c r="DR169" s="262">
        <f>(1+(((IF($R$5=0,$R$6^2,$R$5^2))*$U$5)/(18*$R$15))*('IN-OUT'!$F$15^(-1)))*DV169</f>
        <v>1.603745615738357E-3</v>
      </c>
      <c r="DS169" s="254" t="e">
        <f t="shared" si="156"/>
        <v>#DIV/0!</v>
      </c>
      <c r="DT169" s="254" t="e">
        <f t="shared" si="168"/>
        <v>#DIV/0!</v>
      </c>
      <c r="DU169" s="254">
        <f t="shared" si="180"/>
        <v>9.7999999999998783E-4</v>
      </c>
      <c r="DV169" s="270">
        <f t="shared" si="157"/>
        <v>1.603745615738357E-3</v>
      </c>
      <c r="DW169" s="253">
        <f t="shared" si="181"/>
        <v>1.0199999999999988E-3</v>
      </c>
      <c r="DX169" s="255">
        <f t="shared" si="169"/>
        <v>0.10199999999999988</v>
      </c>
    </row>
    <row r="170" spans="21:128">
      <c r="U170" s="262"/>
      <c r="AS170" s="254"/>
      <c r="AW170" s="258">
        <f>(((IF($P$5&lt;&gt;0,$P$5,IF($P$6&lt;&gt;0,$P$6,IF($P$7&lt;&gt;0,$P$7,0))))/(12*$P$19))+(((3*$P$15)/(2*(IF($P$5&lt;&gt;0,$P$5,IF($P$6&lt;&gt;0,$P$6,IF($P$7&lt;&gt;0,$P$7,0))))*$U$5*$P$19))*'IN-OUT'!$F$15))*'Burland damage classification'!BA170</f>
        <v>3.1245482158976335E-3</v>
      </c>
      <c r="AX170" s="254">
        <f>(1+(((IF($P$5&lt;&gt;0,$P$5^2,IF($P$6&lt;&gt;0,$P$6^2,IF($P$7&lt;&gt;0,$P$7^2))))*$U$5)/(18*$P$15))*('IN-OUT'!$F$15^(-1)))*BB170</f>
        <v>1.6911259659338565E-3</v>
      </c>
      <c r="AY170" s="254">
        <f t="shared" si="182"/>
        <v>1.6911259659338565E-3</v>
      </c>
      <c r="AZ170" s="254">
        <f t="shared" si="160"/>
        <v>0.16911259659338565</v>
      </c>
      <c r="BA170" s="254">
        <f t="shared" si="172"/>
        <v>9.7333333333332118E-4</v>
      </c>
      <c r="BB170" s="270">
        <f t="shared" si="149"/>
        <v>1.6008331164323996E-3</v>
      </c>
      <c r="BC170" s="253">
        <f t="shared" si="173"/>
        <v>1.0266666666666655E-3</v>
      </c>
      <c r="BD170" s="255">
        <f t="shared" si="161"/>
        <v>0.10266666666666656</v>
      </c>
      <c r="BI170" s="248"/>
      <c r="CC170" s="254"/>
      <c r="CG170" s="258" t="e">
        <f>((((IF($Q$5=0,$Q$6,$Q$5)))/(12*$Q$19))+(((3*$Q$15)/(2*IF($Q$5=0,$Q$6,$Q$5)*$U$5*$Q$19))*'IN-OUT'!$F$15))*'Burland damage classification'!CK170</f>
        <v>#DIV/0!</v>
      </c>
      <c r="CH170" s="262">
        <f>(1+(((IF($Q$5=0,$Q$6^2,$Q$5^2))*$U$5)/(18*$Q$15))*('IN-OUT'!$F$15^(-1)))*CL170</f>
        <v>1.6008331164323996E-3</v>
      </c>
      <c r="CI170" s="254" t="e">
        <f t="shared" si="152"/>
        <v>#DIV/0!</v>
      </c>
      <c r="CJ170" s="254" t="e">
        <f t="shared" si="164"/>
        <v>#DIV/0!</v>
      </c>
      <c r="CK170" s="254">
        <f t="shared" si="176"/>
        <v>9.7333333333332118E-4</v>
      </c>
      <c r="CL170" s="270">
        <f t="shared" si="153"/>
        <v>1.6008331164323996E-3</v>
      </c>
      <c r="CM170" s="253">
        <f t="shared" si="177"/>
        <v>1.0266666666666655E-3</v>
      </c>
      <c r="CN170" s="255">
        <f t="shared" si="165"/>
        <v>0.10266666666666656</v>
      </c>
      <c r="CS170" s="248"/>
      <c r="DM170" s="254"/>
      <c r="DQ170" s="258" t="e">
        <f>((((IF($R$5=0,$R$6,$R$5)))/(12*$R$19))+(((3*$R$15)/(2*IF($R$5=0,$R$6,$R$5)*$U$5*$R$19))*'IN-OUT'!$F$15))*'Burland damage classification'!DU170</f>
        <v>#DIV/0!</v>
      </c>
      <c r="DR170" s="262">
        <f>(1+(((IF($R$5=0,$R$6^2,$R$5^2))*$U$5)/(18*$R$15))*('IN-OUT'!$F$15^(-1)))*DV170</f>
        <v>1.6008331164323996E-3</v>
      </c>
      <c r="DS170" s="254" t="e">
        <f t="shared" si="156"/>
        <v>#DIV/0!</v>
      </c>
      <c r="DT170" s="254" t="e">
        <f t="shared" si="168"/>
        <v>#DIV/0!</v>
      </c>
      <c r="DU170" s="254">
        <f t="shared" si="180"/>
        <v>9.7333333333332118E-4</v>
      </c>
      <c r="DV170" s="270">
        <f t="shared" si="157"/>
        <v>1.6008331164323996E-3</v>
      </c>
      <c r="DW170" s="253">
        <f t="shared" si="181"/>
        <v>1.0266666666666655E-3</v>
      </c>
      <c r="DX170" s="255">
        <f t="shared" si="169"/>
        <v>0.10266666666666656</v>
      </c>
    </row>
    <row r="171" spans="21:128">
      <c r="U171" s="262"/>
      <c r="AS171" s="254"/>
      <c r="AW171" s="258">
        <f>(((IF($P$5&lt;&gt;0,$P$5,IF($P$6&lt;&gt;0,$P$6,IF($P$7&lt;&gt;0,$P$7,0))))/(12*$P$19))+(((3*$P$15)/(2*(IF($P$5&lt;&gt;0,$P$5,IF($P$6&lt;&gt;0,$P$6,IF($P$7&lt;&gt;0,$P$7,0))))*$U$5*$P$19))*'IN-OUT'!$F$15))*'Burland damage classification'!BA171</f>
        <v>3.1031472007202522E-3</v>
      </c>
      <c r="AX171" s="254">
        <f>(1+(((IF($P$5&lt;&gt;0,$P$5^2,IF($P$6&lt;&gt;0,$P$6^2,IF($P$7&lt;&gt;0,$P$7^2))))*$U$5)/(18*$P$15))*('IN-OUT'!$F$15^(-1)))*BB171</f>
        <v>1.688043583014352E-3</v>
      </c>
      <c r="AY171" s="254">
        <f t="shared" si="182"/>
        <v>1.688043583014352E-3</v>
      </c>
      <c r="AZ171" s="254">
        <f t="shared" si="160"/>
        <v>0.1688043583014352</v>
      </c>
      <c r="BA171" s="254">
        <f t="shared" si="172"/>
        <v>9.6666666666665453E-4</v>
      </c>
      <c r="BB171" s="270">
        <f t="shared" si="149"/>
        <v>1.5979153085609182E-3</v>
      </c>
      <c r="BC171" s="253">
        <f t="shared" si="173"/>
        <v>1.0333333333333323E-3</v>
      </c>
      <c r="BD171" s="255">
        <f t="shared" si="161"/>
        <v>0.10333333333333322</v>
      </c>
      <c r="BI171" s="248"/>
      <c r="CC171" s="254"/>
      <c r="CG171" s="258" t="e">
        <f>((((IF($Q$5=0,$Q$6,$Q$5)))/(12*$Q$19))+(((3*$Q$15)/(2*IF($Q$5=0,$Q$6,$Q$5)*$U$5*$Q$19))*'IN-OUT'!$F$15))*'Burland damage classification'!CK171</f>
        <v>#DIV/0!</v>
      </c>
      <c r="CH171" s="262">
        <f>(1+(((IF($Q$5=0,$Q$6^2,$Q$5^2))*$U$5)/(18*$Q$15))*('IN-OUT'!$F$15^(-1)))*CL171</f>
        <v>1.5979153085609182E-3</v>
      </c>
      <c r="CI171" s="254" t="e">
        <f t="shared" si="152"/>
        <v>#DIV/0!</v>
      </c>
      <c r="CJ171" s="254" t="e">
        <f t="shared" si="164"/>
        <v>#DIV/0!</v>
      </c>
      <c r="CK171" s="254">
        <f t="shared" si="176"/>
        <v>9.6666666666665453E-4</v>
      </c>
      <c r="CL171" s="270">
        <f t="shared" si="153"/>
        <v>1.5979153085609182E-3</v>
      </c>
      <c r="CM171" s="253">
        <f t="shared" si="177"/>
        <v>1.0333333333333323E-3</v>
      </c>
      <c r="CN171" s="255">
        <f t="shared" si="165"/>
        <v>0.10333333333333322</v>
      </c>
      <c r="CS171" s="248"/>
      <c r="DM171" s="254"/>
      <c r="DQ171" s="258" t="e">
        <f>((((IF($R$5=0,$R$6,$R$5)))/(12*$R$19))+(((3*$R$15)/(2*IF($R$5=0,$R$6,$R$5)*$U$5*$R$19))*'IN-OUT'!$F$15))*'Burland damage classification'!DU171</f>
        <v>#DIV/0!</v>
      </c>
      <c r="DR171" s="262">
        <f>(1+(((IF($R$5=0,$R$6^2,$R$5^2))*$U$5)/(18*$R$15))*('IN-OUT'!$F$15^(-1)))*DV171</f>
        <v>1.5979153085609182E-3</v>
      </c>
      <c r="DS171" s="254" t="e">
        <f t="shared" si="156"/>
        <v>#DIV/0!</v>
      </c>
      <c r="DT171" s="254" t="e">
        <f t="shared" si="168"/>
        <v>#DIV/0!</v>
      </c>
      <c r="DU171" s="254">
        <f t="shared" si="180"/>
        <v>9.6666666666665453E-4</v>
      </c>
      <c r="DV171" s="270">
        <f t="shared" si="157"/>
        <v>1.5979153085609182E-3</v>
      </c>
      <c r="DW171" s="253">
        <f t="shared" si="181"/>
        <v>1.0333333333333323E-3</v>
      </c>
      <c r="DX171" s="255">
        <f t="shared" si="169"/>
        <v>0.10333333333333322</v>
      </c>
    </row>
    <row r="172" spans="21:128">
      <c r="U172" s="262"/>
      <c r="AS172" s="254"/>
      <c r="AW172" s="258">
        <f>(((IF($P$5&lt;&gt;0,$P$5,IF($P$6&lt;&gt;0,$P$6,IF($P$7&lt;&gt;0,$P$7,0))))/(12*$P$19))+(((3*$P$15)/(2*(IF($P$5&lt;&gt;0,$P$5,IF($P$6&lt;&gt;0,$P$6,IF($P$7&lt;&gt;0,$P$7,0))))*$U$5*$P$19))*'IN-OUT'!$F$15))*'Burland damage classification'!BA172</f>
        <v>3.0817461855428712E-3</v>
      </c>
      <c r="AX172" s="254">
        <f>(1+(((IF($P$5&lt;&gt;0,$P$5^2,IF($P$6&lt;&gt;0,$P$6^2,IF($P$7&lt;&gt;0,$P$7^2))))*$U$5)/(18*$P$15))*('IN-OUT'!$F$15^(-1)))*BB172</f>
        <v>1.6849555613297773E-3</v>
      </c>
      <c r="AY172" s="254">
        <f t="shared" si="182"/>
        <v>1.6849555613297773E-3</v>
      </c>
      <c r="AZ172" s="254">
        <f t="shared" si="160"/>
        <v>0.16849555613297773</v>
      </c>
      <c r="BA172" s="254">
        <f t="shared" si="172"/>
        <v>9.5999999999998788E-4</v>
      </c>
      <c r="BB172" s="270">
        <f t="shared" si="149"/>
        <v>1.5949921629901513E-3</v>
      </c>
      <c r="BC172" s="253">
        <f t="shared" si="173"/>
        <v>1.039999999999999E-3</v>
      </c>
      <c r="BD172" s="255">
        <f t="shared" si="161"/>
        <v>0.1039999999999999</v>
      </c>
      <c r="BI172" s="248"/>
      <c r="CC172" s="254"/>
      <c r="CG172" s="258" t="e">
        <f>((((IF($Q$5=0,$Q$6,$Q$5)))/(12*$Q$19))+(((3*$Q$15)/(2*IF($Q$5=0,$Q$6,$Q$5)*$U$5*$Q$19))*'IN-OUT'!$F$15))*'Burland damage classification'!CK172</f>
        <v>#DIV/0!</v>
      </c>
      <c r="CH172" s="262">
        <f>(1+(((IF($Q$5=0,$Q$6^2,$Q$5^2))*$U$5)/(18*$Q$15))*('IN-OUT'!$F$15^(-1)))*CL172</f>
        <v>1.5949921629901513E-3</v>
      </c>
      <c r="CI172" s="254" t="e">
        <f t="shared" si="152"/>
        <v>#DIV/0!</v>
      </c>
      <c r="CJ172" s="254" t="e">
        <f t="shared" si="164"/>
        <v>#DIV/0!</v>
      </c>
      <c r="CK172" s="254">
        <f t="shared" si="176"/>
        <v>9.5999999999998788E-4</v>
      </c>
      <c r="CL172" s="270">
        <f t="shared" si="153"/>
        <v>1.5949921629901513E-3</v>
      </c>
      <c r="CM172" s="253">
        <f t="shared" si="177"/>
        <v>1.039999999999999E-3</v>
      </c>
      <c r="CN172" s="255">
        <f t="shared" si="165"/>
        <v>0.1039999999999999</v>
      </c>
      <c r="CS172" s="248"/>
      <c r="DM172" s="254"/>
      <c r="DQ172" s="258" t="e">
        <f>((((IF($R$5=0,$R$6,$R$5)))/(12*$R$19))+(((3*$R$15)/(2*IF($R$5=0,$R$6,$R$5)*$U$5*$R$19))*'IN-OUT'!$F$15))*'Burland damage classification'!DU172</f>
        <v>#DIV/0!</v>
      </c>
      <c r="DR172" s="262">
        <f>(1+(((IF($R$5=0,$R$6^2,$R$5^2))*$U$5)/(18*$R$15))*('IN-OUT'!$F$15^(-1)))*DV172</f>
        <v>1.5949921629901513E-3</v>
      </c>
      <c r="DS172" s="254" t="e">
        <f t="shared" si="156"/>
        <v>#DIV/0!</v>
      </c>
      <c r="DT172" s="254" t="e">
        <f t="shared" si="168"/>
        <v>#DIV/0!</v>
      </c>
      <c r="DU172" s="254">
        <f t="shared" si="180"/>
        <v>9.5999999999998788E-4</v>
      </c>
      <c r="DV172" s="270">
        <f t="shared" si="157"/>
        <v>1.5949921629901513E-3</v>
      </c>
      <c r="DW172" s="253">
        <f t="shared" si="181"/>
        <v>1.039999999999999E-3</v>
      </c>
      <c r="DX172" s="255">
        <f t="shared" si="169"/>
        <v>0.1039999999999999</v>
      </c>
    </row>
    <row r="173" spans="21:128">
      <c r="U173" s="262"/>
      <c r="AS173" s="254"/>
      <c r="AW173" s="258">
        <f>(((IF($P$5&lt;&gt;0,$P$5,IF($P$6&lt;&gt;0,$P$6,IF($P$7&lt;&gt;0,$P$7,0))))/(12*$P$19))+(((3*$P$15)/(2*(IF($P$5&lt;&gt;0,$P$5,IF($P$6&lt;&gt;0,$P$6,IF($P$7&lt;&gt;0,$P$7,0))))*$U$5*$P$19))*'IN-OUT'!$F$15))*'Burland damage classification'!BA173</f>
        <v>3.0603451703654899E-3</v>
      </c>
      <c r="AX173" s="254">
        <f>(1+(((IF($P$5&lt;&gt;0,$P$5^2,IF($P$6&lt;&gt;0,$P$6^2,IF($P$7&lt;&gt;0,$P$7^2))))*$U$5)/(18*$P$15))*('IN-OUT'!$F$15^(-1)))*BB173</f>
        <v>1.6818618698205743E-3</v>
      </c>
      <c r="AY173" s="254">
        <f t="shared" si="182"/>
        <v>1.6818618698205743E-3</v>
      </c>
      <c r="AZ173" s="254">
        <f t="shared" si="160"/>
        <v>0.16818618698205742</v>
      </c>
      <c r="BA173" s="254">
        <f t="shared" si="172"/>
        <v>9.5333333333332123E-4</v>
      </c>
      <c r="BB173" s="270">
        <f t="shared" si="149"/>
        <v>1.5920636503188772E-3</v>
      </c>
      <c r="BC173" s="253">
        <f t="shared" si="173"/>
        <v>1.0466666666666658E-3</v>
      </c>
      <c r="BD173" s="255">
        <f t="shared" si="161"/>
        <v>0.10466666666666657</v>
      </c>
      <c r="BI173" s="248"/>
      <c r="CC173" s="254"/>
      <c r="CG173" s="258" t="e">
        <f>((((IF($Q$5=0,$Q$6,$Q$5)))/(12*$Q$19))+(((3*$Q$15)/(2*IF($Q$5=0,$Q$6,$Q$5)*$U$5*$Q$19))*'IN-OUT'!$F$15))*'Burland damage classification'!CK173</f>
        <v>#DIV/0!</v>
      </c>
      <c r="CH173" s="262">
        <f>(1+(((IF($Q$5=0,$Q$6^2,$Q$5^2))*$U$5)/(18*$Q$15))*('IN-OUT'!$F$15^(-1)))*CL173</f>
        <v>1.5920636503188772E-3</v>
      </c>
      <c r="CI173" s="254" t="e">
        <f t="shared" si="152"/>
        <v>#DIV/0!</v>
      </c>
      <c r="CJ173" s="254" t="e">
        <f t="shared" si="164"/>
        <v>#DIV/0!</v>
      </c>
      <c r="CK173" s="254">
        <f t="shared" si="176"/>
        <v>9.5333333333332123E-4</v>
      </c>
      <c r="CL173" s="270">
        <f t="shared" si="153"/>
        <v>1.5920636503188772E-3</v>
      </c>
      <c r="CM173" s="253">
        <f t="shared" si="177"/>
        <v>1.0466666666666658E-3</v>
      </c>
      <c r="CN173" s="255">
        <f t="shared" si="165"/>
        <v>0.10466666666666657</v>
      </c>
      <c r="CS173" s="248"/>
      <c r="DM173" s="254"/>
      <c r="DQ173" s="258" t="e">
        <f>((((IF($R$5=0,$R$6,$R$5)))/(12*$R$19))+(((3*$R$15)/(2*IF($R$5=0,$R$6,$R$5)*$U$5*$R$19))*'IN-OUT'!$F$15))*'Burland damage classification'!DU173</f>
        <v>#DIV/0!</v>
      </c>
      <c r="DR173" s="262">
        <f>(1+(((IF($R$5=0,$R$6^2,$R$5^2))*$U$5)/(18*$R$15))*('IN-OUT'!$F$15^(-1)))*DV173</f>
        <v>1.5920636503188772E-3</v>
      </c>
      <c r="DS173" s="254" t="e">
        <f t="shared" si="156"/>
        <v>#DIV/0!</v>
      </c>
      <c r="DT173" s="254" t="e">
        <f t="shared" si="168"/>
        <v>#DIV/0!</v>
      </c>
      <c r="DU173" s="254">
        <f t="shared" si="180"/>
        <v>9.5333333333332123E-4</v>
      </c>
      <c r="DV173" s="270">
        <f t="shared" si="157"/>
        <v>1.5920636503188772E-3</v>
      </c>
      <c r="DW173" s="253">
        <f t="shared" si="181"/>
        <v>1.0466666666666658E-3</v>
      </c>
      <c r="DX173" s="255">
        <f t="shared" si="169"/>
        <v>0.10466666666666657</v>
      </c>
    </row>
    <row r="174" spans="21:128">
      <c r="U174" s="262"/>
      <c r="AS174" s="254"/>
      <c r="AW174" s="258">
        <f>(((IF($P$5&lt;&gt;0,$P$5,IF($P$6&lt;&gt;0,$P$6,IF($P$7&lt;&gt;0,$P$7,0))))/(12*$P$19))+(((3*$P$15)/(2*(IF($P$5&lt;&gt;0,$P$5,IF($P$6&lt;&gt;0,$P$6,IF($P$7&lt;&gt;0,$P$7,0))))*$U$5*$P$19))*'IN-OUT'!$F$15))*'Burland damage classification'!BA174</f>
        <v>3.0389441551881085E-3</v>
      </c>
      <c r="AX174" s="254">
        <f>(1+(((IF($P$5&lt;&gt;0,$P$5^2,IF($P$6&lt;&gt;0,$P$6^2,IF($P$7&lt;&gt;0,$P$7^2))))*$U$5)/(18*$P$15))*('IN-OUT'!$F$15^(-1)))*BB174</f>
        <v>1.6787624771409956E-3</v>
      </c>
      <c r="AY174" s="254">
        <f t="shared" si="182"/>
        <v>1.6787624771409956E-3</v>
      </c>
      <c r="AZ174" s="254">
        <f t="shared" si="160"/>
        <v>0.16787624771409956</v>
      </c>
      <c r="BA174" s="254">
        <f t="shared" si="172"/>
        <v>9.4666666666665459E-4</v>
      </c>
      <c r="BB174" s="270">
        <f t="shared" si="149"/>
        <v>1.5891297408749654E-3</v>
      </c>
      <c r="BC174" s="253">
        <f t="shared" si="173"/>
        <v>1.0533333333333326E-3</v>
      </c>
      <c r="BD174" s="255">
        <f t="shared" si="161"/>
        <v>0.10533333333333325</v>
      </c>
      <c r="BI174" s="248"/>
      <c r="CC174" s="254"/>
      <c r="CG174" s="258" t="e">
        <f>((((IF($Q$5=0,$Q$6,$Q$5)))/(12*$Q$19))+(((3*$Q$15)/(2*IF($Q$5=0,$Q$6,$Q$5)*$U$5*$Q$19))*'IN-OUT'!$F$15))*'Burland damage classification'!CK174</f>
        <v>#DIV/0!</v>
      </c>
      <c r="CH174" s="262">
        <f>(1+(((IF($Q$5=0,$Q$6^2,$Q$5^2))*$U$5)/(18*$Q$15))*('IN-OUT'!$F$15^(-1)))*CL174</f>
        <v>1.5891297408749654E-3</v>
      </c>
      <c r="CI174" s="254" t="e">
        <f t="shared" si="152"/>
        <v>#DIV/0!</v>
      </c>
      <c r="CJ174" s="254" t="e">
        <f t="shared" si="164"/>
        <v>#DIV/0!</v>
      </c>
      <c r="CK174" s="254">
        <f t="shared" si="176"/>
        <v>9.4666666666665459E-4</v>
      </c>
      <c r="CL174" s="270">
        <f t="shared" si="153"/>
        <v>1.5891297408749654E-3</v>
      </c>
      <c r="CM174" s="253">
        <f t="shared" si="177"/>
        <v>1.0533333333333326E-3</v>
      </c>
      <c r="CN174" s="255">
        <f t="shared" si="165"/>
        <v>0.10533333333333325</v>
      </c>
      <c r="CS174" s="248"/>
      <c r="DM174" s="254"/>
      <c r="DQ174" s="258" t="e">
        <f>((((IF($R$5=0,$R$6,$R$5)))/(12*$R$19))+(((3*$R$15)/(2*IF($R$5=0,$R$6,$R$5)*$U$5*$R$19))*'IN-OUT'!$F$15))*'Burland damage classification'!DU174</f>
        <v>#DIV/0!</v>
      </c>
      <c r="DR174" s="262">
        <f>(1+(((IF($R$5=0,$R$6^2,$R$5^2))*$U$5)/(18*$R$15))*('IN-OUT'!$F$15^(-1)))*DV174</f>
        <v>1.5891297408749654E-3</v>
      </c>
      <c r="DS174" s="254" t="e">
        <f t="shared" si="156"/>
        <v>#DIV/0!</v>
      </c>
      <c r="DT174" s="254" t="e">
        <f t="shared" si="168"/>
        <v>#DIV/0!</v>
      </c>
      <c r="DU174" s="254">
        <f t="shared" si="180"/>
        <v>9.4666666666665459E-4</v>
      </c>
      <c r="DV174" s="270">
        <f t="shared" si="157"/>
        <v>1.5891297408749654E-3</v>
      </c>
      <c r="DW174" s="253">
        <f t="shared" si="181"/>
        <v>1.0533333333333326E-3</v>
      </c>
      <c r="DX174" s="255">
        <f t="shared" si="169"/>
        <v>0.10533333333333325</v>
      </c>
    </row>
    <row r="175" spans="21:128">
      <c r="U175" s="262"/>
      <c r="AS175" s="254"/>
      <c r="AW175" s="258">
        <f>(((IF($P$5&lt;&gt;0,$P$5,IF($P$6&lt;&gt;0,$P$6,IF($P$7&lt;&gt;0,$P$7,0))))/(12*$P$19))+(((3*$P$15)/(2*(IF($P$5&lt;&gt;0,$P$5,IF($P$6&lt;&gt;0,$P$6,IF($P$7&lt;&gt;0,$P$7,0))))*$U$5*$P$19))*'IN-OUT'!$F$15))*'Burland damage classification'!BA175</f>
        <v>3.0175431400107275E-3</v>
      </c>
      <c r="AX175" s="254">
        <f>(1+(((IF($P$5&lt;&gt;0,$P$5^2,IF($P$6&lt;&gt;0,$P$6^2,IF($P$7&lt;&gt;0,$P$7^2))))*$U$5)/(18*$P$15))*('IN-OUT'!$F$15^(-1)))*BB175</f>
        <v>1.6756573516553989E-3</v>
      </c>
      <c r="AY175" s="254">
        <f t="shared" si="182"/>
        <v>1.6756573516553989E-3</v>
      </c>
      <c r="AZ175" s="254">
        <f t="shared" si="160"/>
        <v>0.16756573516553988</v>
      </c>
      <c r="BA175" s="254">
        <f t="shared" si="172"/>
        <v>9.3999999999998794E-4</v>
      </c>
      <c r="BB175" s="270">
        <f t="shared" si="149"/>
        <v>1.5861904047118685E-3</v>
      </c>
      <c r="BC175" s="253">
        <f t="shared" si="173"/>
        <v>1.0599999999999993E-3</v>
      </c>
      <c r="BD175" s="255">
        <f t="shared" si="161"/>
        <v>0.10599999999999993</v>
      </c>
      <c r="BI175" s="248"/>
      <c r="CC175" s="254"/>
      <c r="CG175" s="258" t="e">
        <f>((((IF($Q$5=0,$Q$6,$Q$5)))/(12*$Q$19))+(((3*$Q$15)/(2*IF($Q$5=0,$Q$6,$Q$5)*$U$5*$Q$19))*'IN-OUT'!$F$15))*'Burland damage classification'!CK175</f>
        <v>#DIV/0!</v>
      </c>
      <c r="CH175" s="262">
        <f>(1+(((IF($Q$5=0,$Q$6^2,$Q$5^2))*$U$5)/(18*$Q$15))*('IN-OUT'!$F$15^(-1)))*CL175</f>
        <v>1.5861904047118685E-3</v>
      </c>
      <c r="CI175" s="254" t="e">
        <f t="shared" si="152"/>
        <v>#DIV/0!</v>
      </c>
      <c r="CJ175" s="254" t="e">
        <f t="shared" si="164"/>
        <v>#DIV/0!</v>
      </c>
      <c r="CK175" s="254">
        <f t="shared" si="176"/>
        <v>9.3999999999998794E-4</v>
      </c>
      <c r="CL175" s="270">
        <f t="shared" si="153"/>
        <v>1.5861904047118685E-3</v>
      </c>
      <c r="CM175" s="253">
        <f t="shared" si="177"/>
        <v>1.0599999999999993E-3</v>
      </c>
      <c r="CN175" s="255">
        <f t="shared" si="165"/>
        <v>0.10599999999999993</v>
      </c>
      <c r="CS175" s="248"/>
      <c r="DM175" s="254"/>
      <c r="DQ175" s="258" t="e">
        <f>((((IF($R$5=0,$R$6,$R$5)))/(12*$R$19))+(((3*$R$15)/(2*IF($R$5=0,$R$6,$R$5)*$U$5*$R$19))*'IN-OUT'!$F$15))*'Burland damage classification'!DU175</f>
        <v>#DIV/0!</v>
      </c>
      <c r="DR175" s="262">
        <f>(1+(((IF($R$5=0,$R$6^2,$R$5^2))*$U$5)/(18*$R$15))*('IN-OUT'!$F$15^(-1)))*DV175</f>
        <v>1.5861904047118685E-3</v>
      </c>
      <c r="DS175" s="254" t="e">
        <f t="shared" si="156"/>
        <v>#DIV/0!</v>
      </c>
      <c r="DT175" s="254" t="e">
        <f t="shared" si="168"/>
        <v>#DIV/0!</v>
      </c>
      <c r="DU175" s="254">
        <f t="shared" si="180"/>
        <v>9.3999999999998794E-4</v>
      </c>
      <c r="DV175" s="270">
        <f t="shared" si="157"/>
        <v>1.5861904047118685E-3</v>
      </c>
      <c r="DW175" s="253">
        <f t="shared" si="181"/>
        <v>1.0599999999999993E-3</v>
      </c>
      <c r="DX175" s="255">
        <f t="shared" si="169"/>
        <v>0.10599999999999993</v>
      </c>
    </row>
    <row r="176" spans="21:128">
      <c r="U176" s="262"/>
      <c r="AS176" s="254"/>
      <c r="AW176" s="258">
        <f>(((IF($P$5&lt;&gt;0,$P$5,IF($P$6&lt;&gt;0,$P$6,IF($P$7&lt;&gt;0,$P$7,0))))/(12*$P$19))+(((3*$P$15)/(2*(IF($P$5&lt;&gt;0,$P$5,IF($P$6&lt;&gt;0,$P$6,IF($P$7&lt;&gt;0,$P$7,0))))*$U$5*$P$19))*'IN-OUT'!$F$15))*'Burland damage classification'!BA176</f>
        <v>2.9961421248333462E-3</v>
      </c>
      <c r="AX176" s="254">
        <f>(1+(((IF($P$5&lt;&gt;0,$P$5^2,IF($P$6&lt;&gt;0,$P$6^2,IF($P$7&lt;&gt;0,$P$7^2))))*$U$5)/(18*$P$15))*('IN-OUT'!$F$15^(-1)))*BB176</f>
        <v>1.6725464614344792E-3</v>
      </c>
      <c r="AY176" s="254">
        <f t="shared" si="182"/>
        <v>1.6725464614344792E-3</v>
      </c>
      <c r="AZ176" s="254">
        <f t="shared" si="160"/>
        <v>0.16725464614344793</v>
      </c>
      <c r="BA176" s="254">
        <f t="shared" si="172"/>
        <v>9.3333333333332129E-4</v>
      </c>
      <c r="BB176" s="270">
        <f t="shared" si="149"/>
        <v>1.5832456116050559E-3</v>
      </c>
      <c r="BC176" s="253">
        <f t="shared" si="173"/>
        <v>1.0666666666666661E-3</v>
      </c>
      <c r="BD176" s="255">
        <f t="shared" si="161"/>
        <v>0.1066666666666666</v>
      </c>
      <c r="BI176" s="248"/>
      <c r="CC176" s="254"/>
      <c r="CG176" s="258" t="e">
        <f>((((IF($Q$5=0,$Q$6,$Q$5)))/(12*$Q$19))+(((3*$Q$15)/(2*IF($Q$5=0,$Q$6,$Q$5)*$U$5*$Q$19))*'IN-OUT'!$F$15))*'Burland damage classification'!CK176</f>
        <v>#DIV/0!</v>
      </c>
      <c r="CH176" s="262">
        <f>(1+(((IF($Q$5=0,$Q$6^2,$Q$5^2))*$U$5)/(18*$Q$15))*('IN-OUT'!$F$15^(-1)))*CL176</f>
        <v>1.5832456116050559E-3</v>
      </c>
      <c r="CI176" s="254" t="e">
        <f t="shared" si="152"/>
        <v>#DIV/0!</v>
      </c>
      <c r="CJ176" s="254" t="e">
        <f t="shared" si="164"/>
        <v>#DIV/0!</v>
      </c>
      <c r="CK176" s="254">
        <f t="shared" si="176"/>
        <v>9.3333333333332129E-4</v>
      </c>
      <c r="CL176" s="270">
        <f t="shared" si="153"/>
        <v>1.5832456116050559E-3</v>
      </c>
      <c r="CM176" s="253">
        <f t="shared" si="177"/>
        <v>1.0666666666666661E-3</v>
      </c>
      <c r="CN176" s="255">
        <f t="shared" si="165"/>
        <v>0.1066666666666666</v>
      </c>
      <c r="CS176" s="248"/>
      <c r="DM176" s="254"/>
      <c r="DQ176" s="258" t="e">
        <f>((((IF($R$5=0,$R$6,$R$5)))/(12*$R$19))+(((3*$R$15)/(2*IF($R$5=0,$R$6,$R$5)*$U$5*$R$19))*'IN-OUT'!$F$15))*'Burland damage classification'!DU176</f>
        <v>#DIV/0!</v>
      </c>
      <c r="DR176" s="262">
        <f>(1+(((IF($R$5=0,$R$6^2,$R$5^2))*$U$5)/(18*$R$15))*('IN-OUT'!$F$15^(-1)))*DV176</f>
        <v>1.5832456116050559E-3</v>
      </c>
      <c r="DS176" s="254" t="e">
        <f t="shared" si="156"/>
        <v>#DIV/0!</v>
      </c>
      <c r="DT176" s="254" t="e">
        <f t="shared" si="168"/>
        <v>#DIV/0!</v>
      </c>
      <c r="DU176" s="254">
        <f t="shared" si="180"/>
        <v>9.3333333333332129E-4</v>
      </c>
      <c r="DV176" s="270">
        <f t="shared" si="157"/>
        <v>1.5832456116050559E-3</v>
      </c>
      <c r="DW176" s="253">
        <f t="shared" si="181"/>
        <v>1.0666666666666661E-3</v>
      </c>
      <c r="DX176" s="255">
        <f t="shared" si="169"/>
        <v>0.1066666666666666</v>
      </c>
    </row>
    <row r="177" spans="21:128">
      <c r="U177" s="262"/>
      <c r="AS177" s="254"/>
      <c r="AW177" s="258">
        <f>(((IF($P$5&lt;&gt;0,$P$5,IF($P$6&lt;&gt;0,$P$6,IF($P$7&lt;&gt;0,$P$7,0))))/(12*$P$19))+(((3*$P$15)/(2*(IF($P$5&lt;&gt;0,$P$5,IF($P$6&lt;&gt;0,$P$6,IF($P$7&lt;&gt;0,$P$7,0))))*$U$5*$P$19))*'IN-OUT'!$F$15))*'Burland damage classification'!BA177</f>
        <v>2.9747411096559648E-3</v>
      </c>
      <c r="AX177" s="254">
        <f>(1+(((IF($P$5&lt;&gt;0,$P$5^2,IF($P$6&lt;&gt;0,$P$6^2,IF($P$7&lt;&gt;0,$P$7^2))))*$U$5)/(18*$P$15))*('IN-OUT'!$F$15^(-1)))*BB177</f>
        <v>1.6694297742514391E-3</v>
      </c>
      <c r="AY177" s="254">
        <f t="shared" si="182"/>
        <v>1.6694297742514391E-3</v>
      </c>
      <c r="AZ177" s="254">
        <f t="shared" si="160"/>
        <v>0.16694297742514391</v>
      </c>
      <c r="BA177" s="254">
        <f t="shared" si="172"/>
        <v>9.2666666666665464E-4</v>
      </c>
      <c r="BB177" s="270">
        <f t="shared" si="149"/>
        <v>1.5802953310483879E-3</v>
      </c>
      <c r="BC177" s="253">
        <f t="shared" si="173"/>
        <v>1.0733333333333328E-3</v>
      </c>
      <c r="BD177" s="255">
        <f t="shared" si="161"/>
        <v>0.10733333333333328</v>
      </c>
      <c r="BI177" s="248"/>
      <c r="CC177" s="254"/>
      <c r="CG177" s="258" t="e">
        <f>((((IF($Q$5=0,$Q$6,$Q$5)))/(12*$Q$19))+(((3*$Q$15)/(2*IF($Q$5=0,$Q$6,$Q$5)*$U$5*$Q$19))*'IN-OUT'!$F$15))*'Burland damage classification'!CK177</f>
        <v>#DIV/0!</v>
      </c>
      <c r="CH177" s="262">
        <f>(1+(((IF($Q$5=0,$Q$6^2,$Q$5^2))*$U$5)/(18*$Q$15))*('IN-OUT'!$F$15^(-1)))*CL177</f>
        <v>1.5802953310483879E-3</v>
      </c>
      <c r="CI177" s="254" t="e">
        <f t="shared" si="152"/>
        <v>#DIV/0!</v>
      </c>
      <c r="CJ177" s="254" t="e">
        <f t="shared" si="164"/>
        <v>#DIV/0!</v>
      </c>
      <c r="CK177" s="254">
        <f t="shared" si="176"/>
        <v>9.2666666666665464E-4</v>
      </c>
      <c r="CL177" s="270">
        <f t="shared" si="153"/>
        <v>1.5802953310483879E-3</v>
      </c>
      <c r="CM177" s="253">
        <f t="shared" si="177"/>
        <v>1.0733333333333328E-3</v>
      </c>
      <c r="CN177" s="255">
        <f t="shared" si="165"/>
        <v>0.10733333333333328</v>
      </c>
      <c r="CS177" s="248"/>
      <c r="DM177" s="254"/>
      <c r="DQ177" s="258" t="e">
        <f>((((IF($R$5=0,$R$6,$R$5)))/(12*$R$19))+(((3*$R$15)/(2*IF($R$5=0,$R$6,$R$5)*$U$5*$R$19))*'IN-OUT'!$F$15))*'Burland damage classification'!DU177</f>
        <v>#DIV/0!</v>
      </c>
      <c r="DR177" s="262">
        <f>(1+(((IF($R$5=0,$R$6^2,$R$5^2))*$U$5)/(18*$R$15))*('IN-OUT'!$F$15^(-1)))*DV177</f>
        <v>1.5802953310483879E-3</v>
      </c>
      <c r="DS177" s="254" t="e">
        <f t="shared" si="156"/>
        <v>#DIV/0!</v>
      </c>
      <c r="DT177" s="254" t="e">
        <f t="shared" si="168"/>
        <v>#DIV/0!</v>
      </c>
      <c r="DU177" s="254">
        <f t="shared" si="180"/>
        <v>9.2666666666665464E-4</v>
      </c>
      <c r="DV177" s="270">
        <f t="shared" si="157"/>
        <v>1.5802953310483879E-3</v>
      </c>
      <c r="DW177" s="253">
        <f t="shared" si="181"/>
        <v>1.0733333333333328E-3</v>
      </c>
      <c r="DX177" s="255">
        <f t="shared" si="169"/>
        <v>0.10733333333333328</v>
      </c>
    </row>
    <row r="178" spans="21:128">
      <c r="U178" s="262"/>
      <c r="AS178" s="254"/>
      <c r="AW178" s="258">
        <f>(((IF($P$5&lt;&gt;0,$P$5,IF($P$6&lt;&gt;0,$P$6,IF($P$7&lt;&gt;0,$P$7,0))))/(12*$P$19))+(((3*$P$15)/(2*(IF($P$5&lt;&gt;0,$P$5,IF($P$6&lt;&gt;0,$P$6,IF($P$7&lt;&gt;0,$P$7,0))))*$U$5*$P$19))*'IN-OUT'!$F$15))*'Burland damage classification'!BA178</f>
        <v>2.9533400944785834E-3</v>
      </c>
      <c r="AX178" s="254">
        <f>(1+(((IF($P$5&lt;&gt;0,$P$5^2,IF($P$6&lt;&gt;0,$P$6^2,IF($P$7&lt;&gt;0,$P$7^2))))*$U$5)/(18*$P$15))*('IN-OUT'!$F$15^(-1)))*BB178</f>
        <v>1.6663072575780927E-3</v>
      </c>
      <c r="AY178" s="254">
        <f t="shared" si="182"/>
        <v>1.6663072575780927E-3</v>
      </c>
      <c r="AZ178" s="254">
        <f t="shared" si="160"/>
        <v>0.16663072575780927</v>
      </c>
      <c r="BA178" s="254">
        <f t="shared" si="172"/>
        <v>9.1999999999998799E-4</v>
      </c>
      <c r="BB178" s="270">
        <f t="shared" si="149"/>
        <v>1.5773395322504285E-3</v>
      </c>
      <c r="BC178" s="253">
        <f t="shared" si="173"/>
        <v>1.0799999999999996E-3</v>
      </c>
      <c r="BD178" s="255">
        <f t="shared" si="161"/>
        <v>0.10799999999999996</v>
      </c>
      <c r="BI178" s="248"/>
      <c r="CC178" s="254"/>
      <c r="CG178" s="258" t="e">
        <f>((((IF($Q$5=0,$Q$6,$Q$5)))/(12*$Q$19))+(((3*$Q$15)/(2*IF($Q$5=0,$Q$6,$Q$5)*$U$5*$Q$19))*'IN-OUT'!$F$15))*'Burland damage classification'!CK178</f>
        <v>#DIV/0!</v>
      </c>
      <c r="CH178" s="262">
        <f>(1+(((IF($Q$5=0,$Q$6^2,$Q$5^2))*$U$5)/(18*$Q$15))*('IN-OUT'!$F$15^(-1)))*CL178</f>
        <v>1.5773395322504285E-3</v>
      </c>
      <c r="CI178" s="254" t="e">
        <f t="shared" si="152"/>
        <v>#DIV/0!</v>
      </c>
      <c r="CJ178" s="254" t="e">
        <f t="shared" si="164"/>
        <v>#DIV/0!</v>
      </c>
      <c r="CK178" s="254">
        <f t="shared" si="176"/>
        <v>9.1999999999998799E-4</v>
      </c>
      <c r="CL178" s="270">
        <f t="shared" si="153"/>
        <v>1.5773395322504285E-3</v>
      </c>
      <c r="CM178" s="253">
        <f t="shared" si="177"/>
        <v>1.0799999999999996E-3</v>
      </c>
      <c r="CN178" s="255">
        <f t="shared" si="165"/>
        <v>0.10799999999999996</v>
      </c>
      <c r="CS178" s="248"/>
      <c r="DM178" s="254"/>
      <c r="DQ178" s="258" t="e">
        <f>((((IF($R$5=0,$R$6,$R$5)))/(12*$R$19))+(((3*$R$15)/(2*IF($R$5=0,$R$6,$R$5)*$U$5*$R$19))*'IN-OUT'!$F$15))*'Burland damage classification'!DU178</f>
        <v>#DIV/0!</v>
      </c>
      <c r="DR178" s="262">
        <f>(1+(((IF($R$5=0,$R$6^2,$R$5^2))*$U$5)/(18*$R$15))*('IN-OUT'!$F$15^(-1)))*DV178</f>
        <v>1.5773395322504285E-3</v>
      </c>
      <c r="DS178" s="254" t="e">
        <f t="shared" si="156"/>
        <v>#DIV/0!</v>
      </c>
      <c r="DT178" s="254" t="e">
        <f t="shared" si="168"/>
        <v>#DIV/0!</v>
      </c>
      <c r="DU178" s="254">
        <f t="shared" si="180"/>
        <v>9.1999999999998799E-4</v>
      </c>
      <c r="DV178" s="270">
        <f t="shared" si="157"/>
        <v>1.5773395322504285E-3</v>
      </c>
      <c r="DW178" s="253">
        <f t="shared" si="181"/>
        <v>1.0799999999999996E-3</v>
      </c>
      <c r="DX178" s="255">
        <f t="shared" si="169"/>
        <v>0.10799999999999996</v>
      </c>
    </row>
    <row r="179" spans="21:128">
      <c r="U179" s="262"/>
      <c r="AS179" s="254"/>
      <c r="AW179" s="258">
        <f>(((IF($P$5&lt;&gt;0,$P$5,IF($P$6&lt;&gt;0,$P$6,IF($P$7&lt;&gt;0,$P$7,0))))/(12*$P$19))+(((3*$P$15)/(2*(IF($P$5&lt;&gt;0,$P$5,IF($P$6&lt;&gt;0,$P$6,IF($P$7&lt;&gt;0,$P$7,0))))*$U$5*$P$19))*'IN-OUT'!$F$15))*'Burland damage classification'!BA179</f>
        <v>2.9319390793012025E-3</v>
      </c>
      <c r="AX179" s="254">
        <f>(1+(((IF($P$5&lt;&gt;0,$P$5^2,IF($P$6&lt;&gt;0,$P$6^2,IF($P$7&lt;&gt;0,$P$7^2))))*$U$5)/(18*$P$15))*('IN-OUT'!$F$15^(-1)))*BB179</f>
        <v>1.6631788785809053E-3</v>
      </c>
      <c r="AY179" s="254">
        <f t="shared" si="182"/>
        <v>1.6631788785809053E-3</v>
      </c>
      <c r="AZ179" s="254">
        <f t="shared" si="160"/>
        <v>0.16631788785809051</v>
      </c>
      <c r="BA179" s="254">
        <f t="shared" si="172"/>
        <v>9.1333333333332135E-4</v>
      </c>
      <c r="BB179" s="270">
        <f t="shared" si="149"/>
        <v>1.5743781841306959E-3</v>
      </c>
      <c r="BC179" s="253">
        <f t="shared" si="173"/>
        <v>1.0866666666666663E-3</v>
      </c>
      <c r="BD179" s="255">
        <f t="shared" si="161"/>
        <v>0.10866666666666663</v>
      </c>
      <c r="BI179" s="248"/>
      <c r="CC179" s="254"/>
      <c r="CG179" s="258" t="e">
        <f>((((IF($Q$5=0,$Q$6,$Q$5)))/(12*$Q$19))+(((3*$Q$15)/(2*IF($Q$5=0,$Q$6,$Q$5)*$U$5*$Q$19))*'IN-OUT'!$F$15))*'Burland damage classification'!CK179</f>
        <v>#DIV/0!</v>
      </c>
      <c r="CH179" s="262">
        <f>(1+(((IF($Q$5=0,$Q$6^2,$Q$5^2))*$U$5)/(18*$Q$15))*('IN-OUT'!$F$15^(-1)))*CL179</f>
        <v>1.5743781841306959E-3</v>
      </c>
      <c r="CI179" s="254" t="e">
        <f t="shared" si="152"/>
        <v>#DIV/0!</v>
      </c>
      <c r="CJ179" s="254" t="e">
        <f t="shared" si="164"/>
        <v>#DIV/0!</v>
      </c>
      <c r="CK179" s="254">
        <f t="shared" si="176"/>
        <v>9.1333333333332135E-4</v>
      </c>
      <c r="CL179" s="270">
        <f t="shared" si="153"/>
        <v>1.5743781841306959E-3</v>
      </c>
      <c r="CM179" s="253">
        <f t="shared" si="177"/>
        <v>1.0866666666666663E-3</v>
      </c>
      <c r="CN179" s="255">
        <f t="shared" si="165"/>
        <v>0.10866666666666663</v>
      </c>
      <c r="CS179" s="248"/>
      <c r="DM179" s="254"/>
      <c r="DQ179" s="258" t="e">
        <f>((((IF($R$5=0,$R$6,$R$5)))/(12*$R$19))+(((3*$R$15)/(2*IF($R$5=0,$R$6,$R$5)*$U$5*$R$19))*'IN-OUT'!$F$15))*'Burland damage classification'!DU179</f>
        <v>#DIV/0!</v>
      </c>
      <c r="DR179" s="262">
        <f>(1+(((IF($R$5=0,$R$6^2,$R$5^2))*$U$5)/(18*$R$15))*('IN-OUT'!$F$15^(-1)))*DV179</f>
        <v>1.5743781841306959E-3</v>
      </c>
      <c r="DS179" s="254" t="e">
        <f t="shared" si="156"/>
        <v>#DIV/0!</v>
      </c>
      <c r="DT179" s="254" t="e">
        <f t="shared" si="168"/>
        <v>#DIV/0!</v>
      </c>
      <c r="DU179" s="254">
        <f t="shared" si="180"/>
        <v>9.1333333333332135E-4</v>
      </c>
      <c r="DV179" s="270">
        <f t="shared" si="157"/>
        <v>1.5743781841306959E-3</v>
      </c>
      <c r="DW179" s="253">
        <f t="shared" si="181"/>
        <v>1.0866666666666663E-3</v>
      </c>
      <c r="DX179" s="255">
        <f t="shared" si="169"/>
        <v>0.10866666666666663</v>
      </c>
    </row>
    <row r="180" spans="21:128">
      <c r="U180" s="262"/>
      <c r="AS180" s="254"/>
      <c r="AW180" s="258">
        <f>(((IF($P$5&lt;&gt;0,$P$5,IF($P$6&lt;&gt;0,$P$6,IF($P$7&lt;&gt;0,$P$7,0))))/(12*$P$19))+(((3*$P$15)/(2*(IF($P$5&lt;&gt;0,$P$5,IF($P$6&lt;&gt;0,$P$6,IF($P$7&lt;&gt;0,$P$7,0))))*$U$5*$P$19))*'IN-OUT'!$F$15))*'Burland damage classification'!BA180</f>
        <v>2.9105380641238211E-3</v>
      </c>
      <c r="AX180" s="254">
        <f>(1+(((IF($P$5&lt;&gt;0,$P$5^2,IF($P$6&lt;&gt;0,$P$6^2,IF($P$7&lt;&gt;0,$P$7^2))))*$U$5)/(18*$P$15))*('IN-OUT'!$F$15^(-1)))*BB180</f>
        <v>1.6600446041169648E-3</v>
      </c>
      <c r="AY180" s="254">
        <f t="shared" si="182"/>
        <v>1.6600446041169648E-3</v>
      </c>
      <c r="AZ180" s="254">
        <f t="shared" si="160"/>
        <v>0.16600446041169648</v>
      </c>
      <c r="BA180" s="254">
        <f t="shared" si="172"/>
        <v>9.066666666666547E-4</v>
      </c>
      <c r="BB180" s="270">
        <f t="shared" si="149"/>
        <v>1.5714112553158494E-3</v>
      </c>
      <c r="BC180" s="253">
        <f t="shared" si="173"/>
        <v>1.0933333333333331E-3</v>
      </c>
      <c r="BD180" s="255">
        <f t="shared" si="161"/>
        <v>0.10933333333333331</v>
      </c>
      <c r="BI180" s="248"/>
      <c r="CC180" s="254"/>
      <c r="CG180" s="258" t="e">
        <f>((((IF($Q$5=0,$Q$6,$Q$5)))/(12*$Q$19))+(((3*$Q$15)/(2*IF($Q$5=0,$Q$6,$Q$5)*$U$5*$Q$19))*'IN-OUT'!$F$15))*'Burland damage classification'!CK180</f>
        <v>#DIV/0!</v>
      </c>
      <c r="CH180" s="262">
        <f>(1+(((IF($Q$5=0,$Q$6^2,$Q$5^2))*$U$5)/(18*$Q$15))*('IN-OUT'!$F$15^(-1)))*CL180</f>
        <v>1.5714112553158494E-3</v>
      </c>
      <c r="CI180" s="254" t="e">
        <f t="shared" si="152"/>
        <v>#DIV/0!</v>
      </c>
      <c r="CJ180" s="254" t="e">
        <f t="shared" si="164"/>
        <v>#DIV/0!</v>
      </c>
      <c r="CK180" s="254">
        <f t="shared" si="176"/>
        <v>9.066666666666547E-4</v>
      </c>
      <c r="CL180" s="270">
        <f t="shared" si="153"/>
        <v>1.5714112553158494E-3</v>
      </c>
      <c r="CM180" s="253">
        <f t="shared" si="177"/>
        <v>1.0933333333333331E-3</v>
      </c>
      <c r="CN180" s="255">
        <f t="shared" si="165"/>
        <v>0.10933333333333331</v>
      </c>
      <c r="CS180" s="248"/>
      <c r="DM180" s="254"/>
      <c r="DQ180" s="258" t="e">
        <f>((((IF($R$5=0,$R$6,$R$5)))/(12*$R$19))+(((3*$R$15)/(2*IF($R$5=0,$R$6,$R$5)*$U$5*$R$19))*'IN-OUT'!$F$15))*'Burland damage classification'!DU180</f>
        <v>#DIV/0!</v>
      </c>
      <c r="DR180" s="262">
        <f>(1+(((IF($R$5=0,$R$6^2,$R$5^2))*$U$5)/(18*$R$15))*('IN-OUT'!$F$15^(-1)))*DV180</f>
        <v>1.5714112553158494E-3</v>
      </c>
      <c r="DS180" s="254" t="e">
        <f t="shared" si="156"/>
        <v>#DIV/0!</v>
      </c>
      <c r="DT180" s="254" t="e">
        <f t="shared" si="168"/>
        <v>#DIV/0!</v>
      </c>
      <c r="DU180" s="254">
        <f t="shared" si="180"/>
        <v>9.066666666666547E-4</v>
      </c>
      <c r="DV180" s="270">
        <f t="shared" si="157"/>
        <v>1.5714112553158494E-3</v>
      </c>
      <c r="DW180" s="253">
        <f t="shared" si="181"/>
        <v>1.0933333333333331E-3</v>
      </c>
      <c r="DX180" s="255">
        <f t="shared" si="169"/>
        <v>0.10933333333333331</v>
      </c>
    </row>
    <row r="181" spans="21:128">
      <c r="U181" s="262"/>
      <c r="AS181" s="254"/>
      <c r="AW181" s="258">
        <f>(((IF($P$5&lt;&gt;0,$P$5,IF($P$6&lt;&gt;0,$P$6,IF($P$7&lt;&gt;0,$P$7,0))))/(12*$P$19))+(((3*$P$15)/(2*(IF($P$5&lt;&gt;0,$P$5,IF($P$6&lt;&gt;0,$P$6,IF($P$7&lt;&gt;0,$P$7,0))))*$U$5*$P$19))*'IN-OUT'!$F$15))*'Burland damage classification'!BA181</f>
        <v>2.8891370489464397E-3</v>
      </c>
      <c r="AX181" s="254">
        <f>(1+(((IF($P$5&lt;&gt;0,$P$5^2,IF($P$6&lt;&gt;0,$P$6^2,IF($P$7&lt;&gt;0,$P$7^2))))*$U$5)/(18*$P$15))*('IN-OUT'!$F$15^(-1)))*BB181</f>
        <v>1.6569044007298864E-3</v>
      </c>
      <c r="AY181" s="254">
        <f t="shared" si="182"/>
        <v>1.6569044007298864E-3</v>
      </c>
      <c r="AZ181" s="254">
        <f t="shared" si="160"/>
        <v>0.16569044007298864</v>
      </c>
      <c r="BA181" s="254">
        <f t="shared" si="172"/>
        <v>8.9999999999998805E-4</v>
      </c>
      <c r="BB181" s="270">
        <f t="shared" si="149"/>
        <v>1.5684387141358122E-3</v>
      </c>
      <c r="BC181" s="253">
        <f t="shared" si="173"/>
        <v>1.0999999999999998E-3</v>
      </c>
      <c r="BD181" s="255">
        <f t="shared" si="161"/>
        <v>0.10999999999999999</v>
      </c>
      <c r="BI181" s="248"/>
      <c r="CC181" s="254"/>
      <c r="CG181" s="258" t="e">
        <f>((((IF($Q$5=0,$Q$6,$Q$5)))/(12*$Q$19))+(((3*$Q$15)/(2*IF($Q$5=0,$Q$6,$Q$5)*$U$5*$Q$19))*'IN-OUT'!$F$15))*'Burland damage classification'!CK181</f>
        <v>#DIV/0!</v>
      </c>
      <c r="CH181" s="262">
        <f>(1+(((IF($Q$5=0,$Q$6^2,$Q$5^2))*$U$5)/(18*$Q$15))*('IN-OUT'!$F$15^(-1)))*CL181</f>
        <v>1.5684387141358122E-3</v>
      </c>
      <c r="CI181" s="254" t="e">
        <f t="shared" si="152"/>
        <v>#DIV/0!</v>
      </c>
      <c r="CJ181" s="254" t="e">
        <f t="shared" si="164"/>
        <v>#DIV/0!</v>
      </c>
      <c r="CK181" s="254">
        <f t="shared" si="176"/>
        <v>8.9999999999998805E-4</v>
      </c>
      <c r="CL181" s="270">
        <f t="shared" si="153"/>
        <v>1.5684387141358122E-3</v>
      </c>
      <c r="CM181" s="253">
        <f t="shared" si="177"/>
        <v>1.0999999999999998E-3</v>
      </c>
      <c r="CN181" s="255">
        <f t="shared" si="165"/>
        <v>0.10999999999999999</v>
      </c>
      <c r="CS181" s="248"/>
      <c r="DM181" s="254"/>
      <c r="DQ181" s="258" t="e">
        <f>((((IF($R$5=0,$R$6,$R$5)))/(12*$R$19))+(((3*$R$15)/(2*IF($R$5=0,$R$6,$R$5)*$U$5*$R$19))*'IN-OUT'!$F$15))*'Burland damage classification'!DU181</f>
        <v>#DIV/0!</v>
      </c>
      <c r="DR181" s="262">
        <f>(1+(((IF($R$5=0,$R$6^2,$R$5^2))*$U$5)/(18*$R$15))*('IN-OUT'!$F$15^(-1)))*DV181</f>
        <v>1.5684387141358122E-3</v>
      </c>
      <c r="DS181" s="254" t="e">
        <f t="shared" si="156"/>
        <v>#DIV/0!</v>
      </c>
      <c r="DT181" s="254" t="e">
        <f t="shared" si="168"/>
        <v>#DIV/0!</v>
      </c>
      <c r="DU181" s="254">
        <f t="shared" si="180"/>
        <v>8.9999999999998805E-4</v>
      </c>
      <c r="DV181" s="270">
        <f t="shared" si="157"/>
        <v>1.5684387141358122E-3</v>
      </c>
      <c r="DW181" s="253">
        <f t="shared" si="181"/>
        <v>1.0999999999999998E-3</v>
      </c>
      <c r="DX181" s="255">
        <f t="shared" si="169"/>
        <v>0.10999999999999999</v>
      </c>
    </row>
    <row r="182" spans="21:128">
      <c r="U182" s="262"/>
      <c r="AS182" s="254"/>
      <c r="AW182" s="258">
        <f>(((IF($P$5&lt;&gt;0,$P$5,IF($P$6&lt;&gt;0,$P$6,IF($P$7&lt;&gt;0,$P$7,0))))/(12*$P$19))+(((3*$P$15)/(2*(IF($P$5&lt;&gt;0,$P$5,IF($P$6&lt;&gt;0,$P$6,IF($P$7&lt;&gt;0,$P$7,0))))*$U$5*$P$19))*'IN-OUT'!$F$15))*'Burland damage classification'!BA182</f>
        <v>2.8677360337690584E-3</v>
      </c>
      <c r="AX182" s="254">
        <f>(1+(((IF($P$5&lt;&gt;0,$P$5^2,IF($P$6&lt;&gt;0,$P$6^2,IF($P$7&lt;&gt;0,$P$7^2))))*$U$5)/(18*$P$15))*('IN-OUT'!$F$15^(-1)))*BB182</f>
        <v>1.653758234645644E-3</v>
      </c>
      <c r="AY182" s="254">
        <f t="shared" si="182"/>
        <v>1.653758234645644E-3</v>
      </c>
      <c r="AZ182" s="254">
        <f t="shared" si="160"/>
        <v>0.16537582346456439</v>
      </c>
      <c r="BA182" s="254">
        <f t="shared" si="172"/>
        <v>8.933333333333214E-4</v>
      </c>
      <c r="BB182" s="270">
        <f t="shared" si="149"/>
        <v>1.5654605286198266E-3</v>
      </c>
      <c r="BC182" s="253">
        <f t="shared" si="173"/>
        <v>1.1066666666666666E-3</v>
      </c>
      <c r="BD182" s="255">
        <f t="shared" si="161"/>
        <v>0.11066666666666666</v>
      </c>
      <c r="BI182" s="248"/>
      <c r="CC182" s="254"/>
      <c r="CG182" s="258" t="e">
        <f>((((IF($Q$5=0,$Q$6,$Q$5)))/(12*$Q$19))+(((3*$Q$15)/(2*IF($Q$5=0,$Q$6,$Q$5)*$U$5*$Q$19))*'IN-OUT'!$F$15))*'Burland damage classification'!CK182</f>
        <v>#DIV/0!</v>
      </c>
      <c r="CH182" s="262">
        <f>(1+(((IF($Q$5=0,$Q$6^2,$Q$5^2))*$U$5)/(18*$Q$15))*('IN-OUT'!$F$15^(-1)))*CL182</f>
        <v>1.5654605286198266E-3</v>
      </c>
      <c r="CI182" s="254" t="e">
        <f t="shared" si="152"/>
        <v>#DIV/0!</v>
      </c>
      <c r="CJ182" s="254" t="e">
        <f t="shared" si="164"/>
        <v>#DIV/0!</v>
      </c>
      <c r="CK182" s="254">
        <f t="shared" si="176"/>
        <v>8.933333333333214E-4</v>
      </c>
      <c r="CL182" s="270">
        <f t="shared" si="153"/>
        <v>1.5654605286198266E-3</v>
      </c>
      <c r="CM182" s="253">
        <f t="shared" si="177"/>
        <v>1.1066666666666666E-3</v>
      </c>
      <c r="CN182" s="255">
        <f t="shared" si="165"/>
        <v>0.11066666666666666</v>
      </c>
      <c r="CS182" s="248"/>
      <c r="DM182" s="254"/>
      <c r="DQ182" s="258" t="e">
        <f>((((IF($R$5=0,$R$6,$R$5)))/(12*$R$19))+(((3*$R$15)/(2*IF($R$5=0,$R$6,$R$5)*$U$5*$R$19))*'IN-OUT'!$F$15))*'Burland damage classification'!DU182</f>
        <v>#DIV/0!</v>
      </c>
      <c r="DR182" s="262">
        <f>(1+(((IF($R$5=0,$R$6^2,$R$5^2))*$U$5)/(18*$R$15))*('IN-OUT'!$F$15^(-1)))*DV182</f>
        <v>1.5654605286198266E-3</v>
      </c>
      <c r="DS182" s="254" t="e">
        <f t="shared" si="156"/>
        <v>#DIV/0!</v>
      </c>
      <c r="DT182" s="254" t="e">
        <f t="shared" si="168"/>
        <v>#DIV/0!</v>
      </c>
      <c r="DU182" s="254">
        <f t="shared" si="180"/>
        <v>8.933333333333214E-4</v>
      </c>
      <c r="DV182" s="270">
        <f t="shared" si="157"/>
        <v>1.5654605286198266E-3</v>
      </c>
      <c r="DW182" s="253">
        <f t="shared" si="181"/>
        <v>1.1066666666666666E-3</v>
      </c>
      <c r="DX182" s="255">
        <f t="shared" si="169"/>
        <v>0.11066666666666666</v>
      </c>
    </row>
    <row r="183" spans="21:128">
      <c r="U183" s="262"/>
      <c r="AS183" s="254"/>
      <c r="AW183" s="258">
        <f>(((IF($P$5&lt;&gt;0,$P$5,IF($P$6&lt;&gt;0,$P$6,IF($P$7&lt;&gt;0,$P$7,0))))/(12*$P$19))+(((3*$P$15)/(2*(IF($P$5&lt;&gt;0,$P$5,IF($P$6&lt;&gt;0,$P$6,IF($P$7&lt;&gt;0,$P$7,0))))*$U$5*$P$19))*'IN-OUT'!$F$15))*'Burland damage classification'!BA183</f>
        <v>2.8463350185916774E-3</v>
      </c>
      <c r="AX183" s="254">
        <f>(1+(((IF($P$5&lt;&gt;0,$P$5^2,IF($P$6&lt;&gt;0,$P$6^2,IF($P$7&lt;&gt;0,$P$7^2))))*$U$5)/(18*$P$15))*('IN-OUT'!$F$15^(-1)))*BB183</f>
        <v>1.6506060717683339E-3</v>
      </c>
      <c r="AY183" s="254">
        <f t="shared" si="182"/>
        <v>1.6506060717683339E-3</v>
      </c>
      <c r="AZ183" s="254">
        <f t="shared" si="160"/>
        <v>0.16506060717683338</v>
      </c>
      <c r="BA183" s="254">
        <f t="shared" si="172"/>
        <v>8.8666666666665475E-4</v>
      </c>
      <c r="BB183" s="270">
        <f t="shared" si="149"/>
        <v>1.5624766664924419E-3</v>
      </c>
      <c r="BC183" s="253">
        <f t="shared" si="173"/>
        <v>1.1133333333333334E-3</v>
      </c>
      <c r="BD183" s="255">
        <f t="shared" si="161"/>
        <v>0.11133333333333334</v>
      </c>
      <c r="BI183" s="248"/>
      <c r="CC183" s="254"/>
      <c r="CG183" s="258" t="e">
        <f>((((IF($Q$5=0,$Q$6,$Q$5)))/(12*$Q$19))+(((3*$Q$15)/(2*IF($Q$5=0,$Q$6,$Q$5)*$U$5*$Q$19))*'IN-OUT'!$F$15))*'Burland damage classification'!CK183</f>
        <v>#DIV/0!</v>
      </c>
      <c r="CH183" s="262">
        <f>(1+(((IF($Q$5=0,$Q$6^2,$Q$5^2))*$U$5)/(18*$Q$15))*('IN-OUT'!$F$15^(-1)))*CL183</f>
        <v>1.5624766664924419E-3</v>
      </c>
      <c r="CI183" s="254" t="e">
        <f t="shared" si="152"/>
        <v>#DIV/0!</v>
      </c>
      <c r="CJ183" s="254" t="e">
        <f t="shared" si="164"/>
        <v>#DIV/0!</v>
      </c>
      <c r="CK183" s="254">
        <f t="shared" si="176"/>
        <v>8.8666666666665475E-4</v>
      </c>
      <c r="CL183" s="270">
        <f t="shared" si="153"/>
        <v>1.5624766664924419E-3</v>
      </c>
      <c r="CM183" s="253">
        <f t="shared" si="177"/>
        <v>1.1133333333333334E-3</v>
      </c>
      <c r="CN183" s="255">
        <f t="shared" si="165"/>
        <v>0.11133333333333334</v>
      </c>
      <c r="CS183" s="248"/>
      <c r="DM183" s="254"/>
      <c r="DQ183" s="258" t="e">
        <f>((((IF($R$5=0,$R$6,$R$5)))/(12*$R$19))+(((3*$R$15)/(2*IF($R$5=0,$R$6,$R$5)*$U$5*$R$19))*'IN-OUT'!$F$15))*'Burland damage classification'!DU183</f>
        <v>#DIV/0!</v>
      </c>
      <c r="DR183" s="262">
        <f>(1+(((IF($R$5=0,$R$6^2,$R$5^2))*$U$5)/(18*$R$15))*('IN-OUT'!$F$15^(-1)))*DV183</f>
        <v>1.5624766664924419E-3</v>
      </c>
      <c r="DS183" s="254" t="e">
        <f t="shared" si="156"/>
        <v>#DIV/0!</v>
      </c>
      <c r="DT183" s="254" t="e">
        <f t="shared" si="168"/>
        <v>#DIV/0!</v>
      </c>
      <c r="DU183" s="254">
        <f t="shared" si="180"/>
        <v>8.8666666666665475E-4</v>
      </c>
      <c r="DV183" s="270">
        <f t="shared" si="157"/>
        <v>1.5624766664924419E-3</v>
      </c>
      <c r="DW183" s="253">
        <f t="shared" si="181"/>
        <v>1.1133333333333334E-3</v>
      </c>
      <c r="DX183" s="255">
        <f t="shared" si="169"/>
        <v>0.11133333333333334</v>
      </c>
    </row>
    <row r="184" spans="21:128">
      <c r="U184" s="262"/>
      <c r="AW184" s="258">
        <f>(((IF($P$5&lt;&gt;0,$P$5,IF($P$6&lt;&gt;0,$P$6,IF($P$7&lt;&gt;0,$P$7,0))))/(12*$P$19))+(((3*$P$15)/(2*(IF($P$5&lt;&gt;0,$P$5,IF($P$6&lt;&gt;0,$P$6,IF($P$7&lt;&gt;0,$P$7,0))))*$U$5*$P$19))*'IN-OUT'!$F$15))*'Burland damage classification'!BA184</f>
        <v>2.8249340034142961E-3</v>
      </c>
      <c r="AX184" s="254">
        <f>(1+(((IF($P$5&lt;&gt;0,$P$5^2,IF($P$6&lt;&gt;0,$P$6^2,IF($P$7&lt;&gt;0,$P$7^2))))*$U$5)/(18*$P$15))*('IN-OUT'!$F$15^(-1)))*BB184</f>
        <v>1.6474478776758623E-3</v>
      </c>
      <c r="AY184" s="254">
        <f t="shared" si="182"/>
        <v>1.6474478776758623E-3</v>
      </c>
      <c r="AZ184" s="254">
        <f t="shared" si="160"/>
        <v>0.16474478776758622</v>
      </c>
      <c r="BA184" s="254">
        <f t="shared" si="172"/>
        <v>8.7999999999998811E-4</v>
      </c>
      <c r="BB184" s="270">
        <f t="shared" si="149"/>
        <v>1.5594870951694342E-3</v>
      </c>
      <c r="BC184" s="253">
        <f t="shared" si="173"/>
        <v>1.1200000000000001E-3</v>
      </c>
      <c r="BD184" s="255">
        <f t="shared" si="161"/>
        <v>0.11200000000000002</v>
      </c>
      <c r="BI184" s="248"/>
      <c r="CG184" s="258" t="e">
        <f>((((IF($Q$5=0,$Q$6,$Q$5)))/(12*$Q$19))+(((3*$Q$15)/(2*IF($Q$5=0,$Q$6,$Q$5)*$U$5*$Q$19))*'IN-OUT'!$F$15))*'Burland damage classification'!CK184</f>
        <v>#DIV/0!</v>
      </c>
      <c r="CH184" s="262">
        <f>(1+(((IF($Q$5=0,$Q$6^2,$Q$5^2))*$U$5)/(18*$Q$15))*('IN-OUT'!$F$15^(-1)))*CL184</f>
        <v>1.5594870951694342E-3</v>
      </c>
      <c r="CI184" s="254" t="e">
        <f t="shared" si="152"/>
        <v>#DIV/0!</v>
      </c>
      <c r="CJ184" s="254" t="e">
        <f t="shared" si="164"/>
        <v>#DIV/0!</v>
      </c>
      <c r="CK184" s="254">
        <f t="shared" si="176"/>
        <v>8.7999999999998811E-4</v>
      </c>
      <c r="CL184" s="270">
        <f t="shared" si="153"/>
        <v>1.5594870951694342E-3</v>
      </c>
      <c r="CM184" s="253">
        <f t="shared" si="177"/>
        <v>1.1200000000000001E-3</v>
      </c>
      <c r="CN184" s="255">
        <f t="shared" si="165"/>
        <v>0.11200000000000002</v>
      </c>
      <c r="CS184" s="248"/>
      <c r="DQ184" s="258" t="e">
        <f>((((IF($R$5=0,$R$6,$R$5)))/(12*$R$19))+(((3*$R$15)/(2*IF($R$5=0,$R$6,$R$5)*$U$5*$R$19))*'IN-OUT'!$F$15))*'Burland damage classification'!DU184</f>
        <v>#DIV/0!</v>
      </c>
      <c r="DR184" s="262">
        <f>(1+(((IF($R$5=0,$R$6^2,$R$5^2))*$U$5)/(18*$R$15))*('IN-OUT'!$F$15^(-1)))*DV184</f>
        <v>1.5594870951694342E-3</v>
      </c>
      <c r="DS184" s="254" t="e">
        <f t="shared" si="156"/>
        <v>#DIV/0!</v>
      </c>
      <c r="DT184" s="254" t="e">
        <f t="shared" si="168"/>
        <v>#DIV/0!</v>
      </c>
      <c r="DU184" s="254">
        <f t="shared" si="180"/>
        <v>8.7999999999998811E-4</v>
      </c>
      <c r="DV184" s="270">
        <f t="shared" si="157"/>
        <v>1.5594870951694342E-3</v>
      </c>
      <c r="DW184" s="253">
        <f t="shared" si="181"/>
        <v>1.1200000000000001E-3</v>
      </c>
      <c r="DX184" s="255">
        <f t="shared" si="169"/>
        <v>0.11200000000000002</v>
      </c>
    </row>
    <row r="185" spans="21:128">
      <c r="U185" s="262"/>
      <c r="AW185" s="258">
        <f>(((IF($P$5&lt;&gt;0,$P$5,IF($P$6&lt;&gt;0,$P$6,IF($P$7&lt;&gt;0,$P$7,0))))/(12*$P$19))+(((3*$P$15)/(2*(IF($P$5&lt;&gt;0,$P$5,IF($P$6&lt;&gt;0,$P$6,IF($P$7&lt;&gt;0,$P$7,0))))*$U$5*$P$19))*'IN-OUT'!$F$15))*'Burland damage classification'!BA185</f>
        <v>2.8035329882369147E-3</v>
      </c>
      <c r="AX185" s="254">
        <f>(1+(((IF($P$5&lt;&gt;0,$P$5^2,IF($P$6&lt;&gt;0,$P$6^2,IF($P$7&lt;&gt;0,$P$7^2))))*$U$5)/(18*$P$15))*('IN-OUT'!$F$15^(-1)))*BB185</f>
        <v>1.644283617615561E-3</v>
      </c>
      <c r="AY185" s="254">
        <f t="shared" si="182"/>
        <v>1.644283617615561E-3</v>
      </c>
      <c r="AZ185" s="254">
        <f t="shared" si="160"/>
        <v>0.16442836176155609</v>
      </c>
      <c r="BA185" s="254">
        <f t="shared" si="172"/>
        <v>8.7333333333332146E-4</v>
      </c>
      <c r="BB185" s="270">
        <f t="shared" si="149"/>
        <v>1.5564917817536546E-3</v>
      </c>
      <c r="BC185" s="253">
        <f t="shared" si="173"/>
        <v>1.1266666666666669E-3</v>
      </c>
      <c r="BD185" s="255">
        <f t="shared" si="161"/>
        <v>0.11266666666666669</v>
      </c>
      <c r="BI185" s="248"/>
      <c r="CG185" s="258" t="e">
        <f>((((IF($Q$5=0,$Q$6,$Q$5)))/(12*$Q$19))+(((3*$Q$15)/(2*IF($Q$5=0,$Q$6,$Q$5)*$U$5*$Q$19))*'IN-OUT'!$F$15))*'Burland damage classification'!CK185</f>
        <v>#DIV/0!</v>
      </c>
      <c r="CH185" s="262">
        <f>(1+(((IF($Q$5=0,$Q$6^2,$Q$5^2))*$U$5)/(18*$Q$15))*('IN-OUT'!$F$15^(-1)))*CL185</f>
        <v>1.5564917817536546E-3</v>
      </c>
      <c r="CI185" s="254" t="e">
        <f t="shared" si="152"/>
        <v>#DIV/0!</v>
      </c>
      <c r="CJ185" s="254" t="e">
        <f t="shared" si="164"/>
        <v>#DIV/0!</v>
      </c>
      <c r="CK185" s="254">
        <f t="shared" si="176"/>
        <v>8.7333333333332146E-4</v>
      </c>
      <c r="CL185" s="270">
        <f t="shared" si="153"/>
        <v>1.5564917817536546E-3</v>
      </c>
      <c r="CM185" s="253">
        <f t="shared" si="177"/>
        <v>1.1266666666666669E-3</v>
      </c>
      <c r="CN185" s="255">
        <f t="shared" si="165"/>
        <v>0.11266666666666669</v>
      </c>
      <c r="CS185" s="248"/>
      <c r="DQ185" s="258" t="e">
        <f>((((IF($R$5=0,$R$6,$R$5)))/(12*$R$19))+(((3*$R$15)/(2*IF($R$5=0,$R$6,$R$5)*$U$5*$R$19))*'IN-OUT'!$F$15))*'Burland damage classification'!DU185</f>
        <v>#DIV/0!</v>
      </c>
      <c r="DR185" s="262">
        <f>(1+(((IF($R$5=0,$R$6^2,$R$5^2))*$U$5)/(18*$R$15))*('IN-OUT'!$F$15^(-1)))*DV185</f>
        <v>1.5564917817536546E-3</v>
      </c>
      <c r="DS185" s="254" t="e">
        <f t="shared" si="156"/>
        <v>#DIV/0!</v>
      </c>
      <c r="DT185" s="254" t="e">
        <f t="shared" si="168"/>
        <v>#DIV/0!</v>
      </c>
      <c r="DU185" s="254">
        <f t="shared" si="180"/>
        <v>8.7333333333332146E-4</v>
      </c>
      <c r="DV185" s="270">
        <f t="shared" si="157"/>
        <v>1.5564917817536546E-3</v>
      </c>
      <c r="DW185" s="253">
        <f t="shared" si="181"/>
        <v>1.1266666666666669E-3</v>
      </c>
      <c r="DX185" s="255">
        <f t="shared" si="169"/>
        <v>0.11266666666666669</v>
      </c>
    </row>
    <row r="186" spans="21:128">
      <c r="U186" s="262"/>
      <c r="AW186" s="258">
        <f>(((IF($P$5&lt;&gt;0,$P$5,IF($P$6&lt;&gt;0,$P$6,IF($P$7&lt;&gt;0,$P$7,0))))/(12*$P$19))+(((3*$P$15)/(2*(IF($P$5&lt;&gt;0,$P$5,IF($P$6&lt;&gt;0,$P$6,IF($P$7&lt;&gt;0,$P$7,0))))*$U$5*$P$19))*'IN-OUT'!$F$15))*'Burland damage classification'!BA186</f>
        <v>2.7821319730595333E-3</v>
      </c>
      <c r="AX186" s="254">
        <f>(1+(((IF($P$5&lt;&gt;0,$P$5^2,IF($P$6&lt;&gt;0,$P$6^2,IF($P$7&lt;&gt;0,$P$7^2))))*$U$5)/(18*$P$15))*('IN-OUT'!$F$15^(-1)))*BB186</f>
        <v>1.6411132564997243E-3</v>
      </c>
      <c r="AY186" s="254">
        <f t="shared" si="182"/>
        <v>1.6411132564997243E-3</v>
      </c>
      <c r="AZ186" s="254">
        <f t="shared" si="160"/>
        <v>0.16411132564997244</v>
      </c>
      <c r="BA186" s="254">
        <f t="shared" si="172"/>
        <v>8.6666666666665481E-4</v>
      </c>
      <c r="BB186" s="270">
        <f t="shared" si="149"/>
        <v>1.5534906930308057E-3</v>
      </c>
      <c r="BC186" s="253">
        <f t="shared" si="173"/>
        <v>1.1333333333333336E-3</v>
      </c>
      <c r="BD186" s="255">
        <f t="shared" si="161"/>
        <v>0.11333333333333337</v>
      </c>
      <c r="BI186" s="248"/>
      <c r="CG186" s="258" t="e">
        <f>((((IF($Q$5=0,$Q$6,$Q$5)))/(12*$Q$19))+(((3*$Q$15)/(2*IF($Q$5=0,$Q$6,$Q$5)*$U$5*$Q$19))*'IN-OUT'!$F$15))*'Burland damage classification'!CK186</f>
        <v>#DIV/0!</v>
      </c>
      <c r="CH186" s="262">
        <f>(1+(((IF($Q$5=0,$Q$6^2,$Q$5^2))*$U$5)/(18*$Q$15))*('IN-OUT'!$F$15^(-1)))*CL186</f>
        <v>1.5534906930308057E-3</v>
      </c>
      <c r="CI186" s="254" t="e">
        <f t="shared" si="152"/>
        <v>#DIV/0!</v>
      </c>
      <c r="CJ186" s="254" t="e">
        <f t="shared" si="164"/>
        <v>#DIV/0!</v>
      </c>
      <c r="CK186" s="254">
        <f t="shared" si="176"/>
        <v>8.6666666666665481E-4</v>
      </c>
      <c r="CL186" s="270">
        <f t="shared" si="153"/>
        <v>1.5534906930308057E-3</v>
      </c>
      <c r="CM186" s="253">
        <f t="shared" si="177"/>
        <v>1.1333333333333336E-3</v>
      </c>
      <c r="CN186" s="255">
        <f t="shared" si="165"/>
        <v>0.11333333333333337</v>
      </c>
      <c r="CS186" s="248"/>
      <c r="DQ186" s="258" t="e">
        <f>((((IF($R$5=0,$R$6,$R$5)))/(12*$R$19))+(((3*$R$15)/(2*IF($R$5=0,$R$6,$R$5)*$U$5*$R$19))*'IN-OUT'!$F$15))*'Burland damage classification'!DU186</f>
        <v>#DIV/0!</v>
      </c>
      <c r="DR186" s="262">
        <f>(1+(((IF($R$5=0,$R$6^2,$R$5^2))*$U$5)/(18*$R$15))*('IN-OUT'!$F$15^(-1)))*DV186</f>
        <v>1.5534906930308057E-3</v>
      </c>
      <c r="DS186" s="254" t="e">
        <f t="shared" si="156"/>
        <v>#DIV/0!</v>
      </c>
      <c r="DT186" s="254" t="e">
        <f t="shared" si="168"/>
        <v>#DIV/0!</v>
      </c>
      <c r="DU186" s="254">
        <f t="shared" si="180"/>
        <v>8.6666666666665481E-4</v>
      </c>
      <c r="DV186" s="270">
        <f t="shared" si="157"/>
        <v>1.5534906930308057E-3</v>
      </c>
      <c r="DW186" s="253">
        <f t="shared" si="181"/>
        <v>1.1333333333333336E-3</v>
      </c>
      <c r="DX186" s="255">
        <f t="shared" si="169"/>
        <v>0.11333333333333337</v>
      </c>
    </row>
    <row r="187" spans="21:128">
      <c r="U187" s="262"/>
      <c r="AW187" s="258">
        <f>(((IF($P$5&lt;&gt;0,$P$5,IF($P$6&lt;&gt;0,$P$6,IF($P$7&lt;&gt;0,$P$7,0))))/(12*$P$19))+(((3*$P$15)/(2*(IF($P$5&lt;&gt;0,$P$5,IF($P$6&lt;&gt;0,$P$6,IF($P$7&lt;&gt;0,$P$7,0))))*$U$5*$P$19))*'IN-OUT'!$F$15))*'Burland damage classification'!BA187</f>
        <v>2.7607309578821524E-3</v>
      </c>
      <c r="AX187" s="254">
        <f>(1+(((IF($P$5&lt;&gt;0,$P$5^2,IF($P$6&lt;&gt;0,$P$6^2,IF($P$7&lt;&gt;0,$P$7^2))))*$U$5)/(18*$P$15))*('IN-OUT'!$F$15^(-1)))*BB187</f>
        <v>1.6379367589010702E-3</v>
      </c>
      <c r="AY187" s="254">
        <f t="shared" si="182"/>
        <v>1.6379367589010702E-3</v>
      </c>
      <c r="AZ187" s="254">
        <f t="shared" si="160"/>
        <v>0.16379367589010702</v>
      </c>
      <c r="BA187" s="254">
        <f t="shared" si="172"/>
        <v>8.5999999999998816E-4</v>
      </c>
      <c r="BB187" s="270">
        <f t="shared" si="149"/>
        <v>1.5504837954651443E-3</v>
      </c>
      <c r="BC187" s="253">
        <f t="shared" si="173"/>
        <v>1.1400000000000004E-3</v>
      </c>
      <c r="BD187" s="255">
        <f t="shared" si="161"/>
        <v>0.11400000000000005</v>
      </c>
      <c r="BI187" s="248"/>
      <c r="CG187" s="258" t="e">
        <f>((((IF($Q$5=0,$Q$6,$Q$5)))/(12*$Q$19))+(((3*$Q$15)/(2*IF($Q$5=0,$Q$6,$Q$5)*$U$5*$Q$19))*'IN-OUT'!$F$15))*'Burland damage classification'!CK187</f>
        <v>#DIV/0!</v>
      </c>
      <c r="CH187" s="262">
        <f>(1+(((IF($Q$5=0,$Q$6^2,$Q$5^2))*$U$5)/(18*$Q$15))*('IN-OUT'!$F$15^(-1)))*CL187</f>
        <v>1.5504837954651443E-3</v>
      </c>
      <c r="CI187" s="254" t="e">
        <f t="shared" si="152"/>
        <v>#DIV/0!</v>
      </c>
      <c r="CJ187" s="254" t="e">
        <f t="shared" si="164"/>
        <v>#DIV/0!</v>
      </c>
      <c r="CK187" s="254">
        <f t="shared" si="176"/>
        <v>8.5999999999998816E-4</v>
      </c>
      <c r="CL187" s="270">
        <f t="shared" si="153"/>
        <v>1.5504837954651443E-3</v>
      </c>
      <c r="CM187" s="253">
        <f t="shared" si="177"/>
        <v>1.1400000000000004E-3</v>
      </c>
      <c r="CN187" s="255">
        <f t="shared" si="165"/>
        <v>0.11400000000000005</v>
      </c>
      <c r="CS187" s="248"/>
      <c r="DQ187" s="258" t="e">
        <f>((((IF($R$5=0,$R$6,$R$5)))/(12*$R$19))+(((3*$R$15)/(2*IF($R$5=0,$R$6,$R$5)*$U$5*$R$19))*'IN-OUT'!$F$15))*'Burland damage classification'!DU187</f>
        <v>#DIV/0!</v>
      </c>
      <c r="DR187" s="262">
        <f>(1+(((IF($R$5=0,$R$6^2,$R$5^2))*$U$5)/(18*$R$15))*('IN-OUT'!$F$15^(-1)))*DV187</f>
        <v>1.5504837954651443E-3</v>
      </c>
      <c r="DS187" s="254" t="e">
        <f t="shared" si="156"/>
        <v>#DIV/0!</v>
      </c>
      <c r="DT187" s="254" t="e">
        <f t="shared" si="168"/>
        <v>#DIV/0!</v>
      </c>
      <c r="DU187" s="254">
        <f t="shared" si="180"/>
        <v>8.5999999999998816E-4</v>
      </c>
      <c r="DV187" s="270">
        <f t="shared" si="157"/>
        <v>1.5504837954651443E-3</v>
      </c>
      <c r="DW187" s="253">
        <f t="shared" si="181"/>
        <v>1.1400000000000004E-3</v>
      </c>
      <c r="DX187" s="255">
        <f t="shared" si="169"/>
        <v>0.11400000000000005</v>
      </c>
    </row>
    <row r="188" spans="21:128">
      <c r="U188" s="262"/>
      <c r="AW188" s="258">
        <f>(((IF($P$5&lt;&gt;0,$P$5,IF($P$6&lt;&gt;0,$P$6,IF($P$7&lt;&gt;0,$P$7,0))))/(12*$P$19))+(((3*$P$15)/(2*(IF($P$5&lt;&gt;0,$P$5,IF($P$6&lt;&gt;0,$P$6,IF($P$7&lt;&gt;0,$P$7,0))))*$U$5*$P$19))*'IN-OUT'!$F$15))*'Burland damage classification'!BA188</f>
        <v>2.739329942704771E-3</v>
      </c>
      <c r="AX188" s="254">
        <f>(1+(((IF($P$5&lt;&gt;0,$P$5^2,IF($P$6&lt;&gt;0,$P$6^2,IF($P$7&lt;&gt;0,$P$7^2))))*$U$5)/(18*$P$15))*('IN-OUT'!$F$15^(-1)))*BB188</f>
        <v>1.6347540890481224E-3</v>
      </c>
      <c r="AY188" s="254">
        <f t="shared" si="182"/>
        <v>1.6347540890481224E-3</v>
      </c>
      <c r="AZ188" s="254">
        <f t="shared" si="160"/>
        <v>0.16347540890481224</v>
      </c>
      <c r="BA188" s="254">
        <f t="shared" si="172"/>
        <v>8.5333333333332151E-4</v>
      </c>
      <c r="BB188" s="270">
        <f t="shared" si="149"/>
        <v>1.5474710551951097E-3</v>
      </c>
      <c r="BC188" s="253">
        <f t="shared" si="173"/>
        <v>1.1466666666666671E-3</v>
      </c>
      <c r="BD188" s="255">
        <f t="shared" si="161"/>
        <v>0.11466666666666671</v>
      </c>
      <c r="BI188" s="248"/>
      <c r="CG188" s="258" t="e">
        <f>((((IF($Q$5=0,$Q$6,$Q$5)))/(12*$Q$19))+(((3*$Q$15)/(2*IF($Q$5=0,$Q$6,$Q$5)*$U$5*$Q$19))*'IN-OUT'!$F$15))*'Burland damage classification'!CK188</f>
        <v>#DIV/0!</v>
      </c>
      <c r="CH188" s="262">
        <f>(1+(((IF($Q$5=0,$Q$6^2,$Q$5^2))*$U$5)/(18*$Q$15))*('IN-OUT'!$F$15^(-1)))*CL188</f>
        <v>1.5474710551951097E-3</v>
      </c>
      <c r="CI188" s="254" t="e">
        <f t="shared" si="152"/>
        <v>#DIV/0!</v>
      </c>
      <c r="CJ188" s="254" t="e">
        <f t="shared" si="164"/>
        <v>#DIV/0!</v>
      </c>
      <c r="CK188" s="254">
        <f t="shared" si="176"/>
        <v>8.5333333333332151E-4</v>
      </c>
      <c r="CL188" s="270">
        <f t="shared" si="153"/>
        <v>1.5474710551951097E-3</v>
      </c>
      <c r="CM188" s="253">
        <f t="shared" si="177"/>
        <v>1.1466666666666671E-3</v>
      </c>
      <c r="CN188" s="255">
        <f t="shared" si="165"/>
        <v>0.11466666666666671</v>
      </c>
      <c r="CS188" s="248"/>
      <c r="DQ188" s="258" t="e">
        <f>((((IF($R$5=0,$R$6,$R$5)))/(12*$R$19))+(((3*$R$15)/(2*IF($R$5=0,$R$6,$R$5)*$U$5*$R$19))*'IN-OUT'!$F$15))*'Burland damage classification'!DU188</f>
        <v>#DIV/0!</v>
      </c>
      <c r="DR188" s="262">
        <f>(1+(((IF($R$5=0,$R$6^2,$R$5^2))*$U$5)/(18*$R$15))*('IN-OUT'!$F$15^(-1)))*DV188</f>
        <v>1.5474710551951097E-3</v>
      </c>
      <c r="DS188" s="254" t="e">
        <f t="shared" si="156"/>
        <v>#DIV/0!</v>
      </c>
      <c r="DT188" s="254" t="e">
        <f t="shared" si="168"/>
        <v>#DIV/0!</v>
      </c>
      <c r="DU188" s="254">
        <f t="shared" si="180"/>
        <v>8.5333333333332151E-4</v>
      </c>
      <c r="DV188" s="270">
        <f t="shared" si="157"/>
        <v>1.5474710551951097E-3</v>
      </c>
      <c r="DW188" s="253">
        <f t="shared" si="181"/>
        <v>1.1466666666666671E-3</v>
      </c>
      <c r="DX188" s="255">
        <f t="shared" si="169"/>
        <v>0.11466666666666671</v>
      </c>
    </row>
    <row r="189" spans="21:128">
      <c r="U189" s="262"/>
      <c r="AW189" s="258">
        <f>(((IF($P$5&lt;&gt;0,$P$5,IF($P$6&lt;&gt;0,$P$6,IF($P$7&lt;&gt;0,$P$7,0))))/(12*$P$19))+(((3*$P$15)/(2*(IF($P$5&lt;&gt;0,$P$5,IF($P$6&lt;&gt;0,$P$6,IF($P$7&lt;&gt;0,$P$7,0))))*$U$5*$P$19))*'IN-OUT'!$F$15))*'Burland damage classification'!BA189</f>
        <v>2.7179289275273896E-3</v>
      </c>
      <c r="AX189" s="254">
        <f>(1+(((IF($P$5&lt;&gt;0,$P$5^2,IF($P$6&lt;&gt;0,$P$6^2,IF($P$7&lt;&gt;0,$P$7^2))))*$U$5)/(18*$P$15))*('IN-OUT'!$F$15^(-1)))*BB189</f>
        <v>1.6315652108205079E-3</v>
      </c>
      <c r="AY189" s="254">
        <f t="shared" si="182"/>
        <v>1.6315652108205079E-3</v>
      </c>
      <c r="AZ189" s="254">
        <f t="shared" si="160"/>
        <v>0.16315652108205078</v>
      </c>
      <c r="BA189" s="254">
        <f t="shared" si="172"/>
        <v>8.4666666666665487E-4</v>
      </c>
      <c r="BB189" s="270">
        <f t="shared" si="149"/>
        <v>1.5444524380288738E-3</v>
      </c>
      <c r="BC189" s="253">
        <f t="shared" si="173"/>
        <v>1.1533333333333339E-3</v>
      </c>
      <c r="BD189" s="255">
        <f t="shared" si="161"/>
        <v>0.11533333333333338</v>
      </c>
      <c r="BI189" s="248"/>
      <c r="CG189" s="258" t="e">
        <f>((((IF($Q$5=0,$Q$6,$Q$5)))/(12*$Q$19))+(((3*$Q$15)/(2*IF($Q$5=0,$Q$6,$Q$5)*$U$5*$Q$19))*'IN-OUT'!$F$15))*'Burland damage classification'!CK189</f>
        <v>#DIV/0!</v>
      </c>
      <c r="CH189" s="262">
        <f>(1+(((IF($Q$5=0,$Q$6^2,$Q$5^2))*$U$5)/(18*$Q$15))*('IN-OUT'!$F$15^(-1)))*CL189</f>
        <v>1.5444524380288738E-3</v>
      </c>
      <c r="CI189" s="254" t="e">
        <f t="shared" si="152"/>
        <v>#DIV/0!</v>
      </c>
      <c r="CJ189" s="254" t="e">
        <f t="shared" si="164"/>
        <v>#DIV/0!</v>
      </c>
      <c r="CK189" s="254">
        <f t="shared" si="176"/>
        <v>8.4666666666665487E-4</v>
      </c>
      <c r="CL189" s="270">
        <f t="shared" si="153"/>
        <v>1.5444524380288738E-3</v>
      </c>
      <c r="CM189" s="253">
        <f t="shared" si="177"/>
        <v>1.1533333333333339E-3</v>
      </c>
      <c r="CN189" s="255">
        <f t="shared" si="165"/>
        <v>0.11533333333333338</v>
      </c>
      <c r="CS189" s="248"/>
      <c r="DQ189" s="258" t="e">
        <f>((((IF($R$5=0,$R$6,$R$5)))/(12*$R$19))+(((3*$R$15)/(2*IF($R$5=0,$R$6,$R$5)*$U$5*$R$19))*'IN-OUT'!$F$15))*'Burland damage classification'!DU189</f>
        <v>#DIV/0!</v>
      </c>
      <c r="DR189" s="262">
        <f>(1+(((IF($R$5=0,$R$6^2,$R$5^2))*$U$5)/(18*$R$15))*('IN-OUT'!$F$15^(-1)))*DV189</f>
        <v>1.5444524380288738E-3</v>
      </c>
      <c r="DS189" s="254" t="e">
        <f t="shared" si="156"/>
        <v>#DIV/0!</v>
      </c>
      <c r="DT189" s="254" t="e">
        <f t="shared" si="168"/>
        <v>#DIV/0!</v>
      </c>
      <c r="DU189" s="254">
        <f t="shared" si="180"/>
        <v>8.4666666666665487E-4</v>
      </c>
      <c r="DV189" s="270">
        <f t="shared" si="157"/>
        <v>1.5444524380288738E-3</v>
      </c>
      <c r="DW189" s="253">
        <f t="shared" si="181"/>
        <v>1.1533333333333339E-3</v>
      </c>
      <c r="DX189" s="255">
        <f t="shared" si="169"/>
        <v>0.11533333333333338</v>
      </c>
    </row>
    <row r="190" spans="21:128">
      <c r="U190" s="262"/>
      <c r="AW190" s="258">
        <f>(((IF($P$5&lt;&gt;0,$P$5,IF($P$6&lt;&gt;0,$P$6,IF($P$7&lt;&gt;0,$P$7,0))))/(12*$P$19))+(((3*$P$15)/(2*(IF($P$5&lt;&gt;0,$P$5,IF($P$6&lt;&gt;0,$P$6,IF($P$7&lt;&gt;0,$P$7,0))))*$U$5*$P$19))*'IN-OUT'!$F$15))*'Burland damage classification'!BA190</f>
        <v>2.6965279123500083E-3</v>
      </c>
      <c r="AX190" s="254">
        <f>(1+(((IF($P$5&lt;&gt;0,$P$5^2,IF($P$6&lt;&gt;0,$P$6^2,IF($P$7&lt;&gt;0,$P$7^2))))*$U$5)/(18*$P$15))*('IN-OUT'!$F$15^(-1)))*BB190</f>
        <v>1.6283700877441779E-3</v>
      </c>
      <c r="AY190" s="254">
        <f t="shared" si="182"/>
        <v>1.6283700877441779E-3</v>
      </c>
      <c r="AZ190" s="254">
        <f t="shared" si="160"/>
        <v>0.16283700877441779</v>
      </c>
      <c r="BA190" s="254">
        <f t="shared" si="172"/>
        <v>8.3999999999998822E-4</v>
      </c>
      <c r="BB190" s="270">
        <f t="shared" si="149"/>
        <v>1.5414279094398151E-3</v>
      </c>
      <c r="BC190" s="253">
        <f t="shared" si="173"/>
        <v>1.1600000000000007E-3</v>
      </c>
      <c r="BD190" s="255">
        <f t="shared" si="161"/>
        <v>0.11600000000000006</v>
      </c>
      <c r="BI190" s="248"/>
      <c r="CG190" s="258" t="e">
        <f>((((IF($Q$5=0,$Q$6,$Q$5)))/(12*$Q$19))+(((3*$Q$15)/(2*IF($Q$5=0,$Q$6,$Q$5)*$U$5*$Q$19))*'IN-OUT'!$F$15))*'Burland damage classification'!CK190</f>
        <v>#DIV/0!</v>
      </c>
      <c r="CH190" s="262">
        <f>(1+(((IF($Q$5=0,$Q$6^2,$Q$5^2))*$U$5)/(18*$Q$15))*('IN-OUT'!$F$15^(-1)))*CL190</f>
        <v>1.5414279094398151E-3</v>
      </c>
      <c r="CI190" s="254" t="e">
        <f t="shared" si="152"/>
        <v>#DIV/0!</v>
      </c>
      <c r="CJ190" s="254" t="e">
        <f t="shared" si="164"/>
        <v>#DIV/0!</v>
      </c>
      <c r="CK190" s="254">
        <f t="shared" si="176"/>
        <v>8.3999999999998822E-4</v>
      </c>
      <c r="CL190" s="270">
        <f t="shared" si="153"/>
        <v>1.5414279094398151E-3</v>
      </c>
      <c r="CM190" s="253">
        <f t="shared" si="177"/>
        <v>1.1600000000000007E-3</v>
      </c>
      <c r="CN190" s="255">
        <f t="shared" si="165"/>
        <v>0.11600000000000006</v>
      </c>
      <c r="CS190" s="248"/>
      <c r="DQ190" s="258" t="e">
        <f>((((IF($R$5=0,$R$6,$R$5)))/(12*$R$19))+(((3*$R$15)/(2*IF($R$5=0,$R$6,$R$5)*$U$5*$R$19))*'IN-OUT'!$F$15))*'Burland damage classification'!DU190</f>
        <v>#DIV/0!</v>
      </c>
      <c r="DR190" s="262">
        <f>(1+(((IF($R$5=0,$R$6^2,$R$5^2))*$U$5)/(18*$R$15))*('IN-OUT'!$F$15^(-1)))*DV190</f>
        <v>1.5414279094398151E-3</v>
      </c>
      <c r="DS190" s="254" t="e">
        <f t="shared" si="156"/>
        <v>#DIV/0!</v>
      </c>
      <c r="DT190" s="254" t="e">
        <f t="shared" si="168"/>
        <v>#DIV/0!</v>
      </c>
      <c r="DU190" s="254">
        <f t="shared" si="180"/>
        <v>8.3999999999998822E-4</v>
      </c>
      <c r="DV190" s="270">
        <f t="shared" si="157"/>
        <v>1.5414279094398151E-3</v>
      </c>
      <c r="DW190" s="253">
        <f t="shared" si="181"/>
        <v>1.1600000000000007E-3</v>
      </c>
      <c r="DX190" s="255">
        <f t="shared" si="169"/>
        <v>0.11600000000000006</v>
      </c>
    </row>
    <row r="191" spans="21:128">
      <c r="U191" s="262"/>
      <c r="AW191" s="258">
        <f>(((IF($P$5&lt;&gt;0,$P$5,IF($P$6&lt;&gt;0,$P$6,IF($P$7&lt;&gt;0,$P$7,0))))/(12*$P$19))+(((3*$P$15)/(2*(IF($P$5&lt;&gt;0,$P$5,IF($P$6&lt;&gt;0,$P$6,IF($P$7&lt;&gt;0,$P$7,0))))*$U$5*$P$19))*'IN-OUT'!$F$15))*'Burland damage classification'!BA191</f>
        <v>2.6751268971726273E-3</v>
      </c>
      <c r="AX191" s="254">
        <f>(1+(((IF($P$5&lt;&gt;0,$P$5^2,IF($P$6&lt;&gt;0,$P$6^2,IF($P$7&lt;&gt;0,$P$7^2))))*$U$5)/(18*$P$15))*('IN-OUT'!$F$15^(-1)))*BB191</f>
        <v>1.6251686829865371E-3</v>
      </c>
      <c r="AY191" s="254">
        <f t="shared" si="182"/>
        <v>1.6251686829865371E-3</v>
      </c>
      <c r="AZ191" s="254">
        <f t="shared" si="160"/>
        <v>0.16251686829865372</v>
      </c>
      <c r="BA191" s="254">
        <f t="shared" si="172"/>
        <v>8.3333333333332157E-4</v>
      </c>
      <c r="BB191" s="270">
        <f t="shared" si="149"/>
        <v>1.5383974345619098E-3</v>
      </c>
      <c r="BC191" s="253">
        <f t="shared" si="173"/>
        <v>1.1666666666666674E-3</v>
      </c>
      <c r="BD191" s="255">
        <f t="shared" si="161"/>
        <v>0.11666666666666674</v>
      </c>
      <c r="BI191" s="248"/>
      <c r="CG191" s="258" t="e">
        <f>((((IF($Q$5=0,$Q$6,$Q$5)))/(12*$Q$19))+(((3*$Q$15)/(2*IF($Q$5=0,$Q$6,$Q$5)*$U$5*$Q$19))*'IN-OUT'!$F$15))*'Burland damage classification'!CK191</f>
        <v>#DIV/0!</v>
      </c>
      <c r="CH191" s="262">
        <f>(1+(((IF($Q$5=0,$Q$6^2,$Q$5^2))*$U$5)/(18*$Q$15))*('IN-OUT'!$F$15^(-1)))*CL191</f>
        <v>1.5383974345619098E-3</v>
      </c>
      <c r="CI191" s="254" t="e">
        <f t="shared" si="152"/>
        <v>#DIV/0!</v>
      </c>
      <c r="CJ191" s="254" t="e">
        <f t="shared" si="164"/>
        <v>#DIV/0!</v>
      </c>
      <c r="CK191" s="254">
        <f t="shared" si="176"/>
        <v>8.3333333333332157E-4</v>
      </c>
      <c r="CL191" s="270">
        <f t="shared" si="153"/>
        <v>1.5383974345619098E-3</v>
      </c>
      <c r="CM191" s="253">
        <f t="shared" si="177"/>
        <v>1.1666666666666674E-3</v>
      </c>
      <c r="CN191" s="255">
        <f t="shared" si="165"/>
        <v>0.11666666666666674</v>
      </c>
      <c r="CS191" s="248"/>
      <c r="DQ191" s="258" t="e">
        <f>((((IF($R$5=0,$R$6,$R$5)))/(12*$R$19))+(((3*$R$15)/(2*IF($R$5=0,$R$6,$R$5)*$U$5*$R$19))*'IN-OUT'!$F$15))*'Burland damage classification'!DU191</f>
        <v>#DIV/0!</v>
      </c>
      <c r="DR191" s="262">
        <f>(1+(((IF($R$5=0,$R$6^2,$R$5^2))*$U$5)/(18*$R$15))*('IN-OUT'!$F$15^(-1)))*DV191</f>
        <v>1.5383974345619098E-3</v>
      </c>
      <c r="DS191" s="254" t="e">
        <f t="shared" si="156"/>
        <v>#DIV/0!</v>
      </c>
      <c r="DT191" s="254" t="e">
        <f t="shared" si="168"/>
        <v>#DIV/0!</v>
      </c>
      <c r="DU191" s="254">
        <f t="shared" si="180"/>
        <v>8.3333333333332157E-4</v>
      </c>
      <c r="DV191" s="270">
        <f t="shared" si="157"/>
        <v>1.5383974345619098E-3</v>
      </c>
      <c r="DW191" s="253">
        <f t="shared" si="181"/>
        <v>1.1666666666666674E-3</v>
      </c>
      <c r="DX191" s="255">
        <f t="shared" si="169"/>
        <v>0.11666666666666674</v>
      </c>
    </row>
    <row r="192" spans="21:128">
      <c r="U192" s="262"/>
      <c r="AW192" s="258">
        <f>(((IF($P$5&lt;&gt;0,$P$5,IF($P$6&lt;&gt;0,$P$6,IF($P$7&lt;&gt;0,$P$7,0))))/(12*$P$19))+(((3*$P$15)/(2*(IF($P$5&lt;&gt;0,$P$5,IF($P$6&lt;&gt;0,$P$6,IF($P$7&lt;&gt;0,$P$7,0))))*$U$5*$P$19))*'IN-OUT'!$F$15))*'Burland damage classification'!BA192</f>
        <v>2.6537258819952459E-3</v>
      </c>
      <c r="AX192" s="254">
        <f>(1+(((IF($P$5&lt;&gt;0,$P$5^2,IF($P$6&lt;&gt;0,$P$6^2,IF($P$7&lt;&gt;0,$P$7^2))))*$U$5)/(18*$P$15))*('IN-OUT'!$F$15^(-1)))*BB192</f>
        <v>1.6219609593514908E-3</v>
      </c>
      <c r="AY192" s="254">
        <f t="shared" si="182"/>
        <v>1.6219609593514908E-3</v>
      </c>
      <c r="AZ192" s="254">
        <f t="shared" si="160"/>
        <v>0.16219609593514908</v>
      </c>
      <c r="BA192" s="254">
        <f t="shared" si="172"/>
        <v>8.2666666666665492E-4</v>
      </c>
      <c r="BB192" s="270">
        <f t="shared" si="149"/>
        <v>1.5353609781850429E-3</v>
      </c>
      <c r="BC192" s="253">
        <f t="shared" si="173"/>
        <v>1.1733333333333342E-3</v>
      </c>
      <c r="BD192" s="255">
        <f t="shared" si="161"/>
        <v>0.11733333333333341</v>
      </c>
      <c r="BI192" s="248"/>
      <c r="CG192" s="258" t="e">
        <f>((((IF($Q$5=0,$Q$6,$Q$5)))/(12*$Q$19))+(((3*$Q$15)/(2*IF($Q$5=0,$Q$6,$Q$5)*$U$5*$Q$19))*'IN-OUT'!$F$15))*'Burland damage classification'!CK192</f>
        <v>#DIV/0!</v>
      </c>
      <c r="CH192" s="262">
        <f>(1+(((IF($Q$5=0,$Q$6^2,$Q$5^2))*$U$5)/(18*$Q$15))*('IN-OUT'!$F$15^(-1)))*CL192</f>
        <v>1.5353609781850429E-3</v>
      </c>
      <c r="CI192" s="254" t="e">
        <f t="shared" si="152"/>
        <v>#DIV/0!</v>
      </c>
      <c r="CJ192" s="254" t="e">
        <f t="shared" si="164"/>
        <v>#DIV/0!</v>
      </c>
      <c r="CK192" s="254">
        <f t="shared" si="176"/>
        <v>8.2666666666665492E-4</v>
      </c>
      <c r="CL192" s="270">
        <f t="shared" si="153"/>
        <v>1.5353609781850429E-3</v>
      </c>
      <c r="CM192" s="253">
        <f t="shared" si="177"/>
        <v>1.1733333333333342E-3</v>
      </c>
      <c r="CN192" s="255">
        <f t="shared" si="165"/>
        <v>0.11733333333333341</v>
      </c>
      <c r="CS192" s="248"/>
      <c r="DQ192" s="258" t="e">
        <f>((((IF($R$5=0,$R$6,$R$5)))/(12*$R$19))+(((3*$R$15)/(2*IF($R$5=0,$R$6,$R$5)*$U$5*$R$19))*'IN-OUT'!$F$15))*'Burland damage classification'!DU192</f>
        <v>#DIV/0!</v>
      </c>
      <c r="DR192" s="262">
        <f>(1+(((IF($R$5=0,$R$6^2,$R$5^2))*$U$5)/(18*$R$15))*('IN-OUT'!$F$15^(-1)))*DV192</f>
        <v>1.5353609781850429E-3</v>
      </c>
      <c r="DS192" s="254" t="e">
        <f t="shared" si="156"/>
        <v>#DIV/0!</v>
      </c>
      <c r="DT192" s="254" t="e">
        <f t="shared" si="168"/>
        <v>#DIV/0!</v>
      </c>
      <c r="DU192" s="254">
        <f t="shared" si="180"/>
        <v>8.2666666666665492E-4</v>
      </c>
      <c r="DV192" s="270">
        <f t="shared" si="157"/>
        <v>1.5353609781850429E-3</v>
      </c>
      <c r="DW192" s="253">
        <f t="shared" si="181"/>
        <v>1.1733333333333342E-3</v>
      </c>
      <c r="DX192" s="255">
        <f t="shared" si="169"/>
        <v>0.11733333333333341</v>
      </c>
    </row>
    <row r="193" spans="21:128">
      <c r="U193" s="262"/>
      <c r="AW193" s="258">
        <f>(((IF($P$5&lt;&gt;0,$P$5,IF($P$6&lt;&gt;0,$P$6,IF($P$7&lt;&gt;0,$P$7,0))))/(12*$P$19))+(((3*$P$15)/(2*(IF($P$5&lt;&gt;0,$P$5,IF($P$6&lt;&gt;0,$P$6,IF($P$7&lt;&gt;0,$P$7,0))))*$U$5*$P$19))*'IN-OUT'!$F$15))*'Burland damage classification'!BA193</f>
        <v>2.6323248668178646E-3</v>
      </c>
      <c r="AX193" s="254">
        <f>(1+(((IF($P$5&lt;&gt;0,$P$5^2,IF($P$6&lt;&gt;0,$P$6^2,IF($P$7&lt;&gt;0,$P$7^2))))*$U$5)/(18*$P$15))*('IN-OUT'!$F$15^(-1)))*BB193</f>
        <v>1.6187468792744041E-3</v>
      </c>
      <c r="AY193" s="254">
        <f t="shared" si="182"/>
        <v>1.6187468792744041E-3</v>
      </c>
      <c r="AZ193" s="254">
        <f t="shared" si="160"/>
        <v>0.16187468792744042</v>
      </c>
      <c r="BA193" s="254">
        <f t="shared" si="172"/>
        <v>8.1999999999998827E-4</v>
      </c>
      <c r="BB193" s="270">
        <f t="shared" si="149"/>
        <v>1.5323185047502359E-3</v>
      </c>
      <c r="BC193" s="253">
        <f t="shared" si="173"/>
        <v>1.1800000000000009E-3</v>
      </c>
      <c r="BD193" s="255">
        <f t="shared" si="161"/>
        <v>0.11800000000000009</v>
      </c>
      <c r="BI193" s="248"/>
      <c r="CG193" s="258" t="e">
        <f>((((IF($Q$5=0,$Q$6,$Q$5)))/(12*$Q$19))+(((3*$Q$15)/(2*IF($Q$5=0,$Q$6,$Q$5)*$U$5*$Q$19))*'IN-OUT'!$F$15))*'Burland damage classification'!CK193</f>
        <v>#DIV/0!</v>
      </c>
      <c r="CH193" s="262">
        <f>(1+(((IF($Q$5=0,$Q$6^2,$Q$5^2))*$U$5)/(18*$Q$15))*('IN-OUT'!$F$15^(-1)))*CL193</f>
        <v>1.5323185047502359E-3</v>
      </c>
      <c r="CI193" s="254" t="e">
        <f t="shared" si="152"/>
        <v>#DIV/0!</v>
      </c>
      <c r="CJ193" s="254" t="e">
        <f t="shared" si="164"/>
        <v>#DIV/0!</v>
      </c>
      <c r="CK193" s="254">
        <f t="shared" si="176"/>
        <v>8.1999999999998827E-4</v>
      </c>
      <c r="CL193" s="270">
        <f t="shared" si="153"/>
        <v>1.5323185047502359E-3</v>
      </c>
      <c r="CM193" s="253">
        <f t="shared" si="177"/>
        <v>1.1800000000000009E-3</v>
      </c>
      <c r="CN193" s="255">
        <f t="shared" si="165"/>
        <v>0.11800000000000009</v>
      </c>
      <c r="CS193" s="248"/>
      <c r="DQ193" s="258" t="e">
        <f>((((IF($R$5=0,$R$6,$R$5)))/(12*$R$19))+(((3*$R$15)/(2*IF($R$5=0,$R$6,$R$5)*$U$5*$R$19))*'IN-OUT'!$F$15))*'Burland damage classification'!DU193</f>
        <v>#DIV/0!</v>
      </c>
      <c r="DR193" s="262">
        <f>(1+(((IF($R$5=0,$R$6^2,$R$5^2))*$U$5)/(18*$R$15))*('IN-OUT'!$F$15^(-1)))*DV193</f>
        <v>1.5323185047502359E-3</v>
      </c>
      <c r="DS193" s="254" t="e">
        <f t="shared" si="156"/>
        <v>#DIV/0!</v>
      </c>
      <c r="DT193" s="254" t="e">
        <f t="shared" si="168"/>
        <v>#DIV/0!</v>
      </c>
      <c r="DU193" s="254">
        <f t="shared" si="180"/>
        <v>8.1999999999998827E-4</v>
      </c>
      <c r="DV193" s="270">
        <f t="shared" si="157"/>
        <v>1.5323185047502359E-3</v>
      </c>
      <c r="DW193" s="253">
        <f t="shared" si="181"/>
        <v>1.1800000000000009E-3</v>
      </c>
      <c r="DX193" s="255">
        <f t="shared" si="169"/>
        <v>0.11800000000000009</v>
      </c>
    </row>
    <row r="194" spans="21:128">
      <c r="U194" s="262"/>
      <c r="AW194" s="258">
        <f>(((IF($P$5&lt;&gt;0,$P$5,IF($P$6&lt;&gt;0,$P$6,IF($P$7&lt;&gt;0,$P$7,0))))/(12*$P$19))+(((3*$P$15)/(2*(IF($P$5&lt;&gt;0,$P$5,IF($P$6&lt;&gt;0,$P$6,IF($P$7&lt;&gt;0,$P$7,0))))*$U$5*$P$19))*'IN-OUT'!$F$15))*'Burland damage classification'!BA194</f>
        <v>2.6109238516404832E-3</v>
      </c>
      <c r="AX194" s="254">
        <f>(1+(((IF($P$5&lt;&gt;0,$P$5^2,IF($P$6&lt;&gt;0,$P$6^2,IF($P$7&lt;&gt;0,$P$7^2))))*$U$5)/(18*$P$15))*('IN-OUT'!$F$15^(-1)))*BB194</f>
        <v>1.615526404816967E-3</v>
      </c>
      <c r="AY194" s="254">
        <f t="shared" si="182"/>
        <v>1.615526404816967E-3</v>
      </c>
      <c r="AZ194" s="254">
        <f t="shared" si="160"/>
        <v>0.16155264048169671</v>
      </c>
      <c r="BA194" s="254">
        <f t="shared" si="172"/>
        <v>8.1333333333332162E-4</v>
      </c>
      <c r="BB194" s="270">
        <f t="shared" si="149"/>
        <v>1.5292699783447869E-3</v>
      </c>
      <c r="BC194" s="253">
        <f t="shared" si="173"/>
        <v>1.1866666666666677E-3</v>
      </c>
      <c r="BD194" s="255">
        <f t="shared" si="161"/>
        <v>0.11866666666666677</v>
      </c>
      <c r="BI194" s="248"/>
      <c r="CG194" s="258" t="e">
        <f>((((IF($Q$5=0,$Q$6,$Q$5)))/(12*$Q$19))+(((3*$Q$15)/(2*IF($Q$5=0,$Q$6,$Q$5)*$U$5*$Q$19))*'IN-OUT'!$F$15))*'Burland damage classification'!CK194</f>
        <v>#DIV/0!</v>
      </c>
      <c r="CH194" s="262">
        <f>(1+(((IF($Q$5=0,$Q$6^2,$Q$5^2))*$U$5)/(18*$Q$15))*('IN-OUT'!$F$15^(-1)))*CL194</f>
        <v>1.5292699783447869E-3</v>
      </c>
      <c r="CI194" s="254" t="e">
        <f t="shared" si="152"/>
        <v>#DIV/0!</v>
      </c>
      <c r="CJ194" s="254" t="e">
        <f t="shared" si="164"/>
        <v>#DIV/0!</v>
      </c>
      <c r="CK194" s="254">
        <f t="shared" si="176"/>
        <v>8.1333333333332162E-4</v>
      </c>
      <c r="CL194" s="270">
        <f t="shared" si="153"/>
        <v>1.5292699783447869E-3</v>
      </c>
      <c r="CM194" s="253">
        <f t="shared" si="177"/>
        <v>1.1866666666666677E-3</v>
      </c>
      <c r="CN194" s="255">
        <f t="shared" si="165"/>
        <v>0.11866666666666677</v>
      </c>
      <c r="CS194" s="248"/>
      <c r="DQ194" s="258" t="e">
        <f>((((IF($R$5=0,$R$6,$R$5)))/(12*$R$19))+(((3*$R$15)/(2*IF($R$5=0,$R$6,$R$5)*$U$5*$R$19))*'IN-OUT'!$F$15))*'Burland damage classification'!DU194</f>
        <v>#DIV/0!</v>
      </c>
      <c r="DR194" s="262">
        <f>(1+(((IF($R$5=0,$R$6^2,$R$5^2))*$U$5)/(18*$R$15))*('IN-OUT'!$F$15^(-1)))*DV194</f>
        <v>1.5292699783447869E-3</v>
      </c>
      <c r="DS194" s="254" t="e">
        <f t="shared" si="156"/>
        <v>#DIV/0!</v>
      </c>
      <c r="DT194" s="254" t="e">
        <f t="shared" si="168"/>
        <v>#DIV/0!</v>
      </c>
      <c r="DU194" s="254">
        <f t="shared" si="180"/>
        <v>8.1333333333332162E-4</v>
      </c>
      <c r="DV194" s="270">
        <f t="shared" si="157"/>
        <v>1.5292699783447869E-3</v>
      </c>
      <c r="DW194" s="253">
        <f t="shared" si="181"/>
        <v>1.1866666666666677E-3</v>
      </c>
      <c r="DX194" s="255">
        <f t="shared" si="169"/>
        <v>0.11866666666666677</v>
      </c>
    </row>
    <row r="195" spans="21:128">
      <c r="U195" s="262"/>
      <c r="AW195" s="258">
        <f>(((IF($P$5&lt;&gt;0,$P$5,IF($P$6&lt;&gt;0,$P$6,IF($P$7&lt;&gt;0,$P$7,0))))/(12*$P$19))+(((3*$P$15)/(2*(IF($P$5&lt;&gt;0,$P$5,IF($P$6&lt;&gt;0,$P$6,IF($P$7&lt;&gt;0,$P$7,0))))*$U$5*$P$19))*'IN-OUT'!$F$15))*'Burland damage classification'!BA195</f>
        <v>2.5895228364631023E-3</v>
      </c>
      <c r="AX195" s="254">
        <f>(1+(((IF($P$5&lt;&gt;0,$P$5^2,IF($P$6&lt;&gt;0,$P$6^2,IF($P$7&lt;&gt;0,$P$7^2))))*$U$5)/(18*$P$15))*('IN-OUT'!$F$15^(-1)))*BB195</f>
        <v>1.6122994976619722E-3</v>
      </c>
      <c r="AY195" s="254">
        <f t="shared" si="182"/>
        <v>1.6122994976619722E-3</v>
      </c>
      <c r="AZ195" s="254">
        <f t="shared" si="160"/>
        <v>0.16122994976619723</v>
      </c>
      <c r="BA195" s="254">
        <f t="shared" si="172"/>
        <v>8.0666666666665498E-4</v>
      </c>
      <c r="BB195" s="270">
        <f t="shared" si="149"/>
        <v>1.5262153626973264E-3</v>
      </c>
      <c r="BC195" s="253">
        <f t="shared" si="173"/>
        <v>1.1933333333333344E-3</v>
      </c>
      <c r="BD195" s="255">
        <f t="shared" si="161"/>
        <v>0.11933333333333344</v>
      </c>
      <c r="BI195" s="248"/>
      <c r="CG195" s="258" t="e">
        <f>((((IF($Q$5=0,$Q$6,$Q$5)))/(12*$Q$19))+(((3*$Q$15)/(2*IF($Q$5=0,$Q$6,$Q$5)*$U$5*$Q$19))*'IN-OUT'!$F$15))*'Burland damage classification'!CK195</f>
        <v>#DIV/0!</v>
      </c>
      <c r="CH195" s="262">
        <f>(1+(((IF($Q$5=0,$Q$6^2,$Q$5^2))*$U$5)/(18*$Q$15))*('IN-OUT'!$F$15^(-1)))*CL195</f>
        <v>1.5262153626973264E-3</v>
      </c>
      <c r="CI195" s="254" t="e">
        <f t="shared" si="152"/>
        <v>#DIV/0!</v>
      </c>
      <c r="CJ195" s="254" t="e">
        <f t="shared" si="164"/>
        <v>#DIV/0!</v>
      </c>
      <c r="CK195" s="254">
        <f t="shared" si="176"/>
        <v>8.0666666666665498E-4</v>
      </c>
      <c r="CL195" s="270">
        <f t="shared" si="153"/>
        <v>1.5262153626973264E-3</v>
      </c>
      <c r="CM195" s="253">
        <f t="shared" si="177"/>
        <v>1.1933333333333344E-3</v>
      </c>
      <c r="CN195" s="255">
        <f t="shared" si="165"/>
        <v>0.11933333333333344</v>
      </c>
      <c r="CS195" s="248"/>
      <c r="DQ195" s="258" t="e">
        <f>((((IF($R$5=0,$R$6,$R$5)))/(12*$R$19))+(((3*$R$15)/(2*IF($R$5=0,$R$6,$R$5)*$U$5*$R$19))*'IN-OUT'!$F$15))*'Burland damage classification'!DU195</f>
        <v>#DIV/0!</v>
      </c>
      <c r="DR195" s="262">
        <f>(1+(((IF($R$5=0,$R$6^2,$R$5^2))*$U$5)/(18*$R$15))*('IN-OUT'!$F$15^(-1)))*DV195</f>
        <v>1.5262153626973264E-3</v>
      </c>
      <c r="DS195" s="254" t="e">
        <f t="shared" si="156"/>
        <v>#DIV/0!</v>
      </c>
      <c r="DT195" s="254" t="e">
        <f t="shared" si="168"/>
        <v>#DIV/0!</v>
      </c>
      <c r="DU195" s="254">
        <f t="shared" si="180"/>
        <v>8.0666666666665498E-4</v>
      </c>
      <c r="DV195" s="270">
        <f t="shared" si="157"/>
        <v>1.5262153626973264E-3</v>
      </c>
      <c r="DW195" s="253">
        <f t="shared" si="181"/>
        <v>1.1933333333333344E-3</v>
      </c>
      <c r="DX195" s="255">
        <f t="shared" si="169"/>
        <v>0.11933333333333344</v>
      </c>
    </row>
    <row r="196" spans="21:128">
      <c r="U196" s="262"/>
      <c r="AW196" s="258">
        <f>(((IF($P$5&lt;&gt;0,$P$5,IF($P$6&lt;&gt;0,$P$6,IF($P$7&lt;&gt;0,$P$7,0))))/(12*$P$19))+(((3*$P$15)/(2*(IF($P$5&lt;&gt;0,$P$5,IF($P$6&lt;&gt;0,$P$6,IF($P$7&lt;&gt;0,$P$7,0))))*$U$5*$P$19))*'IN-OUT'!$F$15))*'Burland damage classification'!BA196</f>
        <v>2.5681218212857209E-3</v>
      </c>
      <c r="AX196" s="254">
        <f>(1+(((IF($P$5&lt;&gt;0,$P$5^2,IF($P$6&lt;&gt;0,$P$6^2,IF($P$7&lt;&gt;0,$P$7^2))))*$U$5)/(18*$P$15))*('IN-OUT'!$F$15^(-1)))*BB196</f>
        <v>1.609066119107994E-3</v>
      </c>
      <c r="AY196" s="254">
        <f t="shared" si="182"/>
        <v>1.609066119107994E-3</v>
      </c>
      <c r="AZ196" s="254">
        <f t="shared" si="160"/>
        <v>0.16090661191079941</v>
      </c>
      <c r="BA196" s="254">
        <f t="shared" si="172"/>
        <v>7.9999999999998833E-4</v>
      </c>
      <c r="BB196" s="270">
        <f t="shared" si="149"/>
        <v>1.5231546211727811E-3</v>
      </c>
      <c r="BC196" s="253">
        <f t="shared" si="173"/>
        <v>1.2000000000000012E-3</v>
      </c>
      <c r="BD196" s="255">
        <f t="shared" si="161"/>
        <v>0.12000000000000012</v>
      </c>
      <c r="BI196" s="248"/>
      <c r="CG196" s="258" t="e">
        <f>((((IF($Q$5=0,$Q$6,$Q$5)))/(12*$Q$19))+(((3*$Q$15)/(2*IF($Q$5=0,$Q$6,$Q$5)*$U$5*$Q$19))*'IN-OUT'!$F$15))*'Burland damage classification'!CK196</f>
        <v>#DIV/0!</v>
      </c>
      <c r="CH196" s="262">
        <f>(1+(((IF($Q$5=0,$Q$6^2,$Q$5^2))*$U$5)/(18*$Q$15))*('IN-OUT'!$F$15^(-1)))*CL196</f>
        <v>1.5231546211727811E-3</v>
      </c>
      <c r="CI196" s="254" t="e">
        <f t="shared" si="152"/>
        <v>#DIV/0!</v>
      </c>
      <c r="CJ196" s="254" t="e">
        <f t="shared" si="164"/>
        <v>#DIV/0!</v>
      </c>
      <c r="CK196" s="254">
        <f t="shared" si="176"/>
        <v>7.9999999999998833E-4</v>
      </c>
      <c r="CL196" s="270">
        <f t="shared" si="153"/>
        <v>1.5231546211727811E-3</v>
      </c>
      <c r="CM196" s="253">
        <f t="shared" si="177"/>
        <v>1.2000000000000012E-3</v>
      </c>
      <c r="CN196" s="255">
        <f t="shared" si="165"/>
        <v>0.12000000000000012</v>
      </c>
      <c r="CS196" s="248"/>
      <c r="DQ196" s="258" t="e">
        <f>((((IF($R$5=0,$R$6,$R$5)))/(12*$R$19))+(((3*$R$15)/(2*IF($R$5=0,$R$6,$R$5)*$U$5*$R$19))*'IN-OUT'!$F$15))*'Burland damage classification'!DU196</f>
        <v>#DIV/0!</v>
      </c>
      <c r="DR196" s="262">
        <f>(1+(((IF($R$5=0,$R$6^2,$R$5^2))*$U$5)/(18*$R$15))*('IN-OUT'!$F$15^(-1)))*DV196</f>
        <v>1.5231546211727811E-3</v>
      </c>
      <c r="DS196" s="254" t="e">
        <f t="shared" si="156"/>
        <v>#DIV/0!</v>
      </c>
      <c r="DT196" s="254" t="e">
        <f t="shared" si="168"/>
        <v>#DIV/0!</v>
      </c>
      <c r="DU196" s="254">
        <f t="shared" si="180"/>
        <v>7.9999999999998833E-4</v>
      </c>
      <c r="DV196" s="270">
        <f t="shared" si="157"/>
        <v>1.5231546211727811E-3</v>
      </c>
      <c r="DW196" s="253">
        <f t="shared" si="181"/>
        <v>1.2000000000000012E-3</v>
      </c>
      <c r="DX196" s="255">
        <f t="shared" si="169"/>
        <v>0.12000000000000012</v>
      </c>
    </row>
    <row r="197" spans="21:128">
      <c r="U197" s="262"/>
      <c r="AW197" s="258">
        <f>(((IF($P$5&lt;&gt;0,$P$5,IF($P$6&lt;&gt;0,$P$6,IF($P$7&lt;&gt;0,$P$7,0))))/(12*$P$19))+(((3*$P$15)/(2*(IF($P$5&lt;&gt;0,$P$5,IF($P$6&lt;&gt;0,$P$6,IF($P$7&lt;&gt;0,$P$7,0))))*$U$5*$P$19))*'IN-OUT'!$F$15))*'Burland damage classification'!BA197</f>
        <v>2.5467208061083395E-3</v>
      </c>
      <c r="AX197" s="254">
        <f>(1+(((IF($P$5&lt;&gt;0,$P$5^2,IF($P$6&lt;&gt;0,$P$6^2,IF($P$7&lt;&gt;0,$P$7^2))))*$U$5)/(18*$P$15))*('IN-OUT'!$F$15^(-1)))*BB197</f>
        <v>1.6058262300639736E-3</v>
      </c>
      <c r="AY197" s="254">
        <f t="shared" si="182"/>
        <v>1.6058262300639736E-3</v>
      </c>
      <c r="AZ197" s="254">
        <f t="shared" si="160"/>
        <v>0.16058262300639736</v>
      </c>
      <c r="BA197" s="254">
        <f t="shared" si="172"/>
        <v>7.9333333333332168E-4</v>
      </c>
      <c r="BB197" s="270">
        <f t="shared" si="149"/>
        <v>1.5200877167672478E-3</v>
      </c>
      <c r="BC197" s="253">
        <f t="shared" si="173"/>
        <v>1.206666666666668E-3</v>
      </c>
      <c r="BD197" s="255">
        <f t="shared" si="161"/>
        <v>0.1206666666666668</v>
      </c>
      <c r="BI197" s="248"/>
      <c r="CG197" s="258" t="e">
        <f>((((IF($Q$5=0,$Q$6,$Q$5)))/(12*$Q$19))+(((3*$Q$15)/(2*IF($Q$5=0,$Q$6,$Q$5)*$U$5*$Q$19))*'IN-OUT'!$F$15))*'Burland damage classification'!CK197</f>
        <v>#DIV/0!</v>
      </c>
      <c r="CH197" s="262">
        <f>(1+(((IF($Q$5=0,$Q$6^2,$Q$5^2))*$U$5)/(18*$Q$15))*('IN-OUT'!$F$15^(-1)))*CL197</f>
        <v>1.5200877167672478E-3</v>
      </c>
      <c r="CI197" s="254" t="e">
        <f t="shared" si="152"/>
        <v>#DIV/0!</v>
      </c>
      <c r="CJ197" s="254" t="e">
        <f t="shared" si="164"/>
        <v>#DIV/0!</v>
      </c>
      <c r="CK197" s="254">
        <f t="shared" si="176"/>
        <v>7.9333333333332168E-4</v>
      </c>
      <c r="CL197" s="270">
        <f t="shared" si="153"/>
        <v>1.5200877167672478E-3</v>
      </c>
      <c r="CM197" s="253">
        <f t="shared" si="177"/>
        <v>1.206666666666668E-3</v>
      </c>
      <c r="CN197" s="255">
        <f t="shared" si="165"/>
        <v>0.1206666666666668</v>
      </c>
      <c r="CS197" s="248"/>
      <c r="DQ197" s="258" t="e">
        <f>((((IF($R$5=0,$R$6,$R$5)))/(12*$R$19))+(((3*$R$15)/(2*IF($R$5=0,$R$6,$R$5)*$U$5*$R$19))*'IN-OUT'!$F$15))*'Burland damage classification'!DU197</f>
        <v>#DIV/0!</v>
      </c>
      <c r="DR197" s="262">
        <f>(1+(((IF($R$5=0,$R$6^2,$R$5^2))*$U$5)/(18*$R$15))*('IN-OUT'!$F$15^(-1)))*DV197</f>
        <v>1.5200877167672478E-3</v>
      </c>
      <c r="DS197" s="254" t="e">
        <f t="shared" si="156"/>
        <v>#DIV/0!</v>
      </c>
      <c r="DT197" s="254" t="e">
        <f t="shared" si="168"/>
        <v>#DIV/0!</v>
      </c>
      <c r="DU197" s="254">
        <f t="shared" si="180"/>
        <v>7.9333333333332168E-4</v>
      </c>
      <c r="DV197" s="270">
        <f t="shared" si="157"/>
        <v>1.5200877167672478E-3</v>
      </c>
      <c r="DW197" s="253">
        <f t="shared" si="181"/>
        <v>1.206666666666668E-3</v>
      </c>
      <c r="DX197" s="255">
        <f t="shared" si="169"/>
        <v>0.1206666666666668</v>
      </c>
    </row>
    <row r="198" spans="21:128">
      <c r="U198" s="262"/>
      <c r="AW198" s="258">
        <f>(((IF($P$5&lt;&gt;0,$P$5,IF($P$6&lt;&gt;0,$P$6,IF($P$7&lt;&gt;0,$P$7,0))))/(12*$P$19))+(((3*$P$15)/(2*(IF($P$5&lt;&gt;0,$P$5,IF($P$6&lt;&gt;0,$P$6,IF($P$7&lt;&gt;0,$P$7,0))))*$U$5*$P$19))*'IN-OUT'!$F$15))*'Burland damage classification'!BA198</f>
        <v>2.5253197909309581E-3</v>
      </c>
      <c r="AX198" s="254">
        <f>(1+(((IF($P$5&lt;&gt;0,$P$5^2,IF($P$6&lt;&gt;0,$P$6^2,IF($P$7&lt;&gt;0,$P$7^2))))*$U$5)/(18*$P$15))*('IN-OUT'!$F$15^(-1)))*BB198</f>
        <v>1.6025797910437056E-3</v>
      </c>
      <c r="AY198" s="254">
        <f t="shared" si="182"/>
        <v>1.6025797910437056E-3</v>
      </c>
      <c r="AZ198" s="254">
        <f t="shared" si="160"/>
        <v>0.16025797910437056</v>
      </c>
      <c r="BA198" s="254">
        <f t="shared" si="172"/>
        <v>7.8666666666665503E-4</v>
      </c>
      <c r="BB198" s="270">
        <f t="shared" si="149"/>
        <v>1.5170146121027744E-3</v>
      </c>
      <c r="BC198" s="253">
        <f t="shared" si="173"/>
        <v>1.2133333333333347E-3</v>
      </c>
      <c r="BD198" s="255">
        <f t="shared" si="161"/>
        <v>0.12133333333333347</v>
      </c>
      <c r="BI198" s="248"/>
      <c r="CG198" s="258" t="e">
        <f>((((IF($Q$5=0,$Q$6,$Q$5)))/(12*$Q$19))+(((3*$Q$15)/(2*IF($Q$5=0,$Q$6,$Q$5)*$U$5*$Q$19))*'IN-OUT'!$F$15))*'Burland damage classification'!CK198</f>
        <v>#DIV/0!</v>
      </c>
      <c r="CH198" s="262">
        <f>(1+(((IF($Q$5=0,$Q$6^2,$Q$5^2))*$U$5)/(18*$Q$15))*('IN-OUT'!$F$15^(-1)))*CL198</f>
        <v>1.5170146121027744E-3</v>
      </c>
      <c r="CI198" s="254" t="e">
        <f t="shared" si="152"/>
        <v>#DIV/0!</v>
      </c>
      <c r="CJ198" s="254" t="e">
        <f t="shared" si="164"/>
        <v>#DIV/0!</v>
      </c>
      <c r="CK198" s="254">
        <f t="shared" si="176"/>
        <v>7.8666666666665503E-4</v>
      </c>
      <c r="CL198" s="270">
        <f t="shared" si="153"/>
        <v>1.5170146121027744E-3</v>
      </c>
      <c r="CM198" s="253">
        <f t="shared" si="177"/>
        <v>1.2133333333333347E-3</v>
      </c>
      <c r="CN198" s="255">
        <f t="shared" si="165"/>
        <v>0.12133333333333347</v>
      </c>
      <c r="CS198" s="248"/>
      <c r="DQ198" s="258" t="e">
        <f>((((IF($R$5=0,$R$6,$R$5)))/(12*$R$19))+(((3*$R$15)/(2*IF($R$5=0,$R$6,$R$5)*$U$5*$R$19))*'IN-OUT'!$F$15))*'Burland damage classification'!DU198</f>
        <v>#DIV/0!</v>
      </c>
      <c r="DR198" s="262">
        <f>(1+(((IF($R$5=0,$R$6^2,$R$5^2))*$U$5)/(18*$R$15))*('IN-OUT'!$F$15^(-1)))*DV198</f>
        <v>1.5170146121027744E-3</v>
      </c>
      <c r="DS198" s="254" t="e">
        <f t="shared" si="156"/>
        <v>#DIV/0!</v>
      </c>
      <c r="DT198" s="254" t="e">
        <f t="shared" si="168"/>
        <v>#DIV/0!</v>
      </c>
      <c r="DU198" s="254">
        <f t="shared" si="180"/>
        <v>7.8666666666665503E-4</v>
      </c>
      <c r="DV198" s="270">
        <f t="shared" si="157"/>
        <v>1.5170146121027744E-3</v>
      </c>
      <c r="DW198" s="253">
        <f t="shared" si="181"/>
        <v>1.2133333333333347E-3</v>
      </c>
      <c r="DX198" s="255">
        <f t="shared" si="169"/>
        <v>0.12133333333333347</v>
      </c>
    </row>
    <row r="199" spans="21:128">
      <c r="U199" s="262"/>
      <c r="AW199" s="258">
        <f>(((IF($P$5&lt;&gt;0,$P$5,IF($P$6&lt;&gt;0,$P$6,IF($P$7&lt;&gt;0,$P$7,0))))/(12*$P$19))+(((3*$P$15)/(2*(IF($P$5&lt;&gt;0,$P$5,IF($P$6&lt;&gt;0,$P$6,IF($P$7&lt;&gt;0,$P$7,0))))*$U$5*$P$19))*'IN-OUT'!$F$15))*'Burland damage classification'!BA199</f>
        <v>2.5039187757535772E-3</v>
      </c>
      <c r="AX199" s="254">
        <f>(1+(((IF($P$5&lt;&gt;0,$P$5^2,IF($P$6&lt;&gt;0,$P$6^2,IF($P$7&lt;&gt;0,$P$7^2))))*$U$5)/(18*$P$15))*('IN-OUT'!$F$15^(-1)))*BB199</f>
        <v>1.5993267621602224E-3</v>
      </c>
      <c r="AY199" s="254">
        <f t="shared" si="182"/>
        <v>1.5993267621602224E-3</v>
      </c>
      <c r="AZ199" s="254">
        <f t="shared" si="160"/>
        <v>0.15993267621602225</v>
      </c>
      <c r="BA199" s="254">
        <f t="shared" si="172"/>
        <v>7.7999999999998838E-4</v>
      </c>
      <c r="BB199" s="270">
        <f t="shared" si="149"/>
        <v>1.5139352694220442E-3</v>
      </c>
      <c r="BC199" s="253">
        <f t="shared" si="173"/>
        <v>1.2200000000000015E-3</v>
      </c>
      <c r="BD199" s="255">
        <f t="shared" si="161"/>
        <v>0.12200000000000015</v>
      </c>
      <c r="BI199" s="248"/>
      <c r="CG199" s="258" t="e">
        <f>((((IF($Q$5=0,$Q$6,$Q$5)))/(12*$Q$19))+(((3*$Q$15)/(2*IF($Q$5=0,$Q$6,$Q$5)*$U$5*$Q$19))*'IN-OUT'!$F$15))*'Burland damage classification'!CK199</f>
        <v>#DIV/0!</v>
      </c>
      <c r="CH199" s="262">
        <f>(1+(((IF($Q$5=0,$Q$6^2,$Q$5^2))*$U$5)/(18*$Q$15))*('IN-OUT'!$F$15^(-1)))*CL199</f>
        <v>1.5139352694220442E-3</v>
      </c>
      <c r="CI199" s="254" t="e">
        <f t="shared" si="152"/>
        <v>#DIV/0!</v>
      </c>
      <c r="CJ199" s="254" t="e">
        <f t="shared" si="164"/>
        <v>#DIV/0!</v>
      </c>
      <c r="CK199" s="254">
        <f t="shared" si="176"/>
        <v>7.7999999999998838E-4</v>
      </c>
      <c r="CL199" s="270">
        <f t="shared" si="153"/>
        <v>1.5139352694220442E-3</v>
      </c>
      <c r="CM199" s="253">
        <f t="shared" si="177"/>
        <v>1.2200000000000015E-3</v>
      </c>
      <c r="CN199" s="255">
        <f t="shared" si="165"/>
        <v>0.12200000000000015</v>
      </c>
      <c r="CS199" s="248"/>
      <c r="DQ199" s="258" t="e">
        <f>((((IF($R$5=0,$R$6,$R$5)))/(12*$R$19))+(((3*$R$15)/(2*IF($R$5=0,$R$6,$R$5)*$U$5*$R$19))*'IN-OUT'!$F$15))*'Burland damage classification'!DU199</f>
        <v>#DIV/0!</v>
      </c>
      <c r="DR199" s="262">
        <f>(1+(((IF($R$5=0,$R$6^2,$R$5^2))*$U$5)/(18*$R$15))*('IN-OUT'!$F$15^(-1)))*DV199</f>
        <v>1.5139352694220442E-3</v>
      </c>
      <c r="DS199" s="254" t="e">
        <f t="shared" si="156"/>
        <v>#DIV/0!</v>
      </c>
      <c r="DT199" s="254" t="e">
        <f t="shared" si="168"/>
        <v>#DIV/0!</v>
      </c>
      <c r="DU199" s="254">
        <f t="shared" si="180"/>
        <v>7.7999999999998838E-4</v>
      </c>
      <c r="DV199" s="270">
        <f t="shared" si="157"/>
        <v>1.5139352694220442E-3</v>
      </c>
      <c r="DW199" s="253">
        <f t="shared" si="181"/>
        <v>1.2200000000000015E-3</v>
      </c>
      <c r="DX199" s="255">
        <f t="shared" si="169"/>
        <v>0.12200000000000015</v>
      </c>
    </row>
    <row r="200" spans="21:128">
      <c r="U200" s="262"/>
      <c r="AW200" s="258">
        <f>(((IF($P$5&lt;&gt;0,$P$5,IF($P$6&lt;&gt;0,$P$6,IF($P$7&lt;&gt;0,$P$7,0))))/(12*$P$19))+(((3*$P$15)/(2*(IF($P$5&lt;&gt;0,$P$5,IF($P$6&lt;&gt;0,$P$6,IF($P$7&lt;&gt;0,$P$7,0))))*$U$5*$P$19))*'IN-OUT'!$F$15))*'Burland damage classification'!BA200</f>
        <v>2.4825177605761958E-3</v>
      </c>
      <c r="AX200" s="254">
        <f>(1+(((IF($P$5&lt;&gt;0,$P$5^2,IF($P$6&lt;&gt;0,$P$6^2,IF($P$7&lt;&gt;0,$P$7^2))))*$U$5)/(18*$P$15))*('IN-OUT'!$F$15^(-1)))*BB200</f>
        <v>1.5960671031200768E-3</v>
      </c>
      <c r="AY200" s="254">
        <f t="shared" si="182"/>
        <v>1.5960671031200768E-3</v>
      </c>
      <c r="AZ200" s="254">
        <f t="shared" si="160"/>
        <v>0.15960671031200768</v>
      </c>
      <c r="BA200" s="254">
        <f t="shared" si="172"/>
        <v>7.7333333333332174E-4</v>
      </c>
      <c r="BB200" s="270">
        <f t="shared" si="149"/>
        <v>1.5108496505829639E-3</v>
      </c>
      <c r="BC200" s="253">
        <f t="shared" si="173"/>
        <v>1.2266666666666682E-3</v>
      </c>
      <c r="BD200" s="255">
        <f t="shared" si="161"/>
        <v>0.12266666666666683</v>
      </c>
      <c r="BI200" s="248"/>
      <c r="CG200" s="258" t="e">
        <f>((((IF($Q$5=0,$Q$6,$Q$5)))/(12*$Q$19))+(((3*$Q$15)/(2*IF($Q$5=0,$Q$6,$Q$5)*$U$5*$Q$19))*'IN-OUT'!$F$15))*'Burland damage classification'!CK200</f>
        <v>#DIV/0!</v>
      </c>
      <c r="CH200" s="262">
        <f>(1+(((IF($Q$5=0,$Q$6^2,$Q$5^2))*$U$5)/(18*$Q$15))*('IN-OUT'!$F$15^(-1)))*CL200</f>
        <v>1.5108496505829639E-3</v>
      </c>
      <c r="CI200" s="254" t="e">
        <f t="shared" si="152"/>
        <v>#DIV/0!</v>
      </c>
      <c r="CJ200" s="254" t="e">
        <f t="shared" si="164"/>
        <v>#DIV/0!</v>
      </c>
      <c r="CK200" s="254">
        <f t="shared" si="176"/>
        <v>7.7333333333332174E-4</v>
      </c>
      <c r="CL200" s="270">
        <f t="shared" si="153"/>
        <v>1.5108496505829639E-3</v>
      </c>
      <c r="CM200" s="253">
        <f t="shared" si="177"/>
        <v>1.2266666666666682E-3</v>
      </c>
      <c r="CN200" s="255">
        <f t="shared" si="165"/>
        <v>0.12266666666666683</v>
      </c>
      <c r="CS200" s="248"/>
      <c r="DQ200" s="258" t="e">
        <f>((((IF($R$5=0,$R$6,$R$5)))/(12*$R$19))+(((3*$R$15)/(2*IF($R$5=0,$R$6,$R$5)*$U$5*$R$19))*'IN-OUT'!$F$15))*'Burland damage classification'!DU200</f>
        <v>#DIV/0!</v>
      </c>
      <c r="DR200" s="262">
        <f>(1+(((IF($R$5=0,$R$6^2,$R$5^2))*$U$5)/(18*$R$15))*('IN-OUT'!$F$15^(-1)))*DV200</f>
        <v>1.5108496505829639E-3</v>
      </c>
      <c r="DS200" s="254" t="e">
        <f t="shared" si="156"/>
        <v>#DIV/0!</v>
      </c>
      <c r="DT200" s="254" t="e">
        <f t="shared" si="168"/>
        <v>#DIV/0!</v>
      </c>
      <c r="DU200" s="254">
        <f t="shared" si="180"/>
        <v>7.7333333333332174E-4</v>
      </c>
      <c r="DV200" s="270">
        <f t="shared" si="157"/>
        <v>1.5108496505829639E-3</v>
      </c>
      <c r="DW200" s="253">
        <f t="shared" si="181"/>
        <v>1.2266666666666682E-3</v>
      </c>
      <c r="DX200" s="255">
        <f t="shared" si="169"/>
        <v>0.12266666666666683</v>
      </c>
    </row>
    <row r="201" spans="21:128">
      <c r="U201" s="262"/>
      <c r="AW201" s="258">
        <f>(((IF($P$5&lt;&gt;0,$P$5,IF($P$6&lt;&gt;0,$P$6,IF($P$7&lt;&gt;0,$P$7,0))))/(12*$P$19))+(((3*$P$15)/(2*(IF($P$5&lt;&gt;0,$P$5,IF($P$6&lt;&gt;0,$P$6,IF($P$7&lt;&gt;0,$P$7,0))))*$U$5*$P$19))*'IN-OUT'!$F$15))*'Burland damage classification'!BA201</f>
        <v>2.4611167453988145E-3</v>
      </c>
      <c r="AX201" s="254">
        <f>(1+(((IF($P$5&lt;&gt;0,$P$5^2,IF($P$6&lt;&gt;0,$P$6^2,IF($P$7&lt;&gt;0,$P$7^2))))*$U$5)/(18*$P$15))*('IN-OUT'!$F$15^(-1)))*BB201</f>
        <v>1.5928007732175192E-3</v>
      </c>
      <c r="AY201" s="254">
        <f t="shared" si="182"/>
        <v>1.5928007732175192E-3</v>
      </c>
      <c r="AZ201" s="254">
        <f t="shared" si="160"/>
        <v>0.15928007732175192</v>
      </c>
      <c r="BA201" s="254">
        <f t="shared" si="172"/>
        <v>7.6666666666665509E-4</v>
      </c>
      <c r="BB201" s="270">
        <f t="shared" si="149"/>
        <v>1.5077577170531514E-3</v>
      </c>
      <c r="BC201" s="253">
        <f t="shared" si="173"/>
        <v>1.233333333333335E-3</v>
      </c>
      <c r="BD201" s="255">
        <f t="shared" si="161"/>
        <v>0.1233333333333335</v>
      </c>
      <c r="BI201" s="248"/>
      <c r="CG201" s="258" t="e">
        <f>((((IF($Q$5=0,$Q$6,$Q$5)))/(12*$Q$19))+(((3*$Q$15)/(2*IF($Q$5=0,$Q$6,$Q$5)*$U$5*$Q$19))*'IN-OUT'!$F$15))*'Burland damage classification'!CK201</f>
        <v>#DIV/0!</v>
      </c>
      <c r="CH201" s="262">
        <f>(1+(((IF($Q$5=0,$Q$6^2,$Q$5^2))*$U$5)/(18*$Q$15))*('IN-OUT'!$F$15^(-1)))*CL201</f>
        <v>1.5077577170531514E-3</v>
      </c>
      <c r="CI201" s="254" t="e">
        <f t="shared" si="152"/>
        <v>#DIV/0!</v>
      </c>
      <c r="CJ201" s="254" t="e">
        <f t="shared" si="164"/>
        <v>#DIV/0!</v>
      </c>
      <c r="CK201" s="254">
        <f t="shared" si="176"/>
        <v>7.6666666666665509E-4</v>
      </c>
      <c r="CL201" s="270">
        <f t="shared" si="153"/>
        <v>1.5077577170531514E-3</v>
      </c>
      <c r="CM201" s="253">
        <f t="shared" si="177"/>
        <v>1.233333333333335E-3</v>
      </c>
      <c r="CN201" s="255">
        <f t="shared" si="165"/>
        <v>0.1233333333333335</v>
      </c>
      <c r="CS201" s="248"/>
      <c r="DQ201" s="258" t="e">
        <f>((((IF($R$5=0,$R$6,$R$5)))/(12*$R$19))+(((3*$R$15)/(2*IF($R$5=0,$R$6,$R$5)*$U$5*$R$19))*'IN-OUT'!$F$15))*'Burland damage classification'!DU201</f>
        <v>#DIV/0!</v>
      </c>
      <c r="DR201" s="262">
        <f>(1+(((IF($R$5=0,$R$6^2,$R$5^2))*$U$5)/(18*$R$15))*('IN-OUT'!$F$15^(-1)))*DV201</f>
        <v>1.5077577170531514E-3</v>
      </c>
      <c r="DS201" s="254" t="e">
        <f t="shared" si="156"/>
        <v>#DIV/0!</v>
      </c>
      <c r="DT201" s="254" t="e">
        <f t="shared" si="168"/>
        <v>#DIV/0!</v>
      </c>
      <c r="DU201" s="254">
        <f t="shared" si="180"/>
        <v>7.6666666666665509E-4</v>
      </c>
      <c r="DV201" s="270">
        <f t="shared" si="157"/>
        <v>1.5077577170531514E-3</v>
      </c>
      <c r="DW201" s="253">
        <f t="shared" si="181"/>
        <v>1.233333333333335E-3</v>
      </c>
      <c r="DX201" s="255">
        <f t="shared" si="169"/>
        <v>0.1233333333333335</v>
      </c>
    </row>
    <row r="202" spans="21:128">
      <c r="U202" s="262"/>
      <c r="AW202" s="258">
        <f>(((IF($P$5&lt;&gt;0,$P$5,IF($P$6&lt;&gt;0,$P$6,IF($P$7&lt;&gt;0,$P$7,0))))/(12*$P$19))+(((3*$P$15)/(2*(IF($P$5&lt;&gt;0,$P$5,IF($P$6&lt;&gt;0,$P$6,IF($P$7&lt;&gt;0,$P$7,0))))*$U$5*$P$19))*'IN-OUT'!$F$15))*'Burland damage classification'!BA202</f>
        <v>2.4397157302214335E-3</v>
      </c>
      <c r="AX202" s="254">
        <f>(1+(((IF($P$5&lt;&gt;0,$P$5^2,IF($P$6&lt;&gt;0,$P$6^2,IF($P$7&lt;&gt;0,$P$7^2))))*$U$5)/(18*$P$15))*('IN-OUT'!$F$15^(-1)))*BB202</f>
        <v>1.5895277313285666E-3</v>
      </c>
      <c r="AY202" s="254">
        <f t="shared" si="182"/>
        <v>1.5895277313285666E-3</v>
      </c>
      <c r="AZ202" s="254">
        <f t="shared" si="160"/>
        <v>0.15895277313285666</v>
      </c>
      <c r="BA202" s="254">
        <f t="shared" si="172"/>
        <v>7.5999999999998844E-4</v>
      </c>
      <c r="BB202" s="270">
        <f t="shared" si="149"/>
        <v>1.5046594299043213E-3</v>
      </c>
      <c r="BC202" s="253">
        <f t="shared" si="173"/>
        <v>1.2400000000000017E-3</v>
      </c>
      <c r="BD202" s="255">
        <f t="shared" si="161"/>
        <v>0.12400000000000018</v>
      </c>
      <c r="BI202" s="248"/>
      <c r="CG202" s="258" t="e">
        <f>((((IF($Q$5=0,$Q$6,$Q$5)))/(12*$Q$19))+(((3*$Q$15)/(2*IF($Q$5=0,$Q$6,$Q$5)*$U$5*$Q$19))*'IN-OUT'!$F$15))*'Burland damage classification'!CK202</f>
        <v>#DIV/0!</v>
      </c>
      <c r="CH202" s="262">
        <f>(1+(((IF($Q$5=0,$Q$6^2,$Q$5^2))*$U$5)/(18*$Q$15))*('IN-OUT'!$F$15^(-1)))*CL202</f>
        <v>1.5046594299043213E-3</v>
      </c>
      <c r="CI202" s="254" t="e">
        <f t="shared" si="152"/>
        <v>#DIV/0!</v>
      </c>
      <c r="CJ202" s="254" t="e">
        <f t="shared" si="164"/>
        <v>#DIV/0!</v>
      </c>
      <c r="CK202" s="254">
        <f t="shared" si="176"/>
        <v>7.5999999999998844E-4</v>
      </c>
      <c r="CL202" s="270">
        <f t="shared" si="153"/>
        <v>1.5046594299043213E-3</v>
      </c>
      <c r="CM202" s="253">
        <f t="shared" si="177"/>
        <v>1.2400000000000017E-3</v>
      </c>
      <c r="CN202" s="255">
        <f t="shared" si="165"/>
        <v>0.12400000000000018</v>
      </c>
      <c r="CS202" s="248"/>
      <c r="DQ202" s="258" t="e">
        <f>((((IF($R$5=0,$R$6,$R$5)))/(12*$R$19))+(((3*$R$15)/(2*IF($R$5=0,$R$6,$R$5)*$U$5*$R$19))*'IN-OUT'!$F$15))*'Burland damage classification'!DU202</f>
        <v>#DIV/0!</v>
      </c>
      <c r="DR202" s="262">
        <f>(1+(((IF($R$5=0,$R$6^2,$R$5^2))*$U$5)/(18*$R$15))*('IN-OUT'!$F$15^(-1)))*DV202</f>
        <v>1.5046594299043213E-3</v>
      </c>
      <c r="DS202" s="254" t="e">
        <f t="shared" si="156"/>
        <v>#DIV/0!</v>
      </c>
      <c r="DT202" s="254" t="e">
        <f t="shared" si="168"/>
        <v>#DIV/0!</v>
      </c>
      <c r="DU202" s="254">
        <f t="shared" si="180"/>
        <v>7.5999999999998844E-4</v>
      </c>
      <c r="DV202" s="270">
        <f t="shared" si="157"/>
        <v>1.5046594299043213E-3</v>
      </c>
      <c r="DW202" s="253">
        <f t="shared" si="181"/>
        <v>1.2400000000000017E-3</v>
      </c>
      <c r="DX202" s="255">
        <f t="shared" si="169"/>
        <v>0.12400000000000018</v>
      </c>
    </row>
    <row r="203" spans="21:128">
      <c r="U203" s="262"/>
      <c r="AW203" s="258">
        <f>(((IF($P$5&lt;&gt;0,$P$5,IF($P$6&lt;&gt;0,$P$6,IF($P$7&lt;&gt;0,$P$7,0))))/(12*$P$19))+(((3*$P$15)/(2*(IF($P$5&lt;&gt;0,$P$5,IF($P$6&lt;&gt;0,$P$6,IF($P$7&lt;&gt;0,$P$7,0))))*$U$5*$P$19))*'IN-OUT'!$F$15))*'Burland damage classification'!BA203</f>
        <v>2.4183147150440521E-3</v>
      </c>
      <c r="AX203" s="254">
        <f>(1+(((IF($P$5&lt;&gt;0,$P$5^2,IF($P$6&lt;&gt;0,$P$6^2,IF($P$7&lt;&gt;0,$P$7^2))))*$U$5)/(18*$P$15))*('IN-OUT'!$F$15^(-1)))*BB203</f>
        <v>1.5862479359049621E-3</v>
      </c>
      <c r="AY203" s="254">
        <f t="shared" si="182"/>
        <v>1.5862479359049621E-3</v>
      </c>
      <c r="AZ203" s="254">
        <f t="shared" si="160"/>
        <v>0.15862479359049622</v>
      </c>
      <c r="BA203" s="254">
        <f t="shared" si="172"/>
        <v>7.5333333333332179E-4</v>
      </c>
      <c r="BB203" s="270">
        <f t="shared" si="149"/>
        <v>1.5015547498065675E-3</v>
      </c>
      <c r="BC203" s="253">
        <f t="shared" si="173"/>
        <v>1.2466666666666685E-3</v>
      </c>
      <c r="BD203" s="255">
        <f t="shared" si="161"/>
        <v>0.12466666666666684</v>
      </c>
      <c r="BI203" s="248"/>
      <c r="CG203" s="258" t="e">
        <f>((((IF($Q$5=0,$Q$6,$Q$5)))/(12*$Q$19))+(((3*$Q$15)/(2*IF($Q$5=0,$Q$6,$Q$5)*$U$5*$Q$19))*'IN-OUT'!$F$15))*'Burland damage classification'!CK203</f>
        <v>#DIV/0!</v>
      </c>
      <c r="CH203" s="262">
        <f>(1+(((IF($Q$5=0,$Q$6^2,$Q$5^2))*$U$5)/(18*$Q$15))*('IN-OUT'!$F$15^(-1)))*CL203</f>
        <v>1.5015547498065675E-3</v>
      </c>
      <c r="CI203" s="254" t="e">
        <f t="shared" si="152"/>
        <v>#DIV/0!</v>
      </c>
      <c r="CJ203" s="254" t="e">
        <f t="shared" si="164"/>
        <v>#DIV/0!</v>
      </c>
      <c r="CK203" s="254">
        <f t="shared" si="176"/>
        <v>7.5333333333332179E-4</v>
      </c>
      <c r="CL203" s="270">
        <f t="shared" si="153"/>
        <v>1.5015547498065675E-3</v>
      </c>
      <c r="CM203" s="253">
        <f t="shared" si="177"/>
        <v>1.2466666666666685E-3</v>
      </c>
      <c r="CN203" s="255">
        <f t="shared" si="165"/>
        <v>0.12466666666666684</v>
      </c>
      <c r="CS203" s="248"/>
      <c r="DQ203" s="258" t="e">
        <f>((((IF($R$5=0,$R$6,$R$5)))/(12*$R$19))+(((3*$R$15)/(2*IF($R$5=0,$R$6,$R$5)*$U$5*$R$19))*'IN-OUT'!$F$15))*'Burland damage classification'!DU203</f>
        <v>#DIV/0!</v>
      </c>
      <c r="DR203" s="262">
        <f>(1+(((IF($R$5=0,$R$6^2,$R$5^2))*$U$5)/(18*$R$15))*('IN-OUT'!$F$15^(-1)))*DV203</f>
        <v>1.5015547498065675E-3</v>
      </c>
      <c r="DS203" s="254" t="e">
        <f t="shared" si="156"/>
        <v>#DIV/0!</v>
      </c>
      <c r="DT203" s="254" t="e">
        <f t="shared" si="168"/>
        <v>#DIV/0!</v>
      </c>
      <c r="DU203" s="254">
        <f t="shared" si="180"/>
        <v>7.5333333333332179E-4</v>
      </c>
      <c r="DV203" s="270">
        <f t="shared" si="157"/>
        <v>1.5015547498065675E-3</v>
      </c>
      <c r="DW203" s="253">
        <f t="shared" si="181"/>
        <v>1.2466666666666685E-3</v>
      </c>
      <c r="DX203" s="255">
        <f t="shared" si="169"/>
        <v>0.12466666666666684</v>
      </c>
    </row>
    <row r="204" spans="21:128">
      <c r="U204" s="262"/>
      <c r="AW204" s="258">
        <f>(((IF($P$5&lt;&gt;0,$P$5,IF($P$6&lt;&gt;0,$P$6,IF($P$7&lt;&gt;0,$P$7,0))))/(12*$P$19))+(((3*$P$15)/(2*(IF($P$5&lt;&gt;0,$P$5,IF($P$6&lt;&gt;0,$P$6,IF($P$7&lt;&gt;0,$P$7,0))))*$U$5*$P$19))*'IN-OUT'!$F$15))*'Burland damage classification'!BA204</f>
        <v>2.3969136998666708E-3</v>
      </c>
      <c r="AX204" s="254">
        <f>(1+(((IF($P$5&lt;&gt;0,$P$5^2,IF($P$6&lt;&gt;0,$P$6^2,IF($P$7&lt;&gt;0,$P$7^2))))*$U$5)/(18*$P$15))*('IN-OUT'!$F$15^(-1)))*BB204</f>
        <v>1.5829613449680211E-3</v>
      </c>
      <c r="AY204" s="254">
        <f t="shared" si="182"/>
        <v>1.5829613449680211E-3</v>
      </c>
      <c r="AZ204" s="254">
        <f t="shared" si="160"/>
        <v>0.1582961344968021</v>
      </c>
      <c r="BA204" s="254">
        <f t="shared" si="172"/>
        <v>7.4666666666665514E-4</v>
      </c>
      <c r="BB204" s="270">
        <f t="shared" si="149"/>
        <v>1.4984436370225375E-3</v>
      </c>
      <c r="BC204" s="253">
        <f t="shared" si="173"/>
        <v>1.2533333333333352E-3</v>
      </c>
      <c r="BD204" s="255">
        <f t="shared" si="161"/>
        <v>0.12533333333333352</v>
      </c>
      <c r="BI204" s="248"/>
      <c r="CG204" s="258" t="e">
        <f>((((IF($Q$5=0,$Q$6,$Q$5)))/(12*$Q$19))+(((3*$Q$15)/(2*IF($Q$5=0,$Q$6,$Q$5)*$U$5*$Q$19))*'IN-OUT'!$F$15))*'Burland damage classification'!CK204</f>
        <v>#DIV/0!</v>
      </c>
      <c r="CH204" s="262">
        <f>(1+(((IF($Q$5=0,$Q$6^2,$Q$5^2))*$U$5)/(18*$Q$15))*('IN-OUT'!$F$15^(-1)))*CL204</f>
        <v>1.4984436370225375E-3</v>
      </c>
      <c r="CI204" s="254" t="e">
        <f t="shared" si="152"/>
        <v>#DIV/0!</v>
      </c>
      <c r="CJ204" s="254" t="e">
        <f t="shared" si="164"/>
        <v>#DIV/0!</v>
      </c>
      <c r="CK204" s="254">
        <f t="shared" si="176"/>
        <v>7.4666666666665514E-4</v>
      </c>
      <c r="CL204" s="270">
        <f t="shared" si="153"/>
        <v>1.4984436370225375E-3</v>
      </c>
      <c r="CM204" s="253">
        <f t="shared" si="177"/>
        <v>1.2533333333333352E-3</v>
      </c>
      <c r="CN204" s="255">
        <f t="shared" si="165"/>
        <v>0.12533333333333352</v>
      </c>
      <c r="CS204" s="248"/>
      <c r="DQ204" s="258" t="e">
        <f>((((IF($R$5=0,$R$6,$R$5)))/(12*$R$19))+(((3*$R$15)/(2*IF($R$5=0,$R$6,$R$5)*$U$5*$R$19))*'IN-OUT'!$F$15))*'Burland damage classification'!DU204</f>
        <v>#DIV/0!</v>
      </c>
      <c r="DR204" s="262">
        <f>(1+(((IF($R$5=0,$R$6^2,$R$5^2))*$U$5)/(18*$R$15))*('IN-OUT'!$F$15^(-1)))*DV204</f>
        <v>1.4984436370225375E-3</v>
      </c>
      <c r="DS204" s="254" t="e">
        <f t="shared" si="156"/>
        <v>#DIV/0!</v>
      </c>
      <c r="DT204" s="254" t="e">
        <f t="shared" si="168"/>
        <v>#DIV/0!</v>
      </c>
      <c r="DU204" s="254">
        <f t="shared" si="180"/>
        <v>7.4666666666665514E-4</v>
      </c>
      <c r="DV204" s="270">
        <f t="shared" si="157"/>
        <v>1.4984436370225375E-3</v>
      </c>
      <c r="DW204" s="253">
        <f t="shared" si="181"/>
        <v>1.2533333333333352E-3</v>
      </c>
      <c r="DX204" s="255">
        <f t="shared" si="169"/>
        <v>0.12533333333333352</v>
      </c>
    </row>
    <row r="205" spans="21:128">
      <c r="U205" s="262"/>
      <c r="AW205" s="258">
        <f>(((IF($P$5&lt;&gt;0,$P$5,IF($P$6&lt;&gt;0,$P$6,IF($P$7&lt;&gt;0,$P$7,0))))/(12*$P$19))+(((3*$P$15)/(2*(IF($P$5&lt;&gt;0,$P$5,IF($P$6&lt;&gt;0,$P$6,IF($P$7&lt;&gt;0,$P$7,0))))*$U$5*$P$19))*'IN-OUT'!$F$15))*'Burland damage classification'!BA205</f>
        <v>2.3755126846892894E-3</v>
      </c>
      <c r="AX205" s="254">
        <f>(1+(((IF($P$5&lt;&gt;0,$P$5^2,IF($P$6&lt;&gt;0,$P$6^2,IF($P$7&lt;&gt;0,$P$7^2))))*$U$5)/(18*$P$15))*('IN-OUT'!$F$15^(-1)))*BB205</f>
        <v>1.579667916102362E-3</v>
      </c>
      <c r="AY205" s="254">
        <f t="shared" si="182"/>
        <v>1.579667916102362E-3</v>
      </c>
      <c r="AZ205" s="254">
        <f t="shared" si="160"/>
        <v>0.15796679161023619</v>
      </c>
      <c r="BA205" s="254">
        <f t="shared" si="172"/>
        <v>7.399999999999885E-4</v>
      </c>
      <c r="BB205" s="270">
        <f t="shared" si="149"/>
        <v>1.4953260514014985E-3</v>
      </c>
      <c r="BC205" s="253">
        <f t="shared" si="173"/>
        <v>1.260000000000002E-3</v>
      </c>
      <c r="BD205" s="255">
        <f t="shared" si="161"/>
        <v>0.1260000000000002</v>
      </c>
      <c r="BI205" s="248"/>
      <c r="CG205" s="258" t="e">
        <f>((((IF($Q$5=0,$Q$6,$Q$5)))/(12*$Q$19))+(((3*$Q$15)/(2*IF($Q$5=0,$Q$6,$Q$5)*$U$5*$Q$19))*'IN-OUT'!$F$15))*'Burland damage classification'!CK205</f>
        <v>#DIV/0!</v>
      </c>
      <c r="CH205" s="262">
        <f>(1+(((IF($Q$5=0,$Q$6^2,$Q$5^2))*$U$5)/(18*$Q$15))*('IN-OUT'!$F$15^(-1)))*CL205</f>
        <v>1.4953260514014985E-3</v>
      </c>
      <c r="CI205" s="254" t="e">
        <f t="shared" si="152"/>
        <v>#DIV/0!</v>
      </c>
      <c r="CJ205" s="254" t="e">
        <f t="shared" si="164"/>
        <v>#DIV/0!</v>
      </c>
      <c r="CK205" s="254">
        <f t="shared" si="176"/>
        <v>7.399999999999885E-4</v>
      </c>
      <c r="CL205" s="270">
        <f t="shared" si="153"/>
        <v>1.4953260514014985E-3</v>
      </c>
      <c r="CM205" s="253">
        <f t="shared" si="177"/>
        <v>1.260000000000002E-3</v>
      </c>
      <c r="CN205" s="255">
        <f t="shared" si="165"/>
        <v>0.1260000000000002</v>
      </c>
      <c r="CS205" s="248"/>
      <c r="DQ205" s="258" t="e">
        <f>((((IF($R$5=0,$R$6,$R$5)))/(12*$R$19))+(((3*$R$15)/(2*IF($R$5=0,$R$6,$R$5)*$U$5*$R$19))*'IN-OUT'!$F$15))*'Burland damage classification'!DU205</f>
        <v>#DIV/0!</v>
      </c>
      <c r="DR205" s="262">
        <f>(1+(((IF($R$5=0,$R$6^2,$R$5^2))*$U$5)/(18*$R$15))*('IN-OUT'!$F$15^(-1)))*DV205</f>
        <v>1.4953260514014985E-3</v>
      </c>
      <c r="DS205" s="254" t="e">
        <f t="shared" si="156"/>
        <v>#DIV/0!</v>
      </c>
      <c r="DT205" s="254" t="e">
        <f t="shared" si="168"/>
        <v>#DIV/0!</v>
      </c>
      <c r="DU205" s="254">
        <f t="shared" si="180"/>
        <v>7.399999999999885E-4</v>
      </c>
      <c r="DV205" s="270">
        <f t="shared" si="157"/>
        <v>1.4953260514014985E-3</v>
      </c>
      <c r="DW205" s="253">
        <f t="shared" si="181"/>
        <v>1.260000000000002E-3</v>
      </c>
      <c r="DX205" s="255">
        <f t="shared" si="169"/>
        <v>0.1260000000000002</v>
      </c>
    </row>
    <row r="206" spans="21:128">
      <c r="U206" s="262"/>
      <c r="AW206" s="258">
        <f>(((IF($P$5&lt;&gt;0,$P$5,IF($P$6&lt;&gt;0,$P$6,IF($P$7&lt;&gt;0,$P$7,0))))/(12*$P$19))+(((3*$P$15)/(2*(IF($P$5&lt;&gt;0,$P$5,IF($P$6&lt;&gt;0,$P$6,IF($P$7&lt;&gt;0,$P$7,0))))*$U$5*$P$19))*'IN-OUT'!$F$15))*'Burland damage classification'!BA206</f>
        <v>2.3541116695119085E-3</v>
      </c>
      <c r="AX206" s="254">
        <f>(1+(((IF($P$5&lt;&gt;0,$P$5^2,IF($P$6&lt;&gt;0,$P$6^2,IF($P$7&lt;&gt;0,$P$7^2))))*$U$5)/(18*$P$15))*('IN-OUT'!$F$15^(-1)))*BB206</f>
        <v>1.5763676064495212E-3</v>
      </c>
      <c r="AY206" s="254">
        <f t="shared" si="182"/>
        <v>1.5763676064495212E-3</v>
      </c>
      <c r="AZ206" s="254">
        <f t="shared" si="160"/>
        <v>0.15763676064495213</v>
      </c>
      <c r="BA206" s="254">
        <f t="shared" si="172"/>
        <v>7.3333333333332185E-4</v>
      </c>
      <c r="BB206" s="270">
        <f t="shared" si="149"/>
        <v>1.4922019523732916E-3</v>
      </c>
      <c r="BC206" s="253">
        <f t="shared" si="173"/>
        <v>1.2666666666666688E-3</v>
      </c>
      <c r="BD206" s="255">
        <f t="shared" si="161"/>
        <v>0.12666666666666687</v>
      </c>
      <c r="BI206" s="248"/>
      <c r="CG206" s="258" t="e">
        <f>((((IF($Q$5=0,$Q$6,$Q$5)))/(12*$Q$19))+(((3*$Q$15)/(2*IF($Q$5=0,$Q$6,$Q$5)*$U$5*$Q$19))*'IN-OUT'!$F$15))*'Burland damage classification'!CK206</f>
        <v>#DIV/0!</v>
      </c>
      <c r="CH206" s="262">
        <f>(1+(((IF($Q$5=0,$Q$6^2,$Q$5^2))*$U$5)/(18*$Q$15))*('IN-OUT'!$F$15^(-1)))*CL206</f>
        <v>1.4922019523732916E-3</v>
      </c>
      <c r="CI206" s="254" t="e">
        <f t="shared" si="152"/>
        <v>#DIV/0!</v>
      </c>
      <c r="CJ206" s="254" t="e">
        <f t="shared" si="164"/>
        <v>#DIV/0!</v>
      </c>
      <c r="CK206" s="254">
        <f t="shared" si="176"/>
        <v>7.3333333333332185E-4</v>
      </c>
      <c r="CL206" s="270">
        <f t="shared" si="153"/>
        <v>1.4922019523732916E-3</v>
      </c>
      <c r="CM206" s="253">
        <f t="shared" si="177"/>
        <v>1.2666666666666688E-3</v>
      </c>
      <c r="CN206" s="255">
        <f t="shared" si="165"/>
        <v>0.12666666666666687</v>
      </c>
      <c r="CS206" s="248"/>
      <c r="DQ206" s="258" t="e">
        <f>((((IF($R$5=0,$R$6,$R$5)))/(12*$R$19))+(((3*$R$15)/(2*IF($R$5=0,$R$6,$R$5)*$U$5*$R$19))*'IN-OUT'!$F$15))*'Burland damage classification'!DU206</f>
        <v>#DIV/0!</v>
      </c>
      <c r="DR206" s="262">
        <f>(1+(((IF($R$5=0,$R$6^2,$R$5^2))*$U$5)/(18*$R$15))*('IN-OUT'!$F$15^(-1)))*DV206</f>
        <v>1.4922019523732916E-3</v>
      </c>
      <c r="DS206" s="254" t="e">
        <f t="shared" si="156"/>
        <v>#DIV/0!</v>
      </c>
      <c r="DT206" s="254" t="e">
        <f t="shared" si="168"/>
        <v>#DIV/0!</v>
      </c>
      <c r="DU206" s="254">
        <f t="shared" si="180"/>
        <v>7.3333333333332185E-4</v>
      </c>
      <c r="DV206" s="270">
        <f t="shared" si="157"/>
        <v>1.4922019523732916E-3</v>
      </c>
      <c r="DW206" s="253">
        <f t="shared" si="181"/>
        <v>1.2666666666666688E-3</v>
      </c>
      <c r="DX206" s="255">
        <f t="shared" si="169"/>
        <v>0.12666666666666687</v>
      </c>
    </row>
    <row r="207" spans="21:128">
      <c r="U207" s="262"/>
      <c r="AW207" s="258">
        <f>(((IF($P$5&lt;&gt;0,$P$5,IF($P$6&lt;&gt;0,$P$6,IF($P$7&lt;&gt;0,$P$7,0))))/(12*$P$19))+(((3*$P$15)/(2*(IF($P$5&lt;&gt;0,$P$5,IF($P$6&lt;&gt;0,$P$6,IF($P$7&lt;&gt;0,$P$7,0))))*$U$5*$P$19))*'IN-OUT'!$F$15))*'Burland damage classification'!BA207</f>
        <v>2.3327106543345271E-3</v>
      </c>
      <c r="AX207" s="254">
        <f>(1+(((IF($P$5&lt;&gt;0,$P$5^2,IF($P$6&lt;&gt;0,$P$6^2,IF($P$7&lt;&gt;0,$P$7^2))))*$U$5)/(18*$P$15))*('IN-OUT'!$F$15^(-1)))*BB207</f>
        <v>1.573060372701444E-3</v>
      </c>
      <c r="AY207" s="254">
        <f t="shared" si="182"/>
        <v>1.573060372701444E-3</v>
      </c>
      <c r="AZ207" s="254">
        <f t="shared" si="160"/>
        <v>0.15730603727014439</v>
      </c>
      <c r="BA207" s="254">
        <f t="shared" si="172"/>
        <v>7.266666666666552E-4</v>
      </c>
      <c r="BB207" s="270">
        <f t="shared" si="149"/>
        <v>1.4890712989421729E-3</v>
      </c>
      <c r="BC207" s="253">
        <f t="shared" si="173"/>
        <v>1.2733333333333355E-3</v>
      </c>
      <c r="BD207" s="255">
        <f t="shared" si="161"/>
        <v>0.12733333333333355</v>
      </c>
      <c r="BI207" s="248"/>
      <c r="CG207" s="258" t="e">
        <f>((((IF($Q$5=0,$Q$6,$Q$5)))/(12*$Q$19))+(((3*$Q$15)/(2*IF($Q$5=0,$Q$6,$Q$5)*$U$5*$Q$19))*'IN-OUT'!$F$15))*'Burland damage classification'!CK207</f>
        <v>#DIV/0!</v>
      </c>
      <c r="CH207" s="262">
        <f>(1+(((IF($Q$5=0,$Q$6^2,$Q$5^2))*$U$5)/(18*$Q$15))*('IN-OUT'!$F$15^(-1)))*CL207</f>
        <v>1.4890712989421729E-3</v>
      </c>
      <c r="CI207" s="254" t="e">
        <f t="shared" si="152"/>
        <v>#DIV/0!</v>
      </c>
      <c r="CJ207" s="254" t="e">
        <f t="shared" si="164"/>
        <v>#DIV/0!</v>
      </c>
      <c r="CK207" s="254">
        <f t="shared" si="176"/>
        <v>7.266666666666552E-4</v>
      </c>
      <c r="CL207" s="270">
        <f t="shared" si="153"/>
        <v>1.4890712989421729E-3</v>
      </c>
      <c r="CM207" s="253">
        <f t="shared" si="177"/>
        <v>1.2733333333333355E-3</v>
      </c>
      <c r="CN207" s="255">
        <f t="shared" si="165"/>
        <v>0.12733333333333355</v>
      </c>
      <c r="CS207" s="248"/>
      <c r="DQ207" s="258" t="e">
        <f>((((IF($R$5=0,$R$6,$R$5)))/(12*$R$19))+(((3*$R$15)/(2*IF($R$5=0,$R$6,$R$5)*$U$5*$R$19))*'IN-OUT'!$F$15))*'Burland damage classification'!DU207</f>
        <v>#DIV/0!</v>
      </c>
      <c r="DR207" s="262">
        <f>(1+(((IF($R$5=0,$R$6^2,$R$5^2))*$U$5)/(18*$R$15))*('IN-OUT'!$F$15^(-1)))*DV207</f>
        <v>1.4890712989421729E-3</v>
      </c>
      <c r="DS207" s="254" t="e">
        <f t="shared" si="156"/>
        <v>#DIV/0!</v>
      </c>
      <c r="DT207" s="254" t="e">
        <f t="shared" si="168"/>
        <v>#DIV/0!</v>
      </c>
      <c r="DU207" s="254">
        <f t="shared" si="180"/>
        <v>7.266666666666552E-4</v>
      </c>
      <c r="DV207" s="270">
        <f t="shared" si="157"/>
        <v>1.4890712989421729E-3</v>
      </c>
      <c r="DW207" s="253">
        <f t="shared" si="181"/>
        <v>1.2733333333333355E-3</v>
      </c>
      <c r="DX207" s="255">
        <f t="shared" si="169"/>
        <v>0.12733333333333355</v>
      </c>
    </row>
    <row r="208" spans="21:128">
      <c r="U208" s="262"/>
      <c r="AW208" s="258">
        <f>(((IF($P$5&lt;&gt;0,$P$5,IF($P$6&lt;&gt;0,$P$6,IF($P$7&lt;&gt;0,$P$7,0))))/(12*$P$19))+(((3*$P$15)/(2*(IF($P$5&lt;&gt;0,$P$5,IF($P$6&lt;&gt;0,$P$6,IF($P$7&lt;&gt;0,$P$7,0))))*$U$5*$P$19))*'IN-OUT'!$F$15))*'Burland damage classification'!BA208</f>
        <v>2.3113096391571457E-3</v>
      </c>
      <c r="AX208" s="254">
        <f>(1+(((IF($P$5&lt;&gt;0,$P$5^2,IF($P$6&lt;&gt;0,$P$6^2,IF($P$7&lt;&gt;0,$P$7^2))))*$U$5)/(18*$P$15))*('IN-OUT'!$F$15^(-1)))*BB208</f>
        <v>1.5697461710938553E-3</v>
      </c>
      <c r="AY208" s="254">
        <f t="shared" si="182"/>
        <v>1.5697461710938553E-3</v>
      </c>
      <c r="AZ208" s="254">
        <f t="shared" si="160"/>
        <v>0.15697461710938554</v>
      </c>
      <c r="BA208" s="254">
        <f t="shared" si="172"/>
        <v>7.1999999999998855E-4</v>
      </c>
      <c r="BB208" s="270">
        <f t="shared" ref="BB208:BB271" si="183">($P$28^2-(2*0.35*$P$28*BC208))^0.5</f>
        <v>1.4859340496805357E-3</v>
      </c>
      <c r="BC208" s="253">
        <f t="shared" si="173"/>
        <v>1.2800000000000023E-3</v>
      </c>
      <c r="BD208" s="255">
        <f t="shared" si="161"/>
        <v>0.12800000000000022</v>
      </c>
      <c r="BI208" s="248"/>
      <c r="CG208" s="258" t="e">
        <f>((((IF($Q$5=0,$Q$6,$Q$5)))/(12*$Q$19))+(((3*$Q$15)/(2*IF($Q$5=0,$Q$6,$Q$5)*$U$5*$Q$19))*'IN-OUT'!$F$15))*'Burland damage classification'!CK208</f>
        <v>#DIV/0!</v>
      </c>
      <c r="CH208" s="262">
        <f>(1+(((IF($Q$5=0,$Q$6^2,$Q$5^2))*$U$5)/(18*$Q$15))*('IN-OUT'!$F$15^(-1)))*CL208</f>
        <v>1.4859340496805357E-3</v>
      </c>
      <c r="CI208" s="254" t="e">
        <f t="shared" ref="CI208:CI271" si="184">MIN(CG208,CH208)</f>
        <v>#DIV/0!</v>
      </c>
      <c r="CJ208" s="254" t="e">
        <f t="shared" si="164"/>
        <v>#DIV/0!</v>
      </c>
      <c r="CK208" s="254">
        <f t="shared" si="176"/>
        <v>7.1999999999998855E-4</v>
      </c>
      <c r="CL208" s="270">
        <f t="shared" ref="CL208:CL271" si="185">($P$28^2-(2*0.35*$P$28*CM208))^0.5</f>
        <v>1.4859340496805357E-3</v>
      </c>
      <c r="CM208" s="253">
        <f t="shared" si="177"/>
        <v>1.2800000000000023E-3</v>
      </c>
      <c r="CN208" s="255">
        <f t="shared" si="165"/>
        <v>0.12800000000000022</v>
      </c>
      <c r="CS208" s="248"/>
      <c r="DQ208" s="258" t="e">
        <f>((((IF($R$5=0,$R$6,$R$5)))/(12*$R$19))+(((3*$R$15)/(2*IF($R$5=0,$R$6,$R$5)*$U$5*$R$19))*'IN-OUT'!$F$15))*'Burland damage classification'!DU208</f>
        <v>#DIV/0!</v>
      </c>
      <c r="DR208" s="262">
        <f>(1+(((IF($R$5=0,$R$6^2,$R$5^2))*$U$5)/(18*$R$15))*('IN-OUT'!$F$15^(-1)))*DV208</f>
        <v>1.4859340496805357E-3</v>
      </c>
      <c r="DS208" s="254" t="e">
        <f t="shared" ref="DS208:DS271" si="186">MIN(DQ208,DR208)</f>
        <v>#DIV/0!</v>
      </c>
      <c r="DT208" s="254" t="e">
        <f t="shared" si="168"/>
        <v>#DIV/0!</v>
      </c>
      <c r="DU208" s="254">
        <f t="shared" si="180"/>
        <v>7.1999999999998855E-4</v>
      </c>
      <c r="DV208" s="270">
        <f t="shared" ref="DV208:DV271" si="187">($P$28^2-(2*0.35*$P$28*DW208))^0.5</f>
        <v>1.4859340496805357E-3</v>
      </c>
      <c r="DW208" s="253">
        <f t="shared" si="181"/>
        <v>1.2800000000000023E-3</v>
      </c>
      <c r="DX208" s="255">
        <f t="shared" si="169"/>
        <v>0.12800000000000022</v>
      </c>
    </row>
    <row r="209" spans="21:128">
      <c r="U209" s="262"/>
      <c r="AW209" s="258">
        <f>(((IF($P$5&lt;&gt;0,$P$5,IF($P$6&lt;&gt;0,$P$6,IF($P$7&lt;&gt;0,$P$7,0))))/(12*$P$19))+(((3*$P$15)/(2*(IF($P$5&lt;&gt;0,$P$5,IF($P$6&lt;&gt;0,$P$6,IF($P$7&lt;&gt;0,$P$7,0))))*$U$5*$P$19))*'IN-OUT'!$F$15))*'Burland damage classification'!BA209</f>
        <v>2.2899086239797643E-3</v>
      </c>
      <c r="AX209" s="254">
        <f>(1+(((IF($P$5&lt;&gt;0,$P$5^2,IF($P$6&lt;&gt;0,$P$6^2,IF($P$7&lt;&gt;0,$P$7^2))))*$U$5)/(18*$P$15))*('IN-OUT'!$F$15^(-1)))*BB209</f>
        <v>1.5664249573995022E-3</v>
      </c>
      <c r="AY209" s="254">
        <f t="shared" si="182"/>
        <v>1.5664249573995022E-3</v>
      </c>
      <c r="AZ209" s="254">
        <f t="shared" ref="AZ209:AZ272" si="188">AY209*100</f>
        <v>0.15664249573995023</v>
      </c>
      <c r="BA209" s="254">
        <f t="shared" si="172"/>
        <v>7.133333333333219E-4</v>
      </c>
      <c r="BB209" s="270">
        <f t="shared" si="183"/>
        <v>1.4827901627225153E-3</v>
      </c>
      <c r="BC209" s="253">
        <f t="shared" si="173"/>
        <v>1.286666666666669E-3</v>
      </c>
      <c r="BD209" s="255">
        <f t="shared" ref="BD209:BD272" si="189">BC209*100</f>
        <v>0.1286666666666669</v>
      </c>
      <c r="BI209" s="248"/>
      <c r="CG209" s="258" t="e">
        <f>((((IF($Q$5=0,$Q$6,$Q$5)))/(12*$Q$19))+(((3*$Q$15)/(2*IF($Q$5=0,$Q$6,$Q$5)*$U$5*$Q$19))*'IN-OUT'!$F$15))*'Burland damage classification'!CK209</f>
        <v>#DIV/0!</v>
      </c>
      <c r="CH209" s="262">
        <f>(1+(((IF($Q$5=0,$Q$6^2,$Q$5^2))*$U$5)/(18*$Q$15))*('IN-OUT'!$F$15^(-1)))*CL209</f>
        <v>1.4827901627225153E-3</v>
      </c>
      <c r="CI209" s="254" t="e">
        <f t="shared" si="184"/>
        <v>#DIV/0!</v>
      </c>
      <c r="CJ209" s="254" t="e">
        <f t="shared" ref="CJ209:CJ272" si="190">CI209*100</f>
        <v>#DIV/0!</v>
      </c>
      <c r="CK209" s="254">
        <f t="shared" si="176"/>
        <v>7.133333333333219E-4</v>
      </c>
      <c r="CL209" s="270">
        <f t="shared" si="185"/>
        <v>1.4827901627225153E-3</v>
      </c>
      <c r="CM209" s="253">
        <f t="shared" si="177"/>
        <v>1.286666666666669E-3</v>
      </c>
      <c r="CN209" s="255">
        <f t="shared" ref="CN209:CN272" si="191">CM209*100</f>
        <v>0.1286666666666669</v>
      </c>
      <c r="CS209" s="248"/>
      <c r="DQ209" s="258" t="e">
        <f>((((IF($R$5=0,$R$6,$R$5)))/(12*$R$19))+(((3*$R$15)/(2*IF($R$5=0,$R$6,$R$5)*$U$5*$R$19))*'IN-OUT'!$F$15))*'Burland damage classification'!DU209</f>
        <v>#DIV/0!</v>
      </c>
      <c r="DR209" s="262">
        <f>(1+(((IF($R$5=0,$R$6^2,$R$5^2))*$U$5)/(18*$R$15))*('IN-OUT'!$F$15^(-1)))*DV209</f>
        <v>1.4827901627225153E-3</v>
      </c>
      <c r="DS209" s="254" t="e">
        <f t="shared" si="186"/>
        <v>#DIV/0!</v>
      </c>
      <c r="DT209" s="254" t="e">
        <f t="shared" ref="DT209:DT272" si="192">DS209*100</f>
        <v>#DIV/0!</v>
      </c>
      <c r="DU209" s="254">
        <f t="shared" si="180"/>
        <v>7.133333333333219E-4</v>
      </c>
      <c r="DV209" s="270">
        <f t="shared" si="187"/>
        <v>1.4827901627225153E-3</v>
      </c>
      <c r="DW209" s="253">
        <f t="shared" si="181"/>
        <v>1.286666666666669E-3</v>
      </c>
      <c r="DX209" s="255">
        <f t="shared" ref="DX209:DX272" si="193">DW209*100</f>
        <v>0.1286666666666669</v>
      </c>
    </row>
    <row r="210" spans="21:128">
      <c r="U210" s="262"/>
      <c r="AW210" s="258">
        <f>(((IF($P$5&lt;&gt;0,$P$5,IF($P$6&lt;&gt;0,$P$6,IF($P$7&lt;&gt;0,$P$7,0))))/(12*$P$19))+(((3*$P$15)/(2*(IF($P$5&lt;&gt;0,$P$5,IF($P$6&lt;&gt;0,$P$6,IF($P$7&lt;&gt;0,$P$7,0))))*$U$5*$P$19))*'IN-OUT'!$F$15))*'Burland damage classification'!BA210</f>
        <v>2.2685076088023834E-3</v>
      </c>
      <c r="AX210" s="254">
        <f>(1+(((IF($P$5&lt;&gt;0,$P$5^2,IF($P$6&lt;&gt;0,$P$6^2,IF($P$7&lt;&gt;0,$P$7^2))))*$U$5)/(18*$P$15))*('IN-OUT'!$F$15^(-1)))*BB210</f>
        <v>1.5630966869212683E-3</v>
      </c>
      <c r="AY210" s="254">
        <f t="shared" si="182"/>
        <v>1.5630966869212683E-3</v>
      </c>
      <c r="AZ210" s="254">
        <f t="shared" si="188"/>
        <v>0.15630966869212684</v>
      </c>
      <c r="BA210" s="254">
        <f t="shared" ref="BA210:BA273" si="194">BA209-($P$28/300)</f>
        <v>7.0666666666665526E-4</v>
      </c>
      <c r="BB210" s="270">
        <f t="shared" si="183"/>
        <v>1.4796395957574701E-3</v>
      </c>
      <c r="BC210" s="253">
        <f t="shared" ref="BC210:BC273" si="195">BC209+($P$28/300)</f>
        <v>1.2933333333333358E-3</v>
      </c>
      <c r="BD210" s="255">
        <f t="shared" si="189"/>
        <v>0.12933333333333358</v>
      </c>
      <c r="BI210" s="248"/>
      <c r="CG210" s="258" t="e">
        <f>((((IF($Q$5=0,$Q$6,$Q$5)))/(12*$Q$19))+(((3*$Q$15)/(2*IF($Q$5=0,$Q$6,$Q$5)*$U$5*$Q$19))*'IN-OUT'!$F$15))*'Burland damage classification'!CK210</f>
        <v>#DIV/0!</v>
      </c>
      <c r="CH210" s="262">
        <f>(1+(((IF($Q$5=0,$Q$6^2,$Q$5^2))*$U$5)/(18*$Q$15))*('IN-OUT'!$F$15^(-1)))*CL210</f>
        <v>1.4796395957574701E-3</v>
      </c>
      <c r="CI210" s="254" t="e">
        <f t="shared" si="184"/>
        <v>#DIV/0!</v>
      </c>
      <c r="CJ210" s="254" t="e">
        <f t="shared" si="190"/>
        <v>#DIV/0!</v>
      </c>
      <c r="CK210" s="254">
        <f t="shared" ref="CK210:CK273" si="196">CK209-($P$28/300)</f>
        <v>7.0666666666665526E-4</v>
      </c>
      <c r="CL210" s="270">
        <f t="shared" si="185"/>
        <v>1.4796395957574701E-3</v>
      </c>
      <c r="CM210" s="253">
        <f t="shared" ref="CM210:CM273" si="197">CM209+($P$28/300)</f>
        <v>1.2933333333333358E-3</v>
      </c>
      <c r="CN210" s="255">
        <f t="shared" si="191"/>
        <v>0.12933333333333358</v>
      </c>
      <c r="CS210" s="248"/>
      <c r="DQ210" s="258" t="e">
        <f>((((IF($R$5=0,$R$6,$R$5)))/(12*$R$19))+(((3*$R$15)/(2*IF($R$5=0,$R$6,$R$5)*$U$5*$R$19))*'IN-OUT'!$F$15))*'Burland damage classification'!DU210</f>
        <v>#DIV/0!</v>
      </c>
      <c r="DR210" s="262">
        <f>(1+(((IF($R$5=0,$R$6^2,$R$5^2))*$U$5)/(18*$R$15))*('IN-OUT'!$F$15^(-1)))*DV210</f>
        <v>1.4796395957574701E-3</v>
      </c>
      <c r="DS210" s="254" t="e">
        <f t="shared" si="186"/>
        <v>#DIV/0!</v>
      </c>
      <c r="DT210" s="254" t="e">
        <f t="shared" si="192"/>
        <v>#DIV/0!</v>
      </c>
      <c r="DU210" s="254">
        <f t="shared" ref="DU210:DU273" si="198">DU209-($P$28/300)</f>
        <v>7.0666666666665526E-4</v>
      </c>
      <c r="DV210" s="270">
        <f t="shared" si="187"/>
        <v>1.4796395957574701E-3</v>
      </c>
      <c r="DW210" s="253">
        <f t="shared" ref="DW210:DW273" si="199">DW209+($P$28/300)</f>
        <v>1.2933333333333358E-3</v>
      </c>
      <c r="DX210" s="255">
        <f t="shared" si="193"/>
        <v>0.12933333333333358</v>
      </c>
    </row>
    <row r="211" spans="21:128">
      <c r="U211" s="262"/>
      <c r="AW211" s="258">
        <f>(((IF($P$5&lt;&gt;0,$P$5,IF($P$6&lt;&gt;0,$P$6,IF($P$7&lt;&gt;0,$P$7,0))))/(12*$P$19))+(((3*$P$15)/(2*(IF($P$5&lt;&gt;0,$P$5,IF($P$6&lt;&gt;0,$P$6,IF($P$7&lt;&gt;0,$P$7,0))))*$U$5*$P$19))*'IN-OUT'!$F$15))*'Burland damage classification'!BA211</f>
        <v>2.247106593625002E-3</v>
      </c>
      <c r="AX211" s="254">
        <f>(1+(((IF($P$5&lt;&gt;0,$P$5^2,IF($P$6&lt;&gt;0,$P$6^2,IF($P$7&lt;&gt;0,$P$7^2))))*$U$5)/(18*$P$15))*('IN-OUT'!$F$15^(-1)))*BB211</f>
        <v>1.5597613144851549E-3</v>
      </c>
      <c r="AY211" s="254">
        <f t="shared" si="182"/>
        <v>1.5597613144851549E-3</v>
      </c>
      <c r="AZ211" s="254">
        <f t="shared" si="188"/>
        <v>0.15597613144851549</v>
      </c>
      <c r="BA211" s="254">
        <f t="shared" si="194"/>
        <v>6.9999999999998861E-4</v>
      </c>
      <c r="BB211" s="270">
        <f t="shared" si="183"/>
        <v>1.4764823060233387E-3</v>
      </c>
      <c r="BC211" s="253">
        <f t="shared" si="195"/>
        <v>1.3000000000000025E-3</v>
      </c>
      <c r="BD211" s="255">
        <f t="shared" si="189"/>
        <v>0.13000000000000025</v>
      </c>
      <c r="BI211" s="248"/>
      <c r="CG211" s="258" t="e">
        <f>((((IF($Q$5=0,$Q$6,$Q$5)))/(12*$Q$19))+(((3*$Q$15)/(2*IF($Q$5=0,$Q$6,$Q$5)*$U$5*$Q$19))*'IN-OUT'!$F$15))*'Burland damage classification'!CK211</f>
        <v>#DIV/0!</v>
      </c>
      <c r="CH211" s="262">
        <f>(1+(((IF($Q$5=0,$Q$6^2,$Q$5^2))*$U$5)/(18*$Q$15))*('IN-OUT'!$F$15^(-1)))*CL211</f>
        <v>1.4764823060233387E-3</v>
      </c>
      <c r="CI211" s="254" t="e">
        <f t="shared" si="184"/>
        <v>#DIV/0!</v>
      </c>
      <c r="CJ211" s="254" t="e">
        <f t="shared" si="190"/>
        <v>#DIV/0!</v>
      </c>
      <c r="CK211" s="254">
        <f t="shared" si="196"/>
        <v>6.9999999999998861E-4</v>
      </c>
      <c r="CL211" s="270">
        <f t="shared" si="185"/>
        <v>1.4764823060233387E-3</v>
      </c>
      <c r="CM211" s="253">
        <f t="shared" si="197"/>
        <v>1.3000000000000025E-3</v>
      </c>
      <c r="CN211" s="255">
        <f t="shared" si="191"/>
        <v>0.13000000000000025</v>
      </c>
      <c r="CS211" s="248"/>
      <c r="DQ211" s="258" t="e">
        <f>((((IF($R$5=0,$R$6,$R$5)))/(12*$R$19))+(((3*$R$15)/(2*IF($R$5=0,$R$6,$R$5)*$U$5*$R$19))*'IN-OUT'!$F$15))*'Burland damage classification'!DU211</f>
        <v>#DIV/0!</v>
      </c>
      <c r="DR211" s="262">
        <f>(1+(((IF($R$5=0,$R$6^2,$R$5^2))*$U$5)/(18*$R$15))*('IN-OUT'!$F$15^(-1)))*DV211</f>
        <v>1.4764823060233387E-3</v>
      </c>
      <c r="DS211" s="254" t="e">
        <f t="shared" si="186"/>
        <v>#DIV/0!</v>
      </c>
      <c r="DT211" s="254" t="e">
        <f t="shared" si="192"/>
        <v>#DIV/0!</v>
      </c>
      <c r="DU211" s="254">
        <f t="shared" si="198"/>
        <v>6.9999999999998861E-4</v>
      </c>
      <c r="DV211" s="270">
        <f t="shared" si="187"/>
        <v>1.4764823060233387E-3</v>
      </c>
      <c r="DW211" s="253">
        <f t="shared" si="199"/>
        <v>1.3000000000000025E-3</v>
      </c>
      <c r="DX211" s="255">
        <f t="shared" si="193"/>
        <v>0.13000000000000025</v>
      </c>
    </row>
    <row r="212" spans="21:128">
      <c r="U212" s="262"/>
      <c r="AW212" s="258">
        <f>(((IF($P$5&lt;&gt;0,$P$5,IF($P$6&lt;&gt;0,$P$6,IF($P$7&lt;&gt;0,$P$7,0))))/(12*$P$19))+(((3*$P$15)/(2*(IF($P$5&lt;&gt;0,$P$5,IF($P$6&lt;&gt;0,$P$6,IF($P$7&lt;&gt;0,$P$7,0))))*$U$5*$P$19))*'IN-OUT'!$F$15))*'Burland damage classification'!BA212</f>
        <v>2.2257055784476207E-3</v>
      </c>
      <c r="AX212" s="254">
        <f>(1+(((IF($P$5&lt;&gt;0,$P$5^2,IF($P$6&lt;&gt;0,$P$6^2,IF($P$7&lt;&gt;0,$P$7^2))))*$U$5)/(18*$P$15))*('IN-OUT'!$F$15^(-1)))*BB212</f>
        <v>1.556418794433128E-3</v>
      </c>
      <c r="AY212" s="254">
        <f t="shared" si="182"/>
        <v>1.556418794433128E-3</v>
      </c>
      <c r="AZ212" s="254">
        <f t="shared" si="188"/>
        <v>0.15564187944331279</v>
      </c>
      <c r="BA212" s="254">
        <f t="shared" si="194"/>
        <v>6.9333333333332196E-4</v>
      </c>
      <c r="BB212" s="270">
        <f t="shared" si="183"/>
        <v>1.4733182502998674E-3</v>
      </c>
      <c r="BC212" s="253">
        <f t="shared" si="195"/>
        <v>1.3066666666666693E-3</v>
      </c>
      <c r="BD212" s="255">
        <f t="shared" si="189"/>
        <v>0.13066666666666693</v>
      </c>
      <c r="BI212" s="248"/>
      <c r="CG212" s="258" t="e">
        <f>((((IF($Q$5=0,$Q$6,$Q$5)))/(12*$Q$19))+(((3*$Q$15)/(2*IF($Q$5=0,$Q$6,$Q$5)*$U$5*$Q$19))*'IN-OUT'!$F$15))*'Burland damage classification'!CK212</f>
        <v>#DIV/0!</v>
      </c>
      <c r="CH212" s="262">
        <f>(1+(((IF($Q$5=0,$Q$6^2,$Q$5^2))*$U$5)/(18*$Q$15))*('IN-OUT'!$F$15^(-1)))*CL212</f>
        <v>1.4733182502998674E-3</v>
      </c>
      <c r="CI212" s="254" t="e">
        <f t="shared" si="184"/>
        <v>#DIV/0!</v>
      </c>
      <c r="CJ212" s="254" t="e">
        <f t="shared" si="190"/>
        <v>#DIV/0!</v>
      </c>
      <c r="CK212" s="254">
        <f t="shared" si="196"/>
        <v>6.9333333333332196E-4</v>
      </c>
      <c r="CL212" s="270">
        <f t="shared" si="185"/>
        <v>1.4733182502998674E-3</v>
      </c>
      <c r="CM212" s="253">
        <f t="shared" si="197"/>
        <v>1.3066666666666693E-3</v>
      </c>
      <c r="CN212" s="255">
        <f t="shared" si="191"/>
        <v>0.13066666666666693</v>
      </c>
      <c r="CS212" s="248"/>
      <c r="DQ212" s="258" t="e">
        <f>((((IF($R$5=0,$R$6,$R$5)))/(12*$R$19))+(((3*$R$15)/(2*IF($R$5=0,$R$6,$R$5)*$U$5*$R$19))*'IN-OUT'!$F$15))*'Burland damage classification'!DU212</f>
        <v>#DIV/0!</v>
      </c>
      <c r="DR212" s="262">
        <f>(1+(((IF($R$5=0,$R$6^2,$R$5^2))*$U$5)/(18*$R$15))*('IN-OUT'!$F$15^(-1)))*DV212</f>
        <v>1.4733182502998674E-3</v>
      </c>
      <c r="DS212" s="254" t="e">
        <f t="shared" si="186"/>
        <v>#DIV/0!</v>
      </c>
      <c r="DT212" s="254" t="e">
        <f t="shared" si="192"/>
        <v>#DIV/0!</v>
      </c>
      <c r="DU212" s="254">
        <f t="shared" si="198"/>
        <v>6.9333333333332196E-4</v>
      </c>
      <c r="DV212" s="270">
        <f t="shared" si="187"/>
        <v>1.4733182502998674E-3</v>
      </c>
      <c r="DW212" s="253">
        <f t="shared" si="199"/>
        <v>1.3066666666666693E-3</v>
      </c>
      <c r="DX212" s="255">
        <f t="shared" si="193"/>
        <v>0.13066666666666693</v>
      </c>
    </row>
    <row r="213" spans="21:128">
      <c r="U213" s="262"/>
      <c r="AW213" s="258">
        <f>(((IF($P$5&lt;&gt;0,$P$5,IF($P$6&lt;&gt;0,$P$6,IF($P$7&lt;&gt;0,$P$7,0))))/(12*$P$19))+(((3*$P$15)/(2*(IF($P$5&lt;&gt;0,$P$5,IF($P$6&lt;&gt;0,$P$6,IF($P$7&lt;&gt;0,$P$7,0))))*$U$5*$P$19))*'IN-OUT'!$F$15))*'Burland damage classification'!BA213</f>
        <v>2.2043045632702393E-3</v>
      </c>
      <c r="AX213" s="254">
        <f>(1+(((IF($P$5&lt;&gt;0,$P$5^2,IF($P$6&lt;&gt;0,$P$6^2,IF($P$7&lt;&gt;0,$P$7^2))))*$U$5)/(18*$P$15))*('IN-OUT'!$F$15^(-1)))*BB213</f>
        <v>1.5530690806158252E-3</v>
      </c>
      <c r="AY213" s="254">
        <f t="shared" si="182"/>
        <v>1.5530690806158252E-3</v>
      </c>
      <c r="AZ213" s="254">
        <f t="shared" si="188"/>
        <v>0.15530690806158251</v>
      </c>
      <c r="BA213" s="254">
        <f t="shared" si="194"/>
        <v>6.8666666666665531E-4</v>
      </c>
      <c r="BB213" s="270">
        <f t="shared" si="183"/>
        <v>1.4701473849017075E-3</v>
      </c>
      <c r="BC213" s="253">
        <f t="shared" si="195"/>
        <v>1.3133333333333361E-3</v>
      </c>
      <c r="BD213" s="255">
        <f t="shared" si="189"/>
        <v>0.13133333333333361</v>
      </c>
      <c r="BI213" s="248"/>
      <c r="CG213" s="258" t="e">
        <f>((((IF($Q$5=0,$Q$6,$Q$5)))/(12*$Q$19))+(((3*$Q$15)/(2*IF($Q$5=0,$Q$6,$Q$5)*$U$5*$Q$19))*'IN-OUT'!$F$15))*'Burland damage classification'!CK213</f>
        <v>#DIV/0!</v>
      </c>
      <c r="CH213" s="262">
        <f>(1+(((IF($Q$5=0,$Q$6^2,$Q$5^2))*$U$5)/(18*$Q$15))*('IN-OUT'!$F$15^(-1)))*CL213</f>
        <v>1.4701473849017075E-3</v>
      </c>
      <c r="CI213" s="254" t="e">
        <f t="shared" si="184"/>
        <v>#DIV/0!</v>
      </c>
      <c r="CJ213" s="254" t="e">
        <f t="shared" si="190"/>
        <v>#DIV/0!</v>
      </c>
      <c r="CK213" s="254">
        <f t="shared" si="196"/>
        <v>6.8666666666665531E-4</v>
      </c>
      <c r="CL213" s="270">
        <f t="shared" si="185"/>
        <v>1.4701473849017075E-3</v>
      </c>
      <c r="CM213" s="253">
        <f t="shared" si="197"/>
        <v>1.3133333333333361E-3</v>
      </c>
      <c r="CN213" s="255">
        <f t="shared" si="191"/>
        <v>0.13133333333333361</v>
      </c>
      <c r="CS213" s="248"/>
      <c r="DQ213" s="258" t="e">
        <f>((((IF($R$5=0,$R$6,$R$5)))/(12*$R$19))+(((3*$R$15)/(2*IF($R$5=0,$R$6,$R$5)*$U$5*$R$19))*'IN-OUT'!$F$15))*'Burland damage classification'!DU213</f>
        <v>#DIV/0!</v>
      </c>
      <c r="DR213" s="262">
        <f>(1+(((IF($R$5=0,$R$6^2,$R$5^2))*$U$5)/(18*$R$15))*('IN-OUT'!$F$15^(-1)))*DV213</f>
        <v>1.4701473849017075E-3</v>
      </c>
      <c r="DS213" s="254" t="e">
        <f t="shared" si="186"/>
        <v>#DIV/0!</v>
      </c>
      <c r="DT213" s="254" t="e">
        <f t="shared" si="192"/>
        <v>#DIV/0!</v>
      </c>
      <c r="DU213" s="254">
        <f t="shared" si="198"/>
        <v>6.8666666666665531E-4</v>
      </c>
      <c r="DV213" s="270">
        <f t="shared" si="187"/>
        <v>1.4701473849017075E-3</v>
      </c>
      <c r="DW213" s="253">
        <f t="shared" si="199"/>
        <v>1.3133333333333361E-3</v>
      </c>
      <c r="DX213" s="255">
        <f t="shared" si="193"/>
        <v>0.13133333333333361</v>
      </c>
    </row>
    <row r="214" spans="21:128">
      <c r="U214" s="262"/>
      <c r="AW214" s="258">
        <f>(((IF($P$5&lt;&gt;0,$P$5,IF($P$6&lt;&gt;0,$P$6,IF($P$7&lt;&gt;0,$P$7,0))))/(12*$P$19))+(((3*$P$15)/(2*(IF($P$5&lt;&gt;0,$P$5,IF($P$6&lt;&gt;0,$P$6,IF($P$7&lt;&gt;0,$P$7,0))))*$U$5*$P$19))*'IN-OUT'!$F$15))*'Burland damage classification'!BA214</f>
        <v>2.1829035480928584E-3</v>
      </c>
      <c r="AX214" s="254">
        <f>(1+(((IF($P$5&lt;&gt;0,$P$5^2,IF($P$6&lt;&gt;0,$P$6^2,IF($P$7&lt;&gt;0,$P$7^2))))*$U$5)/(18*$P$15))*('IN-OUT'!$F$15^(-1)))*BB214</f>
        <v>1.5497121263851224E-3</v>
      </c>
      <c r="AY214" s="254">
        <f t="shared" si="182"/>
        <v>1.5497121263851224E-3</v>
      </c>
      <c r="AZ214" s="254">
        <f t="shared" si="188"/>
        <v>0.15497121263851224</v>
      </c>
      <c r="BA214" s="254">
        <f t="shared" si="194"/>
        <v>6.7999999999998866E-4</v>
      </c>
      <c r="BB214" s="270">
        <f t="shared" si="183"/>
        <v>1.4669696656713783E-3</v>
      </c>
      <c r="BC214" s="253">
        <f t="shared" si="195"/>
        <v>1.3200000000000028E-3</v>
      </c>
      <c r="BD214" s="255">
        <f t="shared" si="189"/>
        <v>0.13200000000000028</v>
      </c>
      <c r="BI214" s="248"/>
      <c r="CG214" s="258" t="e">
        <f>((((IF($Q$5=0,$Q$6,$Q$5)))/(12*$Q$19))+(((3*$Q$15)/(2*IF($Q$5=0,$Q$6,$Q$5)*$U$5*$Q$19))*'IN-OUT'!$F$15))*'Burland damage classification'!CK214</f>
        <v>#DIV/0!</v>
      </c>
      <c r="CH214" s="262">
        <f>(1+(((IF($Q$5=0,$Q$6^2,$Q$5^2))*$U$5)/(18*$Q$15))*('IN-OUT'!$F$15^(-1)))*CL214</f>
        <v>1.4669696656713783E-3</v>
      </c>
      <c r="CI214" s="254" t="e">
        <f t="shared" si="184"/>
        <v>#DIV/0!</v>
      </c>
      <c r="CJ214" s="254" t="e">
        <f t="shared" si="190"/>
        <v>#DIV/0!</v>
      </c>
      <c r="CK214" s="254">
        <f t="shared" si="196"/>
        <v>6.7999999999998866E-4</v>
      </c>
      <c r="CL214" s="270">
        <f t="shared" si="185"/>
        <v>1.4669696656713783E-3</v>
      </c>
      <c r="CM214" s="253">
        <f t="shared" si="197"/>
        <v>1.3200000000000028E-3</v>
      </c>
      <c r="CN214" s="255">
        <f t="shared" si="191"/>
        <v>0.13200000000000028</v>
      </c>
      <c r="CS214" s="248"/>
      <c r="DQ214" s="258" t="e">
        <f>((((IF($R$5=0,$R$6,$R$5)))/(12*$R$19))+(((3*$R$15)/(2*IF($R$5=0,$R$6,$R$5)*$U$5*$R$19))*'IN-OUT'!$F$15))*'Burland damage classification'!DU214</f>
        <v>#DIV/0!</v>
      </c>
      <c r="DR214" s="262">
        <f>(1+(((IF($R$5=0,$R$6^2,$R$5^2))*$U$5)/(18*$R$15))*('IN-OUT'!$F$15^(-1)))*DV214</f>
        <v>1.4669696656713783E-3</v>
      </c>
      <c r="DS214" s="254" t="e">
        <f t="shared" si="186"/>
        <v>#DIV/0!</v>
      </c>
      <c r="DT214" s="254" t="e">
        <f t="shared" si="192"/>
        <v>#DIV/0!</v>
      </c>
      <c r="DU214" s="254">
        <f t="shared" si="198"/>
        <v>6.7999999999998866E-4</v>
      </c>
      <c r="DV214" s="270">
        <f t="shared" si="187"/>
        <v>1.4669696656713783E-3</v>
      </c>
      <c r="DW214" s="253">
        <f t="shared" si="199"/>
        <v>1.3200000000000028E-3</v>
      </c>
      <c r="DX214" s="255">
        <f t="shared" si="193"/>
        <v>0.13200000000000028</v>
      </c>
    </row>
    <row r="215" spans="21:128">
      <c r="U215" s="262"/>
      <c r="AW215" s="258">
        <f>(((IF($P$5&lt;&gt;0,$P$5,IF($P$6&lt;&gt;0,$P$6,IF($P$7&lt;&gt;0,$P$7,0))))/(12*$P$19))+(((3*$P$15)/(2*(IF($P$5&lt;&gt;0,$P$5,IF($P$6&lt;&gt;0,$P$6,IF($P$7&lt;&gt;0,$P$7,0))))*$U$5*$P$19))*'IN-OUT'!$F$15))*'Burland damage classification'!BA215</f>
        <v>2.161502532915477E-3</v>
      </c>
      <c r="AX215" s="254">
        <f>(1+(((IF($P$5&lt;&gt;0,$P$5^2,IF($P$6&lt;&gt;0,$P$6^2,IF($P$7&lt;&gt;0,$P$7^2))))*$U$5)/(18*$P$15))*('IN-OUT'!$F$15^(-1)))*BB215</f>
        <v>1.5463478845865542E-3</v>
      </c>
      <c r="AY215" s="254">
        <f t="shared" si="182"/>
        <v>1.5463478845865542E-3</v>
      </c>
      <c r="AZ215" s="254">
        <f t="shared" si="188"/>
        <v>0.15463478845865541</v>
      </c>
      <c r="BA215" s="254">
        <f t="shared" si="194"/>
        <v>6.7333333333332202E-4</v>
      </c>
      <c r="BB215" s="270">
        <f t="shared" si="183"/>
        <v>1.4637850479720929E-3</v>
      </c>
      <c r="BC215" s="253">
        <f t="shared" si="195"/>
        <v>1.3266666666666696E-3</v>
      </c>
      <c r="BD215" s="255">
        <f t="shared" si="189"/>
        <v>0.13266666666666696</v>
      </c>
      <c r="BI215" s="248"/>
      <c r="CG215" s="258" t="e">
        <f>((((IF($Q$5=0,$Q$6,$Q$5)))/(12*$Q$19))+(((3*$Q$15)/(2*IF($Q$5=0,$Q$6,$Q$5)*$U$5*$Q$19))*'IN-OUT'!$F$15))*'Burland damage classification'!CK215</f>
        <v>#DIV/0!</v>
      </c>
      <c r="CH215" s="262">
        <f>(1+(((IF($Q$5=0,$Q$6^2,$Q$5^2))*$U$5)/(18*$Q$15))*('IN-OUT'!$F$15^(-1)))*CL215</f>
        <v>1.4637850479720929E-3</v>
      </c>
      <c r="CI215" s="254" t="e">
        <f t="shared" si="184"/>
        <v>#DIV/0!</v>
      </c>
      <c r="CJ215" s="254" t="e">
        <f t="shared" si="190"/>
        <v>#DIV/0!</v>
      </c>
      <c r="CK215" s="254">
        <f t="shared" si="196"/>
        <v>6.7333333333332202E-4</v>
      </c>
      <c r="CL215" s="270">
        <f t="shared" si="185"/>
        <v>1.4637850479720929E-3</v>
      </c>
      <c r="CM215" s="253">
        <f t="shared" si="197"/>
        <v>1.3266666666666696E-3</v>
      </c>
      <c r="CN215" s="255">
        <f t="shared" si="191"/>
        <v>0.13266666666666696</v>
      </c>
      <c r="CS215" s="248"/>
      <c r="DQ215" s="258" t="e">
        <f>((((IF($R$5=0,$R$6,$R$5)))/(12*$R$19))+(((3*$R$15)/(2*IF($R$5=0,$R$6,$R$5)*$U$5*$R$19))*'IN-OUT'!$F$15))*'Burland damage classification'!DU215</f>
        <v>#DIV/0!</v>
      </c>
      <c r="DR215" s="262">
        <f>(1+(((IF($R$5=0,$R$6^2,$R$5^2))*$U$5)/(18*$R$15))*('IN-OUT'!$F$15^(-1)))*DV215</f>
        <v>1.4637850479720929E-3</v>
      </c>
      <c r="DS215" s="254" t="e">
        <f t="shared" si="186"/>
        <v>#DIV/0!</v>
      </c>
      <c r="DT215" s="254" t="e">
        <f t="shared" si="192"/>
        <v>#DIV/0!</v>
      </c>
      <c r="DU215" s="254">
        <f t="shared" si="198"/>
        <v>6.7333333333332202E-4</v>
      </c>
      <c r="DV215" s="270">
        <f t="shared" si="187"/>
        <v>1.4637850479720929E-3</v>
      </c>
      <c r="DW215" s="253">
        <f t="shared" si="199"/>
        <v>1.3266666666666696E-3</v>
      </c>
      <c r="DX215" s="255">
        <f t="shared" si="193"/>
        <v>0.13266666666666696</v>
      </c>
    </row>
    <row r="216" spans="21:128">
      <c r="U216" s="262"/>
      <c r="AW216" s="258">
        <f>(((IF($P$5&lt;&gt;0,$P$5,IF($P$6&lt;&gt;0,$P$6,IF($P$7&lt;&gt;0,$P$7,0))))/(12*$P$19))+(((3*$P$15)/(2*(IF($P$5&lt;&gt;0,$P$5,IF($P$6&lt;&gt;0,$P$6,IF($P$7&lt;&gt;0,$P$7,0))))*$U$5*$P$19))*'IN-OUT'!$F$15))*'Burland damage classification'!BA216</f>
        <v>2.1401015177380956E-3</v>
      </c>
      <c r="AX216" s="254">
        <f>(1+(((IF($P$5&lt;&gt;0,$P$5^2,IF($P$6&lt;&gt;0,$P$6^2,IF($P$7&lt;&gt;0,$P$7^2))))*$U$5)/(18*$P$15))*('IN-OUT'!$F$15^(-1)))*BB216</f>
        <v>1.5429763075515853E-3</v>
      </c>
      <c r="AY216" s="254">
        <f t="shared" si="182"/>
        <v>1.5429763075515853E-3</v>
      </c>
      <c r="AZ216" s="254">
        <f t="shared" si="188"/>
        <v>0.15429763075515854</v>
      </c>
      <c r="BA216" s="254">
        <f t="shared" si="194"/>
        <v>6.6666666666665537E-4</v>
      </c>
      <c r="BB216" s="270">
        <f t="shared" si="183"/>
        <v>1.4605934866804414E-3</v>
      </c>
      <c r="BC216" s="253">
        <f t="shared" si="195"/>
        <v>1.3333333333333363E-3</v>
      </c>
      <c r="BD216" s="255">
        <f t="shared" si="189"/>
        <v>0.13333333333333364</v>
      </c>
      <c r="BI216" s="248"/>
      <c r="CG216" s="258" t="e">
        <f>((((IF($Q$5=0,$Q$6,$Q$5)))/(12*$Q$19))+(((3*$Q$15)/(2*IF($Q$5=0,$Q$6,$Q$5)*$U$5*$Q$19))*'IN-OUT'!$F$15))*'Burland damage classification'!CK216</f>
        <v>#DIV/0!</v>
      </c>
      <c r="CH216" s="262">
        <f>(1+(((IF($Q$5=0,$Q$6^2,$Q$5^2))*$U$5)/(18*$Q$15))*('IN-OUT'!$F$15^(-1)))*CL216</f>
        <v>1.4605934866804414E-3</v>
      </c>
      <c r="CI216" s="254" t="e">
        <f t="shared" si="184"/>
        <v>#DIV/0!</v>
      </c>
      <c r="CJ216" s="254" t="e">
        <f t="shared" si="190"/>
        <v>#DIV/0!</v>
      </c>
      <c r="CK216" s="254">
        <f t="shared" si="196"/>
        <v>6.6666666666665537E-4</v>
      </c>
      <c r="CL216" s="270">
        <f t="shared" si="185"/>
        <v>1.4605934866804414E-3</v>
      </c>
      <c r="CM216" s="253">
        <f t="shared" si="197"/>
        <v>1.3333333333333363E-3</v>
      </c>
      <c r="CN216" s="255">
        <f t="shared" si="191"/>
        <v>0.13333333333333364</v>
      </c>
      <c r="CS216" s="248"/>
      <c r="DQ216" s="258" t="e">
        <f>((((IF($R$5=0,$R$6,$R$5)))/(12*$R$19))+(((3*$R$15)/(2*IF($R$5=0,$R$6,$R$5)*$U$5*$R$19))*'IN-OUT'!$F$15))*'Burland damage classification'!DU216</f>
        <v>#DIV/0!</v>
      </c>
      <c r="DR216" s="262">
        <f>(1+(((IF($R$5=0,$R$6^2,$R$5^2))*$U$5)/(18*$R$15))*('IN-OUT'!$F$15^(-1)))*DV216</f>
        <v>1.4605934866804414E-3</v>
      </c>
      <c r="DS216" s="254" t="e">
        <f t="shared" si="186"/>
        <v>#DIV/0!</v>
      </c>
      <c r="DT216" s="254" t="e">
        <f t="shared" si="192"/>
        <v>#DIV/0!</v>
      </c>
      <c r="DU216" s="254">
        <f t="shared" si="198"/>
        <v>6.6666666666665537E-4</v>
      </c>
      <c r="DV216" s="270">
        <f t="shared" si="187"/>
        <v>1.4605934866804414E-3</v>
      </c>
      <c r="DW216" s="253">
        <f t="shared" si="199"/>
        <v>1.3333333333333363E-3</v>
      </c>
      <c r="DX216" s="255">
        <f t="shared" si="193"/>
        <v>0.13333333333333364</v>
      </c>
    </row>
    <row r="217" spans="21:128">
      <c r="U217" s="262"/>
      <c r="AW217" s="258">
        <f>(((IF($P$5&lt;&gt;0,$P$5,IF($P$6&lt;&gt;0,$P$6,IF($P$7&lt;&gt;0,$P$7,0))))/(12*$P$19))+(((3*$P$15)/(2*(IF($P$5&lt;&gt;0,$P$5,IF($P$6&lt;&gt;0,$P$6,IF($P$7&lt;&gt;0,$P$7,0))))*$U$5*$P$19))*'IN-OUT'!$F$15))*'Burland damage classification'!BA217</f>
        <v>2.1187005025607142E-3</v>
      </c>
      <c r="AX217" s="254">
        <f>(1+(((IF($P$5&lt;&gt;0,$P$5^2,IF($P$6&lt;&gt;0,$P$6^2,IF($P$7&lt;&gt;0,$P$7^2))))*$U$5)/(18*$P$15))*('IN-OUT'!$F$15^(-1)))*BB217</f>
        <v>1.5395973470897308E-3</v>
      </c>
      <c r="AY217" s="254">
        <f t="shared" si="182"/>
        <v>1.5395973470897308E-3</v>
      </c>
      <c r="AZ217" s="254">
        <f t="shared" si="188"/>
        <v>0.15395973470897309</v>
      </c>
      <c r="BA217" s="254">
        <f t="shared" si="194"/>
        <v>6.5999999999998872E-4</v>
      </c>
      <c r="BB217" s="270">
        <f t="shared" si="183"/>
        <v>1.4573949361789326E-3</v>
      </c>
      <c r="BC217" s="253">
        <f t="shared" si="195"/>
        <v>1.3400000000000031E-3</v>
      </c>
      <c r="BD217" s="255">
        <f t="shared" si="189"/>
        <v>0.13400000000000031</v>
      </c>
      <c r="BI217" s="248"/>
      <c r="CG217" s="258" t="e">
        <f>((((IF($Q$5=0,$Q$6,$Q$5)))/(12*$Q$19))+(((3*$Q$15)/(2*IF($Q$5=0,$Q$6,$Q$5)*$U$5*$Q$19))*'IN-OUT'!$F$15))*'Burland damage classification'!CK217</f>
        <v>#DIV/0!</v>
      </c>
      <c r="CH217" s="262">
        <f>(1+(((IF($Q$5=0,$Q$6^2,$Q$5^2))*$U$5)/(18*$Q$15))*('IN-OUT'!$F$15^(-1)))*CL217</f>
        <v>1.4573949361789326E-3</v>
      </c>
      <c r="CI217" s="254" t="e">
        <f t="shared" si="184"/>
        <v>#DIV/0!</v>
      </c>
      <c r="CJ217" s="254" t="e">
        <f t="shared" si="190"/>
        <v>#DIV/0!</v>
      </c>
      <c r="CK217" s="254">
        <f t="shared" si="196"/>
        <v>6.5999999999998872E-4</v>
      </c>
      <c r="CL217" s="270">
        <f t="shared" si="185"/>
        <v>1.4573949361789326E-3</v>
      </c>
      <c r="CM217" s="253">
        <f t="shared" si="197"/>
        <v>1.3400000000000031E-3</v>
      </c>
      <c r="CN217" s="255">
        <f t="shared" si="191"/>
        <v>0.13400000000000031</v>
      </c>
      <c r="CS217" s="248"/>
      <c r="DQ217" s="258" t="e">
        <f>((((IF($R$5=0,$R$6,$R$5)))/(12*$R$19))+(((3*$R$15)/(2*IF($R$5=0,$R$6,$R$5)*$U$5*$R$19))*'IN-OUT'!$F$15))*'Burland damage classification'!DU217</f>
        <v>#DIV/0!</v>
      </c>
      <c r="DR217" s="262">
        <f>(1+(((IF($R$5=0,$R$6^2,$R$5^2))*$U$5)/(18*$R$15))*('IN-OUT'!$F$15^(-1)))*DV217</f>
        <v>1.4573949361789326E-3</v>
      </c>
      <c r="DS217" s="254" t="e">
        <f t="shared" si="186"/>
        <v>#DIV/0!</v>
      </c>
      <c r="DT217" s="254" t="e">
        <f t="shared" si="192"/>
        <v>#DIV/0!</v>
      </c>
      <c r="DU217" s="254">
        <f t="shared" si="198"/>
        <v>6.5999999999998872E-4</v>
      </c>
      <c r="DV217" s="270">
        <f t="shared" si="187"/>
        <v>1.4573949361789326E-3</v>
      </c>
      <c r="DW217" s="253">
        <f t="shared" si="199"/>
        <v>1.3400000000000031E-3</v>
      </c>
      <c r="DX217" s="255">
        <f t="shared" si="193"/>
        <v>0.13400000000000031</v>
      </c>
    </row>
    <row r="218" spans="21:128">
      <c r="U218" s="262"/>
      <c r="AW218" s="258">
        <f>(((IF($P$5&lt;&gt;0,$P$5,IF($P$6&lt;&gt;0,$P$6,IF($P$7&lt;&gt;0,$P$7,0))))/(12*$P$19))+(((3*$P$15)/(2*(IF($P$5&lt;&gt;0,$P$5,IF($P$6&lt;&gt;0,$P$6,IF($P$7&lt;&gt;0,$P$7,0))))*$U$5*$P$19))*'IN-OUT'!$F$15))*'Burland damage classification'!BA218</f>
        <v>2.0972994873833333E-3</v>
      </c>
      <c r="AX218" s="254">
        <f>(1+(((IF($P$5&lt;&gt;0,$P$5^2,IF($P$6&lt;&gt;0,$P$6^2,IF($P$7&lt;&gt;0,$P$7^2))))*$U$5)/(18*$P$15))*('IN-OUT'!$F$15^(-1)))*BB218</f>
        <v>1.5362109544805199E-3</v>
      </c>
      <c r="AY218" s="254">
        <f t="shared" si="182"/>
        <v>1.5362109544805199E-3</v>
      </c>
      <c r="AZ218" s="254">
        <f t="shared" si="188"/>
        <v>0.153621095448052</v>
      </c>
      <c r="BA218" s="254">
        <f t="shared" si="194"/>
        <v>6.5333333333332207E-4</v>
      </c>
      <c r="BB218" s="270">
        <f t="shared" si="183"/>
        <v>1.4541893503483862E-3</v>
      </c>
      <c r="BC218" s="253">
        <f t="shared" si="195"/>
        <v>1.3466666666666698E-3</v>
      </c>
      <c r="BD218" s="255">
        <f t="shared" si="189"/>
        <v>0.13466666666666699</v>
      </c>
      <c r="BI218" s="248"/>
      <c r="CG218" s="258" t="e">
        <f>((((IF($Q$5=0,$Q$6,$Q$5)))/(12*$Q$19))+(((3*$Q$15)/(2*IF($Q$5=0,$Q$6,$Q$5)*$U$5*$Q$19))*'IN-OUT'!$F$15))*'Burland damage classification'!CK218</f>
        <v>#DIV/0!</v>
      </c>
      <c r="CH218" s="262">
        <f>(1+(((IF($Q$5=0,$Q$6^2,$Q$5^2))*$U$5)/(18*$Q$15))*('IN-OUT'!$F$15^(-1)))*CL218</f>
        <v>1.4541893503483862E-3</v>
      </c>
      <c r="CI218" s="254" t="e">
        <f t="shared" si="184"/>
        <v>#DIV/0!</v>
      </c>
      <c r="CJ218" s="254" t="e">
        <f t="shared" si="190"/>
        <v>#DIV/0!</v>
      </c>
      <c r="CK218" s="254">
        <f t="shared" si="196"/>
        <v>6.5333333333332207E-4</v>
      </c>
      <c r="CL218" s="270">
        <f t="shared" si="185"/>
        <v>1.4541893503483862E-3</v>
      </c>
      <c r="CM218" s="253">
        <f t="shared" si="197"/>
        <v>1.3466666666666698E-3</v>
      </c>
      <c r="CN218" s="255">
        <f t="shared" si="191"/>
        <v>0.13466666666666699</v>
      </c>
      <c r="CS218" s="248"/>
      <c r="DQ218" s="258" t="e">
        <f>((((IF($R$5=0,$R$6,$R$5)))/(12*$R$19))+(((3*$R$15)/(2*IF($R$5=0,$R$6,$R$5)*$U$5*$R$19))*'IN-OUT'!$F$15))*'Burland damage classification'!DU218</f>
        <v>#DIV/0!</v>
      </c>
      <c r="DR218" s="262">
        <f>(1+(((IF($R$5=0,$R$6^2,$R$5^2))*$U$5)/(18*$R$15))*('IN-OUT'!$F$15^(-1)))*DV218</f>
        <v>1.4541893503483862E-3</v>
      </c>
      <c r="DS218" s="254" t="e">
        <f t="shared" si="186"/>
        <v>#DIV/0!</v>
      </c>
      <c r="DT218" s="254" t="e">
        <f t="shared" si="192"/>
        <v>#DIV/0!</v>
      </c>
      <c r="DU218" s="254">
        <f t="shared" si="198"/>
        <v>6.5333333333332207E-4</v>
      </c>
      <c r="DV218" s="270">
        <f t="shared" si="187"/>
        <v>1.4541893503483862E-3</v>
      </c>
      <c r="DW218" s="253">
        <f t="shared" si="199"/>
        <v>1.3466666666666698E-3</v>
      </c>
      <c r="DX218" s="255">
        <f t="shared" si="193"/>
        <v>0.13466666666666699</v>
      </c>
    </row>
    <row r="219" spans="21:128">
      <c r="U219" s="262"/>
      <c r="AW219" s="258">
        <f>(((IF($P$5&lt;&gt;0,$P$5,IF($P$6&lt;&gt;0,$P$6,IF($P$7&lt;&gt;0,$P$7,0))))/(12*$P$19))+(((3*$P$15)/(2*(IF($P$5&lt;&gt;0,$P$5,IF($P$6&lt;&gt;0,$P$6,IF($P$7&lt;&gt;0,$P$7,0))))*$U$5*$P$19))*'IN-OUT'!$F$15))*'Burland damage classification'!BA219</f>
        <v>2.0758984722059519E-3</v>
      </c>
      <c r="AX219" s="254">
        <f>(1+(((IF($P$5&lt;&gt;0,$P$5^2,IF($P$6&lt;&gt;0,$P$6^2,IF($P$7&lt;&gt;0,$P$7^2))))*$U$5)/(18*$P$15))*('IN-OUT'!$F$15^(-1)))*BB219</f>
        <v>1.5328170804652993E-3</v>
      </c>
      <c r="AY219" s="254">
        <f t="shared" si="182"/>
        <v>1.5328170804652993E-3</v>
      </c>
      <c r="AZ219" s="254">
        <f t="shared" si="188"/>
        <v>0.15328170804652994</v>
      </c>
      <c r="BA219" s="254">
        <f t="shared" si="194"/>
        <v>6.4666666666665542E-4</v>
      </c>
      <c r="BB219" s="270">
        <f t="shared" si="183"/>
        <v>1.4509766825601741E-3</v>
      </c>
      <c r="BC219" s="253">
        <f t="shared" si="195"/>
        <v>1.3533333333333366E-3</v>
      </c>
      <c r="BD219" s="255">
        <f t="shared" si="189"/>
        <v>0.13533333333333367</v>
      </c>
      <c r="BI219" s="248"/>
      <c r="CG219" s="258" t="e">
        <f>((((IF($Q$5=0,$Q$6,$Q$5)))/(12*$Q$19))+(((3*$Q$15)/(2*IF($Q$5=0,$Q$6,$Q$5)*$U$5*$Q$19))*'IN-OUT'!$F$15))*'Burland damage classification'!CK219</f>
        <v>#DIV/0!</v>
      </c>
      <c r="CH219" s="262">
        <f>(1+(((IF($Q$5=0,$Q$6^2,$Q$5^2))*$U$5)/(18*$Q$15))*('IN-OUT'!$F$15^(-1)))*CL219</f>
        <v>1.4509766825601741E-3</v>
      </c>
      <c r="CI219" s="254" t="e">
        <f t="shared" si="184"/>
        <v>#DIV/0!</v>
      </c>
      <c r="CJ219" s="254" t="e">
        <f t="shared" si="190"/>
        <v>#DIV/0!</v>
      </c>
      <c r="CK219" s="254">
        <f t="shared" si="196"/>
        <v>6.4666666666665542E-4</v>
      </c>
      <c r="CL219" s="270">
        <f t="shared" si="185"/>
        <v>1.4509766825601741E-3</v>
      </c>
      <c r="CM219" s="253">
        <f t="shared" si="197"/>
        <v>1.3533333333333366E-3</v>
      </c>
      <c r="CN219" s="255">
        <f t="shared" si="191"/>
        <v>0.13533333333333367</v>
      </c>
      <c r="CS219" s="248"/>
      <c r="DQ219" s="258" t="e">
        <f>((((IF($R$5=0,$R$6,$R$5)))/(12*$R$19))+(((3*$R$15)/(2*IF($R$5=0,$R$6,$R$5)*$U$5*$R$19))*'IN-OUT'!$F$15))*'Burland damage classification'!DU219</f>
        <v>#DIV/0!</v>
      </c>
      <c r="DR219" s="262">
        <f>(1+(((IF($R$5=0,$R$6^2,$R$5^2))*$U$5)/(18*$R$15))*('IN-OUT'!$F$15^(-1)))*DV219</f>
        <v>1.4509766825601741E-3</v>
      </c>
      <c r="DS219" s="254" t="e">
        <f t="shared" si="186"/>
        <v>#DIV/0!</v>
      </c>
      <c r="DT219" s="254" t="e">
        <f t="shared" si="192"/>
        <v>#DIV/0!</v>
      </c>
      <c r="DU219" s="254">
        <f t="shared" si="198"/>
        <v>6.4666666666665542E-4</v>
      </c>
      <c r="DV219" s="270">
        <f t="shared" si="187"/>
        <v>1.4509766825601741E-3</v>
      </c>
      <c r="DW219" s="253">
        <f t="shared" si="199"/>
        <v>1.3533333333333366E-3</v>
      </c>
      <c r="DX219" s="255">
        <f t="shared" si="193"/>
        <v>0.13533333333333367</v>
      </c>
    </row>
    <row r="220" spans="21:128">
      <c r="U220" s="262"/>
      <c r="AW220" s="258">
        <f>(((IF($P$5&lt;&gt;0,$P$5,IF($P$6&lt;&gt;0,$P$6,IF($P$7&lt;&gt;0,$P$7,0))))/(12*$P$19))+(((3*$P$15)/(2*(IF($P$5&lt;&gt;0,$P$5,IF($P$6&lt;&gt;0,$P$6,IF($P$7&lt;&gt;0,$P$7,0))))*$U$5*$P$19))*'IN-OUT'!$F$15))*'Burland damage classification'!BA220</f>
        <v>2.0544974570285706E-3</v>
      </c>
      <c r="AX220" s="254">
        <f>(1+(((IF($P$5&lt;&gt;0,$P$5^2,IF($P$6&lt;&gt;0,$P$6^2,IF($P$7&lt;&gt;0,$P$7^2))))*$U$5)/(18*$P$15))*('IN-OUT'!$F$15^(-1)))*BB220</f>
        <v>1.5294156752388727E-3</v>
      </c>
      <c r="AY220" s="254">
        <f t="shared" si="182"/>
        <v>1.5294156752388727E-3</v>
      </c>
      <c r="AZ220" s="254">
        <f t="shared" si="188"/>
        <v>0.15294156752388727</v>
      </c>
      <c r="BA220" s="254">
        <f t="shared" si="194"/>
        <v>6.3999999999998878E-4</v>
      </c>
      <c r="BB220" s="270">
        <f t="shared" si="183"/>
        <v>1.4477568856683068E-3</v>
      </c>
      <c r="BC220" s="253">
        <f t="shared" si="195"/>
        <v>1.3600000000000034E-3</v>
      </c>
      <c r="BD220" s="255">
        <f t="shared" si="189"/>
        <v>0.13600000000000034</v>
      </c>
      <c r="BI220" s="248"/>
      <c r="CG220" s="258" t="e">
        <f>((((IF($Q$5=0,$Q$6,$Q$5)))/(12*$Q$19))+(((3*$Q$15)/(2*IF($Q$5=0,$Q$6,$Q$5)*$U$5*$Q$19))*'IN-OUT'!$F$15))*'Burland damage classification'!CK220</f>
        <v>#DIV/0!</v>
      </c>
      <c r="CH220" s="262">
        <f>(1+(((IF($Q$5=0,$Q$6^2,$Q$5^2))*$U$5)/(18*$Q$15))*('IN-OUT'!$F$15^(-1)))*CL220</f>
        <v>1.4477568856683068E-3</v>
      </c>
      <c r="CI220" s="254" t="e">
        <f t="shared" si="184"/>
        <v>#DIV/0!</v>
      </c>
      <c r="CJ220" s="254" t="e">
        <f t="shared" si="190"/>
        <v>#DIV/0!</v>
      </c>
      <c r="CK220" s="254">
        <f t="shared" si="196"/>
        <v>6.3999999999998878E-4</v>
      </c>
      <c r="CL220" s="270">
        <f t="shared" si="185"/>
        <v>1.4477568856683068E-3</v>
      </c>
      <c r="CM220" s="253">
        <f t="shared" si="197"/>
        <v>1.3600000000000034E-3</v>
      </c>
      <c r="CN220" s="255">
        <f t="shared" si="191"/>
        <v>0.13600000000000034</v>
      </c>
      <c r="CS220" s="248"/>
      <c r="DQ220" s="258" t="e">
        <f>((((IF($R$5=0,$R$6,$R$5)))/(12*$R$19))+(((3*$R$15)/(2*IF($R$5=0,$R$6,$R$5)*$U$5*$R$19))*'IN-OUT'!$F$15))*'Burland damage classification'!DU220</f>
        <v>#DIV/0!</v>
      </c>
      <c r="DR220" s="262">
        <f>(1+(((IF($R$5=0,$R$6^2,$R$5^2))*$U$5)/(18*$R$15))*('IN-OUT'!$F$15^(-1)))*DV220</f>
        <v>1.4477568856683068E-3</v>
      </c>
      <c r="DS220" s="254" t="e">
        <f t="shared" si="186"/>
        <v>#DIV/0!</v>
      </c>
      <c r="DT220" s="254" t="e">
        <f t="shared" si="192"/>
        <v>#DIV/0!</v>
      </c>
      <c r="DU220" s="254">
        <f t="shared" si="198"/>
        <v>6.3999999999998878E-4</v>
      </c>
      <c r="DV220" s="270">
        <f t="shared" si="187"/>
        <v>1.4477568856683068E-3</v>
      </c>
      <c r="DW220" s="253">
        <f t="shared" si="199"/>
        <v>1.3600000000000034E-3</v>
      </c>
      <c r="DX220" s="255">
        <f t="shared" si="193"/>
        <v>0.13600000000000034</v>
      </c>
    </row>
    <row r="221" spans="21:128">
      <c r="U221" s="262"/>
      <c r="AW221" s="258">
        <f>(((IF($P$5&lt;&gt;0,$P$5,IF($P$6&lt;&gt;0,$P$6,IF($P$7&lt;&gt;0,$P$7,0))))/(12*$P$19))+(((3*$P$15)/(2*(IF($P$5&lt;&gt;0,$P$5,IF($P$6&lt;&gt;0,$P$6,IF($P$7&lt;&gt;0,$P$7,0))))*$U$5*$P$19))*'IN-OUT'!$F$15))*'Burland damage classification'!BA221</f>
        <v>2.0330964418511892E-3</v>
      </c>
      <c r="AX221" s="254">
        <f>(1+(((IF($P$5&lt;&gt;0,$P$5^2,IF($P$6&lt;&gt;0,$P$6^2,IF($P$7&lt;&gt;0,$P$7^2))))*$U$5)/(18*$P$15))*('IN-OUT'!$F$15^(-1)))*BB221</f>
        <v>1.5260066884409749E-3</v>
      </c>
      <c r="AY221" s="254">
        <f t="shared" si="182"/>
        <v>1.5260066884409749E-3</v>
      </c>
      <c r="AZ221" s="254">
        <f t="shared" si="188"/>
        <v>0.15260066884409748</v>
      </c>
      <c r="BA221" s="254">
        <f t="shared" si="194"/>
        <v>6.3333333333332213E-4</v>
      </c>
      <c r="BB221" s="270">
        <f t="shared" si="183"/>
        <v>1.4445299120013618E-3</v>
      </c>
      <c r="BC221" s="253">
        <f t="shared" si="195"/>
        <v>1.3666666666666701E-3</v>
      </c>
      <c r="BD221" s="255">
        <f t="shared" si="189"/>
        <v>0.13666666666666702</v>
      </c>
      <c r="BI221" s="248"/>
      <c r="CG221" s="258" t="e">
        <f>((((IF($Q$5=0,$Q$6,$Q$5)))/(12*$Q$19))+(((3*$Q$15)/(2*IF($Q$5=0,$Q$6,$Q$5)*$U$5*$Q$19))*'IN-OUT'!$F$15))*'Burland damage classification'!CK221</f>
        <v>#DIV/0!</v>
      </c>
      <c r="CH221" s="262">
        <f>(1+(((IF($Q$5=0,$Q$6^2,$Q$5^2))*$U$5)/(18*$Q$15))*('IN-OUT'!$F$15^(-1)))*CL221</f>
        <v>1.4445299120013618E-3</v>
      </c>
      <c r="CI221" s="254" t="e">
        <f t="shared" si="184"/>
        <v>#DIV/0!</v>
      </c>
      <c r="CJ221" s="254" t="e">
        <f t="shared" si="190"/>
        <v>#DIV/0!</v>
      </c>
      <c r="CK221" s="254">
        <f t="shared" si="196"/>
        <v>6.3333333333332213E-4</v>
      </c>
      <c r="CL221" s="270">
        <f t="shared" si="185"/>
        <v>1.4445299120013618E-3</v>
      </c>
      <c r="CM221" s="253">
        <f t="shared" si="197"/>
        <v>1.3666666666666701E-3</v>
      </c>
      <c r="CN221" s="255">
        <f t="shared" si="191"/>
        <v>0.13666666666666702</v>
      </c>
      <c r="CS221" s="248"/>
      <c r="DQ221" s="258" t="e">
        <f>((((IF($R$5=0,$R$6,$R$5)))/(12*$R$19))+(((3*$R$15)/(2*IF($R$5=0,$R$6,$R$5)*$U$5*$R$19))*'IN-OUT'!$F$15))*'Burland damage classification'!DU221</f>
        <v>#DIV/0!</v>
      </c>
      <c r="DR221" s="262">
        <f>(1+(((IF($R$5=0,$R$6^2,$R$5^2))*$U$5)/(18*$R$15))*('IN-OUT'!$F$15^(-1)))*DV221</f>
        <v>1.4445299120013618E-3</v>
      </c>
      <c r="DS221" s="254" t="e">
        <f t="shared" si="186"/>
        <v>#DIV/0!</v>
      </c>
      <c r="DT221" s="254" t="e">
        <f t="shared" si="192"/>
        <v>#DIV/0!</v>
      </c>
      <c r="DU221" s="254">
        <f t="shared" si="198"/>
        <v>6.3333333333332213E-4</v>
      </c>
      <c r="DV221" s="270">
        <f t="shared" si="187"/>
        <v>1.4445299120013618E-3</v>
      </c>
      <c r="DW221" s="253">
        <f t="shared" si="199"/>
        <v>1.3666666666666701E-3</v>
      </c>
      <c r="DX221" s="255">
        <f t="shared" si="193"/>
        <v>0.13666666666666702</v>
      </c>
    </row>
    <row r="222" spans="21:128">
      <c r="U222" s="262"/>
      <c r="AW222" s="258">
        <f>(((IF($P$5&lt;&gt;0,$P$5,IF($P$6&lt;&gt;0,$P$6,IF($P$7&lt;&gt;0,$P$7,0))))/(12*$P$19))+(((3*$P$15)/(2*(IF($P$5&lt;&gt;0,$P$5,IF($P$6&lt;&gt;0,$P$6,IF($P$7&lt;&gt;0,$P$7,0))))*$U$5*$P$19))*'IN-OUT'!$F$15))*'Burland damage classification'!BA222</f>
        <v>2.0116954266738082E-3</v>
      </c>
      <c r="AX222" s="254">
        <f>(1+(((IF($P$5&lt;&gt;0,$P$5^2,IF($P$6&lt;&gt;0,$P$6^2,IF($P$7&lt;&gt;0,$P$7^2))))*$U$5)/(18*$P$15))*('IN-OUT'!$F$15^(-1)))*BB222</f>
        <v>1.5225900691475706E-3</v>
      </c>
      <c r="AY222" s="254">
        <f t="shared" si="182"/>
        <v>1.5225900691475706E-3</v>
      </c>
      <c r="AZ222" s="254">
        <f t="shared" si="188"/>
        <v>0.15225900691475705</v>
      </c>
      <c r="BA222" s="254">
        <f t="shared" si="194"/>
        <v>6.2666666666665548E-4</v>
      </c>
      <c r="BB222" s="270">
        <f t="shared" si="183"/>
        <v>1.4412957133542472E-3</v>
      </c>
      <c r="BC222" s="253">
        <f t="shared" si="195"/>
        <v>1.3733333333333369E-3</v>
      </c>
      <c r="BD222" s="255">
        <f t="shared" si="189"/>
        <v>0.1373333333333337</v>
      </c>
      <c r="BI222" s="248"/>
      <c r="CG222" s="258" t="e">
        <f>((((IF($Q$5=0,$Q$6,$Q$5)))/(12*$Q$19))+(((3*$Q$15)/(2*IF($Q$5=0,$Q$6,$Q$5)*$U$5*$Q$19))*'IN-OUT'!$F$15))*'Burland damage classification'!CK222</f>
        <v>#DIV/0!</v>
      </c>
      <c r="CH222" s="262">
        <f>(1+(((IF($Q$5=0,$Q$6^2,$Q$5^2))*$U$5)/(18*$Q$15))*('IN-OUT'!$F$15^(-1)))*CL222</f>
        <v>1.4412957133542472E-3</v>
      </c>
      <c r="CI222" s="254" t="e">
        <f t="shared" si="184"/>
        <v>#DIV/0!</v>
      </c>
      <c r="CJ222" s="254" t="e">
        <f t="shared" si="190"/>
        <v>#DIV/0!</v>
      </c>
      <c r="CK222" s="254">
        <f t="shared" si="196"/>
        <v>6.2666666666665548E-4</v>
      </c>
      <c r="CL222" s="270">
        <f t="shared" si="185"/>
        <v>1.4412957133542472E-3</v>
      </c>
      <c r="CM222" s="253">
        <f t="shared" si="197"/>
        <v>1.3733333333333369E-3</v>
      </c>
      <c r="CN222" s="255">
        <f t="shared" si="191"/>
        <v>0.1373333333333337</v>
      </c>
      <c r="CS222" s="248"/>
      <c r="DQ222" s="258" t="e">
        <f>((((IF($R$5=0,$R$6,$R$5)))/(12*$R$19))+(((3*$R$15)/(2*IF($R$5=0,$R$6,$R$5)*$U$5*$R$19))*'IN-OUT'!$F$15))*'Burland damage classification'!DU222</f>
        <v>#DIV/0!</v>
      </c>
      <c r="DR222" s="262">
        <f>(1+(((IF($R$5=0,$R$6^2,$R$5^2))*$U$5)/(18*$R$15))*('IN-OUT'!$F$15^(-1)))*DV222</f>
        <v>1.4412957133542472E-3</v>
      </c>
      <c r="DS222" s="254" t="e">
        <f t="shared" si="186"/>
        <v>#DIV/0!</v>
      </c>
      <c r="DT222" s="254" t="e">
        <f t="shared" si="192"/>
        <v>#DIV/0!</v>
      </c>
      <c r="DU222" s="254">
        <f t="shared" si="198"/>
        <v>6.2666666666665548E-4</v>
      </c>
      <c r="DV222" s="270">
        <f t="shared" si="187"/>
        <v>1.4412957133542472E-3</v>
      </c>
      <c r="DW222" s="253">
        <f t="shared" si="199"/>
        <v>1.3733333333333369E-3</v>
      </c>
      <c r="DX222" s="255">
        <f t="shared" si="193"/>
        <v>0.1373333333333337</v>
      </c>
    </row>
    <row r="223" spans="21:128">
      <c r="U223" s="262"/>
      <c r="AW223" s="258">
        <f>(((IF($P$5&lt;&gt;0,$P$5,IF($P$6&lt;&gt;0,$P$6,IF($P$7&lt;&gt;0,$P$7,0))))/(12*$P$19))+(((3*$P$15)/(2*(IF($P$5&lt;&gt;0,$P$5,IF($P$6&lt;&gt;0,$P$6,IF($P$7&lt;&gt;0,$P$7,0))))*$U$5*$P$19))*'IN-OUT'!$F$15))*'Burland damage classification'!BA223</f>
        <v>1.9902944114964269E-3</v>
      </c>
      <c r="AX223" s="254">
        <f>(1+(((IF($P$5&lt;&gt;0,$P$5^2,IF($P$6&lt;&gt;0,$P$6^2,IF($P$7&lt;&gt;0,$P$7^2))))*$U$5)/(18*$P$15))*('IN-OUT'!$F$15^(-1)))*BB223</f>
        <v>1.5191657658619802E-3</v>
      </c>
      <c r="AY223" s="254">
        <f t="shared" si="182"/>
        <v>1.5191657658619802E-3</v>
      </c>
      <c r="AZ223" s="254">
        <f t="shared" si="188"/>
        <v>0.15191657658619803</v>
      </c>
      <c r="BA223" s="254">
        <f t="shared" si="194"/>
        <v>6.1999999999998883E-4</v>
      </c>
      <c r="BB223" s="270">
        <f t="shared" si="183"/>
        <v>1.4380542409798021E-3</v>
      </c>
      <c r="BC223" s="253">
        <f t="shared" si="195"/>
        <v>1.3800000000000036E-3</v>
      </c>
      <c r="BD223" s="255">
        <f t="shared" si="189"/>
        <v>0.13800000000000037</v>
      </c>
      <c r="BI223" s="248"/>
      <c r="CG223" s="258" t="e">
        <f>((((IF($Q$5=0,$Q$6,$Q$5)))/(12*$Q$19))+(((3*$Q$15)/(2*IF($Q$5=0,$Q$6,$Q$5)*$U$5*$Q$19))*'IN-OUT'!$F$15))*'Burland damage classification'!CK223</f>
        <v>#DIV/0!</v>
      </c>
      <c r="CH223" s="262">
        <f>(1+(((IF($Q$5=0,$Q$6^2,$Q$5^2))*$U$5)/(18*$Q$15))*('IN-OUT'!$F$15^(-1)))*CL223</f>
        <v>1.4380542409798021E-3</v>
      </c>
      <c r="CI223" s="254" t="e">
        <f t="shared" si="184"/>
        <v>#DIV/0!</v>
      </c>
      <c r="CJ223" s="254" t="e">
        <f t="shared" si="190"/>
        <v>#DIV/0!</v>
      </c>
      <c r="CK223" s="254">
        <f t="shared" si="196"/>
        <v>6.1999999999998883E-4</v>
      </c>
      <c r="CL223" s="270">
        <f t="shared" si="185"/>
        <v>1.4380542409798021E-3</v>
      </c>
      <c r="CM223" s="253">
        <f t="shared" si="197"/>
        <v>1.3800000000000036E-3</v>
      </c>
      <c r="CN223" s="255">
        <f t="shared" si="191"/>
        <v>0.13800000000000037</v>
      </c>
      <c r="CS223" s="248"/>
      <c r="DQ223" s="258" t="e">
        <f>((((IF($R$5=0,$R$6,$R$5)))/(12*$R$19))+(((3*$R$15)/(2*IF($R$5=0,$R$6,$R$5)*$U$5*$R$19))*'IN-OUT'!$F$15))*'Burland damage classification'!DU223</f>
        <v>#DIV/0!</v>
      </c>
      <c r="DR223" s="262">
        <f>(1+(((IF($R$5=0,$R$6^2,$R$5^2))*$U$5)/(18*$R$15))*('IN-OUT'!$F$15^(-1)))*DV223</f>
        <v>1.4380542409798021E-3</v>
      </c>
      <c r="DS223" s="254" t="e">
        <f t="shared" si="186"/>
        <v>#DIV/0!</v>
      </c>
      <c r="DT223" s="254" t="e">
        <f t="shared" si="192"/>
        <v>#DIV/0!</v>
      </c>
      <c r="DU223" s="254">
        <f t="shared" si="198"/>
        <v>6.1999999999998883E-4</v>
      </c>
      <c r="DV223" s="270">
        <f t="shared" si="187"/>
        <v>1.4380542409798021E-3</v>
      </c>
      <c r="DW223" s="253">
        <f t="shared" si="199"/>
        <v>1.3800000000000036E-3</v>
      </c>
      <c r="DX223" s="255">
        <f t="shared" si="193"/>
        <v>0.13800000000000037</v>
      </c>
    </row>
    <row r="224" spans="21:128">
      <c r="U224" s="262"/>
      <c r="AW224" s="258">
        <f>(((IF($P$5&lt;&gt;0,$P$5,IF($P$6&lt;&gt;0,$P$6,IF($P$7&lt;&gt;0,$P$7,0))))/(12*$P$19))+(((3*$P$15)/(2*(IF($P$5&lt;&gt;0,$P$5,IF($P$6&lt;&gt;0,$P$6,IF($P$7&lt;&gt;0,$P$7,0))))*$U$5*$P$19))*'IN-OUT'!$F$15))*'Burland damage classification'!BA224</f>
        <v>1.9688933963190455E-3</v>
      </c>
      <c r="AX224" s="254">
        <f>(1+(((IF($P$5&lt;&gt;0,$P$5^2,IF($P$6&lt;&gt;0,$P$6^2,IF($P$7&lt;&gt;0,$P$7^2))))*$U$5)/(18*$P$15))*('IN-OUT'!$F$15^(-1)))*BB224</f>
        <v>1.5157337265058232E-3</v>
      </c>
      <c r="AY224" s="254">
        <f t="shared" si="182"/>
        <v>1.5157337265058232E-3</v>
      </c>
      <c r="AZ224" s="254">
        <f t="shared" si="188"/>
        <v>0.15157337265058232</v>
      </c>
      <c r="BA224" s="254">
        <f t="shared" si="194"/>
        <v>6.1333333333332218E-4</v>
      </c>
      <c r="BB224" s="270">
        <f t="shared" si="183"/>
        <v>1.4348054455802226E-3</v>
      </c>
      <c r="BC224" s="253">
        <f t="shared" si="195"/>
        <v>1.3866666666666704E-3</v>
      </c>
      <c r="BD224" s="255">
        <f t="shared" si="189"/>
        <v>0.13866666666666705</v>
      </c>
      <c r="BI224" s="248"/>
      <c r="CG224" s="258" t="e">
        <f>((((IF($Q$5=0,$Q$6,$Q$5)))/(12*$Q$19))+(((3*$Q$15)/(2*IF($Q$5=0,$Q$6,$Q$5)*$U$5*$Q$19))*'IN-OUT'!$F$15))*'Burland damage classification'!CK224</f>
        <v>#DIV/0!</v>
      </c>
      <c r="CH224" s="262">
        <f>(1+(((IF($Q$5=0,$Q$6^2,$Q$5^2))*$U$5)/(18*$Q$15))*('IN-OUT'!$F$15^(-1)))*CL224</f>
        <v>1.4348054455802226E-3</v>
      </c>
      <c r="CI224" s="254" t="e">
        <f t="shared" si="184"/>
        <v>#DIV/0!</v>
      </c>
      <c r="CJ224" s="254" t="e">
        <f t="shared" si="190"/>
        <v>#DIV/0!</v>
      </c>
      <c r="CK224" s="254">
        <f t="shared" si="196"/>
        <v>6.1333333333332218E-4</v>
      </c>
      <c r="CL224" s="270">
        <f t="shared" si="185"/>
        <v>1.4348054455802226E-3</v>
      </c>
      <c r="CM224" s="253">
        <f t="shared" si="197"/>
        <v>1.3866666666666704E-3</v>
      </c>
      <c r="CN224" s="255">
        <f t="shared" si="191"/>
        <v>0.13866666666666705</v>
      </c>
      <c r="CS224" s="248"/>
      <c r="DQ224" s="258" t="e">
        <f>((((IF($R$5=0,$R$6,$R$5)))/(12*$R$19))+(((3*$R$15)/(2*IF($R$5=0,$R$6,$R$5)*$U$5*$R$19))*'IN-OUT'!$F$15))*'Burland damage classification'!DU224</f>
        <v>#DIV/0!</v>
      </c>
      <c r="DR224" s="262">
        <f>(1+(((IF($R$5=0,$R$6^2,$R$5^2))*$U$5)/(18*$R$15))*('IN-OUT'!$F$15^(-1)))*DV224</f>
        <v>1.4348054455802226E-3</v>
      </c>
      <c r="DS224" s="254" t="e">
        <f t="shared" si="186"/>
        <v>#DIV/0!</v>
      </c>
      <c r="DT224" s="254" t="e">
        <f t="shared" si="192"/>
        <v>#DIV/0!</v>
      </c>
      <c r="DU224" s="254">
        <f t="shared" si="198"/>
        <v>6.1333333333332218E-4</v>
      </c>
      <c r="DV224" s="270">
        <f t="shared" si="187"/>
        <v>1.4348054455802226E-3</v>
      </c>
      <c r="DW224" s="253">
        <f t="shared" si="199"/>
        <v>1.3866666666666704E-3</v>
      </c>
      <c r="DX224" s="255">
        <f t="shared" si="193"/>
        <v>0.13866666666666705</v>
      </c>
    </row>
    <row r="225" spans="21:128">
      <c r="U225" s="262"/>
      <c r="AW225" s="258">
        <f>(((IF($P$5&lt;&gt;0,$P$5,IF($P$6&lt;&gt;0,$P$6,IF($P$7&lt;&gt;0,$P$7,0))))/(12*$P$19))+(((3*$P$15)/(2*(IF($P$5&lt;&gt;0,$P$5,IF($P$6&lt;&gt;0,$P$6,IF($P$7&lt;&gt;0,$P$7,0))))*$U$5*$P$19))*'IN-OUT'!$F$15))*'Burland damage classification'!BA225</f>
        <v>1.9474923811416643E-3</v>
      </c>
      <c r="AX225" s="254">
        <f>(1+(((IF($P$5&lt;&gt;0,$P$5^2,IF($P$6&lt;&gt;0,$P$6^2,IF($P$7&lt;&gt;0,$P$7^2))))*$U$5)/(18*$P$15))*('IN-OUT'!$F$15^(-1)))*BB225</f>
        <v>1.5122938984097778E-3</v>
      </c>
      <c r="AY225" s="254">
        <f t="shared" si="182"/>
        <v>1.5122938984097778E-3</v>
      </c>
      <c r="AZ225" s="254">
        <f t="shared" si="188"/>
        <v>0.15122938984097778</v>
      </c>
      <c r="BA225" s="254">
        <f t="shared" si="194"/>
        <v>6.0666666666665554E-4</v>
      </c>
      <c r="BB225" s="270">
        <f t="shared" si="183"/>
        <v>1.431549277298315E-3</v>
      </c>
      <c r="BC225" s="253">
        <f t="shared" si="195"/>
        <v>1.3933333333333371E-3</v>
      </c>
      <c r="BD225" s="255">
        <f t="shared" si="189"/>
        <v>0.13933333333333373</v>
      </c>
      <c r="BI225" s="248"/>
      <c r="CG225" s="258" t="e">
        <f>((((IF($Q$5=0,$Q$6,$Q$5)))/(12*$Q$19))+(((3*$Q$15)/(2*IF($Q$5=0,$Q$6,$Q$5)*$U$5*$Q$19))*'IN-OUT'!$F$15))*'Burland damage classification'!CK225</f>
        <v>#DIV/0!</v>
      </c>
      <c r="CH225" s="262">
        <f>(1+(((IF($Q$5=0,$Q$6^2,$Q$5^2))*$U$5)/(18*$Q$15))*('IN-OUT'!$F$15^(-1)))*CL225</f>
        <v>1.431549277298315E-3</v>
      </c>
      <c r="CI225" s="254" t="e">
        <f t="shared" si="184"/>
        <v>#DIV/0!</v>
      </c>
      <c r="CJ225" s="254" t="e">
        <f t="shared" si="190"/>
        <v>#DIV/0!</v>
      </c>
      <c r="CK225" s="254">
        <f t="shared" si="196"/>
        <v>6.0666666666665554E-4</v>
      </c>
      <c r="CL225" s="270">
        <f t="shared" si="185"/>
        <v>1.431549277298315E-3</v>
      </c>
      <c r="CM225" s="253">
        <f t="shared" si="197"/>
        <v>1.3933333333333371E-3</v>
      </c>
      <c r="CN225" s="255">
        <f t="shared" si="191"/>
        <v>0.13933333333333373</v>
      </c>
      <c r="CS225" s="248"/>
      <c r="DQ225" s="258" t="e">
        <f>((((IF($R$5=0,$R$6,$R$5)))/(12*$R$19))+(((3*$R$15)/(2*IF($R$5=0,$R$6,$R$5)*$U$5*$R$19))*'IN-OUT'!$F$15))*'Burland damage classification'!DU225</f>
        <v>#DIV/0!</v>
      </c>
      <c r="DR225" s="262">
        <f>(1+(((IF($R$5=0,$R$6^2,$R$5^2))*$U$5)/(18*$R$15))*('IN-OUT'!$F$15^(-1)))*DV225</f>
        <v>1.431549277298315E-3</v>
      </c>
      <c r="DS225" s="254" t="e">
        <f t="shared" si="186"/>
        <v>#DIV/0!</v>
      </c>
      <c r="DT225" s="254" t="e">
        <f t="shared" si="192"/>
        <v>#DIV/0!</v>
      </c>
      <c r="DU225" s="254">
        <f t="shared" si="198"/>
        <v>6.0666666666665554E-4</v>
      </c>
      <c r="DV225" s="270">
        <f t="shared" si="187"/>
        <v>1.431549277298315E-3</v>
      </c>
      <c r="DW225" s="253">
        <f t="shared" si="199"/>
        <v>1.3933333333333371E-3</v>
      </c>
      <c r="DX225" s="255">
        <f t="shared" si="193"/>
        <v>0.13933333333333373</v>
      </c>
    </row>
    <row r="226" spans="21:128">
      <c r="U226" s="262"/>
      <c r="AW226" s="258">
        <f>(((IF($P$5&lt;&gt;0,$P$5,IF($P$6&lt;&gt;0,$P$6,IF($P$7&lt;&gt;0,$P$7,0))))/(12*$P$19))+(((3*$P$15)/(2*(IF($P$5&lt;&gt;0,$P$5,IF($P$6&lt;&gt;0,$P$6,IF($P$7&lt;&gt;0,$P$7,0))))*$U$5*$P$19))*'IN-OUT'!$F$15))*'Burland damage classification'!BA226</f>
        <v>1.9260913659642832E-3</v>
      </c>
      <c r="AX226" s="254">
        <f>(1+(((IF($P$5&lt;&gt;0,$P$5^2,IF($P$6&lt;&gt;0,$P$6^2,IF($P$7&lt;&gt;0,$P$7^2))))*$U$5)/(18*$P$15))*('IN-OUT'!$F$15^(-1)))*BB226</f>
        <v>1.5088462283041491E-3</v>
      </c>
      <c r="AY226" s="254">
        <f t="shared" si="182"/>
        <v>1.5088462283041491E-3</v>
      </c>
      <c r="AZ226" s="254">
        <f t="shared" si="188"/>
        <v>0.1508846228304149</v>
      </c>
      <c r="BA226" s="254">
        <f t="shared" si="194"/>
        <v>5.9999999999998889E-4</v>
      </c>
      <c r="BB226" s="270">
        <f t="shared" si="183"/>
        <v>1.4282856857085681E-3</v>
      </c>
      <c r="BC226" s="253">
        <f t="shared" si="195"/>
        <v>1.4000000000000039E-3</v>
      </c>
      <c r="BD226" s="255">
        <f t="shared" si="189"/>
        <v>0.1400000000000004</v>
      </c>
      <c r="BI226" s="248"/>
      <c r="CG226" s="258" t="e">
        <f>((((IF($Q$5=0,$Q$6,$Q$5)))/(12*$Q$19))+(((3*$Q$15)/(2*IF($Q$5=0,$Q$6,$Q$5)*$U$5*$Q$19))*'IN-OUT'!$F$15))*'Burland damage classification'!CK226</f>
        <v>#DIV/0!</v>
      </c>
      <c r="CH226" s="262">
        <f>(1+(((IF($Q$5=0,$Q$6^2,$Q$5^2))*$U$5)/(18*$Q$15))*('IN-OUT'!$F$15^(-1)))*CL226</f>
        <v>1.4282856857085681E-3</v>
      </c>
      <c r="CI226" s="254" t="e">
        <f t="shared" si="184"/>
        <v>#DIV/0!</v>
      </c>
      <c r="CJ226" s="254" t="e">
        <f t="shared" si="190"/>
        <v>#DIV/0!</v>
      </c>
      <c r="CK226" s="254">
        <f t="shared" si="196"/>
        <v>5.9999999999998889E-4</v>
      </c>
      <c r="CL226" s="270">
        <f t="shared" si="185"/>
        <v>1.4282856857085681E-3</v>
      </c>
      <c r="CM226" s="253">
        <f t="shared" si="197"/>
        <v>1.4000000000000039E-3</v>
      </c>
      <c r="CN226" s="255">
        <f t="shared" si="191"/>
        <v>0.1400000000000004</v>
      </c>
      <c r="CS226" s="248"/>
      <c r="DQ226" s="258" t="e">
        <f>((((IF($R$5=0,$R$6,$R$5)))/(12*$R$19))+(((3*$R$15)/(2*IF($R$5=0,$R$6,$R$5)*$U$5*$R$19))*'IN-OUT'!$F$15))*'Burland damage classification'!DU226</f>
        <v>#DIV/0!</v>
      </c>
      <c r="DR226" s="262">
        <f>(1+(((IF($R$5=0,$R$6^2,$R$5^2))*$U$5)/(18*$R$15))*('IN-OUT'!$F$15^(-1)))*DV226</f>
        <v>1.4282856857085681E-3</v>
      </c>
      <c r="DS226" s="254" t="e">
        <f t="shared" si="186"/>
        <v>#DIV/0!</v>
      </c>
      <c r="DT226" s="254" t="e">
        <f t="shared" si="192"/>
        <v>#DIV/0!</v>
      </c>
      <c r="DU226" s="254">
        <f t="shared" si="198"/>
        <v>5.9999999999998889E-4</v>
      </c>
      <c r="DV226" s="270">
        <f t="shared" si="187"/>
        <v>1.4282856857085681E-3</v>
      </c>
      <c r="DW226" s="253">
        <f t="shared" si="199"/>
        <v>1.4000000000000039E-3</v>
      </c>
      <c r="DX226" s="255">
        <f t="shared" si="193"/>
        <v>0.1400000000000004</v>
      </c>
    </row>
    <row r="227" spans="21:128">
      <c r="U227" s="262"/>
      <c r="AW227" s="258">
        <f>(((IF($P$5&lt;&gt;0,$P$5,IF($P$6&lt;&gt;0,$P$6,IF($P$7&lt;&gt;0,$P$7,0))))/(12*$P$19))+(((3*$P$15)/(2*(IF($P$5&lt;&gt;0,$P$5,IF($P$6&lt;&gt;0,$P$6,IF($P$7&lt;&gt;0,$P$7,0))))*$U$5*$P$19))*'IN-OUT'!$F$15))*'Burland damage classification'!BA227</f>
        <v>1.9046903507869018E-3</v>
      </c>
      <c r="AX227" s="254">
        <f>(1+(((IF($P$5&lt;&gt;0,$P$5^2,IF($P$6&lt;&gt;0,$P$6^2,IF($P$7&lt;&gt;0,$P$7^2))))*$U$5)/(18*$P$15))*('IN-OUT'!$F$15^(-1)))*BB227</f>
        <v>1.5053906623092458E-3</v>
      </c>
      <c r="AY227" s="254">
        <f t="shared" si="182"/>
        <v>1.5053906623092458E-3</v>
      </c>
      <c r="AZ227" s="254">
        <f t="shared" si="188"/>
        <v>0.15053906623092458</v>
      </c>
      <c r="BA227" s="254">
        <f t="shared" si="194"/>
        <v>5.9333333333332224E-4</v>
      </c>
      <c r="BB227" s="270">
        <f t="shared" si="183"/>
        <v>1.4250146198080428E-3</v>
      </c>
      <c r="BC227" s="253">
        <f t="shared" si="195"/>
        <v>1.4066666666666706E-3</v>
      </c>
      <c r="BD227" s="255">
        <f t="shared" si="189"/>
        <v>0.14066666666666705</v>
      </c>
      <c r="BI227" s="248"/>
      <c r="CG227" s="258" t="e">
        <f>((((IF($Q$5=0,$Q$6,$Q$5)))/(12*$Q$19))+(((3*$Q$15)/(2*IF($Q$5=0,$Q$6,$Q$5)*$U$5*$Q$19))*'IN-OUT'!$F$15))*'Burland damage classification'!CK227</f>
        <v>#DIV/0!</v>
      </c>
      <c r="CH227" s="262">
        <f>(1+(((IF($Q$5=0,$Q$6^2,$Q$5^2))*$U$5)/(18*$Q$15))*('IN-OUT'!$F$15^(-1)))*CL227</f>
        <v>1.4250146198080428E-3</v>
      </c>
      <c r="CI227" s="254" t="e">
        <f t="shared" si="184"/>
        <v>#DIV/0!</v>
      </c>
      <c r="CJ227" s="254" t="e">
        <f t="shared" si="190"/>
        <v>#DIV/0!</v>
      </c>
      <c r="CK227" s="254">
        <f t="shared" si="196"/>
        <v>5.9333333333332224E-4</v>
      </c>
      <c r="CL227" s="270">
        <f t="shared" si="185"/>
        <v>1.4250146198080428E-3</v>
      </c>
      <c r="CM227" s="253">
        <f t="shared" si="197"/>
        <v>1.4066666666666706E-3</v>
      </c>
      <c r="CN227" s="255">
        <f t="shared" si="191"/>
        <v>0.14066666666666705</v>
      </c>
      <c r="CS227" s="248"/>
      <c r="DQ227" s="258" t="e">
        <f>((((IF($R$5=0,$R$6,$R$5)))/(12*$R$19))+(((3*$R$15)/(2*IF($R$5=0,$R$6,$R$5)*$U$5*$R$19))*'IN-OUT'!$F$15))*'Burland damage classification'!DU227</f>
        <v>#DIV/0!</v>
      </c>
      <c r="DR227" s="262">
        <f>(1+(((IF($R$5=0,$R$6^2,$R$5^2))*$U$5)/(18*$R$15))*('IN-OUT'!$F$15^(-1)))*DV227</f>
        <v>1.4250146198080428E-3</v>
      </c>
      <c r="DS227" s="254" t="e">
        <f t="shared" si="186"/>
        <v>#DIV/0!</v>
      </c>
      <c r="DT227" s="254" t="e">
        <f t="shared" si="192"/>
        <v>#DIV/0!</v>
      </c>
      <c r="DU227" s="254">
        <f t="shared" si="198"/>
        <v>5.9333333333332224E-4</v>
      </c>
      <c r="DV227" s="270">
        <f t="shared" si="187"/>
        <v>1.4250146198080428E-3</v>
      </c>
      <c r="DW227" s="253">
        <f t="shared" si="199"/>
        <v>1.4066666666666706E-3</v>
      </c>
      <c r="DX227" s="255">
        <f t="shared" si="193"/>
        <v>0.14066666666666705</v>
      </c>
    </row>
    <row r="228" spans="21:128">
      <c r="U228" s="262"/>
      <c r="AW228" s="258">
        <f>(((IF($P$5&lt;&gt;0,$P$5,IF($P$6&lt;&gt;0,$P$6,IF($P$7&lt;&gt;0,$P$7,0))))/(12*$P$19))+(((3*$P$15)/(2*(IF($P$5&lt;&gt;0,$P$5,IF($P$6&lt;&gt;0,$P$6,IF($P$7&lt;&gt;0,$P$7,0))))*$U$5*$P$19))*'IN-OUT'!$F$15))*'Burland damage classification'!BA228</f>
        <v>1.8832893356095207E-3</v>
      </c>
      <c r="AX228" s="254">
        <f>(1+(((IF($P$5&lt;&gt;0,$P$5^2,IF($P$6&lt;&gt;0,$P$6^2,IF($P$7&lt;&gt;0,$P$7^2))))*$U$5)/(18*$P$15))*('IN-OUT'!$F$15^(-1)))*BB228</f>
        <v>1.5019271459255547E-3</v>
      </c>
      <c r="AY228" s="254">
        <f t="shared" si="182"/>
        <v>1.5019271459255547E-3</v>
      </c>
      <c r="AZ228" s="254">
        <f t="shared" si="188"/>
        <v>0.15019271459255548</v>
      </c>
      <c r="BA228" s="254">
        <f t="shared" si="194"/>
        <v>5.8666666666665559E-4</v>
      </c>
      <c r="BB228" s="270">
        <f t="shared" si="183"/>
        <v>1.4217360280070726E-3</v>
      </c>
      <c r="BC228" s="253">
        <f t="shared" si="195"/>
        <v>1.4133333333333374E-3</v>
      </c>
      <c r="BD228" s="255">
        <f t="shared" si="189"/>
        <v>0.14133333333333373</v>
      </c>
      <c r="BI228" s="248"/>
      <c r="CG228" s="258" t="e">
        <f>((((IF($Q$5=0,$Q$6,$Q$5)))/(12*$Q$19))+(((3*$Q$15)/(2*IF($Q$5=0,$Q$6,$Q$5)*$U$5*$Q$19))*'IN-OUT'!$F$15))*'Burland damage classification'!CK228</f>
        <v>#DIV/0!</v>
      </c>
      <c r="CH228" s="262">
        <f>(1+(((IF($Q$5=0,$Q$6^2,$Q$5^2))*$U$5)/(18*$Q$15))*('IN-OUT'!$F$15^(-1)))*CL228</f>
        <v>1.4217360280070726E-3</v>
      </c>
      <c r="CI228" s="254" t="e">
        <f t="shared" si="184"/>
        <v>#DIV/0!</v>
      </c>
      <c r="CJ228" s="254" t="e">
        <f t="shared" si="190"/>
        <v>#DIV/0!</v>
      </c>
      <c r="CK228" s="254">
        <f t="shared" si="196"/>
        <v>5.8666666666665559E-4</v>
      </c>
      <c r="CL228" s="270">
        <f t="shared" si="185"/>
        <v>1.4217360280070726E-3</v>
      </c>
      <c r="CM228" s="253">
        <f t="shared" si="197"/>
        <v>1.4133333333333374E-3</v>
      </c>
      <c r="CN228" s="255">
        <f t="shared" si="191"/>
        <v>0.14133333333333373</v>
      </c>
      <c r="CS228" s="248"/>
      <c r="DQ228" s="258" t="e">
        <f>((((IF($R$5=0,$R$6,$R$5)))/(12*$R$19))+(((3*$R$15)/(2*IF($R$5=0,$R$6,$R$5)*$U$5*$R$19))*'IN-OUT'!$F$15))*'Burland damage classification'!DU228</f>
        <v>#DIV/0!</v>
      </c>
      <c r="DR228" s="262">
        <f>(1+(((IF($R$5=0,$R$6^2,$R$5^2))*$U$5)/(18*$R$15))*('IN-OUT'!$F$15^(-1)))*DV228</f>
        <v>1.4217360280070726E-3</v>
      </c>
      <c r="DS228" s="254" t="e">
        <f t="shared" si="186"/>
        <v>#DIV/0!</v>
      </c>
      <c r="DT228" s="254" t="e">
        <f t="shared" si="192"/>
        <v>#DIV/0!</v>
      </c>
      <c r="DU228" s="254">
        <f t="shared" si="198"/>
        <v>5.8666666666665559E-4</v>
      </c>
      <c r="DV228" s="270">
        <f t="shared" si="187"/>
        <v>1.4217360280070726E-3</v>
      </c>
      <c r="DW228" s="253">
        <f t="shared" si="199"/>
        <v>1.4133333333333374E-3</v>
      </c>
      <c r="DX228" s="255">
        <f t="shared" si="193"/>
        <v>0.14133333333333373</v>
      </c>
    </row>
    <row r="229" spans="21:128">
      <c r="U229" s="262"/>
      <c r="AW229" s="258">
        <f>(((IF($P$5&lt;&gt;0,$P$5,IF($P$6&lt;&gt;0,$P$6,IF($P$7&lt;&gt;0,$P$7,0))))/(12*$P$19))+(((3*$P$15)/(2*(IF($P$5&lt;&gt;0,$P$5,IF($P$6&lt;&gt;0,$P$6,IF($P$7&lt;&gt;0,$P$7,0))))*$U$5*$P$19))*'IN-OUT'!$F$15))*'Burland damage classification'!BA229</f>
        <v>1.8618883204321393E-3</v>
      </c>
      <c r="AX229" s="254">
        <f>(1+(((IF($P$5&lt;&gt;0,$P$5^2,IF($P$6&lt;&gt;0,$P$6^2,IF($P$7&lt;&gt;0,$P$7^2))))*$U$5)/(18*$P$15))*('IN-OUT'!$F$15^(-1)))*BB229</f>
        <v>1.4984556240237132E-3</v>
      </c>
      <c r="AY229" s="254">
        <f t="shared" si="182"/>
        <v>1.4984556240237132E-3</v>
      </c>
      <c r="AZ229" s="254">
        <f t="shared" si="188"/>
        <v>0.14984556240237132</v>
      </c>
      <c r="BA229" s="254">
        <f t="shared" si="194"/>
        <v>5.7999999999998894E-4</v>
      </c>
      <c r="BB229" s="270">
        <f t="shared" si="183"/>
        <v>1.4184498581197695E-3</v>
      </c>
      <c r="BC229" s="253">
        <f t="shared" si="195"/>
        <v>1.4200000000000042E-3</v>
      </c>
      <c r="BD229" s="255">
        <f t="shared" si="189"/>
        <v>0.1420000000000004</v>
      </c>
      <c r="BI229" s="248"/>
      <c r="CG229" s="258" t="e">
        <f>((((IF($Q$5=0,$Q$6,$Q$5)))/(12*$Q$19))+(((3*$Q$15)/(2*IF($Q$5=0,$Q$6,$Q$5)*$U$5*$Q$19))*'IN-OUT'!$F$15))*'Burland damage classification'!CK229</f>
        <v>#DIV/0!</v>
      </c>
      <c r="CH229" s="262">
        <f>(1+(((IF($Q$5=0,$Q$6^2,$Q$5^2))*$U$5)/(18*$Q$15))*('IN-OUT'!$F$15^(-1)))*CL229</f>
        <v>1.4184498581197695E-3</v>
      </c>
      <c r="CI229" s="254" t="e">
        <f t="shared" si="184"/>
        <v>#DIV/0!</v>
      </c>
      <c r="CJ229" s="254" t="e">
        <f t="shared" si="190"/>
        <v>#DIV/0!</v>
      </c>
      <c r="CK229" s="254">
        <f t="shared" si="196"/>
        <v>5.7999999999998894E-4</v>
      </c>
      <c r="CL229" s="270">
        <f t="shared" si="185"/>
        <v>1.4184498581197695E-3</v>
      </c>
      <c r="CM229" s="253">
        <f t="shared" si="197"/>
        <v>1.4200000000000042E-3</v>
      </c>
      <c r="CN229" s="255">
        <f t="shared" si="191"/>
        <v>0.1420000000000004</v>
      </c>
      <c r="CS229" s="248"/>
      <c r="DQ229" s="258" t="e">
        <f>((((IF($R$5=0,$R$6,$R$5)))/(12*$R$19))+(((3*$R$15)/(2*IF($R$5=0,$R$6,$R$5)*$U$5*$R$19))*'IN-OUT'!$F$15))*'Burland damage classification'!DU229</f>
        <v>#DIV/0!</v>
      </c>
      <c r="DR229" s="262">
        <f>(1+(((IF($R$5=0,$R$6^2,$R$5^2))*$U$5)/(18*$R$15))*('IN-OUT'!$F$15^(-1)))*DV229</f>
        <v>1.4184498581197695E-3</v>
      </c>
      <c r="DS229" s="254" t="e">
        <f t="shared" si="186"/>
        <v>#DIV/0!</v>
      </c>
      <c r="DT229" s="254" t="e">
        <f t="shared" si="192"/>
        <v>#DIV/0!</v>
      </c>
      <c r="DU229" s="254">
        <f t="shared" si="198"/>
        <v>5.7999999999998894E-4</v>
      </c>
      <c r="DV229" s="270">
        <f t="shared" si="187"/>
        <v>1.4184498581197695E-3</v>
      </c>
      <c r="DW229" s="253">
        <f t="shared" si="199"/>
        <v>1.4200000000000042E-3</v>
      </c>
      <c r="DX229" s="255">
        <f t="shared" si="193"/>
        <v>0.1420000000000004</v>
      </c>
    </row>
    <row r="230" spans="21:128">
      <c r="U230" s="262"/>
      <c r="AW230" s="258">
        <f>(((IF($P$5&lt;&gt;0,$P$5,IF($P$6&lt;&gt;0,$P$6,IF($P$7&lt;&gt;0,$P$7,0))))/(12*$P$19))+(((3*$P$15)/(2*(IF($P$5&lt;&gt;0,$P$5,IF($P$6&lt;&gt;0,$P$6,IF($P$7&lt;&gt;0,$P$7,0))))*$U$5*$P$19))*'IN-OUT'!$F$15))*'Burland damage classification'!BA230</f>
        <v>1.8404873052547581E-3</v>
      </c>
      <c r="AX230" s="254">
        <f>(1+(((IF($P$5&lt;&gt;0,$P$5^2,IF($P$6&lt;&gt;0,$P$6^2,IF($P$7&lt;&gt;0,$P$7^2))))*$U$5)/(18*$P$15))*('IN-OUT'!$F$15^(-1)))*BB230</f>
        <v>1.4949760408342701E-3</v>
      </c>
      <c r="AY230" s="254">
        <f t="shared" si="182"/>
        <v>1.4949760408342701E-3</v>
      </c>
      <c r="AZ230" s="254">
        <f t="shared" si="188"/>
        <v>0.14949760408342699</v>
      </c>
      <c r="BA230" s="254">
        <f t="shared" si="194"/>
        <v>5.733333333333223E-4</v>
      </c>
      <c r="BB230" s="270">
        <f t="shared" si="183"/>
        <v>1.4151560573543332E-3</v>
      </c>
      <c r="BC230" s="253">
        <f t="shared" si="195"/>
        <v>1.4266666666666709E-3</v>
      </c>
      <c r="BD230" s="255">
        <f t="shared" si="189"/>
        <v>0.14266666666666708</v>
      </c>
      <c r="BI230" s="248"/>
      <c r="CG230" s="258" t="e">
        <f>((((IF($Q$5=0,$Q$6,$Q$5)))/(12*$Q$19))+(((3*$Q$15)/(2*IF($Q$5=0,$Q$6,$Q$5)*$U$5*$Q$19))*'IN-OUT'!$F$15))*'Burland damage classification'!CK230</f>
        <v>#DIV/0!</v>
      </c>
      <c r="CH230" s="262">
        <f>(1+(((IF($Q$5=0,$Q$6^2,$Q$5^2))*$U$5)/(18*$Q$15))*('IN-OUT'!$F$15^(-1)))*CL230</f>
        <v>1.4151560573543332E-3</v>
      </c>
      <c r="CI230" s="254" t="e">
        <f t="shared" si="184"/>
        <v>#DIV/0!</v>
      </c>
      <c r="CJ230" s="254" t="e">
        <f t="shared" si="190"/>
        <v>#DIV/0!</v>
      </c>
      <c r="CK230" s="254">
        <f t="shared" si="196"/>
        <v>5.733333333333223E-4</v>
      </c>
      <c r="CL230" s="270">
        <f t="shared" si="185"/>
        <v>1.4151560573543332E-3</v>
      </c>
      <c r="CM230" s="253">
        <f t="shared" si="197"/>
        <v>1.4266666666666709E-3</v>
      </c>
      <c r="CN230" s="255">
        <f t="shared" si="191"/>
        <v>0.14266666666666708</v>
      </c>
      <c r="CS230" s="248"/>
      <c r="DQ230" s="258" t="e">
        <f>((((IF($R$5=0,$R$6,$R$5)))/(12*$R$19))+(((3*$R$15)/(2*IF($R$5=0,$R$6,$R$5)*$U$5*$R$19))*'IN-OUT'!$F$15))*'Burland damage classification'!DU230</f>
        <v>#DIV/0!</v>
      </c>
      <c r="DR230" s="262">
        <f>(1+(((IF($R$5=0,$R$6^2,$R$5^2))*$U$5)/(18*$R$15))*('IN-OUT'!$F$15^(-1)))*DV230</f>
        <v>1.4151560573543332E-3</v>
      </c>
      <c r="DS230" s="254" t="e">
        <f t="shared" si="186"/>
        <v>#DIV/0!</v>
      </c>
      <c r="DT230" s="254" t="e">
        <f t="shared" si="192"/>
        <v>#DIV/0!</v>
      </c>
      <c r="DU230" s="254">
        <f t="shared" si="198"/>
        <v>5.733333333333223E-4</v>
      </c>
      <c r="DV230" s="270">
        <f t="shared" si="187"/>
        <v>1.4151560573543332E-3</v>
      </c>
      <c r="DW230" s="253">
        <f t="shared" si="199"/>
        <v>1.4266666666666709E-3</v>
      </c>
      <c r="DX230" s="255">
        <f t="shared" si="193"/>
        <v>0.14266666666666708</v>
      </c>
    </row>
    <row r="231" spans="21:128">
      <c r="U231" s="262"/>
      <c r="AW231" s="258">
        <f>(((IF($P$5&lt;&gt;0,$P$5,IF($P$6&lt;&gt;0,$P$6,IF($P$7&lt;&gt;0,$P$7,0))))/(12*$P$19))+(((3*$P$15)/(2*(IF($P$5&lt;&gt;0,$P$5,IF($P$6&lt;&gt;0,$P$6,IF($P$7&lt;&gt;0,$P$7,0))))*$U$5*$P$19))*'IN-OUT'!$F$15))*'Burland damage classification'!BA231</f>
        <v>1.8190862900773768E-3</v>
      </c>
      <c r="AX231" s="254">
        <f>(1+(((IF($P$5&lt;&gt;0,$P$5^2,IF($P$6&lt;&gt;0,$P$6^2,IF($P$7&lt;&gt;0,$P$7^2))))*$U$5)/(18*$P$15))*('IN-OUT'!$F$15^(-1)))*BB231</f>
        <v>1.4914883399372325E-3</v>
      </c>
      <c r="AY231" s="254">
        <f t="shared" ref="AY231:AY294" si="200">MIN(AW231,AX231)</f>
        <v>1.4914883399372325E-3</v>
      </c>
      <c r="AZ231" s="254">
        <f t="shared" si="188"/>
        <v>0.14914883399372325</v>
      </c>
      <c r="BA231" s="254">
        <f t="shared" si="194"/>
        <v>5.6666666666665565E-4</v>
      </c>
      <c r="BB231" s="270">
        <f t="shared" si="183"/>
        <v>1.4118545723031558E-3</v>
      </c>
      <c r="BC231" s="253">
        <f t="shared" si="195"/>
        <v>1.4333333333333377E-3</v>
      </c>
      <c r="BD231" s="255">
        <f t="shared" si="189"/>
        <v>0.14333333333333376</v>
      </c>
      <c r="BI231" s="248"/>
      <c r="CG231" s="258" t="e">
        <f>((((IF($Q$5=0,$Q$6,$Q$5)))/(12*$Q$19))+(((3*$Q$15)/(2*IF($Q$5=0,$Q$6,$Q$5)*$U$5*$Q$19))*'IN-OUT'!$F$15))*'Burland damage classification'!CK231</f>
        <v>#DIV/0!</v>
      </c>
      <c r="CH231" s="262">
        <f>(1+(((IF($Q$5=0,$Q$6^2,$Q$5^2))*$U$5)/(18*$Q$15))*('IN-OUT'!$F$15^(-1)))*CL231</f>
        <v>1.4118545723031558E-3</v>
      </c>
      <c r="CI231" s="254" t="e">
        <f t="shared" si="184"/>
        <v>#DIV/0!</v>
      </c>
      <c r="CJ231" s="254" t="e">
        <f t="shared" si="190"/>
        <v>#DIV/0!</v>
      </c>
      <c r="CK231" s="254">
        <f t="shared" si="196"/>
        <v>5.6666666666665565E-4</v>
      </c>
      <c r="CL231" s="270">
        <f t="shared" si="185"/>
        <v>1.4118545723031558E-3</v>
      </c>
      <c r="CM231" s="253">
        <f t="shared" si="197"/>
        <v>1.4333333333333377E-3</v>
      </c>
      <c r="CN231" s="255">
        <f t="shared" si="191"/>
        <v>0.14333333333333376</v>
      </c>
      <c r="CS231" s="248"/>
      <c r="DQ231" s="258" t="e">
        <f>((((IF($R$5=0,$R$6,$R$5)))/(12*$R$19))+(((3*$R$15)/(2*IF($R$5=0,$R$6,$R$5)*$U$5*$R$19))*'IN-OUT'!$F$15))*'Burland damage classification'!DU231</f>
        <v>#DIV/0!</v>
      </c>
      <c r="DR231" s="262">
        <f>(1+(((IF($R$5=0,$R$6^2,$R$5^2))*$U$5)/(18*$R$15))*('IN-OUT'!$F$15^(-1)))*DV231</f>
        <v>1.4118545723031558E-3</v>
      </c>
      <c r="DS231" s="254" t="e">
        <f t="shared" si="186"/>
        <v>#DIV/0!</v>
      </c>
      <c r="DT231" s="254" t="e">
        <f t="shared" si="192"/>
        <v>#DIV/0!</v>
      </c>
      <c r="DU231" s="254">
        <f t="shared" si="198"/>
        <v>5.6666666666665565E-4</v>
      </c>
      <c r="DV231" s="270">
        <f t="shared" si="187"/>
        <v>1.4118545723031558E-3</v>
      </c>
      <c r="DW231" s="253">
        <f t="shared" si="199"/>
        <v>1.4333333333333377E-3</v>
      </c>
      <c r="DX231" s="255">
        <f t="shared" si="193"/>
        <v>0.14333333333333376</v>
      </c>
    </row>
    <row r="232" spans="21:128">
      <c r="U232" s="262"/>
      <c r="AW232" s="258">
        <f>(((IF($P$5&lt;&gt;0,$P$5,IF($P$6&lt;&gt;0,$P$6,IF($P$7&lt;&gt;0,$P$7,0))))/(12*$P$19))+(((3*$P$15)/(2*(IF($P$5&lt;&gt;0,$P$5,IF($P$6&lt;&gt;0,$P$6,IF($P$7&lt;&gt;0,$P$7,0))))*$U$5*$P$19))*'IN-OUT'!$F$15))*'Burland damage classification'!BA232</f>
        <v>1.7976852748999956E-3</v>
      </c>
      <c r="AX232" s="254">
        <f>(1+(((IF($P$5&lt;&gt;0,$P$5^2,IF($P$6&lt;&gt;0,$P$6^2,IF($P$7&lt;&gt;0,$P$7^2))))*$U$5)/(18*$P$15))*('IN-OUT'!$F$15^(-1)))*BB232</f>
        <v>1.4879924642513937E-3</v>
      </c>
      <c r="AY232" s="254">
        <f t="shared" si="200"/>
        <v>1.4879924642513937E-3</v>
      </c>
      <c r="AZ232" s="254">
        <f t="shared" si="188"/>
        <v>0.14879924642513936</v>
      </c>
      <c r="BA232" s="254">
        <f t="shared" si="194"/>
        <v>5.59999999999989E-4</v>
      </c>
      <c r="BB232" s="270">
        <f t="shared" si="183"/>
        <v>1.4085453489327184E-3</v>
      </c>
      <c r="BC232" s="253">
        <f t="shared" si="195"/>
        <v>1.4400000000000044E-3</v>
      </c>
      <c r="BD232" s="255">
        <f t="shared" si="189"/>
        <v>0.14400000000000043</v>
      </c>
      <c r="BI232" s="248"/>
      <c r="CG232" s="258" t="e">
        <f>((((IF($Q$5=0,$Q$6,$Q$5)))/(12*$Q$19))+(((3*$Q$15)/(2*IF($Q$5=0,$Q$6,$Q$5)*$U$5*$Q$19))*'IN-OUT'!$F$15))*'Burland damage classification'!CK232</f>
        <v>#DIV/0!</v>
      </c>
      <c r="CH232" s="262">
        <f>(1+(((IF($Q$5=0,$Q$6^2,$Q$5^2))*$U$5)/(18*$Q$15))*('IN-OUT'!$F$15^(-1)))*CL232</f>
        <v>1.4085453489327184E-3</v>
      </c>
      <c r="CI232" s="254" t="e">
        <f t="shared" si="184"/>
        <v>#DIV/0!</v>
      </c>
      <c r="CJ232" s="254" t="e">
        <f t="shared" si="190"/>
        <v>#DIV/0!</v>
      </c>
      <c r="CK232" s="254">
        <f t="shared" si="196"/>
        <v>5.59999999999989E-4</v>
      </c>
      <c r="CL232" s="270">
        <f t="shared" si="185"/>
        <v>1.4085453489327184E-3</v>
      </c>
      <c r="CM232" s="253">
        <f t="shared" si="197"/>
        <v>1.4400000000000044E-3</v>
      </c>
      <c r="CN232" s="255">
        <f t="shared" si="191"/>
        <v>0.14400000000000043</v>
      </c>
      <c r="CS232" s="248"/>
      <c r="DQ232" s="258" t="e">
        <f>((((IF($R$5=0,$R$6,$R$5)))/(12*$R$19))+(((3*$R$15)/(2*IF($R$5=0,$R$6,$R$5)*$U$5*$R$19))*'IN-OUT'!$F$15))*'Burland damage classification'!DU232</f>
        <v>#DIV/0!</v>
      </c>
      <c r="DR232" s="262">
        <f>(1+(((IF($R$5=0,$R$6^2,$R$5^2))*$U$5)/(18*$R$15))*('IN-OUT'!$F$15^(-1)))*DV232</f>
        <v>1.4085453489327184E-3</v>
      </c>
      <c r="DS232" s="254" t="e">
        <f t="shared" si="186"/>
        <v>#DIV/0!</v>
      </c>
      <c r="DT232" s="254" t="e">
        <f t="shared" si="192"/>
        <v>#DIV/0!</v>
      </c>
      <c r="DU232" s="254">
        <f t="shared" si="198"/>
        <v>5.59999999999989E-4</v>
      </c>
      <c r="DV232" s="270">
        <f t="shared" si="187"/>
        <v>1.4085453489327184E-3</v>
      </c>
      <c r="DW232" s="253">
        <f t="shared" si="199"/>
        <v>1.4400000000000044E-3</v>
      </c>
      <c r="DX232" s="255">
        <f t="shared" si="193"/>
        <v>0.14400000000000043</v>
      </c>
    </row>
    <row r="233" spans="21:128">
      <c r="U233" s="262"/>
      <c r="AW233" s="258">
        <f>(((IF($P$5&lt;&gt;0,$P$5,IF($P$6&lt;&gt;0,$P$6,IF($P$7&lt;&gt;0,$P$7,0))))/(12*$P$19))+(((3*$P$15)/(2*(IF($P$5&lt;&gt;0,$P$5,IF($P$6&lt;&gt;0,$P$6,IF($P$7&lt;&gt;0,$P$7,0))))*$U$5*$P$19))*'IN-OUT'!$F$15))*'Burland damage classification'!BA233</f>
        <v>1.7762842597226142E-3</v>
      </c>
      <c r="AX233" s="254">
        <f>(1+(((IF($P$5&lt;&gt;0,$P$5^2,IF($P$6&lt;&gt;0,$P$6^2,IF($P$7&lt;&gt;0,$P$7^2))))*$U$5)/(18*$P$15))*('IN-OUT'!$F$15^(-1)))*BB233</f>
        <v>1.4844883560234307E-3</v>
      </c>
      <c r="AY233" s="254">
        <f t="shared" si="200"/>
        <v>1.4844883560234307E-3</v>
      </c>
      <c r="AZ233" s="254">
        <f t="shared" si="188"/>
        <v>0.14844883560234307</v>
      </c>
      <c r="BA233" s="254">
        <f t="shared" si="194"/>
        <v>5.5333333333332235E-4</v>
      </c>
      <c r="BB233" s="270">
        <f t="shared" si="183"/>
        <v>1.4052283325732726E-3</v>
      </c>
      <c r="BC233" s="253">
        <f t="shared" si="195"/>
        <v>1.4466666666666712E-3</v>
      </c>
      <c r="BD233" s="255">
        <f t="shared" si="189"/>
        <v>0.14466666666666711</v>
      </c>
      <c r="BI233" s="248"/>
      <c r="CG233" s="258" t="e">
        <f>((((IF($Q$5=0,$Q$6,$Q$5)))/(12*$Q$19))+(((3*$Q$15)/(2*IF($Q$5=0,$Q$6,$Q$5)*$U$5*$Q$19))*'IN-OUT'!$F$15))*'Burland damage classification'!CK233</f>
        <v>#DIV/0!</v>
      </c>
      <c r="CH233" s="262">
        <f>(1+(((IF($Q$5=0,$Q$6^2,$Q$5^2))*$U$5)/(18*$Q$15))*('IN-OUT'!$F$15^(-1)))*CL233</f>
        <v>1.4052283325732726E-3</v>
      </c>
      <c r="CI233" s="254" t="e">
        <f t="shared" si="184"/>
        <v>#DIV/0!</v>
      </c>
      <c r="CJ233" s="254" t="e">
        <f t="shared" si="190"/>
        <v>#DIV/0!</v>
      </c>
      <c r="CK233" s="254">
        <f t="shared" si="196"/>
        <v>5.5333333333332235E-4</v>
      </c>
      <c r="CL233" s="270">
        <f t="shared" si="185"/>
        <v>1.4052283325732726E-3</v>
      </c>
      <c r="CM233" s="253">
        <f t="shared" si="197"/>
        <v>1.4466666666666712E-3</v>
      </c>
      <c r="CN233" s="255">
        <f t="shared" si="191"/>
        <v>0.14466666666666711</v>
      </c>
      <c r="CS233" s="248"/>
      <c r="DQ233" s="258" t="e">
        <f>((((IF($R$5=0,$R$6,$R$5)))/(12*$R$19))+(((3*$R$15)/(2*IF($R$5=0,$R$6,$R$5)*$U$5*$R$19))*'IN-OUT'!$F$15))*'Burland damage classification'!DU233</f>
        <v>#DIV/0!</v>
      </c>
      <c r="DR233" s="262">
        <f>(1+(((IF($R$5=0,$R$6^2,$R$5^2))*$U$5)/(18*$R$15))*('IN-OUT'!$F$15^(-1)))*DV233</f>
        <v>1.4052283325732726E-3</v>
      </c>
      <c r="DS233" s="254" t="e">
        <f t="shared" si="186"/>
        <v>#DIV/0!</v>
      </c>
      <c r="DT233" s="254" t="e">
        <f t="shared" si="192"/>
        <v>#DIV/0!</v>
      </c>
      <c r="DU233" s="254">
        <f t="shared" si="198"/>
        <v>5.5333333333332235E-4</v>
      </c>
      <c r="DV233" s="270">
        <f t="shared" si="187"/>
        <v>1.4052283325732726E-3</v>
      </c>
      <c r="DW233" s="253">
        <f t="shared" si="199"/>
        <v>1.4466666666666712E-3</v>
      </c>
      <c r="DX233" s="255">
        <f t="shared" si="193"/>
        <v>0.14466666666666711</v>
      </c>
    </row>
    <row r="234" spans="21:128">
      <c r="U234" s="262"/>
      <c r="AW234" s="258">
        <f>(((IF($P$5&lt;&gt;0,$P$5,IF($P$6&lt;&gt;0,$P$6,IF($P$7&lt;&gt;0,$P$7,0))))/(12*$P$19))+(((3*$P$15)/(2*(IF($P$5&lt;&gt;0,$P$5,IF($P$6&lt;&gt;0,$P$6,IF($P$7&lt;&gt;0,$P$7,0))))*$U$5*$P$19))*'IN-OUT'!$F$15))*'Burland damage classification'!BA234</f>
        <v>1.7548832445452331E-3</v>
      </c>
      <c r="AX234" s="254">
        <f>(1+(((IF($P$5&lt;&gt;0,$P$5^2,IF($P$6&lt;&gt;0,$P$6^2,IF($P$7&lt;&gt;0,$P$7^2))))*$U$5)/(18*$P$15))*('IN-OUT'!$F$15^(-1)))*BB234</f>
        <v>1.4809759568167747E-3</v>
      </c>
      <c r="AY234" s="254">
        <f t="shared" si="200"/>
        <v>1.4809759568167747E-3</v>
      </c>
      <c r="AZ234" s="254">
        <f t="shared" si="188"/>
        <v>0.14809759568167746</v>
      </c>
      <c r="BA234" s="254">
        <f t="shared" si="194"/>
        <v>5.466666666666557E-4</v>
      </c>
      <c r="BB234" s="270">
        <f t="shared" si="183"/>
        <v>1.4019034679083032E-3</v>
      </c>
      <c r="BC234" s="253">
        <f t="shared" si="195"/>
        <v>1.4533333333333379E-3</v>
      </c>
      <c r="BD234" s="255">
        <f t="shared" si="189"/>
        <v>0.14533333333333379</v>
      </c>
      <c r="BI234" s="248"/>
      <c r="CG234" s="258" t="e">
        <f>((((IF($Q$5=0,$Q$6,$Q$5)))/(12*$Q$19))+(((3*$Q$15)/(2*IF($Q$5=0,$Q$6,$Q$5)*$U$5*$Q$19))*'IN-OUT'!$F$15))*'Burland damage classification'!CK234</f>
        <v>#DIV/0!</v>
      </c>
      <c r="CH234" s="262">
        <f>(1+(((IF($Q$5=0,$Q$6^2,$Q$5^2))*$U$5)/(18*$Q$15))*('IN-OUT'!$F$15^(-1)))*CL234</f>
        <v>1.4019034679083032E-3</v>
      </c>
      <c r="CI234" s="254" t="e">
        <f t="shared" si="184"/>
        <v>#DIV/0!</v>
      </c>
      <c r="CJ234" s="254" t="e">
        <f t="shared" si="190"/>
        <v>#DIV/0!</v>
      </c>
      <c r="CK234" s="254">
        <f t="shared" si="196"/>
        <v>5.466666666666557E-4</v>
      </c>
      <c r="CL234" s="270">
        <f t="shared" si="185"/>
        <v>1.4019034679083032E-3</v>
      </c>
      <c r="CM234" s="253">
        <f t="shared" si="197"/>
        <v>1.4533333333333379E-3</v>
      </c>
      <c r="CN234" s="255">
        <f t="shared" si="191"/>
        <v>0.14533333333333379</v>
      </c>
      <c r="CS234" s="248"/>
      <c r="DQ234" s="258" t="e">
        <f>((((IF($R$5=0,$R$6,$R$5)))/(12*$R$19))+(((3*$R$15)/(2*IF($R$5=0,$R$6,$R$5)*$U$5*$R$19))*'IN-OUT'!$F$15))*'Burland damage classification'!DU234</f>
        <v>#DIV/0!</v>
      </c>
      <c r="DR234" s="262">
        <f>(1+(((IF($R$5=0,$R$6^2,$R$5^2))*$U$5)/(18*$R$15))*('IN-OUT'!$F$15^(-1)))*DV234</f>
        <v>1.4019034679083032E-3</v>
      </c>
      <c r="DS234" s="254" t="e">
        <f t="shared" si="186"/>
        <v>#DIV/0!</v>
      </c>
      <c r="DT234" s="254" t="e">
        <f t="shared" si="192"/>
        <v>#DIV/0!</v>
      </c>
      <c r="DU234" s="254">
        <f t="shared" si="198"/>
        <v>5.466666666666557E-4</v>
      </c>
      <c r="DV234" s="270">
        <f t="shared" si="187"/>
        <v>1.4019034679083032E-3</v>
      </c>
      <c r="DW234" s="253">
        <f t="shared" si="199"/>
        <v>1.4533333333333379E-3</v>
      </c>
      <c r="DX234" s="255">
        <f t="shared" si="193"/>
        <v>0.14533333333333379</v>
      </c>
    </row>
    <row r="235" spans="21:128">
      <c r="U235" s="262"/>
      <c r="AW235" s="258">
        <f>(((IF($P$5&lt;&gt;0,$P$5,IF($P$6&lt;&gt;0,$P$6,IF($P$7&lt;&gt;0,$P$7,0))))/(12*$P$19))+(((3*$P$15)/(2*(IF($P$5&lt;&gt;0,$P$5,IF($P$6&lt;&gt;0,$P$6,IF($P$7&lt;&gt;0,$P$7,0))))*$U$5*$P$19))*'IN-OUT'!$F$15))*'Burland damage classification'!BA235</f>
        <v>1.7334822293678517E-3</v>
      </c>
      <c r="AX235" s="254">
        <f>(1+(((IF($P$5&lt;&gt;0,$P$5^2,IF($P$6&lt;&gt;0,$P$6^2,IF($P$7&lt;&gt;0,$P$7^2))))*$U$5)/(18*$P$15))*('IN-OUT'!$F$15^(-1)))*BB235</f>
        <v>1.4774552075002391E-3</v>
      </c>
      <c r="AY235" s="254">
        <f t="shared" si="200"/>
        <v>1.4774552075002391E-3</v>
      </c>
      <c r="AZ235" s="254">
        <f t="shared" si="188"/>
        <v>0.14774552075002392</v>
      </c>
      <c r="BA235" s="254">
        <f t="shared" si="194"/>
        <v>5.3999999999998906E-4</v>
      </c>
      <c r="BB235" s="270">
        <f t="shared" si="183"/>
        <v>1.3985706989637647E-3</v>
      </c>
      <c r="BC235" s="253">
        <f t="shared" si="195"/>
        <v>1.4600000000000047E-3</v>
      </c>
      <c r="BD235" s="255">
        <f t="shared" si="189"/>
        <v>0.14600000000000046</v>
      </c>
      <c r="BI235" s="248"/>
      <c r="CG235" s="258" t="e">
        <f>((((IF($Q$5=0,$Q$6,$Q$5)))/(12*$Q$19))+(((3*$Q$15)/(2*IF($Q$5=0,$Q$6,$Q$5)*$U$5*$Q$19))*'IN-OUT'!$F$15))*'Burland damage classification'!CK235</f>
        <v>#DIV/0!</v>
      </c>
      <c r="CH235" s="262">
        <f>(1+(((IF($Q$5=0,$Q$6^2,$Q$5^2))*$U$5)/(18*$Q$15))*('IN-OUT'!$F$15^(-1)))*CL235</f>
        <v>1.3985706989637647E-3</v>
      </c>
      <c r="CI235" s="254" t="e">
        <f t="shared" si="184"/>
        <v>#DIV/0!</v>
      </c>
      <c r="CJ235" s="254" t="e">
        <f t="shared" si="190"/>
        <v>#DIV/0!</v>
      </c>
      <c r="CK235" s="254">
        <f t="shared" si="196"/>
        <v>5.3999999999998906E-4</v>
      </c>
      <c r="CL235" s="270">
        <f t="shared" si="185"/>
        <v>1.3985706989637647E-3</v>
      </c>
      <c r="CM235" s="253">
        <f t="shared" si="197"/>
        <v>1.4600000000000047E-3</v>
      </c>
      <c r="CN235" s="255">
        <f t="shared" si="191"/>
        <v>0.14600000000000046</v>
      </c>
      <c r="CS235" s="248"/>
      <c r="DQ235" s="258" t="e">
        <f>((((IF($R$5=0,$R$6,$R$5)))/(12*$R$19))+(((3*$R$15)/(2*IF($R$5=0,$R$6,$R$5)*$U$5*$R$19))*'IN-OUT'!$F$15))*'Burland damage classification'!DU235</f>
        <v>#DIV/0!</v>
      </c>
      <c r="DR235" s="262">
        <f>(1+(((IF($R$5=0,$R$6^2,$R$5^2))*$U$5)/(18*$R$15))*('IN-OUT'!$F$15^(-1)))*DV235</f>
        <v>1.3985706989637647E-3</v>
      </c>
      <c r="DS235" s="254" t="e">
        <f t="shared" si="186"/>
        <v>#DIV/0!</v>
      </c>
      <c r="DT235" s="254" t="e">
        <f t="shared" si="192"/>
        <v>#DIV/0!</v>
      </c>
      <c r="DU235" s="254">
        <f t="shared" si="198"/>
        <v>5.3999999999998906E-4</v>
      </c>
      <c r="DV235" s="270">
        <f t="shared" si="187"/>
        <v>1.3985706989637647E-3</v>
      </c>
      <c r="DW235" s="253">
        <f t="shared" si="199"/>
        <v>1.4600000000000047E-3</v>
      </c>
      <c r="DX235" s="255">
        <f t="shared" si="193"/>
        <v>0.14600000000000046</v>
      </c>
    </row>
    <row r="236" spans="21:128">
      <c r="U236" s="262"/>
      <c r="AW236" s="258">
        <f>(((IF($P$5&lt;&gt;0,$P$5,IF($P$6&lt;&gt;0,$P$6,IF($P$7&lt;&gt;0,$P$7,0))))/(12*$P$19))+(((3*$P$15)/(2*(IF($P$5&lt;&gt;0,$P$5,IF($P$6&lt;&gt;0,$P$6,IF($P$7&lt;&gt;0,$P$7,0))))*$U$5*$P$19))*'IN-OUT'!$F$15))*'Burland damage classification'!BA236</f>
        <v>1.7120812141904705E-3</v>
      </c>
      <c r="AX236" s="254">
        <f>(1+(((IF($P$5&lt;&gt;0,$P$5^2,IF($P$6&lt;&gt;0,$P$6^2,IF($P$7&lt;&gt;0,$P$7^2))))*$U$5)/(18*$P$15))*('IN-OUT'!$F$15^(-1)))*BB236</f>
        <v>1.4739260482364059E-3</v>
      </c>
      <c r="AY236" s="254">
        <f t="shared" si="200"/>
        <v>1.4739260482364059E-3</v>
      </c>
      <c r="AZ236" s="254">
        <f t="shared" si="188"/>
        <v>0.14739260482364058</v>
      </c>
      <c r="BA236" s="254">
        <f t="shared" si="194"/>
        <v>5.3333333333332241E-4</v>
      </c>
      <c r="BB236" s="270">
        <f t="shared" si="183"/>
        <v>1.3952299690970875E-3</v>
      </c>
      <c r="BC236" s="253">
        <f t="shared" si="195"/>
        <v>1.4666666666666715E-3</v>
      </c>
      <c r="BD236" s="255">
        <f t="shared" si="189"/>
        <v>0.14666666666666714</v>
      </c>
      <c r="BI236" s="248"/>
      <c r="CG236" s="258" t="e">
        <f>((((IF($Q$5=0,$Q$6,$Q$5)))/(12*$Q$19))+(((3*$Q$15)/(2*IF($Q$5=0,$Q$6,$Q$5)*$U$5*$Q$19))*'IN-OUT'!$F$15))*'Burland damage classification'!CK236</f>
        <v>#DIV/0!</v>
      </c>
      <c r="CH236" s="262">
        <f>(1+(((IF($Q$5=0,$Q$6^2,$Q$5^2))*$U$5)/(18*$Q$15))*('IN-OUT'!$F$15^(-1)))*CL236</f>
        <v>1.3952299690970875E-3</v>
      </c>
      <c r="CI236" s="254" t="e">
        <f t="shared" si="184"/>
        <v>#DIV/0!</v>
      </c>
      <c r="CJ236" s="254" t="e">
        <f t="shared" si="190"/>
        <v>#DIV/0!</v>
      </c>
      <c r="CK236" s="254">
        <f t="shared" si="196"/>
        <v>5.3333333333332241E-4</v>
      </c>
      <c r="CL236" s="270">
        <f t="shared" si="185"/>
        <v>1.3952299690970875E-3</v>
      </c>
      <c r="CM236" s="253">
        <f t="shared" si="197"/>
        <v>1.4666666666666715E-3</v>
      </c>
      <c r="CN236" s="255">
        <f t="shared" si="191"/>
        <v>0.14666666666666714</v>
      </c>
      <c r="CS236" s="248"/>
      <c r="DQ236" s="258" t="e">
        <f>((((IF($R$5=0,$R$6,$R$5)))/(12*$R$19))+(((3*$R$15)/(2*IF($R$5=0,$R$6,$R$5)*$U$5*$R$19))*'IN-OUT'!$F$15))*'Burland damage classification'!DU236</f>
        <v>#DIV/0!</v>
      </c>
      <c r="DR236" s="262">
        <f>(1+(((IF($R$5=0,$R$6^2,$R$5^2))*$U$5)/(18*$R$15))*('IN-OUT'!$F$15^(-1)))*DV236</f>
        <v>1.3952299690970875E-3</v>
      </c>
      <c r="DS236" s="254" t="e">
        <f t="shared" si="186"/>
        <v>#DIV/0!</v>
      </c>
      <c r="DT236" s="254" t="e">
        <f t="shared" si="192"/>
        <v>#DIV/0!</v>
      </c>
      <c r="DU236" s="254">
        <f t="shared" si="198"/>
        <v>5.3333333333332241E-4</v>
      </c>
      <c r="DV236" s="270">
        <f t="shared" si="187"/>
        <v>1.3952299690970875E-3</v>
      </c>
      <c r="DW236" s="253">
        <f t="shared" si="199"/>
        <v>1.4666666666666715E-3</v>
      </c>
      <c r="DX236" s="255">
        <f t="shared" si="193"/>
        <v>0.14666666666666714</v>
      </c>
    </row>
    <row r="237" spans="21:128">
      <c r="U237" s="262"/>
      <c r="AW237" s="258">
        <f>(((IF($P$5&lt;&gt;0,$P$5,IF($P$6&lt;&gt;0,$P$6,IF($P$7&lt;&gt;0,$P$7,0))))/(12*$P$19))+(((3*$P$15)/(2*(IF($P$5&lt;&gt;0,$P$5,IF($P$6&lt;&gt;0,$P$6,IF($P$7&lt;&gt;0,$P$7,0))))*$U$5*$P$19))*'IN-OUT'!$F$15))*'Burland damage classification'!BA237</f>
        <v>1.6906801990130892E-3</v>
      </c>
      <c r="AX237" s="254">
        <f>(1+(((IF($P$5&lt;&gt;0,$P$5^2,IF($P$6&lt;&gt;0,$P$6^2,IF($P$7&lt;&gt;0,$P$7^2))))*$U$5)/(18*$P$15))*('IN-OUT'!$F$15^(-1)))*BB237</f>
        <v>1.4703884184697597E-3</v>
      </c>
      <c r="AY237" s="254">
        <f t="shared" si="200"/>
        <v>1.4703884184697597E-3</v>
      </c>
      <c r="AZ237" s="254">
        <f t="shared" si="188"/>
        <v>0.14703884184697597</v>
      </c>
      <c r="BA237" s="254">
        <f t="shared" si="194"/>
        <v>5.2666666666665576E-4</v>
      </c>
      <c r="BB237" s="270">
        <f t="shared" si="183"/>
        <v>1.3918812209859454E-3</v>
      </c>
      <c r="BC237" s="253">
        <f t="shared" si="195"/>
        <v>1.4733333333333382E-3</v>
      </c>
      <c r="BD237" s="255">
        <f t="shared" si="189"/>
        <v>0.14733333333333382</v>
      </c>
      <c r="BI237" s="248"/>
      <c r="CG237" s="258" t="e">
        <f>((((IF($Q$5=0,$Q$6,$Q$5)))/(12*$Q$19))+(((3*$Q$15)/(2*IF($Q$5=0,$Q$6,$Q$5)*$U$5*$Q$19))*'IN-OUT'!$F$15))*'Burland damage classification'!CK237</f>
        <v>#DIV/0!</v>
      </c>
      <c r="CH237" s="262">
        <f>(1+(((IF($Q$5=0,$Q$6^2,$Q$5^2))*$U$5)/(18*$Q$15))*('IN-OUT'!$F$15^(-1)))*CL237</f>
        <v>1.3918812209859454E-3</v>
      </c>
      <c r="CI237" s="254" t="e">
        <f t="shared" si="184"/>
        <v>#DIV/0!</v>
      </c>
      <c r="CJ237" s="254" t="e">
        <f t="shared" si="190"/>
        <v>#DIV/0!</v>
      </c>
      <c r="CK237" s="254">
        <f t="shared" si="196"/>
        <v>5.2666666666665576E-4</v>
      </c>
      <c r="CL237" s="270">
        <f t="shared" si="185"/>
        <v>1.3918812209859454E-3</v>
      </c>
      <c r="CM237" s="253">
        <f t="shared" si="197"/>
        <v>1.4733333333333382E-3</v>
      </c>
      <c r="CN237" s="255">
        <f t="shared" si="191"/>
        <v>0.14733333333333382</v>
      </c>
      <c r="CS237" s="248"/>
      <c r="DQ237" s="258" t="e">
        <f>((((IF($R$5=0,$R$6,$R$5)))/(12*$R$19))+(((3*$R$15)/(2*IF($R$5=0,$R$6,$R$5)*$U$5*$R$19))*'IN-OUT'!$F$15))*'Burland damage classification'!DU237</f>
        <v>#DIV/0!</v>
      </c>
      <c r="DR237" s="262">
        <f>(1+(((IF($R$5=0,$R$6^2,$R$5^2))*$U$5)/(18*$R$15))*('IN-OUT'!$F$15^(-1)))*DV237</f>
        <v>1.3918812209859454E-3</v>
      </c>
      <c r="DS237" s="254" t="e">
        <f t="shared" si="186"/>
        <v>#DIV/0!</v>
      </c>
      <c r="DT237" s="254" t="e">
        <f t="shared" si="192"/>
        <v>#DIV/0!</v>
      </c>
      <c r="DU237" s="254">
        <f t="shared" si="198"/>
        <v>5.2666666666665576E-4</v>
      </c>
      <c r="DV237" s="270">
        <f t="shared" si="187"/>
        <v>1.3918812209859454E-3</v>
      </c>
      <c r="DW237" s="253">
        <f t="shared" si="199"/>
        <v>1.4733333333333382E-3</v>
      </c>
      <c r="DX237" s="255">
        <f t="shared" si="193"/>
        <v>0.14733333333333382</v>
      </c>
    </row>
    <row r="238" spans="21:128">
      <c r="U238" s="262"/>
      <c r="AW238" s="258">
        <f>(((IF($P$5&lt;&gt;0,$P$5,IF($P$6&lt;&gt;0,$P$6,IF($P$7&lt;&gt;0,$P$7,0))))/(12*$P$19))+(((3*$P$15)/(2*(IF($P$5&lt;&gt;0,$P$5,IF($P$6&lt;&gt;0,$P$6,IF($P$7&lt;&gt;0,$P$7,0))))*$U$5*$P$19))*'IN-OUT'!$F$15))*'Burland damage classification'!BA238</f>
        <v>1.669279183835708E-3</v>
      </c>
      <c r="AX238" s="254">
        <f>(1+(((IF($P$5&lt;&gt;0,$P$5^2,IF($P$6&lt;&gt;0,$P$6^2,IF($P$7&lt;&gt;0,$P$7^2))))*$U$5)/(18*$P$15))*('IN-OUT'!$F$15^(-1)))*BB238</f>
        <v>1.4668422569145648E-3</v>
      </c>
      <c r="AY238" s="254">
        <f t="shared" si="200"/>
        <v>1.4668422569145648E-3</v>
      </c>
      <c r="AZ238" s="254">
        <f t="shared" si="188"/>
        <v>0.14668422569145648</v>
      </c>
      <c r="BA238" s="254">
        <f t="shared" si="194"/>
        <v>5.1999999999998911E-4</v>
      </c>
      <c r="BB238" s="270">
        <f t="shared" si="183"/>
        <v>1.3885243966167799E-3</v>
      </c>
      <c r="BC238" s="253">
        <f t="shared" si="195"/>
        <v>1.480000000000005E-3</v>
      </c>
      <c r="BD238" s="255">
        <f t="shared" si="189"/>
        <v>0.14800000000000049</v>
      </c>
      <c r="BI238" s="248"/>
      <c r="CG238" s="258" t="e">
        <f>((((IF($Q$5=0,$Q$6,$Q$5)))/(12*$Q$19))+(((3*$Q$15)/(2*IF($Q$5=0,$Q$6,$Q$5)*$U$5*$Q$19))*'IN-OUT'!$F$15))*'Burland damage classification'!CK238</f>
        <v>#DIV/0!</v>
      </c>
      <c r="CH238" s="262">
        <f>(1+(((IF($Q$5=0,$Q$6^2,$Q$5^2))*$U$5)/(18*$Q$15))*('IN-OUT'!$F$15^(-1)))*CL238</f>
        <v>1.3885243966167799E-3</v>
      </c>
      <c r="CI238" s="254" t="e">
        <f t="shared" si="184"/>
        <v>#DIV/0!</v>
      </c>
      <c r="CJ238" s="254" t="e">
        <f t="shared" si="190"/>
        <v>#DIV/0!</v>
      </c>
      <c r="CK238" s="254">
        <f t="shared" si="196"/>
        <v>5.1999999999998911E-4</v>
      </c>
      <c r="CL238" s="270">
        <f t="shared" si="185"/>
        <v>1.3885243966167799E-3</v>
      </c>
      <c r="CM238" s="253">
        <f t="shared" si="197"/>
        <v>1.480000000000005E-3</v>
      </c>
      <c r="CN238" s="255">
        <f t="shared" si="191"/>
        <v>0.14800000000000049</v>
      </c>
      <c r="CS238" s="248"/>
      <c r="DQ238" s="258" t="e">
        <f>((((IF($R$5=0,$R$6,$R$5)))/(12*$R$19))+(((3*$R$15)/(2*IF($R$5=0,$R$6,$R$5)*$U$5*$R$19))*'IN-OUT'!$F$15))*'Burland damage classification'!DU238</f>
        <v>#DIV/0!</v>
      </c>
      <c r="DR238" s="262">
        <f>(1+(((IF($R$5=0,$R$6^2,$R$5^2))*$U$5)/(18*$R$15))*('IN-OUT'!$F$15^(-1)))*DV238</f>
        <v>1.3885243966167799E-3</v>
      </c>
      <c r="DS238" s="254" t="e">
        <f t="shared" si="186"/>
        <v>#DIV/0!</v>
      </c>
      <c r="DT238" s="254" t="e">
        <f t="shared" si="192"/>
        <v>#DIV/0!</v>
      </c>
      <c r="DU238" s="254">
        <f t="shared" si="198"/>
        <v>5.1999999999998911E-4</v>
      </c>
      <c r="DV238" s="270">
        <f t="shared" si="187"/>
        <v>1.3885243966167799E-3</v>
      </c>
      <c r="DW238" s="253">
        <f t="shared" si="199"/>
        <v>1.480000000000005E-3</v>
      </c>
      <c r="DX238" s="255">
        <f t="shared" si="193"/>
        <v>0.14800000000000049</v>
      </c>
    </row>
    <row r="239" spans="21:128">
      <c r="U239" s="262"/>
      <c r="AW239" s="258">
        <f>(((IF($P$5&lt;&gt;0,$P$5,IF($P$6&lt;&gt;0,$P$6,IF($P$7&lt;&gt;0,$P$7,0))))/(12*$P$19))+(((3*$P$15)/(2*(IF($P$5&lt;&gt;0,$P$5,IF($P$6&lt;&gt;0,$P$6,IF($P$7&lt;&gt;0,$P$7,0))))*$U$5*$P$19))*'IN-OUT'!$F$15))*'Burland damage classification'!BA239</f>
        <v>1.6478781686583266E-3</v>
      </c>
      <c r="AX239" s="254">
        <f>(1+(((IF($P$5&lt;&gt;0,$P$5^2,IF($P$6&lt;&gt;0,$P$6^2,IF($P$7&lt;&gt;0,$P$7^2))))*$U$5)/(18*$P$15))*('IN-OUT'!$F$15^(-1)))*BB239</f>
        <v>1.4632875015424779E-3</v>
      </c>
      <c r="AY239" s="254">
        <f t="shared" si="200"/>
        <v>1.4632875015424779E-3</v>
      </c>
      <c r="AZ239" s="254">
        <f t="shared" si="188"/>
        <v>0.14632875015424779</v>
      </c>
      <c r="BA239" s="254">
        <f t="shared" si="194"/>
        <v>5.1333333333332246E-4</v>
      </c>
      <c r="BB239" s="270">
        <f t="shared" si="183"/>
        <v>1.385159437273074E-3</v>
      </c>
      <c r="BC239" s="253">
        <f t="shared" si="195"/>
        <v>1.4866666666666717E-3</v>
      </c>
      <c r="BD239" s="255">
        <f t="shared" si="189"/>
        <v>0.14866666666666717</v>
      </c>
      <c r="BI239" s="248"/>
      <c r="CG239" s="258" t="e">
        <f>((((IF($Q$5=0,$Q$6,$Q$5)))/(12*$Q$19))+(((3*$Q$15)/(2*IF($Q$5=0,$Q$6,$Q$5)*$U$5*$Q$19))*'IN-OUT'!$F$15))*'Burland damage classification'!CK239</f>
        <v>#DIV/0!</v>
      </c>
      <c r="CH239" s="262">
        <f>(1+(((IF($Q$5=0,$Q$6^2,$Q$5^2))*$U$5)/(18*$Q$15))*('IN-OUT'!$F$15^(-1)))*CL239</f>
        <v>1.385159437273074E-3</v>
      </c>
      <c r="CI239" s="254" t="e">
        <f t="shared" si="184"/>
        <v>#DIV/0!</v>
      </c>
      <c r="CJ239" s="254" t="e">
        <f t="shared" si="190"/>
        <v>#DIV/0!</v>
      </c>
      <c r="CK239" s="254">
        <f t="shared" si="196"/>
        <v>5.1333333333332246E-4</v>
      </c>
      <c r="CL239" s="270">
        <f t="shared" si="185"/>
        <v>1.385159437273074E-3</v>
      </c>
      <c r="CM239" s="253">
        <f t="shared" si="197"/>
        <v>1.4866666666666717E-3</v>
      </c>
      <c r="CN239" s="255">
        <f t="shared" si="191"/>
        <v>0.14866666666666717</v>
      </c>
      <c r="CS239" s="248"/>
      <c r="DQ239" s="258" t="e">
        <f>((((IF($R$5=0,$R$6,$R$5)))/(12*$R$19))+(((3*$R$15)/(2*IF($R$5=0,$R$6,$R$5)*$U$5*$R$19))*'IN-OUT'!$F$15))*'Burland damage classification'!DU239</f>
        <v>#DIV/0!</v>
      </c>
      <c r="DR239" s="262">
        <f>(1+(((IF($R$5=0,$R$6^2,$R$5^2))*$U$5)/(18*$R$15))*('IN-OUT'!$F$15^(-1)))*DV239</f>
        <v>1.385159437273074E-3</v>
      </c>
      <c r="DS239" s="254" t="e">
        <f t="shared" si="186"/>
        <v>#DIV/0!</v>
      </c>
      <c r="DT239" s="254" t="e">
        <f t="shared" si="192"/>
        <v>#DIV/0!</v>
      </c>
      <c r="DU239" s="254">
        <f t="shared" si="198"/>
        <v>5.1333333333332246E-4</v>
      </c>
      <c r="DV239" s="270">
        <f t="shared" si="187"/>
        <v>1.385159437273074E-3</v>
      </c>
      <c r="DW239" s="253">
        <f t="shared" si="199"/>
        <v>1.4866666666666717E-3</v>
      </c>
      <c r="DX239" s="255">
        <f t="shared" si="193"/>
        <v>0.14866666666666717</v>
      </c>
    </row>
    <row r="240" spans="21:128">
      <c r="U240" s="262"/>
      <c r="AW240" s="258">
        <f>(((IF($P$5&lt;&gt;0,$P$5,IF($P$6&lt;&gt;0,$P$6,IF($P$7&lt;&gt;0,$P$7,0))))/(12*$P$19))+(((3*$P$15)/(2*(IF($P$5&lt;&gt;0,$P$5,IF($P$6&lt;&gt;0,$P$6,IF($P$7&lt;&gt;0,$P$7,0))))*$U$5*$P$19))*'IN-OUT'!$F$15))*'Burland damage classification'!BA240</f>
        <v>1.6264771534809455E-3</v>
      </c>
      <c r="AX240" s="254">
        <f>(1+(((IF($P$5&lt;&gt;0,$P$5^2,IF($P$6&lt;&gt;0,$P$6^2,IF($P$7&lt;&gt;0,$P$7^2))))*$U$5)/(18*$P$15))*('IN-OUT'!$F$15^(-1)))*BB240</f>
        <v>1.4597240895698887E-3</v>
      </c>
      <c r="AY240" s="254">
        <f t="shared" si="200"/>
        <v>1.4597240895698887E-3</v>
      </c>
      <c r="AZ240" s="254">
        <f t="shared" si="188"/>
        <v>0.14597240895698887</v>
      </c>
      <c r="BA240" s="254">
        <f t="shared" si="194"/>
        <v>5.0666666666665582E-4</v>
      </c>
      <c r="BB240" s="270">
        <f t="shared" si="183"/>
        <v>1.3817862835233696E-3</v>
      </c>
      <c r="BC240" s="253">
        <f t="shared" si="195"/>
        <v>1.4933333333333385E-3</v>
      </c>
      <c r="BD240" s="255">
        <f t="shared" si="189"/>
        <v>0.14933333333333385</v>
      </c>
      <c r="BI240" s="248"/>
      <c r="CG240" s="258" t="e">
        <f>((((IF($Q$5=0,$Q$6,$Q$5)))/(12*$Q$19))+(((3*$Q$15)/(2*IF($Q$5=0,$Q$6,$Q$5)*$U$5*$Q$19))*'IN-OUT'!$F$15))*'Burland damage classification'!CK240</f>
        <v>#DIV/0!</v>
      </c>
      <c r="CH240" s="262">
        <f>(1+(((IF($Q$5=0,$Q$6^2,$Q$5^2))*$U$5)/(18*$Q$15))*('IN-OUT'!$F$15^(-1)))*CL240</f>
        <v>1.3817862835233696E-3</v>
      </c>
      <c r="CI240" s="254" t="e">
        <f t="shared" si="184"/>
        <v>#DIV/0!</v>
      </c>
      <c r="CJ240" s="254" t="e">
        <f t="shared" si="190"/>
        <v>#DIV/0!</v>
      </c>
      <c r="CK240" s="254">
        <f t="shared" si="196"/>
        <v>5.0666666666665582E-4</v>
      </c>
      <c r="CL240" s="270">
        <f t="shared" si="185"/>
        <v>1.3817862835233696E-3</v>
      </c>
      <c r="CM240" s="253">
        <f t="shared" si="197"/>
        <v>1.4933333333333385E-3</v>
      </c>
      <c r="CN240" s="255">
        <f t="shared" si="191"/>
        <v>0.14933333333333385</v>
      </c>
      <c r="CS240" s="248"/>
      <c r="DQ240" s="258" t="e">
        <f>((((IF($R$5=0,$R$6,$R$5)))/(12*$R$19))+(((3*$R$15)/(2*IF($R$5=0,$R$6,$R$5)*$U$5*$R$19))*'IN-OUT'!$F$15))*'Burland damage classification'!DU240</f>
        <v>#DIV/0!</v>
      </c>
      <c r="DR240" s="262">
        <f>(1+(((IF($R$5=0,$R$6^2,$R$5^2))*$U$5)/(18*$R$15))*('IN-OUT'!$F$15^(-1)))*DV240</f>
        <v>1.3817862835233696E-3</v>
      </c>
      <c r="DS240" s="254" t="e">
        <f t="shared" si="186"/>
        <v>#DIV/0!</v>
      </c>
      <c r="DT240" s="254" t="e">
        <f t="shared" si="192"/>
        <v>#DIV/0!</v>
      </c>
      <c r="DU240" s="254">
        <f t="shared" si="198"/>
        <v>5.0666666666665582E-4</v>
      </c>
      <c r="DV240" s="270">
        <f t="shared" si="187"/>
        <v>1.3817862835233696E-3</v>
      </c>
      <c r="DW240" s="253">
        <f t="shared" si="199"/>
        <v>1.4933333333333385E-3</v>
      </c>
      <c r="DX240" s="255">
        <f t="shared" si="193"/>
        <v>0.14933333333333385</v>
      </c>
    </row>
    <row r="241" spans="21:128">
      <c r="U241" s="262"/>
      <c r="AW241" s="258">
        <f>(((IF($P$5&lt;&gt;0,$P$5,IF($P$6&lt;&gt;0,$P$6,IF($P$7&lt;&gt;0,$P$7,0))))/(12*$P$19))+(((3*$P$15)/(2*(IF($P$5&lt;&gt;0,$P$5,IF($P$6&lt;&gt;0,$P$6,IF($P$7&lt;&gt;0,$P$7,0))))*$U$5*$P$19))*'IN-OUT'!$F$15))*'Burland damage classification'!BA241</f>
        <v>1.6050761383035641E-3</v>
      </c>
      <c r="AX241" s="254">
        <f>(1+(((IF($P$5&lt;&gt;0,$P$5^2,IF($P$6&lt;&gt;0,$P$6^2,IF($P$7&lt;&gt;0,$P$7^2))))*$U$5)/(18*$P$15))*('IN-OUT'!$F$15^(-1)))*BB241</f>
        <v>1.4561519574449822E-3</v>
      </c>
      <c r="AY241" s="254">
        <f t="shared" si="200"/>
        <v>1.4561519574449822E-3</v>
      </c>
      <c r="AZ241" s="254">
        <f t="shared" si="188"/>
        <v>0.14561519574449822</v>
      </c>
      <c r="BA241" s="254">
        <f t="shared" si="194"/>
        <v>4.9999999999998917E-4</v>
      </c>
      <c r="BB241" s="270">
        <f t="shared" si="183"/>
        <v>1.3784048752090194E-3</v>
      </c>
      <c r="BC241" s="253">
        <f t="shared" si="195"/>
        <v>1.5000000000000052E-3</v>
      </c>
      <c r="BD241" s="255">
        <f t="shared" si="189"/>
        <v>0.15000000000000052</v>
      </c>
      <c r="BI241" s="248"/>
      <c r="CG241" s="258" t="e">
        <f>((((IF($Q$5=0,$Q$6,$Q$5)))/(12*$Q$19))+(((3*$Q$15)/(2*IF($Q$5=0,$Q$6,$Q$5)*$U$5*$Q$19))*'IN-OUT'!$F$15))*'Burland damage classification'!CK241</f>
        <v>#DIV/0!</v>
      </c>
      <c r="CH241" s="262">
        <f>(1+(((IF($Q$5=0,$Q$6^2,$Q$5^2))*$U$5)/(18*$Q$15))*('IN-OUT'!$F$15^(-1)))*CL241</f>
        <v>1.3784048752090194E-3</v>
      </c>
      <c r="CI241" s="254" t="e">
        <f t="shared" si="184"/>
        <v>#DIV/0!</v>
      </c>
      <c r="CJ241" s="254" t="e">
        <f t="shared" si="190"/>
        <v>#DIV/0!</v>
      </c>
      <c r="CK241" s="254">
        <f t="shared" si="196"/>
        <v>4.9999999999998917E-4</v>
      </c>
      <c r="CL241" s="270">
        <f t="shared" si="185"/>
        <v>1.3784048752090194E-3</v>
      </c>
      <c r="CM241" s="253">
        <f t="shared" si="197"/>
        <v>1.5000000000000052E-3</v>
      </c>
      <c r="CN241" s="255">
        <f t="shared" si="191"/>
        <v>0.15000000000000052</v>
      </c>
      <c r="CS241" s="248"/>
      <c r="DQ241" s="258" t="e">
        <f>((((IF($R$5=0,$R$6,$R$5)))/(12*$R$19))+(((3*$R$15)/(2*IF($R$5=0,$R$6,$R$5)*$U$5*$R$19))*'IN-OUT'!$F$15))*'Burland damage classification'!DU241</f>
        <v>#DIV/0!</v>
      </c>
      <c r="DR241" s="262">
        <f>(1+(((IF($R$5=0,$R$6^2,$R$5^2))*$U$5)/(18*$R$15))*('IN-OUT'!$F$15^(-1)))*DV241</f>
        <v>1.3784048752090194E-3</v>
      </c>
      <c r="DS241" s="254" t="e">
        <f t="shared" si="186"/>
        <v>#DIV/0!</v>
      </c>
      <c r="DT241" s="254" t="e">
        <f t="shared" si="192"/>
        <v>#DIV/0!</v>
      </c>
      <c r="DU241" s="254">
        <f t="shared" si="198"/>
        <v>4.9999999999998917E-4</v>
      </c>
      <c r="DV241" s="270">
        <f t="shared" si="187"/>
        <v>1.3784048752090194E-3</v>
      </c>
      <c r="DW241" s="253">
        <f t="shared" si="199"/>
        <v>1.5000000000000052E-3</v>
      </c>
      <c r="DX241" s="255">
        <f t="shared" si="193"/>
        <v>0.15000000000000052</v>
      </c>
    </row>
    <row r="242" spans="21:128">
      <c r="U242" s="262"/>
      <c r="AW242" s="258">
        <f>(((IF($P$5&lt;&gt;0,$P$5,IF($P$6&lt;&gt;0,$P$6,IF($P$7&lt;&gt;0,$P$7,0))))/(12*$P$19))+(((3*$P$15)/(2*(IF($P$5&lt;&gt;0,$P$5,IF($P$6&lt;&gt;0,$P$6,IF($P$7&lt;&gt;0,$P$7,0))))*$U$5*$P$19))*'IN-OUT'!$F$15))*'Burland damage classification'!BA242</f>
        <v>1.583675123126183E-3</v>
      </c>
      <c r="AX242" s="254">
        <f>(1+(((IF($P$5&lt;&gt;0,$P$5^2,IF($P$6&lt;&gt;0,$P$6^2,IF($P$7&lt;&gt;0,$P$7^2))))*$U$5)/(18*$P$15))*('IN-OUT'!$F$15^(-1)))*BB242</f>
        <v>1.4525710408345152E-3</v>
      </c>
      <c r="AY242" s="254">
        <f t="shared" si="200"/>
        <v>1.4525710408345152E-3</v>
      </c>
      <c r="AZ242" s="254">
        <f t="shared" si="188"/>
        <v>0.14525710408345152</v>
      </c>
      <c r="BA242" s="254">
        <f t="shared" si="194"/>
        <v>4.9333333333332252E-4</v>
      </c>
      <c r="BB242" s="270">
        <f t="shared" si="183"/>
        <v>1.3750151514316702E-3</v>
      </c>
      <c r="BC242" s="253">
        <f t="shared" si="195"/>
        <v>1.506666666666672E-3</v>
      </c>
      <c r="BD242" s="255">
        <f t="shared" si="189"/>
        <v>0.1506666666666672</v>
      </c>
      <c r="BI242" s="248"/>
      <c r="CG242" s="258" t="e">
        <f>((((IF($Q$5=0,$Q$6,$Q$5)))/(12*$Q$19))+(((3*$Q$15)/(2*IF($Q$5=0,$Q$6,$Q$5)*$U$5*$Q$19))*'IN-OUT'!$F$15))*'Burland damage classification'!CK242</f>
        <v>#DIV/0!</v>
      </c>
      <c r="CH242" s="262">
        <f>(1+(((IF($Q$5=0,$Q$6^2,$Q$5^2))*$U$5)/(18*$Q$15))*('IN-OUT'!$F$15^(-1)))*CL242</f>
        <v>1.3750151514316702E-3</v>
      </c>
      <c r="CI242" s="254" t="e">
        <f t="shared" si="184"/>
        <v>#DIV/0!</v>
      </c>
      <c r="CJ242" s="254" t="e">
        <f t="shared" si="190"/>
        <v>#DIV/0!</v>
      </c>
      <c r="CK242" s="254">
        <f t="shared" si="196"/>
        <v>4.9333333333332252E-4</v>
      </c>
      <c r="CL242" s="270">
        <f t="shared" si="185"/>
        <v>1.3750151514316702E-3</v>
      </c>
      <c r="CM242" s="253">
        <f t="shared" si="197"/>
        <v>1.506666666666672E-3</v>
      </c>
      <c r="CN242" s="255">
        <f t="shared" si="191"/>
        <v>0.1506666666666672</v>
      </c>
      <c r="CS242" s="248"/>
      <c r="DQ242" s="258" t="e">
        <f>((((IF($R$5=0,$R$6,$R$5)))/(12*$R$19))+(((3*$R$15)/(2*IF($R$5=0,$R$6,$R$5)*$U$5*$R$19))*'IN-OUT'!$F$15))*'Burland damage classification'!DU242</f>
        <v>#DIV/0!</v>
      </c>
      <c r="DR242" s="262">
        <f>(1+(((IF($R$5=0,$R$6^2,$R$5^2))*$U$5)/(18*$R$15))*('IN-OUT'!$F$15^(-1)))*DV242</f>
        <v>1.3750151514316702E-3</v>
      </c>
      <c r="DS242" s="254" t="e">
        <f t="shared" si="186"/>
        <v>#DIV/0!</v>
      </c>
      <c r="DT242" s="254" t="e">
        <f t="shared" si="192"/>
        <v>#DIV/0!</v>
      </c>
      <c r="DU242" s="254">
        <f t="shared" si="198"/>
        <v>4.9333333333332252E-4</v>
      </c>
      <c r="DV242" s="270">
        <f t="shared" si="187"/>
        <v>1.3750151514316702E-3</v>
      </c>
      <c r="DW242" s="253">
        <f t="shared" si="199"/>
        <v>1.506666666666672E-3</v>
      </c>
      <c r="DX242" s="255">
        <f t="shared" si="193"/>
        <v>0.1506666666666672</v>
      </c>
    </row>
    <row r="243" spans="21:128">
      <c r="U243" s="262"/>
      <c r="AW243" s="258">
        <f>(((IF($P$5&lt;&gt;0,$P$5,IF($P$6&lt;&gt;0,$P$6,IF($P$7&lt;&gt;0,$P$7,0))))/(12*$P$19))+(((3*$P$15)/(2*(IF($P$5&lt;&gt;0,$P$5,IF($P$6&lt;&gt;0,$P$6,IF($P$7&lt;&gt;0,$P$7,0))))*$U$5*$P$19))*'IN-OUT'!$F$15))*'Burland damage classification'!BA243</f>
        <v>1.5622741079488016E-3</v>
      </c>
      <c r="AX243" s="254">
        <f>(1+(((IF($P$5&lt;&gt;0,$P$5^2,IF($P$6&lt;&gt;0,$P$6^2,IF($P$7&lt;&gt;0,$P$7^2))))*$U$5)/(18*$P$15))*('IN-OUT'!$F$15^(-1)))*BB243</f>
        <v>1.4489812746102968E-3</v>
      </c>
      <c r="AY243" s="254">
        <f t="shared" si="200"/>
        <v>1.4489812746102968E-3</v>
      </c>
      <c r="AZ243" s="254">
        <f t="shared" si="188"/>
        <v>0.14489812746102967</v>
      </c>
      <c r="BA243" s="254">
        <f t="shared" si="194"/>
        <v>4.8666666666665587E-4</v>
      </c>
      <c r="BB243" s="270">
        <f t="shared" si="183"/>
        <v>1.3716170505404654E-3</v>
      </c>
      <c r="BC243" s="253">
        <f t="shared" si="195"/>
        <v>1.5133333333333387E-3</v>
      </c>
      <c r="BD243" s="255">
        <f t="shared" si="189"/>
        <v>0.15133333333333387</v>
      </c>
      <c r="BI243" s="248"/>
      <c r="CG243" s="258" t="e">
        <f>((((IF($Q$5=0,$Q$6,$Q$5)))/(12*$Q$19))+(((3*$Q$15)/(2*IF($Q$5=0,$Q$6,$Q$5)*$U$5*$Q$19))*'IN-OUT'!$F$15))*'Burland damage classification'!CK243</f>
        <v>#DIV/0!</v>
      </c>
      <c r="CH243" s="262">
        <f>(1+(((IF($Q$5=0,$Q$6^2,$Q$5^2))*$U$5)/(18*$Q$15))*('IN-OUT'!$F$15^(-1)))*CL243</f>
        <v>1.3716170505404654E-3</v>
      </c>
      <c r="CI243" s="254" t="e">
        <f t="shared" si="184"/>
        <v>#DIV/0!</v>
      </c>
      <c r="CJ243" s="254" t="e">
        <f t="shared" si="190"/>
        <v>#DIV/0!</v>
      </c>
      <c r="CK243" s="254">
        <f t="shared" si="196"/>
        <v>4.8666666666665587E-4</v>
      </c>
      <c r="CL243" s="270">
        <f t="shared" si="185"/>
        <v>1.3716170505404654E-3</v>
      </c>
      <c r="CM243" s="253">
        <f t="shared" si="197"/>
        <v>1.5133333333333387E-3</v>
      </c>
      <c r="CN243" s="255">
        <f t="shared" si="191"/>
        <v>0.15133333333333387</v>
      </c>
      <c r="CS243" s="248"/>
      <c r="DQ243" s="258" t="e">
        <f>((((IF($R$5=0,$R$6,$R$5)))/(12*$R$19))+(((3*$R$15)/(2*IF($R$5=0,$R$6,$R$5)*$U$5*$R$19))*'IN-OUT'!$F$15))*'Burland damage classification'!DU243</f>
        <v>#DIV/0!</v>
      </c>
      <c r="DR243" s="262">
        <f>(1+(((IF($R$5=0,$R$6^2,$R$5^2))*$U$5)/(18*$R$15))*('IN-OUT'!$F$15^(-1)))*DV243</f>
        <v>1.3716170505404654E-3</v>
      </c>
      <c r="DS243" s="254" t="e">
        <f t="shared" si="186"/>
        <v>#DIV/0!</v>
      </c>
      <c r="DT243" s="254" t="e">
        <f t="shared" si="192"/>
        <v>#DIV/0!</v>
      </c>
      <c r="DU243" s="254">
        <f t="shared" si="198"/>
        <v>4.8666666666665587E-4</v>
      </c>
      <c r="DV243" s="270">
        <f t="shared" si="187"/>
        <v>1.3716170505404654E-3</v>
      </c>
      <c r="DW243" s="253">
        <f t="shared" si="199"/>
        <v>1.5133333333333387E-3</v>
      </c>
      <c r="DX243" s="255">
        <f t="shared" si="193"/>
        <v>0.15133333333333387</v>
      </c>
    </row>
    <row r="244" spans="21:128">
      <c r="U244" s="262"/>
      <c r="AW244" s="258">
        <f>(((IF($P$5&lt;&gt;0,$P$5,IF($P$6&lt;&gt;0,$P$6,IF($P$7&lt;&gt;0,$P$7,0))))/(12*$P$19))+(((3*$P$15)/(2*(IF($P$5&lt;&gt;0,$P$5,IF($P$6&lt;&gt;0,$P$6,IF($P$7&lt;&gt;0,$P$7,0))))*$U$5*$P$19))*'IN-OUT'!$F$15))*'Burland damage classification'!BA244</f>
        <v>1.5408730927714204E-3</v>
      </c>
      <c r="AX244" s="254">
        <f>(1+(((IF($P$5&lt;&gt;0,$P$5^2,IF($P$6&lt;&gt;0,$P$6^2,IF($P$7&lt;&gt;0,$P$7^2))))*$U$5)/(18*$P$15))*('IN-OUT'!$F$15^(-1)))*BB244</f>
        <v>1.4453825928353685E-3</v>
      </c>
      <c r="AY244" s="254">
        <f t="shared" si="200"/>
        <v>1.4453825928353685E-3</v>
      </c>
      <c r="AZ244" s="254">
        <f t="shared" si="188"/>
        <v>0.14453825928353686</v>
      </c>
      <c r="BA244" s="254">
        <f t="shared" si="194"/>
        <v>4.7999999999998922E-4</v>
      </c>
      <c r="BB244" s="270">
        <f t="shared" si="183"/>
        <v>1.3682105101189626E-3</v>
      </c>
      <c r="BC244" s="253">
        <f t="shared" si="195"/>
        <v>1.5200000000000055E-3</v>
      </c>
      <c r="BD244" s="255">
        <f t="shared" si="189"/>
        <v>0.15200000000000055</v>
      </c>
      <c r="BI244" s="248"/>
      <c r="CG244" s="258" t="e">
        <f>((((IF($Q$5=0,$Q$6,$Q$5)))/(12*$Q$19))+(((3*$Q$15)/(2*IF($Q$5=0,$Q$6,$Q$5)*$U$5*$Q$19))*'IN-OUT'!$F$15))*'Burland damage classification'!CK244</f>
        <v>#DIV/0!</v>
      </c>
      <c r="CH244" s="262">
        <f>(1+(((IF($Q$5=0,$Q$6^2,$Q$5^2))*$U$5)/(18*$Q$15))*('IN-OUT'!$F$15^(-1)))*CL244</f>
        <v>1.3682105101189626E-3</v>
      </c>
      <c r="CI244" s="254" t="e">
        <f t="shared" si="184"/>
        <v>#DIV/0!</v>
      </c>
      <c r="CJ244" s="254" t="e">
        <f t="shared" si="190"/>
        <v>#DIV/0!</v>
      </c>
      <c r="CK244" s="254">
        <f t="shared" si="196"/>
        <v>4.7999999999998922E-4</v>
      </c>
      <c r="CL244" s="270">
        <f t="shared" si="185"/>
        <v>1.3682105101189626E-3</v>
      </c>
      <c r="CM244" s="253">
        <f t="shared" si="197"/>
        <v>1.5200000000000055E-3</v>
      </c>
      <c r="CN244" s="255">
        <f t="shared" si="191"/>
        <v>0.15200000000000055</v>
      </c>
      <c r="CS244" s="248"/>
      <c r="DQ244" s="258" t="e">
        <f>((((IF($R$5=0,$R$6,$R$5)))/(12*$R$19))+(((3*$R$15)/(2*IF($R$5=0,$R$6,$R$5)*$U$5*$R$19))*'IN-OUT'!$F$15))*'Burland damage classification'!DU244</f>
        <v>#DIV/0!</v>
      </c>
      <c r="DR244" s="262">
        <f>(1+(((IF($R$5=0,$R$6^2,$R$5^2))*$U$5)/(18*$R$15))*('IN-OUT'!$F$15^(-1)))*DV244</f>
        <v>1.3682105101189626E-3</v>
      </c>
      <c r="DS244" s="254" t="e">
        <f t="shared" si="186"/>
        <v>#DIV/0!</v>
      </c>
      <c r="DT244" s="254" t="e">
        <f t="shared" si="192"/>
        <v>#DIV/0!</v>
      </c>
      <c r="DU244" s="254">
        <f t="shared" si="198"/>
        <v>4.7999999999998922E-4</v>
      </c>
      <c r="DV244" s="270">
        <f t="shared" si="187"/>
        <v>1.3682105101189626E-3</v>
      </c>
      <c r="DW244" s="253">
        <f t="shared" si="199"/>
        <v>1.5200000000000055E-3</v>
      </c>
      <c r="DX244" s="255">
        <f t="shared" si="193"/>
        <v>0.15200000000000055</v>
      </c>
    </row>
    <row r="245" spans="21:128">
      <c r="U245" s="262"/>
      <c r="AW245" s="258">
        <f>(((IF($P$5&lt;&gt;0,$P$5,IF($P$6&lt;&gt;0,$P$6,IF($P$7&lt;&gt;0,$P$7,0))))/(12*$P$19))+(((3*$P$15)/(2*(IF($P$5&lt;&gt;0,$P$5,IF($P$6&lt;&gt;0,$P$6,IF($P$7&lt;&gt;0,$P$7,0))))*$U$5*$P$19))*'IN-OUT'!$F$15))*'Burland damage classification'!BA245</f>
        <v>1.5194720775940391E-3</v>
      </c>
      <c r="AX245" s="254">
        <f>(1+(((IF($P$5&lt;&gt;0,$P$5^2,IF($P$6&lt;&gt;0,$P$6^2,IF($P$7&lt;&gt;0,$P$7^2))))*$U$5)/(18*$P$15))*('IN-OUT'!$F$15^(-1)))*BB245</f>
        <v>1.4417749287498746E-3</v>
      </c>
      <c r="AY245" s="254">
        <f t="shared" si="200"/>
        <v>1.4417749287498746E-3</v>
      </c>
      <c r="AZ245" s="254">
        <f t="shared" si="188"/>
        <v>0.14417749287498746</v>
      </c>
      <c r="BA245" s="254">
        <f t="shared" si="194"/>
        <v>4.7333333333332258E-4</v>
      </c>
      <c r="BB245" s="270">
        <f t="shared" si="183"/>
        <v>1.3647954669717577E-3</v>
      </c>
      <c r="BC245" s="253">
        <f t="shared" si="195"/>
        <v>1.5266666666666723E-3</v>
      </c>
      <c r="BD245" s="255">
        <f t="shared" si="189"/>
        <v>0.15266666666666723</v>
      </c>
      <c r="BI245" s="248"/>
      <c r="CG245" s="258" t="e">
        <f>((((IF($Q$5=0,$Q$6,$Q$5)))/(12*$Q$19))+(((3*$Q$15)/(2*IF($Q$5=0,$Q$6,$Q$5)*$U$5*$Q$19))*'IN-OUT'!$F$15))*'Burland damage classification'!CK245</f>
        <v>#DIV/0!</v>
      </c>
      <c r="CH245" s="262">
        <f>(1+(((IF($Q$5=0,$Q$6^2,$Q$5^2))*$U$5)/(18*$Q$15))*('IN-OUT'!$F$15^(-1)))*CL245</f>
        <v>1.3647954669717577E-3</v>
      </c>
      <c r="CI245" s="254" t="e">
        <f t="shared" si="184"/>
        <v>#DIV/0!</v>
      </c>
      <c r="CJ245" s="254" t="e">
        <f t="shared" si="190"/>
        <v>#DIV/0!</v>
      </c>
      <c r="CK245" s="254">
        <f t="shared" si="196"/>
        <v>4.7333333333332258E-4</v>
      </c>
      <c r="CL245" s="270">
        <f t="shared" si="185"/>
        <v>1.3647954669717577E-3</v>
      </c>
      <c r="CM245" s="253">
        <f t="shared" si="197"/>
        <v>1.5266666666666723E-3</v>
      </c>
      <c r="CN245" s="255">
        <f t="shared" si="191"/>
        <v>0.15266666666666723</v>
      </c>
      <c r="CS245" s="248"/>
      <c r="DQ245" s="258" t="e">
        <f>((((IF($R$5=0,$R$6,$R$5)))/(12*$R$19))+(((3*$R$15)/(2*IF($R$5=0,$R$6,$R$5)*$U$5*$R$19))*'IN-OUT'!$F$15))*'Burland damage classification'!DU245</f>
        <v>#DIV/0!</v>
      </c>
      <c r="DR245" s="262">
        <f>(1+(((IF($R$5=0,$R$6^2,$R$5^2))*$U$5)/(18*$R$15))*('IN-OUT'!$F$15^(-1)))*DV245</f>
        <v>1.3647954669717577E-3</v>
      </c>
      <c r="DS245" s="254" t="e">
        <f t="shared" si="186"/>
        <v>#DIV/0!</v>
      </c>
      <c r="DT245" s="254" t="e">
        <f t="shared" si="192"/>
        <v>#DIV/0!</v>
      </c>
      <c r="DU245" s="254">
        <f t="shared" si="198"/>
        <v>4.7333333333332258E-4</v>
      </c>
      <c r="DV245" s="270">
        <f t="shared" si="187"/>
        <v>1.3647954669717577E-3</v>
      </c>
      <c r="DW245" s="253">
        <f t="shared" si="199"/>
        <v>1.5266666666666723E-3</v>
      </c>
      <c r="DX245" s="255">
        <f t="shared" si="193"/>
        <v>0.15266666666666723</v>
      </c>
    </row>
    <row r="246" spans="21:128">
      <c r="U246" s="262"/>
      <c r="AW246" s="258">
        <f>(((IF($P$5&lt;&gt;0,$P$5,IF($P$6&lt;&gt;0,$P$6,IF($P$7&lt;&gt;0,$P$7,0))))/(12*$P$19))+(((3*$P$15)/(2*(IF($P$5&lt;&gt;0,$P$5,IF($P$6&lt;&gt;0,$P$6,IF($P$7&lt;&gt;0,$P$7,0))))*$U$5*$P$19))*'IN-OUT'!$F$15))*'Burland damage classification'!BA246</f>
        <v>1.4980710624166579E-3</v>
      </c>
      <c r="AX246" s="254">
        <f>(1+(((IF($P$5&lt;&gt;0,$P$5^2,IF($P$6&lt;&gt;0,$P$6^2,IF($P$7&lt;&gt;0,$P$7^2))))*$U$5)/(18*$P$15))*('IN-OUT'!$F$15^(-1)))*BB246</f>
        <v>1.43815821475661E-3</v>
      </c>
      <c r="AY246" s="254">
        <f t="shared" si="200"/>
        <v>1.43815821475661E-3</v>
      </c>
      <c r="AZ246" s="254">
        <f t="shared" si="188"/>
        <v>0.14381582147566099</v>
      </c>
      <c r="BA246" s="254">
        <f t="shared" si="194"/>
        <v>4.6666666666665593E-4</v>
      </c>
      <c r="BB246" s="270">
        <f t="shared" si="183"/>
        <v>1.361371857110806E-3</v>
      </c>
      <c r="BC246" s="253">
        <f t="shared" si="195"/>
        <v>1.533333333333339E-3</v>
      </c>
      <c r="BD246" s="255">
        <f t="shared" si="189"/>
        <v>0.1533333333333339</v>
      </c>
      <c r="BI246" s="248"/>
      <c r="CG246" s="258" t="e">
        <f>((((IF($Q$5=0,$Q$6,$Q$5)))/(12*$Q$19))+(((3*$Q$15)/(2*IF($Q$5=0,$Q$6,$Q$5)*$U$5*$Q$19))*'IN-OUT'!$F$15))*'Burland damage classification'!CK246</f>
        <v>#DIV/0!</v>
      </c>
      <c r="CH246" s="262">
        <f>(1+(((IF($Q$5=0,$Q$6^2,$Q$5^2))*$U$5)/(18*$Q$15))*('IN-OUT'!$F$15^(-1)))*CL246</f>
        <v>1.361371857110806E-3</v>
      </c>
      <c r="CI246" s="254" t="e">
        <f t="shared" si="184"/>
        <v>#DIV/0!</v>
      </c>
      <c r="CJ246" s="254" t="e">
        <f t="shared" si="190"/>
        <v>#DIV/0!</v>
      </c>
      <c r="CK246" s="254">
        <f t="shared" si="196"/>
        <v>4.6666666666665593E-4</v>
      </c>
      <c r="CL246" s="270">
        <f t="shared" si="185"/>
        <v>1.361371857110806E-3</v>
      </c>
      <c r="CM246" s="253">
        <f t="shared" si="197"/>
        <v>1.533333333333339E-3</v>
      </c>
      <c r="CN246" s="255">
        <f t="shared" si="191"/>
        <v>0.1533333333333339</v>
      </c>
      <c r="CS246" s="248"/>
      <c r="DQ246" s="258" t="e">
        <f>((((IF($R$5=0,$R$6,$R$5)))/(12*$R$19))+(((3*$R$15)/(2*IF($R$5=0,$R$6,$R$5)*$U$5*$R$19))*'IN-OUT'!$F$15))*'Burland damage classification'!DU246</f>
        <v>#DIV/0!</v>
      </c>
      <c r="DR246" s="262">
        <f>(1+(((IF($R$5=0,$R$6^2,$R$5^2))*$U$5)/(18*$R$15))*('IN-OUT'!$F$15^(-1)))*DV246</f>
        <v>1.361371857110806E-3</v>
      </c>
      <c r="DS246" s="254" t="e">
        <f t="shared" si="186"/>
        <v>#DIV/0!</v>
      </c>
      <c r="DT246" s="254" t="e">
        <f t="shared" si="192"/>
        <v>#DIV/0!</v>
      </c>
      <c r="DU246" s="254">
        <f t="shared" si="198"/>
        <v>4.6666666666665593E-4</v>
      </c>
      <c r="DV246" s="270">
        <f t="shared" si="187"/>
        <v>1.361371857110806E-3</v>
      </c>
      <c r="DW246" s="253">
        <f t="shared" si="199"/>
        <v>1.533333333333339E-3</v>
      </c>
      <c r="DX246" s="255">
        <f t="shared" si="193"/>
        <v>0.1533333333333339</v>
      </c>
    </row>
    <row r="247" spans="21:128">
      <c r="U247" s="262"/>
      <c r="AW247" s="258">
        <f>(((IF($P$5&lt;&gt;0,$P$5,IF($P$6&lt;&gt;0,$P$6,IF($P$7&lt;&gt;0,$P$7,0))))/(12*$P$19))+(((3*$P$15)/(2*(IF($P$5&lt;&gt;0,$P$5,IF($P$6&lt;&gt;0,$P$6,IF($P$7&lt;&gt;0,$P$7,0))))*$U$5*$P$19))*'IN-OUT'!$F$15))*'Burland damage classification'!BA247</f>
        <v>1.4766700472392765E-3</v>
      </c>
      <c r="AX247" s="254">
        <f>(1+(((IF($P$5&lt;&gt;0,$P$5^2,IF($P$6&lt;&gt;0,$P$6^2,IF($P$7&lt;&gt;0,$P$7^2))))*$U$5)/(18*$P$15))*('IN-OUT'!$F$15^(-1)))*BB247</f>
        <v>1.4345323824062435E-3</v>
      </c>
      <c r="AY247" s="254">
        <f t="shared" si="200"/>
        <v>1.4345323824062435E-3</v>
      </c>
      <c r="AZ247" s="254">
        <f t="shared" si="188"/>
        <v>0.14345323824062434</v>
      </c>
      <c r="BA247" s="254">
        <f t="shared" si="194"/>
        <v>4.5999999999998928E-4</v>
      </c>
      <c r="BB247" s="270">
        <f t="shared" si="183"/>
        <v>1.3579396157414334E-3</v>
      </c>
      <c r="BC247" s="253">
        <f t="shared" si="195"/>
        <v>1.5400000000000058E-3</v>
      </c>
      <c r="BD247" s="255">
        <f t="shared" si="189"/>
        <v>0.15400000000000058</v>
      </c>
      <c r="BI247" s="248"/>
      <c r="CG247" s="258" t="e">
        <f>((((IF($Q$5=0,$Q$6,$Q$5)))/(12*$Q$19))+(((3*$Q$15)/(2*IF($Q$5=0,$Q$6,$Q$5)*$U$5*$Q$19))*'IN-OUT'!$F$15))*'Burland damage classification'!CK247</f>
        <v>#DIV/0!</v>
      </c>
      <c r="CH247" s="262">
        <f>(1+(((IF($Q$5=0,$Q$6^2,$Q$5^2))*$U$5)/(18*$Q$15))*('IN-OUT'!$F$15^(-1)))*CL247</f>
        <v>1.3579396157414334E-3</v>
      </c>
      <c r="CI247" s="254" t="e">
        <f t="shared" si="184"/>
        <v>#DIV/0!</v>
      </c>
      <c r="CJ247" s="254" t="e">
        <f t="shared" si="190"/>
        <v>#DIV/0!</v>
      </c>
      <c r="CK247" s="254">
        <f t="shared" si="196"/>
        <v>4.5999999999998928E-4</v>
      </c>
      <c r="CL247" s="270">
        <f t="shared" si="185"/>
        <v>1.3579396157414334E-3</v>
      </c>
      <c r="CM247" s="253">
        <f t="shared" si="197"/>
        <v>1.5400000000000058E-3</v>
      </c>
      <c r="CN247" s="255">
        <f t="shared" si="191"/>
        <v>0.15400000000000058</v>
      </c>
      <c r="CS247" s="248"/>
      <c r="DQ247" s="258" t="e">
        <f>((((IF($R$5=0,$R$6,$R$5)))/(12*$R$19))+(((3*$R$15)/(2*IF($R$5=0,$R$6,$R$5)*$U$5*$R$19))*'IN-OUT'!$F$15))*'Burland damage classification'!DU247</f>
        <v>#DIV/0!</v>
      </c>
      <c r="DR247" s="262">
        <f>(1+(((IF($R$5=0,$R$6^2,$R$5^2))*$U$5)/(18*$R$15))*('IN-OUT'!$F$15^(-1)))*DV247</f>
        <v>1.3579396157414334E-3</v>
      </c>
      <c r="DS247" s="254" t="e">
        <f t="shared" si="186"/>
        <v>#DIV/0!</v>
      </c>
      <c r="DT247" s="254" t="e">
        <f t="shared" si="192"/>
        <v>#DIV/0!</v>
      </c>
      <c r="DU247" s="254">
        <f t="shared" si="198"/>
        <v>4.5999999999998928E-4</v>
      </c>
      <c r="DV247" s="270">
        <f t="shared" si="187"/>
        <v>1.3579396157414334E-3</v>
      </c>
      <c r="DW247" s="253">
        <f t="shared" si="199"/>
        <v>1.5400000000000058E-3</v>
      </c>
      <c r="DX247" s="255">
        <f t="shared" si="193"/>
        <v>0.15400000000000058</v>
      </c>
    </row>
    <row r="248" spans="21:128">
      <c r="U248" s="262"/>
      <c r="AW248" s="258">
        <f>(((IF($P$5&lt;&gt;0,$P$5,IF($P$6&lt;&gt;0,$P$6,IF($P$7&lt;&gt;0,$P$7,0))))/(12*$P$19))+(((3*$P$15)/(2*(IF($P$5&lt;&gt;0,$P$5,IF($P$6&lt;&gt;0,$P$6,IF($P$7&lt;&gt;0,$P$7,0))))*$U$5*$P$19))*'IN-OUT'!$F$15))*'Burland damage classification'!BA248</f>
        <v>1.4552690320618954E-3</v>
      </c>
      <c r="AX248" s="254">
        <f>(1+(((IF($P$5&lt;&gt;0,$P$5^2,IF($P$6&lt;&gt;0,$P$6^2,IF($P$7&lt;&gt;0,$P$7^2))))*$U$5)/(18*$P$15))*('IN-OUT'!$F$15^(-1)))*BB248</f>
        <v>1.430897362382203E-3</v>
      </c>
      <c r="AY248" s="254">
        <f t="shared" si="200"/>
        <v>1.430897362382203E-3</v>
      </c>
      <c r="AZ248" s="254">
        <f t="shared" si="188"/>
        <v>0.1430897362382203</v>
      </c>
      <c r="BA248" s="254">
        <f t="shared" si="194"/>
        <v>4.5333333333332263E-4</v>
      </c>
      <c r="BB248" s="270">
        <f t="shared" si="183"/>
        <v>1.3544986772480283E-3</v>
      </c>
      <c r="BC248" s="253">
        <f t="shared" si="195"/>
        <v>1.5466666666666725E-3</v>
      </c>
      <c r="BD248" s="255">
        <f t="shared" si="189"/>
        <v>0.15466666666666726</v>
      </c>
      <c r="BI248" s="248"/>
      <c r="CG248" s="258" t="e">
        <f>((((IF($Q$5=0,$Q$6,$Q$5)))/(12*$Q$19))+(((3*$Q$15)/(2*IF($Q$5=0,$Q$6,$Q$5)*$U$5*$Q$19))*'IN-OUT'!$F$15))*'Burland damage classification'!CK248</f>
        <v>#DIV/0!</v>
      </c>
      <c r="CH248" s="262">
        <f>(1+(((IF($Q$5=0,$Q$6^2,$Q$5^2))*$U$5)/(18*$Q$15))*('IN-OUT'!$F$15^(-1)))*CL248</f>
        <v>1.3544986772480283E-3</v>
      </c>
      <c r="CI248" s="254" t="e">
        <f t="shared" si="184"/>
        <v>#DIV/0!</v>
      </c>
      <c r="CJ248" s="254" t="e">
        <f t="shared" si="190"/>
        <v>#DIV/0!</v>
      </c>
      <c r="CK248" s="254">
        <f t="shared" si="196"/>
        <v>4.5333333333332263E-4</v>
      </c>
      <c r="CL248" s="270">
        <f t="shared" si="185"/>
        <v>1.3544986772480283E-3</v>
      </c>
      <c r="CM248" s="253">
        <f t="shared" si="197"/>
        <v>1.5466666666666725E-3</v>
      </c>
      <c r="CN248" s="255">
        <f t="shared" si="191"/>
        <v>0.15466666666666726</v>
      </c>
      <c r="CS248" s="248"/>
      <c r="DQ248" s="258" t="e">
        <f>((((IF($R$5=0,$R$6,$R$5)))/(12*$R$19))+(((3*$R$15)/(2*IF($R$5=0,$R$6,$R$5)*$U$5*$R$19))*'IN-OUT'!$F$15))*'Burland damage classification'!DU248</f>
        <v>#DIV/0!</v>
      </c>
      <c r="DR248" s="262">
        <f>(1+(((IF($R$5=0,$R$6^2,$R$5^2))*$U$5)/(18*$R$15))*('IN-OUT'!$F$15^(-1)))*DV248</f>
        <v>1.3544986772480283E-3</v>
      </c>
      <c r="DS248" s="254" t="e">
        <f t="shared" si="186"/>
        <v>#DIV/0!</v>
      </c>
      <c r="DT248" s="254" t="e">
        <f t="shared" si="192"/>
        <v>#DIV/0!</v>
      </c>
      <c r="DU248" s="254">
        <f t="shared" si="198"/>
        <v>4.5333333333332263E-4</v>
      </c>
      <c r="DV248" s="270">
        <f t="shared" si="187"/>
        <v>1.3544986772480283E-3</v>
      </c>
      <c r="DW248" s="253">
        <f t="shared" si="199"/>
        <v>1.5466666666666725E-3</v>
      </c>
      <c r="DX248" s="255">
        <f t="shared" si="193"/>
        <v>0.15466666666666726</v>
      </c>
    </row>
    <row r="249" spans="21:128">
      <c r="U249" s="262"/>
      <c r="AW249" s="258">
        <f>(((IF($P$5&lt;&gt;0,$P$5,IF($P$6&lt;&gt;0,$P$6,IF($P$7&lt;&gt;0,$P$7,0))))/(12*$P$19))+(((3*$P$15)/(2*(IF($P$5&lt;&gt;0,$P$5,IF($P$6&lt;&gt;0,$P$6,IF($P$7&lt;&gt;0,$P$7,0))))*$U$5*$P$19))*'IN-OUT'!$F$15))*'Burland damage classification'!BA249</f>
        <v>1.4338680168845142E-3</v>
      </c>
      <c r="AX249" s="254">
        <f>(1+(((IF($P$5&lt;&gt;0,$P$5^2,IF($P$6&lt;&gt;0,$P$6^2,IF($P$7&lt;&gt;0,$P$7^2))))*$U$5)/(18*$P$15))*('IN-OUT'!$F$15^(-1)))*BB249</f>
        <v>1.4272530844852145E-3</v>
      </c>
      <c r="AY249" s="254">
        <f t="shared" si="200"/>
        <v>1.4272530844852145E-3</v>
      </c>
      <c r="AZ249" s="254">
        <f t="shared" si="188"/>
        <v>0.14272530844852144</v>
      </c>
      <c r="BA249" s="254">
        <f t="shared" si="194"/>
        <v>4.4666666666665598E-4</v>
      </c>
      <c r="BB249" s="270">
        <f t="shared" si="183"/>
        <v>1.3510489751794065E-3</v>
      </c>
      <c r="BC249" s="253">
        <f t="shared" si="195"/>
        <v>1.5533333333333393E-3</v>
      </c>
      <c r="BD249" s="255">
        <f t="shared" si="189"/>
        <v>0.15533333333333393</v>
      </c>
      <c r="BI249" s="248"/>
      <c r="CG249" s="258" t="e">
        <f>((((IF($Q$5=0,$Q$6,$Q$5)))/(12*$Q$19))+(((3*$Q$15)/(2*IF($Q$5=0,$Q$6,$Q$5)*$U$5*$Q$19))*'IN-OUT'!$F$15))*'Burland damage classification'!CK249</f>
        <v>#DIV/0!</v>
      </c>
      <c r="CH249" s="262">
        <f>(1+(((IF($Q$5=0,$Q$6^2,$Q$5^2))*$U$5)/(18*$Q$15))*('IN-OUT'!$F$15^(-1)))*CL249</f>
        <v>1.3510489751794065E-3</v>
      </c>
      <c r="CI249" s="254" t="e">
        <f t="shared" si="184"/>
        <v>#DIV/0!</v>
      </c>
      <c r="CJ249" s="254" t="e">
        <f t="shared" si="190"/>
        <v>#DIV/0!</v>
      </c>
      <c r="CK249" s="254">
        <f t="shared" si="196"/>
        <v>4.4666666666665598E-4</v>
      </c>
      <c r="CL249" s="270">
        <f t="shared" si="185"/>
        <v>1.3510489751794065E-3</v>
      </c>
      <c r="CM249" s="253">
        <f t="shared" si="197"/>
        <v>1.5533333333333393E-3</v>
      </c>
      <c r="CN249" s="255">
        <f t="shared" si="191"/>
        <v>0.15533333333333393</v>
      </c>
      <c r="CS249" s="248"/>
      <c r="DQ249" s="258" t="e">
        <f>((((IF($R$5=0,$R$6,$R$5)))/(12*$R$19))+(((3*$R$15)/(2*IF($R$5=0,$R$6,$R$5)*$U$5*$R$19))*'IN-OUT'!$F$15))*'Burland damage classification'!DU249</f>
        <v>#DIV/0!</v>
      </c>
      <c r="DR249" s="262">
        <f>(1+(((IF($R$5=0,$R$6^2,$R$5^2))*$U$5)/(18*$R$15))*('IN-OUT'!$F$15^(-1)))*DV249</f>
        <v>1.3510489751794065E-3</v>
      </c>
      <c r="DS249" s="254" t="e">
        <f t="shared" si="186"/>
        <v>#DIV/0!</v>
      </c>
      <c r="DT249" s="254" t="e">
        <f t="shared" si="192"/>
        <v>#DIV/0!</v>
      </c>
      <c r="DU249" s="254">
        <f t="shared" si="198"/>
        <v>4.4666666666665598E-4</v>
      </c>
      <c r="DV249" s="270">
        <f t="shared" si="187"/>
        <v>1.3510489751794065E-3</v>
      </c>
      <c r="DW249" s="253">
        <f t="shared" si="199"/>
        <v>1.5533333333333393E-3</v>
      </c>
      <c r="DX249" s="255">
        <f t="shared" si="193"/>
        <v>0.15533333333333393</v>
      </c>
    </row>
    <row r="250" spans="21:128">
      <c r="U250" s="262"/>
      <c r="AW250" s="258">
        <f>(((IF($P$5&lt;&gt;0,$P$5,IF($P$6&lt;&gt;0,$P$6,IF($P$7&lt;&gt;0,$P$7,0))))/(12*$P$19))+(((3*$P$15)/(2*(IF($P$5&lt;&gt;0,$P$5,IF($P$6&lt;&gt;0,$P$6,IF($P$7&lt;&gt;0,$P$7,0))))*$U$5*$P$19))*'IN-OUT'!$F$15))*'Burland damage classification'!BA250</f>
        <v>1.4124670017071328E-3</v>
      </c>
      <c r="AX250" s="254">
        <f>(1+(((IF($P$5&lt;&gt;0,$P$5^2,IF($P$6&lt;&gt;0,$P$6^2,IF($P$7&lt;&gt;0,$P$7^2))))*$U$5)/(18*$P$15))*('IN-OUT'!$F$15^(-1)))*BB250</f>
        <v>1.4235994776174838E-3</v>
      </c>
      <c r="AY250" s="254">
        <f t="shared" si="200"/>
        <v>1.4124670017071328E-3</v>
      </c>
      <c r="AZ250" s="254">
        <f t="shared" si="188"/>
        <v>0.14124670017071328</v>
      </c>
      <c r="BA250" s="254">
        <f t="shared" si="194"/>
        <v>4.3999999999998934E-4</v>
      </c>
      <c r="BB250" s="270">
        <f t="shared" si="183"/>
        <v>1.3475904422338382E-3</v>
      </c>
      <c r="BC250" s="253">
        <f t="shared" si="195"/>
        <v>1.560000000000006E-3</v>
      </c>
      <c r="BD250" s="255">
        <f t="shared" si="189"/>
        <v>0.15600000000000061</v>
      </c>
      <c r="BI250" s="248"/>
      <c r="CG250" s="258" t="e">
        <f>((((IF($Q$5=0,$Q$6,$Q$5)))/(12*$Q$19))+(((3*$Q$15)/(2*IF($Q$5=0,$Q$6,$Q$5)*$U$5*$Q$19))*'IN-OUT'!$F$15))*'Burland damage classification'!CK250</f>
        <v>#DIV/0!</v>
      </c>
      <c r="CH250" s="262">
        <f>(1+(((IF($Q$5=0,$Q$6^2,$Q$5^2))*$U$5)/(18*$Q$15))*('IN-OUT'!$F$15^(-1)))*CL250</f>
        <v>1.3475904422338382E-3</v>
      </c>
      <c r="CI250" s="254" t="e">
        <f t="shared" si="184"/>
        <v>#DIV/0!</v>
      </c>
      <c r="CJ250" s="254" t="e">
        <f t="shared" si="190"/>
        <v>#DIV/0!</v>
      </c>
      <c r="CK250" s="254">
        <f t="shared" si="196"/>
        <v>4.3999999999998934E-4</v>
      </c>
      <c r="CL250" s="270">
        <f t="shared" si="185"/>
        <v>1.3475904422338382E-3</v>
      </c>
      <c r="CM250" s="253">
        <f t="shared" si="197"/>
        <v>1.560000000000006E-3</v>
      </c>
      <c r="CN250" s="255">
        <f t="shared" si="191"/>
        <v>0.15600000000000061</v>
      </c>
      <c r="CS250" s="248"/>
      <c r="DQ250" s="258" t="e">
        <f>((((IF($R$5=0,$R$6,$R$5)))/(12*$R$19))+(((3*$R$15)/(2*IF($R$5=0,$R$6,$R$5)*$U$5*$R$19))*'IN-OUT'!$F$15))*'Burland damage classification'!DU250</f>
        <v>#DIV/0!</v>
      </c>
      <c r="DR250" s="262">
        <f>(1+(((IF($R$5=0,$R$6^2,$R$5^2))*$U$5)/(18*$R$15))*('IN-OUT'!$F$15^(-1)))*DV250</f>
        <v>1.3475904422338382E-3</v>
      </c>
      <c r="DS250" s="254" t="e">
        <f t="shared" si="186"/>
        <v>#DIV/0!</v>
      </c>
      <c r="DT250" s="254" t="e">
        <f t="shared" si="192"/>
        <v>#DIV/0!</v>
      </c>
      <c r="DU250" s="254">
        <f t="shared" si="198"/>
        <v>4.3999999999998934E-4</v>
      </c>
      <c r="DV250" s="270">
        <f t="shared" si="187"/>
        <v>1.3475904422338382E-3</v>
      </c>
      <c r="DW250" s="253">
        <f t="shared" si="199"/>
        <v>1.560000000000006E-3</v>
      </c>
      <c r="DX250" s="255">
        <f t="shared" si="193"/>
        <v>0.15600000000000061</v>
      </c>
    </row>
    <row r="251" spans="21:128">
      <c r="U251" s="262"/>
      <c r="AW251" s="258">
        <f>(((IF($P$5&lt;&gt;0,$P$5,IF($P$6&lt;&gt;0,$P$6,IF($P$7&lt;&gt;0,$P$7,0))))/(12*$P$19))+(((3*$P$15)/(2*(IF($P$5&lt;&gt;0,$P$5,IF($P$6&lt;&gt;0,$P$6,IF($P$7&lt;&gt;0,$P$7,0))))*$U$5*$P$19))*'IN-OUT'!$F$15))*'Burland damage classification'!BA251</f>
        <v>1.3910659865297517E-3</v>
      </c>
      <c r="AX251" s="254">
        <f>(1+(((IF($P$5&lt;&gt;0,$P$5^2,IF($P$6&lt;&gt;0,$P$6^2,IF($P$7&lt;&gt;0,$P$7^2))))*$U$5)/(18*$P$15))*('IN-OUT'!$F$15^(-1)))*BB251</f>
        <v>1.4199364697665123E-3</v>
      </c>
      <c r="AY251" s="254">
        <f t="shared" si="200"/>
        <v>1.3910659865297517E-3</v>
      </c>
      <c r="AZ251" s="254">
        <f t="shared" si="188"/>
        <v>0.13910659865297517</v>
      </c>
      <c r="BA251" s="254">
        <f t="shared" si="194"/>
        <v>4.3333333333332269E-4</v>
      </c>
      <c r="BB251" s="270">
        <f t="shared" si="183"/>
        <v>1.3441230102437269E-3</v>
      </c>
      <c r="BC251" s="253">
        <f t="shared" si="195"/>
        <v>1.5666666666666728E-3</v>
      </c>
      <c r="BD251" s="255">
        <f t="shared" si="189"/>
        <v>0.15666666666666729</v>
      </c>
      <c r="BI251" s="248"/>
      <c r="CG251" s="258" t="e">
        <f>((((IF($Q$5=0,$Q$6,$Q$5)))/(12*$Q$19))+(((3*$Q$15)/(2*IF($Q$5=0,$Q$6,$Q$5)*$U$5*$Q$19))*'IN-OUT'!$F$15))*'Burland damage classification'!CK251</f>
        <v>#DIV/0!</v>
      </c>
      <c r="CH251" s="262">
        <f>(1+(((IF($Q$5=0,$Q$6^2,$Q$5^2))*$U$5)/(18*$Q$15))*('IN-OUT'!$F$15^(-1)))*CL251</f>
        <v>1.3441230102437269E-3</v>
      </c>
      <c r="CI251" s="254" t="e">
        <f t="shared" si="184"/>
        <v>#DIV/0!</v>
      </c>
      <c r="CJ251" s="254" t="e">
        <f t="shared" si="190"/>
        <v>#DIV/0!</v>
      </c>
      <c r="CK251" s="254">
        <f t="shared" si="196"/>
        <v>4.3333333333332269E-4</v>
      </c>
      <c r="CL251" s="270">
        <f t="shared" si="185"/>
        <v>1.3441230102437269E-3</v>
      </c>
      <c r="CM251" s="253">
        <f t="shared" si="197"/>
        <v>1.5666666666666728E-3</v>
      </c>
      <c r="CN251" s="255">
        <f t="shared" si="191"/>
        <v>0.15666666666666729</v>
      </c>
      <c r="CS251" s="248"/>
      <c r="DQ251" s="258" t="e">
        <f>((((IF($R$5=0,$R$6,$R$5)))/(12*$R$19))+(((3*$R$15)/(2*IF($R$5=0,$R$6,$R$5)*$U$5*$R$19))*'IN-OUT'!$F$15))*'Burland damage classification'!DU251</f>
        <v>#DIV/0!</v>
      </c>
      <c r="DR251" s="262">
        <f>(1+(((IF($R$5=0,$R$6^2,$R$5^2))*$U$5)/(18*$R$15))*('IN-OUT'!$F$15^(-1)))*DV251</f>
        <v>1.3441230102437269E-3</v>
      </c>
      <c r="DS251" s="254" t="e">
        <f t="shared" si="186"/>
        <v>#DIV/0!</v>
      </c>
      <c r="DT251" s="254" t="e">
        <f t="shared" si="192"/>
        <v>#DIV/0!</v>
      </c>
      <c r="DU251" s="254">
        <f t="shared" si="198"/>
        <v>4.3333333333332269E-4</v>
      </c>
      <c r="DV251" s="270">
        <f t="shared" si="187"/>
        <v>1.3441230102437269E-3</v>
      </c>
      <c r="DW251" s="253">
        <f t="shared" si="199"/>
        <v>1.5666666666666728E-3</v>
      </c>
      <c r="DX251" s="255">
        <f t="shared" si="193"/>
        <v>0.15666666666666729</v>
      </c>
    </row>
    <row r="252" spans="21:128">
      <c r="U252" s="262"/>
      <c r="AW252" s="258">
        <f>(((IF($P$5&lt;&gt;0,$P$5,IF($P$6&lt;&gt;0,$P$6,IF($P$7&lt;&gt;0,$P$7,0))))/(12*$P$19))+(((3*$P$15)/(2*(IF($P$5&lt;&gt;0,$P$5,IF($P$6&lt;&gt;0,$P$6,IF($P$7&lt;&gt;0,$P$7,0))))*$U$5*$P$19))*'IN-OUT'!$F$15))*'Burland damage classification'!BA252</f>
        <v>1.3696649713523703E-3</v>
      </c>
      <c r="AX252" s="254">
        <f>(1+(((IF($P$5&lt;&gt;0,$P$5^2,IF($P$6&lt;&gt;0,$P$6^2,IF($P$7&lt;&gt;0,$P$7^2))))*$U$5)/(18*$P$15))*('IN-OUT'!$F$15^(-1)))*BB252</f>
        <v>1.4162639879885385E-3</v>
      </c>
      <c r="AY252" s="254">
        <f t="shared" si="200"/>
        <v>1.3696649713523703E-3</v>
      </c>
      <c r="AZ252" s="254">
        <f t="shared" si="188"/>
        <v>0.13696649713523704</v>
      </c>
      <c r="BA252" s="254">
        <f t="shared" si="194"/>
        <v>4.2666666666665604E-4</v>
      </c>
      <c r="BB252" s="270">
        <f t="shared" si="183"/>
        <v>1.340646610159935E-3</v>
      </c>
      <c r="BC252" s="253">
        <f t="shared" si="195"/>
        <v>1.5733333333333396E-3</v>
      </c>
      <c r="BD252" s="255">
        <f t="shared" si="189"/>
        <v>0.15733333333333396</v>
      </c>
      <c r="BI252" s="248"/>
      <c r="CG252" s="258" t="e">
        <f>((((IF($Q$5=0,$Q$6,$Q$5)))/(12*$Q$19))+(((3*$Q$15)/(2*IF($Q$5=0,$Q$6,$Q$5)*$U$5*$Q$19))*'IN-OUT'!$F$15))*'Burland damage classification'!CK252</f>
        <v>#DIV/0!</v>
      </c>
      <c r="CH252" s="262">
        <f>(1+(((IF($Q$5=0,$Q$6^2,$Q$5^2))*$U$5)/(18*$Q$15))*('IN-OUT'!$F$15^(-1)))*CL252</f>
        <v>1.340646610159935E-3</v>
      </c>
      <c r="CI252" s="254" t="e">
        <f t="shared" si="184"/>
        <v>#DIV/0!</v>
      </c>
      <c r="CJ252" s="254" t="e">
        <f t="shared" si="190"/>
        <v>#DIV/0!</v>
      </c>
      <c r="CK252" s="254">
        <f t="shared" si="196"/>
        <v>4.2666666666665604E-4</v>
      </c>
      <c r="CL252" s="270">
        <f t="shared" si="185"/>
        <v>1.340646610159935E-3</v>
      </c>
      <c r="CM252" s="253">
        <f t="shared" si="197"/>
        <v>1.5733333333333396E-3</v>
      </c>
      <c r="CN252" s="255">
        <f t="shared" si="191"/>
        <v>0.15733333333333396</v>
      </c>
      <c r="CS252" s="248"/>
      <c r="DQ252" s="258" t="e">
        <f>((((IF($R$5=0,$R$6,$R$5)))/(12*$R$19))+(((3*$R$15)/(2*IF($R$5=0,$R$6,$R$5)*$U$5*$R$19))*'IN-OUT'!$F$15))*'Burland damage classification'!DU252</f>
        <v>#DIV/0!</v>
      </c>
      <c r="DR252" s="262">
        <f>(1+(((IF($R$5=0,$R$6^2,$R$5^2))*$U$5)/(18*$R$15))*('IN-OUT'!$F$15^(-1)))*DV252</f>
        <v>1.340646610159935E-3</v>
      </c>
      <c r="DS252" s="254" t="e">
        <f t="shared" si="186"/>
        <v>#DIV/0!</v>
      </c>
      <c r="DT252" s="254" t="e">
        <f t="shared" si="192"/>
        <v>#DIV/0!</v>
      </c>
      <c r="DU252" s="254">
        <f t="shared" si="198"/>
        <v>4.2666666666665604E-4</v>
      </c>
      <c r="DV252" s="270">
        <f t="shared" si="187"/>
        <v>1.340646610159935E-3</v>
      </c>
      <c r="DW252" s="253">
        <f t="shared" si="199"/>
        <v>1.5733333333333396E-3</v>
      </c>
      <c r="DX252" s="255">
        <f t="shared" si="193"/>
        <v>0.15733333333333396</v>
      </c>
    </row>
    <row r="253" spans="21:128">
      <c r="U253" s="262"/>
      <c r="AW253" s="258">
        <f>(((IF($P$5&lt;&gt;0,$P$5,IF($P$6&lt;&gt;0,$P$6,IF($P$7&lt;&gt;0,$P$7,0))))/(12*$P$19))+(((3*$P$15)/(2*(IF($P$5&lt;&gt;0,$P$5,IF($P$6&lt;&gt;0,$P$6,IF($P$7&lt;&gt;0,$P$7,0))))*$U$5*$P$19))*'IN-OUT'!$F$15))*'Burland damage classification'!BA253</f>
        <v>1.3482639561749892E-3</v>
      </c>
      <c r="AX253" s="254">
        <f>(1+(((IF($P$5&lt;&gt;0,$P$5^2,IF($P$6&lt;&gt;0,$P$6^2,IF($P$7&lt;&gt;0,$P$7^2))))*$U$5)/(18*$P$15))*('IN-OUT'!$F$15^(-1)))*BB253</f>
        <v>1.4125819583915874E-3</v>
      </c>
      <c r="AY253" s="254">
        <f t="shared" si="200"/>
        <v>1.3482639561749892E-3</v>
      </c>
      <c r="AZ253" s="254">
        <f t="shared" si="188"/>
        <v>0.13482639561749893</v>
      </c>
      <c r="BA253" s="254">
        <f t="shared" si="194"/>
        <v>4.1999999999998939E-4</v>
      </c>
      <c r="BB253" s="270">
        <f t="shared" si="183"/>
        <v>1.3371611720357391E-3</v>
      </c>
      <c r="BC253" s="253">
        <f t="shared" si="195"/>
        <v>1.5800000000000063E-3</v>
      </c>
      <c r="BD253" s="255">
        <f t="shared" si="189"/>
        <v>0.15800000000000064</v>
      </c>
      <c r="BI253" s="248"/>
      <c r="CG253" s="258" t="e">
        <f>((((IF($Q$5=0,$Q$6,$Q$5)))/(12*$Q$19))+(((3*$Q$15)/(2*IF($Q$5=0,$Q$6,$Q$5)*$U$5*$Q$19))*'IN-OUT'!$F$15))*'Burland damage classification'!CK253</f>
        <v>#DIV/0!</v>
      </c>
      <c r="CH253" s="262">
        <f>(1+(((IF($Q$5=0,$Q$6^2,$Q$5^2))*$U$5)/(18*$Q$15))*('IN-OUT'!$F$15^(-1)))*CL253</f>
        <v>1.3371611720357391E-3</v>
      </c>
      <c r="CI253" s="254" t="e">
        <f t="shared" si="184"/>
        <v>#DIV/0!</v>
      </c>
      <c r="CJ253" s="254" t="e">
        <f t="shared" si="190"/>
        <v>#DIV/0!</v>
      </c>
      <c r="CK253" s="254">
        <f t="shared" si="196"/>
        <v>4.1999999999998939E-4</v>
      </c>
      <c r="CL253" s="270">
        <f t="shared" si="185"/>
        <v>1.3371611720357391E-3</v>
      </c>
      <c r="CM253" s="253">
        <f t="shared" si="197"/>
        <v>1.5800000000000063E-3</v>
      </c>
      <c r="CN253" s="255">
        <f t="shared" si="191"/>
        <v>0.15800000000000064</v>
      </c>
      <c r="CS253" s="248"/>
      <c r="DQ253" s="258" t="e">
        <f>((((IF($R$5=0,$R$6,$R$5)))/(12*$R$19))+(((3*$R$15)/(2*IF($R$5=0,$R$6,$R$5)*$U$5*$R$19))*'IN-OUT'!$F$15))*'Burland damage classification'!DU253</f>
        <v>#DIV/0!</v>
      </c>
      <c r="DR253" s="262">
        <f>(1+(((IF($R$5=0,$R$6^2,$R$5^2))*$U$5)/(18*$R$15))*('IN-OUT'!$F$15^(-1)))*DV253</f>
        <v>1.3371611720357391E-3</v>
      </c>
      <c r="DS253" s="254" t="e">
        <f t="shared" si="186"/>
        <v>#DIV/0!</v>
      </c>
      <c r="DT253" s="254" t="e">
        <f t="shared" si="192"/>
        <v>#DIV/0!</v>
      </c>
      <c r="DU253" s="254">
        <f t="shared" si="198"/>
        <v>4.1999999999998939E-4</v>
      </c>
      <c r="DV253" s="270">
        <f t="shared" si="187"/>
        <v>1.3371611720357391E-3</v>
      </c>
      <c r="DW253" s="253">
        <f t="shared" si="199"/>
        <v>1.5800000000000063E-3</v>
      </c>
      <c r="DX253" s="255">
        <f t="shared" si="193"/>
        <v>0.15800000000000064</v>
      </c>
    </row>
    <row r="254" spans="21:128">
      <c r="U254" s="262"/>
      <c r="AW254" s="258">
        <f>(((IF($P$5&lt;&gt;0,$P$5,IF($P$6&lt;&gt;0,$P$6,IF($P$7&lt;&gt;0,$P$7,0))))/(12*$P$19))+(((3*$P$15)/(2*(IF($P$5&lt;&gt;0,$P$5,IF($P$6&lt;&gt;0,$P$6,IF($P$7&lt;&gt;0,$P$7,0))))*$U$5*$P$19))*'IN-OUT'!$F$15))*'Burland damage classification'!BA254</f>
        <v>1.3268629409976078E-3</v>
      </c>
      <c r="AX254" s="254">
        <f>(1+(((IF($P$5&lt;&gt;0,$P$5^2,IF($P$6&lt;&gt;0,$P$6^2,IF($P$7&lt;&gt;0,$P$7^2))))*$U$5)/(18*$P$15))*('IN-OUT'!$F$15^(-1)))*BB254</f>
        <v>1.4088903061181253E-3</v>
      </c>
      <c r="AY254" s="254">
        <f t="shared" si="200"/>
        <v>1.3268629409976078E-3</v>
      </c>
      <c r="AZ254" s="254">
        <f t="shared" si="188"/>
        <v>0.13268629409976079</v>
      </c>
      <c r="BA254" s="254">
        <f t="shared" si="194"/>
        <v>4.1333333333332274E-4</v>
      </c>
      <c r="BB254" s="270">
        <f t="shared" si="183"/>
        <v>1.33366662501041E-3</v>
      </c>
      <c r="BC254" s="253">
        <f t="shared" si="195"/>
        <v>1.5866666666666731E-3</v>
      </c>
      <c r="BD254" s="255">
        <f t="shared" si="189"/>
        <v>0.15866666666666732</v>
      </c>
      <c r="BI254" s="248"/>
      <c r="CG254" s="258" t="e">
        <f>((((IF($Q$5=0,$Q$6,$Q$5)))/(12*$Q$19))+(((3*$Q$15)/(2*IF($Q$5=0,$Q$6,$Q$5)*$U$5*$Q$19))*'IN-OUT'!$F$15))*'Burland damage classification'!CK254</f>
        <v>#DIV/0!</v>
      </c>
      <c r="CH254" s="262">
        <f>(1+(((IF($Q$5=0,$Q$6^2,$Q$5^2))*$U$5)/(18*$Q$15))*('IN-OUT'!$F$15^(-1)))*CL254</f>
        <v>1.33366662501041E-3</v>
      </c>
      <c r="CI254" s="254" t="e">
        <f t="shared" si="184"/>
        <v>#DIV/0!</v>
      </c>
      <c r="CJ254" s="254" t="e">
        <f t="shared" si="190"/>
        <v>#DIV/0!</v>
      </c>
      <c r="CK254" s="254">
        <f t="shared" si="196"/>
        <v>4.1333333333332274E-4</v>
      </c>
      <c r="CL254" s="270">
        <f t="shared" si="185"/>
        <v>1.33366662501041E-3</v>
      </c>
      <c r="CM254" s="253">
        <f t="shared" si="197"/>
        <v>1.5866666666666731E-3</v>
      </c>
      <c r="CN254" s="255">
        <f t="shared" si="191"/>
        <v>0.15866666666666732</v>
      </c>
      <c r="CS254" s="248"/>
      <c r="DQ254" s="258" t="e">
        <f>((((IF($R$5=0,$R$6,$R$5)))/(12*$R$19))+(((3*$R$15)/(2*IF($R$5=0,$R$6,$R$5)*$U$5*$R$19))*'IN-OUT'!$F$15))*'Burland damage classification'!DU254</f>
        <v>#DIV/0!</v>
      </c>
      <c r="DR254" s="262">
        <f>(1+(((IF($R$5=0,$R$6^2,$R$5^2))*$U$5)/(18*$R$15))*('IN-OUT'!$F$15^(-1)))*DV254</f>
        <v>1.33366662501041E-3</v>
      </c>
      <c r="DS254" s="254" t="e">
        <f t="shared" si="186"/>
        <v>#DIV/0!</v>
      </c>
      <c r="DT254" s="254" t="e">
        <f t="shared" si="192"/>
        <v>#DIV/0!</v>
      </c>
      <c r="DU254" s="254">
        <f t="shared" si="198"/>
        <v>4.1333333333332274E-4</v>
      </c>
      <c r="DV254" s="270">
        <f t="shared" si="187"/>
        <v>1.33366662501041E-3</v>
      </c>
      <c r="DW254" s="253">
        <f t="shared" si="199"/>
        <v>1.5866666666666731E-3</v>
      </c>
      <c r="DX254" s="255">
        <f t="shared" si="193"/>
        <v>0.15866666666666732</v>
      </c>
    </row>
    <row r="255" spans="21:128">
      <c r="U255" s="262"/>
      <c r="AW255" s="258">
        <f>(((IF($P$5&lt;&gt;0,$P$5,IF($P$6&lt;&gt;0,$P$6,IF($P$7&lt;&gt;0,$P$7,0))))/(12*$P$19))+(((3*$P$15)/(2*(IF($P$5&lt;&gt;0,$P$5,IF($P$6&lt;&gt;0,$P$6,IF($P$7&lt;&gt;0,$P$7,0))))*$U$5*$P$19))*'IN-OUT'!$F$15))*'Burland damage classification'!BA255</f>
        <v>1.3054619258202266E-3</v>
      </c>
      <c r="AX255" s="254">
        <f>(1+(((IF($P$5&lt;&gt;0,$P$5^2,IF($P$6&lt;&gt;0,$P$6^2,IF($P$7&lt;&gt;0,$P$7^2))))*$U$5)/(18*$P$15))*('IN-OUT'!$F$15^(-1)))*BB255</f>
        <v>1.4051889553273033E-3</v>
      </c>
      <c r="AY255" s="254">
        <f t="shared" si="200"/>
        <v>1.3054619258202266E-3</v>
      </c>
      <c r="AZ255" s="254">
        <f t="shared" si="188"/>
        <v>0.13054619258202266</v>
      </c>
      <c r="BA255" s="254">
        <f t="shared" si="194"/>
        <v>4.066666666666561E-4</v>
      </c>
      <c r="BB255" s="270">
        <f t="shared" si="183"/>
        <v>1.3301628972924046E-3</v>
      </c>
      <c r="BC255" s="253">
        <f t="shared" si="195"/>
        <v>1.5933333333333398E-3</v>
      </c>
      <c r="BD255" s="255">
        <f t="shared" si="189"/>
        <v>0.15933333333333399</v>
      </c>
      <c r="BI255" s="248"/>
      <c r="CG255" s="258" t="e">
        <f>((((IF($Q$5=0,$Q$6,$Q$5)))/(12*$Q$19))+(((3*$Q$15)/(2*IF($Q$5=0,$Q$6,$Q$5)*$U$5*$Q$19))*'IN-OUT'!$F$15))*'Burland damage classification'!CK255</f>
        <v>#DIV/0!</v>
      </c>
      <c r="CH255" s="262">
        <f>(1+(((IF($Q$5=0,$Q$6^2,$Q$5^2))*$U$5)/(18*$Q$15))*('IN-OUT'!$F$15^(-1)))*CL255</f>
        <v>1.3301628972924046E-3</v>
      </c>
      <c r="CI255" s="254" t="e">
        <f t="shared" si="184"/>
        <v>#DIV/0!</v>
      </c>
      <c r="CJ255" s="254" t="e">
        <f t="shared" si="190"/>
        <v>#DIV/0!</v>
      </c>
      <c r="CK255" s="254">
        <f t="shared" si="196"/>
        <v>4.066666666666561E-4</v>
      </c>
      <c r="CL255" s="270">
        <f t="shared" si="185"/>
        <v>1.3301628972924046E-3</v>
      </c>
      <c r="CM255" s="253">
        <f t="shared" si="197"/>
        <v>1.5933333333333398E-3</v>
      </c>
      <c r="CN255" s="255">
        <f t="shared" si="191"/>
        <v>0.15933333333333399</v>
      </c>
      <c r="CS255" s="248"/>
      <c r="DQ255" s="258" t="e">
        <f>((((IF($R$5=0,$R$6,$R$5)))/(12*$R$19))+(((3*$R$15)/(2*IF($R$5=0,$R$6,$R$5)*$U$5*$R$19))*'IN-OUT'!$F$15))*'Burland damage classification'!DU255</f>
        <v>#DIV/0!</v>
      </c>
      <c r="DR255" s="262">
        <f>(1+(((IF($R$5=0,$R$6^2,$R$5^2))*$U$5)/(18*$R$15))*('IN-OUT'!$F$15^(-1)))*DV255</f>
        <v>1.3301628972924046E-3</v>
      </c>
      <c r="DS255" s="254" t="e">
        <f t="shared" si="186"/>
        <v>#DIV/0!</v>
      </c>
      <c r="DT255" s="254" t="e">
        <f t="shared" si="192"/>
        <v>#DIV/0!</v>
      </c>
      <c r="DU255" s="254">
        <f t="shared" si="198"/>
        <v>4.066666666666561E-4</v>
      </c>
      <c r="DV255" s="270">
        <f t="shared" si="187"/>
        <v>1.3301628972924046E-3</v>
      </c>
      <c r="DW255" s="253">
        <f t="shared" si="199"/>
        <v>1.5933333333333398E-3</v>
      </c>
      <c r="DX255" s="255">
        <f t="shared" si="193"/>
        <v>0.15933333333333399</v>
      </c>
    </row>
    <row r="256" spans="21:128">
      <c r="U256" s="262"/>
      <c r="AW256" s="258">
        <f>(((IF($P$5&lt;&gt;0,$P$5,IF($P$6&lt;&gt;0,$P$6,IF($P$7&lt;&gt;0,$P$7,0))))/(12*$P$19))+(((3*$P$15)/(2*(IF($P$5&lt;&gt;0,$P$5,IF($P$6&lt;&gt;0,$P$6,IF($P$7&lt;&gt;0,$P$7,0))))*$U$5*$P$19))*'IN-OUT'!$F$15))*'Burland damage classification'!BA256</f>
        <v>1.2840609106428453E-3</v>
      </c>
      <c r="AX256" s="254">
        <f>(1+(((IF($P$5&lt;&gt;0,$P$5^2,IF($P$6&lt;&gt;0,$P$6^2,IF($P$7&lt;&gt;0,$P$7^2))))*$U$5)/(18*$P$15))*('IN-OUT'!$F$15^(-1)))*BB256</f>
        <v>1.4014778291767771E-3</v>
      </c>
      <c r="AY256" s="254">
        <f t="shared" si="200"/>
        <v>1.2840609106428453E-3</v>
      </c>
      <c r="AZ256" s="254">
        <f t="shared" si="188"/>
        <v>0.12840609106428452</v>
      </c>
      <c r="BA256" s="254">
        <f t="shared" si="194"/>
        <v>3.9999999999998945E-4</v>
      </c>
      <c r="BB256" s="270">
        <f t="shared" si="183"/>
        <v>1.3266499161421566E-3</v>
      </c>
      <c r="BC256" s="253">
        <f t="shared" si="195"/>
        <v>1.6000000000000066E-3</v>
      </c>
      <c r="BD256" s="255">
        <f t="shared" si="189"/>
        <v>0.16000000000000067</v>
      </c>
      <c r="BI256" s="248"/>
      <c r="CG256" s="258" t="e">
        <f>((((IF($Q$5=0,$Q$6,$Q$5)))/(12*$Q$19))+(((3*$Q$15)/(2*IF($Q$5=0,$Q$6,$Q$5)*$U$5*$Q$19))*'IN-OUT'!$F$15))*'Burland damage classification'!CK256</f>
        <v>#DIV/0!</v>
      </c>
      <c r="CH256" s="262">
        <f>(1+(((IF($Q$5=0,$Q$6^2,$Q$5^2))*$U$5)/(18*$Q$15))*('IN-OUT'!$F$15^(-1)))*CL256</f>
        <v>1.3266499161421566E-3</v>
      </c>
      <c r="CI256" s="254" t="e">
        <f t="shared" si="184"/>
        <v>#DIV/0!</v>
      </c>
      <c r="CJ256" s="254" t="e">
        <f t="shared" si="190"/>
        <v>#DIV/0!</v>
      </c>
      <c r="CK256" s="254">
        <f t="shared" si="196"/>
        <v>3.9999999999998945E-4</v>
      </c>
      <c r="CL256" s="270">
        <f t="shared" si="185"/>
        <v>1.3266499161421566E-3</v>
      </c>
      <c r="CM256" s="253">
        <f t="shared" si="197"/>
        <v>1.6000000000000066E-3</v>
      </c>
      <c r="CN256" s="255">
        <f t="shared" si="191"/>
        <v>0.16000000000000067</v>
      </c>
      <c r="CS256" s="248"/>
      <c r="DQ256" s="258" t="e">
        <f>((((IF($R$5=0,$R$6,$R$5)))/(12*$R$19))+(((3*$R$15)/(2*IF($R$5=0,$R$6,$R$5)*$U$5*$R$19))*'IN-OUT'!$F$15))*'Burland damage classification'!DU256</f>
        <v>#DIV/0!</v>
      </c>
      <c r="DR256" s="262">
        <f>(1+(((IF($R$5=0,$R$6^2,$R$5^2))*$U$5)/(18*$R$15))*('IN-OUT'!$F$15^(-1)))*DV256</f>
        <v>1.3266499161421566E-3</v>
      </c>
      <c r="DS256" s="254" t="e">
        <f t="shared" si="186"/>
        <v>#DIV/0!</v>
      </c>
      <c r="DT256" s="254" t="e">
        <f t="shared" si="192"/>
        <v>#DIV/0!</v>
      </c>
      <c r="DU256" s="254">
        <f t="shared" si="198"/>
        <v>3.9999999999998945E-4</v>
      </c>
      <c r="DV256" s="270">
        <f t="shared" si="187"/>
        <v>1.3266499161421566E-3</v>
      </c>
      <c r="DW256" s="253">
        <f t="shared" si="199"/>
        <v>1.6000000000000066E-3</v>
      </c>
      <c r="DX256" s="255">
        <f t="shared" si="193"/>
        <v>0.16000000000000067</v>
      </c>
    </row>
    <row r="257" spans="21:128">
      <c r="U257" s="262"/>
      <c r="AW257" s="258">
        <f>(((IF($P$5&lt;&gt;0,$P$5,IF($P$6&lt;&gt;0,$P$6,IF($P$7&lt;&gt;0,$P$7,0))))/(12*$P$19))+(((3*$P$15)/(2*(IF($P$5&lt;&gt;0,$P$5,IF($P$6&lt;&gt;0,$P$6,IF($P$7&lt;&gt;0,$P$7,0))))*$U$5*$P$19))*'IN-OUT'!$F$15))*'Burland damage classification'!BA257</f>
        <v>1.2626598954654641E-3</v>
      </c>
      <c r="AX257" s="254">
        <f>(1+(((IF($P$5&lt;&gt;0,$P$5^2,IF($P$6&lt;&gt;0,$P$6^2,IF($P$7&lt;&gt;0,$P$7^2))))*$U$5)/(18*$P$15))*('IN-OUT'!$F$15^(-1)))*BB257</f>
        <v>1.3977568498040938E-3</v>
      </c>
      <c r="AY257" s="254">
        <f t="shared" si="200"/>
        <v>1.2626598954654641E-3</v>
      </c>
      <c r="AZ257" s="254">
        <f t="shared" si="188"/>
        <v>0.12626598954654641</v>
      </c>
      <c r="BA257" s="254">
        <f t="shared" si="194"/>
        <v>3.933333333333228E-4</v>
      </c>
      <c r="BB257" s="270">
        <f t="shared" si="183"/>
        <v>1.3231276078544568E-3</v>
      </c>
      <c r="BC257" s="253">
        <f t="shared" si="195"/>
        <v>1.6066666666666733E-3</v>
      </c>
      <c r="BD257" s="255">
        <f t="shared" si="189"/>
        <v>0.16066666666666735</v>
      </c>
      <c r="BI257" s="248"/>
      <c r="CG257" s="258" t="e">
        <f>((((IF($Q$5=0,$Q$6,$Q$5)))/(12*$Q$19))+(((3*$Q$15)/(2*IF($Q$5=0,$Q$6,$Q$5)*$U$5*$Q$19))*'IN-OUT'!$F$15))*'Burland damage classification'!CK257</f>
        <v>#DIV/0!</v>
      </c>
      <c r="CH257" s="262">
        <f>(1+(((IF($Q$5=0,$Q$6^2,$Q$5^2))*$U$5)/(18*$Q$15))*('IN-OUT'!$F$15^(-1)))*CL257</f>
        <v>1.3231276078544568E-3</v>
      </c>
      <c r="CI257" s="254" t="e">
        <f t="shared" si="184"/>
        <v>#DIV/0!</v>
      </c>
      <c r="CJ257" s="254" t="e">
        <f t="shared" si="190"/>
        <v>#DIV/0!</v>
      </c>
      <c r="CK257" s="254">
        <f t="shared" si="196"/>
        <v>3.933333333333228E-4</v>
      </c>
      <c r="CL257" s="270">
        <f t="shared" si="185"/>
        <v>1.3231276078544568E-3</v>
      </c>
      <c r="CM257" s="253">
        <f t="shared" si="197"/>
        <v>1.6066666666666733E-3</v>
      </c>
      <c r="CN257" s="255">
        <f t="shared" si="191"/>
        <v>0.16066666666666735</v>
      </c>
      <c r="CS257" s="248"/>
      <c r="DQ257" s="258" t="e">
        <f>((((IF($R$5=0,$R$6,$R$5)))/(12*$R$19))+(((3*$R$15)/(2*IF($R$5=0,$R$6,$R$5)*$U$5*$R$19))*'IN-OUT'!$F$15))*'Burland damage classification'!DU257</f>
        <v>#DIV/0!</v>
      </c>
      <c r="DR257" s="262">
        <f>(1+(((IF($R$5=0,$R$6^2,$R$5^2))*$U$5)/(18*$R$15))*('IN-OUT'!$F$15^(-1)))*DV257</f>
        <v>1.3231276078544568E-3</v>
      </c>
      <c r="DS257" s="254" t="e">
        <f t="shared" si="186"/>
        <v>#DIV/0!</v>
      </c>
      <c r="DT257" s="254" t="e">
        <f t="shared" si="192"/>
        <v>#DIV/0!</v>
      </c>
      <c r="DU257" s="254">
        <f t="shared" si="198"/>
        <v>3.933333333333228E-4</v>
      </c>
      <c r="DV257" s="270">
        <f t="shared" si="187"/>
        <v>1.3231276078544568E-3</v>
      </c>
      <c r="DW257" s="253">
        <f t="shared" si="199"/>
        <v>1.6066666666666733E-3</v>
      </c>
      <c r="DX257" s="255">
        <f t="shared" si="193"/>
        <v>0.16066666666666735</v>
      </c>
    </row>
    <row r="258" spans="21:128">
      <c r="U258" s="262"/>
      <c r="AW258" s="258">
        <f>(((IF($P$5&lt;&gt;0,$P$5,IF($P$6&lt;&gt;0,$P$6,IF($P$7&lt;&gt;0,$P$7,0))))/(12*$P$19))+(((3*$P$15)/(2*(IF($P$5&lt;&gt;0,$P$5,IF($P$6&lt;&gt;0,$P$6,IF($P$7&lt;&gt;0,$P$7,0))))*$U$5*$P$19))*'IN-OUT'!$F$15))*'Burland damage classification'!BA258</f>
        <v>1.2412588802880827E-3</v>
      </c>
      <c r="AX258" s="254">
        <f>(1+(((IF($P$5&lt;&gt;0,$P$5^2,IF($P$6&lt;&gt;0,$P$6^2,IF($P$7&lt;&gt;0,$P$7^2))))*$U$5)/(18*$P$15))*('IN-OUT'!$F$15^(-1)))*BB258</f>
        <v>1.3940259383076333E-3</v>
      </c>
      <c r="AY258" s="254">
        <f t="shared" si="200"/>
        <v>1.2412588802880827E-3</v>
      </c>
      <c r="AZ258" s="254">
        <f t="shared" si="188"/>
        <v>0.12412588802880828</v>
      </c>
      <c r="BA258" s="254">
        <f t="shared" si="194"/>
        <v>3.8666666666665615E-4</v>
      </c>
      <c r="BB258" s="270">
        <f t="shared" si="183"/>
        <v>1.319595897740412E-3</v>
      </c>
      <c r="BC258" s="253">
        <f t="shared" si="195"/>
        <v>1.6133333333333401E-3</v>
      </c>
      <c r="BD258" s="255">
        <f t="shared" si="189"/>
        <v>0.16133333333333402</v>
      </c>
      <c r="BI258" s="248"/>
      <c r="CG258" s="258" t="e">
        <f>((((IF($Q$5=0,$Q$6,$Q$5)))/(12*$Q$19))+(((3*$Q$15)/(2*IF($Q$5=0,$Q$6,$Q$5)*$U$5*$Q$19))*'IN-OUT'!$F$15))*'Burland damage classification'!CK258</f>
        <v>#DIV/0!</v>
      </c>
      <c r="CH258" s="262">
        <f>(1+(((IF($Q$5=0,$Q$6^2,$Q$5^2))*$U$5)/(18*$Q$15))*('IN-OUT'!$F$15^(-1)))*CL258</f>
        <v>1.319595897740412E-3</v>
      </c>
      <c r="CI258" s="254" t="e">
        <f t="shared" si="184"/>
        <v>#DIV/0!</v>
      </c>
      <c r="CJ258" s="254" t="e">
        <f t="shared" si="190"/>
        <v>#DIV/0!</v>
      </c>
      <c r="CK258" s="254">
        <f t="shared" si="196"/>
        <v>3.8666666666665615E-4</v>
      </c>
      <c r="CL258" s="270">
        <f t="shared" si="185"/>
        <v>1.319595897740412E-3</v>
      </c>
      <c r="CM258" s="253">
        <f t="shared" si="197"/>
        <v>1.6133333333333401E-3</v>
      </c>
      <c r="CN258" s="255">
        <f t="shared" si="191"/>
        <v>0.16133333333333402</v>
      </c>
      <c r="CS258" s="248"/>
      <c r="DQ258" s="258" t="e">
        <f>((((IF($R$5=0,$R$6,$R$5)))/(12*$R$19))+(((3*$R$15)/(2*IF($R$5=0,$R$6,$R$5)*$U$5*$R$19))*'IN-OUT'!$F$15))*'Burland damage classification'!DU258</f>
        <v>#DIV/0!</v>
      </c>
      <c r="DR258" s="262">
        <f>(1+(((IF($R$5=0,$R$6^2,$R$5^2))*$U$5)/(18*$R$15))*('IN-OUT'!$F$15^(-1)))*DV258</f>
        <v>1.319595897740412E-3</v>
      </c>
      <c r="DS258" s="254" t="e">
        <f t="shared" si="186"/>
        <v>#DIV/0!</v>
      </c>
      <c r="DT258" s="254" t="e">
        <f t="shared" si="192"/>
        <v>#DIV/0!</v>
      </c>
      <c r="DU258" s="254">
        <f t="shared" si="198"/>
        <v>3.8666666666665615E-4</v>
      </c>
      <c r="DV258" s="270">
        <f t="shared" si="187"/>
        <v>1.319595897740412E-3</v>
      </c>
      <c r="DW258" s="253">
        <f t="shared" si="199"/>
        <v>1.6133333333333401E-3</v>
      </c>
      <c r="DX258" s="255">
        <f t="shared" si="193"/>
        <v>0.16133333333333402</v>
      </c>
    </row>
    <row r="259" spans="21:128">
      <c r="U259" s="262"/>
      <c r="AW259" s="258">
        <f>(((IF($P$5&lt;&gt;0,$P$5,IF($P$6&lt;&gt;0,$P$6,IF($P$7&lt;&gt;0,$P$7,0))))/(12*$P$19))+(((3*$P$15)/(2*(IF($P$5&lt;&gt;0,$P$5,IF($P$6&lt;&gt;0,$P$6,IF($P$7&lt;&gt;0,$P$7,0))))*$U$5*$P$19))*'IN-OUT'!$F$15))*'Burland damage classification'!BA259</f>
        <v>1.2198578651107016E-3</v>
      </c>
      <c r="AX259" s="254">
        <f>(1+(((IF($P$5&lt;&gt;0,$P$5^2,IF($P$6&lt;&gt;0,$P$6^2,IF($P$7&lt;&gt;0,$P$7^2))))*$U$5)/(18*$P$15))*('IN-OUT'!$F$15^(-1)))*BB259</f>
        <v>1.390285014727085E-3</v>
      </c>
      <c r="AY259" s="254">
        <f t="shared" si="200"/>
        <v>1.2198578651107016E-3</v>
      </c>
      <c r="AZ259" s="254">
        <f t="shared" si="188"/>
        <v>0.12198578651107016</v>
      </c>
      <c r="BA259" s="254">
        <f t="shared" si="194"/>
        <v>3.799999999999895E-4</v>
      </c>
      <c r="BB259" s="270">
        <f t="shared" si="183"/>
        <v>1.3160547101089643E-3</v>
      </c>
      <c r="BC259" s="253">
        <f t="shared" si="195"/>
        <v>1.6200000000000069E-3</v>
      </c>
      <c r="BD259" s="255">
        <f t="shared" si="189"/>
        <v>0.1620000000000007</v>
      </c>
      <c r="BI259" s="248"/>
      <c r="CG259" s="258" t="e">
        <f>((((IF($Q$5=0,$Q$6,$Q$5)))/(12*$Q$19))+(((3*$Q$15)/(2*IF($Q$5=0,$Q$6,$Q$5)*$U$5*$Q$19))*'IN-OUT'!$F$15))*'Burland damage classification'!CK259</f>
        <v>#DIV/0!</v>
      </c>
      <c r="CH259" s="262">
        <f>(1+(((IF($Q$5=0,$Q$6^2,$Q$5^2))*$U$5)/(18*$Q$15))*('IN-OUT'!$F$15^(-1)))*CL259</f>
        <v>1.3160547101089643E-3</v>
      </c>
      <c r="CI259" s="254" t="e">
        <f t="shared" si="184"/>
        <v>#DIV/0!</v>
      </c>
      <c r="CJ259" s="254" t="e">
        <f t="shared" si="190"/>
        <v>#DIV/0!</v>
      </c>
      <c r="CK259" s="254">
        <f t="shared" si="196"/>
        <v>3.799999999999895E-4</v>
      </c>
      <c r="CL259" s="270">
        <f t="shared" si="185"/>
        <v>1.3160547101089643E-3</v>
      </c>
      <c r="CM259" s="253">
        <f t="shared" si="197"/>
        <v>1.6200000000000069E-3</v>
      </c>
      <c r="CN259" s="255">
        <f t="shared" si="191"/>
        <v>0.1620000000000007</v>
      </c>
      <c r="CS259" s="248"/>
      <c r="DQ259" s="258" t="e">
        <f>((((IF($R$5=0,$R$6,$R$5)))/(12*$R$19))+(((3*$R$15)/(2*IF($R$5=0,$R$6,$R$5)*$U$5*$R$19))*'IN-OUT'!$F$15))*'Burland damage classification'!DU259</f>
        <v>#DIV/0!</v>
      </c>
      <c r="DR259" s="262">
        <f>(1+(((IF($R$5=0,$R$6^2,$R$5^2))*$U$5)/(18*$R$15))*('IN-OUT'!$F$15^(-1)))*DV259</f>
        <v>1.3160547101089643E-3</v>
      </c>
      <c r="DS259" s="254" t="e">
        <f t="shared" si="186"/>
        <v>#DIV/0!</v>
      </c>
      <c r="DT259" s="254" t="e">
        <f t="shared" si="192"/>
        <v>#DIV/0!</v>
      </c>
      <c r="DU259" s="254">
        <f t="shared" si="198"/>
        <v>3.799999999999895E-4</v>
      </c>
      <c r="DV259" s="270">
        <f t="shared" si="187"/>
        <v>1.3160547101089643E-3</v>
      </c>
      <c r="DW259" s="253">
        <f t="shared" si="199"/>
        <v>1.6200000000000069E-3</v>
      </c>
      <c r="DX259" s="255">
        <f t="shared" si="193"/>
        <v>0.1620000000000007</v>
      </c>
    </row>
    <row r="260" spans="21:128">
      <c r="U260" s="262"/>
      <c r="AW260" s="258">
        <f>(((IF($P$5&lt;&gt;0,$P$5,IF($P$6&lt;&gt;0,$P$6,IF($P$7&lt;&gt;0,$P$7,0))))/(12*$P$19))+(((3*$P$15)/(2*(IF($P$5&lt;&gt;0,$P$5,IF($P$6&lt;&gt;0,$P$6,IF($P$7&lt;&gt;0,$P$7,0))))*$U$5*$P$19))*'IN-OUT'!$F$15))*'Burland damage classification'!BA260</f>
        <v>1.1984568499333202E-3</v>
      </c>
      <c r="AX260" s="254">
        <f>(1+(((IF($P$5&lt;&gt;0,$P$5^2,IF($P$6&lt;&gt;0,$P$6^2,IF($P$7&lt;&gt;0,$P$7^2))))*$U$5)/(18*$P$15))*('IN-OUT'!$F$15^(-1)))*BB260</f>
        <v>1.3865339980234544E-3</v>
      </c>
      <c r="AY260" s="254">
        <f t="shared" si="200"/>
        <v>1.1984568499333202E-3</v>
      </c>
      <c r="AZ260" s="254">
        <f t="shared" si="188"/>
        <v>0.11984568499333202</v>
      </c>
      <c r="BA260" s="254">
        <f t="shared" si="194"/>
        <v>3.7333333333332286E-4</v>
      </c>
      <c r="BB260" s="270">
        <f t="shared" si="183"/>
        <v>1.3125039682479658E-3</v>
      </c>
      <c r="BC260" s="253">
        <f t="shared" si="195"/>
        <v>1.6266666666666736E-3</v>
      </c>
      <c r="BD260" s="255">
        <f t="shared" si="189"/>
        <v>0.16266666666666735</v>
      </c>
      <c r="BI260" s="248"/>
      <c r="CG260" s="258" t="e">
        <f>((((IF($Q$5=0,$Q$6,$Q$5)))/(12*$Q$19))+(((3*$Q$15)/(2*IF($Q$5=0,$Q$6,$Q$5)*$U$5*$Q$19))*'IN-OUT'!$F$15))*'Burland damage classification'!CK260</f>
        <v>#DIV/0!</v>
      </c>
      <c r="CH260" s="262">
        <f>(1+(((IF($Q$5=0,$Q$6^2,$Q$5^2))*$U$5)/(18*$Q$15))*('IN-OUT'!$F$15^(-1)))*CL260</f>
        <v>1.3125039682479658E-3</v>
      </c>
      <c r="CI260" s="254" t="e">
        <f t="shared" si="184"/>
        <v>#DIV/0!</v>
      </c>
      <c r="CJ260" s="254" t="e">
        <f t="shared" si="190"/>
        <v>#DIV/0!</v>
      </c>
      <c r="CK260" s="254">
        <f t="shared" si="196"/>
        <v>3.7333333333332286E-4</v>
      </c>
      <c r="CL260" s="270">
        <f t="shared" si="185"/>
        <v>1.3125039682479658E-3</v>
      </c>
      <c r="CM260" s="253">
        <f t="shared" si="197"/>
        <v>1.6266666666666736E-3</v>
      </c>
      <c r="CN260" s="255">
        <f t="shared" si="191"/>
        <v>0.16266666666666735</v>
      </c>
      <c r="CS260" s="248"/>
      <c r="DQ260" s="258" t="e">
        <f>((((IF($R$5=0,$R$6,$R$5)))/(12*$R$19))+(((3*$R$15)/(2*IF($R$5=0,$R$6,$R$5)*$U$5*$R$19))*'IN-OUT'!$F$15))*'Burland damage classification'!DU260</f>
        <v>#DIV/0!</v>
      </c>
      <c r="DR260" s="262">
        <f>(1+(((IF($R$5=0,$R$6^2,$R$5^2))*$U$5)/(18*$R$15))*('IN-OUT'!$F$15^(-1)))*DV260</f>
        <v>1.3125039682479658E-3</v>
      </c>
      <c r="DS260" s="254" t="e">
        <f t="shared" si="186"/>
        <v>#DIV/0!</v>
      </c>
      <c r="DT260" s="254" t="e">
        <f t="shared" si="192"/>
        <v>#DIV/0!</v>
      </c>
      <c r="DU260" s="254">
        <f t="shared" si="198"/>
        <v>3.7333333333332286E-4</v>
      </c>
      <c r="DV260" s="270">
        <f t="shared" si="187"/>
        <v>1.3125039682479658E-3</v>
      </c>
      <c r="DW260" s="253">
        <f t="shared" si="199"/>
        <v>1.6266666666666736E-3</v>
      </c>
      <c r="DX260" s="255">
        <f t="shared" si="193"/>
        <v>0.16266666666666735</v>
      </c>
    </row>
    <row r="261" spans="21:128">
      <c r="U261" s="262"/>
      <c r="AW261" s="258">
        <f>(((IF($P$5&lt;&gt;0,$P$5,IF($P$6&lt;&gt;0,$P$6,IF($P$7&lt;&gt;0,$P$7,0))))/(12*$P$19))+(((3*$P$15)/(2*(IF($P$5&lt;&gt;0,$P$5,IF($P$6&lt;&gt;0,$P$6,IF($P$7&lt;&gt;0,$P$7,0))))*$U$5*$P$19))*'IN-OUT'!$F$15))*'Burland damage classification'!BA261</f>
        <v>1.1770558347559391E-3</v>
      </c>
      <c r="AX261" s="254">
        <f>(1+(((IF($P$5&lt;&gt;0,$P$5^2,IF($P$6&lt;&gt;0,$P$6^2,IF($P$7&lt;&gt;0,$P$7^2))))*$U$5)/(18*$P$15))*('IN-OUT'!$F$15^(-1)))*BB261</f>
        <v>1.3827728060585793E-3</v>
      </c>
      <c r="AY261" s="254">
        <f t="shared" si="200"/>
        <v>1.1770558347559391E-3</v>
      </c>
      <c r="AZ261" s="254">
        <f t="shared" si="188"/>
        <v>0.1177055834755939</v>
      </c>
      <c r="BA261" s="254">
        <f t="shared" si="194"/>
        <v>3.6666666666665621E-4</v>
      </c>
      <c r="BB261" s="270">
        <f t="shared" si="183"/>
        <v>1.308943594404787E-3</v>
      </c>
      <c r="BC261" s="253">
        <f t="shared" si="195"/>
        <v>1.6333333333333404E-3</v>
      </c>
      <c r="BD261" s="255">
        <f t="shared" si="189"/>
        <v>0.16333333333333402</v>
      </c>
      <c r="BI261" s="248"/>
      <c r="CG261" s="258" t="e">
        <f>((((IF($Q$5=0,$Q$6,$Q$5)))/(12*$Q$19))+(((3*$Q$15)/(2*IF($Q$5=0,$Q$6,$Q$5)*$U$5*$Q$19))*'IN-OUT'!$F$15))*'Burland damage classification'!CK261</f>
        <v>#DIV/0!</v>
      </c>
      <c r="CH261" s="262">
        <f>(1+(((IF($Q$5=0,$Q$6^2,$Q$5^2))*$U$5)/(18*$Q$15))*('IN-OUT'!$F$15^(-1)))*CL261</f>
        <v>1.308943594404787E-3</v>
      </c>
      <c r="CI261" s="254" t="e">
        <f t="shared" si="184"/>
        <v>#DIV/0!</v>
      </c>
      <c r="CJ261" s="254" t="e">
        <f t="shared" si="190"/>
        <v>#DIV/0!</v>
      </c>
      <c r="CK261" s="254">
        <f t="shared" si="196"/>
        <v>3.6666666666665621E-4</v>
      </c>
      <c r="CL261" s="270">
        <f t="shared" si="185"/>
        <v>1.308943594404787E-3</v>
      </c>
      <c r="CM261" s="253">
        <f t="shared" si="197"/>
        <v>1.6333333333333404E-3</v>
      </c>
      <c r="CN261" s="255">
        <f t="shared" si="191"/>
        <v>0.16333333333333402</v>
      </c>
      <c r="CS261" s="248"/>
      <c r="DQ261" s="258" t="e">
        <f>((((IF($R$5=0,$R$6,$R$5)))/(12*$R$19))+(((3*$R$15)/(2*IF($R$5=0,$R$6,$R$5)*$U$5*$R$19))*'IN-OUT'!$F$15))*'Burland damage classification'!DU261</f>
        <v>#DIV/0!</v>
      </c>
      <c r="DR261" s="262">
        <f>(1+(((IF($R$5=0,$R$6^2,$R$5^2))*$U$5)/(18*$R$15))*('IN-OUT'!$F$15^(-1)))*DV261</f>
        <v>1.308943594404787E-3</v>
      </c>
      <c r="DS261" s="254" t="e">
        <f t="shared" si="186"/>
        <v>#DIV/0!</v>
      </c>
      <c r="DT261" s="254" t="e">
        <f t="shared" si="192"/>
        <v>#DIV/0!</v>
      </c>
      <c r="DU261" s="254">
        <f t="shared" si="198"/>
        <v>3.6666666666665621E-4</v>
      </c>
      <c r="DV261" s="270">
        <f t="shared" si="187"/>
        <v>1.308943594404787E-3</v>
      </c>
      <c r="DW261" s="253">
        <f t="shared" si="199"/>
        <v>1.6333333333333404E-3</v>
      </c>
      <c r="DX261" s="255">
        <f t="shared" si="193"/>
        <v>0.16333333333333402</v>
      </c>
    </row>
    <row r="262" spans="21:128">
      <c r="U262" s="262"/>
      <c r="AW262" s="258">
        <f>(((IF($P$5&lt;&gt;0,$P$5,IF($P$6&lt;&gt;0,$P$6,IF($P$7&lt;&gt;0,$P$7,0))))/(12*$P$19))+(((3*$P$15)/(2*(IF($P$5&lt;&gt;0,$P$5,IF($P$6&lt;&gt;0,$P$6,IF($P$7&lt;&gt;0,$P$7,0))))*$U$5*$P$19))*'IN-OUT'!$F$15))*'Burland damage classification'!BA262</f>
        <v>1.1556548195785577E-3</v>
      </c>
      <c r="AX262" s="254">
        <f>(1+(((IF($P$5&lt;&gt;0,$P$5^2,IF($P$6&lt;&gt;0,$P$6^2,IF($P$7&lt;&gt;0,$P$7^2))))*$U$5)/(18*$P$15))*('IN-OUT'!$F$15^(-1)))*BB262</f>
        <v>1.3790013555741454E-3</v>
      </c>
      <c r="AY262" s="254">
        <f t="shared" si="200"/>
        <v>1.1556548195785577E-3</v>
      </c>
      <c r="AZ262" s="254">
        <f t="shared" si="188"/>
        <v>0.11556548195785576</v>
      </c>
      <c r="BA262" s="254">
        <f t="shared" si="194"/>
        <v>3.5999999999998956E-4</v>
      </c>
      <c r="BB262" s="270">
        <f t="shared" si="183"/>
        <v>1.3053735097664537E-3</v>
      </c>
      <c r="BC262" s="253">
        <f t="shared" si="195"/>
        <v>1.6400000000000071E-3</v>
      </c>
      <c r="BD262" s="255">
        <f t="shared" si="189"/>
        <v>0.1640000000000007</v>
      </c>
      <c r="BI262" s="248"/>
      <c r="CG262" s="258" t="e">
        <f>((((IF($Q$5=0,$Q$6,$Q$5)))/(12*$Q$19))+(((3*$Q$15)/(2*IF($Q$5=0,$Q$6,$Q$5)*$U$5*$Q$19))*'IN-OUT'!$F$15))*'Burland damage classification'!CK262</f>
        <v>#DIV/0!</v>
      </c>
      <c r="CH262" s="262">
        <f>(1+(((IF($Q$5=0,$Q$6^2,$Q$5^2))*$U$5)/(18*$Q$15))*('IN-OUT'!$F$15^(-1)))*CL262</f>
        <v>1.3053735097664537E-3</v>
      </c>
      <c r="CI262" s="254" t="e">
        <f t="shared" si="184"/>
        <v>#DIV/0!</v>
      </c>
      <c r="CJ262" s="254" t="e">
        <f t="shared" si="190"/>
        <v>#DIV/0!</v>
      </c>
      <c r="CK262" s="254">
        <f t="shared" si="196"/>
        <v>3.5999999999998956E-4</v>
      </c>
      <c r="CL262" s="270">
        <f t="shared" si="185"/>
        <v>1.3053735097664537E-3</v>
      </c>
      <c r="CM262" s="253">
        <f t="shared" si="197"/>
        <v>1.6400000000000071E-3</v>
      </c>
      <c r="CN262" s="255">
        <f t="shared" si="191"/>
        <v>0.1640000000000007</v>
      </c>
      <c r="CS262" s="248"/>
      <c r="DQ262" s="258" t="e">
        <f>((((IF($R$5=0,$R$6,$R$5)))/(12*$R$19))+(((3*$R$15)/(2*IF($R$5=0,$R$6,$R$5)*$U$5*$R$19))*'IN-OUT'!$F$15))*'Burland damage classification'!DU262</f>
        <v>#DIV/0!</v>
      </c>
      <c r="DR262" s="262">
        <f>(1+(((IF($R$5=0,$R$6^2,$R$5^2))*$U$5)/(18*$R$15))*('IN-OUT'!$F$15^(-1)))*DV262</f>
        <v>1.3053735097664537E-3</v>
      </c>
      <c r="DS262" s="254" t="e">
        <f t="shared" si="186"/>
        <v>#DIV/0!</v>
      </c>
      <c r="DT262" s="254" t="e">
        <f t="shared" si="192"/>
        <v>#DIV/0!</v>
      </c>
      <c r="DU262" s="254">
        <f t="shared" si="198"/>
        <v>3.5999999999998956E-4</v>
      </c>
      <c r="DV262" s="270">
        <f t="shared" si="187"/>
        <v>1.3053735097664537E-3</v>
      </c>
      <c r="DW262" s="253">
        <f t="shared" si="199"/>
        <v>1.6400000000000071E-3</v>
      </c>
      <c r="DX262" s="255">
        <f t="shared" si="193"/>
        <v>0.1640000000000007</v>
      </c>
    </row>
    <row r="263" spans="21:128">
      <c r="U263" s="262"/>
      <c r="AW263" s="258">
        <f>(((IF($P$5&lt;&gt;0,$P$5,IF($P$6&lt;&gt;0,$P$6,IF($P$7&lt;&gt;0,$P$7,0))))/(12*$P$19))+(((3*$P$15)/(2*(IF($P$5&lt;&gt;0,$P$5,IF($P$6&lt;&gt;0,$P$6,IF($P$7&lt;&gt;0,$P$7,0))))*$U$5*$P$19))*'IN-OUT'!$F$15))*'Burland damage classification'!BA263</f>
        <v>1.1342538044011765E-3</v>
      </c>
      <c r="AX263" s="254">
        <f>(1+(((IF($P$5&lt;&gt;0,$P$5^2,IF($P$6&lt;&gt;0,$P$6^2,IF($P$7&lt;&gt;0,$P$7^2))))*$U$5)/(18*$P$15))*('IN-OUT'!$F$15^(-1)))*BB263</f>
        <v>1.3752195621701806E-3</v>
      </c>
      <c r="AY263" s="254">
        <f t="shared" si="200"/>
        <v>1.1342538044011765E-3</v>
      </c>
      <c r="AZ263" s="254">
        <f t="shared" si="188"/>
        <v>0.11342538044011766</v>
      </c>
      <c r="BA263" s="254">
        <f t="shared" si="194"/>
        <v>3.5333333333332291E-4</v>
      </c>
      <c r="BB263" s="270">
        <f t="shared" si="183"/>
        <v>1.3017936344392903E-3</v>
      </c>
      <c r="BC263" s="253">
        <f t="shared" si="195"/>
        <v>1.6466666666666739E-3</v>
      </c>
      <c r="BD263" s="255">
        <f t="shared" si="189"/>
        <v>0.16466666666666738</v>
      </c>
      <c r="BI263" s="248"/>
      <c r="CG263" s="258" t="e">
        <f>((((IF($Q$5=0,$Q$6,$Q$5)))/(12*$Q$19))+(((3*$Q$15)/(2*IF($Q$5=0,$Q$6,$Q$5)*$U$5*$Q$19))*'IN-OUT'!$F$15))*'Burland damage classification'!CK263</f>
        <v>#DIV/0!</v>
      </c>
      <c r="CH263" s="262">
        <f>(1+(((IF($Q$5=0,$Q$6^2,$Q$5^2))*$U$5)/(18*$Q$15))*('IN-OUT'!$F$15^(-1)))*CL263</f>
        <v>1.3017936344392903E-3</v>
      </c>
      <c r="CI263" s="254" t="e">
        <f t="shared" si="184"/>
        <v>#DIV/0!</v>
      </c>
      <c r="CJ263" s="254" t="e">
        <f t="shared" si="190"/>
        <v>#DIV/0!</v>
      </c>
      <c r="CK263" s="254">
        <f t="shared" si="196"/>
        <v>3.5333333333332291E-4</v>
      </c>
      <c r="CL263" s="270">
        <f t="shared" si="185"/>
        <v>1.3017936344392903E-3</v>
      </c>
      <c r="CM263" s="253">
        <f t="shared" si="197"/>
        <v>1.6466666666666739E-3</v>
      </c>
      <c r="CN263" s="255">
        <f t="shared" si="191"/>
        <v>0.16466666666666738</v>
      </c>
      <c r="CS263" s="248"/>
      <c r="DQ263" s="258" t="e">
        <f>((((IF($R$5=0,$R$6,$R$5)))/(12*$R$19))+(((3*$R$15)/(2*IF($R$5=0,$R$6,$R$5)*$U$5*$R$19))*'IN-OUT'!$F$15))*'Burland damage classification'!DU263</f>
        <v>#DIV/0!</v>
      </c>
      <c r="DR263" s="262">
        <f>(1+(((IF($R$5=0,$R$6^2,$R$5^2))*$U$5)/(18*$R$15))*('IN-OUT'!$F$15^(-1)))*DV263</f>
        <v>1.3017936344392903E-3</v>
      </c>
      <c r="DS263" s="254" t="e">
        <f t="shared" si="186"/>
        <v>#DIV/0!</v>
      </c>
      <c r="DT263" s="254" t="e">
        <f t="shared" si="192"/>
        <v>#DIV/0!</v>
      </c>
      <c r="DU263" s="254">
        <f t="shared" si="198"/>
        <v>3.5333333333332291E-4</v>
      </c>
      <c r="DV263" s="270">
        <f t="shared" si="187"/>
        <v>1.3017936344392903E-3</v>
      </c>
      <c r="DW263" s="253">
        <f t="shared" si="199"/>
        <v>1.6466666666666739E-3</v>
      </c>
      <c r="DX263" s="255">
        <f t="shared" si="193"/>
        <v>0.16466666666666738</v>
      </c>
    </row>
    <row r="264" spans="21:128">
      <c r="U264" s="262"/>
      <c r="AW264" s="258">
        <f>(((IF($P$5&lt;&gt;0,$P$5,IF($P$6&lt;&gt;0,$P$6,IF($P$7&lt;&gt;0,$P$7,0))))/(12*$P$19))+(((3*$P$15)/(2*(IF($P$5&lt;&gt;0,$P$5,IF($P$6&lt;&gt;0,$P$6,IF($P$7&lt;&gt;0,$P$7,0))))*$U$5*$P$19))*'IN-OUT'!$F$15))*'Burland damage classification'!BA264</f>
        <v>1.1128527892237952E-3</v>
      </c>
      <c r="AX264" s="254">
        <f>(1+(((IF($P$5&lt;&gt;0,$P$5^2,IF($P$6&lt;&gt;0,$P$6^2,IF($P$7&lt;&gt;0,$P$7^2))))*$U$5)/(18*$P$15))*('IN-OUT'!$F$15^(-1)))*BB264</f>
        <v>1.3714273402830196E-3</v>
      </c>
      <c r="AY264" s="254">
        <f t="shared" si="200"/>
        <v>1.1128527892237952E-3</v>
      </c>
      <c r="AZ264" s="254">
        <f t="shared" si="188"/>
        <v>0.11128527892237952</v>
      </c>
      <c r="BA264" s="254">
        <f t="shared" si="194"/>
        <v>3.4666666666665626E-4</v>
      </c>
      <c r="BB264" s="270">
        <f t="shared" si="183"/>
        <v>1.2982038874280585E-3</v>
      </c>
      <c r="BC264" s="253">
        <f t="shared" si="195"/>
        <v>1.6533333333333406E-3</v>
      </c>
      <c r="BD264" s="255">
        <f t="shared" si="189"/>
        <v>0.16533333333333405</v>
      </c>
      <c r="BI264" s="248"/>
      <c r="CG264" s="258" t="e">
        <f>((((IF($Q$5=0,$Q$6,$Q$5)))/(12*$Q$19))+(((3*$Q$15)/(2*IF($Q$5=0,$Q$6,$Q$5)*$U$5*$Q$19))*'IN-OUT'!$F$15))*'Burland damage classification'!CK264</f>
        <v>#DIV/0!</v>
      </c>
      <c r="CH264" s="262">
        <f>(1+(((IF($Q$5=0,$Q$6^2,$Q$5^2))*$U$5)/(18*$Q$15))*('IN-OUT'!$F$15^(-1)))*CL264</f>
        <v>1.2982038874280585E-3</v>
      </c>
      <c r="CI264" s="254" t="e">
        <f t="shared" si="184"/>
        <v>#DIV/0!</v>
      </c>
      <c r="CJ264" s="254" t="e">
        <f t="shared" si="190"/>
        <v>#DIV/0!</v>
      </c>
      <c r="CK264" s="254">
        <f t="shared" si="196"/>
        <v>3.4666666666665626E-4</v>
      </c>
      <c r="CL264" s="270">
        <f t="shared" si="185"/>
        <v>1.2982038874280585E-3</v>
      </c>
      <c r="CM264" s="253">
        <f t="shared" si="197"/>
        <v>1.6533333333333406E-3</v>
      </c>
      <c r="CN264" s="255">
        <f t="shared" si="191"/>
        <v>0.16533333333333405</v>
      </c>
      <c r="CS264" s="248"/>
      <c r="DQ264" s="258" t="e">
        <f>((((IF($R$5=0,$R$6,$R$5)))/(12*$R$19))+(((3*$R$15)/(2*IF($R$5=0,$R$6,$R$5)*$U$5*$R$19))*'IN-OUT'!$F$15))*'Burland damage classification'!DU264</f>
        <v>#DIV/0!</v>
      </c>
      <c r="DR264" s="262">
        <f>(1+(((IF($R$5=0,$R$6^2,$R$5^2))*$U$5)/(18*$R$15))*('IN-OUT'!$F$15^(-1)))*DV264</f>
        <v>1.2982038874280585E-3</v>
      </c>
      <c r="DS264" s="254" t="e">
        <f t="shared" si="186"/>
        <v>#DIV/0!</v>
      </c>
      <c r="DT264" s="254" t="e">
        <f t="shared" si="192"/>
        <v>#DIV/0!</v>
      </c>
      <c r="DU264" s="254">
        <f t="shared" si="198"/>
        <v>3.4666666666665626E-4</v>
      </c>
      <c r="DV264" s="270">
        <f t="shared" si="187"/>
        <v>1.2982038874280585E-3</v>
      </c>
      <c r="DW264" s="253">
        <f t="shared" si="199"/>
        <v>1.6533333333333406E-3</v>
      </c>
      <c r="DX264" s="255">
        <f t="shared" si="193"/>
        <v>0.16533333333333405</v>
      </c>
    </row>
    <row r="265" spans="21:128">
      <c r="U265" s="262"/>
      <c r="AW265" s="258">
        <f>(((IF($P$5&lt;&gt;0,$P$5,IF($P$6&lt;&gt;0,$P$6,IF($P$7&lt;&gt;0,$P$7,0))))/(12*$P$19))+(((3*$P$15)/(2*(IF($P$5&lt;&gt;0,$P$5,IF($P$6&lt;&gt;0,$P$6,IF($P$7&lt;&gt;0,$P$7,0))))*$U$5*$P$19))*'IN-OUT'!$F$15))*'Burland damage classification'!BA265</f>
        <v>1.091451774046414E-3</v>
      </c>
      <c r="AX265" s="254">
        <f>(1+(((IF($P$5&lt;&gt;0,$P$5^2,IF($P$6&lt;&gt;0,$P$6^2,IF($P$7&lt;&gt;0,$P$7^2))))*$U$5)/(18*$P$15))*('IN-OUT'!$F$15^(-1)))*BB265</f>
        <v>1.3676246031627136E-3</v>
      </c>
      <c r="AY265" s="254">
        <f t="shared" si="200"/>
        <v>1.091451774046414E-3</v>
      </c>
      <c r="AZ265" s="254">
        <f t="shared" si="188"/>
        <v>0.1091451774046414</v>
      </c>
      <c r="BA265" s="254">
        <f t="shared" si="194"/>
        <v>3.3999999999998962E-4</v>
      </c>
      <c r="BB265" s="270">
        <f t="shared" si="183"/>
        <v>1.2946041866145766E-3</v>
      </c>
      <c r="BC265" s="253">
        <f t="shared" si="195"/>
        <v>1.6600000000000074E-3</v>
      </c>
      <c r="BD265" s="255">
        <f t="shared" si="189"/>
        <v>0.16600000000000073</v>
      </c>
      <c r="BI265" s="248"/>
      <c r="CG265" s="258" t="e">
        <f>((((IF($Q$5=0,$Q$6,$Q$5)))/(12*$Q$19))+(((3*$Q$15)/(2*IF($Q$5=0,$Q$6,$Q$5)*$U$5*$Q$19))*'IN-OUT'!$F$15))*'Burland damage classification'!CK265</f>
        <v>#DIV/0!</v>
      </c>
      <c r="CH265" s="262">
        <f>(1+(((IF($Q$5=0,$Q$6^2,$Q$5^2))*$U$5)/(18*$Q$15))*('IN-OUT'!$F$15^(-1)))*CL265</f>
        <v>1.2946041866145766E-3</v>
      </c>
      <c r="CI265" s="254" t="e">
        <f t="shared" si="184"/>
        <v>#DIV/0!</v>
      </c>
      <c r="CJ265" s="254" t="e">
        <f t="shared" si="190"/>
        <v>#DIV/0!</v>
      </c>
      <c r="CK265" s="254">
        <f t="shared" si="196"/>
        <v>3.3999999999998962E-4</v>
      </c>
      <c r="CL265" s="270">
        <f t="shared" si="185"/>
        <v>1.2946041866145766E-3</v>
      </c>
      <c r="CM265" s="253">
        <f t="shared" si="197"/>
        <v>1.6600000000000074E-3</v>
      </c>
      <c r="CN265" s="255">
        <f t="shared" si="191"/>
        <v>0.16600000000000073</v>
      </c>
      <c r="CS265" s="248"/>
      <c r="DQ265" s="258" t="e">
        <f>((((IF($R$5=0,$R$6,$R$5)))/(12*$R$19))+(((3*$R$15)/(2*IF($R$5=0,$R$6,$R$5)*$U$5*$R$19))*'IN-OUT'!$F$15))*'Burland damage classification'!DU265</f>
        <v>#DIV/0!</v>
      </c>
      <c r="DR265" s="262">
        <f>(1+(((IF($R$5=0,$R$6^2,$R$5^2))*$U$5)/(18*$R$15))*('IN-OUT'!$F$15^(-1)))*DV265</f>
        <v>1.2946041866145766E-3</v>
      </c>
      <c r="DS265" s="254" t="e">
        <f t="shared" si="186"/>
        <v>#DIV/0!</v>
      </c>
      <c r="DT265" s="254" t="e">
        <f t="shared" si="192"/>
        <v>#DIV/0!</v>
      </c>
      <c r="DU265" s="254">
        <f t="shared" si="198"/>
        <v>3.3999999999998962E-4</v>
      </c>
      <c r="DV265" s="270">
        <f t="shared" si="187"/>
        <v>1.2946041866145766E-3</v>
      </c>
      <c r="DW265" s="253">
        <f t="shared" si="199"/>
        <v>1.6600000000000074E-3</v>
      </c>
      <c r="DX265" s="255">
        <f t="shared" si="193"/>
        <v>0.16600000000000073</v>
      </c>
    </row>
    <row r="266" spans="21:128">
      <c r="U266" s="262"/>
      <c r="AW266" s="258">
        <f>(((IF($P$5&lt;&gt;0,$P$5,IF($P$6&lt;&gt;0,$P$6,IF($P$7&lt;&gt;0,$P$7,0))))/(12*$P$19))+(((3*$P$15)/(2*(IF($P$5&lt;&gt;0,$P$5,IF($P$6&lt;&gt;0,$P$6,IF($P$7&lt;&gt;0,$P$7,0))))*$U$5*$P$19))*'IN-OUT'!$F$15))*'Burland damage classification'!BA266</f>
        <v>1.0700507588690326E-3</v>
      </c>
      <c r="AX266" s="254">
        <f>(1+(((IF($P$5&lt;&gt;0,$P$5^2,IF($P$6&lt;&gt;0,$P$6^2,IF($P$7&lt;&gt;0,$P$7^2))))*$U$5)/(18*$P$15))*('IN-OUT'!$F$15^(-1)))*BB266</f>
        <v>1.3638112628498794E-3</v>
      </c>
      <c r="AY266" s="254">
        <f t="shared" si="200"/>
        <v>1.0700507588690326E-3</v>
      </c>
      <c r="AZ266" s="254">
        <f t="shared" si="188"/>
        <v>0.10700507588690326</v>
      </c>
      <c r="BA266" s="254">
        <f t="shared" si="194"/>
        <v>3.3333333333332297E-4</v>
      </c>
      <c r="BB266" s="270">
        <f t="shared" si="183"/>
        <v>1.2909944487358015E-3</v>
      </c>
      <c r="BC266" s="253">
        <f t="shared" si="195"/>
        <v>1.6666666666666741E-3</v>
      </c>
      <c r="BD266" s="255">
        <f t="shared" si="189"/>
        <v>0.16666666666666741</v>
      </c>
      <c r="BI266" s="248"/>
      <c r="CG266" s="258" t="e">
        <f>((((IF($Q$5=0,$Q$6,$Q$5)))/(12*$Q$19))+(((3*$Q$15)/(2*IF($Q$5=0,$Q$6,$Q$5)*$U$5*$Q$19))*'IN-OUT'!$F$15))*'Burland damage classification'!CK266</f>
        <v>#DIV/0!</v>
      </c>
      <c r="CH266" s="262">
        <f>(1+(((IF($Q$5=0,$Q$6^2,$Q$5^2))*$U$5)/(18*$Q$15))*('IN-OUT'!$F$15^(-1)))*CL266</f>
        <v>1.2909944487358015E-3</v>
      </c>
      <c r="CI266" s="254" t="e">
        <f t="shared" si="184"/>
        <v>#DIV/0!</v>
      </c>
      <c r="CJ266" s="254" t="e">
        <f t="shared" si="190"/>
        <v>#DIV/0!</v>
      </c>
      <c r="CK266" s="254">
        <f t="shared" si="196"/>
        <v>3.3333333333332297E-4</v>
      </c>
      <c r="CL266" s="270">
        <f t="shared" si="185"/>
        <v>1.2909944487358015E-3</v>
      </c>
      <c r="CM266" s="253">
        <f t="shared" si="197"/>
        <v>1.6666666666666741E-3</v>
      </c>
      <c r="CN266" s="255">
        <f t="shared" si="191"/>
        <v>0.16666666666666741</v>
      </c>
      <c r="CS266" s="248"/>
      <c r="DQ266" s="258" t="e">
        <f>((((IF($R$5=0,$R$6,$R$5)))/(12*$R$19))+(((3*$R$15)/(2*IF($R$5=0,$R$6,$R$5)*$U$5*$R$19))*'IN-OUT'!$F$15))*'Burland damage classification'!DU266</f>
        <v>#DIV/0!</v>
      </c>
      <c r="DR266" s="262">
        <f>(1+(((IF($R$5=0,$R$6^2,$R$5^2))*$U$5)/(18*$R$15))*('IN-OUT'!$F$15^(-1)))*DV266</f>
        <v>1.2909944487358015E-3</v>
      </c>
      <c r="DS266" s="254" t="e">
        <f t="shared" si="186"/>
        <v>#DIV/0!</v>
      </c>
      <c r="DT266" s="254" t="e">
        <f t="shared" si="192"/>
        <v>#DIV/0!</v>
      </c>
      <c r="DU266" s="254">
        <f t="shared" si="198"/>
        <v>3.3333333333332297E-4</v>
      </c>
      <c r="DV266" s="270">
        <f t="shared" si="187"/>
        <v>1.2909944487358015E-3</v>
      </c>
      <c r="DW266" s="253">
        <f t="shared" si="199"/>
        <v>1.6666666666666741E-3</v>
      </c>
      <c r="DX266" s="255">
        <f t="shared" si="193"/>
        <v>0.16666666666666741</v>
      </c>
    </row>
    <row r="267" spans="21:128">
      <c r="U267" s="262"/>
      <c r="AW267" s="258">
        <f>(((IF($P$5&lt;&gt;0,$P$5,IF($P$6&lt;&gt;0,$P$6,IF($P$7&lt;&gt;0,$P$7,0))))/(12*$P$19))+(((3*$P$15)/(2*(IF($P$5&lt;&gt;0,$P$5,IF($P$6&lt;&gt;0,$P$6,IF($P$7&lt;&gt;0,$P$7,0))))*$U$5*$P$19))*'IN-OUT'!$F$15))*'Burland damage classification'!BA267</f>
        <v>1.0486497436916515E-3</v>
      </c>
      <c r="AX267" s="254">
        <f>(1+(((IF($P$5&lt;&gt;0,$P$5^2,IF($P$6&lt;&gt;0,$P$6^2,IF($P$7&lt;&gt;0,$P$7^2))))*$U$5)/(18*$P$15))*('IN-OUT'!$F$15^(-1)))*BB267</f>
        <v>1.3599872301519585E-3</v>
      </c>
      <c r="AY267" s="254">
        <f t="shared" si="200"/>
        <v>1.0486497436916515E-3</v>
      </c>
      <c r="AZ267" s="254">
        <f t="shared" si="188"/>
        <v>0.10486497436916514</v>
      </c>
      <c r="BA267" s="254">
        <f t="shared" si="194"/>
        <v>3.2666666666665632E-4</v>
      </c>
      <c r="BB267" s="270">
        <f t="shared" si="183"/>
        <v>1.287374589361357E-3</v>
      </c>
      <c r="BC267" s="253">
        <f t="shared" si="195"/>
        <v>1.6733333333333409E-3</v>
      </c>
      <c r="BD267" s="255">
        <f t="shared" si="189"/>
        <v>0.16733333333333408</v>
      </c>
      <c r="BI267" s="248"/>
      <c r="CG267" s="258" t="e">
        <f>((((IF($Q$5=0,$Q$6,$Q$5)))/(12*$Q$19))+(((3*$Q$15)/(2*IF($Q$5=0,$Q$6,$Q$5)*$U$5*$Q$19))*'IN-OUT'!$F$15))*'Burland damage classification'!CK267</f>
        <v>#DIV/0!</v>
      </c>
      <c r="CH267" s="262">
        <f>(1+(((IF($Q$5=0,$Q$6^2,$Q$5^2))*$U$5)/(18*$Q$15))*('IN-OUT'!$F$15^(-1)))*CL267</f>
        <v>1.287374589361357E-3</v>
      </c>
      <c r="CI267" s="254" t="e">
        <f t="shared" si="184"/>
        <v>#DIV/0!</v>
      </c>
      <c r="CJ267" s="254" t="e">
        <f t="shared" si="190"/>
        <v>#DIV/0!</v>
      </c>
      <c r="CK267" s="254">
        <f t="shared" si="196"/>
        <v>3.2666666666665632E-4</v>
      </c>
      <c r="CL267" s="270">
        <f t="shared" si="185"/>
        <v>1.287374589361357E-3</v>
      </c>
      <c r="CM267" s="253">
        <f t="shared" si="197"/>
        <v>1.6733333333333409E-3</v>
      </c>
      <c r="CN267" s="255">
        <f t="shared" si="191"/>
        <v>0.16733333333333408</v>
      </c>
      <c r="CS267" s="248"/>
      <c r="DQ267" s="258" t="e">
        <f>((((IF($R$5=0,$R$6,$R$5)))/(12*$R$19))+(((3*$R$15)/(2*IF($R$5=0,$R$6,$R$5)*$U$5*$R$19))*'IN-OUT'!$F$15))*'Burland damage classification'!DU267</f>
        <v>#DIV/0!</v>
      </c>
      <c r="DR267" s="262">
        <f>(1+(((IF($R$5=0,$R$6^2,$R$5^2))*$U$5)/(18*$R$15))*('IN-OUT'!$F$15^(-1)))*DV267</f>
        <v>1.287374589361357E-3</v>
      </c>
      <c r="DS267" s="254" t="e">
        <f t="shared" si="186"/>
        <v>#DIV/0!</v>
      </c>
      <c r="DT267" s="254" t="e">
        <f t="shared" si="192"/>
        <v>#DIV/0!</v>
      </c>
      <c r="DU267" s="254">
        <f t="shared" si="198"/>
        <v>3.2666666666665632E-4</v>
      </c>
      <c r="DV267" s="270">
        <f t="shared" si="187"/>
        <v>1.287374589361357E-3</v>
      </c>
      <c r="DW267" s="253">
        <f t="shared" si="199"/>
        <v>1.6733333333333409E-3</v>
      </c>
      <c r="DX267" s="255">
        <f t="shared" si="193"/>
        <v>0.16733333333333408</v>
      </c>
    </row>
    <row r="268" spans="21:128">
      <c r="U268" s="262"/>
      <c r="AW268" s="258">
        <f>(((IF($P$5&lt;&gt;0,$P$5,IF($P$6&lt;&gt;0,$P$6,IF($P$7&lt;&gt;0,$P$7,0))))/(12*$P$19))+(((3*$P$15)/(2*(IF($P$5&lt;&gt;0,$P$5,IF($P$6&lt;&gt;0,$P$6,IF($P$7&lt;&gt;0,$P$7,0))))*$U$5*$P$19))*'IN-OUT'!$F$15))*'Burland damage classification'!BA268</f>
        <v>1.0272487285142701E-3</v>
      </c>
      <c r="AX268" s="254">
        <f>(1+(((IF($P$5&lt;&gt;0,$P$5^2,IF($P$6&lt;&gt;0,$P$6^2,IF($P$7&lt;&gt;0,$P$7^2))))*$U$5)/(18*$P$15))*('IN-OUT'!$F$15^(-1)))*BB268</f>
        <v>1.3561524146188766E-3</v>
      </c>
      <c r="AY268" s="254">
        <f t="shared" si="200"/>
        <v>1.0272487285142701E-3</v>
      </c>
      <c r="AZ268" s="254">
        <f t="shared" si="188"/>
        <v>0.10272487285142701</v>
      </c>
      <c r="BA268" s="254">
        <f t="shared" si="194"/>
        <v>3.1999999999998967E-4</v>
      </c>
      <c r="BB268" s="270">
        <f t="shared" si="183"/>
        <v>1.2837445228704929E-3</v>
      </c>
      <c r="BC268" s="253">
        <f t="shared" si="195"/>
        <v>1.6800000000000077E-3</v>
      </c>
      <c r="BD268" s="255">
        <f t="shared" si="189"/>
        <v>0.16800000000000076</v>
      </c>
      <c r="BI268" s="248"/>
      <c r="CG268" s="258" t="e">
        <f>((((IF($Q$5=0,$Q$6,$Q$5)))/(12*$Q$19))+(((3*$Q$15)/(2*IF($Q$5=0,$Q$6,$Q$5)*$U$5*$Q$19))*'IN-OUT'!$F$15))*'Burland damage classification'!CK268</f>
        <v>#DIV/0!</v>
      </c>
      <c r="CH268" s="262">
        <f>(1+(((IF($Q$5=0,$Q$6^2,$Q$5^2))*$U$5)/(18*$Q$15))*('IN-OUT'!$F$15^(-1)))*CL268</f>
        <v>1.2837445228704929E-3</v>
      </c>
      <c r="CI268" s="254" t="e">
        <f t="shared" si="184"/>
        <v>#DIV/0!</v>
      </c>
      <c r="CJ268" s="254" t="e">
        <f t="shared" si="190"/>
        <v>#DIV/0!</v>
      </c>
      <c r="CK268" s="254">
        <f t="shared" si="196"/>
        <v>3.1999999999998967E-4</v>
      </c>
      <c r="CL268" s="270">
        <f t="shared" si="185"/>
        <v>1.2837445228704929E-3</v>
      </c>
      <c r="CM268" s="253">
        <f t="shared" si="197"/>
        <v>1.6800000000000077E-3</v>
      </c>
      <c r="CN268" s="255">
        <f t="shared" si="191"/>
        <v>0.16800000000000076</v>
      </c>
      <c r="CS268" s="248"/>
      <c r="DQ268" s="258" t="e">
        <f>((((IF($R$5=0,$R$6,$R$5)))/(12*$R$19))+(((3*$R$15)/(2*IF($R$5=0,$R$6,$R$5)*$U$5*$R$19))*'IN-OUT'!$F$15))*'Burland damage classification'!DU268</f>
        <v>#DIV/0!</v>
      </c>
      <c r="DR268" s="262">
        <f>(1+(((IF($R$5=0,$R$6^2,$R$5^2))*$U$5)/(18*$R$15))*('IN-OUT'!$F$15^(-1)))*DV268</f>
        <v>1.2837445228704929E-3</v>
      </c>
      <c r="DS268" s="254" t="e">
        <f t="shared" si="186"/>
        <v>#DIV/0!</v>
      </c>
      <c r="DT268" s="254" t="e">
        <f t="shared" si="192"/>
        <v>#DIV/0!</v>
      </c>
      <c r="DU268" s="254">
        <f t="shared" si="198"/>
        <v>3.1999999999998967E-4</v>
      </c>
      <c r="DV268" s="270">
        <f t="shared" si="187"/>
        <v>1.2837445228704929E-3</v>
      </c>
      <c r="DW268" s="253">
        <f t="shared" si="199"/>
        <v>1.6800000000000077E-3</v>
      </c>
      <c r="DX268" s="255">
        <f t="shared" si="193"/>
        <v>0.16800000000000076</v>
      </c>
    </row>
    <row r="269" spans="21:128">
      <c r="U269" s="262"/>
      <c r="AW269" s="258">
        <f>(((IF($P$5&lt;&gt;0,$P$5,IF($P$6&lt;&gt;0,$P$6,IF($P$7&lt;&gt;0,$P$7,0))))/(12*$P$19))+(((3*$P$15)/(2*(IF($P$5&lt;&gt;0,$P$5,IF($P$6&lt;&gt;0,$P$6,IF($P$7&lt;&gt;0,$P$7,0))))*$U$5*$P$19))*'IN-OUT'!$F$15))*'Burland damage classification'!BA269</f>
        <v>1.0058477133368889E-3</v>
      </c>
      <c r="AX269" s="254">
        <f>(1+(((IF($P$5&lt;&gt;0,$P$5^2,IF($P$6&lt;&gt;0,$P$6^2,IF($P$7&lt;&gt;0,$P$7^2))))*$U$5)/(18*$P$15))*('IN-OUT'!$F$15^(-1)))*BB269</f>
        <v>1.3523067245180815E-3</v>
      </c>
      <c r="AY269" s="254">
        <f t="shared" si="200"/>
        <v>1.0058477133368889E-3</v>
      </c>
      <c r="AZ269" s="254">
        <f t="shared" si="188"/>
        <v>0.1005847713336889</v>
      </c>
      <c r="BA269" s="254">
        <f t="shared" si="194"/>
        <v>3.1333333333332302E-4</v>
      </c>
      <c r="BB269" s="270">
        <f t="shared" si="183"/>
        <v>1.2801041624284548E-3</v>
      </c>
      <c r="BC269" s="253">
        <f t="shared" si="195"/>
        <v>1.6866666666666744E-3</v>
      </c>
      <c r="BD269" s="255">
        <f t="shared" si="189"/>
        <v>0.16866666666666744</v>
      </c>
      <c r="BI269" s="248"/>
      <c r="CG269" s="258" t="e">
        <f>((((IF($Q$5=0,$Q$6,$Q$5)))/(12*$Q$19))+(((3*$Q$15)/(2*IF($Q$5=0,$Q$6,$Q$5)*$U$5*$Q$19))*'IN-OUT'!$F$15))*'Burland damage classification'!CK269</f>
        <v>#DIV/0!</v>
      </c>
      <c r="CH269" s="262">
        <f>(1+(((IF($Q$5=0,$Q$6^2,$Q$5^2))*$U$5)/(18*$Q$15))*('IN-OUT'!$F$15^(-1)))*CL269</f>
        <v>1.2801041624284548E-3</v>
      </c>
      <c r="CI269" s="254" t="e">
        <f t="shared" si="184"/>
        <v>#DIV/0!</v>
      </c>
      <c r="CJ269" s="254" t="e">
        <f t="shared" si="190"/>
        <v>#DIV/0!</v>
      </c>
      <c r="CK269" s="254">
        <f t="shared" si="196"/>
        <v>3.1333333333332302E-4</v>
      </c>
      <c r="CL269" s="270">
        <f t="shared" si="185"/>
        <v>1.2801041624284548E-3</v>
      </c>
      <c r="CM269" s="253">
        <f t="shared" si="197"/>
        <v>1.6866666666666744E-3</v>
      </c>
      <c r="CN269" s="255">
        <f t="shared" si="191"/>
        <v>0.16866666666666744</v>
      </c>
      <c r="CS269" s="248"/>
      <c r="DQ269" s="258" t="e">
        <f>((((IF($R$5=0,$R$6,$R$5)))/(12*$R$19))+(((3*$R$15)/(2*IF($R$5=0,$R$6,$R$5)*$U$5*$R$19))*'IN-OUT'!$F$15))*'Burland damage classification'!DU269</f>
        <v>#DIV/0!</v>
      </c>
      <c r="DR269" s="262">
        <f>(1+(((IF($R$5=0,$R$6^2,$R$5^2))*$U$5)/(18*$R$15))*('IN-OUT'!$F$15^(-1)))*DV269</f>
        <v>1.2801041624284548E-3</v>
      </c>
      <c r="DS269" s="254" t="e">
        <f t="shared" si="186"/>
        <v>#DIV/0!</v>
      </c>
      <c r="DT269" s="254" t="e">
        <f t="shared" si="192"/>
        <v>#DIV/0!</v>
      </c>
      <c r="DU269" s="254">
        <f t="shared" si="198"/>
        <v>3.1333333333332302E-4</v>
      </c>
      <c r="DV269" s="270">
        <f t="shared" si="187"/>
        <v>1.2801041624284548E-3</v>
      </c>
      <c r="DW269" s="253">
        <f t="shared" si="199"/>
        <v>1.6866666666666744E-3</v>
      </c>
      <c r="DX269" s="255">
        <f t="shared" si="193"/>
        <v>0.16866666666666744</v>
      </c>
    </row>
    <row r="270" spans="21:128">
      <c r="U270" s="262"/>
      <c r="AW270" s="258">
        <f>(((IF($P$5&lt;&gt;0,$P$5,IF($P$6&lt;&gt;0,$P$6,IF($P$7&lt;&gt;0,$P$7,0))))/(12*$P$19))+(((3*$P$15)/(2*(IF($P$5&lt;&gt;0,$P$5,IF($P$6&lt;&gt;0,$P$6,IF($P$7&lt;&gt;0,$P$7,0))))*$U$5*$P$19))*'IN-OUT'!$F$15))*'Burland damage classification'!BA270</f>
        <v>9.8444669815950757E-4</v>
      </c>
      <c r="AX270" s="254">
        <f>(1+(((IF($P$5&lt;&gt;0,$P$5^2,IF($P$6&lt;&gt;0,$P$6^2,IF($P$7&lt;&gt;0,$P$7^2))))*$U$5)/(18*$P$15))*('IN-OUT'!$F$15^(-1)))*BB270</f>
        <v>1.3484500668089405E-3</v>
      </c>
      <c r="AY270" s="254">
        <f t="shared" si="200"/>
        <v>9.8444669815950757E-4</v>
      </c>
      <c r="AZ270" s="254">
        <f t="shared" si="188"/>
        <v>9.8444669815950764E-2</v>
      </c>
      <c r="BA270" s="254">
        <f t="shared" si="194"/>
        <v>3.0666666666665638E-4</v>
      </c>
      <c r="BB270" s="270">
        <f t="shared" si="183"/>
        <v>1.2764534199622493E-3</v>
      </c>
      <c r="BC270" s="253">
        <f t="shared" si="195"/>
        <v>1.6933333333333412E-3</v>
      </c>
      <c r="BD270" s="255">
        <f t="shared" si="189"/>
        <v>0.16933333333333411</v>
      </c>
      <c r="BI270" s="248"/>
      <c r="CG270" s="258" t="e">
        <f>((((IF($Q$5=0,$Q$6,$Q$5)))/(12*$Q$19))+(((3*$Q$15)/(2*IF($Q$5=0,$Q$6,$Q$5)*$U$5*$Q$19))*'IN-OUT'!$F$15))*'Burland damage classification'!CK270</f>
        <v>#DIV/0!</v>
      </c>
      <c r="CH270" s="262">
        <f>(1+(((IF($Q$5=0,$Q$6^2,$Q$5^2))*$U$5)/(18*$Q$15))*('IN-OUT'!$F$15^(-1)))*CL270</f>
        <v>1.2764534199622493E-3</v>
      </c>
      <c r="CI270" s="254" t="e">
        <f t="shared" si="184"/>
        <v>#DIV/0!</v>
      </c>
      <c r="CJ270" s="254" t="e">
        <f t="shared" si="190"/>
        <v>#DIV/0!</v>
      </c>
      <c r="CK270" s="254">
        <f t="shared" si="196"/>
        <v>3.0666666666665638E-4</v>
      </c>
      <c r="CL270" s="270">
        <f t="shared" si="185"/>
        <v>1.2764534199622493E-3</v>
      </c>
      <c r="CM270" s="253">
        <f t="shared" si="197"/>
        <v>1.6933333333333412E-3</v>
      </c>
      <c r="CN270" s="255">
        <f t="shared" si="191"/>
        <v>0.16933333333333411</v>
      </c>
      <c r="CS270" s="248"/>
      <c r="DQ270" s="258" t="e">
        <f>((((IF($R$5=0,$R$6,$R$5)))/(12*$R$19))+(((3*$R$15)/(2*IF($R$5=0,$R$6,$R$5)*$U$5*$R$19))*'IN-OUT'!$F$15))*'Burland damage classification'!DU270</f>
        <v>#DIV/0!</v>
      </c>
      <c r="DR270" s="262">
        <f>(1+(((IF($R$5=0,$R$6^2,$R$5^2))*$U$5)/(18*$R$15))*('IN-OUT'!$F$15^(-1)))*DV270</f>
        <v>1.2764534199622493E-3</v>
      </c>
      <c r="DS270" s="254" t="e">
        <f t="shared" si="186"/>
        <v>#DIV/0!</v>
      </c>
      <c r="DT270" s="254" t="e">
        <f t="shared" si="192"/>
        <v>#DIV/0!</v>
      </c>
      <c r="DU270" s="254">
        <f t="shared" si="198"/>
        <v>3.0666666666665638E-4</v>
      </c>
      <c r="DV270" s="270">
        <f t="shared" si="187"/>
        <v>1.2764534199622493E-3</v>
      </c>
      <c r="DW270" s="253">
        <f t="shared" si="199"/>
        <v>1.6933333333333412E-3</v>
      </c>
      <c r="DX270" s="255">
        <f t="shared" si="193"/>
        <v>0.16933333333333411</v>
      </c>
    </row>
    <row r="271" spans="21:128">
      <c r="U271" s="262"/>
      <c r="AW271" s="258">
        <f>(((IF($P$5&lt;&gt;0,$P$5,IF($P$6&lt;&gt;0,$P$6,IF($P$7&lt;&gt;0,$P$7,0))))/(12*$P$19))+(((3*$P$15)/(2*(IF($P$5&lt;&gt;0,$P$5,IF($P$6&lt;&gt;0,$P$6,IF($P$7&lt;&gt;0,$P$7,0))))*$U$5*$P$19))*'IN-OUT'!$F$15))*'Burland damage classification'!BA271</f>
        <v>9.6304568298212641E-4</v>
      </c>
      <c r="AX271" s="254">
        <f>(1+(((IF($P$5&lt;&gt;0,$P$5^2,IF($P$6&lt;&gt;0,$P$6^2,IF($P$7&lt;&gt;0,$P$7^2))))*$U$5)/(18*$P$15))*('IN-OUT'!$F$15^(-1)))*BB271</f>
        <v>1.3445823471164751E-3</v>
      </c>
      <c r="AY271" s="254">
        <f t="shared" si="200"/>
        <v>9.6304568298212641E-4</v>
      </c>
      <c r="AZ271" s="254">
        <f t="shared" si="188"/>
        <v>9.6304568298212642E-2</v>
      </c>
      <c r="BA271" s="254">
        <f t="shared" si="194"/>
        <v>2.9999999999998973E-4</v>
      </c>
      <c r="BB271" s="270">
        <f t="shared" si="183"/>
        <v>1.2727922061357812E-3</v>
      </c>
      <c r="BC271" s="253">
        <f t="shared" si="195"/>
        <v>1.7000000000000079E-3</v>
      </c>
      <c r="BD271" s="255">
        <f t="shared" si="189"/>
        <v>0.17000000000000079</v>
      </c>
      <c r="BI271" s="248"/>
      <c r="CG271" s="258" t="e">
        <f>((((IF($Q$5=0,$Q$6,$Q$5)))/(12*$Q$19))+(((3*$Q$15)/(2*IF($Q$5=0,$Q$6,$Q$5)*$U$5*$Q$19))*'IN-OUT'!$F$15))*'Burland damage classification'!CK271</f>
        <v>#DIV/0!</v>
      </c>
      <c r="CH271" s="262">
        <f>(1+(((IF($Q$5=0,$Q$6^2,$Q$5^2))*$U$5)/(18*$Q$15))*('IN-OUT'!$F$15^(-1)))*CL271</f>
        <v>1.2727922061357812E-3</v>
      </c>
      <c r="CI271" s="254" t="e">
        <f t="shared" si="184"/>
        <v>#DIV/0!</v>
      </c>
      <c r="CJ271" s="254" t="e">
        <f t="shared" si="190"/>
        <v>#DIV/0!</v>
      </c>
      <c r="CK271" s="254">
        <f t="shared" si="196"/>
        <v>2.9999999999998973E-4</v>
      </c>
      <c r="CL271" s="270">
        <f t="shared" si="185"/>
        <v>1.2727922061357812E-3</v>
      </c>
      <c r="CM271" s="253">
        <f t="shared" si="197"/>
        <v>1.7000000000000079E-3</v>
      </c>
      <c r="CN271" s="255">
        <f t="shared" si="191"/>
        <v>0.17000000000000079</v>
      </c>
      <c r="CS271" s="248"/>
      <c r="DQ271" s="258" t="e">
        <f>((((IF($R$5=0,$R$6,$R$5)))/(12*$R$19))+(((3*$R$15)/(2*IF($R$5=0,$R$6,$R$5)*$U$5*$R$19))*'IN-OUT'!$F$15))*'Burland damage classification'!DU271</f>
        <v>#DIV/0!</v>
      </c>
      <c r="DR271" s="262">
        <f>(1+(((IF($R$5=0,$R$6^2,$R$5^2))*$U$5)/(18*$R$15))*('IN-OUT'!$F$15^(-1)))*DV271</f>
        <v>1.2727922061357812E-3</v>
      </c>
      <c r="DS271" s="254" t="e">
        <f t="shared" si="186"/>
        <v>#DIV/0!</v>
      </c>
      <c r="DT271" s="254" t="e">
        <f t="shared" si="192"/>
        <v>#DIV/0!</v>
      </c>
      <c r="DU271" s="254">
        <f t="shared" si="198"/>
        <v>2.9999999999998973E-4</v>
      </c>
      <c r="DV271" s="270">
        <f t="shared" si="187"/>
        <v>1.2727922061357812E-3</v>
      </c>
      <c r="DW271" s="253">
        <f t="shared" si="199"/>
        <v>1.7000000000000079E-3</v>
      </c>
      <c r="DX271" s="255">
        <f t="shared" si="193"/>
        <v>0.17000000000000079</v>
      </c>
    </row>
    <row r="272" spans="21:128">
      <c r="U272" s="262"/>
      <c r="AW272" s="258">
        <f>(((IF($P$5&lt;&gt;0,$P$5,IF($P$6&lt;&gt;0,$P$6,IF($P$7&lt;&gt;0,$P$7,0))))/(12*$P$19))+(((3*$P$15)/(2*(IF($P$5&lt;&gt;0,$P$5,IF($P$6&lt;&gt;0,$P$6,IF($P$7&lt;&gt;0,$P$7,0))))*$U$5*$P$19))*'IN-OUT'!$F$15))*'Burland damage classification'!BA272</f>
        <v>9.4164466780474515E-4</v>
      </c>
      <c r="AX272" s="254">
        <f>(1+(((IF($P$5&lt;&gt;0,$P$5^2,IF($P$6&lt;&gt;0,$P$6^2,IF($P$7&lt;&gt;0,$P$7^2))))*$U$5)/(18*$P$15))*('IN-OUT'!$F$15^(-1)))*BB272</f>
        <v>1.3407034697044168E-3</v>
      </c>
      <c r="AY272" s="254">
        <f t="shared" si="200"/>
        <v>9.4164466780474515E-4</v>
      </c>
      <c r="AZ272" s="254">
        <f t="shared" si="188"/>
        <v>9.4164466780474521E-2</v>
      </c>
      <c r="BA272" s="254">
        <f t="shared" si="194"/>
        <v>2.9333333333332308E-4</v>
      </c>
      <c r="BB272" s="270">
        <f t="shared" ref="BB272:BB316" si="201">($P$28^2-(2*0.35*$P$28*BC272))^0.5</f>
        <v>1.2691204303243468E-3</v>
      </c>
      <c r="BC272" s="253">
        <f t="shared" si="195"/>
        <v>1.7066666666666747E-3</v>
      </c>
      <c r="BD272" s="255">
        <f t="shared" si="189"/>
        <v>0.17066666666666747</v>
      </c>
      <c r="BI272" s="248"/>
      <c r="CG272" s="258" t="e">
        <f>((((IF($Q$5=0,$Q$6,$Q$5)))/(12*$Q$19))+(((3*$Q$15)/(2*IF($Q$5=0,$Q$6,$Q$5)*$U$5*$Q$19))*'IN-OUT'!$F$15))*'Burland damage classification'!CK272</f>
        <v>#DIV/0!</v>
      </c>
      <c r="CH272" s="262">
        <f>(1+(((IF($Q$5=0,$Q$6^2,$Q$5^2))*$U$5)/(18*$Q$15))*('IN-OUT'!$F$15^(-1)))*CL272</f>
        <v>1.2691204303243468E-3</v>
      </c>
      <c r="CI272" s="254" t="e">
        <f t="shared" ref="CI272:CI316" si="202">MIN(CG272,CH272)</f>
        <v>#DIV/0!</v>
      </c>
      <c r="CJ272" s="254" t="e">
        <f t="shared" si="190"/>
        <v>#DIV/0!</v>
      </c>
      <c r="CK272" s="254">
        <f t="shared" si="196"/>
        <v>2.9333333333332308E-4</v>
      </c>
      <c r="CL272" s="270">
        <f t="shared" ref="CL272:CL316" si="203">($P$28^2-(2*0.35*$P$28*CM272))^0.5</f>
        <v>1.2691204303243468E-3</v>
      </c>
      <c r="CM272" s="253">
        <f t="shared" si="197"/>
        <v>1.7066666666666747E-3</v>
      </c>
      <c r="CN272" s="255">
        <f t="shared" si="191"/>
        <v>0.17066666666666747</v>
      </c>
      <c r="CS272" s="248"/>
      <c r="DQ272" s="258" t="e">
        <f>((((IF($R$5=0,$R$6,$R$5)))/(12*$R$19))+(((3*$R$15)/(2*IF($R$5=0,$R$6,$R$5)*$U$5*$R$19))*'IN-OUT'!$F$15))*'Burland damage classification'!DU272</f>
        <v>#DIV/0!</v>
      </c>
      <c r="DR272" s="262">
        <f>(1+(((IF($R$5=0,$R$6^2,$R$5^2))*$U$5)/(18*$R$15))*('IN-OUT'!$F$15^(-1)))*DV272</f>
        <v>1.2691204303243468E-3</v>
      </c>
      <c r="DS272" s="254" t="e">
        <f t="shared" ref="DS272:DS316" si="204">MIN(DQ272,DR272)</f>
        <v>#DIV/0!</v>
      </c>
      <c r="DT272" s="254" t="e">
        <f t="shared" si="192"/>
        <v>#DIV/0!</v>
      </c>
      <c r="DU272" s="254">
        <f t="shared" si="198"/>
        <v>2.9333333333332308E-4</v>
      </c>
      <c r="DV272" s="270">
        <f t="shared" ref="DV272:DV316" si="205">($P$28^2-(2*0.35*$P$28*DW272))^0.5</f>
        <v>1.2691204303243468E-3</v>
      </c>
      <c r="DW272" s="253">
        <f t="shared" si="199"/>
        <v>1.7066666666666747E-3</v>
      </c>
      <c r="DX272" s="255">
        <f t="shared" si="193"/>
        <v>0.17066666666666747</v>
      </c>
    </row>
    <row r="273" spans="21:128">
      <c r="U273" s="262"/>
      <c r="AW273" s="258">
        <f>(((IF($P$5&lt;&gt;0,$P$5,IF($P$6&lt;&gt;0,$P$6,IF($P$7&lt;&gt;0,$P$7,0))))/(12*$P$19))+(((3*$P$15)/(2*(IF($P$5&lt;&gt;0,$P$5,IF($P$6&lt;&gt;0,$P$6,IF($P$7&lt;&gt;0,$P$7,0))))*$U$5*$P$19))*'IN-OUT'!$F$15))*'Burland damage classification'!BA273</f>
        <v>9.2024365262736389E-4</v>
      </c>
      <c r="AX273" s="254">
        <f>(1+(((IF($P$5&lt;&gt;0,$P$5^2,IF($P$6&lt;&gt;0,$P$6^2,IF($P$7&lt;&gt;0,$P$7^2))))*$U$5)/(18*$P$15))*('IN-OUT'!$F$15^(-1)))*BB273</f>
        <v>1.3368133374475567E-3</v>
      </c>
      <c r="AY273" s="254">
        <f t="shared" si="200"/>
        <v>9.2024365262736389E-4</v>
      </c>
      <c r="AZ273" s="254">
        <f t="shared" ref="AZ273:AZ316" si="206">AY273*100</f>
        <v>9.2024365262736385E-2</v>
      </c>
      <c r="BA273" s="254">
        <f t="shared" si="194"/>
        <v>2.8666666666665643E-4</v>
      </c>
      <c r="BB273" s="270">
        <f t="shared" si="201"/>
        <v>1.2654380005884609E-3</v>
      </c>
      <c r="BC273" s="253">
        <f t="shared" si="195"/>
        <v>1.7133333333333414E-3</v>
      </c>
      <c r="BD273" s="255">
        <f t="shared" ref="BD273:BD316" si="207">BC273*100</f>
        <v>0.17133333333333414</v>
      </c>
      <c r="BI273" s="248"/>
      <c r="CG273" s="258" t="e">
        <f>((((IF($Q$5=0,$Q$6,$Q$5)))/(12*$Q$19))+(((3*$Q$15)/(2*IF($Q$5=0,$Q$6,$Q$5)*$U$5*$Q$19))*'IN-OUT'!$F$15))*'Burland damage classification'!CK273</f>
        <v>#DIV/0!</v>
      </c>
      <c r="CH273" s="262">
        <f>(1+(((IF($Q$5=0,$Q$6^2,$Q$5^2))*$U$5)/(18*$Q$15))*('IN-OUT'!$F$15^(-1)))*CL273</f>
        <v>1.2654380005884609E-3</v>
      </c>
      <c r="CI273" s="254" t="e">
        <f t="shared" si="202"/>
        <v>#DIV/0!</v>
      </c>
      <c r="CJ273" s="254" t="e">
        <f t="shared" ref="CJ273:CJ316" si="208">CI273*100</f>
        <v>#DIV/0!</v>
      </c>
      <c r="CK273" s="254">
        <f t="shared" si="196"/>
        <v>2.8666666666665643E-4</v>
      </c>
      <c r="CL273" s="270">
        <f t="shared" si="203"/>
        <v>1.2654380005884609E-3</v>
      </c>
      <c r="CM273" s="253">
        <f t="shared" si="197"/>
        <v>1.7133333333333414E-3</v>
      </c>
      <c r="CN273" s="255">
        <f t="shared" ref="CN273:CN316" si="209">CM273*100</f>
        <v>0.17133333333333414</v>
      </c>
      <c r="CS273" s="248"/>
      <c r="DQ273" s="258" t="e">
        <f>((((IF($R$5=0,$R$6,$R$5)))/(12*$R$19))+(((3*$R$15)/(2*IF($R$5=0,$R$6,$R$5)*$U$5*$R$19))*'IN-OUT'!$F$15))*'Burland damage classification'!DU273</f>
        <v>#DIV/0!</v>
      </c>
      <c r="DR273" s="262">
        <f>(1+(((IF($R$5=0,$R$6^2,$R$5^2))*$U$5)/(18*$R$15))*('IN-OUT'!$F$15^(-1)))*DV273</f>
        <v>1.2654380005884609E-3</v>
      </c>
      <c r="DS273" s="254" t="e">
        <f t="shared" si="204"/>
        <v>#DIV/0!</v>
      </c>
      <c r="DT273" s="254" t="e">
        <f t="shared" ref="DT273:DT316" si="210">DS273*100</f>
        <v>#DIV/0!</v>
      </c>
      <c r="DU273" s="254">
        <f t="shared" si="198"/>
        <v>2.8666666666665643E-4</v>
      </c>
      <c r="DV273" s="270">
        <f t="shared" si="205"/>
        <v>1.2654380005884609E-3</v>
      </c>
      <c r="DW273" s="253">
        <f t="shared" si="199"/>
        <v>1.7133333333333414E-3</v>
      </c>
      <c r="DX273" s="255">
        <f t="shared" ref="DX273:DX316" si="211">DW273*100</f>
        <v>0.17133333333333414</v>
      </c>
    </row>
    <row r="274" spans="21:128">
      <c r="U274" s="262"/>
      <c r="AW274" s="258">
        <f>(((IF($P$5&lt;&gt;0,$P$5,IF($P$6&lt;&gt;0,$P$6,IF($P$7&lt;&gt;0,$P$7,0))))/(12*$P$19))+(((3*$P$15)/(2*(IF($P$5&lt;&gt;0,$P$5,IF($P$6&lt;&gt;0,$P$6,IF($P$7&lt;&gt;0,$P$7,0))))*$U$5*$P$19))*'IN-OUT'!$F$15))*'Burland damage classification'!BA274</f>
        <v>8.9884263744998262E-4</v>
      </c>
      <c r="AX274" s="254">
        <f>(1+(((IF($P$5&lt;&gt;0,$P$5^2,IF($P$6&lt;&gt;0,$P$6^2,IF($P$7&lt;&gt;0,$P$7^2))))*$U$5)/(18*$P$15))*('IN-OUT'!$F$15^(-1)))*BB274</f>
        <v>1.3329118518033696E-3</v>
      </c>
      <c r="AY274" s="254">
        <f t="shared" si="200"/>
        <v>8.9884263744998262E-4</v>
      </c>
      <c r="AZ274" s="254">
        <f t="shared" si="206"/>
        <v>8.9884263744998263E-2</v>
      </c>
      <c r="BA274" s="254">
        <f t="shared" ref="BA274:BA316" si="212">BA273-($P$28/300)</f>
        <v>2.7999999999998978E-4</v>
      </c>
      <c r="BB274" s="270">
        <f t="shared" si="201"/>
        <v>1.2617448236469956E-3</v>
      </c>
      <c r="BC274" s="253">
        <f t="shared" ref="BC274:BC316" si="213">BC273+($P$28/300)</f>
        <v>1.7200000000000082E-3</v>
      </c>
      <c r="BD274" s="255">
        <f t="shared" si="207"/>
        <v>0.17200000000000082</v>
      </c>
      <c r="BI274" s="248"/>
      <c r="CG274" s="258" t="e">
        <f>((((IF($Q$5=0,$Q$6,$Q$5)))/(12*$Q$19))+(((3*$Q$15)/(2*IF($Q$5=0,$Q$6,$Q$5)*$U$5*$Q$19))*'IN-OUT'!$F$15))*'Burland damage classification'!CK274</f>
        <v>#DIV/0!</v>
      </c>
      <c r="CH274" s="262">
        <f>(1+(((IF($Q$5=0,$Q$6^2,$Q$5^2))*$U$5)/(18*$Q$15))*('IN-OUT'!$F$15^(-1)))*CL274</f>
        <v>1.2617448236469956E-3</v>
      </c>
      <c r="CI274" s="254" t="e">
        <f t="shared" si="202"/>
        <v>#DIV/0!</v>
      </c>
      <c r="CJ274" s="254" t="e">
        <f t="shared" si="208"/>
        <v>#DIV/0!</v>
      </c>
      <c r="CK274" s="254">
        <f t="shared" ref="CK274:CK316" si="214">CK273-($P$28/300)</f>
        <v>2.7999999999998978E-4</v>
      </c>
      <c r="CL274" s="270">
        <f t="shared" si="203"/>
        <v>1.2617448236469956E-3</v>
      </c>
      <c r="CM274" s="253">
        <f t="shared" ref="CM274:CM316" si="215">CM273+($P$28/300)</f>
        <v>1.7200000000000082E-3</v>
      </c>
      <c r="CN274" s="255">
        <f t="shared" si="209"/>
        <v>0.17200000000000082</v>
      </c>
      <c r="CS274" s="248"/>
      <c r="DQ274" s="258" t="e">
        <f>((((IF($R$5=0,$R$6,$R$5)))/(12*$R$19))+(((3*$R$15)/(2*IF($R$5=0,$R$6,$R$5)*$U$5*$R$19))*'IN-OUT'!$F$15))*'Burland damage classification'!DU274</f>
        <v>#DIV/0!</v>
      </c>
      <c r="DR274" s="262">
        <f>(1+(((IF($R$5=0,$R$6^2,$R$5^2))*$U$5)/(18*$R$15))*('IN-OUT'!$F$15^(-1)))*DV274</f>
        <v>1.2617448236469956E-3</v>
      </c>
      <c r="DS274" s="254" t="e">
        <f t="shared" si="204"/>
        <v>#DIV/0!</v>
      </c>
      <c r="DT274" s="254" t="e">
        <f t="shared" si="210"/>
        <v>#DIV/0!</v>
      </c>
      <c r="DU274" s="254">
        <f t="shared" ref="DU274:DU316" si="216">DU273-($P$28/300)</f>
        <v>2.7999999999998978E-4</v>
      </c>
      <c r="DV274" s="270">
        <f t="shared" si="205"/>
        <v>1.2617448236469956E-3</v>
      </c>
      <c r="DW274" s="253">
        <f t="shared" ref="DW274:DW316" si="217">DW273+($P$28/300)</f>
        <v>1.7200000000000082E-3</v>
      </c>
      <c r="DX274" s="255">
        <f t="shared" si="211"/>
        <v>0.17200000000000082</v>
      </c>
    </row>
    <row r="275" spans="21:128">
      <c r="U275" s="262"/>
      <c r="AW275" s="258">
        <f>(((IF($P$5&lt;&gt;0,$P$5,IF($P$6&lt;&gt;0,$P$6,IF($P$7&lt;&gt;0,$P$7,0))))/(12*$P$19))+(((3*$P$15)/(2*(IF($P$5&lt;&gt;0,$P$5,IF($P$6&lt;&gt;0,$P$6,IF($P$7&lt;&gt;0,$P$7,0))))*$U$5*$P$19))*'IN-OUT'!$F$15))*'Burland damage classification'!BA275</f>
        <v>8.7744162227260136E-4</v>
      </c>
      <c r="AX275" s="254">
        <f>(1+(((IF($P$5&lt;&gt;0,$P$5^2,IF($P$6&lt;&gt;0,$P$6^2,IF($P$7&lt;&gt;0,$P$7^2))))*$U$5)/(18*$P$15))*('IN-OUT'!$F$15^(-1)))*BB275</f>
        <v>1.3289989127828891E-3</v>
      </c>
      <c r="AY275" s="254">
        <f t="shared" si="200"/>
        <v>8.7744162227260136E-4</v>
      </c>
      <c r="AZ275" s="254">
        <f t="shared" si="206"/>
        <v>8.7744162227260142E-2</v>
      </c>
      <c r="BA275" s="254">
        <f t="shared" si="212"/>
        <v>2.7333333333332314E-4</v>
      </c>
      <c r="BB275" s="270">
        <f t="shared" si="201"/>
        <v>1.2580408048496101E-3</v>
      </c>
      <c r="BC275" s="253">
        <f t="shared" si="213"/>
        <v>1.726666666666675E-3</v>
      </c>
      <c r="BD275" s="255">
        <f t="shared" si="207"/>
        <v>0.1726666666666675</v>
      </c>
      <c r="BI275" s="248"/>
      <c r="CG275" s="258" t="e">
        <f>((((IF($Q$5=0,$Q$6,$Q$5)))/(12*$Q$19))+(((3*$Q$15)/(2*IF($Q$5=0,$Q$6,$Q$5)*$U$5*$Q$19))*'IN-OUT'!$F$15))*'Burland damage classification'!CK275</f>
        <v>#DIV/0!</v>
      </c>
      <c r="CH275" s="262">
        <f>(1+(((IF($Q$5=0,$Q$6^2,$Q$5^2))*$U$5)/(18*$Q$15))*('IN-OUT'!$F$15^(-1)))*CL275</f>
        <v>1.2580408048496101E-3</v>
      </c>
      <c r="CI275" s="254" t="e">
        <f t="shared" si="202"/>
        <v>#DIV/0!</v>
      </c>
      <c r="CJ275" s="254" t="e">
        <f t="shared" si="208"/>
        <v>#DIV/0!</v>
      </c>
      <c r="CK275" s="254">
        <f t="shared" si="214"/>
        <v>2.7333333333332314E-4</v>
      </c>
      <c r="CL275" s="270">
        <f t="shared" si="203"/>
        <v>1.2580408048496101E-3</v>
      </c>
      <c r="CM275" s="253">
        <f t="shared" si="215"/>
        <v>1.726666666666675E-3</v>
      </c>
      <c r="CN275" s="255">
        <f t="shared" si="209"/>
        <v>0.1726666666666675</v>
      </c>
      <c r="CS275" s="248"/>
      <c r="DQ275" s="258" t="e">
        <f>((((IF($R$5=0,$R$6,$R$5)))/(12*$R$19))+(((3*$R$15)/(2*IF($R$5=0,$R$6,$R$5)*$U$5*$R$19))*'IN-OUT'!$F$15))*'Burland damage classification'!DU275</f>
        <v>#DIV/0!</v>
      </c>
      <c r="DR275" s="262">
        <f>(1+(((IF($R$5=0,$R$6^2,$R$5^2))*$U$5)/(18*$R$15))*('IN-OUT'!$F$15^(-1)))*DV275</f>
        <v>1.2580408048496101E-3</v>
      </c>
      <c r="DS275" s="254" t="e">
        <f t="shared" si="204"/>
        <v>#DIV/0!</v>
      </c>
      <c r="DT275" s="254" t="e">
        <f t="shared" si="210"/>
        <v>#DIV/0!</v>
      </c>
      <c r="DU275" s="254">
        <f t="shared" si="216"/>
        <v>2.7333333333332314E-4</v>
      </c>
      <c r="DV275" s="270">
        <f t="shared" si="205"/>
        <v>1.2580408048496101E-3</v>
      </c>
      <c r="DW275" s="253">
        <f t="shared" si="217"/>
        <v>1.726666666666675E-3</v>
      </c>
      <c r="DX275" s="255">
        <f t="shared" si="211"/>
        <v>0.1726666666666675</v>
      </c>
    </row>
    <row r="276" spans="21:128">
      <c r="U276" s="262"/>
      <c r="AW276" s="258">
        <f>(((IF($P$5&lt;&gt;0,$P$5,IF($P$6&lt;&gt;0,$P$6,IF($P$7&lt;&gt;0,$P$7,0))))/(12*$P$19))+(((3*$P$15)/(2*(IF($P$5&lt;&gt;0,$P$5,IF($P$6&lt;&gt;0,$P$6,IF($P$7&lt;&gt;0,$P$7,0))))*$U$5*$P$19))*'IN-OUT'!$F$15))*'Burland damage classification'!BA276</f>
        <v>8.5604060709522009E-4</v>
      </c>
      <c r="AX276" s="254">
        <f>(1+(((IF($P$5&lt;&gt;0,$P$5^2,IF($P$6&lt;&gt;0,$P$6^2,IF($P$7&lt;&gt;0,$P$7^2))))*$U$5)/(18*$P$15))*('IN-OUT'!$F$15^(-1)))*BB276</f>
        <v>1.3250744189208072E-3</v>
      </c>
      <c r="AY276" s="254">
        <f t="shared" si="200"/>
        <v>8.5604060709522009E-4</v>
      </c>
      <c r="AZ276" s="254">
        <f t="shared" si="206"/>
        <v>8.5604060709522006E-2</v>
      </c>
      <c r="BA276" s="254">
        <f t="shared" si="212"/>
        <v>2.6666666666665649E-4</v>
      </c>
      <c r="BB276" s="270">
        <f t="shared" si="201"/>
        <v>1.2543258481484472E-3</v>
      </c>
      <c r="BC276" s="253">
        <f t="shared" si="213"/>
        <v>1.7333333333333417E-3</v>
      </c>
      <c r="BD276" s="255">
        <f t="shared" si="207"/>
        <v>0.17333333333333417</v>
      </c>
      <c r="BI276" s="248"/>
      <c r="CG276" s="258" t="e">
        <f>((((IF($Q$5=0,$Q$6,$Q$5)))/(12*$Q$19))+(((3*$Q$15)/(2*IF($Q$5=0,$Q$6,$Q$5)*$U$5*$Q$19))*'IN-OUT'!$F$15))*'Burland damage classification'!CK276</f>
        <v>#DIV/0!</v>
      </c>
      <c r="CH276" s="262">
        <f>(1+(((IF($Q$5=0,$Q$6^2,$Q$5^2))*$U$5)/(18*$Q$15))*('IN-OUT'!$F$15^(-1)))*CL276</f>
        <v>1.2543258481484472E-3</v>
      </c>
      <c r="CI276" s="254" t="e">
        <f t="shared" si="202"/>
        <v>#DIV/0!</v>
      </c>
      <c r="CJ276" s="254" t="e">
        <f t="shared" si="208"/>
        <v>#DIV/0!</v>
      </c>
      <c r="CK276" s="254">
        <f t="shared" si="214"/>
        <v>2.6666666666665649E-4</v>
      </c>
      <c r="CL276" s="270">
        <f t="shared" si="203"/>
        <v>1.2543258481484472E-3</v>
      </c>
      <c r="CM276" s="253">
        <f t="shared" si="215"/>
        <v>1.7333333333333417E-3</v>
      </c>
      <c r="CN276" s="255">
        <f t="shared" si="209"/>
        <v>0.17333333333333417</v>
      </c>
      <c r="CS276" s="248"/>
      <c r="DQ276" s="258" t="e">
        <f>((((IF($R$5=0,$R$6,$R$5)))/(12*$R$19))+(((3*$R$15)/(2*IF($R$5=0,$R$6,$R$5)*$U$5*$R$19))*'IN-OUT'!$F$15))*'Burland damage classification'!DU276</f>
        <v>#DIV/0!</v>
      </c>
      <c r="DR276" s="262">
        <f>(1+(((IF($R$5=0,$R$6^2,$R$5^2))*$U$5)/(18*$R$15))*('IN-OUT'!$F$15^(-1)))*DV276</f>
        <v>1.2543258481484472E-3</v>
      </c>
      <c r="DS276" s="254" t="e">
        <f t="shared" si="204"/>
        <v>#DIV/0!</v>
      </c>
      <c r="DT276" s="254" t="e">
        <f t="shared" si="210"/>
        <v>#DIV/0!</v>
      </c>
      <c r="DU276" s="254">
        <f t="shared" si="216"/>
        <v>2.6666666666665649E-4</v>
      </c>
      <c r="DV276" s="270">
        <f t="shared" si="205"/>
        <v>1.2543258481484472E-3</v>
      </c>
      <c r="DW276" s="253">
        <f t="shared" si="217"/>
        <v>1.7333333333333417E-3</v>
      </c>
      <c r="DX276" s="255">
        <f t="shared" si="211"/>
        <v>0.17333333333333417</v>
      </c>
    </row>
    <row r="277" spans="21:128">
      <c r="U277" s="262"/>
      <c r="AW277" s="258">
        <f>(((IF($P$5&lt;&gt;0,$P$5,IF($P$6&lt;&gt;0,$P$6,IF($P$7&lt;&gt;0,$P$7,0))))/(12*$P$19))+(((3*$P$15)/(2*(IF($P$5&lt;&gt;0,$P$5,IF($P$6&lt;&gt;0,$P$6,IF($P$7&lt;&gt;0,$P$7,0))))*$U$5*$P$19))*'IN-OUT'!$F$15))*'Burland damage classification'!BA277</f>
        <v>8.3463959191783883E-4</v>
      </c>
      <c r="AX277" s="254">
        <f>(1+(((IF($P$5&lt;&gt;0,$P$5^2,IF($P$6&lt;&gt;0,$P$6^2,IF($P$7&lt;&gt;0,$P$7^2))))*$U$5)/(18*$P$15))*('IN-OUT'!$F$15^(-1)))*BB277</f>
        <v>1.3211382672447755E-3</v>
      </c>
      <c r="AY277" s="254">
        <f t="shared" si="200"/>
        <v>8.3463959191783883E-4</v>
      </c>
      <c r="AZ277" s="254">
        <f t="shared" si="206"/>
        <v>8.3463959191783885E-2</v>
      </c>
      <c r="BA277" s="254">
        <f t="shared" si="212"/>
        <v>2.5999999999998984E-4</v>
      </c>
      <c r="BB277" s="270">
        <f t="shared" si="201"/>
        <v>1.2505998560690737E-3</v>
      </c>
      <c r="BC277" s="253">
        <f t="shared" si="213"/>
        <v>1.7400000000000085E-3</v>
      </c>
      <c r="BD277" s="255">
        <f t="shared" si="207"/>
        <v>0.17400000000000085</v>
      </c>
      <c r="BI277" s="248"/>
      <c r="CG277" s="258" t="e">
        <f>((((IF($Q$5=0,$Q$6,$Q$5)))/(12*$Q$19))+(((3*$Q$15)/(2*IF($Q$5=0,$Q$6,$Q$5)*$U$5*$Q$19))*'IN-OUT'!$F$15))*'Burland damage classification'!CK277</f>
        <v>#DIV/0!</v>
      </c>
      <c r="CH277" s="262">
        <f>(1+(((IF($Q$5=0,$Q$6^2,$Q$5^2))*$U$5)/(18*$Q$15))*('IN-OUT'!$F$15^(-1)))*CL277</f>
        <v>1.2505998560690737E-3</v>
      </c>
      <c r="CI277" s="254" t="e">
        <f t="shared" si="202"/>
        <v>#DIV/0!</v>
      </c>
      <c r="CJ277" s="254" t="e">
        <f t="shared" si="208"/>
        <v>#DIV/0!</v>
      </c>
      <c r="CK277" s="254">
        <f t="shared" si="214"/>
        <v>2.5999999999998984E-4</v>
      </c>
      <c r="CL277" s="270">
        <f t="shared" si="203"/>
        <v>1.2505998560690737E-3</v>
      </c>
      <c r="CM277" s="253">
        <f t="shared" si="215"/>
        <v>1.7400000000000085E-3</v>
      </c>
      <c r="CN277" s="255">
        <f t="shared" si="209"/>
        <v>0.17400000000000085</v>
      </c>
      <c r="CS277" s="248"/>
      <c r="DQ277" s="258" t="e">
        <f>((((IF($R$5=0,$R$6,$R$5)))/(12*$R$19))+(((3*$R$15)/(2*IF($R$5=0,$R$6,$R$5)*$U$5*$R$19))*'IN-OUT'!$F$15))*'Burland damage classification'!DU277</f>
        <v>#DIV/0!</v>
      </c>
      <c r="DR277" s="262">
        <f>(1+(((IF($R$5=0,$R$6^2,$R$5^2))*$U$5)/(18*$R$15))*('IN-OUT'!$F$15^(-1)))*DV277</f>
        <v>1.2505998560690737E-3</v>
      </c>
      <c r="DS277" s="254" t="e">
        <f t="shared" si="204"/>
        <v>#DIV/0!</v>
      </c>
      <c r="DT277" s="254" t="e">
        <f t="shared" si="210"/>
        <v>#DIV/0!</v>
      </c>
      <c r="DU277" s="254">
        <f t="shared" si="216"/>
        <v>2.5999999999998984E-4</v>
      </c>
      <c r="DV277" s="270">
        <f t="shared" si="205"/>
        <v>1.2505998560690737E-3</v>
      </c>
      <c r="DW277" s="253">
        <f t="shared" si="217"/>
        <v>1.7400000000000085E-3</v>
      </c>
      <c r="DX277" s="255">
        <f t="shared" si="211"/>
        <v>0.17400000000000085</v>
      </c>
    </row>
    <row r="278" spans="21:128">
      <c r="U278" s="262"/>
      <c r="AW278" s="258">
        <f>(((IF($P$5&lt;&gt;0,$P$5,IF($P$6&lt;&gt;0,$P$6,IF($P$7&lt;&gt;0,$P$7,0))))/(12*$P$19))+(((3*$P$15)/(2*(IF($P$5&lt;&gt;0,$P$5,IF($P$6&lt;&gt;0,$P$6,IF($P$7&lt;&gt;0,$P$7,0))))*$U$5*$P$19))*'IN-OUT'!$F$15))*'Burland damage classification'!BA278</f>
        <v>8.1323857674045757E-4</v>
      </c>
      <c r="AX278" s="254">
        <f>(1+(((IF($P$5&lt;&gt;0,$P$5^2,IF($P$6&lt;&gt;0,$P$6^2,IF($P$7&lt;&gt;0,$P$7^2))))*$U$5)/(18*$P$15))*('IN-OUT'!$F$15^(-1)))*BB278</f>
        <v>1.3171903532438814E-3</v>
      </c>
      <c r="AY278" s="254">
        <f t="shared" si="200"/>
        <v>8.1323857674045757E-4</v>
      </c>
      <c r="AZ278" s="254">
        <f t="shared" si="206"/>
        <v>8.1323857674045763E-2</v>
      </c>
      <c r="BA278" s="254">
        <f t="shared" si="212"/>
        <v>2.5333333333332319E-4</v>
      </c>
      <c r="BB278" s="270">
        <f t="shared" si="201"/>
        <v>1.2468627296806391E-3</v>
      </c>
      <c r="BC278" s="253">
        <f t="shared" si="213"/>
        <v>1.7466666666666752E-3</v>
      </c>
      <c r="BD278" s="255">
        <f t="shared" si="207"/>
        <v>0.17466666666666752</v>
      </c>
      <c r="BI278" s="248"/>
      <c r="CG278" s="258" t="e">
        <f>((((IF($Q$5=0,$Q$6,$Q$5)))/(12*$Q$19))+(((3*$Q$15)/(2*IF($Q$5=0,$Q$6,$Q$5)*$U$5*$Q$19))*'IN-OUT'!$F$15))*'Burland damage classification'!CK278</f>
        <v>#DIV/0!</v>
      </c>
      <c r="CH278" s="262">
        <f>(1+(((IF($Q$5=0,$Q$6^2,$Q$5^2))*$U$5)/(18*$Q$15))*('IN-OUT'!$F$15^(-1)))*CL278</f>
        <v>1.2468627296806391E-3</v>
      </c>
      <c r="CI278" s="254" t="e">
        <f t="shared" si="202"/>
        <v>#DIV/0!</v>
      </c>
      <c r="CJ278" s="254" t="e">
        <f t="shared" si="208"/>
        <v>#DIV/0!</v>
      </c>
      <c r="CK278" s="254">
        <f t="shared" si="214"/>
        <v>2.5333333333332319E-4</v>
      </c>
      <c r="CL278" s="270">
        <f t="shared" si="203"/>
        <v>1.2468627296806391E-3</v>
      </c>
      <c r="CM278" s="253">
        <f t="shared" si="215"/>
        <v>1.7466666666666752E-3</v>
      </c>
      <c r="CN278" s="255">
        <f t="shared" si="209"/>
        <v>0.17466666666666752</v>
      </c>
      <c r="CS278" s="248"/>
      <c r="DQ278" s="258" t="e">
        <f>((((IF($R$5=0,$R$6,$R$5)))/(12*$R$19))+(((3*$R$15)/(2*IF($R$5=0,$R$6,$R$5)*$U$5*$R$19))*'IN-OUT'!$F$15))*'Burland damage classification'!DU278</f>
        <v>#DIV/0!</v>
      </c>
      <c r="DR278" s="262">
        <f>(1+(((IF($R$5=0,$R$6^2,$R$5^2))*$U$5)/(18*$R$15))*('IN-OUT'!$F$15^(-1)))*DV278</f>
        <v>1.2468627296806391E-3</v>
      </c>
      <c r="DS278" s="254" t="e">
        <f t="shared" si="204"/>
        <v>#DIV/0!</v>
      </c>
      <c r="DT278" s="254" t="e">
        <f t="shared" si="210"/>
        <v>#DIV/0!</v>
      </c>
      <c r="DU278" s="254">
        <f t="shared" si="216"/>
        <v>2.5333333333332319E-4</v>
      </c>
      <c r="DV278" s="270">
        <f t="shared" si="205"/>
        <v>1.2468627296806391E-3</v>
      </c>
      <c r="DW278" s="253">
        <f t="shared" si="217"/>
        <v>1.7466666666666752E-3</v>
      </c>
      <c r="DX278" s="255">
        <f t="shared" si="211"/>
        <v>0.17466666666666752</v>
      </c>
    </row>
    <row r="279" spans="21:128">
      <c r="U279" s="262"/>
      <c r="AW279" s="258">
        <f>(((IF($P$5&lt;&gt;0,$P$5,IF($P$6&lt;&gt;0,$P$6,IF($P$7&lt;&gt;0,$P$7,0))))/(12*$P$19))+(((3*$P$15)/(2*(IF($P$5&lt;&gt;0,$P$5,IF($P$6&lt;&gt;0,$P$6,IF($P$7&lt;&gt;0,$P$7,0))))*$U$5*$P$19))*'IN-OUT'!$F$15))*'Burland damage classification'!BA279</f>
        <v>7.918375615630763E-4</v>
      </c>
      <c r="AX279" s="254">
        <f>(1+(((IF($P$5&lt;&gt;0,$P$5^2,IF($P$6&lt;&gt;0,$P$6^2,IF($P$7&lt;&gt;0,$P$7^2))))*$U$5)/(18*$P$15))*('IN-OUT'!$F$15^(-1)))*BB279</f>
        <v>1.3132305708362694E-3</v>
      </c>
      <c r="AY279" s="254">
        <f t="shared" si="200"/>
        <v>7.918375615630763E-4</v>
      </c>
      <c r="AZ279" s="254">
        <f t="shared" si="206"/>
        <v>7.9183756156307628E-2</v>
      </c>
      <c r="BA279" s="254">
        <f t="shared" si="212"/>
        <v>2.4666666666665654E-4</v>
      </c>
      <c r="BB279" s="270">
        <f t="shared" si="201"/>
        <v>1.2431143685652261E-3</v>
      </c>
      <c r="BC279" s="253">
        <f t="shared" si="213"/>
        <v>1.753333333333342E-3</v>
      </c>
      <c r="BD279" s="255">
        <f t="shared" si="207"/>
        <v>0.1753333333333342</v>
      </c>
      <c r="BI279" s="248"/>
      <c r="CG279" s="258" t="e">
        <f>((((IF($Q$5=0,$Q$6,$Q$5)))/(12*$Q$19))+(((3*$Q$15)/(2*IF($Q$5=0,$Q$6,$Q$5)*$U$5*$Q$19))*'IN-OUT'!$F$15))*'Burland damage classification'!CK279</f>
        <v>#DIV/0!</v>
      </c>
      <c r="CH279" s="262">
        <f>(1+(((IF($Q$5=0,$Q$6^2,$Q$5^2))*$U$5)/(18*$Q$15))*('IN-OUT'!$F$15^(-1)))*CL279</f>
        <v>1.2431143685652261E-3</v>
      </c>
      <c r="CI279" s="254" t="e">
        <f t="shared" si="202"/>
        <v>#DIV/0!</v>
      </c>
      <c r="CJ279" s="254" t="e">
        <f t="shared" si="208"/>
        <v>#DIV/0!</v>
      </c>
      <c r="CK279" s="254">
        <f t="shared" si="214"/>
        <v>2.4666666666665654E-4</v>
      </c>
      <c r="CL279" s="270">
        <f t="shared" si="203"/>
        <v>1.2431143685652261E-3</v>
      </c>
      <c r="CM279" s="253">
        <f t="shared" si="215"/>
        <v>1.753333333333342E-3</v>
      </c>
      <c r="CN279" s="255">
        <f t="shared" si="209"/>
        <v>0.1753333333333342</v>
      </c>
      <c r="CS279" s="248"/>
      <c r="DQ279" s="258" t="e">
        <f>((((IF($R$5=0,$R$6,$R$5)))/(12*$R$19))+(((3*$R$15)/(2*IF($R$5=0,$R$6,$R$5)*$U$5*$R$19))*'IN-OUT'!$F$15))*'Burland damage classification'!DU279</f>
        <v>#DIV/0!</v>
      </c>
      <c r="DR279" s="262">
        <f>(1+(((IF($R$5=0,$R$6^2,$R$5^2))*$U$5)/(18*$R$15))*('IN-OUT'!$F$15^(-1)))*DV279</f>
        <v>1.2431143685652261E-3</v>
      </c>
      <c r="DS279" s="254" t="e">
        <f t="shared" si="204"/>
        <v>#DIV/0!</v>
      </c>
      <c r="DT279" s="254" t="e">
        <f t="shared" si="210"/>
        <v>#DIV/0!</v>
      </c>
      <c r="DU279" s="254">
        <f t="shared" si="216"/>
        <v>2.4666666666665654E-4</v>
      </c>
      <c r="DV279" s="270">
        <f t="shared" si="205"/>
        <v>1.2431143685652261E-3</v>
      </c>
      <c r="DW279" s="253">
        <f t="shared" si="217"/>
        <v>1.753333333333342E-3</v>
      </c>
      <c r="DX279" s="255">
        <f t="shared" si="211"/>
        <v>0.1753333333333342</v>
      </c>
    </row>
    <row r="280" spans="21:128">
      <c r="U280" s="262"/>
      <c r="AW280" s="258">
        <f>(((IF($P$5&lt;&gt;0,$P$5,IF($P$6&lt;&gt;0,$P$6,IF($P$7&lt;&gt;0,$P$7,0))))/(12*$P$19))+(((3*$P$15)/(2*(IF($P$5&lt;&gt;0,$P$5,IF($P$6&lt;&gt;0,$P$6,IF($P$7&lt;&gt;0,$P$7,0))))*$U$5*$P$19))*'IN-OUT'!$F$15))*'Burland damage classification'!BA280</f>
        <v>7.7043654638569493E-4</v>
      </c>
      <c r="AX280" s="254">
        <f>(1+(((IF($P$5&lt;&gt;0,$P$5^2,IF($P$6&lt;&gt;0,$P$6^2,IF($P$7&lt;&gt;0,$P$7^2))))*$U$5)/(18*$P$15))*('IN-OUT'!$F$15^(-1)))*BB280</f>
        <v>1.309258812335883E-3</v>
      </c>
      <c r="AY280" s="254">
        <f t="shared" si="200"/>
        <v>7.7043654638569493E-4</v>
      </c>
      <c r="AZ280" s="254">
        <f t="shared" si="206"/>
        <v>7.7043654638569492E-2</v>
      </c>
      <c r="BA280" s="254">
        <f t="shared" si="212"/>
        <v>2.3999999999998987E-4</v>
      </c>
      <c r="BB280" s="270">
        <f t="shared" si="201"/>
        <v>1.2393546707863683E-3</v>
      </c>
      <c r="BC280" s="253">
        <f t="shared" si="213"/>
        <v>1.7600000000000087E-3</v>
      </c>
      <c r="BD280" s="255">
        <f t="shared" si="207"/>
        <v>0.17600000000000088</v>
      </c>
      <c r="BI280" s="248"/>
      <c r="CG280" s="258" t="e">
        <f>((((IF($Q$5=0,$Q$6,$Q$5)))/(12*$Q$19))+(((3*$Q$15)/(2*IF($Q$5=0,$Q$6,$Q$5)*$U$5*$Q$19))*'IN-OUT'!$F$15))*'Burland damage classification'!CK280</f>
        <v>#DIV/0!</v>
      </c>
      <c r="CH280" s="262">
        <f>(1+(((IF($Q$5=0,$Q$6^2,$Q$5^2))*$U$5)/(18*$Q$15))*('IN-OUT'!$F$15^(-1)))*CL280</f>
        <v>1.2393546707863683E-3</v>
      </c>
      <c r="CI280" s="254" t="e">
        <f t="shared" si="202"/>
        <v>#DIV/0!</v>
      </c>
      <c r="CJ280" s="254" t="e">
        <f t="shared" si="208"/>
        <v>#DIV/0!</v>
      </c>
      <c r="CK280" s="254">
        <f t="shared" si="214"/>
        <v>2.3999999999998987E-4</v>
      </c>
      <c r="CL280" s="270">
        <f t="shared" si="203"/>
        <v>1.2393546707863683E-3</v>
      </c>
      <c r="CM280" s="253">
        <f t="shared" si="215"/>
        <v>1.7600000000000087E-3</v>
      </c>
      <c r="CN280" s="255">
        <f t="shared" si="209"/>
        <v>0.17600000000000088</v>
      </c>
      <c r="CS280" s="248"/>
      <c r="DQ280" s="258" t="e">
        <f>((((IF($R$5=0,$R$6,$R$5)))/(12*$R$19))+(((3*$R$15)/(2*IF($R$5=0,$R$6,$R$5)*$U$5*$R$19))*'IN-OUT'!$F$15))*'Burland damage classification'!DU280</f>
        <v>#DIV/0!</v>
      </c>
      <c r="DR280" s="262">
        <f>(1+(((IF($R$5=0,$R$6^2,$R$5^2))*$U$5)/(18*$R$15))*('IN-OUT'!$F$15^(-1)))*DV280</f>
        <v>1.2393546707863683E-3</v>
      </c>
      <c r="DS280" s="254" t="e">
        <f t="shared" si="204"/>
        <v>#DIV/0!</v>
      </c>
      <c r="DT280" s="254" t="e">
        <f t="shared" si="210"/>
        <v>#DIV/0!</v>
      </c>
      <c r="DU280" s="254">
        <f t="shared" si="216"/>
        <v>2.3999999999998987E-4</v>
      </c>
      <c r="DV280" s="270">
        <f t="shared" si="205"/>
        <v>1.2393546707863683E-3</v>
      </c>
      <c r="DW280" s="253">
        <f t="shared" si="217"/>
        <v>1.7600000000000087E-3</v>
      </c>
      <c r="DX280" s="255">
        <f t="shared" si="211"/>
        <v>0.17600000000000088</v>
      </c>
    </row>
    <row r="281" spans="21:128">
      <c r="U281" s="262"/>
      <c r="AW281" s="258">
        <f>(((IF($P$5&lt;&gt;0,$P$5,IF($P$6&lt;&gt;0,$P$6,IF($P$7&lt;&gt;0,$P$7,0))))/(12*$P$19))+(((3*$P$15)/(2*(IF($P$5&lt;&gt;0,$P$5,IF($P$6&lt;&gt;0,$P$6,IF($P$7&lt;&gt;0,$P$7,0))))*$U$5*$P$19))*'IN-OUT'!$F$15))*'Burland damage classification'!BA281</f>
        <v>7.4903553120831367E-4</v>
      </c>
      <c r="AX281" s="254">
        <f>(1+(((IF($P$5&lt;&gt;0,$P$5^2,IF($P$6&lt;&gt;0,$P$6^2,IF($P$7&lt;&gt;0,$P$7^2))))*$U$5)/(18*$P$15))*('IN-OUT'!$F$15^(-1)))*BB281</f>
        <v>1.3052749684182947E-3</v>
      </c>
      <c r="AY281" s="254">
        <f t="shared" si="200"/>
        <v>7.4903553120831367E-4</v>
      </c>
      <c r="AZ281" s="254">
        <f t="shared" si="206"/>
        <v>7.490355312083137E-2</v>
      </c>
      <c r="BA281" s="254">
        <f t="shared" si="212"/>
        <v>2.3333333333332319E-4</v>
      </c>
      <c r="BB281" s="270">
        <f t="shared" si="201"/>
        <v>1.235583532856704E-3</v>
      </c>
      <c r="BC281" s="253">
        <f t="shared" si="213"/>
        <v>1.7666666666666755E-3</v>
      </c>
      <c r="BD281" s="255">
        <f t="shared" si="207"/>
        <v>0.17666666666666755</v>
      </c>
      <c r="BI281" s="248"/>
      <c r="CG281" s="258" t="e">
        <f>((((IF($Q$5=0,$Q$6,$Q$5)))/(12*$Q$19))+(((3*$Q$15)/(2*IF($Q$5=0,$Q$6,$Q$5)*$U$5*$Q$19))*'IN-OUT'!$F$15))*'Burland damage classification'!CK281</f>
        <v>#DIV/0!</v>
      </c>
      <c r="CH281" s="262">
        <f>(1+(((IF($Q$5=0,$Q$6^2,$Q$5^2))*$U$5)/(18*$Q$15))*('IN-OUT'!$F$15^(-1)))*CL281</f>
        <v>1.235583532856704E-3</v>
      </c>
      <c r="CI281" s="254" t="e">
        <f t="shared" si="202"/>
        <v>#DIV/0!</v>
      </c>
      <c r="CJ281" s="254" t="e">
        <f t="shared" si="208"/>
        <v>#DIV/0!</v>
      </c>
      <c r="CK281" s="254">
        <f t="shared" si="214"/>
        <v>2.3333333333332319E-4</v>
      </c>
      <c r="CL281" s="270">
        <f t="shared" si="203"/>
        <v>1.235583532856704E-3</v>
      </c>
      <c r="CM281" s="253">
        <f t="shared" si="215"/>
        <v>1.7666666666666755E-3</v>
      </c>
      <c r="CN281" s="255">
        <f t="shared" si="209"/>
        <v>0.17666666666666755</v>
      </c>
      <c r="CS281" s="248"/>
      <c r="DQ281" s="258" t="e">
        <f>((((IF($R$5=0,$R$6,$R$5)))/(12*$R$19))+(((3*$R$15)/(2*IF($R$5=0,$R$6,$R$5)*$U$5*$R$19))*'IN-OUT'!$F$15))*'Burland damage classification'!DU281</f>
        <v>#DIV/0!</v>
      </c>
      <c r="DR281" s="262">
        <f>(1+(((IF($R$5=0,$R$6^2,$R$5^2))*$U$5)/(18*$R$15))*('IN-OUT'!$F$15^(-1)))*DV281</f>
        <v>1.235583532856704E-3</v>
      </c>
      <c r="DS281" s="254" t="e">
        <f t="shared" si="204"/>
        <v>#DIV/0!</v>
      </c>
      <c r="DT281" s="254" t="e">
        <f t="shared" si="210"/>
        <v>#DIV/0!</v>
      </c>
      <c r="DU281" s="254">
        <f t="shared" si="216"/>
        <v>2.3333333333332319E-4</v>
      </c>
      <c r="DV281" s="270">
        <f t="shared" si="205"/>
        <v>1.235583532856704E-3</v>
      </c>
      <c r="DW281" s="253">
        <f t="shared" si="217"/>
        <v>1.7666666666666755E-3</v>
      </c>
      <c r="DX281" s="255">
        <f t="shared" si="211"/>
        <v>0.17666666666666755</v>
      </c>
    </row>
    <row r="282" spans="21:128">
      <c r="U282" s="262"/>
      <c r="AW282" s="258">
        <f>(((IF($P$5&lt;&gt;0,$P$5,IF($P$6&lt;&gt;0,$P$6,IF($P$7&lt;&gt;0,$P$7,0))))/(12*$P$19))+(((3*$P$15)/(2*(IF($P$5&lt;&gt;0,$P$5,IF($P$6&lt;&gt;0,$P$6,IF($P$7&lt;&gt;0,$P$7,0))))*$U$5*$P$19))*'IN-OUT'!$F$15))*'Burland damage classification'!BA282</f>
        <v>7.2763451603093229E-4</v>
      </c>
      <c r="AX282" s="254">
        <f>(1+(((IF($P$5&lt;&gt;0,$P$5^2,IF($P$6&lt;&gt;0,$P$6^2,IF($P$7&lt;&gt;0,$P$7^2))))*$U$5)/(18*$P$15))*('IN-OUT'!$F$15^(-1)))*BB282</f>
        <v>1.3012789280855944E-3</v>
      </c>
      <c r="AY282" s="254">
        <f t="shared" si="200"/>
        <v>7.2763451603093229E-4</v>
      </c>
      <c r="AZ282" s="254">
        <f t="shared" si="206"/>
        <v>7.2763451603093235E-2</v>
      </c>
      <c r="BA282" s="254">
        <f t="shared" si="212"/>
        <v>2.2666666666665652E-4</v>
      </c>
      <c r="BB282" s="270">
        <f t="shared" si="201"/>
        <v>1.2318008497047405E-3</v>
      </c>
      <c r="BC282" s="253">
        <f t="shared" si="213"/>
        <v>1.7733333333333422E-3</v>
      </c>
      <c r="BD282" s="255">
        <f t="shared" si="207"/>
        <v>0.17733333333333423</v>
      </c>
      <c r="BI282" s="248"/>
      <c r="CG282" s="258" t="e">
        <f>((((IF($Q$5=0,$Q$6,$Q$5)))/(12*$Q$19))+(((3*$Q$15)/(2*IF($Q$5=0,$Q$6,$Q$5)*$U$5*$Q$19))*'IN-OUT'!$F$15))*'Burland damage classification'!CK282</f>
        <v>#DIV/0!</v>
      </c>
      <c r="CH282" s="262">
        <f>(1+(((IF($Q$5=0,$Q$6^2,$Q$5^2))*$U$5)/(18*$Q$15))*('IN-OUT'!$F$15^(-1)))*CL282</f>
        <v>1.2318008497047405E-3</v>
      </c>
      <c r="CI282" s="254" t="e">
        <f t="shared" si="202"/>
        <v>#DIV/0!</v>
      </c>
      <c r="CJ282" s="254" t="e">
        <f t="shared" si="208"/>
        <v>#DIV/0!</v>
      </c>
      <c r="CK282" s="254">
        <f t="shared" si="214"/>
        <v>2.2666666666665652E-4</v>
      </c>
      <c r="CL282" s="270">
        <f t="shared" si="203"/>
        <v>1.2318008497047405E-3</v>
      </c>
      <c r="CM282" s="253">
        <f t="shared" si="215"/>
        <v>1.7733333333333422E-3</v>
      </c>
      <c r="CN282" s="255">
        <f t="shared" si="209"/>
        <v>0.17733333333333423</v>
      </c>
      <c r="CS282" s="248"/>
      <c r="DQ282" s="258" t="e">
        <f>((((IF($R$5=0,$R$6,$R$5)))/(12*$R$19))+(((3*$R$15)/(2*IF($R$5=0,$R$6,$R$5)*$U$5*$R$19))*'IN-OUT'!$F$15))*'Burland damage classification'!DU282</f>
        <v>#DIV/0!</v>
      </c>
      <c r="DR282" s="262">
        <f>(1+(((IF($R$5=0,$R$6^2,$R$5^2))*$U$5)/(18*$R$15))*('IN-OUT'!$F$15^(-1)))*DV282</f>
        <v>1.2318008497047405E-3</v>
      </c>
      <c r="DS282" s="254" t="e">
        <f t="shared" si="204"/>
        <v>#DIV/0!</v>
      </c>
      <c r="DT282" s="254" t="e">
        <f t="shared" si="210"/>
        <v>#DIV/0!</v>
      </c>
      <c r="DU282" s="254">
        <f t="shared" si="216"/>
        <v>2.2666666666665652E-4</v>
      </c>
      <c r="DV282" s="270">
        <f t="shared" si="205"/>
        <v>1.2318008497047405E-3</v>
      </c>
      <c r="DW282" s="253">
        <f t="shared" si="217"/>
        <v>1.7733333333333422E-3</v>
      </c>
      <c r="DX282" s="255">
        <f t="shared" si="211"/>
        <v>0.17733333333333423</v>
      </c>
    </row>
    <row r="283" spans="21:128">
      <c r="U283" s="262"/>
      <c r="AW283" s="258">
        <f>(((IF($P$5&lt;&gt;0,$P$5,IF($P$6&lt;&gt;0,$P$6,IF($P$7&lt;&gt;0,$P$7,0))))/(12*$P$19))+(((3*$P$15)/(2*(IF($P$5&lt;&gt;0,$P$5,IF($P$6&lt;&gt;0,$P$6,IF($P$7&lt;&gt;0,$P$7,0))))*$U$5*$P$19))*'IN-OUT'!$F$15))*'Burland damage classification'!BA283</f>
        <v>7.0623350085355092E-4</v>
      </c>
      <c r="AX283" s="254">
        <f>(1+(((IF($P$5&lt;&gt;0,$P$5^2,IF($P$6&lt;&gt;0,$P$6^2,IF($P$7&lt;&gt;0,$P$7^2))))*$U$5)/(18*$P$15))*('IN-OUT'!$F$15^(-1)))*BB283</f>
        <v>1.2972705786303052E-3</v>
      </c>
      <c r="AY283" s="254">
        <f t="shared" si="200"/>
        <v>7.0623350085355092E-4</v>
      </c>
      <c r="AZ283" s="254">
        <f t="shared" si="206"/>
        <v>7.0623350085355086E-2</v>
      </c>
      <c r="BA283" s="254">
        <f t="shared" si="212"/>
        <v>2.1999999999998984E-4</v>
      </c>
      <c r="BB283" s="270">
        <f t="shared" si="201"/>
        <v>1.2280065146406949E-3</v>
      </c>
      <c r="BC283" s="253">
        <f t="shared" si="213"/>
        <v>1.780000000000009E-3</v>
      </c>
      <c r="BD283" s="255">
        <f t="shared" si="207"/>
        <v>0.17800000000000091</v>
      </c>
      <c r="BI283" s="248"/>
      <c r="CG283" s="258" t="e">
        <f>((((IF($Q$5=0,$Q$6,$Q$5)))/(12*$Q$19))+(((3*$Q$15)/(2*IF($Q$5=0,$Q$6,$Q$5)*$U$5*$Q$19))*'IN-OUT'!$F$15))*'Burland damage classification'!CK283</f>
        <v>#DIV/0!</v>
      </c>
      <c r="CH283" s="262">
        <f>(1+(((IF($Q$5=0,$Q$6^2,$Q$5^2))*$U$5)/(18*$Q$15))*('IN-OUT'!$F$15^(-1)))*CL283</f>
        <v>1.2280065146406949E-3</v>
      </c>
      <c r="CI283" s="254" t="e">
        <f t="shared" si="202"/>
        <v>#DIV/0!</v>
      </c>
      <c r="CJ283" s="254" t="e">
        <f t="shared" si="208"/>
        <v>#DIV/0!</v>
      </c>
      <c r="CK283" s="254">
        <f t="shared" si="214"/>
        <v>2.1999999999998984E-4</v>
      </c>
      <c r="CL283" s="270">
        <f t="shared" si="203"/>
        <v>1.2280065146406949E-3</v>
      </c>
      <c r="CM283" s="253">
        <f t="shared" si="215"/>
        <v>1.780000000000009E-3</v>
      </c>
      <c r="CN283" s="255">
        <f t="shared" si="209"/>
        <v>0.17800000000000091</v>
      </c>
      <c r="CS283" s="248"/>
      <c r="DQ283" s="258" t="e">
        <f>((((IF($R$5=0,$R$6,$R$5)))/(12*$R$19))+(((3*$R$15)/(2*IF($R$5=0,$R$6,$R$5)*$U$5*$R$19))*'IN-OUT'!$F$15))*'Burland damage classification'!DU283</f>
        <v>#DIV/0!</v>
      </c>
      <c r="DR283" s="262">
        <f>(1+(((IF($R$5=0,$R$6^2,$R$5^2))*$U$5)/(18*$R$15))*('IN-OUT'!$F$15^(-1)))*DV283</f>
        <v>1.2280065146406949E-3</v>
      </c>
      <c r="DS283" s="254" t="e">
        <f t="shared" si="204"/>
        <v>#DIV/0!</v>
      </c>
      <c r="DT283" s="254" t="e">
        <f t="shared" si="210"/>
        <v>#DIV/0!</v>
      </c>
      <c r="DU283" s="254">
        <f t="shared" si="216"/>
        <v>2.1999999999998984E-4</v>
      </c>
      <c r="DV283" s="270">
        <f t="shared" si="205"/>
        <v>1.2280065146406949E-3</v>
      </c>
      <c r="DW283" s="253">
        <f t="shared" si="217"/>
        <v>1.780000000000009E-3</v>
      </c>
      <c r="DX283" s="255">
        <f t="shared" si="211"/>
        <v>0.17800000000000091</v>
      </c>
    </row>
    <row r="284" spans="21:128">
      <c r="U284" s="262"/>
      <c r="AW284" s="258">
        <f>(((IF($P$5&lt;&gt;0,$P$5,IF($P$6&lt;&gt;0,$P$6,IF($P$7&lt;&gt;0,$P$7,0))))/(12*$P$19))+(((3*$P$15)/(2*(IF($P$5&lt;&gt;0,$P$5,IF($P$6&lt;&gt;0,$P$6,IF($P$7&lt;&gt;0,$P$7,0))))*$U$5*$P$19))*'IN-OUT'!$F$15))*'Burland damage classification'!BA284</f>
        <v>6.8483248567616955E-4</v>
      </c>
      <c r="AX284" s="254">
        <f>(1+(((IF($P$5&lt;&gt;0,$P$5^2,IF($P$6&lt;&gt;0,$P$6^2,IF($P$7&lt;&gt;0,$P$7^2))))*$U$5)/(18*$P$15))*('IN-OUT'!$F$15^(-1)))*BB284</f>
        <v>1.2932498055982919E-3</v>
      </c>
      <c r="AY284" s="254">
        <f t="shared" si="200"/>
        <v>6.8483248567616955E-4</v>
      </c>
      <c r="AZ284" s="254">
        <f t="shared" si="206"/>
        <v>6.848324856761695E-2</v>
      </c>
      <c r="BA284" s="254">
        <f t="shared" si="212"/>
        <v>2.1333333333332317E-4</v>
      </c>
      <c r="BB284" s="270">
        <f t="shared" si="201"/>
        <v>1.2242004193213844E-3</v>
      </c>
      <c r="BC284" s="253">
        <f t="shared" si="213"/>
        <v>1.7866666666666758E-3</v>
      </c>
      <c r="BD284" s="255">
        <f t="shared" si="207"/>
        <v>0.17866666666666758</v>
      </c>
      <c r="BI284" s="248"/>
      <c r="CG284" s="258" t="e">
        <f>((((IF($Q$5=0,$Q$6,$Q$5)))/(12*$Q$19))+(((3*$Q$15)/(2*IF($Q$5=0,$Q$6,$Q$5)*$U$5*$Q$19))*'IN-OUT'!$F$15))*'Burland damage classification'!CK284</f>
        <v>#DIV/0!</v>
      </c>
      <c r="CH284" s="262">
        <f>(1+(((IF($Q$5=0,$Q$6^2,$Q$5^2))*$U$5)/(18*$Q$15))*('IN-OUT'!$F$15^(-1)))*CL284</f>
        <v>1.2242004193213844E-3</v>
      </c>
      <c r="CI284" s="254" t="e">
        <f t="shared" si="202"/>
        <v>#DIV/0!</v>
      </c>
      <c r="CJ284" s="254" t="e">
        <f t="shared" si="208"/>
        <v>#DIV/0!</v>
      </c>
      <c r="CK284" s="254">
        <f t="shared" si="214"/>
        <v>2.1333333333332317E-4</v>
      </c>
      <c r="CL284" s="270">
        <f t="shared" si="203"/>
        <v>1.2242004193213844E-3</v>
      </c>
      <c r="CM284" s="253">
        <f t="shared" si="215"/>
        <v>1.7866666666666758E-3</v>
      </c>
      <c r="CN284" s="255">
        <f t="shared" si="209"/>
        <v>0.17866666666666758</v>
      </c>
      <c r="CS284" s="248"/>
      <c r="DQ284" s="258" t="e">
        <f>((((IF($R$5=0,$R$6,$R$5)))/(12*$R$19))+(((3*$R$15)/(2*IF($R$5=0,$R$6,$R$5)*$U$5*$R$19))*'IN-OUT'!$F$15))*'Burland damage classification'!DU284</f>
        <v>#DIV/0!</v>
      </c>
      <c r="DR284" s="262">
        <f>(1+(((IF($R$5=0,$R$6^2,$R$5^2))*$U$5)/(18*$R$15))*('IN-OUT'!$F$15^(-1)))*DV284</f>
        <v>1.2242004193213844E-3</v>
      </c>
      <c r="DS284" s="254" t="e">
        <f t="shared" si="204"/>
        <v>#DIV/0!</v>
      </c>
      <c r="DT284" s="254" t="e">
        <f t="shared" si="210"/>
        <v>#DIV/0!</v>
      </c>
      <c r="DU284" s="254">
        <f t="shared" si="216"/>
        <v>2.1333333333332317E-4</v>
      </c>
      <c r="DV284" s="270">
        <f t="shared" si="205"/>
        <v>1.2242004193213844E-3</v>
      </c>
      <c r="DW284" s="253">
        <f t="shared" si="217"/>
        <v>1.7866666666666758E-3</v>
      </c>
      <c r="DX284" s="255">
        <f t="shared" si="211"/>
        <v>0.17866666666666758</v>
      </c>
    </row>
    <row r="285" spans="21:128">
      <c r="U285" s="262"/>
      <c r="AW285" s="258">
        <f>(((IF($P$5&lt;&gt;0,$P$5,IF($P$6&lt;&gt;0,$P$6,IF($P$7&lt;&gt;0,$P$7,0))))/(12*$P$19))+(((3*$P$15)/(2*(IF($P$5&lt;&gt;0,$P$5,IF($P$6&lt;&gt;0,$P$6,IF($P$7&lt;&gt;0,$P$7,0))))*$U$5*$P$19))*'IN-OUT'!$F$15))*'Burland damage classification'!BA285</f>
        <v>6.6343147049878828E-4</v>
      </c>
      <c r="AX285" s="254">
        <f>(1+(((IF($P$5&lt;&gt;0,$P$5^2,IF($P$6&lt;&gt;0,$P$6^2,IF($P$7&lt;&gt;0,$P$7^2))))*$U$5)/(18*$P$15))*('IN-OUT'!$F$15^(-1)))*BB285</f>
        <v>1.2892164927506291E-3</v>
      </c>
      <c r="AY285" s="254">
        <f t="shared" si="200"/>
        <v>6.6343147049878828E-4</v>
      </c>
      <c r="AZ285" s="254">
        <f t="shared" si="206"/>
        <v>6.6343147049878828E-2</v>
      </c>
      <c r="BA285" s="254">
        <f t="shared" si="212"/>
        <v>2.0666666666665649E-4</v>
      </c>
      <c r="BB285" s="270">
        <f t="shared" si="201"/>
        <v>1.2203824537141297E-3</v>
      </c>
      <c r="BC285" s="253">
        <f t="shared" si="213"/>
        <v>1.7933333333333425E-3</v>
      </c>
      <c r="BD285" s="255">
        <f t="shared" si="207"/>
        <v>0.17933333333333426</v>
      </c>
      <c r="BI285" s="248"/>
      <c r="CG285" s="258" t="e">
        <f>((((IF($Q$5=0,$Q$6,$Q$5)))/(12*$Q$19))+(((3*$Q$15)/(2*IF($Q$5=0,$Q$6,$Q$5)*$U$5*$Q$19))*'IN-OUT'!$F$15))*'Burland damage classification'!CK285</f>
        <v>#DIV/0!</v>
      </c>
      <c r="CH285" s="262">
        <f>(1+(((IF($Q$5=0,$Q$6^2,$Q$5^2))*$U$5)/(18*$Q$15))*('IN-OUT'!$F$15^(-1)))*CL285</f>
        <v>1.2203824537141297E-3</v>
      </c>
      <c r="CI285" s="254" t="e">
        <f t="shared" si="202"/>
        <v>#DIV/0!</v>
      </c>
      <c r="CJ285" s="254" t="e">
        <f t="shared" si="208"/>
        <v>#DIV/0!</v>
      </c>
      <c r="CK285" s="254">
        <f t="shared" si="214"/>
        <v>2.0666666666665649E-4</v>
      </c>
      <c r="CL285" s="270">
        <f t="shared" si="203"/>
        <v>1.2203824537141297E-3</v>
      </c>
      <c r="CM285" s="253">
        <f t="shared" si="215"/>
        <v>1.7933333333333425E-3</v>
      </c>
      <c r="CN285" s="255">
        <f t="shared" si="209"/>
        <v>0.17933333333333426</v>
      </c>
      <c r="CS285" s="248"/>
      <c r="DQ285" s="258" t="e">
        <f>((((IF($R$5=0,$R$6,$R$5)))/(12*$R$19))+(((3*$R$15)/(2*IF($R$5=0,$R$6,$R$5)*$U$5*$R$19))*'IN-OUT'!$F$15))*'Burland damage classification'!DU285</f>
        <v>#DIV/0!</v>
      </c>
      <c r="DR285" s="262">
        <f>(1+(((IF($R$5=0,$R$6^2,$R$5^2))*$U$5)/(18*$R$15))*('IN-OUT'!$F$15^(-1)))*DV285</f>
        <v>1.2203824537141297E-3</v>
      </c>
      <c r="DS285" s="254" t="e">
        <f t="shared" si="204"/>
        <v>#DIV/0!</v>
      </c>
      <c r="DT285" s="254" t="e">
        <f t="shared" si="210"/>
        <v>#DIV/0!</v>
      </c>
      <c r="DU285" s="254">
        <f t="shared" si="216"/>
        <v>2.0666666666665649E-4</v>
      </c>
      <c r="DV285" s="270">
        <f t="shared" si="205"/>
        <v>1.2203824537141297E-3</v>
      </c>
      <c r="DW285" s="253">
        <f t="shared" si="217"/>
        <v>1.7933333333333425E-3</v>
      </c>
      <c r="DX285" s="255">
        <f t="shared" si="211"/>
        <v>0.17933333333333426</v>
      </c>
    </row>
    <row r="286" spans="21:128">
      <c r="U286" s="262"/>
      <c r="AW286" s="258">
        <f>(((IF($P$5&lt;&gt;0,$P$5,IF($P$6&lt;&gt;0,$P$6,IF($P$7&lt;&gt;0,$P$7,0))))/(12*$P$19))+(((3*$P$15)/(2*(IF($P$5&lt;&gt;0,$P$5,IF($P$6&lt;&gt;0,$P$6,IF($P$7&lt;&gt;0,$P$7,0))))*$U$5*$P$19))*'IN-OUT'!$F$15))*'Burland damage classification'!BA286</f>
        <v>6.4203045532140691E-4</v>
      </c>
      <c r="AX286" s="254">
        <f>(1+(((IF($P$5&lt;&gt;0,$P$5^2,IF($P$6&lt;&gt;0,$P$6^2,IF($P$7&lt;&gt;0,$P$7^2))))*$U$5)/(18*$P$15))*('IN-OUT'!$F$15^(-1)))*BB286</f>
        <v>1.2851705220243911E-3</v>
      </c>
      <c r="AY286" s="254">
        <f t="shared" si="200"/>
        <v>6.4203045532140691E-4</v>
      </c>
      <c r="AZ286" s="254">
        <f t="shared" si="206"/>
        <v>6.4203045532140693E-2</v>
      </c>
      <c r="BA286" s="254">
        <f t="shared" si="212"/>
        <v>1.9999999999998982E-4</v>
      </c>
      <c r="BB286" s="270">
        <f t="shared" si="201"/>
        <v>1.2165525060596385E-3</v>
      </c>
      <c r="BC286" s="253">
        <f t="shared" si="213"/>
        <v>1.8000000000000093E-3</v>
      </c>
      <c r="BD286" s="255">
        <f t="shared" si="207"/>
        <v>0.18000000000000094</v>
      </c>
      <c r="BI286" s="248"/>
      <c r="CG286" s="258" t="e">
        <f>((((IF($Q$5=0,$Q$6,$Q$5)))/(12*$Q$19))+(((3*$Q$15)/(2*IF($Q$5=0,$Q$6,$Q$5)*$U$5*$Q$19))*'IN-OUT'!$F$15))*'Burland damage classification'!CK286</f>
        <v>#DIV/0!</v>
      </c>
      <c r="CH286" s="262">
        <f>(1+(((IF($Q$5=0,$Q$6^2,$Q$5^2))*$U$5)/(18*$Q$15))*('IN-OUT'!$F$15^(-1)))*CL286</f>
        <v>1.2165525060596385E-3</v>
      </c>
      <c r="CI286" s="254" t="e">
        <f t="shared" si="202"/>
        <v>#DIV/0!</v>
      </c>
      <c r="CJ286" s="254" t="e">
        <f t="shared" si="208"/>
        <v>#DIV/0!</v>
      </c>
      <c r="CK286" s="254">
        <f t="shared" si="214"/>
        <v>1.9999999999998982E-4</v>
      </c>
      <c r="CL286" s="270">
        <f t="shared" si="203"/>
        <v>1.2165525060596385E-3</v>
      </c>
      <c r="CM286" s="253">
        <f t="shared" si="215"/>
        <v>1.8000000000000093E-3</v>
      </c>
      <c r="CN286" s="255">
        <f t="shared" si="209"/>
        <v>0.18000000000000094</v>
      </c>
      <c r="CS286" s="248"/>
      <c r="DQ286" s="258" t="e">
        <f>((((IF($R$5=0,$R$6,$R$5)))/(12*$R$19))+(((3*$R$15)/(2*IF($R$5=0,$R$6,$R$5)*$U$5*$R$19))*'IN-OUT'!$F$15))*'Burland damage classification'!DU286</f>
        <v>#DIV/0!</v>
      </c>
      <c r="DR286" s="262">
        <f>(1+(((IF($R$5=0,$R$6^2,$R$5^2))*$U$5)/(18*$R$15))*('IN-OUT'!$F$15^(-1)))*DV286</f>
        <v>1.2165525060596385E-3</v>
      </c>
      <c r="DS286" s="254" t="e">
        <f t="shared" si="204"/>
        <v>#DIV/0!</v>
      </c>
      <c r="DT286" s="254" t="e">
        <f t="shared" si="210"/>
        <v>#DIV/0!</v>
      </c>
      <c r="DU286" s="254">
        <f t="shared" si="216"/>
        <v>1.9999999999998982E-4</v>
      </c>
      <c r="DV286" s="270">
        <f t="shared" si="205"/>
        <v>1.2165525060596385E-3</v>
      </c>
      <c r="DW286" s="253">
        <f t="shared" si="217"/>
        <v>1.8000000000000093E-3</v>
      </c>
      <c r="DX286" s="255">
        <f t="shared" si="211"/>
        <v>0.18000000000000094</v>
      </c>
    </row>
    <row r="287" spans="21:128">
      <c r="U287" s="262"/>
      <c r="AW287" s="258">
        <f>(((IF($P$5&lt;&gt;0,$P$5,IF($P$6&lt;&gt;0,$P$6,IF($P$7&lt;&gt;0,$P$7,0))))/(12*$P$19))+(((3*$P$15)/(2*(IF($P$5&lt;&gt;0,$P$5,IF($P$6&lt;&gt;0,$P$6,IF($P$7&lt;&gt;0,$P$7,0))))*$U$5*$P$19))*'IN-OUT'!$F$15))*'Burland damage classification'!BA287</f>
        <v>6.2062944014402554E-4</v>
      </c>
      <c r="AX287" s="254">
        <f>(1+(((IF($P$5&lt;&gt;0,$P$5^2,IF($P$6&lt;&gt;0,$P$6^2,IF($P$7&lt;&gt;0,$P$7^2))))*$U$5)/(18*$P$15))*('IN-OUT'!$F$15^(-1)))*BB287</f>
        <v>1.2811117734923285E-3</v>
      </c>
      <c r="AY287" s="254">
        <f t="shared" si="200"/>
        <v>6.2062944014402554E-4</v>
      </c>
      <c r="AZ287" s="254">
        <f t="shared" si="206"/>
        <v>6.2062944014402557E-2</v>
      </c>
      <c r="BA287" s="254">
        <f t="shared" si="212"/>
        <v>1.9333333333332314E-4</v>
      </c>
      <c r="BB287" s="270">
        <f t="shared" si="201"/>
        <v>1.2127104628338345E-3</v>
      </c>
      <c r="BC287" s="253">
        <f t="shared" si="213"/>
        <v>1.806666666666676E-3</v>
      </c>
      <c r="BD287" s="255">
        <f t="shared" si="207"/>
        <v>0.18066666666666761</v>
      </c>
      <c r="BI287" s="248"/>
      <c r="CG287" s="258" t="e">
        <f>((((IF($Q$5=0,$Q$6,$Q$5)))/(12*$Q$19))+(((3*$Q$15)/(2*IF($Q$5=0,$Q$6,$Q$5)*$U$5*$Q$19))*'IN-OUT'!$F$15))*'Burland damage classification'!CK287</f>
        <v>#DIV/0!</v>
      </c>
      <c r="CH287" s="262">
        <f>(1+(((IF($Q$5=0,$Q$6^2,$Q$5^2))*$U$5)/(18*$Q$15))*('IN-OUT'!$F$15^(-1)))*CL287</f>
        <v>1.2127104628338345E-3</v>
      </c>
      <c r="CI287" s="254" t="e">
        <f t="shared" si="202"/>
        <v>#DIV/0!</v>
      </c>
      <c r="CJ287" s="254" t="e">
        <f t="shared" si="208"/>
        <v>#DIV/0!</v>
      </c>
      <c r="CK287" s="254">
        <f t="shared" si="214"/>
        <v>1.9333333333332314E-4</v>
      </c>
      <c r="CL287" s="270">
        <f t="shared" si="203"/>
        <v>1.2127104628338345E-3</v>
      </c>
      <c r="CM287" s="253">
        <f t="shared" si="215"/>
        <v>1.806666666666676E-3</v>
      </c>
      <c r="CN287" s="255">
        <f t="shared" si="209"/>
        <v>0.18066666666666761</v>
      </c>
      <c r="CS287" s="248"/>
      <c r="DQ287" s="258" t="e">
        <f>((((IF($R$5=0,$R$6,$R$5)))/(12*$R$19))+(((3*$R$15)/(2*IF($R$5=0,$R$6,$R$5)*$U$5*$R$19))*'IN-OUT'!$F$15))*'Burland damage classification'!DU287</f>
        <v>#DIV/0!</v>
      </c>
      <c r="DR287" s="262">
        <f>(1+(((IF($R$5=0,$R$6^2,$R$5^2))*$U$5)/(18*$R$15))*('IN-OUT'!$F$15^(-1)))*DV287</f>
        <v>1.2127104628338345E-3</v>
      </c>
      <c r="DS287" s="254" t="e">
        <f t="shared" si="204"/>
        <v>#DIV/0!</v>
      </c>
      <c r="DT287" s="254" t="e">
        <f t="shared" si="210"/>
        <v>#DIV/0!</v>
      </c>
      <c r="DU287" s="254">
        <f t="shared" si="216"/>
        <v>1.9333333333332314E-4</v>
      </c>
      <c r="DV287" s="270">
        <f t="shared" si="205"/>
        <v>1.2127104628338345E-3</v>
      </c>
      <c r="DW287" s="253">
        <f t="shared" si="217"/>
        <v>1.806666666666676E-3</v>
      </c>
      <c r="DX287" s="255">
        <f t="shared" si="211"/>
        <v>0.18066666666666761</v>
      </c>
    </row>
    <row r="288" spans="21:128">
      <c r="U288" s="262"/>
      <c r="AW288" s="258">
        <f>(((IF($P$5&lt;&gt;0,$P$5,IF($P$6&lt;&gt;0,$P$6,IF($P$7&lt;&gt;0,$P$7,0))))/(12*$P$19))+(((3*$P$15)/(2*(IF($P$5&lt;&gt;0,$P$5,IF($P$6&lt;&gt;0,$P$6,IF($P$7&lt;&gt;0,$P$7,0))))*$U$5*$P$19))*'IN-OUT'!$F$15))*'Burland damage classification'!BA288</f>
        <v>5.9922842496664417E-4</v>
      </c>
      <c r="AX288" s="254">
        <f>(1+(((IF($P$5&lt;&gt;0,$P$5^2,IF($P$6&lt;&gt;0,$P$6^2,IF($P$7&lt;&gt;0,$P$7^2))))*$U$5)/(18*$P$15))*('IN-OUT'!$F$15^(-1)))*BB288</f>
        <v>1.2770401253213903E-3</v>
      </c>
      <c r="AY288" s="254">
        <f t="shared" si="200"/>
        <v>5.9922842496664417E-4</v>
      </c>
      <c r="AZ288" s="254">
        <f t="shared" si="206"/>
        <v>5.9922842496664415E-2</v>
      </c>
      <c r="BA288" s="254">
        <f t="shared" si="212"/>
        <v>1.8666666666665647E-4</v>
      </c>
      <c r="BB288" s="270">
        <f t="shared" si="201"/>
        <v>1.2088562087085957E-3</v>
      </c>
      <c r="BC288" s="253">
        <f t="shared" si="213"/>
        <v>1.8133333333333428E-3</v>
      </c>
      <c r="BD288" s="255">
        <f t="shared" si="207"/>
        <v>0.18133333333333429</v>
      </c>
      <c r="BI288" s="248"/>
      <c r="CG288" s="258" t="e">
        <f>((((IF($Q$5=0,$Q$6,$Q$5)))/(12*$Q$19))+(((3*$Q$15)/(2*IF($Q$5=0,$Q$6,$Q$5)*$U$5*$Q$19))*'IN-OUT'!$F$15))*'Burland damage classification'!CK288</f>
        <v>#DIV/0!</v>
      </c>
      <c r="CH288" s="262">
        <f>(1+(((IF($Q$5=0,$Q$6^2,$Q$5^2))*$U$5)/(18*$Q$15))*('IN-OUT'!$F$15^(-1)))*CL288</f>
        <v>1.2088562087085957E-3</v>
      </c>
      <c r="CI288" s="254" t="e">
        <f t="shared" si="202"/>
        <v>#DIV/0!</v>
      </c>
      <c r="CJ288" s="254" t="e">
        <f t="shared" si="208"/>
        <v>#DIV/0!</v>
      </c>
      <c r="CK288" s="254">
        <f t="shared" si="214"/>
        <v>1.8666666666665647E-4</v>
      </c>
      <c r="CL288" s="270">
        <f t="shared" si="203"/>
        <v>1.2088562087085957E-3</v>
      </c>
      <c r="CM288" s="253">
        <f t="shared" si="215"/>
        <v>1.8133333333333428E-3</v>
      </c>
      <c r="CN288" s="255">
        <f t="shared" si="209"/>
        <v>0.18133333333333429</v>
      </c>
      <c r="CS288" s="248"/>
      <c r="DQ288" s="258" t="e">
        <f>((((IF($R$5=0,$R$6,$R$5)))/(12*$R$19))+(((3*$R$15)/(2*IF($R$5=0,$R$6,$R$5)*$U$5*$R$19))*'IN-OUT'!$F$15))*'Burland damage classification'!DU288</f>
        <v>#DIV/0!</v>
      </c>
      <c r="DR288" s="262">
        <f>(1+(((IF($R$5=0,$R$6^2,$R$5^2))*$U$5)/(18*$R$15))*('IN-OUT'!$F$15^(-1)))*DV288</f>
        <v>1.2088562087085957E-3</v>
      </c>
      <c r="DS288" s="254" t="e">
        <f t="shared" si="204"/>
        <v>#DIV/0!</v>
      </c>
      <c r="DT288" s="254" t="e">
        <f t="shared" si="210"/>
        <v>#DIV/0!</v>
      </c>
      <c r="DU288" s="254">
        <f t="shared" si="216"/>
        <v>1.8666666666665647E-4</v>
      </c>
      <c r="DV288" s="270">
        <f t="shared" si="205"/>
        <v>1.2088562087085957E-3</v>
      </c>
      <c r="DW288" s="253">
        <f t="shared" si="217"/>
        <v>1.8133333333333428E-3</v>
      </c>
      <c r="DX288" s="255">
        <f t="shared" si="211"/>
        <v>0.18133333333333429</v>
      </c>
    </row>
    <row r="289" spans="21:128">
      <c r="U289" s="262"/>
      <c r="AW289" s="258">
        <f>(((IF($P$5&lt;&gt;0,$P$5,IF($P$6&lt;&gt;0,$P$6,IF($P$7&lt;&gt;0,$P$7,0))))/(12*$P$19))+(((3*$P$15)/(2*(IF($P$5&lt;&gt;0,$P$5,IF($P$6&lt;&gt;0,$P$6,IF($P$7&lt;&gt;0,$P$7,0))))*$U$5*$P$19))*'IN-OUT'!$F$15))*'Burland damage classification'!BA289</f>
        <v>5.778274097892629E-4</v>
      </c>
      <c r="AX289" s="254">
        <f>(1+(((IF($P$5&lt;&gt;0,$P$5^2,IF($P$6&lt;&gt;0,$P$6^2,IF($P$7&lt;&gt;0,$P$7^2))))*$U$5)/(18*$P$15))*('IN-OUT'!$F$15^(-1)))*BB289</f>
        <v>1.2729554537300534E-3</v>
      </c>
      <c r="AY289" s="254">
        <f t="shared" si="200"/>
        <v>5.778274097892629E-4</v>
      </c>
      <c r="AZ289" s="254">
        <f t="shared" si="206"/>
        <v>5.7782740978926293E-2</v>
      </c>
      <c r="BA289" s="254">
        <f t="shared" si="212"/>
        <v>1.7999999999998979E-4</v>
      </c>
      <c r="BB289" s="270">
        <f t="shared" si="201"/>
        <v>1.20498962651136E-3</v>
      </c>
      <c r="BC289" s="253">
        <f t="shared" si="213"/>
        <v>1.8200000000000095E-3</v>
      </c>
      <c r="BD289" s="255">
        <f t="shared" si="207"/>
        <v>0.18200000000000097</v>
      </c>
      <c r="BI289" s="248"/>
      <c r="CG289" s="258" t="e">
        <f>((((IF($Q$5=0,$Q$6,$Q$5)))/(12*$Q$19))+(((3*$Q$15)/(2*IF($Q$5=0,$Q$6,$Q$5)*$U$5*$Q$19))*'IN-OUT'!$F$15))*'Burland damage classification'!CK289</f>
        <v>#DIV/0!</v>
      </c>
      <c r="CH289" s="262">
        <f>(1+(((IF($Q$5=0,$Q$6^2,$Q$5^2))*$U$5)/(18*$Q$15))*('IN-OUT'!$F$15^(-1)))*CL289</f>
        <v>1.20498962651136E-3</v>
      </c>
      <c r="CI289" s="254" t="e">
        <f t="shared" si="202"/>
        <v>#DIV/0!</v>
      </c>
      <c r="CJ289" s="254" t="e">
        <f t="shared" si="208"/>
        <v>#DIV/0!</v>
      </c>
      <c r="CK289" s="254">
        <f t="shared" si="214"/>
        <v>1.7999999999998979E-4</v>
      </c>
      <c r="CL289" s="270">
        <f t="shared" si="203"/>
        <v>1.20498962651136E-3</v>
      </c>
      <c r="CM289" s="253">
        <f t="shared" si="215"/>
        <v>1.8200000000000095E-3</v>
      </c>
      <c r="CN289" s="255">
        <f t="shared" si="209"/>
        <v>0.18200000000000097</v>
      </c>
      <c r="CS289" s="248"/>
      <c r="DQ289" s="258" t="e">
        <f>((((IF($R$5=0,$R$6,$R$5)))/(12*$R$19))+(((3*$R$15)/(2*IF($R$5=0,$R$6,$R$5)*$U$5*$R$19))*'IN-OUT'!$F$15))*'Burland damage classification'!DU289</f>
        <v>#DIV/0!</v>
      </c>
      <c r="DR289" s="262">
        <f>(1+(((IF($R$5=0,$R$6^2,$R$5^2))*$U$5)/(18*$R$15))*('IN-OUT'!$F$15^(-1)))*DV289</f>
        <v>1.20498962651136E-3</v>
      </c>
      <c r="DS289" s="254" t="e">
        <f t="shared" si="204"/>
        <v>#DIV/0!</v>
      </c>
      <c r="DT289" s="254" t="e">
        <f t="shared" si="210"/>
        <v>#DIV/0!</v>
      </c>
      <c r="DU289" s="254">
        <f t="shared" si="216"/>
        <v>1.7999999999998979E-4</v>
      </c>
      <c r="DV289" s="270">
        <f t="shared" si="205"/>
        <v>1.20498962651136E-3</v>
      </c>
      <c r="DW289" s="253">
        <f t="shared" si="217"/>
        <v>1.8200000000000095E-3</v>
      </c>
      <c r="DX289" s="255">
        <f t="shared" si="211"/>
        <v>0.18200000000000097</v>
      </c>
    </row>
    <row r="290" spans="21:128">
      <c r="U290" s="262"/>
      <c r="AW290" s="258">
        <f>(((IF($P$5&lt;&gt;0,$P$5,IF($P$6&lt;&gt;0,$P$6,IF($P$7&lt;&gt;0,$P$7,0))))/(12*$P$19))+(((3*$P$15)/(2*(IF($P$5&lt;&gt;0,$P$5,IF($P$6&lt;&gt;0,$P$6,IF($P$7&lt;&gt;0,$P$7,0))))*$U$5*$P$19))*'IN-OUT'!$F$15))*'Burland damage classification'!BA290</f>
        <v>5.5642639461188153E-4</v>
      </c>
      <c r="AX290" s="254">
        <f>(1+(((IF($P$5&lt;&gt;0,$P$5^2,IF($P$6&lt;&gt;0,$P$6^2,IF($P$7&lt;&gt;0,$P$7^2))))*$U$5)/(18*$P$15))*('IN-OUT'!$F$15^(-1)))*BB290</f>
        <v>1.2688576329444132E-3</v>
      </c>
      <c r="AY290" s="254">
        <f t="shared" si="200"/>
        <v>5.5642639461188153E-4</v>
      </c>
      <c r="AZ290" s="254">
        <f t="shared" si="206"/>
        <v>5.5642639461188151E-2</v>
      </c>
      <c r="BA290" s="254">
        <f t="shared" si="212"/>
        <v>1.7333333333332312E-4</v>
      </c>
      <c r="BB290" s="270">
        <f t="shared" si="201"/>
        <v>1.2011105971835622E-3</v>
      </c>
      <c r="BC290" s="253">
        <f t="shared" si="213"/>
        <v>1.8266666666666763E-3</v>
      </c>
      <c r="BD290" s="255">
        <f t="shared" si="207"/>
        <v>0.18266666666666764</v>
      </c>
      <c r="BI290" s="248"/>
      <c r="CG290" s="258" t="e">
        <f>((((IF($Q$5=0,$Q$6,$Q$5)))/(12*$Q$19))+(((3*$Q$15)/(2*IF($Q$5=0,$Q$6,$Q$5)*$U$5*$Q$19))*'IN-OUT'!$F$15))*'Burland damage classification'!CK290</f>
        <v>#DIV/0!</v>
      </c>
      <c r="CH290" s="262">
        <f>(1+(((IF($Q$5=0,$Q$6^2,$Q$5^2))*$U$5)/(18*$Q$15))*('IN-OUT'!$F$15^(-1)))*CL290</f>
        <v>1.2011105971835622E-3</v>
      </c>
      <c r="CI290" s="254" t="e">
        <f t="shared" si="202"/>
        <v>#DIV/0!</v>
      </c>
      <c r="CJ290" s="254" t="e">
        <f t="shared" si="208"/>
        <v>#DIV/0!</v>
      </c>
      <c r="CK290" s="254">
        <f t="shared" si="214"/>
        <v>1.7333333333332312E-4</v>
      </c>
      <c r="CL290" s="270">
        <f t="shared" si="203"/>
        <v>1.2011105971835622E-3</v>
      </c>
      <c r="CM290" s="253">
        <f t="shared" si="215"/>
        <v>1.8266666666666763E-3</v>
      </c>
      <c r="CN290" s="255">
        <f t="shared" si="209"/>
        <v>0.18266666666666764</v>
      </c>
      <c r="CS290" s="248"/>
      <c r="DQ290" s="258" t="e">
        <f>((((IF($R$5=0,$R$6,$R$5)))/(12*$R$19))+(((3*$R$15)/(2*IF($R$5=0,$R$6,$R$5)*$U$5*$R$19))*'IN-OUT'!$F$15))*'Burland damage classification'!DU290</f>
        <v>#DIV/0!</v>
      </c>
      <c r="DR290" s="262">
        <f>(1+(((IF($R$5=0,$R$6^2,$R$5^2))*$U$5)/(18*$R$15))*('IN-OUT'!$F$15^(-1)))*DV290</f>
        <v>1.2011105971835622E-3</v>
      </c>
      <c r="DS290" s="254" t="e">
        <f t="shared" si="204"/>
        <v>#DIV/0!</v>
      </c>
      <c r="DT290" s="254" t="e">
        <f t="shared" si="210"/>
        <v>#DIV/0!</v>
      </c>
      <c r="DU290" s="254">
        <f t="shared" si="216"/>
        <v>1.7333333333332312E-4</v>
      </c>
      <c r="DV290" s="270">
        <f t="shared" si="205"/>
        <v>1.2011105971835622E-3</v>
      </c>
      <c r="DW290" s="253">
        <f t="shared" si="217"/>
        <v>1.8266666666666763E-3</v>
      </c>
      <c r="DX290" s="255">
        <f t="shared" si="211"/>
        <v>0.18266666666666764</v>
      </c>
    </row>
    <row r="291" spans="21:128">
      <c r="U291" s="262"/>
      <c r="AW291" s="258">
        <f>(((IF($P$5&lt;&gt;0,$P$5,IF($P$6&lt;&gt;0,$P$6,IF($P$7&lt;&gt;0,$P$7,0))))/(12*$P$19))+(((3*$P$15)/(2*(IF($P$5&lt;&gt;0,$P$5,IF($P$6&lt;&gt;0,$P$6,IF($P$7&lt;&gt;0,$P$7,0))))*$U$5*$P$19))*'IN-OUT'!$F$15))*'Burland damage classification'!BA291</f>
        <v>5.3502537943450016E-4</v>
      </c>
      <c r="AX291" s="254">
        <f>(1+(((IF($P$5&lt;&gt;0,$P$5^2,IF($P$6&lt;&gt;0,$P$6^2,IF($P$7&lt;&gt;0,$P$7^2))))*$U$5)/(18*$P$15))*('IN-OUT'!$F$15^(-1)))*BB291</f>
        <v>1.2647465351529974E-3</v>
      </c>
      <c r="AY291" s="254">
        <f t="shared" si="200"/>
        <v>5.3502537943450016E-4</v>
      </c>
      <c r="AZ291" s="254">
        <f t="shared" si="206"/>
        <v>5.3502537943450015E-2</v>
      </c>
      <c r="BA291" s="254">
        <f t="shared" si="212"/>
        <v>1.6666666666665644E-4</v>
      </c>
      <c r="BB291" s="270">
        <f t="shared" si="201"/>
        <v>1.197218999737859E-3</v>
      </c>
      <c r="BC291" s="253">
        <f t="shared" si="213"/>
        <v>1.8333333333333431E-3</v>
      </c>
      <c r="BD291" s="255">
        <f t="shared" si="207"/>
        <v>0.18333333333333429</v>
      </c>
      <c r="BI291" s="248"/>
      <c r="CG291" s="258" t="e">
        <f>((((IF($Q$5=0,$Q$6,$Q$5)))/(12*$Q$19))+(((3*$Q$15)/(2*IF($Q$5=0,$Q$6,$Q$5)*$U$5*$Q$19))*'IN-OUT'!$F$15))*'Burland damage classification'!CK291</f>
        <v>#DIV/0!</v>
      </c>
      <c r="CH291" s="262">
        <f>(1+(((IF($Q$5=0,$Q$6^2,$Q$5^2))*$U$5)/(18*$Q$15))*('IN-OUT'!$F$15^(-1)))*CL291</f>
        <v>1.197218999737859E-3</v>
      </c>
      <c r="CI291" s="254" t="e">
        <f t="shared" si="202"/>
        <v>#DIV/0!</v>
      </c>
      <c r="CJ291" s="254" t="e">
        <f t="shared" si="208"/>
        <v>#DIV/0!</v>
      </c>
      <c r="CK291" s="254">
        <f t="shared" si="214"/>
        <v>1.6666666666665644E-4</v>
      </c>
      <c r="CL291" s="270">
        <f t="shared" si="203"/>
        <v>1.197218999737859E-3</v>
      </c>
      <c r="CM291" s="253">
        <f t="shared" si="215"/>
        <v>1.8333333333333431E-3</v>
      </c>
      <c r="CN291" s="255">
        <f t="shared" si="209"/>
        <v>0.18333333333333429</v>
      </c>
      <c r="CS291" s="248"/>
      <c r="DQ291" s="258" t="e">
        <f>((((IF($R$5=0,$R$6,$R$5)))/(12*$R$19))+(((3*$R$15)/(2*IF($R$5=0,$R$6,$R$5)*$U$5*$R$19))*'IN-OUT'!$F$15))*'Burland damage classification'!DU291</f>
        <v>#DIV/0!</v>
      </c>
      <c r="DR291" s="262">
        <f>(1+(((IF($R$5=0,$R$6^2,$R$5^2))*$U$5)/(18*$R$15))*('IN-OUT'!$F$15^(-1)))*DV291</f>
        <v>1.197218999737859E-3</v>
      </c>
      <c r="DS291" s="254" t="e">
        <f t="shared" si="204"/>
        <v>#DIV/0!</v>
      </c>
      <c r="DT291" s="254" t="e">
        <f t="shared" si="210"/>
        <v>#DIV/0!</v>
      </c>
      <c r="DU291" s="254">
        <f t="shared" si="216"/>
        <v>1.6666666666665644E-4</v>
      </c>
      <c r="DV291" s="270">
        <f t="shared" si="205"/>
        <v>1.197218999737859E-3</v>
      </c>
      <c r="DW291" s="253">
        <f t="shared" si="217"/>
        <v>1.8333333333333431E-3</v>
      </c>
      <c r="DX291" s="255">
        <f t="shared" si="211"/>
        <v>0.18333333333333429</v>
      </c>
    </row>
    <row r="292" spans="21:128">
      <c r="U292" s="262"/>
      <c r="AW292" s="258">
        <f>(((IF($P$5&lt;&gt;0,$P$5,IF($P$6&lt;&gt;0,$P$6,IF($P$7&lt;&gt;0,$P$7,0))))/(12*$P$19))+(((3*$P$15)/(2*(IF($P$5&lt;&gt;0,$P$5,IF($P$6&lt;&gt;0,$P$6,IF($P$7&lt;&gt;0,$P$7,0))))*$U$5*$P$19))*'IN-OUT'!$F$15))*'Burland damage classification'!BA292</f>
        <v>5.1362436425711879E-4</v>
      </c>
      <c r="AX292" s="254">
        <f>(1+(((IF($P$5&lt;&gt;0,$P$5^2,IF($P$6&lt;&gt;0,$P$6^2,IF($P$7&lt;&gt;0,$P$7^2))))*$U$5)/(18*$P$15))*('IN-OUT'!$F$15^(-1)))*BB292</f>
        <v>1.2606220304602507E-3</v>
      </c>
      <c r="AY292" s="254">
        <f t="shared" si="200"/>
        <v>5.1362436425711879E-4</v>
      </c>
      <c r="AZ292" s="254">
        <f t="shared" si="206"/>
        <v>5.136243642571188E-2</v>
      </c>
      <c r="BA292" s="254">
        <f t="shared" si="212"/>
        <v>1.5999999999998977E-4</v>
      </c>
      <c r="BB292" s="270">
        <f t="shared" si="201"/>
        <v>1.193314711214098E-3</v>
      </c>
      <c r="BC292" s="253">
        <f t="shared" si="213"/>
        <v>1.8400000000000098E-3</v>
      </c>
      <c r="BD292" s="255">
        <f t="shared" si="207"/>
        <v>0.18400000000000097</v>
      </c>
      <c r="BI292" s="248"/>
      <c r="CG292" s="258" t="e">
        <f>((((IF($Q$5=0,$Q$6,$Q$5)))/(12*$Q$19))+(((3*$Q$15)/(2*IF($Q$5=0,$Q$6,$Q$5)*$U$5*$Q$19))*'IN-OUT'!$F$15))*'Burland damage classification'!CK292</f>
        <v>#DIV/0!</v>
      </c>
      <c r="CH292" s="262">
        <f>(1+(((IF($Q$5=0,$Q$6^2,$Q$5^2))*$U$5)/(18*$Q$15))*('IN-OUT'!$F$15^(-1)))*CL292</f>
        <v>1.193314711214098E-3</v>
      </c>
      <c r="CI292" s="254" t="e">
        <f t="shared" si="202"/>
        <v>#DIV/0!</v>
      </c>
      <c r="CJ292" s="254" t="e">
        <f t="shared" si="208"/>
        <v>#DIV/0!</v>
      </c>
      <c r="CK292" s="254">
        <f t="shared" si="214"/>
        <v>1.5999999999998977E-4</v>
      </c>
      <c r="CL292" s="270">
        <f t="shared" si="203"/>
        <v>1.193314711214098E-3</v>
      </c>
      <c r="CM292" s="253">
        <f t="shared" si="215"/>
        <v>1.8400000000000098E-3</v>
      </c>
      <c r="CN292" s="255">
        <f t="shared" si="209"/>
        <v>0.18400000000000097</v>
      </c>
      <c r="CS292" s="248"/>
      <c r="DQ292" s="258" t="e">
        <f>((((IF($R$5=0,$R$6,$R$5)))/(12*$R$19))+(((3*$R$15)/(2*IF($R$5=0,$R$6,$R$5)*$U$5*$R$19))*'IN-OUT'!$F$15))*'Burland damage classification'!DU292</f>
        <v>#DIV/0!</v>
      </c>
      <c r="DR292" s="262">
        <f>(1+(((IF($R$5=0,$R$6^2,$R$5^2))*$U$5)/(18*$R$15))*('IN-OUT'!$F$15^(-1)))*DV292</f>
        <v>1.193314711214098E-3</v>
      </c>
      <c r="DS292" s="254" t="e">
        <f t="shared" si="204"/>
        <v>#DIV/0!</v>
      </c>
      <c r="DT292" s="254" t="e">
        <f t="shared" si="210"/>
        <v>#DIV/0!</v>
      </c>
      <c r="DU292" s="254">
        <f t="shared" si="216"/>
        <v>1.5999999999998977E-4</v>
      </c>
      <c r="DV292" s="270">
        <f t="shared" si="205"/>
        <v>1.193314711214098E-3</v>
      </c>
      <c r="DW292" s="253">
        <f t="shared" si="217"/>
        <v>1.8400000000000098E-3</v>
      </c>
      <c r="DX292" s="255">
        <f t="shared" si="211"/>
        <v>0.18400000000000097</v>
      </c>
    </row>
    <row r="293" spans="21:128">
      <c r="U293" s="262"/>
      <c r="AW293" s="258">
        <f>(((IF($P$5&lt;&gt;0,$P$5,IF($P$6&lt;&gt;0,$P$6,IF($P$7&lt;&gt;0,$P$7,0))))/(12*$P$19))+(((3*$P$15)/(2*(IF($P$5&lt;&gt;0,$P$5,IF($P$6&lt;&gt;0,$P$6,IF($P$7&lt;&gt;0,$P$7,0))))*$U$5*$P$19))*'IN-OUT'!$F$15))*'Burland damage classification'!BA293</f>
        <v>4.9222334907973752E-4</v>
      </c>
      <c r="AX293" s="254">
        <f>(1+(((IF($P$5&lt;&gt;0,$P$5^2,IF($P$6&lt;&gt;0,$P$6^2,IF($P$7&lt;&gt;0,$P$7^2))))*$U$5)/(18*$P$15))*('IN-OUT'!$F$15^(-1)))*BB293</f>
        <v>1.256483986838646E-3</v>
      </c>
      <c r="AY293" s="254">
        <f t="shared" si="200"/>
        <v>4.9222334907973752E-4</v>
      </c>
      <c r="AZ293" s="254">
        <f t="shared" si="206"/>
        <v>4.9222334907973751E-2</v>
      </c>
      <c r="BA293" s="254">
        <f t="shared" si="212"/>
        <v>1.5333333333332309E-4</v>
      </c>
      <c r="BB293" s="270">
        <f t="shared" si="201"/>
        <v>1.1893976066339855E-3</v>
      </c>
      <c r="BC293" s="253">
        <f t="shared" si="213"/>
        <v>1.8466666666666766E-3</v>
      </c>
      <c r="BD293" s="255">
        <f t="shared" si="207"/>
        <v>0.18466666666666764</v>
      </c>
      <c r="BI293" s="248"/>
      <c r="CG293" s="258" t="e">
        <f>((((IF($Q$5=0,$Q$6,$Q$5)))/(12*$Q$19))+(((3*$Q$15)/(2*IF($Q$5=0,$Q$6,$Q$5)*$U$5*$Q$19))*'IN-OUT'!$F$15))*'Burland damage classification'!CK293</f>
        <v>#DIV/0!</v>
      </c>
      <c r="CH293" s="262">
        <f>(1+(((IF($Q$5=0,$Q$6^2,$Q$5^2))*$U$5)/(18*$Q$15))*('IN-OUT'!$F$15^(-1)))*CL293</f>
        <v>1.1893976066339855E-3</v>
      </c>
      <c r="CI293" s="254" t="e">
        <f t="shared" si="202"/>
        <v>#DIV/0!</v>
      </c>
      <c r="CJ293" s="254" t="e">
        <f t="shared" si="208"/>
        <v>#DIV/0!</v>
      </c>
      <c r="CK293" s="254">
        <f t="shared" si="214"/>
        <v>1.5333333333332309E-4</v>
      </c>
      <c r="CL293" s="270">
        <f t="shared" si="203"/>
        <v>1.1893976066339855E-3</v>
      </c>
      <c r="CM293" s="253">
        <f t="shared" si="215"/>
        <v>1.8466666666666766E-3</v>
      </c>
      <c r="CN293" s="255">
        <f t="shared" si="209"/>
        <v>0.18466666666666764</v>
      </c>
      <c r="CS293" s="248"/>
      <c r="DQ293" s="258" t="e">
        <f>((((IF($R$5=0,$R$6,$R$5)))/(12*$R$19))+(((3*$R$15)/(2*IF($R$5=0,$R$6,$R$5)*$U$5*$R$19))*'IN-OUT'!$F$15))*'Burland damage classification'!DU293</f>
        <v>#DIV/0!</v>
      </c>
      <c r="DR293" s="262">
        <f>(1+(((IF($R$5=0,$R$6^2,$R$5^2))*$U$5)/(18*$R$15))*('IN-OUT'!$F$15^(-1)))*DV293</f>
        <v>1.1893976066339855E-3</v>
      </c>
      <c r="DS293" s="254" t="e">
        <f t="shared" si="204"/>
        <v>#DIV/0!</v>
      </c>
      <c r="DT293" s="254" t="e">
        <f t="shared" si="210"/>
        <v>#DIV/0!</v>
      </c>
      <c r="DU293" s="254">
        <f t="shared" si="216"/>
        <v>1.5333333333332309E-4</v>
      </c>
      <c r="DV293" s="270">
        <f t="shared" si="205"/>
        <v>1.1893976066339855E-3</v>
      </c>
      <c r="DW293" s="253">
        <f t="shared" si="217"/>
        <v>1.8466666666666766E-3</v>
      </c>
      <c r="DX293" s="255">
        <f t="shared" si="211"/>
        <v>0.18466666666666764</v>
      </c>
    </row>
    <row r="294" spans="21:128">
      <c r="U294" s="262"/>
      <c r="AW294" s="258">
        <f>(((IF($P$5&lt;&gt;0,$P$5,IF($P$6&lt;&gt;0,$P$6,IF($P$7&lt;&gt;0,$P$7,0))))/(12*$P$19))+(((3*$P$15)/(2*(IF($P$5&lt;&gt;0,$P$5,IF($P$6&lt;&gt;0,$P$6,IF($P$7&lt;&gt;0,$P$7,0))))*$U$5*$P$19))*'IN-OUT'!$F$15))*'Burland damage classification'!BA294</f>
        <v>4.7082233390235615E-4</v>
      </c>
      <c r="AX294" s="254">
        <f>(1+(((IF($P$5&lt;&gt;0,$P$5^2,IF($P$6&lt;&gt;0,$P$6^2,IF($P$7&lt;&gt;0,$P$7^2))))*$U$5)/(18*$P$15))*('IN-OUT'!$F$15^(-1)))*BB294</f>
        <v>1.2523322700793715E-3</v>
      </c>
      <c r="AY294" s="254">
        <f t="shared" si="200"/>
        <v>4.7082233390235615E-4</v>
      </c>
      <c r="AZ294" s="254">
        <f t="shared" si="206"/>
        <v>4.7082233390235616E-2</v>
      </c>
      <c r="BA294" s="254">
        <f t="shared" si="212"/>
        <v>1.4666666666665642E-4</v>
      </c>
      <c r="BB294" s="270">
        <f t="shared" si="201"/>
        <v>1.1854675589544066E-3</v>
      </c>
      <c r="BC294" s="253">
        <f t="shared" si="213"/>
        <v>1.8533333333333433E-3</v>
      </c>
      <c r="BD294" s="255">
        <f t="shared" si="207"/>
        <v>0.18533333333333432</v>
      </c>
      <c r="BI294" s="248"/>
      <c r="CG294" s="258" t="e">
        <f>((((IF($Q$5=0,$Q$6,$Q$5)))/(12*$Q$19))+(((3*$Q$15)/(2*IF($Q$5=0,$Q$6,$Q$5)*$U$5*$Q$19))*'IN-OUT'!$F$15))*'Burland damage classification'!CK294</f>
        <v>#DIV/0!</v>
      </c>
      <c r="CH294" s="262">
        <f>(1+(((IF($Q$5=0,$Q$6^2,$Q$5^2))*$U$5)/(18*$Q$15))*('IN-OUT'!$F$15^(-1)))*CL294</f>
        <v>1.1854675589544066E-3</v>
      </c>
      <c r="CI294" s="254" t="e">
        <f t="shared" si="202"/>
        <v>#DIV/0!</v>
      </c>
      <c r="CJ294" s="254" t="e">
        <f t="shared" si="208"/>
        <v>#DIV/0!</v>
      </c>
      <c r="CK294" s="254">
        <f t="shared" si="214"/>
        <v>1.4666666666665642E-4</v>
      </c>
      <c r="CL294" s="270">
        <f t="shared" si="203"/>
        <v>1.1854675589544066E-3</v>
      </c>
      <c r="CM294" s="253">
        <f t="shared" si="215"/>
        <v>1.8533333333333433E-3</v>
      </c>
      <c r="CN294" s="255">
        <f t="shared" si="209"/>
        <v>0.18533333333333432</v>
      </c>
      <c r="CS294" s="248"/>
      <c r="DQ294" s="258" t="e">
        <f>((((IF($R$5=0,$R$6,$R$5)))/(12*$R$19))+(((3*$R$15)/(2*IF($R$5=0,$R$6,$R$5)*$U$5*$R$19))*'IN-OUT'!$F$15))*'Burland damage classification'!DU294</f>
        <v>#DIV/0!</v>
      </c>
      <c r="DR294" s="262">
        <f>(1+(((IF($R$5=0,$R$6^2,$R$5^2))*$U$5)/(18*$R$15))*('IN-OUT'!$F$15^(-1)))*DV294</f>
        <v>1.1854675589544066E-3</v>
      </c>
      <c r="DS294" s="254" t="e">
        <f t="shared" si="204"/>
        <v>#DIV/0!</v>
      </c>
      <c r="DT294" s="254" t="e">
        <f t="shared" si="210"/>
        <v>#DIV/0!</v>
      </c>
      <c r="DU294" s="254">
        <f t="shared" si="216"/>
        <v>1.4666666666665642E-4</v>
      </c>
      <c r="DV294" s="270">
        <f t="shared" si="205"/>
        <v>1.1854675589544066E-3</v>
      </c>
      <c r="DW294" s="253">
        <f t="shared" si="217"/>
        <v>1.8533333333333433E-3</v>
      </c>
      <c r="DX294" s="255">
        <f t="shared" si="211"/>
        <v>0.18533333333333432</v>
      </c>
    </row>
    <row r="295" spans="21:128">
      <c r="U295" s="262"/>
      <c r="AW295" s="258">
        <f>(((IF($P$5&lt;&gt;0,$P$5,IF($P$6&lt;&gt;0,$P$6,IF($P$7&lt;&gt;0,$P$7,0))))/(12*$P$19))+(((3*$P$15)/(2*(IF($P$5&lt;&gt;0,$P$5,IF($P$6&lt;&gt;0,$P$6,IF($P$7&lt;&gt;0,$P$7,0))))*$U$5*$P$19))*'IN-OUT'!$F$15))*'Burland damage classification'!BA295</f>
        <v>4.4942131872497478E-4</v>
      </c>
      <c r="AX295" s="254">
        <f>(1+(((IF($P$5&lt;&gt;0,$P$5^2,IF($P$6&lt;&gt;0,$P$6^2,IF($P$7&lt;&gt;0,$P$7^2))))*$U$5)/(18*$P$15))*('IN-OUT'!$F$15^(-1)))*BB295</f>
        <v>1.2481667437415423E-3</v>
      </c>
      <c r="AY295" s="254">
        <f t="shared" ref="AY295:AY316" si="218">MIN(AW295,AX295)</f>
        <v>4.4942131872497478E-4</v>
      </c>
      <c r="AZ295" s="254">
        <f t="shared" si="206"/>
        <v>4.494213187249748E-2</v>
      </c>
      <c r="BA295" s="254">
        <f t="shared" si="212"/>
        <v>1.3999999999998974E-4</v>
      </c>
      <c r="BB295" s="270">
        <f t="shared" si="201"/>
        <v>1.1815244390193484E-3</v>
      </c>
      <c r="BC295" s="253">
        <f t="shared" si="213"/>
        <v>1.8600000000000101E-3</v>
      </c>
      <c r="BD295" s="255">
        <f t="shared" si="207"/>
        <v>0.186000000000001</v>
      </c>
      <c r="BI295" s="248"/>
      <c r="CG295" s="258" t="e">
        <f>((((IF($Q$5=0,$Q$6,$Q$5)))/(12*$Q$19))+(((3*$Q$15)/(2*IF($Q$5=0,$Q$6,$Q$5)*$U$5*$Q$19))*'IN-OUT'!$F$15))*'Burland damage classification'!CK295</f>
        <v>#DIV/0!</v>
      </c>
      <c r="CH295" s="262">
        <f>(1+(((IF($Q$5=0,$Q$6^2,$Q$5^2))*$U$5)/(18*$Q$15))*('IN-OUT'!$F$15^(-1)))*CL295</f>
        <v>1.1815244390193484E-3</v>
      </c>
      <c r="CI295" s="254" t="e">
        <f t="shared" si="202"/>
        <v>#DIV/0!</v>
      </c>
      <c r="CJ295" s="254" t="e">
        <f t="shared" si="208"/>
        <v>#DIV/0!</v>
      </c>
      <c r="CK295" s="254">
        <f t="shared" si="214"/>
        <v>1.3999999999998974E-4</v>
      </c>
      <c r="CL295" s="270">
        <f t="shared" si="203"/>
        <v>1.1815244390193484E-3</v>
      </c>
      <c r="CM295" s="253">
        <f t="shared" si="215"/>
        <v>1.8600000000000101E-3</v>
      </c>
      <c r="CN295" s="255">
        <f t="shared" si="209"/>
        <v>0.186000000000001</v>
      </c>
      <c r="CS295" s="248"/>
      <c r="DQ295" s="258" t="e">
        <f>((((IF($R$5=0,$R$6,$R$5)))/(12*$R$19))+(((3*$R$15)/(2*IF($R$5=0,$R$6,$R$5)*$U$5*$R$19))*'IN-OUT'!$F$15))*'Burland damage classification'!DU295</f>
        <v>#DIV/0!</v>
      </c>
      <c r="DR295" s="262">
        <f>(1+(((IF($R$5=0,$R$6^2,$R$5^2))*$U$5)/(18*$R$15))*('IN-OUT'!$F$15^(-1)))*DV295</f>
        <v>1.1815244390193484E-3</v>
      </c>
      <c r="DS295" s="254" t="e">
        <f t="shared" si="204"/>
        <v>#DIV/0!</v>
      </c>
      <c r="DT295" s="254" t="e">
        <f t="shared" si="210"/>
        <v>#DIV/0!</v>
      </c>
      <c r="DU295" s="254">
        <f t="shared" si="216"/>
        <v>1.3999999999998974E-4</v>
      </c>
      <c r="DV295" s="270">
        <f t="shared" si="205"/>
        <v>1.1815244390193484E-3</v>
      </c>
      <c r="DW295" s="253">
        <f t="shared" si="217"/>
        <v>1.8600000000000101E-3</v>
      </c>
      <c r="DX295" s="255">
        <f t="shared" si="211"/>
        <v>0.186000000000001</v>
      </c>
    </row>
    <row r="296" spans="21:128">
      <c r="U296" s="262"/>
      <c r="AW296" s="258">
        <f>(((IF($P$5&lt;&gt;0,$P$5,IF($P$6&lt;&gt;0,$P$6,IF($P$7&lt;&gt;0,$P$7,0))))/(12*$P$19))+(((3*$P$15)/(2*(IF($P$5&lt;&gt;0,$P$5,IF($P$6&lt;&gt;0,$P$6,IF($P$7&lt;&gt;0,$P$7,0))))*$U$5*$P$19))*'IN-OUT'!$F$15))*'Burland damage classification'!BA296</f>
        <v>4.2802030354759346E-4</v>
      </c>
      <c r="AX296" s="254">
        <f>(1+(((IF($P$5&lt;&gt;0,$P$5^2,IF($P$6&lt;&gt;0,$P$6^2,IF($P$7&lt;&gt;0,$P$7^2))))*$U$5)/(18*$P$15))*('IN-OUT'!$F$15^(-1)))*BB296</f>
        <v>1.2439872690998804E-3</v>
      </c>
      <c r="AY296" s="254">
        <f t="shared" si="218"/>
        <v>4.2802030354759346E-4</v>
      </c>
      <c r="AZ296" s="254">
        <f t="shared" si="206"/>
        <v>4.2802030354759345E-2</v>
      </c>
      <c r="BA296" s="254">
        <f t="shared" si="212"/>
        <v>1.3333333333332307E-4</v>
      </c>
      <c r="BB296" s="270">
        <f t="shared" si="201"/>
        <v>1.1775681155103735E-3</v>
      </c>
      <c r="BC296" s="253">
        <f t="shared" si="213"/>
        <v>1.8666666666666768E-3</v>
      </c>
      <c r="BD296" s="255">
        <f t="shared" si="207"/>
        <v>0.18666666666666767</v>
      </c>
      <c r="BI296" s="248"/>
      <c r="CG296" s="258" t="e">
        <f>((((IF($Q$5=0,$Q$6,$Q$5)))/(12*$Q$19))+(((3*$Q$15)/(2*IF($Q$5=0,$Q$6,$Q$5)*$U$5*$Q$19))*'IN-OUT'!$F$15))*'Burland damage classification'!CK296</f>
        <v>#DIV/0!</v>
      </c>
      <c r="CH296" s="262">
        <f>(1+(((IF($Q$5=0,$Q$6^2,$Q$5^2))*$U$5)/(18*$Q$15))*('IN-OUT'!$F$15^(-1)))*CL296</f>
        <v>1.1775681155103735E-3</v>
      </c>
      <c r="CI296" s="254" t="e">
        <f t="shared" si="202"/>
        <v>#DIV/0!</v>
      </c>
      <c r="CJ296" s="254" t="e">
        <f t="shared" si="208"/>
        <v>#DIV/0!</v>
      </c>
      <c r="CK296" s="254">
        <f t="shared" si="214"/>
        <v>1.3333333333332307E-4</v>
      </c>
      <c r="CL296" s="270">
        <f t="shared" si="203"/>
        <v>1.1775681155103735E-3</v>
      </c>
      <c r="CM296" s="253">
        <f t="shared" si="215"/>
        <v>1.8666666666666768E-3</v>
      </c>
      <c r="CN296" s="255">
        <f t="shared" si="209"/>
        <v>0.18666666666666767</v>
      </c>
      <c r="CS296" s="248"/>
      <c r="DQ296" s="258" t="e">
        <f>((((IF($R$5=0,$R$6,$R$5)))/(12*$R$19))+(((3*$R$15)/(2*IF($R$5=0,$R$6,$R$5)*$U$5*$R$19))*'IN-OUT'!$F$15))*'Burland damage classification'!DU296</f>
        <v>#DIV/0!</v>
      </c>
      <c r="DR296" s="262">
        <f>(1+(((IF($R$5=0,$R$6^2,$R$5^2))*$U$5)/(18*$R$15))*('IN-OUT'!$F$15^(-1)))*DV296</f>
        <v>1.1775681155103735E-3</v>
      </c>
      <c r="DS296" s="254" t="e">
        <f t="shared" si="204"/>
        <v>#DIV/0!</v>
      </c>
      <c r="DT296" s="254" t="e">
        <f t="shared" si="210"/>
        <v>#DIV/0!</v>
      </c>
      <c r="DU296" s="254">
        <f t="shared" si="216"/>
        <v>1.3333333333332307E-4</v>
      </c>
      <c r="DV296" s="270">
        <f t="shared" si="205"/>
        <v>1.1775681155103735E-3</v>
      </c>
      <c r="DW296" s="253">
        <f t="shared" si="217"/>
        <v>1.8666666666666768E-3</v>
      </c>
      <c r="DX296" s="255">
        <f t="shared" si="211"/>
        <v>0.18666666666666767</v>
      </c>
    </row>
    <row r="297" spans="21:128">
      <c r="U297" s="262"/>
      <c r="AW297" s="258">
        <f>(((IF($P$5&lt;&gt;0,$P$5,IF($P$6&lt;&gt;0,$P$6,IF($P$7&lt;&gt;0,$P$7,0))))/(12*$P$19))+(((3*$P$15)/(2*(IF($P$5&lt;&gt;0,$P$5,IF($P$6&lt;&gt;0,$P$6,IF($P$7&lt;&gt;0,$P$7,0))))*$U$5*$P$19))*'IN-OUT'!$F$15))*'Burland damage classification'!BA297</f>
        <v>4.0661928837021209E-4</v>
      </c>
      <c r="AX297" s="254">
        <f>(1+(((IF($P$5&lt;&gt;0,$P$5^2,IF($P$6&lt;&gt;0,$P$6^2,IF($P$7&lt;&gt;0,$P$7^2))))*$U$5)/(18*$P$15))*('IN-OUT'!$F$15^(-1)))*BB297</f>
        <v>1.239793705090807E-3</v>
      </c>
      <c r="AY297" s="254">
        <f t="shared" si="218"/>
        <v>4.0661928837021209E-4</v>
      </c>
      <c r="AZ297" s="254">
        <f t="shared" si="206"/>
        <v>4.0661928837021209E-2</v>
      </c>
      <c r="BA297" s="254">
        <f t="shared" si="212"/>
        <v>1.2666666666665639E-4</v>
      </c>
      <c r="BB297" s="270">
        <f t="shared" si="201"/>
        <v>1.1735984548955911E-3</v>
      </c>
      <c r="BC297" s="253">
        <f t="shared" si="213"/>
        <v>1.8733333333333436E-3</v>
      </c>
      <c r="BD297" s="255">
        <f t="shared" si="207"/>
        <v>0.18733333333333435</v>
      </c>
      <c r="BI297" s="248"/>
      <c r="CG297" s="258" t="e">
        <f>((((IF($Q$5=0,$Q$6,$Q$5)))/(12*$Q$19))+(((3*$Q$15)/(2*IF($Q$5=0,$Q$6,$Q$5)*$U$5*$Q$19))*'IN-OUT'!$F$15))*'Burland damage classification'!CK297</f>
        <v>#DIV/0!</v>
      </c>
      <c r="CH297" s="262">
        <f>(1+(((IF($Q$5=0,$Q$6^2,$Q$5^2))*$U$5)/(18*$Q$15))*('IN-OUT'!$F$15^(-1)))*CL297</f>
        <v>1.1735984548955911E-3</v>
      </c>
      <c r="CI297" s="254" t="e">
        <f t="shared" si="202"/>
        <v>#DIV/0!</v>
      </c>
      <c r="CJ297" s="254" t="e">
        <f t="shared" si="208"/>
        <v>#DIV/0!</v>
      </c>
      <c r="CK297" s="254">
        <f t="shared" si="214"/>
        <v>1.2666666666665639E-4</v>
      </c>
      <c r="CL297" s="270">
        <f t="shared" si="203"/>
        <v>1.1735984548955911E-3</v>
      </c>
      <c r="CM297" s="253">
        <f t="shared" si="215"/>
        <v>1.8733333333333436E-3</v>
      </c>
      <c r="CN297" s="255">
        <f t="shared" si="209"/>
        <v>0.18733333333333435</v>
      </c>
      <c r="CS297" s="248"/>
      <c r="DQ297" s="258" t="e">
        <f>((((IF($R$5=0,$R$6,$R$5)))/(12*$R$19))+(((3*$R$15)/(2*IF($R$5=0,$R$6,$R$5)*$U$5*$R$19))*'IN-OUT'!$F$15))*'Burland damage classification'!DU297</f>
        <v>#DIV/0!</v>
      </c>
      <c r="DR297" s="262">
        <f>(1+(((IF($R$5=0,$R$6^2,$R$5^2))*$U$5)/(18*$R$15))*('IN-OUT'!$F$15^(-1)))*DV297</f>
        <v>1.1735984548955911E-3</v>
      </c>
      <c r="DS297" s="254" t="e">
        <f t="shared" si="204"/>
        <v>#DIV/0!</v>
      </c>
      <c r="DT297" s="254" t="e">
        <f t="shared" si="210"/>
        <v>#DIV/0!</v>
      </c>
      <c r="DU297" s="254">
        <f t="shared" si="216"/>
        <v>1.2666666666665639E-4</v>
      </c>
      <c r="DV297" s="270">
        <f t="shared" si="205"/>
        <v>1.1735984548955911E-3</v>
      </c>
      <c r="DW297" s="253">
        <f t="shared" si="217"/>
        <v>1.8733333333333436E-3</v>
      </c>
      <c r="DX297" s="255">
        <f t="shared" si="211"/>
        <v>0.18733333333333435</v>
      </c>
    </row>
    <row r="298" spans="21:128">
      <c r="U298" s="262"/>
      <c r="AW298" s="258">
        <f>(((IF($P$5&lt;&gt;0,$P$5,IF($P$6&lt;&gt;0,$P$6,IF($P$7&lt;&gt;0,$P$7,0))))/(12*$P$19))+(((3*$P$15)/(2*(IF($P$5&lt;&gt;0,$P$5,IF($P$6&lt;&gt;0,$P$6,IF($P$7&lt;&gt;0,$P$7,0))))*$U$5*$P$19))*'IN-OUT'!$F$15))*'Burland damage classification'!BA298</f>
        <v>3.8521827319283077E-4</v>
      </c>
      <c r="AX298" s="254">
        <f>(1+(((IF($P$5&lt;&gt;0,$P$5^2,IF($P$6&lt;&gt;0,$P$6^2,IF($P$7&lt;&gt;0,$P$7^2))))*$U$5)/(18*$P$15))*('IN-OUT'!$F$15^(-1)))*BB298</f>
        <v>1.2355859082568903E-3</v>
      </c>
      <c r="AY298" s="254">
        <f t="shared" si="218"/>
        <v>3.8521827319283077E-4</v>
      </c>
      <c r="AZ298" s="254">
        <f t="shared" si="206"/>
        <v>3.8521827319283074E-2</v>
      </c>
      <c r="BA298" s="254">
        <f t="shared" si="212"/>
        <v>1.1999999999998973E-4</v>
      </c>
      <c r="BB298" s="270">
        <f t="shared" si="201"/>
        <v>1.1696153213770694E-3</v>
      </c>
      <c r="BC298" s="253">
        <f t="shared" si="213"/>
        <v>1.8800000000000104E-3</v>
      </c>
      <c r="BD298" s="255">
        <f t="shared" si="207"/>
        <v>0.18800000000000103</v>
      </c>
      <c r="BI298" s="248"/>
      <c r="CG298" s="258" t="e">
        <f>((((IF($Q$5=0,$Q$6,$Q$5)))/(12*$Q$19))+(((3*$Q$15)/(2*IF($Q$5=0,$Q$6,$Q$5)*$U$5*$Q$19))*'IN-OUT'!$F$15))*'Burland damage classification'!CK298</f>
        <v>#DIV/0!</v>
      </c>
      <c r="CH298" s="262">
        <f>(1+(((IF($Q$5=0,$Q$6^2,$Q$5^2))*$U$5)/(18*$Q$15))*('IN-OUT'!$F$15^(-1)))*CL298</f>
        <v>1.1696153213770694E-3</v>
      </c>
      <c r="CI298" s="254" t="e">
        <f t="shared" si="202"/>
        <v>#DIV/0!</v>
      </c>
      <c r="CJ298" s="254" t="e">
        <f t="shared" si="208"/>
        <v>#DIV/0!</v>
      </c>
      <c r="CK298" s="254">
        <f t="shared" si="214"/>
        <v>1.1999999999998973E-4</v>
      </c>
      <c r="CL298" s="270">
        <f t="shared" si="203"/>
        <v>1.1696153213770694E-3</v>
      </c>
      <c r="CM298" s="253">
        <f t="shared" si="215"/>
        <v>1.8800000000000104E-3</v>
      </c>
      <c r="CN298" s="255">
        <f t="shared" si="209"/>
        <v>0.18800000000000103</v>
      </c>
      <c r="CS298" s="248"/>
      <c r="DQ298" s="258" t="e">
        <f>((((IF($R$5=0,$R$6,$R$5)))/(12*$R$19))+(((3*$R$15)/(2*IF($R$5=0,$R$6,$R$5)*$U$5*$R$19))*'IN-OUT'!$F$15))*'Burland damage classification'!DU298</f>
        <v>#DIV/0!</v>
      </c>
      <c r="DR298" s="262">
        <f>(1+(((IF($R$5=0,$R$6^2,$R$5^2))*$U$5)/(18*$R$15))*('IN-OUT'!$F$15^(-1)))*DV298</f>
        <v>1.1696153213770694E-3</v>
      </c>
      <c r="DS298" s="254" t="e">
        <f t="shared" si="204"/>
        <v>#DIV/0!</v>
      </c>
      <c r="DT298" s="254" t="e">
        <f t="shared" si="210"/>
        <v>#DIV/0!</v>
      </c>
      <c r="DU298" s="254">
        <f t="shared" si="216"/>
        <v>1.1999999999998973E-4</v>
      </c>
      <c r="DV298" s="270">
        <f t="shared" si="205"/>
        <v>1.1696153213770694E-3</v>
      </c>
      <c r="DW298" s="253">
        <f t="shared" si="217"/>
        <v>1.8800000000000104E-3</v>
      </c>
      <c r="DX298" s="255">
        <f t="shared" si="211"/>
        <v>0.18800000000000103</v>
      </c>
    </row>
    <row r="299" spans="21:128">
      <c r="U299" s="262"/>
      <c r="AW299" s="258">
        <f>(((IF($P$5&lt;&gt;0,$P$5,IF($P$6&lt;&gt;0,$P$6,IF($P$7&lt;&gt;0,$P$7,0))))/(12*$P$19))+(((3*$P$15)/(2*(IF($P$5&lt;&gt;0,$P$5,IF($P$6&lt;&gt;0,$P$6,IF($P$7&lt;&gt;0,$P$7,0))))*$U$5*$P$19))*'IN-OUT'!$F$15))*'Burland damage classification'!BA299</f>
        <v>3.638172580154495E-4</v>
      </c>
      <c r="AX299" s="254">
        <f>(1+(((IF($P$5&lt;&gt;0,$P$5^2,IF($P$6&lt;&gt;0,$P$6^2,IF($P$7&lt;&gt;0,$P$7^2))))*$U$5)/(18*$P$15))*('IN-OUT'!$F$15^(-1)))*BB299</f>
        <v>1.231363732689581E-3</v>
      </c>
      <c r="AY299" s="254">
        <f t="shared" si="218"/>
        <v>3.638172580154495E-4</v>
      </c>
      <c r="AZ299" s="254">
        <f t="shared" si="206"/>
        <v>3.6381725801544952E-2</v>
      </c>
      <c r="BA299" s="254">
        <f t="shared" si="212"/>
        <v>1.1333333333332307E-4</v>
      </c>
      <c r="BB299" s="270">
        <f t="shared" si="201"/>
        <v>1.1656185768366305E-3</v>
      </c>
      <c r="BC299" s="253">
        <f t="shared" si="213"/>
        <v>1.8866666666666771E-3</v>
      </c>
      <c r="BD299" s="255">
        <f t="shared" si="207"/>
        <v>0.1886666666666677</v>
      </c>
      <c r="BI299" s="248"/>
      <c r="CG299" s="258" t="e">
        <f>((((IF($Q$5=0,$Q$6,$Q$5)))/(12*$Q$19))+(((3*$Q$15)/(2*IF($Q$5=0,$Q$6,$Q$5)*$U$5*$Q$19))*'IN-OUT'!$F$15))*'Burland damage classification'!CK299</f>
        <v>#DIV/0!</v>
      </c>
      <c r="CH299" s="262">
        <f>(1+(((IF($Q$5=0,$Q$6^2,$Q$5^2))*$U$5)/(18*$Q$15))*('IN-OUT'!$F$15^(-1)))*CL299</f>
        <v>1.1656185768366305E-3</v>
      </c>
      <c r="CI299" s="254" t="e">
        <f t="shared" si="202"/>
        <v>#DIV/0!</v>
      </c>
      <c r="CJ299" s="254" t="e">
        <f t="shared" si="208"/>
        <v>#DIV/0!</v>
      </c>
      <c r="CK299" s="254">
        <f t="shared" si="214"/>
        <v>1.1333333333332307E-4</v>
      </c>
      <c r="CL299" s="270">
        <f t="shared" si="203"/>
        <v>1.1656185768366305E-3</v>
      </c>
      <c r="CM299" s="253">
        <f t="shared" si="215"/>
        <v>1.8866666666666771E-3</v>
      </c>
      <c r="CN299" s="255">
        <f t="shared" si="209"/>
        <v>0.1886666666666677</v>
      </c>
      <c r="CS299" s="248"/>
      <c r="DQ299" s="258" t="e">
        <f>((((IF($R$5=0,$R$6,$R$5)))/(12*$R$19))+(((3*$R$15)/(2*IF($R$5=0,$R$6,$R$5)*$U$5*$R$19))*'IN-OUT'!$F$15))*'Burland damage classification'!DU299</f>
        <v>#DIV/0!</v>
      </c>
      <c r="DR299" s="262">
        <f>(1+(((IF($R$5=0,$R$6^2,$R$5^2))*$U$5)/(18*$R$15))*('IN-OUT'!$F$15^(-1)))*DV299</f>
        <v>1.1656185768366305E-3</v>
      </c>
      <c r="DS299" s="254" t="e">
        <f t="shared" si="204"/>
        <v>#DIV/0!</v>
      </c>
      <c r="DT299" s="254" t="e">
        <f t="shared" si="210"/>
        <v>#DIV/0!</v>
      </c>
      <c r="DU299" s="254">
        <f t="shared" si="216"/>
        <v>1.1333333333332307E-4</v>
      </c>
      <c r="DV299" s="270">
        <f t="shared" si="205"/>
        <v>1.1656185768366305E-3</v>
      </c>
      <c r="DW299" s="253">
        <f t="shared" si="217"/>
        <v>1.8866666666666771E-3</v>
      </c>
      <c r="DX299" s="255">
        <f t="shared" si="211"/>
        <v>0.1886666666666677</v>
      </c>
    </row>
    <row r="300" spans="21:128">
      <c r="U300" s="262"/>
      <c r="AW300" s="258">
        <f>(((IF($P$5&lt;&gt;0,$P$5,IF($P$6&lt;&gt;0,$P$6,IF($P$7&lt;&gt;0,$P$7,0))))/(12*$P$19))+(((3*$P$15)/(2*(IF($P$5&lt;&gt;0,$P$5,IF($P$6&lt;&gt;0,$P$6,IF($P$7&lt;&gt;0,$P$7,0))))*$U$5*$P$19))*'IN-OUT'!$F$15))*'Burland damage classification'!BA300</f>
        <v>3.4241624283806819E-4</v>
      </c>
      <c r="AX300" s="254">
        <f>(1+(((IF($P$5&lt;&gt;0,$P$5^2,IF($P$6&lt;&gt;0,$P$6^2,IF($P$7&lt;&gt;0,$P$7^2))))*$U$5)/(18*$P$15))*('IN-OUT'!$F$15^(-1)))*BB300</f>
        <v>1.2271270299701782E-3</v>
      </c>
      <c r="AY300" s="254">
        <f t="shared" si="218"/>
        <v>3.4241624283806819E-4</v>
      </c>
      <c r="AZ300" s="254">
        <f t="shared" si="206"/>
        <v>3.4241624283806817E-2</v>
      </c>
      <c r="BA300" s="254">
        <f t="shared" si="212"/>
        <v>1.0666666666665641E-4</v>
      </c>
      <c r="BB300" s="270">
        <f t="shared" si="201"/>
        <v>1.1616080807799671E-3</v>
      </c>
      <c r="BC300" s="253">
        <f t="shared" si="213"/>
        <v>1.8933333333333439E-3</v>
      </c>
      <c r="BD300" s="255">
        <f t="shared" si="207"/>
        <v>0.18933333333333438</v>
      </c>
      <c r="BI300" s="248"/>
      <c r="CG300" s="258" t="e">
        <f>((((IF($Q$5=0,$Q$6,$Q$5)))/(12*$Q$19))+(((3*$Q$15)/(2*IF($Q$5=0,$Q$6,$Q$5)*$U$5*$Q$19))*'IN-OUT'!$F$15))*'Burland damage classification'!CK300</f>
        <v>#DIV/0!</v>
      </c>
      <c r="CH300" s="262">
        <f>(1+(((IF($Q$5=0,$Q$6^2,$Q$5^2))*$U$5)/(18*$Q$15))*('IN-OUT'!$F$15^(-1)))*CL300</f>
        <v>1.1616080807799671E-3</v>
      </c>
      <c r="CI300" s="254" t="e">
        <f t="shared" si="202"/>
        <v>#DIV/0!</v>
      </c>
      <c r="CJ300" s="254" t="e">
        <f t="shared" si="208"/>
        <v>#DIV/0!</v>
      </c>
      <c r="CK300" s="254">
        <f t="shared" si="214"/>
        <v>1.0666666666665641E-4</v>
      </c>
      <c r="CL300" s="270">
        <f t="shared" si="203"/>
        <v>1.1616080807799671E-3</v>
      </c>
      <c r="CM300" s="253">
        <f t="shared" si="215"/>
        <v>1.8933333333333439E-3</v>
      </c>
      <c r="CN300" s="255">
        <f t="shared" si="209"/>
        <v>0.18933333333333438</v>
      </c>
      <c r="CS300" s="248"/>
      <c r="DQ300" s="258" t="e">
        <f>((((IF($R$5=0,$R$6,$R$5)))/(12*$R$19))+(((3*$R$15)/(2*IF($R$5=0,$R$6,$R$5)*$U$5*$R$19))*'IN-OUT'!$F$15))*'Burland damage classification'!DU300</f>
        <v>#DIV/0!</v>
      </c>
      <c r="DR300" s="262">
        <f>(1+(((IF($R$5=0,$R$6^2,$R$5^2))*$U$5)/(18*$R$15))*('IN-OUT'!$F$15^(-1)))*DV300</f>
        <v>1.1616080807799671E-3</v>
      </c>
      <c r="DS300" s="254" t="e">
        <f t="shared" si="204"/>
        <v>#DIV/0!</v>
      </c>
      <c r="DT300" s="254" t="e">
        <f t="shared" si="210"/>
        <v>#DIV/0!</v>
      </c>
      <c r="DU300" s="254">
        <f t="shared" si="216"/>
        <v>1.0666666666665641E-4</v>
      </c>
      <c r="DV300" s="270">
        <f t="shared" si="205"/>
        <v>1.1616080807799671E-3</v>
      </c>
      <c r="DW300" s="253">
        <f t="shared" si="217"/>
        <v>1.8933333333333439E-3</v>
      </c>
      <c r="DX300" s="255">
        <f t="shared" si="211"/>
        <v>0.18933333333333438</v>
      </c>
    </row>
    <row r="301" spans="21:128">
      <c r="U301" s="262"/>
      <c r="AW301" s="258">
        <f>(((IF($P$5&lt;&gt;0,$P$5,IF($P$6&lt;&gt;0,$P$6,IF($P$7&lt;&gt;0,$P$7,0))))/(12*$P$19))+(((3*$P$15)/(2*(IF($P$5&lt;&gt;0,$P$5,IF($P$6&lt;&gt;0,$P$6,IF($P$7&lt;&gt;0,$P$7,0))))*$U$5*$P$19))*'IN-OUT'!$F$15))*'Burland damage classification'!BA301</f>
        <v>3.2101522766068687E-4</v>
      </c>
      <c r="AX301" s="254">
        <f>(1+(((IF($P$5&lt;&gt;0,$P$5^2,IF($P$6&lt;&gt;0,$P$6^2,IF($P$7&lt;&gt;0,$P$7^2))))*$U$5)/(18*$P$15))*('IN-OUT'!$F$15^(-1)))*BB301</f>
        <v>1.2228756491089532E-3</v>
      </c>
      <c r="AY301" s="254">
        <f t="shared" si="218"/>
        <v>3.2101522766068687E-4</v>
      </c>
      <c r="AZ301" s="254">
        <f t="shared" si="206"/>
        <v>3.2101522766068688E-2</v>
      </c>
      <c r="BA301" s="254">
        <f t="shared" si="212"/>
        <v>9.9999999999989746E-5</v>
      </c>
      <c r="BB301" s="270">
        <f t="shared" si="201"/>
        <v>1.157583690279016E-3</v>
      </c>
      <c r="BC301" s="253">
        <f t="shared" si="213"/>
        <v>1.9000000000000106E-3</v>
      </c>
      <c r="BD301" s="255">
        <f t="shared" si="207"/>
        <v>0.19000000000000106</v>
      </c>
      <c r="BI301" s="248"/>
      <c r="CG301" s="258" t="e">
        <f>((((IF($Q$5=0,$Q$6,$Q$5)))/(12*$Q$19))+(((3*$Q$15)/(2*IF($Q$5=0,$Q$6,$Q$5)*$U$5*$Q$19))*'IN-OUT'!$F$15))*'Burland damage classification'!CK301</f>
        <v>#DIV/0!</v>
      </c>
      <c r="CH301" s="262">
        <f>(1+(((IF($Q$5=0,$Q$6^2,$Q$5^2))*$U$5)/(18*$Q$15))*('IN-OUT'!$F$15^(-1)))*CL301</f>
        <v>1.157583690279016E-3</v>
      </c>
      <c r="CI301" s="254" t="e">
        <f t="shared" si="202"/>
        <v>#DIV/0!</v>
      </c>
      <c r="CJ301" s="254" t="e">
        <f t="shared" si="208"/>
        <v>#DIV/0!</v>
      </c>
      <c r="CK301" s="254">
        <f t="shared" si="214"/>
        <v>9.9999999999989746E-5</v>
      </c>
      <c r="CL301" s="270">
        <f t="shared" si="203"/>
        <v>1.157583690279016E-3</v>
      </c>
      <c r="CM301" s="253">
        <f t="shared" si="215"/>
        <v>1.9000000000000106E-3</v>
      </c>
      <c r="CN301" s="255">
        <f t="shared" si="209"/>
        <v>0.19000000000000106</v>
      </c>
      <c r="CS301" s="248"/>
      <c r="DQ301" s="258" t="e">
        <f>((((IF($R$5=0,$R$6,$R$5)))/(12*$R$19))+(((3*$R$15)/(2*IF($R$5=0,$R$6,$R$5)*$U$5*$R$19))*'IN-OUT'!$F$15))*'Burland damage classification'!DU301</f>
        <v>#DIV/0!</v>
      </c>
      <c r="DR301" s="262">
        <f>(1+(((IF($R$5=0,$R$6^2,$R$5^2))*$U$5)/(18*$R$15))*('IN-OUT'!$F$15^(-1)))*DV301</f>
        <v>1.157583690279016E-3</v>
      </c>
      <c r="DS301" s="254" t="e">
        <f t="shared" si="204"/>
        <v>#DIV/0!</v>
      </c>
      <c r="DT301" s="254" t="e">
        <f t="shared" si="210"/>
        <v>#DIV/0!</v>
      </c>
      <c r="DU301" s="254">
        <f t="shared" si="216"/>
        <v>9.9999999999989746E-5</v>
      </c>
      <c r="DV301" s="270">
        <f t="shared" si="205"/>
        <v>1.157583690279016E-3</v>
      </c>
      <c r="DW301" s="253">
        <f t="shared" si="217"/>
        <v>1.9000000000000106E-3</v>
      </c>
      <c r="DX301" s="255">
        <f t="shared" si="211"/>
        <v>0.19000000000000106</v>
      </c>
    </row>
    <row r="302" spans="21:128">
      <c r="U302" s="262"/>
      <c r="AW302" s="258">
        <f>(((IF($P$5&lt;&gt;0,$P$5,IF($P$6&lt;&gt;0,$P$6,IF($P$7&lt;&gt;0,$P$7,0))))/(12*$P$19))+(((3*$P$15)/(2*(IF($P$5&lt;&gt;0,$P$5,IF($P$6&lt;&gt;0,$P$6,IF($P$7&lt;&gt;0,$P$7,0))))*$U$5*$P$19))*'IN-OUT'!$F$15))*'Burland damage classification'!BA302</f>
        <v>2.9961421248330555E-4</v>
      </c>
      <c r="AX302" s="254">
        <f>(1+(((IF($P$5&lt;&gt;0,$P$5^2,IF($P$6&lt;&gt;0,$P$6^2,IF($P$7&lt;&gt;0,$P$7^2))))*$U$5)/(18*$P$15))*('IN-OUT'!$F$15^(-1)))*BB302</f>
        <v>1.2186094364823607E-3</v>
      </c>
      <c r="AY302" s="254">
        <f t="shared" si="218"/>
        <v>2.9961421248330555E-4</v>
      </c>
      <c r="AZ302" s="254">
        <f t="shared" si="206"/>
        <v>2.9961421248330556E-2</v>
      </c>
      <c r="BA302" s="254">
        <f t="shared" si="212"/>
        <v>9.3333333333323084E-5</v>
      </c>
      <c r="BB302" s="270">
        <f t="shared" si="201"/>
        <v>1.1535452599125235E-3</v>
      </c>
      <c r="BC302" s="253">
        <f t="shared" si="213"/>
        <v>1.9066666666666774E-3</v>
      </c>
      <c r="BD302" s="255">
        <f t="shared" si="207"/>
        <v>0.19066666666666773</v>
      </c>
      <c r="BI302" s="248"/>
      <c r="CG302" s="258" t="e">
        <f>((((IF($Q$5=0,$Q$6,$Q$5)))/(12*$Q$19))+(((3*$Q$15)/(2*IF($Q$5=0,$Q$6,$Q$5)*$U$5*$Q$19))*'IN-OUT'!$F$15))*'Burland damage classification'!CK302</f>
        <v>#DIV/0!</v>
      </c>
      <c r="CH302" s="262">
        <f>(1+(((IF($Q$5=0,$Q$6^2,$Q$5^2))*$U$5)/(18*$Q$15))*('IN-OUT'!$F$15^(-1)))*CL302</f>
        <v>1.1535452599125235E-3</v>
      </c>
      <c r="CI302" s="254" t="e">
        <f t="shared" si="202"/>
        <v>#DIV/0!</v>
      </c>
      <c r="CJ302" s="254" t="e">
        <f t="shared" si="208"/>
        <v>#DIV/0!</v>
      </c>
      <c r="CK302" s="254">
        <f t="shared" si="214"/>
        <v>9.3333333333323084E-5</v>
      </c>
      <c r="CL302" s="270">
        <f t="shared" si="203"/>
        <v>1.1535452599125235E-3</v>
      </c>
      <c r="CM302" s="253">
        <f t="shared" si="215"/>
        <v>1.9066666666666774E-3</v>
      </c>
      <c r="CN302" s="255">
        <f t="shared" si="209"/>
        <v>0.19066666666666773</v>
      </c>
      <c r="CS302" s="248"/>
      <c r="DQ302" s="258" t="e">
        <f>((((IF($R$5=0,$R$6,$R$5)))/(12*$R$19))+(((3*$R$15)/(2*IF($R$5=0,$R$6,$R$5)*$U$5*$R$19))*'IN-OUT'!$F$15))*'Burland damage classification'!DU302</f>
        <v>#DIV/0!</v>
      </c>
      <c r="DR302" s="262">
        <f>(1+(((IF($R$5=0,$R$6^2,$R$5^2))*$U$5)/(18*$R$15))*('IN-OUT'!$F$15^(-1)))*DV302</f>
        <v>1.1535452599125235E-3</v>
      </c>
      <c r="DS302" s="254" t="e">
        <f t="shared" si="204"/>
        <v>#DIV/0!</v>
      </c>
      <c r="DT302" s="254" t="e">
        <f t="shared" si="210"/>
        <v>#DIV/0!</v>
      </c>
      <c r="DU302" s="254">
        <f t="shared" si="216"/>
        <v>9.3333333333323084E-5</v>
      </c>
      <c r="DV302" s="270">
        <f t="shared" si="205"/>
        <v>1.1535452599125235E-3</v>
      </c>
      <c r="DW302" s="253">
        <f t="shared" si="217"/>
        <v>1.9066666666666774E-3</v>
      </c>
      <c r="DX302" s="255">
        <f t="shared" si="211"/>
        <v>0.19066666666666773</v>
      </c>
    </row>
    <row r="303" spans="21:128">
      <c r="U303" s="262"/>
      <c r="AW303" s="258">
        <f>(((IF($P$5&lt;&gt;0,$P$5,IF($P$6&lt;&gt;0,$P$6,IF($P$7&lt;&gt;0,$P$7,0))))/(12*$P$19))+(((3*$P$15)/(2*(IF($P$5&lt;&gt;0,$P$5,IF($P$6&lt;&gt;0,$P$6,IF($P$7&lt;&gt;0,$P$7,0))))*$U$5*$P$19))*'IN-OUT'!$F$15))*'Burland damage classification'!BA303</f>
        <v>2.7821319730592429E-4</v>
      </c>
      <c r="AX303" s="254">
        <f>(1+(((IF($P$5&lt;&gt;0,$P$5^2,IF($P$6&lt;&gt;0,$P$6^2,IF($P$7&lt;&gt;0,$P$7^2))))*$U$5)/(18*$P$15))*('IN-OUT'!$F$15^(-1)))*BB303</f>
        <v>1.2143282357682664E-3</v>
      </c>
      <c r="AY303" s="254">
        <f t="shared" si="218"/>
        <v>2.7821319730592429E-4</v>
      </c>
      <c r="AZ303" s="254">
        <f t="shared" si="206"/>
        <v>2.7821319730592427E-2</v>
      </c>
      <c r="BA303" s="254">
        <f t="shared" si="212"/>
        <v>8.6666666666656422E-5</v>
      </c>
      <c r="BB303" s="270">
        <f t="shared" si="201"/>
        <v>1.1494926417047297E-3</v>
      </c>
      <c r="BC303" s="253">
        <f t="shared" si="213"/>
        <v>1.9133333333333441E-3</v>
      </c>
      <c r="BD303" s="255">
        <f t="shared" si="207"/>
        <v>0.19133333333333441</v>
      </c>
      <c r="BI303" s="248"/>
      <c r="CG303" s="258" t="e">
        <f>((((IF($Q$5=0,$Q$6,$Q$5)))/(12*$Q$19))+(((3*$Q$15)/(2*IF($Q$5=0,$Q$6,$Q$5)*$U$5*$Q$19))*'IN-OUT'!$F$15))*'Burland damage classification'!CK303</f>
        <v>#DIV/0!</v>
      </c>
      <c r="CH303" s="262">
        <f>(1+(((IF($Q$5=0,$Q$6^2,$Q$5^2))*$U$5)/(18*$Q$15))*('IN-OUT'!$F$15^(-1)))*CL303</f>
        <v>1.1494926417047297E-3</v>
      </c>
      <c r="CI303" s="254" t="e">
        <f t="shared" si="202"/>
        <v>#DIV/0!</v>
      </c>
      <c r="CJ303" s="254" t="e">
        <f t="shared" si="208"/>
        <v>#DIV/0!</v>
      </c>
      <c r="CK303" s="254">
        <f t="shared" si="214"/>
        <v>8.6666666666656422E-5</v>
      </c>
      <c r="CL303" s="270">
        <f t="shared" si="203"/>
        <v>1.1494926417047297E-3</v>
      </c>
      <c r="CM303" s="253">
        <f t="shared" si="215"/>
        <v>1.9133333333333441E-3</v>
      </c>
      <c r="CN303" s="255">
        <f t="shared" si="209"/>
        <v>0.19133333333333441</v>
      </c>
      <c r="CS303" s="248"/>
      <c r="DQ303" s="258" t="e">
        <f>((((IF($R$5=0,$R$6,$R$5)))/(12*$R$19))+(((3*$R$15)/(2*IF($R$5=0,$R$6,$R$5)*$U$5*$R$19))*'IN-OUT'!$F$15))*'Burland damage classification'!DU303</f>
        <v>#DIV/0!</v>
      </c>
      <c r="DR303" s="262">
        <f>(1+(((IF($R$5=0,$R$6^2,$R$5^2))*$U$5)/(18*$R$15))*('IN-OUT'!$F$15^(-1)))*DV303</f>
        <v>1.1494926417047297E-3</v>
      </c>
      <c r="DS303" s="254" t="e">
        <f t="shared" si="204"/>
        <v>#DIV/0!</v>
      </c>
      <c r="DT303" s="254" t="e">
        <f t="shared" si="210"/>
        <v>#DIV/0!</v>
      </c>
      <c r="DU303" s="254">
        <f t="shared" si="216"/>
        <v>8.6666666666656422E-5</v>
      </c>
      <c r="DV303" s="270">
        <f t="shared" si="205"/>
        <v>1.1494926417047297E-3</v>
      </c>
      <c r="DW303" s="253">
        <f t="shared" si="217"/>
        <v>1.9133333333333441E-3</v>
      </c>
      <c r="DX303" s="255">
        <f t="shared" si="211"/>
        <v>0.19133333333333441</v>
      </c>
    </row>
    <row r="304" spans="21:128">
      <c r="U304" s="262"/>
      <c r="AW304" s="258">
        <f>(((IF($P$5&lt;&gt;0,$P$5,IF($P$6&lt;&gt;0,$P$6,IF($P$7&lt;&gt;0,$P$7,0))))/(12*$P$19))+(((3*$P$15)/(2*(IF($P$5&lt;&gt;0,$P$5,IF($P$6&lt;&gt;0,$P$6,IF($P$7&lt;&gt;0,$P$7,0))))*$U$5*$P$19))*'IN-OUT'!$F$15))*'Burland damage classification'!BA304</f>
        <v>2.5681218212854297E-4</v>
      </c>
      <c r="AX304" s="254">
        <f>(1+(((IF($P$5&lt;&gt;0,$P$5^2,IF($P$6&lt;&gt;0,$P$6^2,IF($P$7&lt;&gt;0,$P$7^2))))*$U$5)/(18*$P$15))*('IN-OUT'!$F$15^(-1)))*BB304</f>
        <v>1.2100318878791102E-3</v>
      </c>
      <c r="AY304" s="254">
        <f t="shared" si="218"/>
        <v>2.5681218212854297E-4</v>
      </c>
      <c r="AZ304" s="254">
        <f t="shared" si="206"/>
        <v>2.5681218212854295E-2</v>
      </c>
      <c r="BA304" s="254">
        <f t="shared" si="212"/>
        <v>7.9999999999989761E-5</v>
      </c>
      <c r="BB304" s="270">
        <f t="shared" si="201"/>
        <v>1.1454256850621015E-3</v>
      </c>
      <c r="BC304" s="253">
        <f t="shared" si="213"/>
        <v>1.9200000000000109E-3</v>
      </c>
      <c r="BD304" s="255">
        <f t="shared" si="207"/>
        <v>0.19200000000000109</v>
      </c>
      <c r="BI304" s="248"/>
      <c r="CG304" s="258" t="e">
        <f>((((IF($Q$5=0,$Q$6,$Q$5)))/(12*$Q$19))+(((3*$Q$15)/(2*IF($Q$5=0,$Q$6,$Q$5)*$U$5*$Q$19))*'IN-OUT'!$F$15))*'Burland damage classification'!CK304</f>
        <v>#DIV/0!</v>
      </c>
      <c r="CH304" s="262">
        <f>(1+(((IF($Q$5=0,$Q$6^2,$Q$5^2))*$U$5)/(18*$Q$15))*('IN-OUT'!$F$15^(-1)))*CL304</f>
        <v>1.1454256850621015E-3</v>
      </c>
      <c r="CI304" s="254" t="e">
        <f t="shared" si="202"/>
        <v>#DIV/0!</v>
      </c>
      <c r="CJ304" s="254" t="e">
        <f t="shared" si="208"/>
        <v>#DIV/0!</v>
      </c>
      <c r="CK304" s="254">
        <f t="shared" si="214"/>
        <v>7.9999999999989761E-5</v>
      </c>
      <c r="CL304" s="270">
        <f t="shared" si="203"/>
        <v>1.1454256850621015E-3</v>
      </c>
      <c r="CM304" s="253">
        <f t="shared" si="215"/>
        <v>1.9200000000000109E-3</v>
      </c>
      <c r="CN304" s="255">
        <f t="shared" si="209"/>
        <v>0.19200000000000109</v>
      </c>
      <c r="CS304" s="248"/>
      <c r="DQ304" s="258" t="e">
        <f>((((IF($R$5=0,$R$6,$R$5)))/(12*$R$19))+(((3*$R$15)/(2*IF($R$5=0,$R$6,$R$5)*$U$5*$R$19))*'IN-OUT'!$F$15))*'Burland damage classification'!DU304</f>
        <v>#DIV/0!</v>
      </c>
      <c r="DR304" s="262">
        <f>(1+(((IF($R$5=0,$R$6^2,$R$5^2))*$U$5)/(18*$R$15))*('IN-OUT'!$F$15^(-1)))*DV304</f>
        <v>1.1454256850621015E-3</v>
      </c>
      <c r="DS304" s="254" t="e">
        <f t="shared" si="204"/>
        <v>#DIV/0!</v>
      </c>
      <c r="DT304" s="254" t="e">
        <f t="shared" si="210"/>
        <v>#DIV/0!</v>
      </c>
      <c r="DU304" s="254">
        <f t="shared" si="216"/>
        <v>7.9999999999989761E-5</v>
      </c>
      <c r="DV304" s="270">
        <f t="shared" si="205"/>
        <v>1.1454256850621015E-3</v>
      </c>
      <c r="DW304" s="253">
        <f t="shared" si="217"/>
        <v>1.9200000000000109E-3</v>
      </c>
      <c r="DX304" s="255">
        <f t="shared" si="211"/>
        <v>0.19200000000000109</v>
      </c>
    </row>
    <row r="305" spans="3:162">
      <c r="U305" s="262"/>
      <c r="AW305" s="258">
        <f>(((IF($P$5&lt;&gt;0,$P$5,IF($P$6&lt;&gt;0,$P$6,IF($P$7&lt;&gt;0,$P$7,0))))/(12*$P$19))+(((3*$P$15)/(2*(IF($P$5&lt;&gt;0,$P$5,IF($P$6&lt;&gt;0,$P$6,IF($P$7&lt;&gt;0,$P$7,0))))*$U$5*$P$19))*'IN-OUT'!$F$15))*'Burland damage classification'!BA305</f>
        <v>2.3541116695116165E-4</v>
      </c>
      <c r="AX305" s="254">
        <f>(1+(((IF($P$5&lt;&gt;0,$P$5^2,IF($P$6&lt;&gt;0,$P$6^2,IF($P$7&lt;&gt;0,$P$7^2))))*$U$5)/(18*$P$15))*('IN-OUT'!$F$15^(-1)))*BB305</f>
        <v>1.2057202308929282E-3</v>
      </c>
      <c r="AY305" s="254">
        <f t="shared" si="218"/>
        <v>2.3541116695116165E-4</v>
      </c>
      <c r="AZ305" s="254">
        <f t="shared" si="206"/>
        <v>2.3541116695116163E-2</v>
      </c>
      <c r="BA305" s="254">
        <f t="shared" si="212"/>
        <v>7.3333333333323099E-5</v>
      </c>
      <c r="BB305" s="270">
        <f t="shared" si="201"/>
        <v>1.1413442367080367E-3</v>
      </c>
      <c r="BC305" s="253">
        <f t="shared" si="213"/>
        <v>1.9266666666666776E-3</v>
      </c>
      <c r="BD305" s="255">
        <f t="shared" si="207"/>
        <v>0.19266666666666776</v>
      </c>
      <c r="BI305" s="248"/>
      <c r="CG305" s="258" t="e">
        <f>((((IF($Q$5=0,$Q$6,$Q$5)))/(12*$Q$19))+(((3*$Q$15)/(2*IF($Q$5=0,$Q$6,$Q$5)*$U$5*$Q$19))*'IN-OUT'!$F$15))*'Burland damage classification'!CK305</f>
        <v>#DIV/0!</v>
      </c>
      <c r="CH305" s="262">
        <f>(1+(((IF($Q$5=0,$Q$6^2,$Q$5^2))*$U$5)/(18*$Q$15))*('IN-OUT'!$F$15^(-1)))*CL305</f>
        <v>1.1413442367080367E-3</v>
      </c>
      <c r="CI305" s="254" t="e">
        <f t="shared" si="202"/>
        <v>#DIV/0!</v>
      </c>
      <c r="CJ305" s="254" t="e">
        <f t="shared" si="208"/>
        <v>#DIV/0!</v>
      </c>
      <c r="CK305" s="254">
        <f t="shared" si="214"/>
        <v>7.3333333333323099E-5</v>
      </c>
      <c r="CL305" s="270">
        <f t="shared" si="203"/>
        <v>1.1413442367080367E-3</v>
      </c>
      <c r="CM305" s="253">
        <f t="shared" si="215"/>
        <v>1.9266666666666776E-3</v>
      </c>
      <c r="CN305" s="255">
        <f t="shared" si="209"/>
        <v>0.19266666666666776</v>
      </c>
      <c r="CS305" s="248"/>
      <c r="DQ305" s="258" t="e">
        <f>((((IF($R$5=0,$R$6,$R$5)))/(12*$R$19))+(((3*$R$15)/(2*IF($R$5=0,$R$6,$R$5)*$U$5*$R$19))*'IN-OUT'!$F$15))*'Burland damage classification'!DU305</f>
        <v>#DIV/0!</v>
      </c>
      <c r="DR305" s="262">
        <f>(1+(((IF($R$5=0,$R$6^2,$R$5^2))*$U$5)/(18*$R$15))*('IN-OUT'!$F$15^(-1)))*DV305</f>
        <v>1.1413442367080367E-3</v>
      </c>
      <c r="DS305" s="254" t="e">
        <f t="shared" si="204"/>
        <v>#DIV/0!</v>
      </c>
      <c r="DT305" s="254" t="e">
        <f t="shared" si="210"/>
        <v>#DIV/0!</v>
      </c>
      <c r="DU305" s="254">
        <f t="shared" si="216"/>
        <v>7.3333333333323099E-5</v>
      </c>
      <c r="DV305" s="270">
        <f t="shared" si="205"/>
        <v>1.1413442367080367E-3</v>
      </c>
      <c r="DW305" s="253">
        <f t="shared" si="217"/>
        <v>1.9266666666666776E-3</v>
      </c>
      <c r="DX305" s="255">
        <f t="shared" si="211"/>
        <v>0.19266666666666776</v>
      </c>
    </row>
    <row r="306" spans="3:162">
      <c r="U306" s="262"/>
      <c r="AW306" s="258">
        <f>(((IF($P$5&lt;&gt;0,$P$5,IF($P$6&lt;&gt;0,$P$6,IF($P$7&lt;&gt;0,$P$7,0))))/(12*$P$19))+(((3*$P$15)/(2*(IF($P$5&lt;&gt;0,$P$5,IF($P$6&lt;&gt;0,$P$6,IF($P$7&lt;&gt;0,$P$7,0))))*$U$5*$P$19))*'IN-OUT'!$F$15))*'Burland damage classification'!BA306</f>
        <v>2.1401015177378036E-4</v>
      </c>
      <c r="AX306" s="254">
        <f>(1+(((IF($P$5&lt;&gt;0,$P$5^2,IF($P$6&lt;&gt;0,$P$6^2,IF($P$7&lt;&gt;0,$P$7^2))))*$U$5)/(18*$P$15))*('IN-OUT'!$F$15^(-1)))*BB306</f>
        <v>1.2013930999821456E-3</v>
      </c>
      <c r="AY306" s="254">
        <f t="shared" si="218"/>
        <v>2.1401015177378036E-4</v>
      </c>
      <c r="AZ306" s="254">
        <f t="shared" si="206"/>
        <v>2.1401015177378035E-2</v>
      </c>
      <c r="BA306" s="254">
        <f t="shared" si="212"/>
        <v>6.6666666666656438E-5</v>
      </c>
      <c r="BB306" s="270">
        <f t="shared" si="201"/>
        <v>1.1372481406154585E-3</v>
      </c>
      <c r="BC306" s="253">
        <f t="shared" si="213"/>
        <v>1.9333333333333444E-3</v>
      </c>
      <c r="BD306" s="255">
        <f t="shared" si="207"/>
        <v>0.19333333333333444</v>
      </c>
      <c r="BI306" s="248"/>
      <c r="CG306" s="258" t="e">
        <f>((((IF($Q$5=0,$Q$6,$Q$5)))/(12*$Q$19))+(((3*$Q$15)/(2*IF($Q$5=0,$Q$6,$Q$5)*$U$5*$Q$19))*'IN-OUT'!$F$15))*'Burland damage classification'!CK306</f>
        <v>#DIV/0!</v>
      </c>
      <c r="CH306" s="262">
        <f>(1+(((IF($Q$5=0,$Q$6^2,$Q$5^2))*$U$5)/(18*$Q$15))*('IN-OUT'!$F$15^(-1)))*CL306</f>
        <v>1.1372481406154585E-3</v>
      </c>
      <c r="CI306" s="254" t="e">
        <f t="shared" si="202"/>
        <v>#DIV/0!</v>
      </c>
      <c r="CJ306" s="254" t="e">
        <f t="shared" si="208"/>
        <v>#DIV/0!</v>
      </c>
      <c r="CK306" s="254">
        <f t="shared" si="214"/>
        <v>6.6666666666656438E-5</v>
      </c>
      <c r="CL306" s="270">
        <f t="shared" si="203"/>
        <v>1.1372481406154585E-3</v>
      </c>
      <c r="CM306" s="253">
        <f t="shared" si="215"/>
        <v>1.9333333333333444E-3</v>
      </c>
      <c r="CN306" s="255">
        <f t="shared" si="209"/>
        <v>0.19333333333333444</v>
      </c>
      <c r="CS306" s="248"/>
      <c r="DQ306" s="258" t="e">
        <f>((((IF($R$5=0,$R$6,$R$5)))/(12*$R$19))+(((3*$R$15)/(2*IF($R$5=0,$R$6,$R$5)*$U$5*$R$19))*'IN-OUT'!$F$15))*'Burland damage classification'!DU306</f>
        <v>#DIV/0!</v>
      </c>
      <c r="DR306" s="262">
        <f>(1+(((IF($R$5=0,$R$6^2,$R$5^2))*$U$5)/(18*$R$15))*('IN-OUT'!$F$15^(-1)))*DV306</f>
        <v>1.1372481406154585E-3</v>
      </c>
      <c r="DS306" s="254" t="e">
        <f t="shared" si="204"/>
        <v>#DIV/0!</v>
      </c>
      <c r="DT306" s="254" t="e">
        <f t="shared" si="210"/>
        <v>#DIV/0!</v>
      </c>
      <c r="DU306" s="254">
        <f t="shared" si="216"/>
        <v>6.6666666666656438E-5</v>
      </c>
      <c r="DV306" s="270">
        <f t="shared" si="205"/>
        <v>1.1372481406154585E-3</v>
      </c>
      <c r="DW306" s="253">
        <f t="shared" si="217"/>
        <v>1.9333333333333444E-3</v>
      </c>
      <c r="DX306" s="255">
        <f t="shared" si="211"/>
        <v>0.19333333333333444</v>
      </c>
    </row>
    <row r="307" spans="3:162">
      <c r="U307" s="262"/>
      <c r="AW307" s="258">
        <f>(((IF($P$5&lt;&gt;0,$P$5,IF($P$6&lt;&gt;0,$P$6,IF($P$7&lt;&gt;0,$P$7,0))))/(12*$P$19))+(((3*$P$15)/(2*(IF($P$5&lt;&gt;0,$P$5,IF($P$6&lt;&gt;0,$P$6,IF($P$7&lt;&gt;0,$P$7,0))))*$U$5*$P$19))*'IN-OUT'!$F$15))*'Burland damage classification'!BA307</f>
        <v>1.9260913659639904E-4</v>
      </c>
      <c r="AX307" s="254">
        <f>(1+(((IF($P$5&lt;&gt;0,$P$5^2,IF($P$6&lt;&gt;0,$P$6^2,IF($P$7&lt;&gt;0,$P$7^2))))*$U$5)/(18*$P$15))*('IN-OUT'!$F$15^(-1)))*BB307</f>
        <v>1.1970503273400507E-3</v>
      </c>
      <c r="AY307" s="254">
        <f t="shared" si="218"/>
        <v>1.9260913659639904E-4</v>
      </c>
      <c r="AZ307" s="254">
        <f t="shared" si="206"/>
        <v>1.9260913659639903E-2</v>
      </c>
      <c r="BA307" s="254">
        <f t="shared" si="212"/>
        <v>5.9999999999989769E-5</v>
      </c>
      <c r="BB307" s="270">
        <f t="shared" si="201"/>
        <v>1.1331372379372166E-3</v>
      </c>
      <c r="BC307" s="253">
        <f t="shared" si="213"/>
        <v>1.9400000000000112E-3</v>
      </c>
      <c r="BD307" s="255">
        <f t="shared" si="207"/>
        <v>0.19400000000000112</v>
      </c>
      <c r="BI307" s="248"/>
      <c r="CG307" s="258" t="e">
        <f>((((IF($Q$5=0,$Q$6,$Q$5)))/(12*$Q$19))+(((3*$Q$15)/(2*IF($Q$5=0,$Q$6,$Q$5)*$U$5*$Q$19))*'IN-OUT'!$F$15))*'Burland damage classification'!CK307</f>
        <v>#DIV/0!</v>
      </c>
      <c r="CH307" s="262">
        <f>(1+(((IF($Q$5=0,$Q$6^2,$Q$5^2))*$U$5)/(18*$Q$15))*('IN-OUT'!$F$15^(-1)))*CL307</f>
        <v>1.1331372379372166E-3</v>
      </c>
      <c r="CI307" s="254" t="e">
        <f t="shared" si="202"/>
        <v>#DIV/0!</v>
      </c>
      <c r="CJ307" s="254" t="e">
        <f t="shared" si="208"/>
        <v>#DIV/0!</v>
      </c>
      <c r="CK307" s="254">
        <f t="shared" si="214"/>
        <v>5.9999999999989769E-5</v>
      </c>
      <c r="CL307" s="270">
        <f t="shared" si="203"/>
        <v>1.1331372379372166E-3</v>
      </c>
      <c r="CM307" s="253">
        <f t="shared" si="215"/>
        <v>1.9400000000000112E-3</v>
      </c>
      <c r="CN307" s="255">
        <f t="shared" si="209"/>
        <v>0.19400000000000112</v>
      </c>
      <c r="CS307" s="248"/>
      <c r="DQ307" s="258" t="e">
        <f>((((IF($R$5=0,$R$6,$R$5)))/(12*$R$19))+(((3*$R$15)/(2*IF($R$5=0,$R$6,$R$5)*$U$5*$R$19))*'IN-OUT'!$F$15))*'Burland damage classification'!DU307</f>
        <v>#DIV/0!</v>
      </c>
      <c r="DR307" s="262">
        <f>(1+(((IF($R$5=0,$R$6^2,$R$5^2))*$U$5)/(18*$R$15))*('IN-OUT'!$F$15^(-1)))*DV307</f>
        <v>1.1331372379372166E-3</v>
      </c>
      <c r="DS307" s="254" t="e">
        <f t="shared" si="204"/>
        <v>#DIV/0!</v>
      </c>
      <c r="DT307" s="254" t="e">
        <f t="shared" si="210"/>
        <v>#DIV/0!</v>
      </c>
      <c r="DU307" s="254">
        <f t="shared" si="216"/>
        <v>5.9999999999989769E-5</v>
      </c>
      <c r="DV307" s="270">
        <f t="shared" si="205"/>
        <v>1.1331372379372166E-3</v>
      </c>
      <c r="DW307" s="253">
        <f t="shared" si="217"/>
        <v>1.9400000000000112E-3</v>
      </c>
      <c r="DX307" s="255">
        <f t="shared" si="211"/>
        <v>0.19400000000000112</v>
      </c>
    </row>
    <row r="308" spans="3:162">
      <c r="U308" s="262"/>
      <c r="AW308" s="258">
        <f>(((IF($P$5&lt;&gt;0,$P$5,IF($P$6&lt;&gt;0,$P$6,IF($P$7&lt;&gt;0,$P$7,0))))/(12*$P$19))+(((3*$P$15)/(2*(IF($P$5&lt;&gt;0,$P$5,IF($P$6&lt;&gt;0,$P$6,IF($P$7&lt;&gt;0,$P$7,0))))*$U$5*$P$19))*'IN-OUT'!$F$15))*'Burland damage classification'!BA308</f>
        <v>1.7120812141901772E-4</v>
      </c>
      <c r="AX308" s="254">
        <f>(1+(((IF($P$5&lt;&gt;0,$P$5^2,IF($P$6&lt;&gt;0,$P$6^2,IF($P$7&lt;&gt;0,$P$7^2))))*$U$5)/(18*$P$15))*('IN-OUT'!$F$15^(-1)))*BB308</f>
        <v>1.1926917421048642E-3</v>
      </c>
      <c r="AY308" s="254">
        <f t="shared" si="218"/>
        <v>1.7120812141901772E-4</v>
      </c>
      <c r="AZ308" s="254">
        <f t="shared" si="206"/>
        <v>1.7120812141901771E-2</v>
      </c>
      <c r="BA308" s="254">
        <f t="shared" si="212"/>
        <v>5.3333333333323101E-5</v>
      </c>
      <c r="BB308" s="270">
        <f t="shared" si="201"/>
        <v>1.1290113669342088E-3</v>
      </c>
      <c r="BC308" s="253">
        <f t="shared" si="213"/>
        <v>1.9466666666666779E-3</v>
      </c>
      <c r="BD308" s="255">
        <f t="shared" si="207"/>
        <v>0.19466666666666779</v>
      </c>
      <c r="BI308" s="248"/>
      <c r="CG308" s="258" t="e">
        <f>((((IF($Q$5=0,$Q$6,$Q$5)))/(12*$Q$19))+(((3*$Q$15)/(2*IF($Q$5=0,$Q$6,$Q$5)*$U$5*$Q$19))*'IN-OUT'!$F$15))*'Burland damage classification'!CK308</f>
        <v>#DIV/0!</v>
      </c>
      <c r="CH308" s="262">
        <f>(1+(((IF($Q$5=0,$Q$6^2,$Q$5^2))*$U$5)/(18*$Q$15))*('IN-OUT'!$F$15^(-1)))*CL308</f>
        <v>1.1290113669342088E-3</v>
      </c>
      <c r="CI308" s="254" t="e">
        <f t="shared" si="202"/>
        <v>#DIV/0!</v>
      </c>
      <c r="CJ308" s="254" t="e">
        <f t="shared" si="208"/>
        <v>#DIV/0!</v>
      </c>
      <c r="CK308" s="254">
        <f t="shared" si="214"/>
        <v>5.3333333333323101E-5</v>
      </c>
      <c r="CL308" s="270">
        <f t="shared" si="203"/>
        <v>1.1290113669342088E-3</v>
      </c>
      <c r="CM308" s="253">
        <f t="shared" si="215"/>
        <v>1.9466666666666779E-3</v>
      </c>
      <c r="CN308" s="255">
        <f t="shared" si="209"/>
        <v>0.19466666666666779</v>
      </c>
      <c r="CS308" s="248"/>
      <c r="DQ308" s="258" t="e">
        <f>((((IF($R$5=0,$R$6,$R$5)))/(12*$R$19))+(((3*$R$15)/(2*IF($R$5=0,$R$6,$R$5)*$U$5*$R$19))*'IN-OUT'!$F$15))*'Burland damage classification'!DU308</f>
        <v>#DIV/0!</v>
      </c>
      <c r="DR308" s="262">
        <f>(1+(((IF($R$5=0,$R$6^2,$R$5^2))*$U$5)/(18*$R$15))*('IN-OUT'!$F$15^(-1)))*DV308</f>
        <v>1.1290113669342088E-3</v>
      </c>
      <c r="DS308" s="254" t="e">
        <f t="shared" si="204"/>
        <v>#DIV/0!</v>
      </c>
      <c r="DT308" s="254" t="e">
        <f t="shared" si="210"/>
        <v>#DIV/0!</v>
      </c>
      <c r="DU308" s="254">
        <f t="shared" si="216"/>
        <v>5.3333333333323101E-5</v>
      </c>
      <c r="DV308" s="270">
        <f t="shared" si="205"/>
        <v>1.1290113669342088E-3</v>
      </c>
      <c r="DW308" s="253">
        <f t="shared" si="217"/>
        <v>1.9466666666666779E-3</v>
      </c>
      <c r="DX308" s="255">
        <f t="shared" si="211"/>
        <v>0.19466666666666779</v>
      </c>
    </row>
    <row r="309" spans="3:162">
      <c r="U309" s="262"/>
      <c r="AW309" s="258">
        <f>(((IF($P$5&lt;&gt;0,$P$5,IF($P$6&lt;&gt;0,$P$6,IF($P$7&lt;&gt;0,$P$7,0))))/(12*$P$19))+(((3*$P$15)/(2*(IF($P$5&lt;&gt;0,$P$5,IF($P$6&lt;&gt;0,$P$6,IF($P$7&lt;&gt;0,$P$7,0))))*$U$5*$P$19))*'IN-OUT'!$F$15))*'Burland damage classification'!BA309</f>
        <v>1.4980710624163638E-4</v>
      </c>
      <c r="AX309" s="254">
        <f>(1+(((IF($P$5&lt;&gt;0,$P$5^2,IF($P$6&lt;&gt;0,$P$6^2,IF($P$7&lt;&gt;0,$P$7^2))))*$U$5)/(18*$P$15))*('IN-OUT'!$F$15^(-1)))*BB309</f>
        <v>1.1883171702812972E-3</v>
      </c>
      <c r="AY309" s="254">
        <f t="shared" si="218"/>
        <v>1.4980710624163638E-4</v>
      </c>
      <c r="AZ309" s="254">
        <f t="shared" si="206"/>
        <v>1.4980710624163637E-2</v>
      </c>
      <c r="BA309" s="254">
        <f t="shared" si="212"/>
        <v>4.6666666666656433E-5</v>
      </c>
      <c r="BB309" s="270">
        <f t="shared" si="201"/>
        <v>1.1248703629011289E-3</v>
      </c>
      <c r="BC309" s="253">
        <f t="shared" si="213"/>
        <v>1.9533333333333447E-3</v>
      </c>
      <c r="BD309" s="255">
        <f t="shared" si="207"/>
        <v>0.19533333333333447</v>
      </c>
      <c r="BI309" s="248"/>
      <c r="CG309" s="258" t="e">
        <f>((((IF($Q$5=0,$Q$6,$Q$5)))/(12*$Q$19))+(((3*$Q$15)/(2*IF($Q$5=0,$Q$6,$Q$5)*$U$5*$Q$19))*'IN-OUT'!$F$15))*'Burland damage classification'!CK309</f>
        <v>#DIV/0!</v>
      </c>
      <c r="CH309" s="262">
        <f>(1+(((IF($Q$5=0,$Q$6^2,$Q$5^2))*$U$5)/(18*$Q$15))*('IN-OUT'!$F$15^(-1)))*CL309</f>
        <v>1.1248703629011289E-3</v>
      </c>
      <c r="CI309" s="254" t="e">
        <f t="shared" si="202"/>
        <v>#DIV/0!</v>
      </c>
      <c r="CJ309" s="254" t="e">
        <f t="shared" si="208"/>
        <v>#DIV/0!</v>
      </c>
      <c r="CK309" s="254">
        <f t="shared" si="214"/>
        <v>4.6666666666656433E-5</v>
      </c>
      <c r="CL309" s="270">
        <f t="shared" si="203"/>
        <v>1.1248703629011289E-3</v>
      </c>
      <c r="CM309" s="253">
        <f t="shared" si="215"/>
        <v>1.9533333333333447E-3</v>
      </c>
      <c r="CN309" s="255">
        <f t="shared" si="209"/>
        <v>0.19533333333333447</v>
      </c>
      <c r="CS309" s="248"/>
      <c r="DQ309" s="258" t="e">
        <f>((((IF($R$5=0,$R$6,$R$5)))/(12*$R$19))+(((3*$R$15)/(2*IF($R$5=0,$R$6,$R$5)*$U$5*$R$19))*'IN-OUT'!$F$15))*'Burland damage classification'!DU309</f>
        <v>#DIV/0!</v>
      </c>
      <c r="DR309" s="262">
        <f>(1+(((IF($R$5=0,$R$6^2,$R$5^2))*$U$5)/(18*$R$15))*('IN-OUT'!$F$15^(-1)))*DV309</f>
        <v>1.1248703629011289E-3</v>
      </c>
      <c r="DS309" s="254" t="e">
        <f t="shared" si="204"/>
        <v>#DIV/0!</v>
      </c>
      <c r="DT309" s="254" t="e">
        <f t="shared" si="210"/>
        <v>#DIV/0!</v>
      </c>
      <c r="DU309" s="254">
        <f t="shared" si="216"/>
        <v>4.6666666666656433E-5</v>
      </c>
      <c r="DV309" s="270">
        <f t="shared" si="205"/>
        <v>1.1248703629011289E-3</v>
      </c>
      <c r="DW309" s="253">
        <f t="shared" si="217"/>
        <v>1.9533333333333447E-3</v>
      </c>
      <c r="DX309" s="255">
        <f t="shared" si="211"/>
        <v>0.19533333333333447</v>
      </c>
    </row>
    <row r="310" spans="3:162">
      <c r="U310" s="262"/>
      <c r="AW310" s="258">
        <f>(((IF($P$5&lt;&gt;0,$P$5,IF($P$6&lt;&gt;0,$P$6,IF($P$7&lt;&gt;0,$P$7,0))))/(12*$P$19))+(((3*$P$15)/(2*(IF($P$5&lt;&gt;0,$P$5,IF($P$6&lt;&gt;0,$P$6,IF($P$7&lt;&gt;0,$P$7,0))))*$U$5*$P$19))*'IN-OUT'!$F$15))*'Burland damage classification'!BA310</f>
        <v>1.2840609106425506E-4</v>
      </c>
      <c r="AX310" s="254">
        <f>(1+(((IF($P$5&lt;&gt;0,$P$5^2,IF($P$6&lt;&gt;0,$P$6^2,IF($P$7&lt;&gt;0,$P$7^2))))*$U$5)/(18*$P$15))*('IN-OUT'!$F$15^(-1)))*BB310</f>
        <v>1.1839264346595031E-3</v>
      </c>
      <c r="AY310" s="254">
        <f t="shared" si="218"/>
        <v>1.2840609106425506E-4</v>
      </c>
      <c r="AZ310" s="254">
        <f t="shared" si="206"/>
        <v>1.2840609106425507E-2</v>
      </c>
      <c r="BA310" s="254">
        <f t="shared" si="212"/>
        <v>3.9999999999989764E-5</v>
      </c>
      <c r="BB310" s="270">
        <f t="shared" si="201"/>
        <v>1.1207140580897449E-3</v>
      </c>
      <c r="BC310" s="253">
        <f t="shared" si="213"/>
        <v>1.9600000000000112E-3</v>
      </c>
      <c r="BD310" s="255">
        <f t="shared" si="207"/>
        <v>0.19600000000000112</v>
      </c>
      <c r="BI310" s="248"/>
      <c r="CG310" s="258" t="e">
        <f>((((IF($Q$5=0,$Q$6,$Q$5)))/(12*$Q$19))+(((3*$Q$15)/(2*IF($Q$5=0,$Q$6,$Q$5)*$U$5*$Q$19))*'IN-OUT'!$F$15))*'Burland damage classification'!CK310</f>
        <v>#DIV/0!</v>
      </c>
      <c r="CH310" s="262">
        <f>(1+(((IF($Q$5=0,$Q$6^2,$Q$5^2))*$U$5)/(18*$Q$15))*('IN-OUT'!$F$15^(-1)))*CL310</f>
        <v>1.1207140580897449E-3</v>
      </c>
      <c r="CI310" s="254" t="e">
        <f t="shared" si="202"/>
        <v>#DIV/0!</v>
      </c>
      <c r="CJ310" s="254" t="e">
        <f t="shared" si="208"/>
        <v>#DIV/0!</v>
      </c>
      <c r="CK310" s="254">
        <f t="shared" si="214"/>
        <v>3.9999999999989764E-5</v>
      </c>
      <c r="CL310" s="270">
        <f t="shared" si="203"/>
        <v>1.1207140580897449E-3</v>
      </c>
      <c r="CM310" s="253">
        <f t="shared" si="215"/>
        <v>1.9600000000000112E-3</v>
      </c>
      <c r="CN310" s="255">
        <f t="shared" si="209"/>
        <v>0.19600000000000112</v>
      </c>
      <c r="CS310" s="248"/>
      <c r="DQ310" s="258" t="e">
        <f>((((IF($R$5=0,$R$6,$R$5)))/(12*$R$19))+(((3*$R$15)/(2*IF($R$5=0,$R$6,$R$5)*$U$5*$R$19))*'IN-OUT'!$F$15))*'Burland damage classification'!DU310</f>
        <v>#DIV/0!</v>
      </c>
      <c r="DR310" s="262">
        <f>(1+(((IF($R$5=0,$R$6^2,$R$5^2))*$U$5)/(18*$R$15))*('IN-OUT'!$F$15^(-1)))*DV310</f>
        <v>1.1207140580897449E-3</v>
      </c>
      <c r="DS310" s="254" t="e">
        <f t="shared" si="204"/>
        <v>#DIV/0!</v>
      </c>
      <c r="DT310" s="254" t="e">
        <f t="shared" si="210"/>
        <v>#DIV/0!</v>
      </c>
      <c r="DU310" s="254">
        <f t="shared" si="216"/>
        <v>3.9999999999989764E-5</v>
      </c>
      <c r="DV310" s="270">
        <f t="shared" si="205"/>
        <v>1.1207140580897449E-3</v>
      </c>
      <c r="DW310" s="253">
        <f t="shared" si="217"/>
        <v>1.9600000000000112E-3</v>
      </c>
      <c r="DX310" s="255">
        <f t="shared" si="211"/>
        <v>0.19600000000000112</v>
      </c>
    </row>
    <row r="311" spans="3:162">
      <c r="U311" s="262"/>
      <c r="AW311" s="258">
        <f>(((IF($P$5&lt;&gt;0,$P$5,IF($P$6&lt;&gt;0,$P$6,IF($P$7&lt;&gt;0,$P$7,0))))/(12*$P$19))+(((3*$P$15)/(2*(IF($P$5&lt;&gt;0,$P$5,IF($P$6&lt;&gt;0,$P$6,IF($P$7&lt;&gt;0,$P$7,0))))*$U$5*$P$19))*'IN-OUT'!$F$15))*'Burland damage classification'!BA311</f>
        <v>1.0700507588687374E-4</v>
      </c>
      <c r="AX311" s="254">
        <f>(1+(((IF($P$5&lt;&gt;0,$P$5^2,IF($P$6&lt;&gt;0,$P$6^2,IF($P$7&lt;&gt;0,$P$7^2))))*$U$5)/(18*$P$15))*('IN-OUT'!$F$15^(-1)))*BB311</f>
        <v>1.1795193547313146E-3</v>
      </c>
      <c r="AY311" s="254">
        <f t="shared" si="218"/>
        <v>1.0700507588687374E-4</v>
      </c>
      <c r="AZ311" s="254">
        <f t="shared" si="206"/>
        <v>1.0700507588687375E-2</v>
      </c>
      <c r="BA311" s="254">
        <f t="shared" si="212"/>
        <v>3.3333333333323096E-5</v>
      </c>
      <c r="BB311" s="270">
        <f t="shared" si="201"/>
        <v>1.1165422816296082E-3</v>
      </c>
      <c r="BC311" s="253">
        <f t="shared" si="213"/>
        <v>1.9666666666666778E-3</v>
      </c>
      <c r="BD311" s="255">
        <f t="shared" si="207"/>
        <v>0.19666666666666777</v>
      </c>
      <c r="BI311" s="248"/>
      <c r="CG311" s="258" t="e">
        <f>((((IF($Q$5=0,$Q$6,$Q$5)))/(12*$Q$19))+(((3*$Q$15)/(2*IF($Q$5=0,$Q$6,$Q$5)*$U$5*$Q$19))*'IN-OUT'!$F$15))*'Burland damage classification'!CK311</f>
        <v>#DIV/0!</v>
      </c>
      <c r="CH311" s="262">
        <f>(1+(((IF($Q$5=0,$Q$6^2,$Q$5^2))*$U$5)/(18*$Q$15))*('IN-OUT'!$F$15^(-1)))*CL311</f>
        <v>1.1165422816296082E-3</v>
      </c>
      <c r="CI311" s="254" t="e">
        <f t="shared" si="202"/>
        <v>#DIV/0!</v>
      </c>
      <c r="CJ311" s="254" t="e">
        <f t="shared" si="208"/>
        <v>#DIV/0!</v>
      </c>
      <c r="CK311" s="254">
        <f t="shared" si="214"/>
        <v>3.3333333333323096E-5</v>
      </c>
      <c r="CL311" s="270">
        <f t="shared" si="203"/>
        <v>1.1165422816296082E-3</v>
      </c>
      <c r="CM311" s="253">
        <f t="shared" si="215"/>
        <v>1.9666666666666778E-3</v>
      </c>
      <c r="CN311" s="255">
        <f t="shared" si="209"/>
        <v>0.19666666666666777</v>
      </c>
      <c r="CS311" s="248"/>
      <c r="DQ311" s="258" t="e">
        <f>((((IF($R$5=0,$R$6,$R$5)))/(12*$R$19))+(((3*$R$15)/(2*IF($R$5=0,$R$6,$R$5)*$U$5*$R$19))*'IN-OUT'!$F$15))*'Burland damage classification'!DU311</f>
        <v>#DIV/0!</v>
      </c>
      <c r="DR311" s="262">
        <f>(1+(((IF($R$5=0,$R$6^2,$R$5^2))*$U$5)/(18*$R$15))*('IN-OUT'!$F$15^(-1)))*DV311</f>
        <v>1.1165422816296082E-3</v>
      </c>
      <c r="DS311" s="254" t="e">
        <f t="shared" si="204"/>
        <v>#DIV/0!</v>
      </c>
      <c r="DT311" s="254" t="e">
        <f t="shared" si="210"/>
        <v>#DIV/0!</v>
      </c>
      <c r="DU311" s="254">
        <f t="shared" si="216"/>
        <v>3.3333333333323096E-5</v>
      </c>
      <c r="DV311" s="270">
        <f t="shared" si="205"/>
        <v>1.1165422816296082E-3</v>
      </c>
      <c r="DW311" s="253">
        <f t="shared" si="217"/>
        <v>1.9666666666666778E-3</v>
      </c>
      <c r="DX311" s="255">
        <f t="shared" si="211"/>
        <v>0.19666666666666777</v>
      </c>
    </row>
    <row r="312" spans="3:162">
      <c r="U312" s="262"/>
      <c r="AW312" s="258">
        <f>(((IF($P$5&lt;&gt;0,$P$5,IF($P$6&lt;&gt;0,$P$6,IF($P$7&lt;&gt;0,$P$7,0))))/(12*$P$19))+(((3*$P$15)/(2*(IF($P$5&lt;&gt;0,$P$5,IF($P$6&lt;&gt;0,$P$6,IF($P$7&lt;&gt;0,$P$7,0))))*$U$5*$P$19))*'IN-OUT'!$F$15))*'Burland damage classification'!BA312</f>
        <v>8.5604060709492408E-5</v>
      </c>
      <c r="AX312" s="254">
        <f>(1+(((IF($P$5&lt;&gt;0,$P$5^2,IF($P$6&lt;&gt;0,$P$6^2,IF($P$7&lt;&gt;0,$P$7^2))))*$U$5)/(18*$P$15))*('IN-OUT'!$F$15^(-1)))*BB312</f>
        <v>1.1750957466036501E-3</v>
      </c>
      <c r="AY312" s="254">
        <f t="shared" si="218"/>
        <v>8.5604060709492408E-5</v>
      </c>
      <c r="AZ312" s="254">
        <f t="shared" si="206"/>
        <v>8.5604060709492408E-3</v>
      </c>
      <c r="BA312" s="254">
        <f t="shared" si="212"/>
        <v>2.6666666666656428E-5</v>
      </c>
      <c r="BB312" s="270">
        <f t="shared" si="201"/>
        <v>1.1123548594460843E-3</v>
      </c>
      <c r="BC312" s="253">
        <f t="shared" si="213"/>
        <v>1.9733333333333443E-3</v>
      </c>
      <c r="BD312" s="255">
        <f t="shared" si="207"/>
        <v>0.19733333333333442</v>
      </c>
      <c r="BI312" s="248"/>
      <c r="CG312" s="258" t="e">
        <f>((((IF($Q$5=0,$Q$6,$Q$5)))/(12*$Q$19))+(((3*$Q$15)/(2*IF($Q$5=0,$Q$6,$Q$5)*$U$5*$Q$19))*'IN-OUT'!$F$15))*'Burland damage classification'!CK312</f>
        <v>#DIV/0!</v>
      </c>
      <c r="CH312" s="262">
        <f>(1+(((IF($Q$5=0,$Q$6^2,$Q$5^2))*$U$5)/(18*$Q$15))*('IN-OUT'!$F$15^(-1)))*CL312</f>
        <v>1.1123548594460843E-3</v>
      </c>
      <c r="CI312" s="254" t="e">
        <f t="shared" si="202"/>
        <v>#DIV/0!</v>
      </c>
      <c r="CJ312" s="254" t="e">
        <f t="shared" si="208"/>
        <v>#DIV/0!</v>
      </c>
      <c r="CK312" s="254">
        <f t="shared" si="214"/>
        <v>2.6666666666656428E-5</v>
      </c>
      <c r="CL312" s="270">
        <f t="shared" si="203"/>
        <v>1.1123548594460843E-3</v>
      </c>
      <c r="CM312" s="253">
        <f t="shared" si="215"/>
        <v>1.9733333333333443E-3</v>
      </c>
      <c r="CN312" s="255">
        <f t="shared" si="209"/>
        <v>0.19733333333333442</v>
      </c>
      <c r="CS312" s="248"/>
      <c r="DQ312" s="258" t="e">
        <f>((((IF($R$5=0,$R$6,$R$5)))/(12*$R$19))+(((3*$R$15)/(2*IF($R$5=0,$R$6,$R$5)*$U$5*$R$19))*'IN-OUT'!$F$15))*'Burland damage classification'!DU312</f>
        <v>#DIV/0!</v>
      </c>
      <c r="DR312" s="262">
        <f>(1+(((IF($R$5=0,$R$6^2,$R$5^2))*$U$5)/(18*$R$15))*('IN-OUT'!$F$15^(-1)))*DV312</f>
        <v>1.1123548594460843E-3</v>
      </c>
      <c r="DS312" s="254" t="e">
        <f t="shared" si="204"/>
        <v>#DIV/0!</v>
      </c>
      <c r="DT312" s="254" t="e">
        <f t="shared" si="210"/>
        <v>#DIV/0!</v>
      </c>
      <c r="DU312" s="254">
        <f t="shared" si="216"/>
        <v>2.6666666666656428E-5</v>
      </c>
      <c r="DV312" s="270">
        <f t="shared" si="205"/>
        <v>1.1123548594460843E-3</v>
      </c>
      <c r="DW312" s="253">
        <f t="shared" si="217"/>
        <v>1.9733333333333443E-3</v>
      </c>
      <c r="DX312" s="255">
        <f t="shared" si="211"/>
        <v>0.19733333333333442</v>
      </c>
    </row>
    <row r="313" spans="3:162">
      <c r="U313" s="262"/>
      <c r="AW313" s="258">
        <f>(((IF($P$5&lt;&gt;0,$P$5,IF($P$6&lt;&gt;0,$P$6,IF($P$7&lt;&gt;0,$P$7,0))))/(12*$P$19))+(((3*$P$15)/(2*(IF($P$5&lt;&gt;0,$P$5,IF($P$6&lt;&gt;0,$P$6,IF($P$7&lt;&gt;0,$P$7,0))))*$U$5*$P$19))*'IN-OUT'!$F$15))*'Burland damage classification'!BA313</f>
        <v>6.420304553211109E-5</v>
      </c>
      <c r="AX313" s="254">
        <f>(1+(((IF($P$5&lt;&gt;0,$P$5^2,IF($P$6&lt;&gt;0,$P$6^2,IF($P$7&lt;&gt;0,$P$7^2))))*$U$5)/(18*$P$15))*('IN-OUT'!$F$15^(-1)))*BB313</f>
        <v>1.1706554229089802E-3</v>
      </c>
      <c r="AY313" s="254">
        <f t="shared" si="218"/>
        <v>6.420304553211109E-5</v>
      </c>
      <c r="AZ313" s="254">
        <f t="shared" si="206"/>
        <v>6.4203045532111088E-3</v>
      </c>
      <c r="BA313" s="254">
        <f t="shared" si="212"/>
        <v>1.9999999999989759E-5</v>
      </c>
      <c r="BB313" s="270">
        <f t="shared" si="201"/>
        <v>1.1081516141755985E-3</v>
      </c>
      <c r="BC313" s="253">
        <f t="shared" si="213"/>
        <v>1.9800000000000108E-3</v>
      </c>
      <c r="BD313" s="255">
        <f t="shared" si="207"/>
        <v>0.19800000000000109</v>
      </c>
      <c r="BI313" s="248"/>
      <c r="CG313" s="258" t="e">
        <f>((((IF($Q$5=0,$Q$6,$Q$5)))/(12*$Q$19))+(((3*$Q$15)/(2*IF($Q$5=0,$Q$6,$Q$5)*$U$5*$Q$19))*'IN-OUT'!$F$15))*'Burland damage classification'!CK313</f>
        <v>#DIV/0!</v>
      </c>
      <c r="CH313" s="262">
        <f>(1+(((IF($Q$5=0,$Q$6^2,$Q$5^2))*$U$5)/(18*$Q$15))*('IN-OUT'!$F$15^(-1)))*CL313</f>
        <v>1.1081516141755985E-3</v>
      </c>
      <c r="CI313" s="254" t="e">
        <f t="shared" si="202"/>
        <v>#DIV/0!</v>
      </c>
      <c r="CJ313" s="254" t="e">
        <f t="shared" si="208"/>
        <v>#DIV/0!</v>
      </c>
      <c r="CK313" s="254">
        <f t="shared" si="214"/>
        <v>1.9999999999989759E-5</v>
      </c>
      <c r="CL313" s="270">
        <f t="shared" si="203"/>
        <v>1.1081516141755985E-3</v>
      </c>
      <c r="CM313" s="253">
        <f t="shared" si="215"/>
        <v>1.9800000000000108E-3</v>
      </c>
      <c r="CN313" s="255">
        <f t="shared" si="209"/>
        <v>0.19800000000000109</v>
      </c>
      <c r="CS313" s="248"/>
      <c r="DQ313" s="258" t="e">
        <f>((((IF($R$5=0,$R$6,$R$5)))/(12*$R$19))+(((3*$R$15)/(2*IF($R$5=0,$R$6,$R$5)*$U$5*$R$19))*'IN-OUT'!$F$15))*'Burland damage classification'!DU313</f>
        <v>#DIV/0!</v>
      </c>
      <c r="DR313" s="262">
        <f>(1+(((IF($R$5=0,$R$6^2,$R$5^2))*$U$5)/(18*$R$15))*('IN-OUT'!$F$15^(-1)))*DV313</f>
        <v>1.1081516141755985E-3</v>
      </c>
      <c r="DS313" s="254" t="e">
        <f t="shared" si="204"/>
        <v>#DIV/0!</v>
      </c>
      <c r="DT313" s="254" t="e">
        <f t="shared" si="210"/>
        <v>#DIV/0!</v>
      </c>
      <c r="DU313" s="254">
        <f t="shared" si="216"/>
        <v>1.9999999999989759E-5</v>
      </c>
      <c r="DV313" s="270">
        <f t="shared" si="205"/>
        <v>1.1081516141755985E-3</v>
      </c>
      <c r="DW313" s="253">
        <f t="shared" si="217"/>
        <v>1.9800000000000108E-3</v>
      </c>
      <c r="DX313" s="255">
        <f t="shared" si="211"/>
        <v>0.19800000000000109</v>
      </c>
    </row>
    <row r="314" spans="3:162">
      <c r="U314" s="262"/>
      <c r="AW314" s="258">
        <f>(((IF($P$5&lt;&gt;0,$P$5,IF($P$6&lt;&gt;0,$P$6,IF($P$7&lt;&gt;0,$P$7,0))))/(12*$P$19))+(((3*$P$15)/(2*(IF($P$5&lt;&gt;0,$P$5,IF($P$6&lt;&gt;0,$P$6,IF($P$7&lt;&gt;0,$P$7,0))))*$U$5*$P$19))*'IN-OUT'!$F$15))*'Burland damage classification'!BA314</f>
        <v>4.2802030354729765E-5</v>
      </c>
      <c r="AX314" s="254">
        <f>(1+(((IF($P$5&lt;&gt;0,$P$5^2,IF($P$6&lt;&gt;0,$P$6^2,IF($P$7&lt;&gt;0,$P$7^2))))*$U$5)/(18*$P$15))*('IN-OUT'!$F$15^(-1)))*BB314</f>
        <v>1.166198192712721E-3</v>
      </c>
      <c r="AY314" s="254">
        <f t="shared" si="218"/>
        <v>4.2802030354729765E-5</v>
      </c>
      <c r="AZ314" s="254">
        <f t="shared" si="206"/>
        <v>4.2802030354729768E-3</v>
      </c>
      <c r="BA314" s="254">
        <f t="shared" si="212"/>
        <v>1.3333333333323093E-5</v>
      </c>
      <c r="BB314" s="270">
        <f t="shared" si="201"/>
        <v>1.103932365077975E-3</v>
      </c>
      <c r="BC314" s="253">
        <f t="shared" si="213"/>
        <v>1.9866666666666774E-3</v>
      </c>
      <c r="BD314" s="255">
        <f t="shared" si="207"/>
        <v>0.19866666666666774</v>
      </c>
      <c r="BI314" s="248"/>
      <c r="CG314" s="258" t="e">
        <f>((((IF($Q$5=0,$Q$6,$Q$5)))/(12*$Q$19))+(((3*$Q$15)/(2*IF($Q$5=0,$Q$6,$Q$5)*$U$5*$Q$19))*'IN-OUT'!$F$15))*'Burland damage classification'!CK314</f>
        <v>#DIV/0!</v>
      </c>
      <c r="CH314" s="262">
        <f>(1+(((IF($Q$5=0,$Q$6^2,$Q$5^2))*$U$5)/(18*$Q$15))*('IN-OUT'!$F$15^(-1)))*CL314</f>
        <v>1.103932365077975E-3</v>
      </c>
      <c r="CI314" s="254" t="e">
        <f t="shared" si="202"/>
        <v>#DIV/0!</v>
      </c>
      <c r="CJ314" s="254" t="e">
        <f t="shared" si="208"/>
        <v>#DIV/0!</v>
      </c>
      <c r="CK314" s="254">
        <f t="shared" si="214"/>
        <v>1.3333333333323093E-5</v>
      </c>
      <c r="CL314" s="270">
        <f t="shared" si="203"/>
        <v>1.103932365077975E-3</v>
      </c>
      <c r="CM314" s="253">
        <f t="shared" si="215"/>
        <v>1.9866666666666774E-3</v>
      </c>
      <c r="CN314" s="255">
        <f t="shared" si="209"/>
        <v>0.19866666666666774</v>
      </c>
      <c r="CS314" s="248"/>
      <c r="DQ314" s="258" t="e">
        <f>((((IF($R$5=0,$R$6,$R$5)))/(12*$R$19))+(((3*$R$15)/(2*IF($R$5=0,$R$6,$R$5)*$U$5*$R$19))*'IN-OUT'!$F$15))*'Burland damage classification'!DU314</f>
        <v>#DIV/0!</v>
      </c>
      <c r="DR314" s="262">
        <f>(1+(((IF($R$5=0,$R$6^2,$R$5^2))*$U$5)/(18*$R$15))*('IN-OUT'!$F$15^(-1)))*DV314</f>
        <v>1.103932365077975E-3</v>
      </c>
      <c r="DS314" s="254" t="e">
        <f t="shared" si="204"/>
        <v>#DIV/0!</v>
      </c>
      <c r="DT314" s="254" t="e">
        <f t="shared" si="210"/>
        <v>#DIV/0!</v>
      </c>
      <c r="DU314" s="254">
        <f t="shared" si="216"/>
        <v>1.3333333333323093E-5</v>
      </c>
      <c r="DV314" s="270">
        <f t="shared" si="205"/>
        <v>1.103932365077975E-3</v>
      </c>
      <c r="DW314" s="253">
        <f t="shared" si="217"/>
        <v>1.9866666666666774E-3</v>
      </c>
      <c r="DX314" s="255">
        <f t="shared" si="211"/>
        <v>0.19866666666666774</v>
      </c>
    </row>
    <row r="315" spans="3:162">
      <c r="U315" s="262"/>
      <c r="AW315" s="258">
        <f>(((IF($P$5&lt;&gt;0,$P$5,IF($P$6&lt;&gt;0,$P$6,IF($P$7&lt;&gt;0,$P$7,0))))/(12*$P$19))+(((3*$P$15)/(2*(IF($P$5&lt;&gt;0,$P$5,IF($P$6&lt;&gt;0,$P$6,IF($P$7&lt;&gt;0,$P$7,0))))*$U$5*$P$19))*'IN-OUT'!$F$15))*'Burland damage classification'!BA315</f>
        <v>2.1401015177348447E-5</v>
      </c>
      <c r="AX315" s="254">
        <f>(1+(((IF($P$5&lt;&gt;0,$P$5^2,IF($P$6&lt;&gt;0,$P$6^2,IF($P$7&lt;&gt;0,$P$7^2))))*$U$5)/(18*$P$15))*('IN-OUT'!$F$15^(-1)))*BB315</f>
        <v>1.1617238614174325E-3</v>
      </c>
      <c r="AY315" s="254">
        <f t="shared" si="218"/>
        <v>2.1401015177348447E-5</v>
      </c>
      <c r="AZ315" s="254">
        <f t="shared" si="206"/>
        <v>2.1401015177348447E-3</v>
      </c>
      <c r="BA315" s="254">
        <f t="shared" si="212"/>
        <v>6.666666666656426E-6</v>
      </c>
      <c r="BB315" s="270">
        <f t="shared" si="201"/>
        <v>1.0996969279457492E-3</v>
      </c>
      <c r="BC315" s="253">
        <f t="shared" si="213"/>
        <v>1.9933333333333439E-3</v>
      </c>
      <c r="BD315" s="255">
        <f t="shared" si="207"/>
        <v>0.19933333333333439</v>
      </c>
      <c r="BI315" s="248"/>
      <c r="CG315" s="258" t="e">
        <f>((((IF($Q$5=0,$Q$6,$Q$5)))/(12*$Q$19))+(((3*$Q$15)/(2*IF($Q$5=0,$Q$6,$Q$5)*$U$5*$Q$19))*'IN-OUT'!$F$15))*'Burland damage classification'!CK315</f>
        <v>#DIV/0!</v>
      </c>
      <c r="CH315" s="262">
        <f>(1+(((IF($Q$5=0,$Q$6^2,$Q$5^2))*$U$5)/(18*$Q$15))*('IN-OUT'!$F$15^(-1)))*CL315</f>
        <v>1.0996969279457492E-3</v>
      </c>
      <c r="CI315" s="254" t="e">
        <f t="shared" si="202"/>
        <v>#DIV/0!</v>
      </c>
      <c r="CJ315" s="254" t="e">
        <f t="shared" si="208"/>
        <v>#DIV/0!</v>
      </c>
      <c r="CK315" s="254">
        <f t="shared" si="214"/>
        <v>6.666666666656426E-6</v>
      </c>
      <c r="CL315" s="270">
        <f t="shared" si="203"/>
        <v>1.0996969279457492E-3</v>
      </c>
      <c r="CM315" s="253">
        <f t="shared" si="215"/>
        <v>1.9933333333333439E-3</v>
      </c>
      <c r="CN315" s="255">
        <f t="shared" si="209"/>
        <v>0.19933333333333439</v>
      </c>
      <c r="CS315" s="248"/>
      <c r="DQ315" s="258" t="e">
        <f>((((IF($R$5=0,$R$6,$R$5)))/(12*$R$19))+(((3*$R$15)/(2*IF($R$5=0,$R$6,$R$5)*$U$5*$R$19))*'IN-OUT'!$F$15))*'Burland damage classification'!DU315</f>
        <v>#DIV/0!</v>
      </c>
      <c r="DR315" s="262">
        <f>(1+(((IF($R$5=0,$R$6^2,$R$5^2))*$U$5)/(18*$R$15))*('IN-OUT'!$F$15^(-1)))*DV315</f>
        <v>1.0996969279457492E-3</v>
      </c>
      <c r="DS315" s="254" t="e">
        <f t="shared" si="204"/>
        <v>#DIV/0!</v>
      </c>
      <c r="DT315" s="254" t="e">
        <f t="shared" si="210"/>
        <v>#DIV/0!</v>
      </c>
      <c r="DU315" s="254">
        <f t="shared" si="216"/>
        <v>6.666666666656426E-6</v>
      </c>
      <c r="DV315" s="270">
        <f t="shared" si="205"/>
        <v>1.0996969279457492E-3</v>
      </c>
      <c r="DW315" s="253">
        <f t="shared" si="217"/>
        <v>1.9933333333333439E-3</v>
      </c>
      <c r="DX315" s="255">
        <f t="shared" si="211"/>
        <v>0.19933333333333439</v>
      </c>
    </row>
    <row r="316" spans="3:162" ht="13.8" thickBot="1">
      <c r="U316" s="262"/>
      <c r="AW316" s="258">
        <f>(((IF($P$5&lt;&gt;0,$P$5,IF($P$6&lt;&gt;0,$P$6,IF($P$7&lt;&gt;0,$P$7,0))))/(12*$P$19))+(((3*$P$15)/(2*(IF($P$5&lt;&gt;0,$P$5,IF($P$6&lt;&gt;0,$P$6,IF($P$7&lt;&gt;0,$P$7,0))))*$U$5*$P$19))*'IN-OUT'!$F$15))*'Burland damage classification'!BA316</f>
        <v>-3.2873976354835433E-17</v>
      </c>
      <c r="AX316" s="254">
        <f>(1+(((IF($P$5&lt;&gt;0,$P$5^2,IF($P$6&lt;&gt;0,$P$6^2,IF($P$7&lt;&gt;0,$P$7^2))))*$U$5)/(18*$P$15))*('IN-OUT'!$F$15^(-1)))*BB316</f>
        <v>1.157232230663683E-3</v>
      </c>
      <c r="AY316" s="259">
        <f t="shared" si="218"/>
        <v>-3.2873976354835433E-17</v>
      </c>
      <c r="AZ316" s="259">
        <f t="shared" si="206"/>
        <v>-3.2873976354835435E-15</v>
      </c>
      <c r="BA316" s="254">
        <f t="shared" si="212"/>
        <v>-1.0240628332304491E-17</v>
      </c>
      <c r="BB316" s="273">
        <f t="shared" si="201"/>
        <v>1.0954451150103255E-3</v>
      </c>
      <c r="BC316" s="253">
        <f t="shared" si="213"/>
        <v>2.0000000000000104E-3</v>
      </c>
      <c r="BD316" s="261">
        <f t="shared" si="207"/>
        <v>0.20000000000000104</v>
      </c>
      <c r="BI316" s="248"/>
      <c r="CG316" s="265" t="e">
        <f>((((IF($Q$5=0,$Q$6,$Q$5)))/(12*$Q$19))+(((3*$Q$15)/(2*IF($Q$5=0,$Q$6,$Q$5)*$U$5*$Q$19))*'IN-OUT'!$F$15))*'Burland damage classification'!CK316</f>
        <v>#DIV/0!</v>
      </c>
      <c r="CH316" s="272">
        <f>(1+(((IF($Q$5=0,$Q$6^2,$Q$5^2))*$U$5)/(18*$Q$15))*('IN-OUT'!$F$15^(-1)))*CL316</f>
        <v>1.0954451150103255E-3</v>
      </c>
      <c r="CI316" s="259" t="e">
        <f t="shared" si="202"/>
        <v>#DIV/0!</v>
      </c>
      <c r="CJ316" s="259" t="e">
        <f t="shared" si="208"/>
        <v>#DIV/0!</v>
      </c>
      <c r="CK316" s="254">
        <f t="shared" si="214"/>
        <v>-1.0240628332304491E-17</v>
      </c>
      <c r="CL316" s="273">
        <f t="shared" si="203"/>
        <v>1.0954451150103255E-3</v>
      </c>
      <c r="CM316" s="253">
        <f t="shared" si="215"/>
        <v>2.0000000000000104E-3</v>
      </c>
      <c r="CN316" s="261">
        <f t="shared" si="209"/>
        <v>0.20000000000000104</v>
      </c>
      <c r="CS316" s="248"/>
      <c r="DQ316" s="265" t="e">
        <f>((((IF($R$5=0,$R$6,$R$5)))/(12*$R$19))+(((3*$R$15)/(2*IF($R$5=0,$R$6,$R$5)*$U$5*$R$19))*'IN-OUT'!$F$15))*'Burland damage classification'!DU316</f>
        <v>#DIV/0!</v>
      </c>
      <c r="DR316" s="272">
        <f>(1+(((IF($R$5=0,$R$6^2,$R$5^2))*$U$5)/(18*$R$15))*('IN-OUT'!$F$15^(-1)))*DV316</f>
        <v>1.0954451150103255E-3</v>
      </c>
      <c r="DS316" s="259" t="e">
        <f t="shared" si="204"/>
        <v>#DIV/0!</v>
      </c>
      <c r="DT316" s="259" t="e">
        <f t="shared" si="210"/>
        <v>#DIV/0!</v>
      </c>
      <c r="DU316" s="254">
        <f t="shared" si="216"/>
        <v>-1.0240628332304491E-17</v>
      </c>
      <c r="DV316" s="273">
        <f t="shared" si="205"/>
        <v>1.0954451150103255E-3</v>
      </c>
      <c r="DW316" s="253">
        <f t="shared" si="217"/>
        <v>2.0000000000000104E-3</v>
      </c>
      <c r="DX316" s="261">
        <f t="shared" si="211"/>
        <v>0.20000000000000104</v>
      </c>
    </row>
    <row r="317" spans="3:162">
      <c r="U317" s="262"/>
      <c r="BB317" s="254"/>
    </row>
    <row r="318" spans="3:162" s="238" customFormat="1">
      <c r="C318" s="275"/>
      <c r="D318" s="275"/>
      <c r="E318" s="275"/>
      <c r="G318" s="275"/>
      <c r="H318" s="275"/>
      <c r="I318" s="276"/>
      <c r="J318" s="276"/>
      <c r="S318" s="340"/>
      <c r="T318" s="275"/>
      <c r="U318" s="277"/>
      <c r="Y318" s="278"/>
      <c r="BB318" s="279"/>
      <c r="EB318" s="275"/>
      <c r="EC318" s="275"/>
      <c r="ED318" s="275"/>
      <c r="EE318" s="275"/>
      <c r="EF318" s="275"/>
      <c r="EG318" s="275"/>
      <c r="EH318" s="275"/>
      <c r="EI318" s="275"/>
      <c r="EJ318" s="275"/>
      <c r="FD318" s="676"/>
      <c r="FE318" s="676"/>
      <c r="FF318" s="676"/>
    </row>
    <row r="320" spans="3:162">
      <c r="V320" s="349"/>
      <c r="W320" s="349"/>
      <c r="X320" s="349"/>
      <c r="Y320" s="350"/>
      <c r="Z320" s="349"/>
      <c r="AA320" s="349"/>
      <c r="AB320" s="349"/>
      <c r="AC320" s="349"/>
      <c r="AD320" s="349"/>
      <c r="AE320" s="349"/>
      <c r="AF320" s="349"/>
      <c r="AG320" s="349"/>
      <c r="AH320" s="349"/>
      <c r="AI320" s="349"/>
      <c r="AJ320" s="349"/>
      <c r="AK320" s="349"/>
      <c r="AL320" s="349"/>
      <c r="AM320" s="349"/>
      <c r="AN320" s="349"/>
      <c r="AO320" s="349"/>
      <c r="AP320" s="349"/>
      <c r="AQ320" s="349"/>
      <c r="AR320" s="349"/>
      <c r="AS320" s="349"/>
      <c r="AT320" s="349"/>
      <c r="AU320" s="349"/>
      <c r="AV320" s="349"/>
      <c r="AW320" s="349"/>
      <c r="AX320" s="349"/>
      <c r="AY320" s="349"/>
      <c r="AZ320" s="349"/>
      <c r="BA320" s="349"/>
      <c r="BB320" s="349"/>
      <c r="BC320" s="349"/>
      <c r="BD320" s="349"/>
      <c r="BF320" s="348"/>
      <c r="BG320" s="348"/>
      <c r="BH320" s="348"/>
      <c r="BI320" s="348"/>
      <c r="BJ320" s="348"/>
      <c r="BK320" s="348"/>
      <c r="BL320" s="348"/>
      <c r="BM320" s="348"/>
      <c r="BN320" s="348"/>
      <c r="BO320" s="348"/>
      <c r="BP320" s="348"/>
      <c r="BQ320" s="348"/>
      <c r="BR320" s="348"/>
      <c r="BS320" s="348"/>
      <c r="BT320" s="348"/>
      <c r="BU320" s="348"/>
      <c r="BV320" s="348"/>
      <c r="BW320" s="348"/>
      <c r="BX320" s="348"/>
      <c r="BY320" s="348"/>
      <c r="BZ320" s="348"/>
      <c r="CA320" s="348"/>
      <c r="CB320" s="348"/>
      <c r="CC320" s="348"/>
      <c r="CD320" s="348"/>
      <c r="CE320" s="348"/>
      <c r="CF320" s="348"/>
      <c r="CG320" s="348"/>
      <c r="CH320" s="348"/>
      <c r="CI320" s="348"/>
      <c r="CJ320" s="348"/>
      <c r="CK320" s="348"/>
      <c r="CL320" s="348"/>
      <c r="CM320" s="348"/>
      <c r="CN320" s="348"/>
    </row>
    <row r="321" spans="22:92" ht="13.8" thickBot="1">
      <c r="V321" s="349"/>
      <c r="W321" s="349"/>
      <c r="X321" s="349"/>
      <c r="Y321" s="350"/>
      <c r="Z321" s="349"/>
      <c r="AA321" s="349"/>
      <c r="AB321" s="349"/>
      <c r="AC321" s="349"/>
      <c r="AD321" s="349"/>
      <c r="AE321" s="349"/>
      <c r="AF321" s="349"/>
      <c r="AG321" s="349"/>
      <c r="AH321" s="349"/>
      <c r="AI321" s="349"/>
      <c r="AJ321" s="349"/>
      <c r="AK321" s="349"/>
      <c r="AL321" s="349"/>
      <c r="AM321" s="349"/>
      <c r="AN321" s="349"/>
      <c r="AO321" s="349"/>
      <c r="AP321" s="349"/>
      <c r="AQ321" s="349"/>
      <c r="AR321" s="349"/>
      <c r="AS321" s="349"/>
      <c r="AT321" s="349"/>
      <c r="AU321" s="349"/>
      <c r="AV321" s="349"/>
      <c r="AW321" s="349"/>
      <c r="AX321" s="349"/>
      <c r="AY321" s="349"/>
      <c r="AZ321" s="349"/>
      <c r="BA321" s="349"/>
      <c r="BB321" s="349"/>
      <c r="BC321" s="349"/>
      <c r="BD321" s="349"/>
      <c r="BF321" s="348"/>
      <c r="BG321" s="348"/>
      <c r="BH321" s="348"/>
      <c r="BI321" s="348"/>
      <c r="BJ321" s="348"/>
      <c r="BK321" s="348"/>
      <c r="BL321" s="348"/>
      <c r="BM321" s="348"/>
      <c r="BN321" s="348"/>
      <c r="BO321" s="348"/>
      <c r="BP321" s="348"/>
      <c r="BQ321" s="348"/>
      <c r="BR321" s="348"/>
      <c r="BS321" s="348"/>
      <c r="BT321" s="348"/>
      <c r="BU321" s="348"/>
      <c r="BV321" s="348"/>
      <c r="BW321" s="348"/>
      <c r="BX321" s="348"/>
      <c r="BY321" s="348"/>
      <c r="BZ321" s="348"/>
      <c r="CA321" s="348"/>
      <c r="CB321" s="348"/>
      <c r="CC321" s="348"/>
      <c r="CD321" s="348"/>
      <c r="CE321" s="348"/>
      <c r="CF321" s="348"/>
      <c r="CG321" s="348"/>
      <c r="CH321" s="348"/>
      <c r="CI321" s="348"/>
      <c r="CJ321" s="348"/>
      <c r="CK321" s="348"/>
      <c r="CL321" s="348"/>
      <c r="CM321" s="348"/>
      <c r="CN321" s="348"/>
    </row>
    <row r="322" spans="22:92" ht="21.6">
      <c r="V322" s="1194" t="s">
        <v>198</v>
      </c>
      <c r="W322" s="1195"/>
      <c r="X322" s="1195"/>
      <c r="Y322" s="1195"/>
      <c r="Z322" s="1195"/>
      <c r="AA322" s="1195"/>
      <c r="AB322" s="1195"/>
      <c r="AC322" s="1196"/>
      <c r="AE322" s="1198" t="s">
        <v>199</v>
      </c>
      <c r="AF322" s="1195"/>
      <c r="AG322" s="1195"/>
      <c r="AH322" s="1195"/>
      <c r="AI322" s="1195"/>
      <c r="AJ322" s="1195"/>
      <c r="AK322" s="1195"/>
      <c r="AL322" s="1196"/>
      <c r="AN322" s="1199" t="s">
        <v>200</v>
      </c>
      <c r="AO322" s="1195"/>
      <c r="AP322" s="1195"/>
      <c r="AQ322" s="1195"/>
      <c r="AR322" s="1195"/>
      <c r="AS322" s="1195"/>
      <c r="AT322" s="1195"/>
      <c r="AU322" s="1196"/>
      <c r="AW322" s="1197" t="s">
        <v>201</v>
      </c>
      <c r="AX322" s="1195"/>
      <c r="AY322" s="1195"/>
      <c r="AZ322" s="1195"/>
      <c r="BA322" s="1195"/>
      <c r="BB322" s="1195"/>
      <c r="BC322" s="1195"/>
      <c r="BD322" s="1196"/>
      <c r="BF322" s="1194" t="s">
        <v>198</v>
      </c>
      <c r="BG322" s="1195"/>
      <c r="BH322" s="1195"/>
      <c r="BI322" s="1195"/>
      <c r="BJ322" s="1195"/>
      <c r="BK322" s="1195"/>
      <c r="BL322" s="1195"/>
      <c r="BM322" s="1196"/>
      <c r="BO322" s="1198" t="s">
        <v>199</v>
      </c>
      <c r="BP322" s="1195"/>
      <c r="BQ322" s="1195"/>
      <c r="BR322" s="1195"/>
      <c r="BS322" s="1195"/>
      <c r="BT322" s="1195"/>
      <c r="BU322" s="1195"/>
      <c r="BV322" s="1196"/>
      <c r="BX322" s="1199" t="s">
        <v>200</v>
      </c>
      <c r="BY322" s="1195"/>
      <c r="BZ322" s="1195"/>
      <c r="CA322" s="1195"/>
      <c r="CB322" s="1195"/>
      <c r="CC322" s="1195"/>
      <c r="CD322" s="1195"/>
      <c r="CE322" s="1196"/>
      <c r="CG322" s="1197" t="s">
        <v>201</v>
      </c>
      <c r="CH322" s="1195"/>
      <c r="CI322" s="1195"/>
      <c r="CJ322" s="1195"/>
      <c r="CK322" s="1195"/>
      <c r="CL322" s="1195"/>
      <c r="CM322" s="1195"/>
      <c r="CN322" s="1196"/>
    </row>
    <row r="323" spans="22:92" ht="13.8" thickBot="1">
      <c r="V323" s="281"/>
      <c r="W323" s="260"/>
      <c r="X323" s="260"/>
      <c r="Y323" s="259"/>
      <c r="Z323" s="260"/>
      <c r="AA323" s="260"/>
      <c r="AB323" s="260"/>
      <c r="AC323" s="261"/>
      <c r="AE323" s="280"/>
      <c r="AF323" s="260"/>
      <c r="AG323" s="260"/>
      <c r="AH323" s="259"/>
      <c r="AI323" s="260"/>
      <c r="AJ323" s="260"/>
      <c r="AK323" s="260"/>
      <c r="AL323" s="261"/>
      <c r="AN323" s="280"/>
      <c r="AO323" s="260"/>
      <c r="AP323" s="260"/>
      <c r="AQ323" s="259"/>
      <c r="AR323" s="260"/>
      <c r="AS323" s="260"/>
      <c r="AT323" s="260"/>
      <c r="AU323" s="261"/>
      <c r="AW323" s="280"/>
      <c r="AX323" s="260"/>
      <c r="AY323" s="260"/>
      <c r="AZ323" s="259"/>
      <c r="BA323" s="260"/>
      <c r="BB323" s="260"/>
      <c r="BC323" s="260"/>
      <c r="BD323" s="261"/>
      <c r="BF323" s="281"/>
      <c r="BG323" s="260"/>
      <c r="BH323" s="260"/>
      <c r="BI323" s="259"/>
      <c r="BJ323" s="260"/>
      <c r="BK323" s="260"/>
      <c r="BL323" s="260"/>
      <c r="BM323" s="261"/>
      <c r="BO323" s="280"/>
      <c r="BP323" s="260"/>
      <c r="BQ323" s="260"/>
      <c r="BR323" s="259"/>
      <c r="BS323" s="260"/>
      <c r="BT323" s="260"/>
      <c r="BU323" s="260"/>
      <c r="BV323" s="261"/>
      <c r="BX323" s="280"/>
      <c r="BY323" s="260"/>
      <c r="BZ323" s="260"/>
      <c r="CA323" s="259"/>
      <c r="CB323" s="260"/>
      <c r="CC323" s="260"/>
      <c r="CD323" s="260"/>
      <c r="CE323" s="261"/>
      <c r="CG323" s="280"/>
      <c r="CH323" s="260"/>
      <c r="CI323" s="260"/>
      <c r="CJ323" s="259"/>
      <c r="CK323" s="260"/>
      <c r="CL323" s="260"/>
      <c r="CM323" s="260"/>
      <c r="CN323" s="261"/>
    </row>
    <row r="324" spans="22:92">
      <c r="V324" s="266"/>
      <c r="W324" s="267"/>
      <c r="X324" s="267"/>
      <c r="Y324" s="268"/>
      <c r="Z324" s="252"/>
      <c r="AA324" s="267"/>
      <c r="AB324" s="267"/>
      <c r="AC324" s="269"/>
      <c r="AE324" s="266"/>
      <c r="AF324" s="267"/>
      <c r="AG324" s="267"/>
      <c r="AH324" s="268"/>
      <c r="AI324" s="252"/>
      <c r="AJ324" s="267"/>
      <c r="AK324" s="267"/>
      <c r="AL324" s="269"/>
      <c r="AN324" s="266"/>
      <c r="AO324" s="267"/>
      <c r="AP324" s="267"/>
      <c r="AQ324" s="268"/>
      <c r="AR324" s="252"/>
      <c r="AS324" s="267"/>
      <c r="AT324" s="267"/>
      <c r="AU324" s="269"/>
      <c r="AW324" s="266"/>
      <c r="AX324" s="267"/>
      <c r="AY324" s="267"/>
      <c r="AZ324" s="268"/>
      <c r="BA324" s="252"/>
      <c r="BB324" s="267"/>
      <c r="BC324" s="267"/>
      <c r="BD324" s="269"/>
      <c r="BF324" s="266"/>
      <c r="BG324" s="267"/>
      <c r="BH324" s="267"/>
      <c r="BI324" s="268"/>
      <c r="BJ324" s="252"/>
      <c r="BK324" s="267"/>
      <c r="BL324" s="267"/>
      <c r="BM324" s="269"/>
      <c r="BO324" s="266"/>
      <c r="BP324" s="267"/>
      <c r="BQ324" s="267"/>
      <c r="BR324" s="268"/>
      <c r="BS324" s="252"/>
      <c r="BT324" s="267"/>
      <c r="BU324" s="267"/>
      <c r="BV324" s="269"/>
      <c r="BX324" s="266"/>
      <c r="BY324" s="267"/>
      <c r="BZ324" s="267"/>
      <c r="CA324" s="268"/>
      <c r="CB324" s="252"/>
      <c r="CC324" s="267"/>
      <c r="CD324" s="267"/>
      <c r="CE324" s="269"/>
      <c r="CG324" s="266"/>
      <c r="CH324" s="267"/>
      <c r="CI324" s="267"/>
      <c r="CJ324" s="268"/>
      <c r="CK324" s="252"/>
      <c r="CL324" s="267"/>
      <c r="CM324" s="267"/>
      <c r="CN324" s="269"/>
    </row>
    <row r="325" spans="22:92">
      <c r="V325" s="264" t="s">
        <v>191</v>
      </c>
      <c r="W325" s="263" t="s">
        <v>192</v>
      </c>
      <c r="X325" s="1193" t="s">
        <v>197</v>
      </c>
      <c r="Y325" s="1193"/>
      <c r="Z325" s="270"/>
      <c r="AA325" s="270"/>
      <c r="AB325" s="270"/>
      <c r="AC325" s="271"/>
      <c r="AE325" s="264" t="s">
        <v>191</v>
      </c>
      <c r="AF325" s="263" t="s">
        <v>192</v>
      </c>
      <c r="AG325" s="1193" t="s">
        <v>197</v>
      </c>
      <c r="AH325" s="1193"/>
      <c r="AI325" s="270"/>
      <c r="AJ325" s="270"/>
      <c r="AK325" s="270"/>
      <c r="AL325" s="271"/>
      <c r="AN325" s="264" t="s">
        <v>191</v>
      </c>
      <c r="AO325" s="263" t="s">
        <v>192</v>
      </c>
      <c r="AP325" s="1193" t="s">
        <v>197</v>
      </c>
      <c r="AQ325" s="1193"/>
      <c r="AR325" s="270"/>
      <c r="AS325" s="270"/>
      <c r="AT325" s="270"/>
      <c r="AU325" s="271"/>
      <c r="AW325" s="264" t="s">
        <v>191</v>
      </c>
      <c r="AX325" s="263" t="s">
        <v>192</v>
      </c>
      <c r="AY325" s="1193" t="s">
        <v>197</v>
      </c>
      <c r="AZ325" s="1193"/>
      <c r="BA325" s="270"/>
      <c r="BB325" s="270"/>
      <c r="BC325" s="270"/>
      <c r="BD325" s="271"/>
      <c r="BF325" s="264" t="s">
        <v>191</v>
      </c>
      <c r="BG325" s="263" t="s">
        <v>192</v>
      </c>
      <c r="BH325" s="263" t="s">
        <v>197</v>
      </c>
      <c r="BI325" s="263"/>
      <c r="BJ325" s="270"/>
      <c r="BK325" s="270"/>
      <c r="BL325" s="270"/>
      <c r="BM325" s="271"/>
      <c r="BO325" s="264" t="s">
        <v>191</v>
      </c>
      <c r="BP325" s="263" t="s">
        <v>192</v>
      </c>
      <c r="BQ325" s="263" t="s">
        <v>197</v>
      </c>
      <c r="BR325" s="263"/>
      <c r="BS325" s="270"/>
      <c r="BT325" s="270"/>
      <c r="BU325" s="270"/>
      <c r="BV325" s="271"/>
      <c r="BX325" s="264" t="s">
        <v>191</v>
      </c>
      <c r="BY325" s="263" t="s">
        <v>192</v>
      </c>
      <c r="BZ325" s="263" t="s">
        <v>197</v>
      </c>
      <c r="CA325" s="263"/>
      <c r="CB325" s="270"/>
      <c r="CC325" s="270"/>
      <c r="CD325" s="270"/>
      <c r="CE325" s="271"/>
      <c r="CG325" s="264" t="s">
        <v>191</v>
      </c>
      <c r="CH325" s="263" t="s">
        <v>192</v>
      </c>
      <c r="CI325" s="1193" t="s">
        <v>197</v>
      </c>
      <c r="CJ325" s="1193"/>
      <c r="CK325" s="270"/>
      <c r="CL325" s="270"/>
      <c r="CM325" s="270"/>
      <c r="CN325" s="271"/>
    </row>
    <row r="326" spans="22:92" ht="15.6">
      <c r="V326" s="256" t="s">
        <v>190</v>
      </c>
      <c r="W326" s="250" t="s">
        <v>190</v>
      </c>
      <c r="X326" s="250" t="s">
        <v>194</v>
      </c>
      <c r="Y326" s="250" t="s">
        <v>195</v>
      </c>
      <c r="Z326" s="249" t="s">
        <v>202</v>
      </c>
      <c r="AA326" s="249" t="s">
        <v>203</v>
      </c>
      <c r="AB326" s="249" t="s">
        <v>193</v>
      </c>
      <c r="AC326" s="257" t="s">
        <v>196</v>
      </c>
      <c r="AE326" s="256" t="s">
        <v>190</v>
      </c>
      <c r="AF326" s="250" t="s">
        <v>190</v>
      </c>
      <c r="AG326" s="250" t="s">
        <v>194</v>
      </c>
      <c r="AH326" s="250" t="s">
        <v>195</v>
      </c>
      <c r="AI326" s="249" t="s">
        <v>202</v>
      </c>
      <c r="AJ326" s="249" t="s">
        <v>203</v>
      </c>
      <c r="AK326" s="249" t="s">
        <v>193</v>
      </c>
      <c r="AL326" s="257" t="s">
        <v>196</v>
      </c>
      <c r="AN326" s="256" t="s">
        <v>190</v>
      </c>
      <c r="AO326" s="250" t="s">
        <v>190</v>
      </c>
      <c r="AP326" s="250" t="s">
        <v>194</v>
      </c>
      <c r="AQ326" s="250" t="s">
        <v>195</v>
      </c>
      <c r="AR326" s="249" t="s">
        <v>202</v>
      </c>
      <c r="AS326" s="249" t="s">
        <v>203</v>
      </c>
      <c r="AT326" s="249" t="s">
        <v>193</v>
      </c>
      <c r="AU326" s="257" t="s">
        <v>196</v>
      </c>
      <c r="AW326" s="256" t="s">
        <v>190</v>
      </c>
      <c r="AX326" s="250" t="s">
        <v>190</v>
      </c>
      <c r="AY326" s="250" t="s">
        <v>194</v>
      </c>
      <c r="AZ326" s="250" t="s">
        <v>195</v>
      </c>
      <c r="BA326" s="249" t="s">
        <v>202</v>
      </c>
      <c r="BB326" s="249" t="s">
        <v>203</v>
      </c>
      <c r="BC326" s="249" t="s">
        <v>193</v>
      </c>
      <c r="BD326" s="257" t="s">
        <v>196</v>
      </c>
      <c r="BF326" s="256" t="s">
        <v>190</v>
      </c>
      <c r="BG326" s="250" t="s">
        <v>190</v>
      </c>
      <c r="BH326" s="250" t="s">
        <v>194</v>
      </c>
      <c r="BI326" s="250" t="s">
        <v>195</v>
      </c>
      <c r="BJ326" s="249" t="s">
        <v>202</v>
      </c>
      <c r="BK326" s="249" t="s">
        <v>203</v>
      </c>
      <c r="BL326" s="249" t="s">
        <v>193</v>
      </c>
      <c r="BM326" s="257" t="s">
        <v>196</v>
      </c>
      <c r="BO326" s="256" t="s">
        <v>190</v>
      </c>
      <c r="BP326" s="250" t="s">
        <v>190</v>
      </c>
      <c r="BQ326" s="250" t="s">
        <v>194</v>
      </c>
      <c r="BR326" s="250" t="s">
        <v>195</v>
      </c>
      <c r="BS326" s="249" t="s">
        <v>202</v>
      </c>
      <c r="BT326" s="249" t="s">
        <v>203</v>
      </c>
      <c r="BU326" s="249" t="s">
        <v>193</v>
      </c>
      <c r="BV326" s="257" t="s">
        <v>196</v>
      </c>
      <c r="BX326" s="256" t="s">
        <v>190</v>
      </c>
      <c r="BY326" s="250" t="s">
        <v>190</v>
      </c>
      <c r="BZ326" s="250" t="s">
        <v>194</v>
      </c>
      <c r="CA326" s="250" t="s">
        <v>195</v>
      </c>
      <c r="CB326" s="249" t="s">
        <v>202</v>
      </c>
      <c r="CC326" s="249" t="s">
        <v>203</v>
      </c>
      <c r="CD326" s="249" t="s">
        <v>193</v>
      </c>
      <c r="CE326" s="257" t="s">
        <v>196</v>
      </c>
      <c r="CG326" s="256" t="s">
        <v>190</v>
      </c>
      <c r="CH326" s="250" t="s">
        <v>190</v>
      </c>
      <c r="CI326" s="250" t="s">
        <v>194</v>
      </c>
      <c r="CJ326" s="250" t="s">
        <v>195</v>
      </c>
      <c r="CK326" s="249" t="s">
        <v>202</v>
      </c>
      <c r="CL326" s="249" t="s">
        <v>203</v>
      </c>
      <c r="CM326" s="249" t="s">
        <v>193</v>
      </c>
      <c r="CN326" s="257" t="s">
        <v>196</v>
      </c>
    </row>
    <row r="327" spans="22:92">
      <c r="V327" s="258">
        <f>(((IF($S$5&lt;&gt;0,$S$5,IF($S$6&lt;&gt;0,$S$6,IF($S$7&lt;&gt;0,$S$7,0))))/(12*$S$19))+(((3*$S$15)/(2*(IF($S$5&lt;&gt;0,$S$5,IF($S$6&lt;&gt;0,$S$6,IF($S$7&lt;&gt;0,$S$7,0))))*$U$5*$S$19))*'IN-OUT'!$F$14))*'Burland damage classification'!Z327</f>
        <v>2.9231498350717738E-3</v>
      </c>
      <c r="W327" s="352">
        <f>(1+(((IF($S$5&lt;&gt;0,$S$5^2,IF($S$6&lt;&gt;0,$S$6^2,IF($S$7&lt;&gt;0,$S$7^2))))*$U$5)/(18*$S$15))*('IN-OUT'!$F$14^(-1)))*AA327</f>
        <v>3.356219661288794E-4</v>
      </c>
      <c r="X327" s="262">
        <f t="shared" ref="X327:X377" si="219">MIN(V327,W327)</f>
        <v>3.356219661288794E-4</v>
      </c>
      <c r="Y327" s="262">
        <f>X327*100</f>
        <v>3.3562196612887937E-2</v>
      </c>
      <c r="Z327" s="262">
        <f>$P$25</f>
        <v>3.3333333333333332E-4</v>
      </c>
      <c r="AA327" s="270">
        <f t="shared" ref="AA327:AA358" si="220">($P$25^2-(2*0.35*$P$25*AB327))^0.5</f>
        <v>3.3333333333333332E-4</v>
      </c>
      <c r="AB327" s="270">
        <f>0</f>
        <v>0</v>
      </c>
      <c r="AC327" s="271">
        <f>AB327*100</f>
        <v>0</v>
      </c>
      <c r="AE327" s="258">
        <f>(((IF($S$5&lt;&gt;0,$S$5,IF($S$6&lt;&gt;0,$S$6,IF($S$7&lt;&gt;0,$S$7,0))))/(12*$S$19))+(((3*$S$15)/(2*(IF($S$5&lt;&gt;0,$S$5,IF($S$6&lt;&gt;0,$S$6,IF($S$7&lt;&gt;0,$S$7,0))))*$U$5*$S$19))*'IN-OUT'!$F$14))*'Burland damage classification'!AI327</f>
        <v>4.3847247526076607E-3</v>
      </c>
      <c r="AF327" s="353">
        <f>(1+(((IF($S$5&lt;&gt;0,$S$5^2,IF($S$6&lt;&gt;0,$S$6^2,IF($S$7&lt;&gt;0,$S$7^2))))*$U$5)/(18*$S$15))*('IN-OUT'!$F$14^(-1)))*AJ327</f>
        <v>5.0343294919331916E-4</v>
      </c>
      <c r="AG327" s="254">
        <f t="shared" ref="AG327:AG390" si="221">MIN(AE327,AF327)</f>
        <v>5.0343294919331916E-4</v>
      </c>
      <c r="AH327" s="254">
        <f>AG327*100</f>
        <v>5.0343294919331913E-2</v>
      </c>
      <c r="AI327" s="254">
        <f>$P$26</f>
        <v>5.0000000000000001E-4</v>
      </c>
      <c r="AJ327" s="253">
        <f t="shared" ref="AJ327:AJ358" si="222">($P$26^2-(2*0.35*$P$26*AK327))^0.5</f>
        <v>5.0000000000000001E-4</v>
      </c>
      <c r="AK327" s="253">
        <f>0</f>
        <v>0</v>
      </c>
      <c r="AL327" s="255">
        <f>AK327*100</f>
        <v>0</v>
      </c>
      <c r="AN327" s="258">
        <f>(((IF($S$5&lt;&gt;0,$S$5,IF($S$6&lt;&gt;0,$S$6,IF($S$7&lt;&gt;0,$S$7,0))))/(12*$S$19))+(((3*$S$15)/(2*(IF($S$5&lt;&gt;0,$S$5,IF($S$6&lt;&gt;0,$S$6,IF($S$7&lt;&gt;0,$S$7,0))))*$U$5*$S$19))*'IN-OUT'!$F$14))*'Burland damage classification'!AR327</f>
        <v>8.7694495052153213E-3</v>
      </c>
      <c r="AO327" s="353">
        <f>(1+(((IF($S$5&lt;&gt;0,$S$5^2,IF($S$6&lt;&gt;0,$S$6^2,IF($S$7&lt;&gt;0,$S$7^2))))*$U$5)/(18*$S$15))*('IN-OUT'!$F$14^(-1)))*AS327</f>
        <v>1.0068658983866383E-3</v>
      </c>
      <c r="AP327" s="254">
        <f t="shared" ref="AP327:AP390" si="223">MIN(AN327,AO327)</f>
        <v>1.0068658983866383E-3</v>
      </c>
      <c r="AQ327" s="254">
        <f>AP327*100</f>
        <v>0.10068658983866383</v>
      </c>
      <c r="AR327" s="254">
        <f>$P$27</f>
        <v>1E-3</v>
      </c>
      <c r="AS327" s="253">
        <f t="shared" ref="AS327:AS358" si="224">($P$27^2-(2*0.35*$P$27*AT327))^0.5</f>
        <v>1E-3</v>
      </c>
      <c r="AT327" s="253">
        <f>0</f>
        <v>0</v>
      </c>
      <c r="AU327" s="255">
        <f>AT327*100</f>
        <v>0</v>
      </c>
      <c r="AW327" s="258">
        <f>(((IF($S$5&lt;&gt;0,$S$5,IF($S$6&lt;&gt;0,$S$6,IF($S$7&lt;&gt;0,$S$7,0))))/(12*$S$19))+(((3*$S$15)/(2*(IF($S$5&lt;&gt;0,$S$5,IF($S$6&lt;&gt;0,$S$6,IF($S$7&lt;&gt;0,$S$7,0))))*$U$5*$S$19))*'IN-OUT'!$F$14))*'Burland damage classification'!BA327</f>
        <v>1.7538899010430643E-2</v>
      </c>
      <c r="AX327" s="353">
        <f>(1+(((IF($S$5&lt;&gt;0,$S$5^2,IF($S$6&lt;&gt;0,$S$6^2,IF($S$7&lt;&gt;0,$S$7^2))))*$U$5)/(18*$S$15))*('IN-OUT'!$F$14^(-1)))*BB327</f>
        <v>2.0137317967732766E-3</v>
      </c>
      <c r="AY327" s="254">
        <f t="shared" ref="AY327:AY390" si="225">MIN(AW327,AX327)</f>
        <v>2.0137317967732766E-3</v>
      </c>
      <c r="AZ327" s="254">
        <f>AY327*100</f>
        <v>0.20137317967732765</v>
      </c>
      <c r="BA327" s="254">
        <f>$P$28</f>
        <v>2E-3</v>
      </c>
      <c r="BB327" s="270">
        <f t="shared" ref="BB327:BB390" si="226">($P$28^2-(2*0.35*$P$28*BC327))^0.5</f>
        <v>2E-3</v>
      </c>
      <c r="BC327" s="253">
        <f>0</f>
        <v>0</v>
      </c>
      <c r="BD327" s="255">
        <f>BC327*100</f>
        <v>0</v>
      </c>
      <c r="BF327" s="351" t="e">
        <f>((((IF($T$5=0,$T$6,$T$5)))/(12*$T$19))+(((3*$T$15)/(2*IF($T$5=0,$T$6,$T$5)*$U$5*$T$19))*'IN-OUT'!$F$14))*'Burland damage classification'!BJ327</f>
        <v>#DIV/0!</v>
      </c>
      <c r="BG327" s="352">
        <f>(1+(((IF($T$5=0,$T$6^2,$T$5^2))*$U$5)/(18*$T$15))*('IN-OUT'!$F$14^(-1)))*BK327</f>
        <v>3.3333333333333332E-4</v>
      </c>
      <c r="BH327" s="262" t="e">
        <f t="shared" ref="BH327:BH377" si="227">MIN(BF327,BG327)</f>
        <v>#DIV/0!</v>
      </c>
      <c r="BI327" s="262" t="e">
        <f>BH327*100</f>
        <v>#DIV/0!</v>
      </c>
      <c r="BJ327" s="262">
        <f>$P$25</f>
        <v>3.3333333333333332E-4</v>
      </c>
      <c r="BK327" s="270">
        <f t="shared" ref="BK327:BK358" si="228">($P$25^2-(2*0.35*$P$25*BL327))^0.5</f>
        <v>3.3333333333333332E-4</v>
      </c>
      <c r="BL327" s="270">
        <f>0</f>
        <v>0</v>
      </c>
      <c r="BM327" s="271">
        <f>BL327*100</f>
        <v>0</v>
      </c>
      <c r="BO327" s="351" t="e">
        <f>((((IF($T$5=0,$T$6,$T$5)))/(12*$T$19))+(((3*$T$15)/(2*IF($T$5=0,$T$6,$T$5)*$U$5*$T$19))*'IN-OUT'!$F$14))*'Burland damage classification'!BS327</f>
        <v>#DIV/0!</v>
      </c>
      <c r="BP327" s="352">
        <f>(1+(((IF($T$5=0,$T$6^2,$T$5^2))*$U$5)/(18*$T$15))*('IN-OUT'!$F$14^(-1)))*BT327</f>
        <v>5.0000000000000001E-4</v>
      </c>
      <c r="BQ327" s="254" t="e">
        <f t="shared" ref="BQ327:BQ390" si="229">MIN(BO327,BP327)</f>
        <v>#DIV/0!</v>
      </c>
      <c r="BR327" s="254" t="e">
        <f>BQ327*100</f>
        <v>#DIV/0!</v>
      </c>
      <c r="BS327" s="254">
        <f>$P$26</f>
        <v>5.0000000000000001E-4</v>
      </c>
      <c r="BT327" s="253">
        <f t="shared" ref="BT327:BT358" si="230">($P$26^2-(2*0.35*$P$26*BU327))^0.5</f>
        <v>5.0000000000000001E-4</v>
      </c>
      <c r="BU327" s="253">
        <f>0</f>
        <v>0</v>
      </c>
      <c r="BV327" s="255">
        <f>BU327*100</f>
        <v>0</v>
      </c>
      <c r="BX327" s="351" t="e">
        <f>((((IF($T$5=0,$T$6,$T$5)))/(12*$T$19))+(((3*$T$15)/(2*IF($T$5=0,$T$6,$T$5)*$U$5*$T$19))*'IN-OUT'!$F$14))*'Burland damage classification'!CB327</f>
        <v>#DIV/0!</v>
      </c>
      <c r="BY327" s="352">
        <f>(1+(((IF($T$5=0,$T$6^2,$T$5^2))*$U$5)/(18*$T$15))*('IN-OUT'!$F$14^(-1)))*CC327</f>
        <v>1E-3</v>
      </c>
      <c r="BZ327" s="254" t="e">
        <f t="shared" ref="BZ327:BZ390" si="231">MIN(BX327,BY327)</f>
        <v>#DIV/0!</v>
      </c>
      <c r="CA327" s="254" t="e">
        <f>BZ327*100</f>
        <v>#DIV/0!</v>
      </c>
      <c r="CB327" s="254">
        <f>$P$27</f>
        <v>1E-3</v>
      </c>
      <c r="CC327" s="253">
        <f t="shared" ref="CC327:CC358" si="232">($P$27^2-(2*0.35*$P$27*CD327))^0.5</f>
        <v>1E-3</v>
      </c>
      <c r="CD327" s="253">
        <f>0</f>
        <v>0</v>
      </c>
      <c r="CE327" s="255">
        <f>CD327*100</f>
        <v>0</v>
      </c>
      <c r="CG327" s="351" t="e">
        <f>((((IF($T$5=0,$T$6,$T$5)))/(12*$T$19))+(((3*$T$15)/(2*IF($T$5=0,$T$6,$T$5)*$U$5*$T$19))*'IN-OUT'!$F$14))*'Burland damage classification'!CK327</f>
        <v>#DIV/0!</v>
      </c>
      <c r="CH327" s="352">
        <f>(1+(((IF($T$5=0,$T$6^2,$T$5^2))*$U$5)/(18*$T$15))*('IN-OUT'!$F$14^(-1)))*CL327</f>
        <v>2E-3</v>
      </c>
      <c r="CI327" s="254" t="e">
        <f t="shared" ref="CI327:CI390" si="233">MIN(CG327,CH327)</f>
        <v>#DIV/0!</v>
      </c>
      <c r="CJ327" s="254" t="e">
        <f>CI327*100</f>
        <v>#DIV/0!</v>
      </c>
      <c r="CK327" s="254">
        <f>$P$28</f>
        <v>2E-3</v>
      </c>
      <c r="CL327" s="270">
        <f t="shared" ref="CL327:CL390" si="234">($P$28^2-(2*0.35*$P$28*CM327))^0.5</f>
        <v>2E-3</v>
      </c>
      <c r="CM327" s="253">
        <f>0</f>
        <v>0</v>
      </c>
      <c r="CN327" s="255">
        <f>CM327*100</f>
        <v>0</v>
      </c>
    </row>
    <row r="328" spans="22:92">
      <c r="V328" s="258">
        <f>(((IF($S$5&lt;&gt;0,$S$5,IF($S$6&lt;&gt;0,$S$6,IF($S$7&lt;&gt;0,$S$7,0))))/(12*$S$19))+(((3*$S$15)/(2*(IF($S$5&lt;&gt;0,$S$5,IF($S$6&lt;&gt;0,$S$6,IF($S$7&lt;&gt;0,$S$7,0))))*$U$5*$S$19))*'IN-OUT'!$F$14))*'Burland damage classification'!Z328</f>
        <v>2.8646868383703384E-3</v>
      </c>
      <c r="W328" s="352">
        <f>(1+(((IF($S$5&lt;&gt;0,$S$5^2,IF($S$6&lt;&gt;0,$S$6^2,IF($S$7&lt;&gt;0,$S$7^2))))*$U$5)/(18*$S$15))*('IN-OUT'!$F$14^(-1)))*AA328</f>
        <v>3.332643315600091E-4</v>
      </c>
      <c r="X328" s="262">
        <f t="shared" si="219"/>
        <v>3.332643315600091E-4</v>
      </c>
      <c r="Y328" s="262">
        <f t="shared" ref="Y328:Y377" si="235">X328*100</f>
        <v>3.3326433156000909E-2</v>
      </c>
      <c r="Z328" s="262">
        <f>Z327-($P$25/50)</f>
        <v>3.2666666666666667E-4</v>
      </c>
      <c r="AA328" s="270">
        <f t="shared" si="220"/>
        <v>3.3099177566150425E-4</v>
      </c>
      <c r="AB328" s="270">
        <f>AB327+($P$25/50)</f>
        <v>6.6666666666666666E-6</v>
      </c>
      <c r="AC328" s="271">
        <f t="shared" ref="AC328:AC377" si="236">AB328*100</f>
        <v>6.6666666666666664E-4</v>
      </c>
      <c r="AE328" s="258">
        <f>(((IF($S$5&lt;&gt;0,$S$5,IF($S$6&lt;&gt;0,$S$6,IF($S$7&lt;&gt;0,$S$7,0))))/(12*$S$19))+(((3*$S$15)/(2*(IF($S$5&lt;&gt;0,$S$5,IF($S$6&lt;&gt;0,$S$6,IF($S$7&lt;&gt;0,$S$7,0))))*$U$5*$S$19))*'IN-OUT'!$F$14))*'Burland damage classification'!AI328</f>
        <v>4.3262617559062253E-3</v>
      </c>
      <c r="AF328" s="353">
        <f>(1+(((IF($S$5&lt;&gt;0,$S$5^2,IF($S$6&lt;&gt;0,$S$6^2,IF($S$7&lt;&gt;0,$S$7^2))))*$U$5)/(18*$S$15))*('IN-OUT'!$F$14^(-1)))*AJ328</f>
        <v>5.0107808787290878E-4</v>
      </c>
      <c r="AG328" s="254">
        <f t="shared" si="221"/>
        <v>5.0107808787290878E-4</v>
      </c>
      <c r="AH328" s="254">
        <f t="shared" ref="AH328:AH391" si="237">AG328*100</f>
        <v>5.0107808787290875E-2</v>
      </c>
      <c r="AI328" s="254">
        <f>AI327-($P$26/75)</f>
        <v>4.9333333333333336E-4</v>
      </c>
      <c r="AJ328" s="253">
        <f t="shared" si="222"/>
        <v>4.9766119666562979E-4</v>
      </c>
      <c r="AK328" s="253">
        <f>AK327+($P$26/75)</f>
        <v>6.6666666666666666E-6</v>
      </c>
      <c r="AL328" s="255">
        <f t="shared" ref="AL328:AL391" si="238">AK328*100</f>
        <v>6.6666666666666664E-4</v>
      </c>
      <c r="AN328" s="258">
        <f>(((IF($S$5&lt;&gt;0,$S$5,IF($S$6&lt;&gt;0,$S$6,IF($S$7&lt;&gt;0,$S$7,0))))/(12*$S$19))+(((3*$S$15)/(2*(IF($S$5&lt;&gt;0,$S$5,IF($S$6&lt;&gt;0,$S$6,IF($S$7&lt;&gt;0,$S$7,0))))*$U$5*$S$19))*'IN-OUT'!$F$14))*'Burland damage classification'!AR328</f>
        <v>8.7109865085138859E-3</v>
      </c>
      <c r="AO328" s="353">
        <f>(1+(((IF($S$5&lt;&gt;0,$S$5^2,IF($S$6&lt;&gt;0,$S$6^2,IF($S$7&lt;&gt;0,$S$7^2))))*$U$5)/(18*$S$15))*('IN-OUT'!$F$14^(-1)))*AS328</f>
        <v>1.0045137972968352E-3</v>
      </c>
      <c r="AP328" s="254">
        <f t="shared" si="223"/>
        <v>1.0045137972968352E-3</v>
      </c>
      <c r="AQ328" s="254">
        <f t="shared" ref="AQ328:AQ391" si="239">AP328*100</f>
        <v>0.10045137972968352</v>
      </c>
      <c r="AR328" s="254">
        <f>AR327-($P$27/150)</f>
        <v>9.9333333333333326E-4</v>
      </c>
      <c r="AS328" s="253">
        <f t="shared" si="224"/>
        <v>9.9766393807400561E-4</v>
      </c>
      <c r="AT328" s="253">
        <f>AT327+($P$27/150)</f>
        <v>6.6666666666666666E-6</v>
      </c>
      <c r="AU328" s="255">
        <f t="shared" ref="AU328:AU391" si="240">AT328*100</f>
        <v>6.6666666666666664E-4</v>
      </c>
      <c r="AW328" s="258">
        <f>(((IF($S$5&lt;&gt;0,$S$5,IF($S$6&lt;&gt;0,$S$6,IF($S$7&lt;&gt;0,$S$7,0))))/(12*$S$19))+(((3*$S$15)/(2*(IF($S$5&lt;&gt;0,$S$5,IF($S$6&lt;&gt;0,$S$6,IF($S$7&lt;&gt;0,$S$7,0))))*$U$5*$S$19))*'IN-OUT'!$F$14))*'Burland damage classification'!BA328</f>
        <v>1.7480436013729211E-2</v>
      </c>
      <c r="AX328" s="353">
        <f>(1+(((IF($S$5&lt;&gt;0,$S$5^2,IF($S$6&lt;&gt;0,$S$6^2,IF($S$7&lt;&gt;0,$S$7^2))))*$U$5)/(18*$S$15))*('IN-OUT'!$F$14^(-1)))*BB328</f>
        <v>2.0113810709528118E-3</v>
      </c>
      <c r="AY328" s="254">
        <f t="shared" si="225"/>
        <v>2.0113810709528118E-3</v>
      </c>
      <c r="AZ328" s="254">
        <f t="shared" ref="AZ328:AZ391" si="241">AY328*100</f>
        <v>0.20113810709528118</v>
      </c>
      <c r="BA328" s="254">
        <f>BA327-($P$28/300)</f>
        <v>1.9933333333333335E-3</v>
      </c>
      <c r="BB328" s="270">
        <f t="shared" si="226"/>
        <v>1.9976653039652731E-3</v>
      </c>
      <c r="BC328" s="253">
        <f>BC327+($P$28/300)</f>
        <v>6.6666666666666666E-6</v>
      </c>
      <c r="BD328" s="255">
        <f t="shared" ref="BD328:BD391" si="242">BC328*100</f>
        <v>6.6666666666666664E-4</v>
      </c>
      <c r="BF328" s="351" t="e">
        <f>((((IF($T$5=0,$T$6,$T$5)))/(12*$T$19))+(((3*$T$15)/(2*IF($T$5=0,$T$6,$T$5)*$U$5*$T$19))*'IN-OUT'!$F$14))*'Burland damage classification'!BJ328</f>
        <v>#DIV/0!</v>
      </c>
      <c r="BG328" s="352">
        <f>(1+(((IF($T$5=0,$T$6^2,$T$5^2))*$U$5)/(18*$T$15))*('IN-OUT'!$F$14^(-1)))*BK328</f>
        <v>3.3099177566150425E-4</v>
      </c>
      <c r="BH328" s="262" t="e">
        <f t="shared" si="227"/>
        <v>#DIV/0!</v>
      </c>
      <c r="BI328" s="262" t="e">
        <f t="shared" ref="BI328:BI377" si="243">BH328*100</f>
        <v>#DIV/0!</v>
      </c>
      <c r="BJ328" s="262">
        <f>BJ327-($P$25/50)</f>
        <v>3.2666666666666667E-4</v>
      </c>
      <c r="BK328" s="270">
        <f t="shared" si="228"/>
        <v>3.3099177566150425E-4</v>
      </c>
      <c r="BL328" s="270">
        <f>BL327+($P$25/50)</f>
        <v>6.6666666666666666E-6</v>
      </c>
      <c r="BM328" s="271">
        <f t="shared" ref="BM328:BM377" si="244">BL328*100</f>
        <v>6.6666666666666664E-4</v>
      </c>
      <c r="BO328" s="351" t="e">
        <f>((((IF($T$5=0,$T$6,$T$5)))/(12*$T$19))+(((3*$T$15)/(2*IF($T$5=0,$T$6,$T$5)*$U$5*$T$19))*'IN-OUT'!$F$14))*'Burland damage classification'!BS328</f>
        <v>#DIV/0!</v>
      </c>
      <c r="BP328" s="352">
        <f>(1+(((IF($T$5=0,$T$6^2,$T$5^2))*$U$5)/(18*$T$15))*('IN-OUT'!$F$14^(-1)))*BT328</f>
        <v>4.9766119666562979E-4</v>
      </c>
      <c r="BQ328" s="254" t="e">
        <f t="shared" si="229"/>
        <v>#DIV/0!</v>
      </c>
      <c r="BR328" s="254" t="e">
        <f t="shared" ref="BR328:BR391" si="245">BQ328*100</f>
        <v>#DIV/0!</v>
      </c>
      <c r="BS328" s="254">
        <f>BS327-($P$26/75)</f>
        <v>4.9333333333333336E-4</v>
      </c>
      <c r="BT328" s="253">
        <f t="shared" si="230"/>
        <v>4.9766119666562979E-4</v>
      </c>
      <c r="BU328" s="253">
        <f>BU327+($P$26/75)</f>
        <v>6.6666666666666666E-6</v>
      </c>
      <c r="BV328" s="255">
        <f t="shared" ref="BV328:BV391" si="246">BU328*100</f>
        <v>6.6666666666666664E-4</v>
      </c>
      <c r="BX328" s="351" t="e">
        <f>((((IF($T$5=0,$T$6,$T$5)))/(12*$T$19))+(((3*$T$15)/(2*IF($T$5=0,$T$6,$T$5)*$U$5*$T$19))*'IN-OUT'!$F$14))*'Burland damage classification'!CB328</f>
        <v>#DIV/0!</v>
      </c>
      <c r="BY328" s="352">
        <f>(1+(((IF($T$5=0,$T$6^2,$T$5^2))*$U$5)/(18*$T$15))*('IN-OUT'!$F$14^(-1)))*CC328</f>
        <v>9.9766393807400561E-4</v>
      </c>
      <c r="BZ328" s="254" t="e">
        <f t="shared" si="231"/>
        <v>#DIV/0!</v>
      </c>
      <c r="CA328" s="254" t="e">
        <f t="shared" ref="CA328:CA391" si="247">BZ328*100</f>
        <v>#DIV/0!</v>
      </c>
      <c r="CB328" s="254">
        <f>CB327-($P$27/150)</f>
        <v>9.9333333333333326E-4</v>
      </c>
      <c r="CC328" s="253">
        <f t="shared" si="232"/>
        <v>9.9766393807400561E-4</v>
      </c>
      <c r="CD328" s="253">
        <f>CD327+($P$27/150)</f>
        <v>6.6666666666666666E-6</v>
      </c>
      <c r="CE328" s="255">
        <f t="shared" ref="CE328:CE391" si="248">CD328*100</f>
        <v>6.6666666666666664E-4</v>
      </c>
      <c r="CG328" s="351" t="e">
        <f>((((IF($T$5=0,$T$6,$T$5)))/(12*$T$19))+(((3*$T$15)/(2*IF($T$5=0,$T$6,$T$5)*$U$5*$T$19))*'IN-OUT'!$F$14))*'Burland damage classification'!CK328</f>
        <v>#DIV/0!</v>
      </c>
      <c r="CH328" s="352">
        <f>(1+(((IF($T$5=0,$T$6^2,$T$5^2))*$U$5)/(18*$T$15))*('IN-OUT'!$F$14^(-1)))*CL328</f>
        <v>1.9976653039652731E-3</v>
      </c>
      <c r="CI328" s="254" t="e">
        <f t="shared" si="233"/>
        <v>#DIV/0!</v>
      </c>
      <c r="CJ328" s="254" t="e">
        <f t="shared" ref="CJ328:CJ391" si="249">CI328*100</f>
        <v>#DIV/0!</v>
      </c>
      <c r="CK328" s="254">
        <f>CK327-($P$28/300)</f>
        <v>1.9933333333333335E-3</v>
      </c>
      <c r="CL328" s="270">
        <f t="shared" si="234"/>
        <v>1.9976653039652731E-3</v>
      </c>
      <c r="CM328" s="253">
        <f>CM327+($P$28/300)</f>
        <v>6.6666666666666666E-6</v>
      </c>
      <c r="CN328" s="255">
        <f t="shared" ref="CN328:CN391" si="250">CM328*100</f>
        <v>6.6666666666666664E-4</v>
      </c>
    </row>
    <row r="329" spans="22:92">
      <c r="V329" s="258">
        <f>(((IF($S$5&lt;&gt;0,$S$5,IF($S$6&lt;&gt;0,$S$6,IF($S$7&lt;&gt;0,$S$7,0))))/(12*$S$19))+(((3*$S$15)/(2*(IF($S$5&lt;&gt;0,$S$5,IF($S$6&lt;&gt;0,$S$6,IF($S$7&lt;&gt;0,$S$7,0))))*$U$5*$S$19))*'IN-OUT'!$F$14))*'Burland damage classification'!Z329</f>
        <v>2.806223841668903E-3</v>
      </c>
      <c r="W329" s="352">
        <f>(1+(((IF($S$5&lt;&gt;0,$S$5^2,IF($S$6&lt;&gt;0,$S$6^2,IF($S$7&lt;&gt;0,$S$7^2))))*$U$5)/(18*$S$15))*('IN-OUT'!$F$14^(-1)))*AA329</f>
        <v>3.3088989895743975E-4</v>
      </c>
      <c r="X329" s="262">
        <f t="shared" si="219"/>
        <v>3.3088989895743975E-4</v>
      </c>
      <c r="Y329" s="262">
        <f t="shared" si="235"/>
        <v>3.3088989895743978E-2</v>
      </c>
      <c r="Z329" s="262">
        <f t="shared" ref="Z329:Z377" si="251">Z328-($P$25/50)</f>
        <v>3.2000000000000003E-4</v>
      </c>
      <c r="AA329" s="270">
        <f t="shared" si="220"/>
        <v>3.2863353450309965E-4</v>
      </c>
      <c r="AB329" s="270">
        <f t="shared" ref="AB329:AB377" si="252">AB328+($P$25/50)</f>
        <v>1.3333333333333333E-5</v>
      </c>
      <c r="AC329" s="271">
        <f t="shared" si="236"/>
        <v>1.3333333333333333E-3</v>
      </c>
      <c r="AE329" s="258">
        <f>(((IF($S$5&lt;&gt;0,$S$5,IF($S$6&lt;&gt;0,$S$6,IF($S$7&lt;&gt;0,$S$7,0))))/(12*$S$19))+(((3*$S$15)/(2*(IF($S$5&lt;&gt;0,$S$5,IF($S$6&lt;&gt;0,$S$6,IF($S$7&lt;&gt;0,$S$7,0))))*$U$5*$S$19))*'IN-OUT'!$F$14))*'Burland damage classification'!AI329</f>
        <v>4.2677987592047908E-3</v>
      </c>
      <c r="AF329" s="353">
        <f>(1+(((IF($S$5&lt;&gt;0,$S$5^2,IF($S$6&lt;&gt;0,$S$6^2,IF($S$7&lt;&gt;0,$S$7^2))))*$U$5)/(18*$S$15))*('IN-OUT'!$F$14^(-1)))*AJ329</f>
        <v>4.987121072916298E-4</v>
      </c>
      <c r="AG329" s="254">
        <f t="shared" si="221"/>
        <v>4.987121072916298E-4</v>
      </c>
      <c r="AH329" s="254">
        <f t="shared" si="237"/>
        <v>4.9871210729162979E-2</v>
      </c>
      <c r="AI329" s="254">
        <f t="shared" ref="AI329:AI392" si="253">AI328-($P$26/75)</f>
        <v>4.8666666666666671E-4</v>
      </c>
      <c r="AJ329" s="253">
        <f t="shared" si="222"/>
        <v>4.9531134989351229E-4</v>
      </c>
      <c r="AK329" s="253">
        <f t="shared" ref="AK329:AK392" si="254">AK328+($P$26/75)</f>
        <v>1.3333333333333333E-5</v>
      </c>
      <c r="AL329" s="255">
        <f t="shared" si="238"/>
        <v>1.3333333333333333E-3</v>
      </c>
      <c r="AN329" s="258">
        <f>(((IF($S$5&lt;&gt;0,$S$5,IF($S$6&lt;&gt;0,$S$6,IF($S$7&lt;&gt;0,$S$7,0))))/(12*$S$19))+(((3*$S$15)/(2*(IF($S$5&lt;&gt;0,$S$5,IF($S$6&lt;&gt;0,$S$6,IF($S$7&lt;&gt;0,$S$7,0))))*$U$5*$S$19))*'IN-OUT'!$F$14))*'Burland damage classification'!AR329</f>
        <v>8.6525235118124488E-3</v>
      </c>
      <c r="AO329" s="353">
        <f>(1+(((IF($S$5&lt;&gt;0,$S$5^2,IF($S$6&lt;&gt;0,$S$6^2,IF($S$7&lt;&gt;0,$S$7^2))))*$U$5)/(18*$S$15))*('IN-OUT'!$F$14^(-1)))*AS329</f>
        <v>1.0021561757458176E-3</v>
      </c>
      <c r="AP329" s="254">
        <f t="shared" si="223"/>
        <v>1.0021561757458176E-3</v>
      </c>
      <c r="AQ329" s="254">
        <f t="shared" si="239"/>
        <v>0.10021561757458175</v>
      </c>
      <c r="AR329" s="254">
        <f t="shared" ref="AR329:AR392" si="255">AR328-($P$27/150)</f>
        <v>9.8666666666666651E-4</v>
      </c>
      <c r="AS329" s="253">
        <f t="shared" si="224"/>
        <v>9.9532239333125958E-4</v>
      </c>
      <c r="AT329" s="253">
        <f t="shared" ref="AT329:AT392" si="256">AT328+($P$27/150)</f>
        <v>1.3333333333333333E-5</v>
      </c>
      <c r="AU329" s="255">
        <f t="shared" si="240"/>
        <v>1.3333333333333333E-3</v>
      </c>
      <c r="AW329" s="258">
        <f>(((IF($S$5&lt;&gt;0,$S$5,IF($S$6&lt;&gt;0,$S$6,IF($S$7&lt;&gt;0,$S$7,0))))/(12*$S$19))+(((3*$S$15)/(2*(IF($S$5&lt;&gt;0,$S$5,IF($S$6&lt;&gt;0,$S$6,IF($S$7&lt;&gt;0,$S$7,0))))*$U$5*$S$19))*'IN-OUT'!$F$14))*'Burland damage classification'!BA329</f>
        <v>1.7421973017027775E-2</v>
      </c>
      <c r="AX329" s="353">
        <f>(1+(((IF($S$5&lt;&gt;0,$S$5^2,IF($S$6&lt;&gt;0,$S$6^2,IF($S$7&lt;&gt;0,$S$7^2))))*$U$5)/(18*$S$15))*('IN-OUT'!$F$14^(-1)))*BB329</f>
        <v>2.0090275945936703E-3</v>
      </c>
      <c r="AY329" s="254">
        <f t="shared" si="225"/>
        <v>2.0090275945936703E-3</v>
      </c>
      <c r="AZ329" s="254">
        <f t="shared" si="241"/>
        <v>0.20090275945936703</v>
      </c>
      <c r="BA329" s="254">
        <f t="shared" ref="BA329:BA392" si="257">BA328-($P$28/300)</f>
        <v>1.986666666666667E-3</v>
      </c>
      <c r="BB329" s="270">
        <f t="shared" si="226"/>
        <v>1.9953278761480112E-3</v>
      </c>
      <c r="BC329" s="253">
        <f t="shared" ref="BC329:BC392" si="258">BC328+($P$28/300)</f>
        <v>1.3333333333333333E-5</v>
      </c>
      <c r="BD329" s="255">
        <f t="shared" si="242"/>
        <v>1.3333333333333333E-3</v>
      </c>
      <c r="BF329" s="351" t="e">
        <f>((((IF($T$5=0,$T$6,$T$5)))/(12*$T$19))+(((3*$T$15)/(2*IF($T$5=0,$T$6,$T$5)*$U$5*$T$19))*'IN-OUT'!$F$14))*'Burland damage classification'!BJ329</f>
        <v>#DIV/0!</v>
      </c>
      <c r="BG329" s="352">
        <f>(1+(((IF($T$5=0,$T$6^2,$T$5^2))*$U$5)/(18*$T$15))*('IN-OUT'!$F$14^(-1)))*BK329</f>
        <v>3.2863353450309965E-4</v>
      </c>
      <c r="BH329" s="262" t="e">
        <f t="shared" si="227"/>
        <v>#DIV/0!</v>
      </c>
      <c r="BI329" s="262" t="e">
        <f t="shared" si="243"/>
        <v>#DIV/0!</v>
      </c>
      <c r="BJ329" s="262">
        <f t="shared" ref="BJ329:BJ377" si="259">BJ328-($P$25/50)</f>
        <v>3.2000000000000003E-4</v>
      </c>
      <c r="BK329" s="270">
        <f t="shared" si="228"/>
        <v>3.2863353450309965E-4</v>
      </c>
      <c r="BL329" s="270">
        <f t="shared" ref="BL329:BL377" si="260">BL328+($P$25/50)</f>
        <v>1.3333333333333333E-5</v>
      </c>
      <c r="BM329" s="271">
        <f t="shared" si="244"/>
        <v>1.3333333333333333E-3</v>
      </c>
      <c r="BO329" s="351" t="e">
        <f>((((IF($T$5=0,$T$6,$T$5)))/(12*$T$19))+(((3*$T$15)/(2*IF($T$5=0,$T$6,$T$5)*$U$5*$T$19))*'IN-OUT'!$F$14))*'Burland damage classification'!BS329</f>
        <v>#DIV/0!</v>
      </c>
      <c r="BP329" s="352">
        <f>(1+(((IF($T$5=0,$T$6^2,$T$5^2))*$U$5)/(18*$T$15))*('IN-OUT'!$F$14^(-1)))*BT329</f>
        <v>4.9531134989351229E-4</v>
      </c>
      <c r="BQ329" s="254" t="e">
        <f t="shared" si="229"/>
        <v>#DIV/0!</v>
      </c>
      <c r="BR329" s="254" t="e">
        <f t="shared" si="245"/>
        <v>#DIV/0!</v>
      </c>
      <c r="BS329" s="254">
        <f t="shared" ref="BS329:BS392" si="261">BS328-($P$26/75)</f>
        <v>4.8666666666666671E-4</v>
      </c>
      <c r="BT329" s="253">
        <f t="shared" si="230"/>
        <v>4.9531134989351229E-4</v>
      </c>
      <c r="BU329" s="253">
        <f t="shared" ref="BU329:BU392" si="262">BU328+($P$26/75)</f>
        <v>1.3333333333333333E-5</v>
      </c>
      <c r="BV329" s="255">
        <f t="shared" si="246"/>
        <v>1.3333333333333333E-3</v>
      </c>
      <c r="BX329" s="351" t="e">
        <f>((((IF($T$5=0,$T$6,$T$5)))/(12*$T$19))+(((3*$T$15)/(2*IF($T$5=0,$T$6,$T$5)*$U$5*$T$19))*'IN-OUT'!$F$14))*'Burland damage classification'!CB329</f>
        <v>#DIV/0!</v>
      </c>
      <c r="BY329" s="352">
        <f>(1+(((IF($T$5=0,$T$6^2,$T$5^2))*$U$5)/(18*$T$15))*('IN-OUT'!$F$14^(-1)))*CC329</f>
        <v>9.9532239333125958E-4</v>
      </c>
      <c r="BZ329" s="254" t="e">
        <f t="shared" si="231"/>
        <v>#DIV/0!</v>
      </c>
      <c r="CA329" s="254" t="e">
        <f t="shared" si="247"/>
        <v>#DIV/0!</v>
      </c>
      <c r="CB329" s="254">
        <f t="shared" ref="CB329:CB392" si="263">CB328-($P$27/150)</f>
        <v>9.8666666666666651E-4</v>
      </c>
      <c r="CC329" s="253">
        <f t="shared" si="232"/>
        <v>9.9532239333125958E-4</v>
      </c>
      <c r="CD329" s="253">
        <f t="shared" ref="CD329:CD392" si="264">CD328+($P$27/150)</f>
        <v>1.3333333333333333E-5</v>
      </c>
      <c r="CE329" s="255">
        <f t="shared" si="248"/>
        <v>1.3333333333333333E-3</v>
      </c>
      <c r="CG329" s="351" t="e">
        <f>((((IF($T$5=0,$T$6,$T$5)))/(12*$T$19))+(((3*$T$15)/(2*IF($T$5=0,$T$6,$T$5)*$U$5*$T$19))*'IN-OUT'!$F$14))*'Burland damage classification'!CK329</f>
        <v>#DIV/0!</v>
      </c>
      <c r="CH329" s="352">
        <f>(1+(((IF($T$5=0,$T$6^2,$T$5^2))*$U$5)/(18*$T$15))*('IN-OUT'!$F$14^(-1)))*CL329</f>
        <v>1.9953278761480112E-3</v>
      </c>
      <c r="CI329" s="254" t="e">
        <f t="shared" si="233"/>
        <v>#DIV/0!</v>
      </c>
      <c r="CJ329" s="254" t="e">
        <f t="shared" si="249"/>
        <v>#DIV/0!</v>
      </c>
      <c r="CK329" s="254">
        <f t="shared" ref="CK329:CK392" si="265">CK328-($P$28/300)</f>
        <v>1.986666666666667E-3</v>
      </c>
      <c r="CL329" s="270">
        <f t="shared" si="234"/>
        <v>1.9953278761480112E-3</v>
      </c>
      <c r="CM329" s="253">
        <f t="shared" ref="CM329:CM392" si="266">CM328+($P$28/300)</f>
        <v>1.3333333333333333E-5</v>
      </c>
      <c r="CN329" s="255">
        <f t="shared" si="250"/>
        <v>1.3333333333333333E-3</v>
      </c>
    </row>
    <row r="330" spans="22:92">
      <c r="V330" s="258">
        <f>(((IF($S$5&lt;&gt;0,$S$5,IF($S$6&lt;&gt;0,$S$6,IF($S$7&lt;&gt;0,$S$7,0))))/(12*$S$19))+(((3*$S$15)/(2*(IF($S$5&lt;&gt;0,$S$5,IF($S$6&lt;&gt;0,$S$6,IF($S$7&lt;&gt;0,$S$7,0))))*$U$5*$S$19))*'IN-OUT'!$F$14))*'Burland damage classification'!Z330</f>
        <v>2.7477608449674681E-3</v>
      </c>
      <c r="W330" s="352">
        <f>(1+(((IF($S$5&lt;&gt;0,$S$5^2,IF($S$6&lt;&gt;0,$S$6^2,IF($S$7&lt;&gt;0,$S$7^2))))*$U$5)/(18*$S$15))*('IN-OUT'!$F$14^(-1)))*AA330</f>
        <v>3.2849830406562173E-4</v>
      </c>
      <c r="X330" s="262">
        <f t="shared" si="219"/>
        <v>3.2849830406562173E-4</v>
      </c>
      <c r="Y330" s="262">
        <f t="shared" si="235"/>
        <v>3.2849830406562176E-2</v>
      </c>
      <c r="Z330" s="262">
        <f t="shared" si="251"/>
        <v>3.1333333333333338E-4</v>
      </c>
      <c r="AA330" s="270">
        <f t="shared" si="220"/>
        <v>3.2625824808645747E-4</v>
      </c>
      <c r="AB330" s="270">
        <f t="shared" si="252"/>
        <v>1.9999999999999998E-5</v>
      </c>
      <c r="AC330" s="271">
        <f t="shared" si="236"/>
        <v>2E-3</v>
      </c>
      <c r="AE330" s="258">
        <f>(((IF($S$5&lt;&gt;0,$S$5,IF($S$6&lt;&gt;0,$S$6,IF($S$7&lt;&gt;0,$S$7,0))))/(12*$S$19))+(((3*$S$15)/(2*(IF($S$5&lt;&gt;0,$S$5,IF($S$6&lt;&gt;0,$S$6,IF($S$7&lt;&gt;0,$S$7,0))))*$U$5*$S$19))*'IN-OUT'!$F$14))*'Burland damage classification'!AI330</f>
        <v>4.2093357625033554E-3</v>
      </c>
      <c r="AF330" s="353">
        <f>(1+(((IF($S$5&lt;&gt;0,$S$5^2,IF($S$6&lt;&gt;0,$S$6^2,IF($S$7&lt;&gt;0,$S$7^2))))*$U$5)/(18*$S$15))*('IN-OUT'!$F$14^(-1)))*AJ330</f>
        <v>4.9633484843615962E-4</v>
      </c>
      <c r="AG330" s="254">
        <f t="shared" si="221"/>
        <v>4.9633484843615962E-4</v>
      </c>
      <c r="AH330" s="254">
        <f t="shared" si="237"/>
        <v>4.963348484361596E-2</v>
      </c>
      <c r="AI330" s="254">
        <f t="shared" si="253"/>
        <v>4.8000000000000007E-4</v>
      </c>
      <c r="AJ330" s="253">
        <f t="shared" si="222"/>
        <v>4.9295030175464951E-4</v>
      </c>
      <c r="AK330" s="253">
        <f t="shared" si="254"/>
        <v>1.9999999999999998E-5</v>
      </c>
      <c r="AL330" s="255">
        <f t="shared" si="238"/>
        <v>2E-3</v>
      </c>
      <c r="AN330" s="258">
        <f>(((IF($S$5&lt;&gt;0,$S$5,IF($S$6&lt;&gt;0,$S$6,IF($S$7&lt;&gt;0,$S$7,0))))/(12*$S$19))+(((3*$S$15)/(2*(IF($S$5&lt;&gt;0,$S$5,IF($S$6&lt;&gt;0,$S$6,IF($S$7&lt;&gt;0,$S$7,0))))*$U$5*$S$19))*'IN-OUT'!$F$14))*'Burland damage classification'!AR330</f>
        <v>8.5940605151110135E-3</v>
      </c>
      <c r="AO330" s="353">
        <f>(1+(((IF($S$5&lt;&gt;0,$S$5^2,IF($S$6&lt;&gt;0,$S$6^2,IF($S$7&lt;&gt;0,$S$7^2))))*$U$5)/(18*$S$15))*('IN-OUT'!$F$14^(-1)))*AS330</f>
        <v>9.9979299468002736E-4</v>
      </c>
      <c r="AP330" s="254">
        <f t="shared" si="223"/>
        <v>9.9979299468002736E-4</v>
      </c>
      <c r="AQ330" s="254">
        <f t="shared" si="239"/>
        <v>9.9979299468002741E-2</v>
      </c>
      <c r="AR330" s="254">
        <f t="shared" si="255"/>
        <v>9.7999999999999975E-4</v>
      </c>
      <c r="AS330" s="253">
        <f t="shared" si="224"/>
        <v>9.9297532698451271E-4</v>
      </c>
      <c r="AT330" s="253">
        <f t="shared" si="256"/>
        <v>1.9999999999999998E-5</v>
      </c>
      <c r="AU330" s="255">
        <f t="shared" si="240"/>
        <v>2E-3</v>
      </c>
      <c r="AW330" s="258">
        <f>(((IF($S$5&lt;&gt;0,$S$5,IF($S$6&lt;&gt;0,$S$6,IF($S$7&lt;&gt;0,$S$7,0))))/(12*$S$19))+(((3*$S$15)/(2*(IF($S$5&lt;&gt;0,$S$5,IF($S$6&lt;&gt;0,$S$6,IF($S$7&lt;&gt;0,$S$7,0))))*$U$5*$S$19))*'IN-OUT'!$F$14))*'Burland damage classification'!BA330</f>
        <v>1.736351002032634E-2</v>
      </c>
      <c r="AX330" s="353">
        <f>(1+(((IF($S$5&lt;&gt;0,$S$5^2,IF($S$6&lt;&gt;0,$S$6^2,IF($S$7&lt;&gt;0,$S$7^2))))*$U$5)/(18*$S$15))*('IN-OUT'!$F$14^(-1)))*BB330</f>
        <v>2.0066713580181431E-3</v>
      </c>
      <c r="AY330" s="254">
        <f t="shared" si="225"/>
        <v>2.0066713580181431E-3</v>
      </c>
      <c r="AZ330" s="254">
        <f t="shared" si="241"/>
        <v>0.20066713580181431</v>
      </c>
      <c r="BA330" s="254">
        <f t="shared" si="257"/>
        <v>1.9800000000000004E-3</v>
      </c>
      <c r="BB330" s="270">
        <f t="shared" si="226"/>
        <v>1.9929877069364979E-3</v>
      </c>
      <c r="BC330" s="253">
        <f t="shared" si="258"/>
        <v>1.9999999999999998E-5</v>
      </c>
      <c r="BD330" s="255">
        <f t="shared" si="242"/>
        <v>2E-3</v>
      </c>
      <c r="BF330" s="351" t="e">
        <f>((((IF($T$5=0,$T$6,$T$5)))/(12*$T$19))+(((3*$T$15)/(2*IF($T$5=0,$T$6,$T$5)*$U$5*$T$19))*'IN-OUT'!$F$14))*'Burland damage classification'!BJ330</f>
        <v>#DIV/0!</v>
      </c>
      <c r="BG330" s="352">
        <f>(1+(((IF($T$5=0,$T$6^2,$T$5^2))*$U$5)/(18*$T$15))*('IN-OUT'!$F$14^(-1)))*BK330</f>
        <v>3.2625824808645747E-4</v>
      </c>
      <c r="BH330" s="262" t="e">
        <f t="shared" si="227"/>
        <v>#DIV/0!</v>
      </c>
      <c r="BI330" s="262" t="e">
        <f t="shared" si="243"/>
        <v>#DIV/0!</v>
      </c>
      <c r="BJ330" s="262">
        <f t="shared" si="259"/>
        <v>3.1333333333333338E-4</v>
      </c>
      <c r="BK330" s="270">
        <f t="shared" si="228"/>
        <v>3.2625824808645747E-4</v>
      </c>
      <c r="BL330" s="270">
        <f t="shared" si="260"/>
        <v>1.9999999999999998E-5</v>
      </c>
      <c r="BM330" s="271">
        <f t="shared" si="244"/>
        <v>2E-3</v>
      </c>
      <c r="BO330" s="351" t="e">
        <f>((((IF($T$5=0,$T$6,$T$5)))/(12*$T$19))+(((3*$T$15)/(2*IF($T$5=0,$T$6,$T$5)*$U$5*$T$19))*'IN-OUT'!$F$14))*'Burland damage classification'!BS330</f>
        <v>#DIV/0!</v>
      </c>
      <c r="BP330" s="352">
        <f>(1+(((IF($T$5=0,$T$6^2,$T$5^2))*$U$5)/(18*$T$15))*('IN-OUT'!$F$14^(-1)))*BT330</f>
        <v>4.9295030175464951E-4</v>
      </c>
      <c r="BQ330" s="254" t="e">
        <f t="shared" si="229"/>
        <v>#DIV/0!</v>
      </c>
      <c r="BR330" s="254" t="e">
        <f t="shared" si="245"/>
        <v>#DIV/0!</v>
      </c>
      <c r="BS330" s="254">
        <f t="shared" si="261"/>
        <v>4.8000000000000007E-4</v>
      </c>
      <c r="BT330" s="253">
        <f t="shared" si="230"/>
        <v>4.9295030175464951E-4</v>
      </c>
      <c r="BU330" s="253">
        <f t="shared" si="262"/>
        <v>1.9999999999999998E-5</v>
      </c>
      <c r="BV330" s="255">
        <f t="shared" si="246"/>
        <v>2E-3</v>
      </c>
      <c r="BX330" s="351" t="e">
        <f>((((IF($T$5=0,$T$6,$T$5)))/(12*$T$19))+(((3*$T$15)/(2*IF($T$5=0,$T$6,$T$5)*$U$5*$T$19))*'IN-OUT'!$F$14))*'Burland damage classification'!CB330</f>
        <v>#DIV/0!</v>
      </c>
      <c r="BY330" s="352">
        <f>(1+(((IF($T$5=0,$T$6^2,$T$5^2))*$U$5)/(18*$T$15))*('IN-OUT'!$F$14^(-1)))*CC330</f>
        <v>9.9297532698451271E-4</v>
      </c>
      <c r="BZ330" s="254" t="e">
        <f t="shared" si="231"/>
        <v>#DIV/0!</v>
      </c>
      <c r="CA330" s="254" t="e">
        <f t="shared" si="247"/>
        <v>#DIV/0!</v>
      </c>
      <c r="CB330" s="254">
        <f t="shared" si="263"/>
        <v>9.7999999999999975E-4</v>
      </c>
      <c r="CC330" s="253">
        <f t="shared" si="232"/>
        <v>9.9297532698451271E-4</v>
      </c>
      <c r="CD330" s="253">
        <f t="shared" si="264"/>
        <v>1.9999999999999998E-5</v>
      </c>
      <c r="CE330" s="255">
        <f t="shared" si="248"/>
        <v>2E-3</v>
      </c>
      <c r="CG330" s="351" t="e">
        <f>((((IF($T$5=0,$T$6,$T$5)))/(12*$T$19))+(((3*$T$15)/(2*IF($T$5=0,$T$6,$T$5)*$U$5*$T$19))*'IN-OUT'!$F$14))*'Burland damage classification'!CK330</f>
        <v>#DIV/0!</v>
      </c>
      <c r="CH330" s="352">
        <f>(1+(((IF($T$5=0,$T$6^2,$T$5^2))*$U$5)/(18*$T$15))*('IN-OUT'!$F$14^(-1)))*CL330</f>
        <v>1.9929877069364979E-3</v>
      </c>
      <c r="CI330" s="254" t="e">
        <f t="shared" si="233"/>
        <v>#DIV/0!</v>
      </c>
      <c r="CJ330" s="254" t="e">
        <f t="shared" si="249"/>
        <v>#DIV/0!</v>
      </c>
      <c r="CK330" s="254">
        <f t="shared" si="265"/>
        <v>1.9800000000000004E-3</v>
      </c>
      <c r="CL330" s="270">
        <f t="shared" si="234"/>
        <v>1.9929877069364979E-3</v>
      </c>
      <c r="CM330" s="253">
        <f t="shared" si="266"/>
        <v>1.9999999999999998E-5</v>
      </c>
      <c r="CN330" s="255">
        <f t="shared" si="250"/>
        <v>2E-3</v>
      </c>
    </row>
    <row r="331" spans="22:92">
      <c r="V331" s="258">
        <f>(((IF($S$5&lt;&gt;0,$S$5,IF($S$6&lt;&gt;0,$S$6,IF($S$7&lt;&gt;0,$S$7,0))))/(12*$S$19))+(((3*$S$15)/(2*(IF($S$5&lt;&gt;0,$S$5,IF($S$6&lt;&gt;0,$S$6,IF($S$7&lt;&gt;0,$S$7,0))))*$U$5*$S$19))*'IN-OUT'!$F$14))*'Burland damage classification'!Z331</f>
        <v>2.6892978482660327E-3</v>
      </c>
      <c r="W331" s="352">
        <f>(1+(((IF($S$5&lt;&gt;0,$S$5^2,IF($S$6&lt;&gt;0,$S$6^2,IF($S$7&lt;&gt;0,$S$7^2))))*$U$5)/(18*$S$15))*('IN-OUT'!$F$14^(-1)))*AA331</f>
        <v>3.2608916927109779E-4</v>
      </c>
      <c r="X331" s="262">
        <f t="shared" si="219"/>
        <v>3.2608916927109779E-4</v>
      </c>
      <c r="Y331" s="262">
        <f t="shared" si="235"/>
        <v>3.260891692710978E-2</v>
      </c>
      <c r="Z331" s="262">
        <f t="shared" si="251"/>
        <v>3.0666666666666673E-4</v>
      </c>
      <c r="AA331" s="270">
        <f t="shared" si="220"/>
        <v>3.2386554137309653E-4</v>
      </c>
      <c r="AB331" s="270">
        <f t="shared" si="252"/>
        <v>2.6666666666666667E-5</v>
      </c>
      <c r="AC331" s="271">
        <f t="shared" si="236"/>
        <v>2.6666666666666666E-3</v>
      </c>
      <c r="AE331" s="258">
        <f>(((IF($S$5&lt;&gt;0,$S$5,IF($S$6&lt;&gt;0,$S$6,IF($S$7&lt;&gt;0,$S$7,0))))/(12*$S$19))+(((3*$S$15)/(2*(IF($S$5&lt;&gt;0,$S$5,IF($S$6&lt;&gt;0,$S$6,IF($S$7&lt;&gt;0,$S$7,0))))*$U$5*$S$19))*'IN-OUT'!$F$14))*'Burland damage classification'!AI331</f>
        <v>4.15087276580192E-3</v>
      </c>
      <c r="AF331" s="353">
        <f>(1+(((IF($S$5&lt;&gt;0,$S$5^2,IF($S$6&lt;&gt;0,$S$6^2,IF($S$7&lt;&gt;0,$S$7^2))))*$U$5)/(18*$S$15))*('IN-OUT'!$F$14^(-1)))*AJ331</f>
        <v>4.9394614846664511E-4</v>
      </c>
      <c r="AG331" s="254">
        <f t="shared" si="221"/>
        <v>4.9394614846664511E-4</v>
      </c>
      <c r="AH331" s="254">
        <f t="shared" si="237"/>
        <v>4.9394614846664513E-2</v>
      </c>
      <c r="AI331" s="254">
        <f t="shared" si="253"/>
        <v>4.7333333333333342E-4</v>
      </c>
      <c r="AJ331" s="253">
        <f t="shared" si="222"/>
        <v>4.9057789051960615E-4</v>
      </c>
      <c r="AK331" s="253">
        <f t="shared" si="254"/>
        <v>2.6666666666666667E-5</v>
      </c>
      <c r="AL331" s="255">
        <f t="shared" si="238"/>
        <v>2.6666666666666666E-3</v>
      </c>
      <c r="AN331" s="258">
        <f>(((IF($S$5&lt;&gt;0,$S$5,IF($S$6&lt;&gt;0,$S$6,IF($S$7&lt;&gt;0,$S$7,0))))/(12*$S$19))+(((3*$S$15)/(2*(IF($S$5&lt;&gt;0,$S$5,IF($S$6&lt;&gt;0,$S$6,IF($S$7&lt;&gt;0,$S$7,0))))*$U$5*$S$19))*'IN-OUT'!$F$14))*'Burland damage classification'!AR331</f>
        <v>8.5355975184095781E-3</v>
      </c>
      <c r="AO331" s="353">
        <f>(1+(((IF($S$5&lt;&gt;0,$S$5^2,IF($S$6&lt;&gt;0,$S$6^2,IF($S$7&lt;&gt;0,$S$7^2))))*$U$5)/(18*$S$15))*('IN-OUT'!$F$14^(-1)))*AS331</f>
        <v>9.9742421458325959E-4</v>
      </c>
      <c r="AP331" s="254">
        <f t="shared" si="223"/>
        <v>9.9742421458325959E-4</v>
      </c>
      <c r="AQ331" s="254">
        <f t="shared" si="239"/>
        <v>9.9742421458325958E-2</v>
      </c>
      <c r="AR331" s="254">
        <f t="shared" si="255"/>
        <v>9.733333333333331E-4</v>
      </c>
      <c r="AS331" s="253">
        <f t="shared" si="224"/>
        <v>9.9062269978702458E-4</v>
      </c>
      <c r="AT331" s="253">
        <f t="shared" si="256"/>
        <v>2.6666666666666667E-5</v>
      </c>
      <c r="AU331" s="255">
        <f t="shared" si="240"/>
        <v>2.6666666666666666E-3</v>
      </c>
      <c r="AW331" s="258">
        <f>(((IF($S$5&lt;&gt;0,$S$5,IF($S$6&lt;&gt;0,$S$6,IF($S$7&lt;&gt;0,$S$7,0))))/(12*$S$19))+(((3*$S$15)/(2*(IF($S$5&lt;&gt;0,$S$5,IF($S$6&lt;&gt;0,$S$6,IF($S$7&lt;&gt;0,$S$7,0))))*$U$5*$S$19))*'IN-OUT'!$F$14))*'Burland damage classification'!BA331</f>
        <v>1.7305047023624908E-2</v>
      </c>
      <c r="AX331" s="353">
        <f>(1+(((IF($S$5&lt;&gt;0,$S$5^2,IF($S$6&lt;&gt;0,$S$6^2,IF($S$7&lt;&gt;0,$S$7^2))))*$U$5)/(18*$S$15))*('IN-OUT'!$F$14^(-1)))*BB331</f>
        <v>2.0043123514916351E-3</v>
      </c>
      <c r="AY331" s="254">
        <f t="shared" si="225"/>
        <v>2.0043123514916351E-3</v>
      </c>
      <c r="AZ331" s="254">
        <f t="shared" si="241"/>
        <v>0.2004312351491635</v>
      </c>
      <c r="BA331" s="254">
        <f t="shared" si="257"/>
        <v>1.9733333333333339E-3</v>
      </c>
      <c r="BB331" s="270">
        <f t="shared" si="226"/>
        <v>1.9906447866625192E-3</v>
      </c>
      <c r="BC331" s="253">
        <f t="shared" si="258"/>
        <v>2.6666666666666667E-5</v>
      </c>
      <c r="BD331" s="255">
        <f t="shared" si="242"/>
        <v>2.6666666666666666E-3</v>
      </c>
      <c r="BF331" s="351" t="e">
        <f>((((IF($T$5=0,$T$6,$T$5)))/(12*$T$19))+(((3*$T$15)/(2*IF($T$5=0,$T$6,$T$5)*$U$5*$T$19))*'IN-OUT'!$F$14))*'Burland damage classification'!BJ331</f>
        <v>#DIV/0!</v>
      </c>
      <c r="BG331" s="352">
        <f>(1+(((IF($T$5=0,$T$6^2,$T$5^2))*$U$5)/(18*$T$15))*('IN-OUT'!$F$14^(-1)))*BK331</f>
        <v>3.2386554137309653E-4</v>
      </c>
      <c r="BH331" s="262" t="e">
        <f t="shared" si="227"/>
        <v>#DIV/0!</v>
      </c>
      <c r="BI331" s="262" t="e">
        <f t="shared" si="243"/>
        <v>#DIV/0!</v>
      </c>
      <c r="BJ331" s="262">
        <f t="shared" si="259"/>
        <v>3.0666666666666673E-4</v>
      </c>
      <c r="BK331" s="270">
        <f t="shared" si="228"/>
        <v>3.2386554137309653E-4</v>
      </c>
      <c r="BL331" s="270">
        <f t="shared" si="260"/>
        <v>2.6666666666666667E-5</v>
      </c>
      <c r="BM331" s="271">
        <f t="shared" si="244"/>
        <v>2.6666666666666666E-3</v>
      </c>
      <c r="BO331" s="351" t="e">
        <f>((((IF($T$5=0,$T$6,$T$5)))/(12*$T$19))+(((3*$T$15)/(2*IF($T$5=0,$T$6,$T$5)*$U$5*$T$19))*'IN-OUT'!$F$14))*'Burland damage classification'!BS331</f>
        <v>#DIV/0!</v>
      </c>
      <c r="BP331" s="352">
        <f>(1+(((IF($T$5=0,$T$6^2,$T$5^2))*$U$5)/(18*$T$15))*('IN-OUT'!$F$14^(-1)))*BT331</f>
        <v>4.9057789051960615E-4</v>
      </c>
      <c r="BQ331" s="254" t="e">
        <f t="shared" si="229"/>
        <v>#DIV/0!</v>
      </c>
      <c r="BR331" s="254" t="e">
        <f t="shared" si="245"/>
        <v>#DIV/0!</v>
      </c>
      <c r="BS331" s="254">
        <f t="shared" si="261"/>
        <v>4.7333333333333342E-4</v>
      </c>
      <c r="BT331" s="253">
        <f t="shared" si="230"/>
        <v>4.9057789051960615E-4</v>
      </c>
      <c r="BU331" s="253">
        <f t="shared" si="262"/>
        <v>2.6666666666666667E-5</v>
      </c>
      <c r="BV331" s="255">
        <f t="shared" si="246"/>
        <v>2.6666666666666666E-3</v>
      </c>
      <c r="BX331" s="351" t="e">
        <f>((((IF($T$5=0,$T$6,$T$5)))/(12*$T$19))+(((3*$T$15)/(2*IF($T$5=0,$T$6,$T$5)*$U$5*$T$19))*'IN-OUT'!$F$14))*'Burland damage classification'!CB331</f>
        <v>#DIV/0!</v>
      </c>
      <c r="BY331" s="352">
        <f>(1+(((IF($T$5=0,$T$6^2,$T$5^2))*$U$5)/(18*$T$15))*('IN-OUT'!$F$14^(-1)))*CC331</f>
        <v>9.9062269978702458E-4</v>
      </c>
      <c r="BZ331" s="254" t="e">
        <f t="shared" si="231"/>
        <v>#DIV/0!</v>
      </c>
      <c r="CA331" s="254" t="e">
        <f t="shared" si="247"/>
        <v>#DIV/0!</v>
      </c>
      <c r="CB331" s="254">
        <f t="shared" si="263"/>
        <v>9.733333333333331E-4</v>
      </c>
      <c r="CC331" s="253">
        <f t="shared" si="232"/>
        <v>9.9062269978702458E-4</v>
      </c>
      <c r="CD331" s="253">
        <f t="shared" si="264"/>
        <v>2.6666666666666667E-5</v>
      </c>
      <c r="CE331" s="255">
        <f t="shared" si="248"/>
        <v>2.6666666666666666E-3</v>
      </c>
      <c r="CG331" s="351" t="e">
        <f>((((IF($T$5=0,$T$6,$T$5)))/(12*$T$19))+(((3*$T$15)/(2*IF($T$5=0,$T$6,$T$5)*$U$5*$T$19))*'IN-OUT'!$F$14))*'Burland damage classification'!CK331</f>
        <v>#DIV/0!</v>
      </c>
      <c r="CH331" s="352">
        <f>(1+(((IF($T$5=0,$T$6^2,$T$5^2))*$U$5)/(18*$T$15))*('IN-OUT'!$F$14^(-1)))*CL331</f>
        <v>1.9906447866625192E-3</v>
      </c>
      <c r="CI331" s="254" t="e">
        <f t="shared" si="233"/>
        <v>#DIV/0!</v>
      </c>
      <c r="CJ331" s="254" t="e">
        <f t="shared" si="249"/>
        <v>#DIV/0!</v>
      </c>
      <c r="CK331" s="254">
        <f t="shared" si="265"/>
        <v>1.9733333333333339E-3</v>
      </c>
      <c r="CL331" s="270">
        <f t="shared" si="234"/>
        <v>1.9906447866625192E-3</v>
      </c>
      <c r="CM331" s="253">
        <f t="shared" si="266"/>
        <v>2.6666666666666667E-5</v>
      </c>
      <c r="CN331" s="255">
        <f t="shared" si="250"/>
        <v>2.6666666666666666E-3</v>
      </c>
    </row>
    <row r="332" spans="22:92">
      <c r="V332" s="258">
        <f>(((IF($S$5&lt;&gt;0,$S$5,IF($S$6&lt;&gt;0,$S$6,IF($S$7&lt;&gt;0,$S$7,0))))/(12*$S$19))+(((3*$S$15)/(2*(IF($S$5&lt;&gt;0,$S$5,IF($S$6&lt;&gt;0,$S$6,IF($S$7&lt;&gt;0,$S$7,0))))*$U$5*$S$19))*'IN-OUT'!$F$14))*'Burland damage classification'!Z332</f>
        <v>2.6308348515645973E-3</v>
      </c>
      <c r="W332" s="352">
        <f>(1+(((IF($S$5&lt;&gt;0,$S$5^2,IF($S$6&lt;&gt;0,$S$6^2,IF($S$7&lt;&gt;0,$S$7^2))))*$U$5)/(18*$S$15))*('IN-OUT'!$F$14^(-1)))*AA332</f>
        <v>3.2366210290647198E-4</v>
      </c>
      <c r="X332" s="262">
        <f t="shared" si="219"/>
        <v>3.2366210290647198E-4</v>
      </c>
      <c r="Y332" s="262">
        <f t="shared" si="235"/>
        <v>3.23662102906472E-2</v>
      </c>
      <c r="Z332" s="262">
        <f t="shared" si="251"/>
        <v>3.0000000000000008E-4</v>
      </c>
      <c r="AA332" s="270">
        <f t="shared" si="220"/>
        <v>3.2145502536643183E-4</v>
      </c>
      <c r="AB332" s="270">
        <f t="shared" si="252"/>
        <v>3.3333333333333335E-5</v>
      </c>
      <c r="AC332" s="271">
        <f t="shared" si="236"/>
        <v>3.3333333333333335E-3</v>
      </c>
      <c r="AE332" s="258">
        <f>(((IF($S$5&lt;&gt;0,$S$5,IF($S$6&lt;&gt;0,$S$6,IF($S$7&lt;&gt;0,$S$7,0))))/(12*$S$19))+(((3*$S$15)/(2*(IF($S$5&lt;&gt;0,$S$5,IF($S$6&lt;&gt;0,$S$6,IF($S$7&lt;&gt;0,$S$7,0))))*$U$5*$S$19))*'IN-OUT'!$F$14))*'Burland damage classification'!AI332</f>
        <v>4.0924097691004847E-3</v>
      </c>
      <c r="AF332" s="353">
        <f>(1+(((IF($S$5&lt;&gt;0,$S$5^2,IF($S$6&lt;&gt;0,$S$6^2,IF($S$7&lt;&gt;0,$S$7^2))))*$U$5)/(18*$S$15))*('IN-OUT'!$F$14^(-1)))*AJ332</f>
        <v>4.9154584058653215E-4</v>
      </c>
      <c r="AG332" s="254">
        <f t="shared" si="221"/>
        <v>4.9154584058653215E-4</v>
      </c>
      <c r="AH332" s="254">
        <f t="shared" si="237"/>
        <v>4.9154584058653215E-2</v>
      </c>
      <c r="AI332" s="254">
        <f t="shared" si="253"/>
        <v>4.6666666666666677E-4</v>
      </c>
      <c r="AJ332" s="253">
        <f t="shared" si="222"/>
        <v>4.8819395052922699E-4</v>
      </c>
      <c r="AK332" s="253">
        <f t="shared" si="254"/>
        <v>3.3333333333333335E-5</v>
      </c>
      <c r="AL332" s="255">
        <f t="shared" si="238"/>
        <v>3.3333333333333335E-3</v>
      </c>
      <c r="AN332" s="258">
        <f>(((IF($S$5&lt;&gt;0,$S$5,IF($S$6&lt;&gt;0,$S$6,IF($S$7&lt;&gt;0,$S$7,0))))/(12*$S$19))+(((3*$S$15)/(2*(IF($S$5&lt;&gt;0,$S$5,IF($S$6&lt;&gt;0,$S$6,IF($S$7&lt;&gt;0,$S$7,0))))*$U$5*$S$19))*'IN-OUT'!$F$14))*'Burland damage classification'!AR332</f>
        <v>8.4771345217081427E-3</v>
      </c>
      <c r="AO332" s="353">
        <f>(1+(((IF($S$5&lt;&gt;0,$S$5^2,IF($S$6&lt;&gt;0,$S$6^2,IF($S$7&lt;&gt;0,$S$7^2))))*$U$5)/(18*$S$15))*('IN-OUT'!$F$14^(-1)))*AS332</f>
        <v>9.9504979546895418E-4</v>
      </c>
      <c r="AP332" s="254">
        <f t="shared" si="223"/>
        <v>9.9504979546895418E-4</v>
      </c>
      <c r="AQ332" s="254">
        <f t="shared" si="239"/>
        <v>9.9504979546895411E-2</v>
      </c>
      <c r="AR332" s="254">
        <f t="shared" si="255"/>
        <v>9.6666666666666646E-4</v>
      </c>
      <c r="AS332" s="253">
        <f t="shared" si="224"/>
        <v>9.8826447202490634E-4</v>
      </c>
      <c r="AT332" s="253">
        <f t="shared" si="256"/>
        <v>3.3333333333333335E-5</v>
      </c>
      <c r="AU332" s="255">
        <f t="shared" si="240"/>
        <v>3.3333333333333335E-3</v>
      </c>
      <c r="AW332" s="258">
        <f>(((IF($S$5&lt;&gt;0,$S$5,IF($S$6&lt;&gt;0,$S$6,IF($S$7&lt;&gt;0,$S$7,0))))/(12*$S$19))+(((3*$S$15)/(2*(IF($S$5&lt;&gt;0,$S$5,IF($S$6&lt;&gt;0,$S$6,IF($S$7&lt;&gt;0,$S$7,0))))*$U$5*$S$19))*'IN-OUT'!$F$14))*'Burland damage classification'!BA332</f>
        <v>1.7246584026923473E-2</v>
      </c>
      <c r="AX332" s="353">
        <f>(1+(((IF($S$5&lt;&gt;0,$S$5^2,IF($S$6&lt;&gt;0,$S$6^2,IF($S$7&lt;&gt;0,$S$7^2))))*$U$5)/(18*$S$15))*('IN-OUT'!$F$14^(-1)))*BB332</f>
        <v>2.0019505652221982E-3</v>
      </c>
      <c r="AY332" s="254">
        <f t="shared" si="225"/>
        <v>2.0019505652221982E-3</v>
      </c>
      <c r="AZ332" s="254">
        <f t="shared" si="241"/>
        <v>0.20019505652221983</v>
      </c>
      <c r="BA332" s="254">
        <f t="shared" si="257"/>
        <v>1.9666666666666673E-3</v>
      </c>
      <c r="BB332" s="270">
        <f t="shared" si="226"/>
        <v>1.9882991056008985E-3</v>
      </c>
      <c r="BC332" s="253">
        <f t="shared" si="258"/>
        <v>3.3333333333333335E-5</v>
      </c>
      <c r="BD332" s="255">
        <f t="shared" si="242"/>
        <v>3.3333333333333335E-3</v>
      </c>
      <c r="BF332" s="351" t="e">
        <f>((((IF($T$5=0,$T$6,$T$5)))/(12*$T$19))+(((3*$T$15)/(2*IF($T$5=0,$T$6,$T$5)*$U$5*$T$19))*'IN-OUT'!$F$14))*'Burland damage classification'!BJ332</f>
        <v>#DIV/0!</v>
      </c>
      <c r="BG332" s="352">
        <f>(1+(((IF($T$5=0,$T$6^2,$T$5^2))*$U$5)/(18*$T$15))*('IN-OUT'!$F$14^(-1)))*BK332</f>
        <v>3.2145502536643183E-4</v>
      </c>
      <c r="BH332" s="262" t="e">
        <f t="shared" si="227"/>
        <v>#DIV/0!</v>
      </c>
      <c r="BI332" s="262" t="e">
        <f t="shared" si="243"/>
        <v>#DIV/0!</v>
      </c>
      <c r="BJ332" s="262">
        <f t="shared" si="259"/>
        <v>3.0000000000000008E-4</v>
      </c>
      <c r="BK332" s="270">
        <f t="shared" si="228"/>
        <v>3.2145502536643183E-4</v>
      </c>
      <c r="BL332" s="270">
        <f t="shared" si="260"/>
        <v>3.3333333333333335E-5</v>
      </c>
      <c r="BM332" s="271">
        <f t="shared" si="244"/>
        <v>3.3333333333333335E-3</v>
      </c>
      <c r="BO332" s="351" t="e">
        <f>((((IF($T$5=0,$T$6,$T$5)))/(12*$T$19))+(((3*$T$15)/(2*IF($T$5=0,$T$6,$T$5)*$U$5*$T$19))*'IN-OUT'!$F$14))*'Burland damage classification'!BS332</f>
        <v>#DIV/0!</v>
      </c>
      <c r="BP332" s="352">
        <f>(1+(((IF($T$5=0,$T$6^2,$T$5^2))*$U$5)/(18*$T$15))*('IN-OUT'!$F$14^(-1)))*BT332</f>
        <v>4.8819395052922699E-4</v>
      </c>
      <c r="BQ332" s="254" t="e">
        <f t="shared" si="229"/>
        <v>#DIV/0!</v>
      </c>
      <c r="BR332" s="254" t="e">
        <f t="shared" si="245"/>
        <v>#DIV/0!</v>
      </c>
      <c r="BS332" s="254">
        <f t="shared" si="261"/>
        <v>4.6666666666666677E-4</v>
      </c>
      <c r="BT332" s="253">
        <f t="shared" si="230"/>
        <v>4.8819395052922699E-4</v>
      </c>
      <c r="BU332" s="253">
        <f t="shared" si="262"/>
        <v>3.3333333333333335E-5</v>
      </c>
      <c r="BV332" s="255">
        <f t="shared" si="246"/>
        <v>3.3333333333333335E-3</v>
      </c>
      <c r="BX332" s="351" t="e">
        <f>((((IF($T$5=0,$T$6,$T$5)))/(12*$T$19))+(((3*$T$15)/(2*IF($T$5=0,$T$6,$T$5)*$U$5*$T$19))*'IN-OUT'!$F$14))*'Burland damage classification'!CB332</f>
        <v>#DIV/0!</v>
      </c>
      <c r="BY332" s="352">
        <f>(1+(((IF($T$5=0,$T$6^2,$T$5^2))*$U$5)/(18*$T$15))*('IN-OUT'!$F$14^(-1)))*CC332</f>
        <v>9.8826447202490634E-4</v>
      </c>
      <c r="BZ332" s="254" t="e">
        <f t="shared" si="231"/>
        <v>#DIV/0!</v>
      </c>
      <c r="CA332" s="254" t="e">
        <f t="shared" si="247"/>
        <v>#DIV/0!</v>
      </c>
      <c r="CB332" s="254">
        <f t="shared" si="263"/>
        <v>9.6666666666666646E-4</v>
      </c>
      <c r="CC332" s="253">
        <f t="shared" si="232"/>
        <v>9.8826447202490634E-4</v>
      </c>
      <c r="CD332" s="253">
        <f t="shared" si="264"/>
        <v>3.3333333333333335E-5</v>
      </c>
      <c r="CE332" s="255">
        <f t="shared" si="248"/>
        <v>3.3333333333333335E-3</v>
      </c>
      <c r="CG332" s="351" t="e">
        <f>((((IF($T$5=0,$T$6,$T$5)))/(12*$T$19))+(((3*$T$15)/(2*IF($T$5=0,$T$6,$T$5)*$U$5*$T$19))*'IN-OUT'!$F$14))*'Burland damage classification'!CK332</f>
        <v>#DIV/0!</v>
      </c>
      <c r="CH332" s="352">
        <f>(1+(((IF($T$5=0,$T$6^2,$T$5^2))*$U$5)/(18*$T$15))*('IN-OUT'!$F$14^(-1)))*CL332</f>
        <v>1.9882991056008985E-3</v>
      </c>
      <c r="CI332" s="254" t="e">
        <f t="shared" si="233"/>
        <v>#DIV/0!</v>
      </c>
      <c r="CJ332" s="254" t="e">
        <f t="shared" si="249"/>
        <v>#DIV/0!</v>
      </c>
      <c r="CK332" s="254">
        <f t="shared" si="265"/>
        <v>1.9666666666666673E-3</v>
      </c>
      <c r="CL332" s="270">
        <f t="shared" si="234"/>
        <v>1.9882991056008985E-3</v>
      </c>
      <c r="CM332" s="253">
        <f t="shared" si="266"/>
        <v>3.3333333333333335E-5</v>
      </c>
      <c r="CN332" s="255">
        <f t="shared" si="250"/>
        <v>3.3333333333333335E-3</v>
      </c>
    </row>
    <row r="333" spans="22:92">
      <c r="V333" s="258">
        <f>(((IF($S$5&lt;&gt;0,$S$5,IF($S$6&lt;&gt;0,$S$6,IF($S$7&lt;&gt;0,$S$7,0))))/(12*$S$19))+(((3*$S$15)/(2*(IF($S$5&lt;&gt;0,$S$5,IF($S$6&lt;&gt;0,$S$6,IF($S$7&lt;&gt;0,$S$7,0))))*$U$5*$S$19))*'IN-OUT'!$F$14))*'Burland damage classification'!Z333</f>
        <v>2.572371854863162E-3</v>
      </c>
      <c r="W333" s="352">
        <f>(1+(((IF($S$5&lt;&gt;0,$S$5^2,IF($S$6&lt;&gt;0,$S$6^2,IF($S$7&lt;&gt;0,$S$7^2))))*$U$5)/(18*$S$15))*('IN-OUT'!$F$14^(-1)))*AA333</f>
        <v>3.2121669850704315E-4</v>
      </c>
      <c r="X333" s="262">
        <f t="shared" si="219"/>
        <v>3.2121669850704315E-4</v>
      </c>
      <c r="Y333" s="262">
        <f t="shared" si="235"/>
        <v>3.2121669850704318E-2</v>
      </c>
      <c r="Z333" s="262">
        <f t="shared" si="251"/>
        <v>2.9333333333333343E-4</v>
      </c>
      <c r="AA333" s="270">
        <f t="shared" si="220"/>
        <v>3.1902629637347728E-4</v>
      </c>
      <c r="AB333" s="270">
        <f t="shared" si="252"/>
        <v>4.0000000000000003E-5</v>
      </c>
      <c r="AC333" s="271">
        <f t="shared" si="236"/>
        <v>4.0000000000000001E-3</v>
      </c>
      <c r="AE333" s="258">
        <f>(((IF($S$5&lt;&gt;0,$S$5,IF($S$6&lt;&gt;0,$S$6,IF($S$7&lt;&gt;0,$S$7,0))))/(12*$S$19))+(((3*$S$15)/(2*(IF($S$5&lt;&gt;0,$S$5,IF($S$6&lt;&gt;0,$S$6,IF($S$7&lt;&gt;0,$S$7,0))))*$U$5*$S$19))*'IN-OUT'!$F$14))*'Burland damage classification'!AI333</f>
        <v>4.0339467723990493E-3</v>
      </c>
      <c r="AF333" s="353">
        <f>(1+(((IF($S$5&lt;&gt;0,$S$5^2,IF($S$6&lt;&gt;0,$S$6^2,IF($S$7&lt;&gt;0,$S$7^2))))*$U$5)/(18*$S$15))*('IN-OUT'!$F$14^(-1)))*AJ333</f>
        <v>4.8913375390664663E-4</v>
      </c>
      <c r="AG333" s="254">
        <f t="shared" si="221"/>
        <v>4.8913375390664663E-4</v>
      </c>
      <c r="AH333" s="254">
        <f t="shared" si="237"/>
        <v>4.8913375390664662E-2</v>
      </c>
      <c r="AI333" s="254">
        <f t="shared" si="253"/>
        <v>4.6000000000000012E-4</v>
      </c>
      <c r="AJ333" s="253">
        <f t="shared" si="222"/>
        <v>4.8579831205964474E-4</v>
      </c>
      <c r="AK333" s="253">
        <f t="shared" si="254"/>
        <v>4.0000000000000003E-5</v>
      </c>
      <c r="AL333" s="255">
        <f t="shared" si="238"/>
        <v>4.0000000000000001E-3</v>
      </c>
      <c r="AN333" s="258">
        <f>(((IF($S$5&lt;&gt;0,$S$5,IF($S$6&lt;&gt;0,$S$6,IF($S$7&lt;&gt;0,$S$7,0))))/(12*$S$19))+(((3*$S$15)/(2*(IF($S$5&lt;&gt;0,$S$5,IF($S$6&lt;&gt;0,$S$6,IF($S$7&lt;&gt;0,$S$7,0))))*$U$5*$S$19))*'IN-OUT'!$F$14))*'Burland damage classification'!AR333</f>
        <v>8.4186715250067073E-3</v>
      </c>
      <c r="AO333" s="353">
        <f>(1+(((IF($S$5&lt;&gt;0,$S$5^2,IF($S$6&lt;&gt;0,$S$6^2,IF($S$7&lt;&gt;0,$S$7^2))))*$U$5)/(18*$S$15))*('IN-OUT'!$F$14^(-1)))*AS333</f>
        <v>9.9266969687231924E-4</v>
      </c>
      <c r="AP333" s="254">
        <f t="shared" si="223"/>
        <v>9.9266969687231924E-4</v>
      </c>
      <c r="AQ333" s="254">
        <f t="shared" si="239"/>
        <v>9.9266969687231921E-2</v>
      </c>
      <c r="AR333" s="254">
        <f t="shared" si="255"/>
        <v>9.5999999999999981E-4</v>
      </c>
      <c r="AS333" s="253">
        <f t="shared" si="224"/>
        <v>9.8590060350929902E-4</v>
      </c>
      <c r="AT333" s="253">
        <f t="shared" si="256"/>
        <v>4.0000000000000003E-5</v>
      </c>
      <c r="AU333" s="255">
        <f t="shared" si="240"/>
        <v>4.0000000000000001E-3</v>
      </c>
      <c r="AW333" s="258">
        <f>(((IF($S$5&lt;&gt;0,$S$5,IF($S$6&lt;&gt;0,$S$6,IF($S$7&lt;&gt;0,$S$7,0))))/(12*$S$19))+(((3*$S$15)/(2*(IF($S$5&lt;&gt;0,$S$5,IF($S$6&lt;&gt;0,$S$6,IF($S$7&lt;&gt;0,$S$7,0))))*$U$5*$S$19))*'IN-OUT'!$F$14))*'Burland damage classification'!BA333</f>
        <v>1.7188121030222037E-2</v>
      </c>
      <c r="AX333" s="353">
        <f>(1+(((IF($S$5&lt;&gt;0,$S$5^2,IF($S$6&lt;&gt;0,$S$6^2,IF($S$7&lt;&gt;0,$S$7^2))))*$U$5)/(18*$S$15))*('IN-OUT'!$F$14^(-1)))*BB333</f>
        <v>1.9995859893600547E-3</v>
      </c>
      <c r="AY333" s="254">
        <f t="shared" si="225"/>
        <v>1.9995859893600547E-3</v>
      </c>
      <c r="AZ333" s="254">
        <f t="shared" si="241"/>
        <v>0.19995859893600548</v>
      </c>
      <c r="BA333" s="254">
        <f t="shared" si="257"/>
        <v>1.9600000000000008E-3</v>
      </c>
      <c r="BB333" s="270">
        <f t="shared" si="226"/>
        <v>1.9859506539690254E-3</v>
      </c>
      <c r="BC333" s="253">
        <f t="shared" si="258"/>
        <v>4.0000000000000003E-5</v>
      </c>
      <c r="BD333" s="255">
        <f t="shared" si="242"/>
        <v>4.0000000000000001E-3</v>
      </c>
      <c r="BF333" s="351" t="e">
        <f>((((IF($T$5=0,$T$6,$T$5)))/(12*$T$19))+(((3*$T$15)/(2*IF($T$5=0,$T$6,$T$5)*$U$5*$T$19))*'IN-OUT'!$F$14))*'Burland damage classification'!BJ333</f>
        <v>#DIV/0!</v>
      </c>
      <c r="BG333" s="352">
        <f>(1+(((IF($T$5=0,$T$6^2,$T$5^2))*$U$5)/(18*$T$15))*('IN-OUT'!$F$14^(-1)))*BK333</f>
        <v>3.1902629637347728E-4</v>
      </c>
      <c r="BH333" s="262" t="e">
        <f t="shared" si="227"/>
        <v>#DIV/0!</v>
      </c>
      <c r="BI333" s="262" t="e">
        <f t="shared" si="243"/>
        <v>#DIV/0!</v>
      </c>
      <c r="BJ333" s="262">
        <f t="shared" si="259"/>
        <v>2.9333333333333343E-4</v>
      </c>
      <c r="BK333" s="270">
        <f t="shared" si="228"/>
        <v>3.1902629637347728E-4</v>
      </c>
      <c r="BL333" s="270">
        <f t="shared" si="260"/>
        <v>4.0000000000000003E-5</v>
      </c>
      <c r="BM333" s="271">
        <f t="shared" si="244"/>
        <v>4.0000000000000001E-3</v>
      </c>
      <c r="BO333" s="351" t="e">
        <f>((((IF($T$5=0,$T$6,$T$5)))/(12*$T$19))+(((3*$T$15)/(2*IF($T$5=0,$T$6,$T$5)*$U$5*$T$19))*'IN-OUT'!$F$14))*'Burland damage classification'!BS333</f>
        <v>#DIV/0!</v>
      </c>
      <c r="BP333" s="352">
        <f>(1+(((IF($T$5=0,$T$6^2,$T$5^2))*$U$5)/(18*$T$15))*('IN-OUT'!$F$14^(-1)))*BT333</f>
        <v>4.8579831205964474E-4</v>
      </c>
      <c r="BQ333" s="254" t="e">
        <f t="shared" si="229"/>
        <v>#DIV/0!</v>
      </c>
      <c r="BR333" s="254" t="e">
        <f t="shared" si="245"/>
        <v>#DIV/0!</v>
      </c>
      <c r="BS333" s="254">
        <f t="shared" si="261"/>
        <v>4.6000000000000012E-4</v>
      </c>
      <c r="BT333" s="253">
        <f t="shared" si="230"/>
        <v>4.8579831205964474E-4</v>
      </c>
      <c r="BU333" s="253">
        <f t="shared" si="262"/>
        <v>4.0000000000000003E-5</v>
      </c>
      <c r="BV333" s="255">
        <f t="shared" si="246"/>
        <v>4.0000000000000001E-3</v>
      </c>
      <c r="BX333" s="351" t="e">
        <f>((((IF($T$5=0,$T$6,$T$5)))/(12*$T$19))+(((3*$T$15)/(2*IF($T$5=0,$T$6,$T$5)*$U$5*$T$19))*'IN-OUT'!$F$14))*'Burland damage classification'!CB333</f>
        <v>#DIV/0!</v>
      </c>
      <c r="BY333" s="352">
        <f>(1+(((IF($T$5=0,$T$6^2,$T$5^2))*$U$5)/(18*$T$15))*('IN-OUT'!$F$14^(-1)))*CC333</f>
        <v>9.8590060350929902E-4</v>
      </c>
      <c r="BZ333" s="254" t="e">
        <f t="shared" si="231"/>
        <v>#DIV/0!</v>
      </c>
      <c r="CA333" s="254" t="e">
        <f t="shared" si="247"/>
        <v>#DIV/0!</v>
      </c>
      <c r="CB333" s="254">
        <f t="shared" si="263"/>
        <v>9.5999999999999981E-4</v>
      </c>
      <c r="CC333" s="253">
        <f t="shared" si="232"/>
        <v>9.8590060350929902E-4</v>
      </c>
      <c r="CD333" s="253">
        <f t="shared" si="264"/>
        <v>4.0000000000000003E-5</v>
      </c>
      <c r="CE333" s="255">
        <f t="shared" si="248"/>
        <v>4.0000000000000001E-3</v>
      </c>
      <c r="CG333" s="351" t="e">
        <f>((((IF($T$5=0,$T$6,$T$5)))/(12*$T$19))+(((3*$T$15)/(2*IF($T$5=0,$T$6,$T$5)*$U$5*$T$19))*'IN-OUT'!$F$14))*'Burland damage classification'!CK333</f>
        <v>#DIV/0!</v>
      </c>
      <c r="CH333" s="352">
        <f>(1+(((IF($T$5=0,$T$6^2,$T$5^2))*$U$5)/(18*$T$15))*('IN-OUT'!$F$14^(-1)))*CL333</f>
        <v>1.9859506539690254E-3</v>
      </c>
      <c r="CI333" s="254" t="e">
        <f t="shared" si="233"/>
        <v>#DIV/0!</v>
      </c>
      <c r="CJ333" s="254" t="e">
        <f t="shared" si="249"/>
        <v>#DIV/0!</v>
      </c>
      <c r="CK333" s="254">
        <f t="shared" si="265"/>
        <v>1.9600000000000008E-3</v>
      </c>
      <c r="CL333" s="270">
        <f t="shared" si="234"/>
        <v>1.9859506539690254E-3</v>
      </c>
      <c r="CM333" s="253">
        <f t="shared" si="266"/>
        <v>4.0000000000000003E-5</v>
      </c>
      <c r="CN333" s="255">
        <f t="shared" si="250"/>
        <v>4.0000000000000001E-3</v>
      </c>
    </row>
    <row r="334" spans="22:92">
      <c r="V334" s="258">
        <f>(((IF($S$5&lt;&gt;0,$S$5,IF($S$6&lt;&gt;0,$S$6,IF($S$7&lt;&gt;0,$S$7,0))))/(12*$S$19))+(((3*$S$15)/(2*(IF($S$5&lt;&gt;0,$S$5,IF($S$6&lt;&gt;0,$S$6,IF($S$7&lt;&gt;0,$S$7,0))))*$U$5*$S$19))*'IN-OUT'!$F$14))*'Burland damage classification'!Z334</f>
        <v>2.5139088581617266E-3</v>
      </c>
      <c r="W334" s="352">
        <f>(1+(((IF($S$5&lt;&gt;0,$S$5^2,IF($S$6&lt;&gt;0,$S$6^2,IF($S$7&lt;&gt;0,$S$7^2))))*$U$5)/(18*$S$15))*('IN-OUT'!$F$14^(-1)))*AA334</f>
        <v>3.1875253401610732E-4</v>
      </c>
      <c r="X334" s="262">
        <f t="shared" si="219"/>
        <v>3.1875253401610732E-4</v>
      </c>
      <c r="Y334" s="262">
        <f t="shared" si="235"/>
        <v>3.187525340161073E-2</v>
      </c>
      <c r="Z334" s="262">
        <f t="shared" si="251"/>
        <v>2.8666666666666679E-4</v>
      </c>
      <c r="AA334" s="270">
        <f t="shared" si="220"/>
        <v>3.1657893521556707E-4</v>
      </c>
      <c r="AB334" s="270">
        <f t="shared" si="252"/>
        <v>4.6666666666666672E-5</v>
      </c>
      <c r="AC334" s="271">
        <f t="shared" si="236"/>
        <v>4.6666666666666671E-3</v>
      </c>
      <c r="AE334" s="258">
        <f>(((IF($S$5&lt;&gt;0,$S$5,IF($S$6&lt;&gt;0,$S$6,IF($S$7&lt;&gt;0,$S$7,0))))/(12*$S$19))+(((3*$S$15)/(2*(IF($S$5&lt;&gt;0,$S$5,IF($S$6&lt;&gt;0,$S$6,IF($S$7&lt;&gt;0,$S$7,0))))*$U$5*$S$19))*'IN-OUT'!$F$14))*'Burland damage classification'!AI334</f>
        <v>3.9754837756976139E-3</v>
      </c>
      <c r="AF334" s="353">
        <f>(1+(((IF($S$5&lt;&gt;0,$S$5^2,IF($S$6&lt;&gt;0,$S$6^2,IF($S$7&lt;&gt;0,$S$7^2))))*$U$5)/(18*$S$15))*('IN-OUT'!$F$14^(-1)))*AJ334</f>
        <v>4.8670971330321271E-4</v>
      </c>
      <c r="AG334" s="254">
        <f t="shared" si="221"/>
        <v>4.8670971330321271E-4</v>
      </c>
      <c r="AH334" s="254">
        <f t="shared" si="237"/>
        <v>4.8670971330321271E-2</v>
      </c>
      <c r="AI334" s="254">
        <f t="shared" si="253"/>
        <v>4.5333333333333347E-4</v>
      </c>
      <c r="AJ334" s="253">
        <f t="shared" si="222"/>
        <v>4.8339080118126645E-4</v>
      </c>
      <c r="AK334" s="253">
        <f t="shared" si="254"/>
        <v>4.6666666666666672E-5</v>
      </c>
      <c r="AL334" s="255">
        <f t="shared" si="238"/>
        <v>4.6666666666666671E-3</v>
      </c>
      <c r="AN334" s="258">
        <f>(((IF($S$5&lt;&gt;0,$S$5,IF($S$6&lt;&gt;0,$S$6,IF($S$7&lt;&gt;0,$S$7,0))))/(12*$S$19))+(((3*$S$15)/(2*(IF($S$5&lt;&gt;0,$S$5,IF($S$6&lt;&gt;0,$S$6,IF($S$7&lt;&gt;0,$S$7,0))))*$U$5*$S$19))*'IN-OUT'!$F$14))*'Burland damage classification'!AR334</f>
        <v>8.360208528305272E-3</v>
      </c>
      <c r="AO334" s="353">
        <f>(1+(((IF($S$5&lt;&gt;0,$S$5^2,IF($S$6&lt;&gt;0,$S$6^2,IF($S$7&lt;&gt;0,$S$7^2))))*$U$5)/(18*$S$15))*('IN-OUT'!$F$14^(-1)))*AS334</f>
        <v>9.9028387784228671E-4</v>
      </c>
      <c r="AP334" s="254">
        <f t="shared" si="223"/>
        <v>9.9028387784228671E-4</v>
      </c>
      <c r="AQ334" s="254">
        <f t="shared" si="239"/>
        <v>9.9028387784228677E-2</v>
      </c>
      <c r="AR334" s="254">
        <f t="shared" si="255"/>
        <v>9.5333333333333316E-4</v>
      </c>
      <c r="AS334" s="253">
        <f t="shared" si="224"/>
        <v>9.8353105356838296E-4</v>
      </c>
      <c r="AT334" s="253">
        <f t="shared" si="256"/>
        <v>4.6666666666666672E-5</v>
      </c>
      <c r="AU334" s="255">
        <f t="shared" si="240"/>
        <v>4.6666666666666671E-3</v>
      </c>
      <c r="AW334" s="258">
        <f>(((IF($S$5&lt;&gt;0,$S$5,IF($S$6&lt;&gt;0,$S$6,IF($S$7&lt;&gt;0,$S$7,0))))/(12*$S$19))+(((3*$S$15)/(2*(IF($S$5&lt;&gt;0,$S$5,IF($S$6&lt;&gt;0,$S$6,IF($S$7&lt;&gt;0,$S$7,0))))*$U$5*$S$19))*'IN-OUT'!$F$14))*'Burland damage classification'!BA334</f>
        <v>1.7129658033520602E-2</v>
      </c>
      <c r="AX334" s="353">
        <f>(1+(((IF($S$5&lt;&gt;0,$S$5^2,IF($S$6&lt;&gt;0,$S$6^2,IF($S$7&lt;&gt;0,$S$7^2))))*$U$5)/(18*$S$15))*('IN-OUT'!$F$14^(-1)))*BB334</f>
        <v>1.9972186139971203E-3</v>
      </c>
      <c r="AY334" s="254">
        <f t="shared" si="225"/>
        <v>1.9972186139971203E-3</v>
      </c>
      <c r="AZ334" s="254">
        <f t="shared" si="241"/>
        <v>0.19972186139971204</v>
      </c>
      <c r="BA334" s="254">
        <f t="shared" si="257"/>
        <v>1.9533333333333343E-3</v>
      </c>
      <c r="BB334" s="270">
        <f t="shared" si="226"/>
        <v>1.9835994219263792E-3</v>
      </c>
      <c r="BC334" s="253">
        <f t="shared" si="258"/>
        <v>4.6666666666666672E-5</v>
      </c>
      <c r="BD334" s="255">
        <f t="shared" si="242"/>
        <v>4.6666666666666671E-3</v>
      </c>
      <c r="BF334" s="351" t="e">
        <f>((((IF($T$5=0,$T$6,$T$5)))/(12*$T$19))+(((3*$T$15)/(2*IF($T$5=0,$T$6,$T$5)*$U$5*$T$19))*'IN-OUT'!$F$14))*'Burland damage classification'!BJ334</f>
        <v>#DIV/0!</v>
      </c>
      <c r="BG334" s="352">
        <f>(1+(((IF($T$5=0,$T$6^2,$T$5^2))*$U$5)/(18*$T$15))*('IN-OUT'!$F$14^(-1)))*BK334</f>
        <v>3.1657893521556707E-4</v>
      </c>
      <c r="BH334" s="262" t="e">
        <f t="shared" si="227"/>
        <v>#DIV/0!</v>
      </c>
      <c r="BI334" s="262" t="e">
        <f t="shared" si="243"/>
        <v>#DIV/0!</v>
      </c>
      <c r="BJ334" s="262">
        <f t="shared" si="259"/>
        <v>2.8666666666666679E-4</v>
      </c>
      <c r="BK334" s="270">
        <f t="shared" si="228"/>
        <v>3.1657893521556707E-4</v>
      </c>
      <c r="BL334" s="270">
        <f t="shared" si="260"/>
        <v>4.6666666666666672E-5</v>
      </c>
      <c r="BM334" s="271">
        <f t="shared" si="244"/>
        <v>4.6666666666666671E-3</v>
      </c>
      <c r="BO334" s="351" t="e">
        <f>((((IF($T$5=0,$T$6,$T$5)))/(12*$T$19))+(((3*$T$15)/(2*IF($T$5=0,$T$6,$T$5)*$U$5*$T$19))*'IN-OUT'!$F$14))*'Burland damage classification'!BS334</f>
        <v>#DIV/0!</v>
      </c>
      <c r="BP334" s="352">
        <f>(1+(((IF($T$5=0,$T$6^2,$T$5^2))*$U$5)/(18*$T$15))*('IN-OUT'!$F$14^(-1)))*BT334</f>
        <v>4.8339080118126645E-4</v>
      </c>
      <c r="BQ334" s="254" t="e">
        <f t="shared" si="229"/>
        <v>#DIV/0!</v>
      </c>
      <c r="BR334" s="254" t="e">
        <f t="shared" si="245"/>
        <v>#DIV/0!</v>
      </c>
      <c r="BS334" s="254">
        <f t="shared" si="261"/>
        <v>4.5333333333333347E-4</v>
      </c>
      <c r="BT334" s="253">
        <f t="shared" si="230"/>
        <v>4.8339080118126645E-4</v>
      </c>
      <c r="BU334" s="253">
        <f t="shared" si="262"/>
        <v>4.6666666666666672E-5</v>
      </c>
      <c r="BV334" s="255">
        <f t="shared" si="246"/>
        <v>4.6666666666666671E-3</v>
      </c>
      <c r="BX334" s="351" t="e">
        <f>((((IF($T$5=0,$T$6,$T$5)))/(12*$T$19))+(((3*$T$15)/(2*IF($T$5=0,$T$6,$T$5)*$U$5*$T$19))*'IN-OUT'!$F$14))*'Burland damage classification'!CB334</f>
        <v>#DIV/0!</v>
      </c>
      <c r="BY334" s="352">
        <f>(1+(((IF($T$5=0,$T$6^2,$T$5^2))*$U$5)/(18*$T$15))*('IN-OUT'!$F$14^(-1)))*CC334</f>
        <v>9.8353105356838296E-4</v>
      </c>
      <c r="BZ334" s="254" t="e">
        <f t="shared" si="231"/>
        <v>#DIV/0!</v>
      </c>
      <c r="CA334" s="254" t="e">
        <f t="shared" si="247"/>
        <v>#DIV/0!</v>
      </c>
      <c r="CB334" s="254">
        <f t="shared" si="263"/>
        <v>9.5333333333333316E-4</v>
      </c>
      <c r="CC334" s="253">
        <f t="shared" si="232"/>
        <v>9.8353105356838296E-4</v>
      </c>
      <c r="CD334" s="253">
        <f t="shared" si="264"/>
        <v>4.6666666666666672E-5</v>
      </c>
      <c r="CE334" s="255">
        <f t="shared" si="248"/>
        <v>4.6666666666666671E-3</v>
      </c>
      <c r="CG334" s="351" t="e">
        <f>((((IF($T$5=0,$T$6,$T$5)))/(12*$T$19))+(((3*$T$15)/(2*IF($T$5=0,$T$6,$T$5)*$U$5*$T$19))*'IN-OUT'!$F$14))*'Burland damage classification'!CK334</f>
        <v>#DIV/0!</v>
      </c>
      <c r="CH334" s="352">
        <f>(1+(((IF($T$5=0,$T$6^2,$T$5^2))*$U$5)/(18*$T$15))*('IN-OUT'!$F$14^(-1)))*CL334</f>
        <v>1.9835994219263792E-3</v>
      </c>
      <c r="CI334" s="254" t="e">
        <f t="shared" si="233"/>
        <v>#DIV/0!</v>
      </c>
      <c r="CJ334" s="254" t="e">
        <f t="shared" si="249"/>
        <v>#DIV/0!</v>
      </c>
      <c r="CK334" s="254">
        <f t="shared" si="265"/>
        <v>1.9533333333333343E-3</v>
      </c>
      <c r="CL334" s="270">
        <f t="shared" si="234"/>
        <v>1.9835994219263792E-3</v>
      </c>
      <c r="CM334" s="253">
        <f t="shared" si="266"/>
        <v>4.6666666666666672E-5</v>
      </c>
      <c r="CN334" s="255">
        <f t="shared" si="250"/>
        <v>4.6666666666666671E-3</v>
      </c>
    </row>
    <row r="335" spans="22:92">
      <c r="V335" s="258">
        <f>(((IF($S$5&lt;&gt;0,$S$5,IF($S$6&lt;&gt;0,$S$6,IF($S$7&lt;&gt;0,$S$7,0))))/(12*$S$19))+(((3*$S$15)/(2*(IF($S$5&lt;&gt;0,$S$5,IF($S$6&lt;&gt;0,$S$6,IF($S$7&lt;&gt;0,$S$7,0))))*$U$5*$S$19))*'IN-OUT'!$F$14))*'Burland damage classification'!Z335</f>
        <v>2.4554458614602912E-3</v>
      </c>
      <c r="W335" s="352">
        <f>(1+(((IF($S$5&lt;&gt;0,$S$5^2,IF($S$6&lt;&gt;0,$S$6^2,IF($S$7&lt;&gt;0,$S$7^2))))*$U$5)/(18*$S$15))*('IN-OUT'!$F$14^(-1)))*AA335</f>
        <v>3.1626917093452954E-4</v>
      </c>
      <c r="X335" s="262">
        <f t="shared" si="219"/>
        <v>3.1626917093452954E-4</v>
      </c>
      <c r="Y335" s="262">
        <f t="shared" si="235"/>
        <v>3.1626917093452951E-2</v>
      </c>
      <c r="Z335" s="262">
        <f t="shared" si="251"/>
        <v>2.8000000000000014E-4</v>
      </c>
      <c r="AA335" s="270">
        <f t="shared" si="220"/>
        <v>3.1411250638372658E-4</v>
      </c>
      <c r="AB335" s="270">
        <f t="shared" si="252"/>
        <v>5.333333333333334E-5</v>
      </c>
      <c r="AC335" s="271">
        <f t="shared" si="236"/>
        <v>5.333333333333334E-3</v>
      </c>
      <c r="AE335" s="258">
        <f>(((IF($S$5&lt;&gt;0,$S$5,IF($S$6&lt;&gt;0,$S$6,IF($S$7&lt;&gt;0,$S$7,0))))/(12*$S$19))+(((3*$S$15)/(2*(IF($S$5&lt;&gt;0,$S$5,IF($S$6&lt;&gt;0,$S$6,IF($S$7&lt;&gt;0,$S$7,0))))*$U$5*$S$19))*'IN-OUT'!$F$14))*'Burland damage classification'!AI335</f>
        <v>3.9170207789961786E-3</v>
      </c>
      <c r="AF335" s="353">
        <f>(1+(((IF($S$5&lt;&gt;0,$S$5^2,IF($S$6&lt;&gt;0,$S$6^2,IF($S$7&lt;&gt;0,$S$7^2))))*$U$5)/(18*$S$15))*('IN-OUT'!$F$14^(-1)))*AJ335</f>
        <v>4.8427353926947425E-4</v>
      </c>
      <c r="AG335" s="254">
        <f t="shared" si="221"/>
        <v>4.8427353926947425E-4</v>
      </c>
      <c r="AH335" s="254">
        <f t="shared" si="237"/>
        <v>4.8427353926947428E-2</v>
      </c>
      <c r="AI335" s="254">
        <f t="shared" si="253"/>
        <v>4.4666666666666683E-4</v>
      </c>
      <c r="AJ335" s="253">
        <f t="shared" si="222"/>
        <v>4.8097123961140685E-4</v>
      </c>
      <c r="AK335" s="253">
        <f t="shared" si="254"/>
        <v>5.333333333333334E-5</v>
      </c>
      <c r="AL335" s="255">
        <f t="shared" si="238"/>
        <v>5.333333333333334E-3</v>
      </c>
      <c r="AN335" s="258">
        <f>(((IF($S$5&lt;&gt;0,$S$5,IF($S$6&lt;&gt;0,$S$6,IF($S$7&lt;&gt;0,$S$7,0))))/(12*$S$19))+(((3*$S$15)/(2*(IF($S$5&lt;&gt;0,$S$5,IF($S$6&lt;&gt;0,$S$6,IF($S$7&lt;&gt;0,$S$7,0))))*$U$5*$S$19))*'IN-OUT'!$F$14))*'Burland damage classification'!AR335</f>
        <v>8.3017455316038366E-3</v>
      </c>
      <c r="AO335" s="353">
        <f>(1+(((IF($S$5&lt;&gt;0,$S$5^2,IF($S$6&lt;&gt;0,$S$6^2,IF($S$7&lt;&gt;0,$S$7^2))))*$U$5)/(18*$S$15))*('IN-OUT'!$F$14^(-1)))*AS335</f>
        <v>9.8789229693329022E-4</v>
      </c>
      <c r="AP335" s="254">
        <f t="shared" si="223"/>
        <v>9.8789229693329022E-4</v>
      </c>
      <c r="AQ335" s="254">
        <f t="shared" si="239"/>
        <v>9.8789229693329025E-2</v>
      </c>
      <c r="AR335" s="254">
        <f t="shared" si="255"/>
        <v>9.4666666666666651E-4</v>
      </c>
      <c r="AS335" s="253">
        <f t="shared" si="224"/>
        <v>9.811557810392123E-4</v>
      </c>
      <c r="AT335" s="253">
        <f t="shared" si="256"/>
        <v>5.333333333333334E-5</v>
      </c>
      <c r="AU335" s="255">
        <f t="shared" si="240"/>
        <v>5.333333333333334E-3</v>
      </c>
      <c r="AW335" s="258">
        <f>(((IF($S$5&lt;&gt;0,$S$5,IF($S$6&lt;&gt;0,$S$6,IF($S$7&lt;&gt;0,$S$7,0))))/(12*$S$19))+(((3*$S$15)/(2*(IF($S$5&lt;&gt;0,$S$5,IF($S$6&lt;&gt;0,$S$6,IF($S$7&lt;&gt;0,$S$7,0))))*$U$5*$S$19))*'IN-OUT'!$F$14))*'Burland damage classification'!BA335</f>
        <v>1.7071195036819167E-2</v>
      </c>
      <c r="AX335" s="353">
        <f>(1+(((IF($S$5&lt;&gt;0,$S$5^2,IF($S$6&lt;&gt;0,$S$6^2,IF($S$7&lt;&gt;0,$S$7^2))))*$U$5)/(18*$S$15))*('IN-OUT'!$F$14^(-1)))*BB335</f>
        <v>1.9948484291665192E-3</v>
      </c>
      <c r="AY335" s="254">
        <f t="shared" si="225"/>
        <v>1.9948484291665192E-3</v>
      </c>
      <c r="AZ335" s="254">
        <f t="shared" si="241"/>
        <v>0.19948484291665192</v>
      </c>
      <c r="BA335" s="254">
        <f t="shared" si="257"/>
        <v>1.9466666666666675E-3</v>
      </c>
      <c r="BB335" s="270">
        <f t="shared" si="226"/>
        <v>1.9812453995740492E-3</v>
      </c>
      <c r="BC335" s="253">
        <f t="shared" si="258"/>
        <v>5.333333333333334E-5</v>
      </c>
      <c r="BD335" s="255">
        <f t="shared" si="242"/>
        <v>5.333333333333334E-3</v>
      </c>
      <c r="BF335" s="351" t="e">
        <f>((((IF($T$5=0,$T$6,$T$5)))/(12*$T$19))+(((3*$T$15)/(2*IF($T$5=0,$T$6,$T$5)*$U$5*$T$19))*'IN-OUT'!$F$14))*'Burland damage classification'!BJ335</f>
        <v>#DIV/0!</v>
      </c>
      <c r="BG335" s="352">
        <f>(1+(((IF($T$5=0,$T$6^2,$T$5^2))*$U$5)/(18*$T$15))*('IN-OUT'!$F$14^(-1)))*BK335</f>
        <v>3.1411250638372658E-4</v>
      </c>
      <c r="BH335" s="262" t="e">
        <f t="shared" si="227"/>
        <v>#DIV/0!</v>
      </c>
      <c r="BI335" s="262" t="e">
        <f t="shared" si="243"/>
        <v>#DIV/0!</v>
      </c>
      <c r="BJ335" s="262">
        <f t="shared" si="259"/>
        <v>2.8000000000000014E-4</v>
      </c>
      <c r="BK335" s="270">
        <f t="shared" si="228"/>
        <v>3.1411250638372658E-4</v>
      </c>
      <c r="BL335" s="270">
        <f t="shared" si="260"/>
        <v>5.333333333333334E-5</v>
      </c>
      <c r="BM335" s="271">
        <f t="shared" si="244"/>
        <v>5.333333333333334E-3</v>
      </c>
      <c r="BO335" s="351" t="e">
        <f>((((IF($T$5=0,$T$6,$T$5)))/(12*$T$19))+(((3*$T$15)/(2*IF($T$5=0,$T$6,$T$5)*$U$5*$T$19))*'IN-OUT'!$F$14))*'Burland damage classification'!BS335</f>
        <v>#DIV/0!</v>
      </c>
      <c r="BP335" s="352">
        <f>(1+(((IF($T$5=0,$T$6^2,$T$5^2))*$U$5)/(18*$T$15))*('IN-OUT'!$F$14^(-1)))*BT335</f>
        <v>4.8097123961140685E-4</v>
      </c>
      <c r="BQ335" s="254" t="e">
        <f t="shared" si="229"/>
        <v>#DIV/0!</v>
      </c>
      <c r="BR335" s="254" t="e">
        <f t="shared" si="245"/>
        <v>#DIV/0!</v>
      </c>
      <c r="BS335" s="254">
        <f t="shared" si="261"/>
        <v>4.4666666666666683E-4</v>
      </c>
      <c r="BT335" s="253">
        <f t="shared" si="230"/>
        <v>4.8097123961140685E-4</v>
      </c>
      <c r="BU335" s="253">
        <f t="shared" si="262"/>
        <v>5.333333333333334E-5</v>
      </c>
      <c r="BV335" s="255">
        <f t="shared" si="246"/>
        <v>5.333333333333334E-3</v>
      </c>
      <c r="BX335" s="351" t="e">
        <f>((((IF($T$5=0,$T$6,$T$5)))/(12*$T$19))+(((3*$T$15)/(2*IF($T$5=0,$T$6,$T$5)*$U$5*$T$19))*'IN-OUT'!$F$14))*'Burland damage classification'!CB335</f>
        <v>#DIV/0!</v>
      </c>
      <c r="BY335" s="352">
        <f>(1+(((IF($T$5=0,$T$6^2,$T$5^2))*$U$5)/(18*$T$15))*('IN-OUT'!$F$14^(-1)))*CC335</f>
        <v>9.811557810392123E-4</v>
      </c>
      <c r="BZ335" s="254" t="e">
        <f t="shared" si="231"/>
        <v>#DIV/0!</v>
      </c>
      <c r="CA335" s="254" t="e">
        <f t="shared" si="247"/>
        <v>#DIV/0!</v>
      </c>
      <c r="CB335" s="254">
        <f t="shared" si="263"/>
        <v>9.4666666666666651E-4</v>
      </c>
      <c r="CC335" s="253">
        <f t="shared" si="232"/>
        <v>9.811557810392123E-4</v>
      </c>
      <c r="CD335" s="253">
        <f t="shared" si="264"/>
        <v>5.333333333333334E-5</v>
      </c>
      <c r="CE335" s="255">
        <f t="shared" si="248"/>
        <v>5.333333333333334E-3</v>
      </c>
      <c r="CG335" s="351" t="e">
        <f>((((IF($T$5=0,$T$6,$T$5)))/(12*$T$19))+(((3*$T$15)/(2*IF($T$5=0,$T$6,$T$5)*$U$5*$T$19))*'IN-OUT'!$F$14))*'Burland damage classification'!CK335</f>
        <v>#DIV/0!</v>
      </c>
      <c r="CH335" s="352">
        <f>(1+(((IF($T$5=0,$T$6^2,$T$5^2))*$U$5)/(18*$T$15))*('IN-OUT'!$F$14^(-1)))*CL335</f>
        <v>1.9812453995740492E-3</v>
      </c>
      <c r="CI335" s="254" t="e">
        <f t="shared" si="233"/>
        <v>#DIV/0!</v>
      </c>
      <c r="CJ335" s="254" t="e">
        <f t="shared" si="249"/>
        <v>#DIV/0!</v>
      </c>
      <c r="CK335" s="254">
        <f t="shared" si="265"/>
        <v>1.9466666666666675E-3</v>
      </c>
      <c r="CL335" s="270">
        <f t="shared" si="234"/>
        <v>1.9812453995740492E-3</v>
      </c>
      <c r="CM335" s="253">
        <f t="shared" si="266"/>
        <v>5.333333333333334E-5</v>
      </c>
      <c r="CN335" s="255">
        <f t="shared" si="250"/>
        <v>5.333333333333334E-3</v>
      </c>
    </row>
    <row r="336" spans="22:92">
      <c r="V336" s="258">
        <f>(((IF($S$5&lt;&gt;0,$S$5,IF($S$6&lt;&gt;0,$S$6,IF($S$7&lt;&gt;0,$S$7,0))))/(12*$S$19))+(((3*$S$15)/(2*(IF($S$5&lt;&gt;0,$S$5,IF($S$6&lt;&gt;0,$S$6,IF($S$7&lt;&gt;0,$S$7,0))))*$U$5*$S$19))*'IN-OUT'!$F$14))*'Burland damage classification'!Z336</f>
        <v>2.3969828647588559E-3</v>
      </c>
      <c r="W336" s="352">
        <f>(1+(((IF($S$5&lt;&gt;0,$S$5^2,IF($S$6&lt;&gt;0,$S$6^2,IF($S$7&lt;&gt;0,$S$7^2))))*$U$5)/(18*$S$15))*('IN-OUT'!$F$14^(-1)))*AA336</f>
        <v>3.1376615340973228E-4</v>
      </c>
      <c r="X336" s="262">
        <f t="shared" si="219"/>
        <v>3.1376615340973228E-4</v>
      </c>
      <c r="Y336" s="262">
        <f t="shared" si="235"/>
        <v>3.1376615340973225E-2</v>
      </c>
      <c r="Z336" s="262">
        <f t="shared" si="251"/>
        <v>2.7333333333333349E-4</v>
      </c>
      <c r="AA336" s="270">
        <f t="shared" si="220"/>
        <v>3.1162655713387318E-4</v>
      </c>
      <c r="AB336" s="270">
        <f t="shared" si="252"/>
        <v>6.0000000000000008E-5</v>
      </c>
      <c r="AC336" s="271">
        <f t="shared" si="236"/>
        <v>6.000000000000001E-3</v>
      </c>
      <c r="AE336" s="258">
        <f>(((IF($S$5&lt;&gt;0,$S$5,IF($S$6&lt;&gt;0,$S$6,IF($S$7&lt;&gt;0,$S$7,0))))/(12*$S$19))+(((3*$S$15)/(2*(IF($S$5&lt;&gt;0,$S$5,IF($S$6&lt;&gt;0,$S$6,IF($S$7&lt;&gt;0,$S$7,0))))*$U$5*$S$19))*'IN-OUT'!$F$14))*'Burland damage classification'!AI336</f>
        <v>3.8585577822947432E-3</v>
      </c>
      <c r="AF336" s="353">
        <f>(1+(((IF($S$5&lt;&gt;0,$S$5^2,IF($S$6&lt;&gt;0,$S$6^2,IF($S$7&lt;&gt;0,$S$7^2))))*$U$5)/(18*$S$15))*('IN-OUT'!$F$14^(-1)))*AJ336</f>
        <v>4.8182504776056472E-4</v>
      </c>
      <c r="AG336" s="254">
        <f t="shared" si="221"/>
        <v>4.8182504776056472E-4</v>
      </c>
      <c r="AH336" s="254">
        <f t="shared" si="237"/>
        <v>4.818250477605647E-2</v>
      </c>
      <c r="AI336" s="254">
        <f t="shared" si="253"/>
        <v>4.4000000000000018E-4</v>
      </c>
      <c r="AJ336" s="253">
        <f t="shared" si="222"/>
        <v>4.7853944456021594E-4</v>
      </c>
      <c r="AK336" s="253">
        <f t="shared" si="254"/>
        <v>6.0000000000000008E-5</v>
      </c>
      <c r="AL336" s="255">
        <f t="shared" si="238"/>
        <v>6.000000000000001E-3</v>
      </c>
      <c r="AN336" s="258">
        <f>(((IF($S$5&lt;&gt;0,$S$5,IF($S$6&lt;&gt;0,$S$6,IF($S$7&lt;&gt;0,$S$7,0))))/(12*$S$19))+(((3*$S$15)/(2*(IF($S$5&lt;&gt;0,$S$5,IF($S$6&lt;&gt;0,$S$6,IF($S$7&lt;&gt;0,$S$7,0))))*$U$5*$S$19))*'IN-OUT'!$F$14))*'Burland damage classification'!AR336</f>
        <v>8.2432825349024012E-3</v>
      </c>
      <c r="AO336" s="353">
        <f>(1+(((IF($S$5&lt;&gt;0,$S$5^2,IF($S$6&lt;&gt;0,$S$6^2,IF($S$7&lt;&gt;0,$S$7^2))))*$U$5)/(18*$S$15))*('IN-OUT'!$F$14^(-1)))*AS336</f>
        <v>9.8549491219686509E-4</v>
      </c>
      <c r="AP336" s="254">
        <f t="shared" si="223"/>
        <v>9.8549491219686509E-4</v>
      </c>
      <c r="AQ336" s="254">
        <f t="shared" si="239"/>
        <v>9.8549491219686508E-2</v>
      </c>
      <c r="AR336" s="254">
        <f t="shared" si="255"/>
        <v>9.3999999999999986E-4</v>
      </c>
      <c r="AS336" s="253">
        <f t="shared" si="224"/>
        <v>9.7877474425937241E-4</v>
      </c>
      <c r="AT336" s="253">
        <f t="shared" si="256"/>
        <v>6.0000000000000008E-5</v>
      </c>
      <c r="AU336" s="255">
        <f t="shared" si="240"/>
        <v>6.000000000000001E-3</v>
      </c>
      <c r="AW336" s="258">
        <f>(((IF($S$5&lt;&gt;0,$S$5,IF($S$6&lt;&gt;0,$S$6,IF($S$7&lt;&gt;0,$S$7,0))))/(12*$S$19))+(((3*$S$15)/(2*(IF($S$5&lt;&gt;0,$S$5,IF($S$6&lt;&gt;0,$S$6,IF($S$7&lt;&gt;0,$S$7,0))))*$U$5*$S$19))*'IN-OUT'!$F$14))*'Burland damage classification'!BA336</f>
        <v>1.7012732040117731E-2</v>
      </c>
      <c r="AX336" s="353">
        <f>(1+(((IF($S$5&lt;&gt;0,$S$5^2,IF($S$6&lt;&gt;0,$S$6^2,IF($S$7&lt;&gt;0,$S$7^2))))*$U$5)/(18*$S$15))*('IN-OUT'!$F$14^(-1)))*BB336</f>
        <v>1.9924754248420926E-3</v>
      </c>
      <c r="AY336" s="254">
        <f t="shared" si="225"/>
        <v>1.9924754248420926E-3</v>
      </c>
      <c r="AZ336" s="254">
        <f t="shared" si="241"/>
        <v>0.19924754248420926</v>
      </c>
      <c r="BA336" s="254">
        <f t="shared" si="257"/>
        <v>1.9400000000000008E-3</v>
      </c>
      <c r="BB336" s="270">
        <f t="shared" si="226"/>
        <v>1.9788885769542455E-3</v>
      </c>
      <c r="BC336" s="253">
        <f t="shared" si="258"/>
        <v>6.0000000000000008E-5</v>
      </c>
      <c r="BD336" s="255">
        <f t="shared" si="242"/>
        <v>6.000000000000001E-3</v>
      </c>
      <c r="BF336" s="351" t="e">
        <f>((((IF($T$5=0,$T$6,$T$5)))/(12*$T$19))+(((3*$T$15)/(2*IF($T$5=0,$T$6,$T$5)*$U$5*$T$19))*'IN-OUT'!$F$14))*'Burland damage classification'!BJ336</f>
        <v>#DIV/0!</v>
      </c>
      <c r="BG336" s="352">
        <f>(1+(((IF($T$5=0,$T$6^2,$T$5^2))*$U$5)/(18*$T$15))*('IN-OUT'!$F$14^(-1)))*BK336</f>
        <v>3.1162655713387318E-4</v>
      </c>
      <c r="BH336" s="262" t="e">
        <f t="shared" si="227"/>
        <v>#DIV/0!</v>
      </c>
      <c r="BI336" s="262" t="e">
        <f t="shared" si="243"/>
        <v>#DIV/0!</v>
      </c>
      <c r="BJ336" s="262">
        <f t="shared" si="259"/>
        <v>2.7333333333333349E-4</v>
      </c>
      <c r="BK336" s="270">
        <f t="shared" si="228"/>
        <v>3.1162655713387318E-4</v>
      </c>
      <c r="BL336" s="270">
        <f t="shared" si="260"/>
        <v>6.0000000000000008E-5</v>
      </c>
      <c r="BM336" s="271">
        <f t="shared" si="244"/>
        <v>6.000000000000001E-3</v>
      </c>
      <c r="BO336" s="351" t="e">
        <f>((((IF($T$5=0,$T$6,$T$5)))/(12*$T$19))+(((3*$T$15)/(2*IF($T$5=0,$T$6,$T$5)*$U$5*$T$19))*'IN-OUT'!$F$14))*'Burland damage classification'!BS336</f>
        <v>#DIV/0!</v>
      </c>
      <c r="BP336" s="352">
        <f>(1+(((IF($T$5=0,$T$6^2,$T$5^2))*$U$5)/(18*$T$15))*('IN-OUT'!$F$14^(-1)))*BT336</f>
        <v>4.7853944456021594E-4</v>
      </c>
      <c r="BQ336" s="254" t="e">
        <f t="shared" si="229"/>
        <v>#DIV/0!</v>
      </c>
      <c r="BR336" s="254" t="e">
        <f t="shared" si="245"/>
        <v>#DIV/0!</v>
      </c>
      <c r="BS336" s="254">
        <f t="shared" si="261"/>
        <v>4.4000000000000018E-4</v>
      </c>
      <c r="BT336" s="253">
        <f t="shared" si="230"/>
        <v>4.7853944456021594E-4</v>
      </c>
      <c r="BU336" s="253">
        <f t="shared" si="262"/>
        <v>6.0000000000000008E-5</v>
      </c>
      <c r="BV336" s="255">
        <f t="shared" si="246"/>
        <v>6.000000000000001E-3</v>
      </c>
      <c r="BX336" s="351" t="e">
        <f>((((IF($T$5=0,$T$6,$T$5)))/(12*$T$19))+(((3*$T$15)/(2*IF($T$5=0,$T$6,$T$5)*$U$5*$T$19))*'IN-OUT'!$F$14))*'Burland damage classification'!CB336</f>
        <v>#DIV/0!</v>
      </c>
      <c r="BY336" s="352">
        <f>(1+(((IF($T$5=0,$T$6^2,$T$5^2))*$U$5)/(18*$T$15))*('IN-OUT'!$F$14^(-1)))*CC336</f>
        <v>9.7877474425937241E-4</v>
      </c>
      <c r="BZ336" s="254" t="e">
        <f t="shared" si="231"/>
        <v>#DIV/0!</v>
      </c>
      <c r="CA336" s="254" t="e">
        <f t="shared" si="247"/>
        <v>#DIV/0!</v>
      </c>
      <c r="CB336" s="254">
        <f t="shared" si="263"/>
        <v>9.3999999999999986E-4</v>
      </c>
      <c r="CC336" s="253">
        <f t="shared" si="232"/>
        <v>9.7877474425937241E-4</v>
      </c>
      <c r="CD336" s="253">
        <f t="shared" si="264"/>
        <v>6.0000000000000008E-5</v>
      </c>
      <c r="CE336" s="255">
        <f t="shared" si="248"/>
        <v>6.000000000000001E-3</v>
      </c>
      <c r="CG336" s="351" t="e">
        <f>((((IF($T$5=0,$T$6,$T$5)))/(12*$T$19))+(((3*$T$15)/(2*IF($T$5=0,$T$6,$T$5)*$U$5*$T$19))*'IN-OUT'!$F$14))*'Burland damage classification'!CK336</f>
        <v>#DIV/0!</v>
      </c>
      <c r="CH336" s="352">
        <f>(1+(((IF($T$5=0,$T$6^2,$T$5^2))*$U$5)/(18*$T$15))*('IN-OUT'!$F$14^(-1)))*CL336</f>
        <v>1.9788885769542455E-3</v>
      </c>
      <c r="CI336" s="254" t="e">
        <f t="shared" si="233"/>
        <v>#DIV/0!</v>
      </c>
      <c r="CJ336" s="254" t="e">
        <f t="shared" si="249"/>
        <v>#DIV/0!</v>
      </c>
      <c r="CK336" s="254">
        <f t="shared" si="265"/>
        <v>1.9400000000000008E-3</v>
      </c>
      <c r="CL336" s="270">
        <f t="shared" si="234"/>
        <v>1.9788885769542455E-3</v>
      </c>
      <c r="CM336" s="253">
        <f t="shared" si="266"/>
        <v>6.0000000000000008E-5</v>
      </c>
      <c r="CN336" s="255">
        <f t="shared" si="250"/>
        <v>6.000000000000001E-3</v>
      </c>
    </row>
    <row r="337" spans="22:92">
      <c r="V337" s="258">
        <f>(((IF($S$5&lt;&gt;0,$S$5,IF($S$6&lt;&gt;0,$S$6,IF($S$7&lt;&gt;0,$S$7,0))))/(12*$S$19))+(((3*$S$15)/(2*(IF($S$5&lt;&gt;0,$S$5,IF($S$6&lt;&gt;0,$S$6,IF($S$7&lt;&gt;0,$S$7,0))))*$U$5*$S$19))*'IN-OUT'!$F$14))*'Burland damage classification'!Z337</f>
        <v>2.3385198680574205E-3</v>
      </c>
      <c r="W337" s="352">
        <f>(1+(((IF($S$5&lt;&gt;0,$S$5^2,IF($S$6&lt;&gt;0,$S$6^2,IF($S$7&lt;&gt;0,$S$7^2))))*$U$5)/(18*$S$15))*('IN-OUT'!$F$14^(-1)))*AA337</f>
        <v>3.1124300725874092E-4</v>
      </c>
      <c r="X337" s="262">
        <f t="shared" si="219"/>
        <v>3.1124300725874092E-4</v>
      </c>
      <c r="Y337" s="262">
        <f t="shared" si="235"/>
        <v>3.1124300725874091E-2</v>
      </c>
      <c r="Z337" s="262">
        <f t="shared" si="251"/>
        <v>2.6666666666666684E-4</v>
      </c>
      <c r="AA337" s="270">
        <f t="shared" si="220"/>
        <v>3.0912061651652346E-4</v>
      </c>
      <c r="AB337" s="270">
        <f t="shared" si="252"/>
        <v>6.666666666666667E-5</v>
      </c>
      <c r="AC337" s="271">
        <f t="shared" si="236"/>
        <v>6.6666666666666671E-3</v>
      </c>
      <c r="AE337" s="258">
        <f>(((IF($S$5&lt;&gt;0,$S$5,IF($S$6&lt;&gt;0,$S$6,IF($S$7&lt;&gt;0,$S$7,0))))/(12*$S$19))+(((3*$S$15)/(2*(IF($S$5&lt;&gt;0,$S$5,IF($S$6&lt;&gt;0,$S$6,IF($S$7&lt;&gt;0,$S$7,0))))*$U$5*$S$19))*'IN-OUT'!$F$14))*'Burland damage classification'!AI337</f>
        <v>3.8000947855933078E-3</v>
      </c>
      <c r="AF337" s="353">
        <f>(1+(((IF($S$5&lt;&gt;0,$S$5^2,IF($S$6&lt;&gt;0,$S$6^2,IF($S$7&lt;&gt;0,$S$7^2))))*$U$5)/(18*$S$15))*('IN-OUT'!$F$14^(-1)))*AJ337</f>
        <v>4.7936405003124502E-4</v>
      </c>
      <c r="AG337" s="254">
        <f t="shared" si="221"/>
        <v>4.7936405003124502E-4</v>
      </c>
      <c r="AH337" s="254">
        <f t="shared" si="237"/>
        <v>4.7936405003124502E-2</v>
      </c>
      <c r="AI337" s="254">
        <f t="shared" si="253"/>
        <v>4.3333333333333353E-4</v>
      </c>
      <c r="AJ337" s="253">
        <f t="shared" si="222"/>
        <v>4.7609522856952334E-4</v>
      </c>
      <c r="AK337" s="253">
        <f t="shared" si="254"/>
        <v>6.666666666666667E-5</v>
      </c>
      <c r="AL337" s="255">
        <f t="shared" si="238"/>
        <v>6.6666666666666671E-3</v>
      </c>
      <c r="AN337" s="258">
        <f>(((IF($S$5&lt;&gt;0,$S$5,IF($S$6&lt;&gt;0,$S$6,IF($S$7&lt;&gt;0,$S$7,0))))/(12*$S$19))+(((3*$S$15)/(2*(IF($S$5&lt;&gt;0,$S$5,IF($S$6&lt;&gt;0,$S$6,IF($S$7&lt;&gt;0,$S$7,0))))*$U$5*$S$19))*'IN-OUT'!$F$14))*'Burland damage classification'!AR337</f>
        <v>8.1848195382009659E-3</v>
      </c>
      <c r="AO337" s="353">
        <f>(1+(((IF($S$5&lt;&gt;0,$S$5^2,IF($S$6&lt;&gt;0,$S$6^2,IF($S$7&lt;&gt;0,$S$7^2))))*$U$5)/(18*$S$15))*('IN-OUT'!$F$14^(-1)))*AS337</f>
        <v>9.8309168117306431E-4</v>
      </c>
      <c r="AP337" s="254">
        <f t="shared" si="223"/>
        <v>9.8309168117306431E-4</v>
      </c>
      <c r="AQ337" s="254">
        <f t="shared" si="239"/>
        <v>9.8309168117306431E-2</v>
      </c>
      <c r="AR337" s="254">
        <f t="shared" si="255"/>
        <v>9.3333333333333322E-4</v>
      </c>
      <c r="AS337" s="253">
        <f t="shared" si="224"/>
        <v>9.7638790105845398E-4</v>
      </c>
      <c r="AT337" s="253">
        <f t="shared" si="256"/>
        <v>6.666666666666667E-5</v>
      </c>
      <c r="AU337" s="255">
        <f t="shared" si="240"/>
        <v>6.6666666666666671E-3</v>
      </c>
      <c r="AW337" s="258">
        <f>(((IF($S$5&lt;&gt;0,$S$5,IF($S$6&lt;&gt;0,$S$6,IF($S$7&lt;&gt;0,$S$7,0))))/(12*$S$19))+(((3*$S$15)/(2*(IF($S$5&lt;&gt;0,$S$5,IF($S$6&lt;&gt;0,$S$6,IF($S$7&lt;&gt;0,$S$7,0))))*$U$5*$S$19))*'IN-OUT'!$F$14))*'Burland damage classification'!BA337</f>
        <v>1.6954269043416296E-2</v>
      </c>
      <c r="AX337" s="353">
        <f>(1+(((IF($S$5&lt;&gt;0,$S$5^2,IF($S$6&lt;&gt;0,$S$6^2,IF($S$7&lt;&gt;0,$S$7^2))))*$U$5)/(18*$S$15))*('IN-OUT'!$F$14^(-1)))*BB337</f>
        <v>1.9900995909379084E-3</v>
      </c>
      <c r="AY337" s="254">
        <f t="shared" si="225"/>
        <v>1.9900995909379084E-3</v>
      </c>
      <c r="AZ337" s="254">
        <f t="shared" si="241"/>
        <v>0.19900995909379082</v>
      </c>
      <c r="BA337" s="254">
        <f t="shared" si="257"/>
        <v>1.933333333333334E-3</v>
      </c>
      <c r="BB337" s="270">
        <f t="shared" si="226"/>
        <v>1.9765289440498127E-3</v>
      </c>
      <c r="BC337" s="253">
        <f t="shared" si="258"/>
        <v>6.666666666666667E-5</v>
      </c>
      <c r="BD337" s="255">
        <f t="shared" si="242"/>
        <v>6.6666666666666671E-3</v>
      </c>
      <c r="BF337" s="351" t="e">
        <f>((((IF($T$5=0,$T$6,$T$5)))/(12*$T$19))+(((3*$T$15)/(2*IF($T$5=0,$T$6,$T$5)*$U$5*$T$19))*'IN-OUT'!$F$14))*'Burland damage classification'!BJ337</f>
        <v>#DIV/0!</v>
      </c>
      <c r="BG337" s="352">
        <f>(1+(((IF($T$5=0,$T$6^2,$T$5^2))*$U$5)/(18*$T$15))*('IN-OUT'!$F$14^(-1)))*BK337</f>
        <v>3.0912061651652346E-4</v>
      </c>
      <c r="BH337" s="262" t="e">
        <f t="shared" si="227"/>
        <v>#DIV/0!</v>
      </c>
      <c r="BI337" s="262" t="e">
        <f t="shared" si="243"/>
        <v>#DIV/0!</v>
      </c>
      <c r="BJ337" s="262">
        <f t="shared" si="259"/>
        <v>2.6666666666666684E-4</v>
      </c>
      <c r="BK337" s="270">
        <f t="shared" si="228"/>
        <v>3.0912061651652346E-4</v>
      </c>
      <c r="BL337" s="270">
        <f t="shared" si="260"/>
        <v>6.666666666666667E-5</v>
      </c>
      <c r="BM337" s="271">
        <f t="shared" si="244"/>
        <v>6.6666666666666671E-3</v>
      </c>
      <c r="BO337" s="351" t="e">
        <f>((((IF($T$5=0,$T$6,$T$5)))/(12*$T$19))+(((3*$T$15)/(2*IF($T$5=0,$T$6,$T$5)*$U$5*$T$19))*'IN-OUT'!$F$14))*'Burland damage classification'!BS337</f>
        <v>#DIV/0!</v>
      </c>
      <c r="BP337" s="352">
        <f>(1+(((IF($T$5=0,$T$6^2,$T$5^2))*$U$5)/(18*$T$15))*('IN-OUT'!$F$14^(-1)))*BT337</f>
        <v>4.7609522856952334E-4</v>
      </c>
      <c r="BQ337" s="254" t="e">
        <f t="shared" si="229"/>
        <v>#DIV/0!</v>
      </c>
      <c r="BR337" s="254" t="e">
        <f t="shared" si="245"/>
        <v>#DIV/0!</v>
      </c>
      <c r="BS337" s="254">
        <f t="shared" si="261"/>
        <v>4.3333333333333353E-4</v>
      </c>
      <c r="BT337" s="253">
        <f t="shared" si="230"/>
        <v>4.7609522856952334E-4</v>
      </c>
      <c r="BU337" s="253">
        <f t="shared" si="262"/>
        <v>6.666666666666667E-5</v>
      </c>
      <c r="BV337" s="255">
        <f t="shared" si="246"/>
        <v>6.6666666666666671E-3</v>
      </c>
      <c r="BX337" s="351" t="e">
        <f>((((IF($T$5=0,$T$6,$T$5)))/(12*$T$19))+(((3*$T$15)/(2*IF($T$5=0,$T$6,$T$5)*$U$5*$T$19))*'IN-OUT'!$F$14))*'Burland damage classification'!CB337</f>
        <v>#DIV/0!</v>
      </c>
      <c r="BY337" s="352">
        <f>(1+(((IF($T$5=0,$T$6^2,$T$5^2))*$U$5)/(18*$T$15))*('IN-OUT'!$F$14^(-1)))*CC337</f>
        <v>9.7638790105845398E-4</v>
      </c>
      <c r="BZ337" s="254" t="e">
        <f t="shared" si="231"/>
        <v>#DIV/0!</v>
      </c>
      <c r="CA337" s="254" t="e">
        <f t="shared" si="247"/>
        <v>#DIV/0!</v>
      </c>
      <c r="CB337" s="254">
        <f t="shared" si="263"/>
        <v>9.3333333333333322E-4</v>
      </c>
      <c r="CC337" s="253">
        <f t="shared" si="232"/>
        <v>9.7638790105845398E-4</v>
      </c>
      <c r="CD337" s="253">
        <f t="shared" si="264"/>
        <v>6.666666666666667E-5</v>
      </c>
      <c r="CE337" s="255">
        <f t="shared" si="248"/>
        <v>6.6666666666666671E-3</v>
      </c>
      <c r="CG337" s="351" t="e">
        <f>((((IF($T$5=0,$T$6,$T$5)))/(12*$T$19))+(((3*$T$15)/(2*IF($T$5=0,$T$6,$T$5)*$U$5*$T$19))*'IN-OUT'!$F$14))*'Burland damage classification'!CK337</f>
        <v>#DIV/0!</v>
      </c>
      <c r="CH337" s="352">
        <f>(1+(((IF($T$5=0,$T$6^2,$T$5^2))*$U$5)/(18*$T$15))*('IN-OUT'!$F$14^(-1)))*CL337</f>
        <v>1.9765289440498127E-3</v>
      </c>
      <c r="CI337" s="254" t="e">
        <f t="shared" si="233"/>
        <v>#DIV/0!</v>
      </c>
      <c r="CJ337" s="254" t="e">
        <f t="shared" si="249"/>
        <v>#DIV/0!</v>
      </c>
      <c r="CK337" s="254">
        <f t="shared" si="265"/>
        <v>1.933333333333334E-3</v>
      </c>
      <c r="CL337" s="270">
        <f t="shared" si="234"/>
        <v>1.9765289440498127E-3</v>
      </c>
      <c r="CM337" s="253">
        <f t="shared" si="266"/>
        <v>6.666666666666667E-5</v>
      </c>
      <c r="CN337" s="255">
        <f t="shared" si="250"/>
        <v>6.6666666666666671E-3</v>
      </c>
    </row>
    <row r="338" spans="22:92">
      <c r="V338" s="258">
        <f>(((IF($S$5&lt;&gt;0,$S$5,IF($S$6&lt;&gt;0,$S$6,IF($S$7&lt;&gt;0,$S$7,0))))/(12*$S$19))+(((3*$S$15)/(2*(IF($S$5&lt;&gt;0,$S$5,IF($S$6&lt;&gt;0,$S$6,IF($S$7&lt;&gt;0,$S$7,0))))*$U$5*$S$19))*'IN-OUT'!$F$14))*'Burland damage classification'!Z338</f>
        <v>2.2800568713559856E-3</v>
      </c>
      <c r="W338" s="352">
        <f>(1+(((IF($S$5&lt;&gt;0,$S$5^2,IF($S$6&lt;&gt;0,$S$6^2,IF($S$7&lt;&gt;0,$S$7^2))))*$U$5)/(18*$S$15))*('IN-OUT'!$F$14^(-1)))*AA338</f>
        <v>3.0869923891935599E-4</v>
      </c>
      <c r="X338" s="262">
        <f t="shared" si="219"/>
        <v>3.0869923891935599E-4</v>
      </c>
      <c r="Y338" s="262">
        <f t="shared" si="235"/>
        <v>3.0869923891935599E-2</v>
      </c>
      <c r="Z338" s="262">
        <f t="shared" si="251"/>
        <v>2.6000000000000019E-4</v>
      </c>
      <c r="AA338" s="270">
        <f t="shared" si="220"/>
        <v>3.0659419433511781E-4</v>
      </c>
      <c r="AB338" s="270">
        <f t="shared" si="252"/>
        <v>7.3333333333333331E-5</v>
      </c>
      <c r="AC338" s="271">
        <f t="shared" si="236"/>
        <v>7.3333333333333332E-3</v>
      </c>
      <c r="AE338" s="258">
        <f>(((IF($S$5&lt;&gt;0,$S$5,IF($S$6&lt;&gt;0,$S$6,IF($S$7&lt;&gt;0,$S$7,0))))/(12*$S$19))+(((3*$S$15)/(2*(IF($S$5&lt;&gt;0,$S$5,IF($S$6&lt;&gt;0,$S$6,IF($S$7&lt;&gt;0,$S$7,0))))*$U$5*$S$19))*'IN-OUT'!$F$14))*'Burland damage classification'!AI338</f>
        <v>3.7416317888918724E-3</v>
      </c>
      <c r="AF338" s="353">
        <f>(1+(((IF($S$5&lt;&gt;0,$S$5^2,IF($S$6&lt;&gt;0,$S$6^2,IF($S$7&lt;&gt;0,$S$7^2))))*$U$5)/(18*$S$15))*('IN-OUT'!$F$14^(-1)))*AJ338</f>
        <v>4.7689035246610458E-4</v>
      </c>
      <c r="AG338" s="254">
        <f t="shared" si="221"/>
        <v>4.7689035246610458E-4</v>
      </c>
      <c r="AH338" s="254">
        <f t="shared" si="237"/>
        <v>4.7689035246610459E-2</v>
      </c>
      <c r="AI338" s="254">
        <f t="shared" si="253"/>
        <v>4.2666666666666688E-4</v>
      </c>
      <c r="AJ338" s="253">
        <f t="shared" si="222"/>
        <v>4.7363839934419733E-4</v>
      </c>
      <c r="AK338" s="253">
        <f t="shared" si="254"/>
        <v>7.3333333333333331E-5</v>
      </c>
      <c r="AL338" s="255">
        <f t="shared" si="238"/>
        <v>7.3333333333333332E-3</v>
      </c>
      <c r="AN338" s="258">
        <f>(((IF($S$5&lt;&gt;0,$S$5,IF($S$6&lt;&gt;0,$S$6,IF($S$7&lt;&gt;0,$S$7,0))))/(12*$S$19))+(((3*$S$15)/(2*(IF($S$5&lt;&gt;0,$S$5,IF($S$6&lt;&gt;0,$S$6,IF($S$7&lt;&gt;0,$S$7,0))))*$U$5*$S$19))*'IN-OUT'!$F$14))*'Burland damage classification'!AR338</f>
        <v>8.1263565414995305E-3</v>
      </c>
      <c r="AO338" s="353">
        <f>(1+(((IF($S$5&lt;&gt;0,$S$5^2,IF($S$6&lt;&gt;0,$S$6^2,IF($S$7&lt;&gt;0,$S$7^2))))*$U$5)/(18*$S$15))*('IN-OUT'!$F$14^(-1)))*AS338</f>
        <v>9.8068256088168363E-4</v>
      </c>
      <c r="AP338" s="254">
        <f t="shared" si="223"/>
        <v>9.8068256088168363E-4</v>
      </c>
      <c r="AQ338" s="254">
        <f t="shared" si="239"/>
        <v>9.8068256088168368E-2</v>
      </c>
      <c r="AR338" s="254">
        <f t="shared" si="255"/>
        <v>9.2666666666666657E-4</v>
      </c>
      <c r="AS338" s="253">
        <f t="shared" si="224"/>
        <v>9.7399520874933809E-4</v>
      </c>
      <c r="AT338" s="253">
        <f t="shared" si="256"/>
        <v>7.3333333333333331E-5</v>
      </c>
      <c r="AU338" s="255">
        <f t="shared" si="240"/>
        <v>7.3333333333333332E-3</v>
      </c>
      <c r="AW338" s="258">
        <f>(((IF($S$5&lt;&gt;0,$S$5,IF($S$6&lt;&gt;0,$S$6,IF($S$7&lt;&gt;0,$S$7,0))))/(12*$S$19))+(((3*$S$15)/(2*(IF($S$5&lt;&gt;0,$S$5,IF($S$6&lt;&gt;0,$S$6,IF($S$7&lt;&gt;0,$S$7,0))))*$U$5*$S$19))*'IN-OUT'!$F$14))*'Burland damage classification'!BA338</f>
        <v>1.6895806046714857E-2</v>
      </c>
      <c r="AX338" s="353">
        <f>(1+(((IF($S$5&lt;&gt;0,$S$5^2,IF($S$6&lt;&gt;0,$S$6^2,IF($S$7&lt;&gt;0,$S$7^2))))*$U$5)/(18*$S$15))*('IN-OUT'!$F$14^(-1)))*BB338</f>
        <v>1.9877209173077537E-3</v>
      </c>
      <c r="AY338" s="254">
        <f t="shared" si="225"/>
        <v>1.9877209173077537E-3</v>
      </c>
      <c r="AZ338" s="254">
        <f t="shared" si="241"/>
        <v>0.19877209173077537</v>
      </c>
      <c r="BA338" s="254">
        <f t="shared" si="257"/>
        <v>1.9266666666666672E-3</v>
      </c>
      <c r="BB338" s="270">
        <f t="shared" si="226"/>
        <v>1.9741664907837264E-3</v>
      </c>
      <c r="BC338" s="253">
        <f t="shared" si="258"/>
        <v>7.3333333333333331E-5</v>
      </c>
      <c r="BD338" s="255">
        <f t="shared" si="242"/>
        <v>7.3333333333333332E-3</v>
      </c>
      <c r="BF338" s="351" t="e">
        <f>((((IF($T$5=0,$T$6,$T$5)))/(12*$T$19))+(((3*$T$15)/(2*IF($T$5=0,$T$6,$T$5)*$U$5*$T$19))*'IN-OUT'!$F$14))*'Burland damage classification'!BJ338</f>
        <v>#DIV/0!</v>
      </c>
      <c r="BG338" s="352">
        <f>(1+(((IF($T$5=0,$T$6^2,$T$5^2))*$U$5)/(18*$T$15))*('IN-OUT'!$F$14^(-1)))*BK338</f>
        <v>3.0659419433511781E-4</v>
      </c>
      <c r="BH338" s="262" t="e">
        <f t="shared" si="227"/>
        <v>#DIV/0!</v>
      </c>
      <c r="BI338" s="262" t="e">
        <f t="shared" si="243"/>
        <v>#DIV/0!</v>
      </c>
      <c r="BJ338" s="262">
        <f t="shared" si="259"/>
        <v>2.6000000000000019E-4</v>
      </c>
      <c r="BK338" s="270">
        <f t="shared" si="228"/>
        <v>3.0659419433511781E-4</v>
      </c>
      <c r="BL338" s="270">
        <f t="shared" si="260"/>
        <v>7.3333333333333331E-5</v>
      </c>
      <c r="BM338" s="271">
        <f t="shared" si="244"/>
        <v>7.3333333333333332E-3</v>
      </c>
      <c r="BO338" s="351" t="e">
        <f>((((IF($T$5=0,$T$6,$T$5)))/(12*$T$19))+(((3*$T$15)/(2*IF($T$5=0,$T$6,$T$5)*$U$5*$T$19))*'IN-OUT'!$F$14))*'Burland damage classification'!BS338</f>
        <v>#DIV/0!</v>
      </c>
      <c r="BP338" s="352">
        <f>(1+(((IF($T$5=0,$T$6^2,$T$5^2))*$U$5)/(18*$T$15))*('IN-OUT'!$F$14^(-1)))*BT338</f>
        <v>4.7363839934419733E-4</v>
      </c>
      <c r="BQ338" s="254" t="e">
        <f t="shared" si="229"/>
        <v>#DIV/0!</v>
      </c>
      <c r="BR338" s="254" t="e">
        <f t="shared" si="245"/>
        <v>#DIV/0!</v>
      </c>
      <c r="BS338" s="254">
        <f t="shared" si="261"/>
        <v>4.2666666666666688E-4</v>
      </c>
      <c r="BT338" s="253">
        <f t="shared" si="230"/>
        <v>4.7363839934419733E-4</v>
      </c>
      <c r="BU338" s="253">
        <f t="shared" si="262"/>
        <v>7.3333333333333331E-5</v>
      </c>
      <c r="BV338" s="255">
        <f t="shared" si="246"/>
        <v>7.3333333333333332E-3</v>
      </c>
      <c r="BX338" s="351" t="e">
        <f>((((IF($T$5=0,$T$6,$T$5)))/(12*$T$19))+(((3*$T$15)/(2*IF($T$5=0,$T$6,$T$5)*$U$5*$T$19))*'IN-OUT'!$F$14))*'Burland damage classification'!CB338</f>
        <v>#DIV/0!</v>
      </c>
      <c r="BY338" s="352">
        <f>(1+(((IF($T$5=0,$T$6^2,$T$5^2))*$U$5)/(18*$T$15))*('IN-OUT'!$F$14^(-1)))*CC338</f>
        <v>9.7399520874933809E-4</v>
      </c>
      <c r="BZ338" s="254" t="e">
        <f t="shared" si="231"/>
        <v>#DIV/0!</v>
      </c>
      <c r="CA338" s="254" t="e">
        <f t="shared" si="247"/>
        <v>#DIV/0!</v>
      </c>
      <c r="CB338" s="254">
        <f t="shared" si="263"/>
        <v>9.2666666666666657E-4</v>
      </c>
      <c r="CC338" s="253">
        <f t="shared" si="232"/>
        <v>9.7399520874933809E-4</v>
      </c>
      <c r="CD338" s="253">
        <f t="shared" si="264"/>
        <v>7.3333333333333331E-5</v>
      </c>
      <c r="CE338" s="255">
        <f t="shared" si="248"/>
        <v>7.3333333333333332E-3</v>
      </c>
      <c r="CG338" s="351" t="e">
        <f>((((IF($T$5=0,$T$6,$T$5)))/(12*$T$19))+(((3*$T$15)/(2*IF($T$5=0,$T$6,$T$5)*$U$5*$T$19))*'IN-OUT'!$F$14))*'Burland damage classification'!CK338</f>
        <v>#DIV/0!</v>
      </c>
      <c r="CH338" s="352">
        <f>(1+(((IF($T$5=0,$T$6^2,$T$5^2))*$U$5)/(18*$T$15))*('IN-OUT'!$F$14^(-1)))*CL338</f>
        <v>1.9741664907837264E-3</v>
      </c>
      <c r="CI338" s="254" t="e">
        <f t="shared" si="233"/>
        <v>#DIV/0!</v>
      </c>
      <c r="CJ338" s="254" t="e">
        <f t="shared" si="249"/>
        <v>#DIV/0!</v>
      </c>
      <c r="CK338" s="254">
        <f t="shared" si="265"/>
        <v>1.9266666666666672E-3</v>
      </c>
      <c r="CL338" s="270">
        <f t="shared" si="234"/>
        <v>1.9741664907837264E-3</v>
      </c>
      <c r="CM338" s="253">
        <f t="shared" si="266"/>
        <v>7.3333333333333331E-5</v>
      </c>
      <c r="CN338" s="255">
        <f t="shared" si="250"/>
        <v>7.3333333333333332E-3</v>
      </c>
    </row>
    <row r="339" spans="22:92">
      <c r="V339" s="258">
        <f>(((IF($S$5&lt;&gt;0,$S$5,IF($S$6&lt;&gt;0,$S$6,IF($S$7&lt;&gt;0,$S$7,0))))/(12*$S$19))+(((3*$S$15)/(2*(IF($S$5&lt;&gt;0,$S$5,IF($S$6&lt;&gt;0,$S$6,IF($S$7&lt;&gt;0,$S$7,0))))*$U$5*$S$19))*'IN-OUT'!$F$14))*'Burland damage classification'!Z339</f>
        <v>2.2215938746545502E-3</v>
      </c>
      <c r="W339" s="352">
        <f>(1+(((IF($S$5&lt;&gt;0,$S$5^2,IF($S$6&lt;&gt;0,$S$6^2,IF($S$7&lt;&gt;0,$S$7^2))))*$U$5)/(18*$S$15))*('IN-OUT'!$F$14^(-1)))*AA339</f>
        <v>3.0613433432288292E-4</v>
      </c>
      <c r="X339" s="262">
        <f t="shared" si="219"/>
        <v>3.0613433432288292E-4</v>
      </c>
      <c r="Y339" s="262">
        <f t="shared" si="235"/>
        <v>3.0613433432288291E-2</v>
      </c>
      <c r="Z339" s="262">
        <f t="shared" si="251"/>
        <v>2.5333333333333355E-4</v>
      </c>
      <c r="AA339" s="270">
        <f t="shared" si="220"/>
        <v>3.0404678002643682E-4</v>
      </c>
      <c r="AB339" s="270">
        <f t="shared" si="252"/>
        <v>7.9999999999999993E-5</v>
      </c>
      <c r="AC339" s="271">
        <f t="shared" si="236"/>
        <v>8.0000000000000002E-3</v>
      </c>
      <c r="AE339" s="258">
        <f>(((IF($S$5&lt;&gt;0,$S$5,IF($S$6&lt;&gt;0,$S$6,IF($S$7&lt;&gt;0,$S$7,0))))/(12*$S$19))+(((3*$S$15)/(2*(IF($S$5&lt;&gt;0,$S$5,IF($S$6&lt;&gt;0,$S$6,IF($S$7&lt;&gt;0,$S$7,0))))*$U$5*$S$19))*'IN-OUT'!$F$14))*'Burland damage classification'!AI339</f>
        <v>3.6831687921904371E-3</v>
      </c>
      <c r="AF339" s="353">
        <f>(1+(((IF($S$5&lt;&gt;0,$S$5^2,IF($S$6&lt;&gt;0,$S$6^2,IF($S$7&lt;&gt;0,$S$7^2))))*$U$5)/(18*$S$15))*('IN-OUT'!$F$14^(-1)))*AJ339</f>
        <v>4.7440375640179431E-4</v>
      </c>
      <c r="AG339" s="254">
        <f t="shared" si="221"/>
        <v>4.7440375640179431E-4</v>
      </c>
      <c r="AH339" s="254">
        <f t="shared" si="237"/>
        <v>4.744037564017943E-2</v>
      </c>
      <c r="AI339" s="254">
        <f t="shared" si="253"/>
        <v>4.2000000000000023E-4</v>
      </c>
      <c r="AJ339" s="253">
        <f t="shared" si="222"/>
        <v>4.7116875957558987E-4</v>
      </c>
      <c r="AK339" s="253">
        <f t="shared" si="254"/>
        <v>7.9999999999999993E-5</v>
      </c>
      <c r="AL339" s="255">
        <f t="shared" si="238"/>
        <v>8.0000000000000002E-3</v>
      </c>
      <c r="AN339" s="258">
        <f>(((IF($S$5&lt;&gt;0,$S$5,IF($S$6&lt;&gt;0,$S$6,IF($S$7&lt;&gt;0,$S$7,0))))/(12*$S$19))+(((3*$S$15)/(2*(IF($S$5&lt;&gt;0,$S$5,IF($S$6&lt;&gt;0,$S$6,IF($S$7&lt;&gt;0,$S$7,0))))*$U$5*$S$19))*'IN-OUT'!$F$14))*'Burland damage classification'!AR339</f>
        <v>8.0678935447980951E-3</v>
      </c>
      <c r="AO339" s="353">
        <f>(1+(((IF($S$5&lt;&gt;0,$S$5^2,IF($S$6&lt;&gt;0,$S$6^2,IF($S$7&lt;&gt;0,$S$7^2))))*$U$5)/(18*$S$15))*('IN-OUT'!$F$14^(-1)))*AS339</f>
        <v>9.7826750781329326E-4</v>
      </c>
      <c r="AP339" s="254">
        <f t="shared" si="223"/>
        <v>9.7826750781329326E-4</v>
      </c>
      <c r="AQ339" s="254">
        <f t="shared" si="239"/>
        <v>9.7826750781329325E-2</v>
      </c>
      <c r="AR339" s="254">
        <f t="shared" si="255"/>
        <v>9.1999999999999992E-4</v>
      </c>
      <c r="AS339" s="253">
        <f t="shared" si="224"/>
        <v>9.7159662411928948E-4</v>
      </c>
      <c r="AT339" s="253">
        <f t="shared" si="256"/>
        <v>7.9999999999999993E-5</v>
      </c>
      <c r="AU339" s="255">
        <f t="shared" si="240"/>
        <v>8.0000000000000002E-3</v>
      </c>
      <c r="AW339" s="258">
        <f>(((IF($S$5&lt;&gt;0,$S$5,IF($S$6&lt;&gt;0,$S$6,IF($S$7&lt;&gt;0,$S$7,0))))/(12*$S$19))+(((3*$S$15)/(2*(IF($S$5&lt;&gt;0,$S$5,IF($S$6&lt;&gt;0,$S$6,IF($S$7&lt;&gt;0,$S$7,0))))*$U$5*$S$19))*'IN-OUT'!$F$14))*'Burland damage classification'!BA339</f>
        <v>1.6837343050013422E-2</v>
      </c>
      <c r="AX339" s="353">
        <f>(1+(((IF($S$5&lt;&gt;0,$S$5^2,IF($S$6&lt;&gt;0,$S$6^2,IF($S$7&lt;&gt;0,$S$7^2))))*$U$5)/(18*$S$15))*('IN-OUT'!$F$14^(-1)))*BB339</f>
        <v>1.9853393937446385E-3</v>
      </c>
      <c r="AY339" s="254">
        <f t="shared" si="225"/>
        <v>1.9853393937446385E-3</v>
      </c>
      <c r="AZ339" s="254">
        <f t="shared" si="241"/>
        <v>0.19853393937446384</v>
      </c>
      <c r="BA339" s="254">
        <f t="shared" si="257"/>
        <v>1.9200000000000005E-3</v>
      </c>
      <c r="BB339" s="270">
        <f t="shared" si="226"/>
        <v>1.971801207018598E-3</v>
      </c>
      <c r="BC339" s="253">
        <f t="shared" si="258"/>
        <v>7.9999999999999993E-5</v>
      </c>
      <c r="BD339" s="255">
        <f t="shared" si="242"/>
        <v>8.0000000000000002E-3</v>
      </c>
      <c r="BF339" s="351" t="e">
        <f>((((IF($T$5=0,$T$6,$T$5)))/(12*$T$19))+(((3*$T$15)/(2*IF($T$5=0,$T$6,$T$5)*$U$5*$T$19))*'IN-OUT'!$F$14))*'Burland damage classification'!BJ339</f>
        <v>#DIV/0!</v>
      </c>
      <c r="BG339" s="352">
        <f>(1+(((IF($T$5=0,$T$6^2,$T$5^2))*$U$5)/(18*$T$15))*('IN-OUT'!$F$14^(-1)))*BK339</f>
        <v>3.0404678002643682E-4</v>
      </c>
      <c r="BH339" s="262" t="e">
        <f t="shared" si="227"/>
        <v>#DIV/0!</v>
      </c>
      <c r="BI339" s="262" t="e">
        <f t="shared" si="243"/>
        <v>#DIV/0!</v>
      </c>
      <c r="BJ339" s="262">
        <f t="shared" si="259"/>
        <v>2.5333333333333355E-4</v>
      </c>
      <c r="BK339" s="270">
        <f t="shared" si="228"/>
        <v>3.0404678002643682E-4</v>
      </c>
      <c r="BL339" s="270">
        <f t="shared" si="260"/>
        <v>7.9999999999999993E-5</v>
      </c>
      <c r="BM339" s="271">
        <f t="shared" si="244"/>
        <v>8.0000000000000002E-3</v>
      </c>
      <c r="BO339" s="351" t="e">
        <f>((((IF($T$5=0,$T$6,$T$5)))/(12*$T$19))+(((3*$T$15)/(2*IF($T$5=0,$T$6,$T$5)*$U$5*$T$19))*'IN-OUT'!$F$14))*'Burland damage classification'!BS339</f>
        <v>#DIV/0!</v>
      </c>
      <c r="BP339" s="352">
        <f>(1+(((IF($T$5=0,$T$6^2,$T$5^2))*$U$5)/(18*$T$15))*('IN-OUT'!$F$14^(-1)))*BT339</f>
        <v>4.7116875957558987E-4</v>
      </c>
      <c r="BQ339" s="254" t="e">
        <f t="shared" si="229"/>
        <v>#DIV/0!</v>
      </c>
      <c r="BR339" s="254" t="e">
        <f t="shared" si="245"/>
        <v>#DIV/0!</v>
      </c>
      <c r="BS339" s="254">
        <f t="shared" si="261"/>
        <v>4.2000000000000023E-4</v>
      </c>
      <c r="BT339" s="253">
        <f t="shared" si="230"/>
        <v>4.7116875957558987E-4</v>
      </c>
      <c r="BU339" s="253">
        <f t="shared" si="262"/>
        <v>7.9999999999999993E-5</v>
      </c>
      <c r="BV339" s="255">
        <f t="shared" si="246"/>
        <v>8.0000000000000002E-3</v>
      </c>
      <c r="BX339" s="351" t="e">
        <f>((((IF($T$5=0,$T$6,$T$5)))/(12*$T$19))+(((3*$T$15)/(2*IF($T$5=0,$T$6,$T$5)*$U$5*$T$19))*'IN-OUT'!$F$14))*'Burland damage classification'!CB339</f>
        <v>#DIV/0!</v>
      </c>
      <c r="BY339" s="352">
        <f>(1+(((IF($T$5=0,$T$6^2,$T$5^2))*$U$5)/(18*$T$15))*('IN-OUT'!$F$14^(-1)))*CC339</f>
        <v>9.7159662411928948E-4</v>
      </c>
      <c r="BZ339" s="254" t="e">
        <f t="shared" si="231"/>
        <v>#DIV/0!</v>
      </c>
      <c r="CA339" s="254" t="e">
        <f t="shared" si="247"/>
        <v>#DIV/0!</v>
      </c>
      <c r="CB339" s="254">
        <f t="shared" si="263"/>
        <v>9.1999999999999992E-4</v>
      </c>
      <c r="CC339" s="253">
        <f t="shared" si="232"/>
        <v>9.7159662411928948E-4</v>
      </c>
      <c r="CD339" s="253">
        <f t="shared" si="264"/>
        <v>7.9999999999999993E-5</v>
      </c>
      <c r="CE339" s="255">
        <f t="shared" si="248"/>
        <v>8.0000000000000002E-3</v>
      </c>
      <c r="CG339" s="351" t="e">
        <f>((((IF($T$5=0,$T$6,$T$5)))/(12*$T$19))+(((3*$T$15)/(2*IF($T$5=0,$T$6,$T$5)*$U$5*$T$19))*'IN-OUT'!$F$14))*'Burland damage classification'!CK339</f>
        <v>#DIV/0!</v>
      </c>
      <c r="CH339" s="352">
        <f>(1+(((IF($T$5=0,$T$6^2,$T$5^2))*$U$5)/(18*$T$15))*('IN-OUT'!$F$14^(-1)))*CL339</f>
        <v>1.971801207018598E-3</v>
      </c>
      <c r="CI339" s="254" t="e">
        <f t="shared" si="233"/>
        <v>#DIV/0!</v>
      </c>
      <c r="CJ339" s="254" t="e">
        <f t="shared" si="249"/>
        <v>#DIV/0!</v>
      </c>
      <c r="CK339" s="254">
        <f t="shared" si="265"/>
        <v>1.9200000000000005E-3</v>
      </c>
      <c r="CL339" s="270">
        <f t="shared" si="234"/>
        <v>1.971801207018598E-3</v>
      </c>
      <c r="CM339" s="253">
        <f t="shared" si="266"/>
        <v>7.9999999999999993E-5</v>
      </c>
      <c r="CN339" s="255">
        <f t="shared" si="250"/>
        <v>8.0000000000000002E-3</v>
      </c>
    </row>
    <row r="340" spans="22:92">
      <c r="V340" s="258">
        <f>(((IF($S$5&lt;&gt;0,$S$5,IF($S$6&lt;&gt;0,$S$6,IF($S$7&lt;&gt;0,$S$7,0))))/(12*$S$19))+(((3*$S$15)/(2*(IF($S$5&lt;&gt;0,$S$5,IF($S$6&lt;&gt;0,$S$6,IF($S$7&lt;&gt;0,$S$7,0))))*$U$5*$S$19))*'IN-OUT'!$F$14))*'Burland damage classification'!Z340</f>
        <v>2.1631308779531148E-3</v>
      </c>
      <c r="W340" s="352">
        <f>(1+(((IF($S$5&lt;&gt;0,$S$5^2,IF($S$6&lt;&gt;0,$S$6^2,IF($S$7&lt;&gt;0,$S$7^2))))*$U$5)/(18*$S$15))*('IN-OUT'!$F$14^(-1)))*AA340</f>
        <v>3.0354775768112605E-4</v>
      </c>
      <c r="X340" s="262">
        <f t="shared" si="219"/>
        <v>3.0354775768112605E-4</v>
      </c>
      <c r="Y340" s="262">
        <f t="shared" si="235"/>
        <v>3.0354775768112605E-2</v>
      </c>
      <c r="Z340" s="262">
        <f t="shared" si="251"/>
        <v>2.466666666666669E-4</v>
      </c>
      <c r="AA340" s="270">
        <f t="shared" si="220"/>
        <v>3.0147784145586703E-4</v>
      </c>
      <c r="AB340" s="270">
        <f t="shared" si="252"/>
        <v>8.6666666666666655E-5</v>
      </c>
      <c r="AC340" s="271">
        <f t="shared" si="236"/>
        <v>8.6666666666666663E-3</v>
      </c>
      <c r="AE340" s="258">
        <f>(((IF($S$5&lt;&gt;0,$S$5,IF($S$6&lt;&gt;0,$S$6,IF($S$7&lt;&gt;0,$S$7,0))))/(12*$S$19))+(((3*$S$15)/(2*(IF($S$5&lt;&gt;0,$S$5,IF($S$6&lt;&gt;0,$S$6,IF($S$7&lt;&gt;0,$S$7,0))))*$U$5*$S$19))*'IN-OUT'!$F$14))*'Burland damage classification'!AI340</f>
        <v>3.6247057954890021E-3</v>
      </c>
      <c r="AF340" s="353">
        <f>(1+(((IF($S$5&lt;&gt;0,$S$5^2,IF($S$6&lt;&gt;0,$S$6^2,IF($S$7&lt;&gt;0,$S$7^2))))*$U$5)/(18*$S$15))*('IN-OUT'!$F$14^(-1)))*AJ340</f>
        <v>4.7190405794082812E-4</v>
      </c>
      <c r="AG340" s="254">
        <f t="shared" si="221"/>
        <v>4.7190405794082812E-4</v>
      </c>
      <c r="AH340" s="254">
        <f t="shared" si="237"/>
        <v>4.7190405794082811E-2</v>
      </c>
      <c r="AI340" s="254">
        <f t="shared" si="253"/>
        <v>4.1333333333333359E-4</v>
      </c>
      <c r="AJ340" s="253">
        <f t="shared" si="222"/>
        <v>4.6868610675660812E-4</v>
      </c>
      <c r="AK340" s="253">
        <f t="shared" si="254"/>
        <v>8.6666666666666655E-5</v>
      </c>
      <c r="AL340" s="255">
        <f t="shared" si="238"/>
        <v>8.6666666666666663E-3</v>
      </c>
      <c r="AN340" s="258">
        <f>(((IF($S$5&lt;&gt;0,$S$5,IF($S$6&lt;&gt;0,$S$6,IF($S$7&lt;&gt;0,$S$7,0))))/(12*$S$19))+(((3*$S$15)/(2*(IF($S$5&lt;&gt;0,$S$5,IF($S$6&lt;&gt;0,$S$6,IF($S$7&lt;&gt;0,$S$7,0))))*$U$5*$S$19))*'IN-OUT'!$F$14))*'Burland damage classification'!AR340</f>
        <v>8.0094305480966597E-3</v>
      </c>
      <c r="AO340" s="353">
        <f>(1+(((IF($S$5&lt;&gt;0,$S$5^2,IF($S$6&lt;&gt;0,$S$6^2,IF($S$7&lt;&gt;0,$S$7^2))))*$U$5)/(18*$S$15))*('IN-OUT'!$F$14^(-1)))*AS340</f>
        <v>9.7584647792007075E-4</v>
      </c>
      <c r="AP340" s="254">
        <f t="shared" si="223"/>
        <v>9.7584647792007075E-4</v>
      </c>
      <c r="AQ340" s="254">
        <f t="shared" si="239"/>
        <v>9.7584647792007082E-2</v>
      </c>
      <c r="AR340" s="254">
        <f t="shared" si="255"/>
        <v>9.1333333333333327E-4</v>
      </c>
      <c r="AS340" s="253">
        <f t="shared" si="224"/>
        <v>9.6919210342085089E-4</v>
      </c>
      <c r="AT340" s="253">
        <f t="shared" si="256"/>
        <v>8.6666666666666655E-5</v>
      </c>
      <c r="AU340" s="255">
        <f t="shared" si="240"/>
        <v>8.6666666666666663E-3</v>
      </c>
      <c r="AW340" s="258">
        <f>(((IF($S$5&lt;&gt;0,$S$5,IF($S$6&lt;&gt;0,$S$6,IF($S$7&lt;&gt;0,$S$7,0))))/(12*$S$19))+(((3*$S$15)/(2*(IF($S$5&lt;&gt;0,$S$5,IF($S$6&lt;&gt;0,$S$6,IF($S$7&lt;&gt;0,$S$7,0))))*$U$5*$S$19))*'IN-OUT'!$F$14))*'Burland damage classification'!BA340</f>
        <v>1.6778880053311986E-2</v>
      </c>
      <c r="AX340" s="353">
        <f>(1+(((IF($S$5&lt;&gt;0,$S$5^2,IF($S$6&lt;&gt;0,$S$6^2,IF($S$7&lt;&gt;0,$S$7^2))))*$U$5)/(18*$S$15))*('IN-OUT'!$F$14^(-1)))*BB340</f>
        <v>1.9829550099802764E-3</v>
      </c>
      <c r="AY340" s="254">
        <f t="shared" si="225"/>
        <v>1.9829550099802764E-3</v>
      </c>
      <c r="AZ340" s="254">
        <f t="shared" si="241"/>
        <v>0.19829550099802765</v>
      </c>
      <c r="BA340" s="254">
        <f t="shared" si="257"/>
        <v>1.9133333333333337E-3</v>
      </c>
      <c r="BB340" s="270">
        <f t="shared" si="226"/>
        <v>1.969433082556162E-3</v>
      </c>
      <c r="BC340" s="253">
        <f t="shared" si="258"/>
        <v>8.6666666666666655E-5</v>
      </c>
      <c r="BD340" s="255">
        <f t="shared" si="242"/>
        <v>8.6666666666666663E-3</v>
      </c>
      <c r="BF340" s="351" t="e">
        <f>((((IF($T$5=0,$T$6,$T$5)))/(12*$T$19))+(((3*$T$15)/(2*IF($T$5=0,$T$6,$T$5)*$U$5*$T$19))*'IN-OUT'!$F$14))*'Burland damage classification'!BJ340</f>
        <v>#DIV/0!</v>
      </c>
      <c r="BG340" s="352">
        <f>(1+(((IF($T$5=0,$T$6^2,$T$5^2))*$U$5)/(18*$T$15))*('IN-OUT'!$F$14^(-1)))*BK340</f>
        <v>3.0147784145586703E-4</v>
      </c>
      <c r="BH340" s="262" t="e">
        <f t="shared" si="227"/>
        <v>#DIV/0!</v>
      </c>
      <c r="BI340" s="262" t="e">
        <f t="shared" si="243"/>
        <v>#DIV/0!</v>
      </c>
      <c r="BJ340" s="262">
        <f t="shared" si="259"/>
        <v>2.466666666666669E-4</v>
      </c>
      <c r="BK340" s="270">
        <f t="shared" si="228"/>
        <v>3.0147784145586703E-4</v>
      </c>
      <c r="BL340" s="270">
        <f t="shared" si="260"/>
        <v>8.6666666666666655E-5</v>
      </c>
      <c r="BM340" s="271">
        <f t="shared" si="244"/>
        <v>8.6666666666666663E-3</v>
      </c>
      <c r="BO340" s="351" t="e">
        <f>((((IF($T$5=0,$T$6,$T$5)))/(12*$T$19))+(((3*$T$15)/(2*IF($T$5=0,$T$6,$T$5)*$U$5*$T$19))*'IN-OUT'!$F$14))*'Burland damage classification'!BS340</f>
        <v>#DIV/0!</v>
      </c>
      <c r="BP340" s="352">
        <f>(1+(((IF($T$5=0,$T$6^2,$T$5^2))*$U$5)/(18*$T$15))*('IN-OUT'!$F$14^(-1)))*BT340</f>
        <v>4.6868610675660812E-4</v>
      </c>
      <c r="BQ340" s="254" t="e">
        <f t="shared" si="229"/>
        <v>#DIV/0!</v>
      </c>
      <c r="BR340" s="254" t="e">
        <f t="shared" si="245"/>
        <v>#DIV/0!</v>
      </c>
      <c r="BS340" s="254">
        <f t="shared" si="261"/>
        <v>4.1333333333333359E-4</v>
      </c>
      <c r="BT340" s="253">
        <f t="shared" si="230"/>
        <v>4.6868610675660812E-4</v>
      </c>
      <c r="BU340" s="253">
        <f t="shared" si="262"/>
        <v>8.6666666666666655E-5</v>
      </c>
      <c r="BV340" s="255">
        <f t="shared" si="246"/>
        <v>8.6666666666666663E-3</v>
      </c>
      <c r="BX340" s="351" t="e">
        <f>((((IF($T$5=0,$T$6,$T$5)))/(12*$T$19))+(((3*$T$15)/(2*IF($T$5=0,$T$6,$T$5)*$U$5*$T$19))*'IN-OUT'!$F$14))*'Burland damage classification'!CB340</f>
        <v>#DIV/0!</v>
      </c>
      <c r="BY340" s="352">
        <f>(1+(((IF($T$5=0,$T$6^2,$T$5^2))*$U$5)/(18*$T$15))*('IN-OUT'!$F$14^(-1)))*CC340</f>
        <v>9.6919210342085089E-4</v>
      </c>
      <c r="BZ340" s="254" t="e">
        <f t="shared" si="231"/>
        <v>#DIV/0!</v>
      </c>
      <c r="CA340" s="254" t="e">
        <f t="shared" si="247"/>
        <v>#DIV/0!</v>
      </c>
      <c r="CB340" s="254">
        <f t="shared" si="263"/>
        <v>9.1333333333333327E-4</v>
      </c>
      <c r="CC340" s="253">
        <f t="shared" si="232"/>
        <v>9.6919210342085089E-4</v>
      </c>
      <c r="CD340" s="253">
        <f t="shared" si="264"/>
        <v>8.6666666666666655E-5</v>
      </c>
      <c r="CE340" s="255">
        <f t="shared" si="248"/>
        <v>8.6666666666666663E-3</v>
      </c>
      <c r="CG340" s="351" t="e">
        <f>((((IF($T$5=0,$T$6,$T$5)))/(12*$T$19))+(((3*$T$15)/(2*IF($T$5=0,$T$6,$T$5)*$U$5*$T$19))*'IN-OUT'!$F$14))*'Burland damage classification'!CK340</f>
        <v>#DIV/0!</v>
      </c>
      <c r="CH340" s="352">
        <f>(1+(((IF($T$5=0,$T$6^2,$T$5^2))*$U$5)/(18*$T$15))*('IN-OUT'!$F$14^(-1)))*CL340</f>
        <v>1.969433082556162E-3</v>
      </c>
      <c r="CI340" s="254" t="e">
        <f t="shared" si="233"/>
        <v>#DIV/0!</v>
      </c>
      <c r="CJ340" s="254" t="e">
        <f t="shared" si="249"/>
        <v>#DIV/0!</v>
      </c>
      <c r="CK340" s="254">
        <f t="shared" si="265"/>
        <v>1.9133333333333337E-3</v>
      </c>
      <c r="CL340" s="270">
        <f t="shared" si="234"/>
        <v>1.969433082556162E-3</v>
      </c>
      <c r="CM340" s="253">
        <f t="shared" si="266"/>
        <v>8.6666666666666655E-5</v>
      </c>
      <c r="CN340" s="255">
        <f t="shared" si="250"/>
        <v>8.6666666666666663E-3</v>
      </c>
    </row>
    <row r="341" spans="22:92">
      <c r="V341" s="258">
        <f>(((IF($S$5&lt;&gt;0,$S$5,IF($S$6&lt;&gt;0,$S$6,IF($S$7&lt;&gt;0,$S$7,0))))/(12*$S$19))+(((3*$S$15)/(2*(IF($S$5&lt;&gt;0,$S$5,IF($S$6&lt;&gt;0,$S$6,IF($S$7&lt;&gt;0,$S$7,0))))*$U$5*$S$19))*'IN-OUT'!$F$14))*'Burland damage classification'!Z341</f>
        <v>2.104667881251679E-3</v>
      </c>
      <c r="W341" s="352">
        <f>(1+(((IF($S$5&lt;&gt;0,$S$5^2,IF($S$6&lt;&gt;0,$S$6^2,IF($S$7&lt;&gt;0,$S$7^2))))*$U$5)/(18*$S$15))*('IN-OUT'!$F$14^(-1)))*AA341</f>
        <v>3.009389501795416E-4</v>
      </c>
      <c r="X341" s="262">
        <f t="shared" si="219"/>
        <v>3.009389501795416E-4</v>
      </c>
      <c r="Y341" s="262">
        <f t="shared" si="235"/>
        <v>3.0093895017954161E-2</v>
      </c>
      <c r="Z341" s="262">
        <f t="shared" si="251"/>
        <v>2.4000000000000022E-4</v>
      </c>
      <c r="AA341" s="270">
        <f t="shared" si="220"/>
        <v>2.9888682361946527E-4</v>
      </c>
      <c r="AB341" s="270">
        <f t="shared" si="252"/>
        <v>9.3333333333333316E-5</v>
      </c>
      <c r="AC341" s="271">
        <f t="shared" si="236"/>
        <v>9.3333333333333324E-3</v>
      </c>
      <c r="AE341" s="258">
        <f>(((IF($S$5&lt;&gt;0,$S$5,IF($S$6&lt;&gt;0,$S$6,IF($S$7&lt;&gt;0,$S$7,0))))/(12*$S$19))+(((3*$S$15)/(2*(IF($S$5&lt;&gt;0,$S$5,IF($S$6&lt;&gt;0,$S$6,IF($S$7&lt;&gt;0,$S$7,0))))*$U$5*$S$19))*'IN-OUT'!$F$14))*'Burland damage classification'!AI341</f>
        <v>3.5662427987875668E-3</v>
      </c>
      <c r="AF341" s="353">
        <f>(1+(((IF($S$5&lt;&gt;0,$S$5^2,IF($S$6&lt;&gt;0,$S$6^2,IF($S$7&lt;&gt;0,$S$7^2))))*$U$5)/(18*$S$15))*('IN-OUT'!$F$14^(-1)))*AJ341</f>
        <v>4.6939104775646067E-4</v>
      </c>
      <c r="AG341" s="254">
        <f t="shared" si="221"/>
        <v>4.6939104775646067E-4</v>
      </c>
      <c r="AH341" s="254">
        <f t="shared" si="237"/>
        <v>4.6939104775646071E-2</v>
      </c>
      <c r="AI341" s="254">
        <f t="shared" si="253"/>
        <v>4.0666666666666694E-4</v>
      </c>
      <c r="AJ341" s="253">
        <f t="shared" si="222"/>
        <v>4.6619023298792236E-4</v>
      </c>
      <c r="AK341" s="253">
        <f t="shared" si="254"/>
        <v>9.3333333333333316E-5</v>
      </c>
      <c r="AL341" s="255">
        <f t="shared" si="238"/>
        <v>9.3333333333333324E-3</v>
      </c>
      <c r="AN341" s="258">
        <f>(((IF($S$5&lt;&gt;0,$S$5,IF($S$6&lt;&gt;0,$S$6,IF($S$7&lt;&gt;0,$S$7,0))))/(12*$S$19))+(((3*$S$15)/(2*(IF($S$5&lt;&gt;0,$S$5,IF($S$6&lt;&gt;0,$S$6,IF($S$7&lt;&gt;0,$S$7,0))))*$U$5*$S$19))*'IN-OUT'!$F$14))*'Burland damage classification'!AR341</f>
        <v>7.9509675513952244E-3</v>
      </c>
      <c r="AO341" s="353">
        <f>(1+(((IF($S$5&lt;&gt;0,$S$5^2,IF($S$6&lt;&gt;0,$S$6^2,IF($S$7&lt;&gt;0,$S$7^2))))*$U$5)/(18*$S$15))*('IN-OUT'!$F$14^(-1)))*AS341</f>
        <v>9.7341942660642542E-4</v>
      </c>
      <c r="AP341" s="254">
        <f t="shared" si="223"/>
        <v>9.7341942660642542E-4</v>
      </c>
      <c r="AQ341" s="254">
        <f t="shared" si="239"/>
        <v>9.7341942660642541E-2</v>
      </c>
      <c r="AR341" s="254">
        <f t="shared" si="255"/>
        <v>9.0666666666666662E-4</v>
      </c>
      <c r="AS341" s="253">
        <f t="shared" si="224"/>
        <v>9.667816023625329E-4</v>
      </c>
      <c r="AT341" s="253">
        <f t="shared" si="256"/>
        <v>9.3333333333333316E-5</v>
      </c>
      <c r="AU341" s="255">
        <f t="shared" si="240"/>
        <v>9.3333333333333324E-3</v>
      </c>
      <c r="AW341" s="258">
        <f>(((IF($S$5&lt;&gt;0,$S$5,IF($S$6&lt;&gt;0,$S$6,IF($S$7&lt;&gt;0,$S$7,0))))/(12*$S$19))+(((3*$S$15)/(2*(IF($S$5&lt;&gt;0,$S$5,IF($S$6&lt;&gt;0,$S$6,IF($S$7&lt;&gt;0,$S$7,0))))*$U$5*$S$19))*'IN-OUT'!$F$14))*'Burland damage classification'!BA341</f>
        <v>1.6720417056610551E-2</v>
      </c>
      <c r="AX341" s="353">
        <f>(1+(((IF($S$5&lt;&gt;0,$S$5^2,IF($S$6&lt;&gt;0,$S$6^2,IF($S$7&lt;&gt;0,$S$7^2))))*$U$5)/(18*$S$15))*('IN-OUT'!$F$14^(-1)))*BB341</f>
        <v>1.9805677556845734E-3</v>
      </c>
      <c r="AY341" s="254">
        <f t="shared" si="225"/>
        <v>1.9805677556845734E-3</v>
      </c>
      <c r="AZ341" s="254">
        <f t="shared" si="241"/>
        <v>0.19805677556845735</v>
      </c>
      <c r="BA341" s="254">
        <f t="shared" si="257"/>
        <v>1.906666666666667E-3</v>
      </c>
      <c r="BB341" s="270">
        <f t="shared" si="226"/>
        <v>1.9670621071367659E-3</v>
      </c>
      <c r="BC341" s="253">
        <f t="shared" si="258"/>
        <v>9.3333333333333316E-5</v>
      </c>
      <c r="BD341" s="255">
        <f t="shared" si="242"/>
        <v>9.3333333333333324E-3</v>
      </c>
      <c r="BF341" s="351" t="e">
        <f>((((IF($T$5=0,$T$6,$T$5)))/(12*$T$19))+(((3*$T$15)/(2*IF($T$5=0,$T$6,$T$5)*$U$5*$T$19))*'IN-OUT'!$F$14))*'Burland damage classification'!BJ341</f>
        <v>#DIV/0!</v>
      </c>
      <c r="BG341" s="352">
        <f>(1+(((IF($T$5=0,$T$6^2,$T$5^2))*$U$5)/(18*$T$15))*('IN-OUT'!$F$14^(-1)))*BK341</f>
        <v>2.9888682361946527E-4</v>
      </c>
      <c r="BH341" s="262" t="e">
        <f t="shared" si="227"/>
        <v>#DIV/0!</v>
      </c>
      <c r="BI341" s="262" t="e">
        <f t="shared" si="243"/>
        <v>#DIV/0!</v>
      </c>
      <c r="BJ341" s="262">
        <f t="shared" si="259"/>
        <v>2.4000000000000022E-4</v>
      </c>
      <c r="BK341" s="270">
        <f t="shared" si="228"/>
        <v>2.9888682361946527E-4</v>
      </c>
      <c r="BL341" s="270">
        <f t="shared" si="260"/>
        <v>9.3333333333333316E-5</v>
      </c>
      <c r="BM341" s="271">
        <f t="shared" si="244"/>
        <v>9.3333333333333324E-3</v>
      </c>
      <c r="BO341" s="351" t="e">
        <f>((((IF($T$5=0,$T$6,$T$5)))/(12*$T$19))+(((3*$T$15)/(2*IF($T$5=0,$T$6,$T$5)*$U$5*$T$19))*'IN-OUT'!$F$14))*'Burland damage classification'!BS341</f>
        <v>#DIV/0!</v>
      </c>
      <c r="BP341" s="352">
        <f>(1+(((IF($T$5=0,$T$6^2,$T$5^2))*$U$5)/(18*$T$15))*('IN-OUT'!$F$14^(-1)))*BT341</f>
        <v>4.6619023298792236E-4</v>
      </c>
      <c r="BQ341" s="254" t="e">
        <f t="shared" si="229"/>
        <v>#DIV/0!</v>
      </c>
      <c r="BR341" s="254" t="e">
        <f t="shared" si="245"/>
        <v>#DIV/0!</v>
      </c>
      <c r="BS341" s="254">
        <f t="shared" si="261"/>
        <v>4.0666666666666694E-4</v>
      </c>
      <c r="BT341" s="253">
        <f t="shared" si="230"/>
        <v>4.6619023298792236E-4</v>
      </c>
      <c r="BU341" s="253">
        <f t="shared" si="262"/>
        <v>9.3333333333333316E-5</v>
      </c>
      <c r="BV341" s="255">
        <f t="shared" si="246"/>
        <v>9.3333333333333324E-3</v>
      </c>
      <c r="BX341" s="351" t="e">
        <f>((((IF($T$5=0,$T$6,$T$5)))/(12*$T$19))+(((3*$T$15)/(2*IF($T$5=0,$T$6,$T$5)*$U$5*$T$19))*'IN-OUT'!$F$14))*'Burland damage classification'!CB341</f>
        <v>#DIV/0!</v>
      </c>
      <c r="BY341" s="352">
        <f>(1+(((IF($T$5=0,$T$6^2,$T$5^2))*$U$5)/(18*$T$15))*('IN-OUT'!$F$14^(-1)))*CC341</f>
        <v>9.667816023625329E-4</v>
      </c>
      <c r="BZ341" s="254" t="e">
        <f t="shared" si="231"/>
        <v>#DIV/0!</v>
      </c>
      <c r="CA341" s="254" t="e">
        <f t="shared" si="247"/>
        <v>#DIV/0!</v>
      </c>
      <c r="CB341" s="254">
        <f t="shared" si="263"/>
        <v>9.0666666666666662E-4</v>
      </c>
      <c r="CC341" s="253">
        <f t="shared" si="232"/>
        <v>9.667816023625329E-4</v>
      </c>
      <c r="CD341" s="253">
        <f t="shared" si="264"/>
        <v>9.3333333333333316E-5</v>
      </c>
      <c r="CE341" s="255">
        <f t="shared" si="248"/>
        <v>9.3333333333333324E-3</v>
      </c>
      <c r="CG341" s="351" t="e">
        <f>((((IF($T$5=0,$T$6,$T$5)))/(12*$T$19))+(((3*$T$15)/(2*IF($T$5=0,$T$6,$T$5)*$U$5*$T$19))*'IN-OUT'!$F$14))*'Burland damage classification'!CK341</f>
        <v>#DIV/0!</v>
      </c>
      <c r="CH341" s="352">
        <f>(1+(((IF($T$5=0,$T$6^2,$T$5^2))*$U$5)/(18*$T$15))*('IN-OUT'!$F$14^(-1)))*CL341</f>
        <v>1.9670621071367659E-3</v>
      </c>
      <c r="CI341" s="254" t="e">
        <f t="shared" si="233"/>
        <v>#DIV/0!</v>
      </c>
      <c r="CJ341" s="254" t="e">
        <f t="shared" si="249"/>
        <v>#DIV/0!</v>
      </c>
      <c r="CK341" s="254">
        <f t="shared" si="265"/>
        <v>1.906666666666667E-3</v>
      </c>
      <c r="CL341" s="270">
        <f t="shared" si="234"/>
        <v>1.9670621071367659E-3</v>
      </c>
      <c r="CM341" s="253">
        <f t="shared" si="266"/>
        <v>9.3333333333333316E-5</v>
      </c>
      <c r="CN341" s="255">
        <f t="shared" si="250"/>
        <v>9.3333333333333324E-3</v>
      </c>
    </row>
    <row r="342" spans="22:92">
      <c r="V342" s="258">
        <f>(((IF($S$5&lt;&gt;0,$S$5,IF($S$6&lt;&gt;0,$S$6,IF($S$7&lt;&gt;0,$S$7,0))))/(12*$S$19))+(((3*$S$15)/(2*(IF($S$5&lt;&gt;0,$S$5,IF($S$6&lt;&gt;0,$S$6,IF($S$7&lt;&gt;0,$S$7,0))))*$U$5*$S$19))*'IN-OUT'!$F$14))*'Burland damage classification'!Z342</f>
        <v>2.0462048845502436E-3</v>
      </c>
      <c r="W342" s="352">
        <f>(1+(((IF($S$5&lt;&gt;0,$S$5^2,IF($S$6&lt;&gt;0,$S$6^2,IF($S$7&lt;&gt;0,$S$7^2))))*$U$5)/(18*$S$15))*('IN-OUT'!$F$14^(-1)))*AA342</f>
        <v>2.9830732856751878E-4</v>
      </c>
      <c r="X342" s="262">
        <f t="shared" si="219"/>
        <v>2.9830732856751878E-4</v>
      </c>
      <c r="Y342" s="262">
        <f t="shared" si="235"/>
        <v>2.9830732856751876E-2</v>
      </c>
      <c r="Z342" s="262">
        <f t="shared" si="251"/>
        <v>2.3333333333333355E-4</v>
      </c>
      <c r="AA342" s="270">
        <f t="shared" si="220"/>
        <v>2.9627314724385296E-4</v>
      </c>
      <c r="AB342" s="270">
        <f t="shared" si="252"/>
        <v>9.9999999999999978E-5</v>
      </c>
      <c r="AC342" s="271">
        <f t="shared" si="236"/>
        <v>9.9999999999999985E-3</v>
      </c>
      <c r="AE342" s="258">
        <f>(((IF($S$5&lt;&gt;0,$S$5,IF($S$6&lt;&gt;0,$S$6,IF($S$7&lt;&gt;0,$S$7,0))))/(12*$S$19))+(((3*$S$15)/(2*(IF($S$5&lt;&gt;0,$S$5,IF($S$6&lt;&gt;0,$S$6,IF($S$7&lt;&gt;0,$S$7,0))))*$U$5*$S$19))*'IN-OUT'!$F$14))*'Burland damage classification'!AI342</f>
        <v>3.5077798020861314E-3</v>
      </c>
      <c r="AF342" s="353">
        <f>(1+(((IF($S$5&lt;&gt;0,$S$5^2,IF($S$6&lt;&gt;0,$S$6^2,IF($S$7&lt;&gt;0,$S$7^2))))*$U$5)/(18*$S$15))*('IN-OUT'!$F$14^(-1)))*AJ342</f>
        <v>4.6686451088811132E-4</v>
      </c>
      <c r="AG342" s="254">
        <f t="shared" si="221"/>
        <v>4.6686451088811132E-4</v>
      </c>
      <c r="AH342" s="254">
        <f t="shared" si="237"/>
        <v>4.6686451088811129E-2</v>
      </c>
      <c r="AI342" s="254">
        <f t="shared" si="253"/>
        <v>4.0000000000000029E-4</v>
      </c>
      <c r="AJ342" s="253">
        <f t="shared" si="222"/>
        <v>4.6368092477478518E-4</v>
      </c>
      <c r="AK342" s="253">
        <f t="shared" si="254"/>
        <v>9.9999999999999978E-5</v>
      </c>
      <c r="AL342" s="255">
        <f t="shared" si="238"/>
        <v>9.9999999999999985E-3</v>
      </c>
      <c r="AN342" s="258">
        <f>(((IF($S$5&lt;&gt;0,$S$5,IF($S$6&lt;&gt;0,$S$6,IF($S$7&lt;&gt;0,$S$7,0))))/(12*$S$19))+(((3*$S$15)/(2*(IF($S$5&lt;&gt;0,$S$5,IF($S$6&lt;&gt;0,$S$6,IF($S$7&lt;&gt;0,$S$7,0))))*$U$5*$S$19))*'IN-OUT'!$F$14))*'Burland damage classification'!AR342</f>
        <v>7.892504554693789E-3</v>
      </c>
      <c r="AO342" s="353">
        <f>(1+(((IF($S$5&lt;&gt;0,$S$5^2,IF($S$6&lt;&gt;0,$S$6^2,IF($S$7&lt;&gt;0,$S$7^2))))*$U$5)/(18*$S$15))*('IN-OUT'!$F$14^(-1)))*AS342</f>
        <v>9.7098630871941599E-4</v>
      </c>
      <c r="AP342" s="254">
        <f t="shared" si="223"/>
        <v>9.7098630871941599E-4</v>
      </c>
      <c r="AQ342" s="254">
        <f t="shared" si="239"/>
        <v>9.7098630871941594E-2</v>
      </c>
      <c r="AR342" s="254">
        <f t="shared" si="255"/>
        <v>8.9999999999999998E-4</v>
      </c>
      <c r="AS342" s="253">
        <f t="shared" si="224"/>
        <v>9.643650760992955E-4</v>
      </c>
      <c r="AT342" s="253">
        <f t="shared" si="256"/>
        <v>9.9999999999999978E-5</v>
      </c>
      <c r="AU342" s="255">
        <f t="shared" si="240"/>
        <v>9.9999999999999985E-3</v>
      </c>
      <c r="AW342" s="258">
        <f>(((IF($S$5&lt;&gt;0,$S$5,IF($S$6&lt;&gt;0,$S$6,IF($S$7&lt;&gt;0,$S$7,0))))/(12*$S$19))+(((3*$S$15)/(2*(IF($S$5&lt;&gt;0,$S$5,IF($S$6&lt;&gt;0,$S$6,IF($S$7&lt;&gt;0,$S$7,0))))*$U$5*$S$19))*'IN-OUT'!$F$14))*'Burland damage classification'!BA342</f>
        <v>1.6661954059909112E-2</v>
      </c>
      <c r="AX342" s="353">
        <f>(1+(((IF($S$5&lt;&gt;0,$S$5^2,IF($S$6&lt;&gt;0,$S$6^2,IF($S$7&lt;&gt;0,$S$7^2))))*$U$5)/(18*$S$15))*('IN-OUT'!$F$14^(-1)))*BB342</f>
        <v>1.9781776204651031E-3</v>
      </c>
      <c r="AY342" s="254">
        <f t="shared" si="225"/>
        <v>1.9781776204651031E-3</v>
      </c>
      <c r="AZ342" s="254">
        <f t="shared" si="241"/>
        <v>0.1978177620465103</v>
      </c>
      <c r="BA342" s="254">
        <f t="shared" si="257"/>
        <v>1.9000000000000002E-3</v>
      </c>
      <c r="BB342" s="270">
        <f t="shared" si="226"/>
        <v>1.9646882704388497E-3</v>
      </c>
      <c r="BC342" s="253">
        <f t="shared" si="258"/>
        <v>9.9999999999999978E-5</v>
      </c>
      <c r="BD342" s="255">
        <f t="shared" si="242"/>
        <v>9.9999999999999985E-3</v>
      </c>
      <c r="BF342" s="351" t="e">
        <f>((((IF($T$5=0,$T$6,$T$5)))/(12*$T$19))+(((3*$T$15)/(2*IF($T$5=0,$T$6,$T$5)*$U$5*$T$19))*'IN-OUT'!$F$14))*'Burland damage classification'!BJ342</f>
        <v>#DIV/0!</v>
      </c>
      <c r="BG342" s="352">
        <f>(1+(((IF($T$5=0,$T$6^2,$T$5^2))*$U$5)/(18*$T$15))*('IN-OUT'!$F$14^(-1)))*BK342</f>
        <v>2.9627314724385296E-4</v>
      </c>
      <c r="BH342" s="262" t="e">
        <f t="shared" si="227"/>
        <v>#DIV/0!</v>
      </c>
      <c r="BI342" s="262" t="e">
        <f t="shared" si="243"/>
        <v>#DIV/0!</v>
      </c>
      <c r="BJ342" s="262">
        <f t="shared" si="259"/>
        <v>2.3333333333333355E-4</v>
      </c>
      <c r="BK342" s="270">
        <f t="shared" si="228"/>
        <v>2.9627314724385296E-4</v>
      </c>
      <c r="BL342" s="270">
        <f t="shared" si="260"/>
        <v>9.9999999999999978E-5</v>
      </c>
      <c r="BM342" s="271">
        <f t="shared" si="244"/>
        <v>9.9999999999999985E-3</v>
      </c>
      <c r="BO342" s="351" t="e">
        <f>((((IF($T$5=0,$T$6,$T$5)))/(12*$T$19))+(((3*$T$15)/(2*IF($T$5=0,$T$6,$T$5)*$U$5*$T$19))*'IN-OUT'!$F$14))*'Burland damage classification'!BS342</f>
        <v>#DIV/0!</v>
      </c>
      <c r="BP342" s="352">
        <f>(1+(((IF($T$5=0,$T$6^2,$T$5^2))*$U$5)/(18*$T$15))*('IN-OUT'!$F$14^(-1)))*BT342</f>
        <v>4.6368092477478518E-4</v>
      </c>
      <c r="BQ342" s="254" t="e">
        <f t="shared" si="229"/>
        <v>#DIV/0!</v>
      </c>
      <c r="BR342" s="254" t="e">
        <f t="shared" si="245"/>
        <v>#DIV/0!</v>
      </c>
      <c r="BS342" s="254">
        <f t="shared" si="261"/>
        <v>4.0000000000000029E-4</v>
      </c>
      <c r="BT342" s="253">
        <f t="shared" si="230"/>
        <v>4.6368092477478518E-4</v>
      </c>
      <c r="BU342" s="253">
        <f t="shared" si="262"/>
        <v>9.9999999999999978E-5</v>
      </c>
      <c r="BV342" s="255">
        <f t="shared" si="246"/>
        <v>9.9999999999999985E-3</v>
      </c>
      <c r="BX342" s="351" t="e">
        <f>((((IF($T$5=0,$T$6,$T$5)))/(12*$T$19))+(((3*$T$15)/(2*IF($T$5=0,$T$6,$T$5)*$U$5*$T$19))*'IN-OUT'!$F$14))*'Burland damage classification'!CB342</f>
        <v>#DIV/0!</v>
      </c>
      <c r="BY342" s="352">
        <f>(1+(((IF($T$5=0,$T$6^2,$T$5^2))*$U$5)/(18*$T$15))*('IN-OUT'!$F$14^(-1)))*CC342</f>
        <v>9.643650760992955E-4</v>
      </c>
      <c r="BZ342" s="254" t="e">
        <f t="shared" si="231"/>
        <v>#DIV/0!</v>
      </c>
      <c r="CA342" s="254" t="e">
        <f t="shared" si="247"/>
        <v>#DIV/0!</v>
      </c>
      <c r="CB342" s="254">
        <f t="shared" si="263"/>
        <v>8.9999999999999998E-4</v>
      </c>
      <c r="CC342" s="253">
        <f t="shared" si="232"/>
        <v>9.643650760992955E-4</v>
      </c>
      <c r="CD342" s="253">
        <f t="shared" si="264"/>
        <v>9.9999999999999978E-5</v>
      </c>
      <c r="CE342" s="255">
        <f t="shared" si="248"/>
        <v>9.9999999999999985E-3</v>
      </c>
      <c r="CG342" s="351" t="e">
        <f>((((IF($T$5=0,$T$6,$T$5)))/(12*$T$19))+(((3*$T$15)/(2*IF($T$5=0,$T$6,$T$5)*$U$5*$T$19))*'IN-OUT'!$F$14))*'Burland damage classification'!CK342</f>
        <v>#DIV/0!</v>
      </c>
      <c r="CH342" s="352">
        <f>(1+(((IF($T$5=0,$T$6^2,$T$5^2))*$U$5)/(18*$T$15))*('IN-OUT'!$F$14^(-1)))*CL342</f>
        <v>1.9646882704388497E-3</v>
      </c>
      <c r="CI342" s="254" t="e">
        <f t="shared" si="233"/>
        <v>#DIV/0!</v>
      </c>
      <c r="CJ342" s="254" t="e">
        <f t="shared" si="249"/>
        <v>#DIV/0!</v>
      </c>
      <c r="CK342" s="254">
        <f t="shared" si="265"/>
        <v>1.9000000000000002E-3</v>
      </c>
      <c r="CL342" s="270">
        <f t="shared" si="234"/>
        <v>1.9646882704388497E-3</v>
      </c>
      <c r="CM342" s="253">
        <f t="shared" si="266"/>
        <v>9.9999999999999978E-5</v>
      </c>
      <c r="CN342" s="255">
        <f t="shared" si="250"/>
        <v>9.9999999999999985E-3</v>
      </c>
    </row>
    <row r="343" spans="22:92">
      <c r="V343" s="258">
        <f>(((IF($S$5&lt;&gt;0,$S$5,IF($S$6&lt;&gt;0,$S$6,IF($S$7&lt;&gt;0,$S$7,0))))/(12*$S$19))+(((3*$S$15)/(2*(IF($S$5&lt;&gt;0,$S$5,IF($S$6&lt;&gt;0,$S$6,IF($S$7&lt;&gt;0,$S$7,0))))*$U$5*$S$19))*'IN-OUT'!$F$14))*'Burland damage classification'!Z343</f>
        <v>1.9877418878488083E-3</v>
      </c>
      <c r="W343" s="352">
        <f>(1+(((IF($S$5&lt;&gt;0,$S$5^2,IF($S$6&lt;&gt;0,$S$6^2,IF($S$7&lt;&gt;0,$S$7^2))))*$U$5)/(18*$S$15))*('IN-OUT'!$F$14^(-1)))*AA343</f>
        <v>2.9565228363571727E-4</v>
      </c>
      <c r="X343" s="262">
        <f t="shared" si="219"/>
        <v>2.9565228363571727E-4</v>
      </c>
      <c r="Y343" s="262">
        <f t="shared" si="235"/>
        <v>2.9565228363571727E-2</v>
      </c>
      <c r="Z343" s="262">
        <f t="shared" si="251"/>
        <v>2.2666666666666687E-4</v>
      </c>
      <c r="AA343" s="270">
        <f t="shared" si="220"/>
        <v>2.9363620727393657E-4</v>
      </c>
      <c r="AB343" s="270">
        <f t="shared" si="252"/>
        <v>1.0666666666666664E-4</v>
      </c>
      <c r="AC343" s="271">
        <f t="shared" si="236"/>
        <v>1.0666666666666665E-2</v>
      </c>
      <c r="AE343" s="258">
        <f>(((IF($S$5&lt;&gt;0,$S$5,IF($S$6&lt;&gt;0,$S$6,IF($S$7&lt;&gt;0,$S$7,0))))/(12*$S$19))+(((3*$S$15)/(2*(IF($S$5&lt;&gt;0,$S$5,IF($S$6&lt;&gt;0,$S$6,IF($S$7&lt;&gt;0,$S$7,0))))*$U$5*$S$19))*'IN-OUT'!$F$14))*'Burland damage classification'!AI343</f>
        <v>3.449316805384696E-3</v>
      </c>
      <c r="AF343" s="353">
        <f>(1+(((IF($S$5&lt;&gt;0,$S$5^2,IF($S$6&lt;&gt;0,$S$6^2,IF($S$7&lt;&gt;0,$S$7^2))))*$U$5)/(18*$S$15))*('IN-OUT'!$F$14^(-1)))*AJ343</f>
        <v>4.6432422652676968E-4</v>
      </c>
      <c r="AG343" s="254">
        <f t="shared" si="221"/>
        <v>4.6432422652676968E-4</v>
      </c>
      <c r="AH343" s="254">
        <f t="shared" si="237"/>
        <v>4.6432422652676969E-2</v>
      </c>
      <c r="AI343" s="254">
        <f t="shared" si="253"/>
        <v>3.9333333333333364E-4</v>
      </c>
      <c r="AJ343" s="253">
        <f t="shared" si="222"/>
        <v>4.6115796281390029E-4</v>
      </c>
      <c r="AK343" s="253">
        <f t="shared" si="254"/>
        <v>1.0666666666666664E-4</v>
      </c>
      <c r="AL343" s="255">
        <f t="shared" si="238"/>
        <v>1.0666666666666665E-2</v>
      </c>
      <c r="AN343" s="258">
        <f>(((IF($S$5&lt;&gt;0,$S$5,IF($S$6&lt;&gt;0,$S$6,IF($S$7&lt;&gt;0,$S$7,0))))/(12*$S$19))+(((3*$S$15)/(2*(IF($S$5&lt;&gt;0,$S$5,IF($S$6&lt;&gt;0,$S$6,IF($S$7&lt;&gt;0,$S$7,0))))*$U$5*$S$19))*'IN-OUT'!$F$14))*'Burland damage classification'!AR343</f>
        <v>7.8340415579923536E-3</v>
      </c>
      <c r="AO343" s="353">
        <f>(1+(((IF($S$5&lt;&gt;0,$S$5^2,IF($S$6&lt;&gt;0,$S$6^2,IF($S$7&lt;&gt;0,$S$7^2))))*$U$5)/(18*$S$15))*('IN-OUT'!$F$14^(-1)))*AS343</f>
        <v>9.6854707853894851E-4</v>
      </c>
      <c r="AP343" s="254">
        <f t="shared" si="223"/>
        <v>9.6854707853894851E-4</v>
      </c>
      <c r="AQ343" s="254">
        <f t="shared" si="239"/>
        <v>9.6854707853894856E-2</v>
      </c>
      <c r="AR343" s="254">
        <f t="shared" si="255"/>
        <v>8.9333333333333333E-4</v>
      </c>
      <c r="AS343" s="253">
        <f t="shared" si="224"/>
        <v>9.6194247922281369E-4</v>
      </c>
      <c r="AT343" s="253">
        <f t="shared" si="256"/>
        <v>1.0666666666666664E-4</v>
      </c>
      <c r="AU343" s="255">
        <f t="shared" si="240"/>
        <v>1.0666666666666665E-2</v>
      </c>
      <c r="AW343" s="258">
        <f>(((IF($S$5&lt;&gt;0,$S$5,IF($S$6&lt;&gt;0,$S$6,IF($S$7&lt;&gt;0,$S$7,0))))/(12*$S$19))+(((3*$S$15)/(2*(IF($S$5&lt;&gt;0,$S$5,IF($S$6&lt;&gt;0,$S$6,IF($S$7&lt;&gt;0,$S$7,0))))*$U$5*$S$19))*'IN-OUT'!$F$14))*'Burland damage classification'!BA343</f>
        <v>1.6603491063207677E-2</v>
      </c>
      <c r="AX343" s="353">
        <f>(1+(((IF($S$5&lt;&gt;0,$S$5^2,IF($S$6&lt;&gt;0,$S$6^2,IF($S$7&lt;&gt;0,$S$7^2))))*$U$5)/(18*$S$15))*('IN-OUT'!$F$14^(-1)))*BB343</f>
        <v>1.9757845938665804E-3</v>
      </c>
      <c r="AY343" s="254">
        <f t="shared" si="225"/>
        <v>1.9757845938665804E-3</v>
      </c>
      <c r="AZ343" s="254">
        <f t="shared" si="241"/>
        <v>0.19757845938665805</v>
      </c>
      <c r="BA343" s="254">
        <f t="shared" si="257"/>
        <v>1.8933333333333335E-3</v>
      </c>
      <c r="BB343" s="270">
        <f t="shared" si="226"/>
        <v>1.9623115620784246E-3</v>
      </c>
      <c r="BC343" s="253">
        <f t="shared" si="258"/>
        <v>1.0666666666666664E-4</v>
      </c>
      <c r="BD343" s="255">
        <f t="shared" si="242"/>
        <v>1.0666666666666665E-2</v>
      </c>
      <c r="BF343" s="351" t="e">
        <f>((((IF($T$5=0,$T$6,$T$5)))/(12*$T$19))+(((3*$T$15)/(2*IF($T$5=0,$T$6,$T$5)*$U$5*$T$19))*'IN-OUT'!$F$14))*'Burland damage classification'!BJ343</f>
        <v>#DIV/0!</v>
      </c>
      <c r="BG343" s="352">
        <f>(1+(((IF($T$5=0,$T$6^2,$T$5^2))*$U$5)/(18*$T$15))*('IN-OUT'!$F$14^(-1)))*BK343</f>
        <v>2.9363620727393657E-4</v>
      </c>
      <c r="BH343" s="262" t="e">
        <f t="shared" si="227"/>
        <v>#DIV/0!</v>
      </c>
      <c r="BI343" s="262" t="e">
        <f t="shared" si="243"/>
        <v>#DIV/0!</v>
      </c>
      <c r="BJ343" s="262">
        <f t="shared" si="259"/>
        <v>2.2666666666666687E-4</v>
      </c>
      <c r="BK343" s="270">
        <f t="shared" si="228"/>
        <v>2.9363620727393657E-4</v>
      </c>
      <c r="BL343" s="270">
        <f t="shared" si="260"/>
        <v>1.0666666666666664E-4</v>
      </c>
      <c r="BM343" s="271">
        <f t="shared" si="244"/>
        <v>1.0666666666666665E-2</v>
      </c>
      <c r="BO343" s="351" t="e">
        <f>((((IF($T$5=0,$T$6,$T$5)))/(12*$T$19))+(((3*$T$15)/(2*IF($T$5=0,$T$6,$T$5)*$U$5*$T$19))*'IN-OUT'!$F$14))*'Burland damage classification'!BS343</f>
        <v>#DIV/0!</v>
      </c>
      <c r="BP343" s="352">
        <f>(1+(((IF($T$5=0,$T$6^2,$T$5^2))*$U$5)/(18*$T$15))*('IN-OUT'!$F$14^(-1)))*BT343</f>
        <v>4.6115796281390029E-4</v>
      </c>
      <c r="BQ343" s="254" t="e">
        <f t="shared" si="229"/>
        <v>#DIV/0!</v>
      </c>
      <c r="BR343" s="254" t="e">
        <f t="shared" si="245"/>
        <v>#DIV/0!</v>
      </c>
      <c r="BS343" s="254">
        <f t="shared" si="261"/>
        <v>3.9333333333333364E-4</v>
      </c>
      <c r="BT343" s="253">
        <f t="shared" si="230"/>
        <v>4.6115796281390029E-4</v>
      </c>
      <c r="BU343" s="253">
        <f t="shared" si="262"/>
        <v>1.0666666666666664E-4</v>
      </c>
      <c r="BV343" s="255">
        <f t="shared" si="246"/>
        <v>1.0666666666666665E-2</v>
      </c>
      <c r="BX343" s="351" t="e">
        <f>((((IF($T$5=0,$T$6,$T$5)))/(12*$T$19))+(((3*$T$15)/(2*IF($T$5=0,$T$6,$T$5)*$U$5*$T$19))*'IN-OUT'!$F$14))*'Burland damage classification'!CB343</f>
        <v>#DIV/0!</v>
      </c>
      <c r="BY343" s="352">
        <f>(1+(((IF($T$5=0,$T$6^2,$T$5^2))*$U$5)/(18*$T$15))*('IN-OUT'!$F$14^(-1)))*CC343</f>
        <v>9.6194247922281369E-4</v>
      </c>
      <c r="BZ343" s="254" t="e">
        <f t="shared" si="231"/>
        <v>#DIV/0!</v>
      </c>
      <c r="CA343" s="254" t="e">
        <f t="shared" si="247"/>
        <v>#DIV/0!</v>
      </c>
      <c r="CB343" s="254">
        <f t="shared" si="263"/>
        <v>8.9333333333333333E-4</v>
      </c>
      <c r="CC343" s="253">
        <f t="shared" si="232"/>
        <v>9.6194247922281369E-4</v>
      </c>
      <c r="CD343" s="253">
        <f t="shared" si="264"/>
        <v>1.0666666666666664E-4</v>
      </c>
      <c r="CE343" s="255">
        <f t="shared" si="248"/>
        <v>1.0666666666666665E-2</v>
      </c>
      <c r="CG343" s="351" t="e">
        <f>((((IF($T$5=0,$T$6,$T$5)))/(12*$T$19))+(((3*$T$15)/(2*IF($T$5=0,$T$6,$T$5)*$U$5*$T$19))*'IN-OUT'!$F$14))*'Burland damage classification'!CK343</f>
        <v>#DIV/0!</v>
      </c>
      <c r="CH343" s="352">
        <f>(1+(((IF($T$5=0,$T$6^2,$T$5^2))*$U$5)/(18*$T$15))*('IN-OUT'!$F$14^(-1)))*CL343</f>
        <v>1.9623115620784246E-3</v>
      </c>
      <c r="CI343" s="254" t="e">
        <f t="shared" si="233"/>
        <v>#DIV/0!</v>
      </c>
      <c r="CJ343" s="254" t="e">
        <f t="shared" si="249"/>
        <v>#DIV/0!</v>
      </c>
      <c r="CK343" s="254">
        <f t="shared" si="265"/>
        <v>1.8933333333333335E-3</v>
      </c>
      <c r="CL343" s="270">
        <f t="shared" si="234"/>
        <v>1.9623115620784246E-3</v>
      </c>
      <c r="CM343" s="253">
        <f t="shared" si="266"/>
        <v>1.0666666666666664E-4</v>
      </c>
      <c r="CN343" s="255">
        <f t="shared" si="250"/>
        <v>1.0666666666666665E-2</v>
      </c>
    </row>
    <row r="344" spans="22:92">
      <c r="V344" s="258">
        <f>(((IF($S$5&lt;&gt;0,$S$5,IF($S$6&lt;&gt;0,$S$6,IF($S$7&lt;&gt;0,$S$7,0))))/(12*$S$19))+(((3*$S$15)/(2*(IF($S$5&lt;&gt;0,$S$5,IF($S$6&lt;&gt;0,$S$6,IF($S$7&lt;&gt;0,$S$7,0))))*$U$5*$S$19))*'IN-OUT'!$F$14))*'Burland damage classification'!Z344</f>
        <v>1.9292788911473725E-3</v>
      </c>
      <c r="W344" s="352">
        <f>(1+(((IF($S$5&lt;&gt;0,$S$5^2,IF($S$6&lt;&gt;0,$S$6^2,IF($S$7&lt;&gt;0,$S$7^2))))*$U$5)/(18*$S$15))*('IN-OUT'!$F$14^(-1)))*AA344</f>
        <v>2.9297317856919874E-4</v>
      </c>
      <c r="X344" s="262">
        <f t="shared" si="219"/>
        <v>2.9297317856919874E-4</v>
      </c>
      <c r="Y344" s="262">
        <f t="shared" si="235"/>
        <v>2.9297317856919875E-2</v>
      </c>
      <c r="Z344" s="262">
        <f t="shared" si="251"/>
        <v>2.200000000000002E-4</v>
      </c>
      <c r="AA344" s="270">
        <f t="shared" si="220"/>
        <v>2.9097537123726929E-4</v>
      </c>
      <c r="AB344" s="270">
        <f t="shared" si="252"/>
        <v>1.133333333333333E-4</v>
      </c>
      <c r="AC344" s="271">
        <f t="shared" si="236"/>
        <v>1.1333333333333331E-2</v>
      </c>
      <c r="AE344" s="258">
        <f>(((IF($S$5&lt;&gt;0,$S$5,IF($S$6&lt;&gt;0,$S$6,IF($S$7&lt;&gt;0,$S$7,0))))/(12*$S$19))+(((3*$S$15)/(2*(IF($S$5&lt;&gt;0,$S$5,IF($S$6&lt;&gt;0,$S$6,IF($S$7&lt;&gt;0,$S$7,0))))*$U$5*$S$19))*'IN-OUT'!$F$14))*'Burland damage classification'!AI344</f>
        <v>3.3908538086832606E-3</v>
      </c>
      <c r="AF344" s="353">
        <f>(1+(((IF($S$5&lt;&gt;0,$S$5^2,IF($S$6&lt;&gt;0,$S$6^2,IF($S$7&lt;&gt;0,$S$7^2))))*$U$5)/(18*$S$15))*('IN-OUT'!$F$14^(-1)))*AJ344</f>
        <v>4.6176996778977562E-4</v>
      </c>
      <c r="AG344" s="254">
        <f t="shared" si="221"/>
        <v>4.6176996778977562E-4</v>
      </c>
      <c r="AH344" s="254">
        <f t="shared" si="237"/>
        <v>4.6176996778977561E-2</v>
      </c>
      <c r="AI344" s="254">
        <f t="shared" si="253"/>
        <v>3.8666666666666699E-4</v>
      </c>
      <c r="AJ344" s="253">
        <f t="shared" si="222"/>
        <v>4.5862112176973854E-4</v>
      </c>
      <c r="AK344" s="253">
        <f t="shared" si="254"/>
        <v>1.133333333333333E-4</v>
      </c>
      <c r="AL344" s="255">
        <f t="shared" si="238"/>
        <v>1.1333333333333331E-2</v>
      </c>
      <c r="AN344" s="258">
        <f>(((IF($S$5&lt;&gt;0,$S$5,IF($S$6&lt;&gt;0,$S$6,IF($S$7&lt;&gt;0,$S$7,0))))/(12*$S$19))+(((3*$S$15)/(2*(IF($S$5&lt;&gt;0,$S$5,IF($S$6&lt;&gt;0,$S$6,IF($S$7&lt;&gt;0,$S$7,0))))*$U$5*$S$19))*'IN-OUT'!$F$14))*'Burland damage classification'!AR344</f>
        <v>7.7755785612909191E-3</v>
      </c>
      <c r="AO344" s="353">
        <f>(1+(((IF($S$5&lt;&gt;0,$S$5^2,IF($S$6&lt;&gt;0,$S$6^2,IF($S$7&lt;&gt;0,$S$7^2))))*$U$5)/(18*$S$15))*('IN-OUT'!$F$14^(-1)))*AS344</f>
        <v>9.6610168976775271E-4</v>
      </c>
      <c r="AP344" s="254">
        <f t="shared" si="223"/>
        <v>9.6610168976775271E-4</v>
      </c>
      <c r="AQ344" s="254">
        <f t="shared" si="239"/>
        <v>9.6610168976775268E-2</v>
      </c>
      <c r="AR344" s="254">
        <f t="shared" si="255"/>
        <v>8.8666666666666668E-4</v>
      </c>
      <c r="AS344" s="253">
        <f t="shared" si="224"/>
        <v>9.5951376575152203E-4</v>
      </c>
      <c r="AT344" s="253">
        <f t="shared" si="256"/>
        <v>1.133333333333333E-4</v>
      </c>
      <c r="AU344" s="255">
        <f t="shared" si="240"/>
        <v>1.1333333333333331E-2</v>
      </c>
      <c r="AW344" s="258">
        <f>(((IF($S$5&lt;&gt;0,$S$5,IF($S$6&lt;&gt;0,$S$6,IF($S$7&lt;&gt;0,$S$7,0))))/(12*$S$19))+(((3*$S$15)/(2*(IF($S$5&lt;&gt;0,$S$5,IF($S$6&lt;&gt;0,$S$6,IF($S$7&lt;&gt;0,$S$7,0))))*$U$5*$S$19))*'IN-OUT'!$F$14))*'Burland damage classification'!BA344</f>
        <v>1.6545028066506241E-2</v>
      </c>
      <c r="AX344" s="353">
        <f>(1+(((IF($S$5&lt;&gt;0,$S$5^2,IF($S$6&lt;&gt;0,$S$6^2,IF($S$7&lt;&gt;0,$S$7^2))))*$U$5)/(18*$S$15))*('IN-OUT'!$F$14^(-1)))*BB344</f>
        <v>1.9733886653703265E-3</v>
      </c>
      <c r="AY344" s="254">
        <f t="shared" si="225"/>
        <v>1.9733886653703265E-3</v>
      </c>
      <c r="AZ344" s="254">
        <f t="shared" si="241"/>
        <v>0.19733886653703264</v>
      </c>
      <c r="BA344" s="254">
        <f t="shared" si="257"/>
        <v>1.8866666666666667E-3</v>
      </c>
      <c r="BB344" s="270">
        <f t="shared" si="226"/>
        <v>1.9599319716085387E-3</v>
      </c>
      <c r="BC344" s="253">
        <f t="shared" si="258"/>
        <v>1.133333333333333E-4</v>
      </c>
      <c r="BD344" s="255">
        <f t="shared" si="242"/>
        <v>1.1333333333333331E-2</v>
      </c>
      <c r="BF344" s="351" t="e">
        <f>((((IF($T$5=0,$T$6,$T$5)))/(12*$T$19))+(((3*$T$15)/(2*IF($T$5=0,$T$6,$T$5)*$U$5*$T$19))*'IN-OUT'!$F$14))*'Burland damage classification'!BJ344</f>
        <v>#DIV/0!</v>
      </c>
      <c r="BG344" s="352">
        <f>(1+(((IF($T$5=0,$T$6^2,$T$5^2))*$U$5)/(18*$T$15))*('IN-OUT'!$F$14^(-1)))*BK344</f>
        <v>2.9097537123726929E-4</v>
      </c>
      <c r="BH344" s="262" t="e">
        <f t="shared" si="227"/>
        <v>#DIV/0!</v>
      </c>
      <c r="BI344" s="262" t="e">
        <f t="shared" si="243"/>
        <v>#DIV/0!</v>
      </c>
      <c r="BJ344" s="262">
        <f t="shared" si="259"/>
        <v>2.200000000000002E-4</v>
      </c>
      <c r="BK344" s="270">
        <f t="shared" si="228"/>
        <v>2.9097537123726929E-4</v>
      </c>
      <c r="BL344" s="270">
        <f t="shared" si="260"/>
        <v>1.133333333333333E-4</v>
      </c>
      <c r="BM344" s="271">
        <f t="shared" si="244"/>
        <v>1.1333333333333331E-2</v>
      </c>
      <c r="BO344" s="351" t="e">
        <f>((((IF($T$5=0,$T$6,$T$5)))/(12*$T$19))+(((3*$T$15)/(2*IF($T$5=0,$T$6,$T$5)*$U$5*$T$19))*'IN-OUT'!$F$14))*'Burland damage classification'!BS344</f>
        <v>#DIV/0!</v>
      </c>
      <c r="BP344" s="352">
        <f>(1+(((IF($T$5=0,$T$6^2,$T$5^2))*$U$5)/(18*$T$15))*('IN-OUT'!$F$14^(-1)))*BT344</f>
        <v>4.5862112176973854E-4</v>
      </c>
      <c r="BQ344" s="254" t="e">
        <f t="shared" si="229"/>
        <v>#DIV/0!</v>
      </c>
      <c r="BR344" s="254" t="e">
        <f t="shared" si="245"/>
        <v>#DIV/0!</v>
      </c>
      <c r="BS344" s="254">
        <f t="shared" si="261"/>
        <v>3.8666666666666699E-4</v>
      </c>
      <c r="BT344" s="253">
        <f t="shared" si="230"/>
        <v>4.5862112176973854E-4</v>
      </c>
      <c r="BU344" s="253">
        <f t="shared" si="262"/>
        <v>1.133333333333333E-4</v>
      </c>
      <c r="BV344" s="255">
        <f t="shared" si="246"/>
        <v>1.1333333333333331E-2</v>
      </c>
      <c r="BX344" s="351" t="e">
        <f>((((IF($T$5=0,$T$6,$T$5)))/(12*$T$19))+(((3*$T$15)/(2*IF($T$5=0,$T$6,$T$5)*$U$5*$T$19))*'IN-OUT'!$F$14))*'Burland damage classification'!CB344</f>
        <v>#DIV/0!</v>
      </c>
      <c r="BY344" s="352">
        <f>(1+(((IF($T$5=0,$T$6^2,$T$5^2))*$U$5)/(18*$T$15))*('IN-OUT'!$F$14^(-1)))*CC344</f>
        <v>9.5951376575152203E-4</v>
      </c>
      <c r="BZ344" s="254" t="e">
        <f t="shared" si="231"/>
        <v>#DIV/0!</v>
      </c>
      <c r="CA344" s="254" t="e">
        <f t="shared" si="247"/>
        <v>#DIV/0!</v>
      </c>
      <c r="CB344" s="254">
        <f t="shared" si="263"/>
        <v>8.8666666666666668E-4</v>
      </c>
      <c r="CC344" s="253">
        <f t="shared" si="232"/>
        <v>9.5951376575152203E-4</v>
      </c>
      <c r="CD344" s="253">
        <f t="shared" si="264"/>
        <v>1.133333333333333E-4</v>
      </c>
      <c r="CE344" s="255">
        <f t="shared" si="248"/>
        <v>1.1333333333333331E-2</v>
      </c>
      <c r="CG344" s="351" t="e">
        <f>((((IF($T$5=0,$T$6,$T$5)))/(12*$T$19))+(((3*$T$15)/(2*IF($T$5=0,$T$6,$T$5)*$U$5*$T$19))*'IN-OUT'!$F$14))*'Burland damage classification'!CK344</f>
        <v>#DIV/0!</v>
      </c>
      <c r="CH344" s="352">
        <f>(1+(((IF($T$5=0,$T$6^2,$T$5^2))*$U$5)/(18*$T$15))*('IN-OUT'!$F$14^(-1)))*CL344</f>
        <v>1.9599319716085387E-3</v>
      </c>
      <c r="CI344" s="254" t="e">
        <f t="shared" si="233"/>
        <v>#DIV/0!</v>
      </c>
      <c r="CJ344" s="254" t="e">
        <f t="shared" si="249"/>
        <v>#DIV/0!</v>
      </c>
      <c r="CK344" s="254">
        <f t="shared" si="265"/>
        <v>1.8866666666666667E-3</v>
      </c>
      <c r="CL344" s="270">
        <f t="shared" si="234"/>
        <v>1.9599319716085387E-3</v>
      </c>
      <c r="CM344" s="253">
        <f t="shared" si="266"/>
        <v>1.133333333333333E-4</v>
      </c>
      <c r="CN344" s="255">
        <f t="shared" si="250"/>
        <v>1.1333333333333331E-2</v>
      </c>
    </row>
    <row r="345" spans="22:92">
      <c r="V345" s="258">
        <f>(((IF($S$5&lt;&gt;0,$S$5,IF($S$6&lt;&gt;0,$S$6,IF($S$7&lt;&gt;0,$S$7,0))))/(12*$S$19))+(((3*$S$15)/(2*(IF($S$5&lt;&gt;0,$S$5,IF($S$6&lt;&gt;0,$S$6,IF($S$7&lt;&gt;0,$S$7,0))))*$U$5*$S$19))*'IN-OUT'!$F$14))*'Burland damage classification'!Z345</f>
        <v>1.8708158944459371E-3</v>
      </c>
      <c r="W345" s="352">
        <f>(1+(((IF($S$5&lt;&gt;0,$S$5^2,IF($S$6&lt;&gt;0,$S$6^2,IF($S$7&lt;&gt;0,$S$7^2))))*$U$5)/(18*$S$15))*('IN-OUT'!$F$14^(-1)))*AA345</f>
        <v>2.9026934716374139E-4</v>
      </c>
      <c r="X345" s="262">
        <f t="shared" si="219"/>
        <v>2.9026934716374139E-4</v>
      </c>
      <c r="Y345" s="262">
        <f t="shared" si="235"/>
        <v>2.9026934716374138E-2</v>
      </c>
      <c r="Z345" s="262">
        <f t="shared" si="251"/>
        <v>2.1333333333333352E-4</v>
      </c>
      <c r="AA345" s="270">
        <f t="shared" si="220"/>
        <v>2.8828997747252876E-4</v>
      </c>
      <c r="AB345" s="270">
        <f t="shared" si="252"/>
        <v>1.1999999999999996E-4</v>
      </c>
      <c r="AC345" s="271">
        <f t="shared" si="236"/>
        <v>1.1999999999999997E-2</v>
      </c>
      <c r="AE345" s="258">
        <f>(((IF($S$5&lt;&gt;0,$S$5,IF($S$6&lt;&gt;0,$S$6,IF($S$7&lt;&gt;0,$S$7,0))))/(12*$S$19))+(((3*$S$15)/(2*(IF($S$5&lt;&gt;0,$S$5,IF($S$6&lt;&gt;0,$S$6,IF($S$7&lt;&gt;0,$S$7,0))))*$U$5*$S$19))*'IN-OUT'!$F$14))*'Burland damage classification'!AI345</f>
        <v>3.3323908119818253E-3</v>
      </c>
      <c r="AF345" s="353">
        <f>(1+(((IF($S$5&lt;&gt;0,$S$5^2,IF($S$6&lt;&gt;0,$S$6^2,IF($S$7&lt;&gt;0,$S$7^2))))*$U$5)/(18*$S$15))*('IN-OUT'!$F$14^(-1)))*AJ345</f>
        <v>4.5920150148432435E-4</v>
      </c>
      <c r="AG345" s="254">
        <f t="shared" si="221"/>
        <v>4.5920150148432435E-4</v>
      </c>
      <c r="AH345" s="254">
        <f t="shared" si="237"/>
        <v>4.5920150148432433E-2</v>
      </c>
      <c r="AI345" s="254">
        <f t="shared" si="253"/>
        <v>3.8000000000000035E-4</v>
      </c>
      <c r="AJ345" s="253">
        <f t="shared" si="222"/>
        <v>4.560701700396552E-4</v>
      </c>
      <c r="AK345" s="253">
        <f t="shared" si="254"/>
        <v>1.1999999999999996E-4</v>
      </c>
      <c r="AL345" s="255">
        <f t="shared" si="238"/>
        <v>1.1999999999999997E-2</v>
      </c>
      <c r="AN345" s="258">
        <f>(((IF($S$5&lt;&gt;0,$S$5,IF($S$6&lt;&gt;0,$S$6,IF($S$7&lt;&gt;0,$S$7,0))))/(12*$S$19))+(((3*$S$15)/(2*(IF($S$5&lt;&gt;0,$S$5,IF($S$6&lt;&gt;0,$S$6,IF($S$7&lt;&gt;0,$S$7,0))))*$U$5*$S$19))*'IN-OUT'!$F$14))*'Burland damage classification'!AR345</f>
        <v>7.7171155645894838E-3</v>
      </c>
      <c r="AO345" s="353">
        <f>(1+(((IF($S$5&lt;&gt;0,$S$5^2,IF($S$6&lt;&gt;0,$S$6^2,IF($S$7&lt;&gt;0,$S$7^2))))*$U$5)/(18*$S$15))*('IN-OUT'!$F$14^(-1)))*AS345</f>
        <v>9.6365009552112945E-4</v>
      </c>
      <c r="AP345" s="254">
        <f t="shared" si="223"/>
        <v>9.6365009552112945E-4</v>
      </c>
      <c r="AQ345" s="254">
        <f t="shared" si="239"/>
        <v>9.636500955211294E-2</v>
      </c>
      <c r="AR345" s="254">
        <f t="shared" si="255"/>
        <v>8.8000000000000003E-4</v>
      </c>
      <c r="AS345" s="253">
        <f t="shared" si="224"/>
        <v>9.5707888912043189E-4</v>
      </c>
      <c r="AT345" s="253">
        <f t="shared" si="256"/>
        <v>1.1999999999999996E-4</v>
      </c>
      <c r="AU345" s="255">
        <f t="shared" si="240"/>
        <v>1.1999999999999997E-2</v>
      </c>
      <c r="AW345" s="258">
        <f>(((IF($S$5&lt;&gt;0,$S$5,IF($S$6&lt;&gt;0,$S$6,IF($S$7&lt;&gt;0,$S$7,0))))/(12*$S$19))+(((3*$S$15)/(2*(IF($S$5&lt;&gt;0,$S$5,IF($S$6&lt;&gt;0,$S$6,IF($S$7&lt;&gt;0,$S$7,0))))*$U$5*$S$19))*'IN-OUT'!$F$14))*'Burland damage classification'!BA345</f>
        <v>1.6486565069804806E-2</v>
      </c>
      <c r="AX345" s="353">
        <f>(1+(((IF($S$5&lt;&gt;0,$S$5^2,IF($S$6&lt;&gt;0,$S$6^2,IF($S$7&lt;&gt;0,$S$7^2))))*$U$5)/(18*$S$15))*('IN-OUT'!$F$14^(-1)))*BB345</f>
        <v>1.9709898243937302E-3</v>
      </c>
      <c r="AY345" s="254">
        <f t="shared" si="225"/>
        <v>1.9709898243937302E-3</v>
      </c>
      <c r="AZ345" s="254">
        <f t="shared" si="241"/>
        <v>0.19709898243937302</v>
      </c>
      <c r="BA345" s="254">
        <f t="shared" si="257"/>
        <v>1.8799999999999999E-3</v>
      </c>
      <c r="BB345" s="270">
        <f t="shared" si="226"/>
        <v>1.9575494885187448E-3</v>
      </c>
      <c r="BC345" s="253">
        <f t="shared" si="258"/>
        <v>1.1999999999999996E-4</v>
      </c>
      <c r="BD345" s="255">
        <f t="shared" si="242"/>
        <v>1.1999999999999997E-2</v>
      </c>
      <c r="BF345" s="351" t="e">
        <f>((((IF($T$5=0,$T$6,$T$5)))/(12*$T$19))+(((3*$T$15)/(2*IF($T$5=0,$T$6,$T$5)*$U$5*$T$19))*'IN-OUT'!$F$14))*'Burland damage classification'!BJ345</f>
        <v>#DIV/0!</v>
      </c>
      <c r="BG345" s="352">
        <f>(1+(((IF($T$5=0,$T$6^2,$T$5^2))*$U$5)/(18*$T$15))*('IN-OUT'!$F$14^(-1)))*BK345</f>
        <v>2.8828997747252876E-4</v>
      </c>
      <c r="BH345" s="262" t="e">
        <f t="shared" si="227"/>
        <v>#DIV/0!</v>
      </c>
      <c r="BI345" s="262" t="e">
        <f t="shared" si="243"/>
        <v>#DIV/0!</v>
      </c>
      <c r="BJ345" s="262">
        <f t="shared" si="259"/>
        <v>2.1333333333333352E-4</v>
      </c>
      <c r="BK345" s="270">
        <f t="shared" si="228"/>
        <v>2.8828997747252876E-4</v>
      </c>
      <c r="BL345" s="270">
        <f t="shared" si="260"/>
        <v>1.1999999999999996E-4</v>
      </c>
      <c r="BM345" s="271">
        <f t="shared" si="244"/>
        <v>1.1999999999999997E-2</v>
      </c>
      <c r="BO345" s="351" t="e">
        <f>((((IF($T$5=0,$T$6,$T$5)))/(12*$T$19))+(((3*$T$15)/(2*IF($T$5=0,$T$6,$T$5)*$U$5*$T$19))*'IN-OUT'!$F$14))*'Burland damage classification'!BS345</f>
        <v>#DIV/0!</v>
      </c>
      <c r="BP345" s="352">
        <f>(1+(((IF($T$5=0,$T$6^2,$T$5^2))*$U$5)/(18*$T$15))*('IN-OUT'!$F$14^(-1)))*BT345</f>
        <v>4.560701700396552E-4</v>
      </c>
      <c r="BQ345" s="254" t="e">
        <f t="shared" si="229"/>
        <v>#DIV/0!</v>
      </c>
      <c r="BR345" s="254" t="e">
        <f t="shared" si="245"/>
        <v>#DIV/0!</v>
      </c>
      <c r="BS345" s="254">
        <f t="shared" si="261"/>
        <v>3.8000000000000035E-4</v>
      </c>
      <c r="BT345" s="253">
        <f t="shared" si="230"/>
        <v>4.560701700396552E-4</v>
      </c>
      <c r="BU345" s="253">
        <f t="shared" si="262"/>
        <v>1.1999999999999996E-4</v>
      </c>
      <c r="BV345" s="255">
        <f t="shared" si="246"/>
        <v>1.1999999999999997E-2</v>
      </c>
      <c r="BX345" s="351" t="e">
        <f>((((IF($T$5=0,$T$6,$T$5)))/(12*$T$19))+(((3*$T$15)/(2*IF($T$5=0,$T$6,$T$5)*$U$5*$T$19))*'IN-OUT'!$F$14))*'Burland damage classification'!CB345</f>
        <v>#DIV/0!</v>
      </c>
      <c r="BY345" s="352">
        <f>(1+(((IF($T$5=0,$T$6^2,$T$5^2))*$U$5)/(18*$T$15))*('IN-OUT'!$F$14^(-1)))*CC345</f>
        <v>9.5707888912043189E-4</v>
      </c>
      <c r="BZ345" s="254" t="e">
        <f t="shared" si="231"/>
        <v>#DIV/0!</v>
      </c>
      <c r="CA345" s="254" t="e">
        <f t="shared" si="247"/>
        <v>#DIV/0!</v>
      </c>
      <c r="CB345" s="254">
        <f t="shared" si="263"/>
        <v>8.8000000000000003E-4</v>
      </c>
      <c r="CC345" s="253">
        <f t="shared" si="232"/>
        <v>9.5707888912043189E-4</v>
      </c>
      <c r="CD345" s="253">
        <f t="shared" si="264"/>
        <v>1.1999999999999996E-4</v>
      </c>
      <c r="CE345" s="255">
        <f t="shared" si="248"/>
        <v>1.1999999999999997E-2</v>
      </c>
      <c r="CG345" s="351" t="e">
        <f>((((IF($T$5=0,$T$6,$T$5)))/(12*$T$19))+(((3*$T$15)/(2*IF($T$5=0,$T$6,$T$5)*$U$5*$T$19))*'IN-OUT'!$F$14))*'Burland damage classification'!CK345</f>
        <v>#DIV/0!</v>
      </c>
      <c r="CH345" s="352">
        <f>(1+(((IF($T$5=0,$T$6^2,$T$5^2))*$U$5)/(18*$T$15))*('IN-OUT'!$F$14^(-1)))*CL345</f>
        <v>1.9575494885187448E-3</v>
      </c>
      <c r="CI345" s="254" t="e">
        <f t="shared" si="233"/>
        <v>#DIV/0!</v>
      </c>
      <c r="CJ345" s="254" t="e">
        <f t="shared" si="249"/>
        <v>#DIV/0!</v>
      </c>
      <c r="CK345" s="254">
        <f t="shared" si="265"/>
        <v>1.8799999999999999E-3</v>
      </c>
      <c r="CL345" s="270">
        <f t="shared" si="234"/>
        <v>1.9575494885187448E-3</v>
      </c>
      <c r="CM345" s="253">
        <f t="shared" si="266"/>
        <v>1.1999999999999996E-4</v>
      </c>
      <c r="CN345" s="255">
        <f t="shared" si="250"/>
        <v>1.1999999999999997E-2</v>
      </c>
    </row>
    <row r="346" spans="22:92">
      <c r="V346" s="258">
        <f>(((IF($S$5&lt;&gt;0,$S$5,IF($S$6&lt;&gt;0,$S$6,IF($S$7&lt;&gt;0,$S$7,0))))/(12*$S$19))+(((3*$S$15)/(2*(IF($S$5&lt;&gt;0,$S$5,IF($S$6&lt;&gt;0,$S$6,IF($S$7&lt;&gt;0,$S$7,0))))*$U$5*$S$19))*'IN-OUT'!$F$14))*'Burland damage classification'!Z346</f>
        <v>1.8123528977445015E-3</v>
      </c>
      <c r="W346" s="352">
        <f>(1+(((IF($S$5&lt;&gt;0,$S$5^2,IF($S$6&lt;&gt;0,$S$6^2,IF($S$7&lt;&gt;0,$S$7^2))))*$U$5)/(18*$S$15))*('IN-OUT'!$F$14^(-1)))*AA346</f>
        <v>2.8754009189118235E-4</v>
      </c>
      <c r="X346" s="262">
        <f t="shared" si="219"/>
        <v>2.8754009189118235E-4</v>
      </c>
      <c r="Y346" s="262">
        <f t="shared" si="235"/>
        <v>2.8754009189118235E-2</v>
      </c>
      <c r="Z346" s="262">
        <f t="shared" si="251"/>
        <v>2.0666666666666685E-4</v>
      </c>
      <c r="AA346" s="270">
        <f t="shared" si="220"/>
        <v>2.8557933320805197E-4</v>
      </c>
      <c r="AB346" s="270">
        <f t="shared" si="252"/>
        <v>1.2666666666666664E-4</v>
      </c>
      <c r="AC346" s="271">
        <f t="shared" si="236"/>
        <v>1.2666666666666663E-2</v>
      </c>
      <c r="AE346" s="258">
        <f>(((IF($S$5&lt;&gt;0,$S$5,IF($S$6&lt;&gt;0,$S$6,IF($S$7&lt;&gt;0,$S$7,0))))/(12*$S$19))+(((3*$S$15)/(2*(IF($S$5&lt;&gt;0,$S$5,IF($S$6&lt;&gt;0,$S$6,IF($S$7&lt;&gt;0,$S$7,0))))*$U$5*$S$19))*'IN-OUT'!$F$14))*'Burland damage classification'!AI346</f>
        <v>3.2739278152803899E-3</v>
      </c>
      <c r="AF346" s="353">
        <f>(1+(((IF($S$5&lt;&gt;0,$S$5^2,IF($S$6&lt;&gt;0,$S$6^2,IF($S$7&lt;&gt;0,$S$7^2))))*$U$5)/(18*$S$15))*('IN-OUT'!$F$14^(-1)))*AJ346</f>
        <v>4.5661858785899791E-4</v>
      </c>
      <c r="AG346" s="254">
        <f t="shared" si="221"/>
        <v>4.5661858785899791E-4</v>
      </c>
      <c r="AH346" s="254">
        <f t="shared" si="237"/>
        <v>4.5661858785899789E-2</v>
      </c>
      <c r="AI346" s="254">
        <f t="shared" si="253"/>
        <v>3.733333333333337E-4</v>
      </c>
      <c r="AJ346" s="253">
        <f t="shared" si="222"/>
        <v>4.535048695071164E-4</v>
      </c>
      <c r="AK346" s="253">
        <f t="shared" si="254"/>
        <v>1.2666666666666664E-4</v>
      </c>
      <c r="AL346" s="255">
        <f t="shared" si="238"/>
        <v>1.2666666666666663E-2</v>
      </c>
      <c r="AN346" s="258">
        <f>(((IF($S$5&lt;&gt;0,$S$5,IF($S$6&lt;&gt;0,$S$6,IF($S$7&lt;&gt;0,$S$7,0))))/(12*$S$19))+(((3*$S$15)/(2*(IF($S$5&lt;&gt;0,$S$5,IF($S$6&lt;&gt;0,$S$6,IF($S$7&lt;&gt;0,$S$7,0))))*$U$5*$S$19))*'IN-OUT'!$F$14))*'Burland damage classification'!AR346</f>
        <v>7.6586525678880484E-3</v>
      </c>
      <c r="AO346" s="353">
        <f>(1+(((IF($S$5&lt;&gt;0,$S$5^2,IF($S$6&lt;&gt;0,$S$6^2,IF($S$7&lt;&gt;0,$S$7^2))))*$U$5)/(18*$S$15))*('IN-OUT'!$F$14^(-1)))*AS346</f>
        <v>9.6119224831646281E-4</v>
      </c>
      <c r="AP346" s="254">
        <f t="shared" si="223"/>
        <v>9.6119224831646281E-4</v>
      </c>
      <c r="AQ346" s="254">
        <f t="shared" si="239"/>
        <v>9.6119224831646283E-2</v>
      </c>
      <c r="AR346" s="254">
        <f t="shared" si="255"/>
        <v>8.7333333333333338E-4</v>
      </c>
      <c r="AS346" s="253">
        <f t="shared" si="224"/>
        <v>9.5463780217071499E-4</v>
      </c>
      <c r="AT346" s="253">
        <f t="shared" si="256"/>
        <v>1.2666666666666664E-4</v>
      </c>
      <c r="AU346" s="255">
        <f t="shared" si="240"/>
        <v>1.2666666666666663E-2</v>
      </c>
      <c r="AW346" s="258">
        <f>(((IF($S$5&lt;&gt;0,$S$5,IF($S$6&lt;&gt;0,$S$6,IF($S$7&lt;&gt;0,$S$7,0))))/(12*$S$19))+(((3*$S$15)/(2*(IF($S$5&lt;&gt;0,$S$5,IF($S$6&lt;&gt;0,$S$6,IF($S$7&lt;&gt;0,$S$7,0))))*$U$5*$S$19))*'IN-OUT'!$F$14))*'Burland damage classification'!BA346</f>
        <v>1.6428102073103367E-2</v>
      </c>
      <c r="AX346" s="353">
        <f>(1+(((IF($S$5&lt;&gt;0,$S$5^2,IF($S$6&lt;&gt;0,$S$6^2,IF($S$7&lt;&gt;0,$S$7^2))))*$U$5)/(18*$S$15))*('IN-OUT'!$F$14^(-1)))*BB346</f>
        <v>1.9685880602897036E-3</v>
      </c>
      <c r="AY346" s="254">
        <f t="shared" si="225"/>
        <v>1.9685880602897036E-3</v>
      </c>
      <c r="AZ346" s="254">
        <f t="shared" si="241"/>
        <v>0.19685880602897035</v>
      </c>
      <c r="BA346" s="254">
        <f t="shared" si="257"/>
        <v>1.8733333333333332E-3</v>
      </c>
      <c r="BB346" s="270">
        <f t="shared" si="226"/>
        <v>1.9551641022345582E-3</v>
      </c>
      <c r="BC346" s="253">
        <f t="shared" si="258"/>
        <v>1.2666666666666664E-4</v>
      </c>
      <c r="BD346" s="255">
        <f t="shared" si="242"/>
        <v>1.2666666666666663E-2</v>
      </c>
      <c r="BF346" s="351" t="e">
        <f>((((IF($T$5=0,$T$6,$T$5)))/(12*$T$19))+(((3*$T$15)/(2*IF($T$5=0,$T$6,$T$5)*$U$5*$T$19))*'IN-OUT'!$F$14))*'Burland damage classification'!BJ346</f>
        <v>#DIV/0!</v>
      </c>
      <c r="BG346" s="352">
        <f>(1+(((IF($T$5=0,$T$6^2,$T$5^2))*$U$5)/(18*$T$15))*('IN-OUT'!$F$14^(-1)))*BK346</f>
        <v>2.8557933320805197E-4</v>
      </c>
      <c r="BH346" s="262" t="e">
        <f t="shared" si="227"/>
        <v>#DIV/0!</v>
      </c>
      <c r="BI346" s="262" t="e">
        <f t="shared" si="243"/>
        <v>#DIV/0!</v>
      </c>
      <c r="BJ346" s="262">
        <f t="shared" si="259"/>
        <v>2.0666666666666685E-4</v>
      </c>
      <c r="BK346" s="270">
        <f t="shared" si="228"/>
        <v>2.8557933320805197E-4</v>
      </c>
      <c r="BL346" s="270">
        <f t="shared" si="260"/>
        <v>1.2666666666666664E-4</v>
      </c>
      <c r="BM346" s="271">
        <f t="shared" si="244"/>
        <v>1.2666666666666663E-2</v>
      </c>
      <c r="BO346" s="351" t="e">
        <f>((((IF($T$5=0,$T$6,$T$5)))/(12*$T$19))+(((3*$T$15)/(2*IF($T$5=0,$T$6,$T$5)*$U$5*$T$19))*'IN-OUT'!$F$14))*'Burland damage classification'!BS346</f>
        <v>#DIV/0!</v>
      </c>
      <c r="BP346" s="352">
        <f>(1+(((IF($T$5=0,$T$6^2,$T$5^2))*$U$5)/(18*$T$15))*('IN-OUT'!$F$14^(-1)))*BT346</f>
        <v>4.535048695071164E-4</v>
      </c>
      <c r="BQ346" s="254" t="e">
        <f t="shared" si="229"/>
        <v>#DIV/0!</v>
      </c>
      <c r="BR346" s="254" t="e">
        <f t="shared" si="245"/>
        <v>#DIV/0!</v>
      </c>
      <c r="BS346" s="254">
        <f t="shared" si="261"/>
        <v>3.733333333333337E-4</v>
      </c>
      <c r="BT346" s="253">
        <f t="shared" si="230"/>
        <v>4.535048695071164E-4</v>
      </c>
      <c r="BU346" s="253">
        <f t="shared" si="262"/>
        <v>1.2666666666666664E-4</v>
      </c>
      <c r="BV346" s="255">
        <f t="shared" si="246"/>
        <v>1.2666666666666663E-2</v>
      </c>
      <c r="BX346" s="351" t="e">
        <f>((((IF($T$5=0,$T$6,$T$5)))/(12*$T$19))+(((3*$T$15)/(2*IF($T$5=0,$T$6,$T$5)*$U$5*$T$19))*'IN-OUT'!$F$14))*'Burland damage classification'!CB346</f>
        <v>#DIV/0!</v>
      </c>
      <c r="BY346" s="352">
        <f>(1+(((IF($T$5=0,$T$6^2,$T$5^2))*$U$5)/(18*$T$15))*('IN-OUT'!$F$14^(-1)))*CC346</f>
        <v>9.5463780217071499E-4</v>
      </c>
      <c r="BZ346" s="254" t="e">
        <f t="shared" si="231"/>
        <v>#DIV/0!</v>
      </c>
      <c r="CA346" s="254" t="e">
        <f t="shared" si="247"/>
        <v>#DIV/0!</v>
      </c>
      <c r="CB346" s="254">
        <f t="shared" si="263"/>
        <v>8.7333333333333338E-4</v>
      </c>
      <c r="CC346" s="253">
        <f t="shared" si="232"/>
        <v>9.5463780217071499E-4</v>
      </c>
      <c r="CD346" s="253">
        <f t="shared" si="264"/>
        <v>1.2666666666666664E-4</v>
      </c>
      <c r="CE346" s="255">
        <f t="shared" si="248"/>
        <v>1.2666666666666663E-2</v>
      </c>
      <c r="CG346" s="351" t="e">
        <f>((((IF($T$5=0,$T$6,$T$5)))/(12*$T$19))+(((3*$T$15)/(2*IF($T$5=0,$T$6,$T$5)*$U$5*$T$19))*'IN-OUT'!$F$14))*'Burland damage classification'!CK346</f>
        <v>#DIV/0!</v>
      </c>
      <c r="CH346" s="352">
        <f>(1+(((IF($T$5=0,$T$6^2,$T$5^2))*$U$5)/(18*$T$15))*('IN-OUT'!$F$14^(-1)))*CL346</f>
        <v>1.9551641022345582E-3</v>
      </c>
      <c r="CI346" s="254" t="e">
        <f t="shared" si="233"/>
        <v>#DIV/0!</v>
      </c>
      <c r="CJ346" s="254" t="e">
        <f t="shared" si="249"/>
        <v>#DIV/0!</v>
      </c>
      <c r="CK346" s="254">
        <f t="shared" si="265"/>
        <v>1.8733333333333332E-3</v>
      </c>
      <c r="CL346" s="270">
        <f t="shared" si="234"/>
        <v>1.9551641022345582E-3</v>
      </c>
      <c r="CM346" s="253">
        <f t="shared" si="266"/>
        <v>1.2666666666666664E-4</v>
      </c>
      <c r="CN346" s="255">
        <f t="shared" si="250"/>
        <v>1.2666666666666663E-2</v>
      </c>
    </row>
    <row r="347" spans="22:92">
      <c r="V347" s="258">
        <f>(((IF($S$5&lt;&gt;0,$S$5,IF($S$6&lt;&gt;0,$S$6,IF($S$7&lt;&gt;0,$S$7,0))))/(12*$S$19))+(((3*$S$15)/(2*(IF($S$5&lt;&gt;0,$S$5,IF($S$6&lt;&gt;0,$S$6,IF($S$7&lt;&gt;0,$S$7,0))))*$U$5*$S$19))*'IN-OUT'!$F$14))*'Burland damage classification'!Z347</f>
        <v>1.7538899010430659E-3</v>
      </c>
      <c r="W347" s="352">
        <f>(1+(((IF($S$5&lt;&gt;0,$S$5^2,IF($S$6&lt;&gt;0,$S$6^2,IF($S$7&lt;&gt;0,$S$7^2))))*$U$5)/(18*$S$15))*('IN-OUT'!$F$14^(-1)))*AA347</f>
        <v>2.8478468179787093E-4</v>
      </c>
      <c r="X347" s="262">
        <f t="shared" si="219"/>
        <v>2.8478468179787093E-4</v>
      </c>
      <c r="Y347" s="262">
        <f t="shared" si="235"/>
        <v>2.8478468179787095E-2</v>
      </c>
      <c r="Z347" s="262">
        <f t="shared" si="251"/>
        <v>2.0000000000000017E-4</v>
      </c>
      <c r="AA347" s="270">
        <f t="shared" si="220"/>
        <v>2.8284271247461902E-4</v>
      </c>
      <c r="AB347" s="270">
        <f t="shared" si="252"/>
        <v>1.3333333333333331E-4</v>
      </c>
      <c r="AC347" s="271">
        <f t="shared" si="236"/>
        <v>1.3333333333333331E-2</v>
      </c>
      <c r="AE347" s="258">
        <f>(((IF($S$5&lt;&gt;0,$S$5,IF($S$6&lt;&gt;0,$S$6,IF($S$7&lt;&gt;0,$S$7,0))))/(12*$S$19))+(((3*$S$15)/(2*(IF($S$5&lt;&gt;0,$S$5,IF($S$6&lt;&gt;0,$S$6,IF($S$7&lt;&gt;0,$S$7,0))))*$U$5*$S$19))*'IN-OUT'!$F$14))*'Burland damage classification'!AI347</f>
        <v>3.2154648185789545E-3</v>
      </c>
      <c r="AF347" s="353">
        <f>(1+(((IF($S$5&lt;&gt;0,$S$5^2,IF($S$6&lt;&gt;0,$S$6^2,IF($S$7&lt;&gt;0,$S$7^2))))*$U$5)/(18*$S$15))*('IN-OUT'!$F$14^(-1)))*AJ347</f>
        <v>4.5402098034257499E-4</v>
      </c>
      <c r="AG347" s="254">
        <f t="shared" si="221"/>
        <v>4.5402098034257499E-4</v>
      </c>
      <c r="AH347" s="254">
        <f t="shared" si="237"/>
        <v>4.5402098034257501E-2</v>
      </c>
      <c r="AI347" s="254">
        <f t="shared" si="253"/>
        <v>3.6666666666666705E-4</v>
      </c>
      <c r="AJ347" s="253">
        <f t="shared" si="222"/>
        <v>4.509249752822894E-4</v>
      </c>
      <c r="AK347" s="253">
        <f t="shared" si="254"/>
        <v>1.3333333333333331E-4</v>
      </c>
      <c r="AL347" s="255">
        <f t="shared" si="238"/>
        <v>1.3333333333333331E-2</v>
      </c>
      <c r="AN347" s="258">
        <f>(((IF($S$5&lt;&gt;0,$S$5,IF($S$6&lt;&gt;0,$S$6,IF($S$7&lt;&gt;0,$S$7,0))))/(12*$S$19))+(((3*$S$15)/(2*(IF($S$5&lt;&gt;0,$S$5,IF($S$6&lt;&gt;0,$S$6,IF($S$7&lt;&gt;0,$S$7,0))))*$U$5*$S$19))*'IN-OUT'!$F$14))*'Burland damage classification'!AR347</f>
        <v>7.600189571186613E-3</v>
      </c>
      <c r="AO347" s="353">
        <f>(1+(((IF($S$5&lt;&gt;0,$S$5^2,IF($S$6&lt;&gt;0,$S$6^2,IF($S$7&lt;&gt;0,$S$7^2))))*$U$5)/(18*$S$15))*('IN-OUT'!$F$14^(-1)))*AS347</f>
        <v>9.5872810006249003E-4</v>
      </c>
      <c r="AP347" s="254">
        <f t="shared" si="223"/>
        <v>9.5872810006249003E-4</v>
      </c>
      <c r="AQ347" s="254">
        <f t="shared" si="239"/>
        <v>9.5872810006249004E-2</v>
      </c>
      <c r="AR347" s="254">
        <f t="shared" si="255"/>
        <v>8.6666666666666674E-4</v>
      </c>
      <c r="AS347" s="253">
        <f t="shared" si="224"/>
        <v>9.5219045713904667E-4</v>
      </c>
      <c r="AT347" s="253">
        <f t="shared" si="256"/>
        <v>1.3333333333333331E-4</v>
      </c>
      <c r="AU347" s="255">
        <f t="shared" si="240"/>
        <v>1.3333333333333331E-2</v>
      </c>
      <c r="AW347" s="258">
        <f>(((IF($S$5&lt;&gt;0,$S$5,IF($S$6&lt;&gt;0,$S$6,IF($S$7&lt;&gt;0,$S$7,0))))/(12*$S$19))+(((3*$S$15)/(2*(IF($S$5&lt;&gt;0,$S$5,IF($S$6&lt;&gt;0,$S$6,IF($S$7&lt;&gt;0,$S$7,0))))*$U$5*$S$19))*'IN-OUT'!$F$14))*'Burland damage classification'!BA347</f>
        <v>1.6369639076401932E-2</v>
      </c>
      <c r="AX347" s="353">
        <f>(1+(((IF($S$5&lt;&gt;0,$S$5^2,IF($S$6&lt;&gt;0,$S$6^2,IF($S$7&lt;&gt;0,$S$7^2))))*$U$5)/(18*$S$15))*('IN-OUT'!$F$14^(-1)))*BB347</f>
        <v>1.9661833623461286E-3</v>
      </c>
      <c r="AY347" s="254">
        <f t="shared" si="225"/>
        <v>1.9661833623461286E-3</v>
      </c>
      <c r="AZ347" s="254">
        <f t="shared" si="241"/>
        <v>0.19661833623461286</v>
      </c>
      <c r="BA347" s="254">
        <f t="shared" si="257"/>
        <v>1.8666666666666664E-3</v>
      </c>
      <c r="BB347" s="270">
        <f t="shared" si="226"/>
        <v>1.952775802116908E-3</v>
      </c>
      <c r="BC347" s="253">
        <f t="shared" si="258"/>
        <v>1.3333333333333331E-4</v>
      </c>
      <c r="BD347" s="255">
        <f t="shared" si="242"/>
        <v>1.3333333333333331E-2</v>
      </c>
      <c r="BF347" s="351" t="e">
        <f>((((IF($T$5=0,$T$6,$T$5)))/(12*$T$19))+(((3*$T$15)/(2*IF($T$5=0,$T$6,$T$5)*$U$5*$T$19))*'IN-OUT'!$F$14))*'Burland damage classification'!BJ347</f>
        <v>#DIV/0!</v>
      </c>
      <c r="BG347" s="352">
        <f>(1+(((IF($T$5=0,$T$6^2,$T$5^2))*$U$5)/(18*$T$15))*('IN-OUT'!$F$14^(-1)))*BK347</f>
        <v>2.8284271247461902E-4</v>
      </c>
      <c r="BH347" s="262" t="e">
        <f t="shared" si="227"/>
        <v>#DIV/0!</v>
      </c>
      <c r="BI347" s="262" t="e">
        <f t="shared" si="243"/>
        <v>#DIV/0!</v>
      </c>
      <c r="BJ347" s="262">
        <f t="shared" si="259"/>
        <v>2.0000000000000017E-4</v>
      </c>
      <c r="BK347" s="270">
        <f t="shared" si="228"/>
        <v>2.8284271247461902E-4</v>
      </c>
      <c r="BL347" s="270">
        <f t="shared" si="260"/>
        <v>1.3333333333333331E-4</v>
      </c>
      <c r="BM347" s="271">
        <f t="shared" si="244"/>
        <v>1.3333333333333331E-2</v>
      </c>
      <c r="BO347" s="351" t="e">
        <f>((((IF($T$5=0,$T$6,$T$5)))/(12*$T$19))+(((3*$T$15)/(2*IF($T$5=0,$T$6,$T$5)*$U$5*$T$19))*'IN-OUT'!$F$14))*'Burland damage classification'!BS347</f>
        <v>#DIV/0!</v>
      </c>
      <c r="BP347" s="352">
        <f>(1+(((IF($T$5=0,$T$6^2,$T$5^2))*$U$5)/(18*$T$15))*('IN-OUT'!$F$14^(-1)))*BT347</f>
        <v>4.509249752822894E-4</v>
      </c>
      <c r="BQ347" s="254" t="e">
        <f t="shared" si="229"/>
        <v>#DIV/0!</v>
      </c>
      <c r="BR347" s="254" t="e">
        <f t="shared" si="245"/>
        <v>#DIV/0!</v>
      </c>
      <c r="BS347" s="254">
        <f t="shared" si="261"/>
        <v>3.6666666666666705E-4</v>
      </c>
      <c r="BT347" s="253">
        <f t="shared" si="230"/>
        <v>4.509249752822894E-4</v>
      </c>
      <c r="BU347" s="253">
        <f t="shared" si="262"/>
        <v>1.3333333333333331E-4</v>
      </c>
      <c r="BV347" s="255">
        <f t="shared" si="246"/>
        <v>1.3333333333333331E-2</v>
      </c>
      <c r="BX347" s="351" t="e">
        <f>((((IF($T$5=0,$T$6,$T$5)))/(12*$T$19))+(((3*$T$15)/(2*IF($T$5=0,$T$6,$T$5)*$U$5*$T$19))*'IN-OUT'!$F$14))*'Burland damage classification'!CB347</f>
        <v>#DIV/0!</v>
      </c>
      <c r="BY347" s="352">
        <f>(1+(((IF($T$5=0,$T$6^2,$T$5^2))*$U$5)/(18*$T$15))*('IN-OUT'!$F$14^(-1)))*CC347</f>
        <v>9.5219045713904667E-4</v>
      </c>
      <c r="BZ347" s="254" t="e">
        <f t="shared" si="231"/>
        <v>#DIV/0!</v>
      </c>
      <c r="CA347" s="254" t="e">
        <f t="shared" si="247"/>
        <v>#DIV/0!</v>
      </c>
      <c r="CB347" s="254">
        <f t="shared" si="263"/>
        <v>8.6666666666666674E-4</v>
      </c>
      <c r="CC347" s="253">
        <f t="shared" si="232"/>
        <v>9.5219045713904667E-4</v>
      </c>
      <c r="CD347" s="253">
        <f t="shared" si="264"/>
        <v>1.3333333333333331E-4</v>
      </c>
      <c r="CE347" s="255">
        <f t="shared" si="248"/>
        <v>1.3333333333333331E-2</v>
      </c>
      <c r="CG347" s="351" t="e">
        <f>((((IF($T$5=0,$T$6,$T$5)))/(12*$T$19))+(((3*$T$15)/(2*IF($T$5=0,$T$6,$T$5)*$U$5*$T$19))*'IN-OUT'!$F$14))*'Burland damage classification'!CK347</f>
        <v>#DIV/0!</v>
      </c>
      <c r="CH347" s="352">
        <f>(1+(((IF($T$5=0,$T$6^2,$T$5^2))*$U$5)/(18*$T$15))*('IN-OUT'!$F$14^(-1)))*CL347</f>
        <v>1.952775802116908E-3</v>
      </c>
      <c r="CI347" s="254" t="e">
        <f t="shared" si="233"/>
        <v>#DIV/0!</v>
      </c>
      <c r="CJ347" s="254" t="e">
        <f t="shared" si="249"/>
        <v>#DIV/0!</v>
      </c>
      <c r="CK347" s="254">
        <f t="shared" si="265"/>
        <v>1.8666666666666664E-3</v>
      </c>
      <c r="CL347" s="270">
        <f t="shared" si="234"/>
        <v>1.952775802116908E-3</v>
      </c>
      <c r="CM347" s="253">
        <f t="shared" si="266"/>
        <v>1.3333333333333331E-4</v>
      </c>
      <c r="CN347" s="255">
        <f t="shared" si="250"/>
        <v>1.3333333333333331E-2</v>
      </c>
    </row>
    <row r="348" spans="22:92">
      <c r="V348" s="258">
        <f>(((IF($S$5&lt;&gt;0,$S$5,IF($S$6&lt;&gt;0,$S$6,IF($S$7&lt;&gt;0,$S$7,0))))/(12*$S$19))+(((3*$S$15)/(2*(IF($S$5&lt;&gt;0,$S$5,IF($S$6&lt;&gt;0,$S$6,IF($S$7&lt;&gt;0,$S$7,0))))*$U$5*$S$19))*'IN-OUT'!$F$14))*'Burland damage classification'!Z348</f>
        <v>1.6954269043416303E-3</v>
      </c>
      <c r="W348" s="352">
        <f>(1+(((IF($S$5&lt;&gt;0,$S$5^2,IF($S$6&lt;&gt;0,$S$6^2,IF($S$7&lt;&gt;0,$S$7^2))))*$U$5)/(18*$S$15))*('IN-OUT'!$F$14^(-1)))*AA348</f>
        <v>2.8200235021829084E-4</v>
      </c>
      <c r="X348" s="262">
        <f t="shared" si="219"/>
        <v>2.8200235021829084E-4</v>
      </c>
      <c r="Y348" s="262">
        <f t="shared" si="235"/>
        <v>2.8200235021829084E-2</v>
      </c>
      <c r="Z348" s="262">
        <f t="shared" si="251"/>
        <v>1.933333333333335E-4</v>
      </c>
      <c r="AA348" s="270">
        <f t="shared" si="220"/>
        <v>2.8007935383466673E-4</v>
      </c>
      <c r="AB348" s="270">
        <f t="shared" si="252"/>
        <v>1.3999999999999999E-4</v>
      </c>
      <c r="AC348" s="271">
        <f t="shared" si="236"/>
        <v>1.3999999999999999E-2</v>
      </c>
      <c r="AE348" s="258">
        <f>(((IF($S$5&lt;&gt;0,$S$5,IF($S$6&lt;&gt;0,$S$6,IF($S$7&lt;&gt;0,$S$7,0))))/(12*$S$19))+(((3*$S$15)/(2*(IF($S$5&lt;&gt;0,$S$5,IF($S$6&lt;&gt;0,$S$6,IF($S$7&lt;&gt;0,$S$7,0))))*$U$5*$S$19))*'IN-OUT'!$F$14))*'Burland damage classification'!AI348</f>
        <v>3.1570018218775196E-3</v>
      </c>
      <c r="AF348" s="353">
        <f>(1+(((IF($S$5&lt;&gt;0,$S$5^2,IF($S$6&lt;&gt;0,$S$6^2,IF($S$7&lt;&gt;0,$S$7^2))))*$U$5)/(18*$S$15))*('IN-OUT'!$F$14^(-1)))*AJ348</f>
        <v>4.5140842526931237E-4</v>
      </c>
      <c r="AG348" s="254">
        <f t="shared" si="221"/>
        <v>4.5140842526931237E-4</v>
      </c>
      <c r="AH348" s="254">
        <f t="shared" si="237"/>
        <v>4.5140842526931235E-2</v>
      </c>
      <c r="AI348" s="254">
        <f t="shared" si="253"/>
        <v>3.600000000000004E-4</v>
      </c>
      <c r="AJ348" s="253">
        <f t="shared" si="222"/>
        <v>4.4833023542919788E-4</v>
      </c>
      <c r="AK348" s="253">
        <f t="shared" si="254"/>
        <v>1.3999999999999999E-4</v>
      </c>
      <c r="AL348" s="255">
        <f t="shared" si="238"/>
        <v>1.3999999999999999E-2</v>
      </c>
      <c r="AN348" s="258">
        <f>(((IF($S$5&lt;&gt;0,$S$5,IF($S$6&lt;&gt;0,$S$6,IF($S$7&lt;&gt;0,$S$7,0))))/(12*$S$19))+(((3*$S$15)/(2*(IF($S$5&lt;&gt;0,$S$5,IF($S$6&lt;&gt;0,$S$6,IF($S$7&lt;&gt;0,$S$7,0))))*$U$5*$S$19))*'IN-OUT'!$F$14))*'Burland damage classification'!AR348</f>
        <v>7.5417265744851776E-3</v>
      </c>
      <c r="AO348" s="353">
        <f>(1+(((IF($S$5&lt;&gt;0,$S$5^2,IF($S$6&lt;&gt;0,$S$6^2,IF($S$7&lt;&gt;0,$S$7^2))))*$U$5)/(18*$S$15))*('IN-OUT'!$F$14^(-1)))*AS348</f>
        <v>9.5625760204832197E-4</v>
      </c>
      <c r="AP348" s="254">
        <f t="shared" si="223"/>
        <v>9.5625760204832197E-4</v>
      </c>
      <c r="AQ348" s="254">
        <f t="shared" si="239"/>
        <v>9.5625760204832197E-2</v>
      </c>
      <c r="AR348" s="254">
        <f t="shared" si="255"/>
        <v>8.6000000000000009E-4</v>
      </c>
      <c r="AS348" s="253">
        <f t="shared" si="224"/>
        <v>9.4973680564670122E-4</v>
      </c>
      <c r="AT348" s="253">
        <f t="shared" si="256"/>
        <v>1.3999999999999999E-4</v>
      </c>
      <c r="AU348" s="255">
        <f t="shared" si="240"/>
        <v>1.3999999999999999E-2</v>
      </c>
      <c r="AW348" s="258">
        <f>(((IF($S$5&lt;&gt;0,$S$5,IF($S$6&lt;&gt;0,$S$6,IF($S$7&lt;&gt;0,$S$7,0))))/(12*$S$19))+(((3*$S$15)/(2*(IF($S$5&lt;&gt;0,$S$5,IF($S$6&lt;&gt;0,$S$6,IF($S$7&lt;&gt;0,$S$7,0))))*$U$5*$S$19))*'IN-OUT'!$F$14))*'Burland damage classification'!BA348</f>
        <v>1.6311176079700496E-2</v>
      </c>
      <c r="AX348" s="353">
        <f>(1+(((IF($S$5&lt;&gt;0,$S$5^2,IF($S$6&lt;&gt;0,$S$6^2,IF($S$7&lt;&gt;0,$S$7^2))))*$U$5)/(18*$S$15))*('IN-OUT'!$F$14^(-1)))*BB348</f>
        <v>1.9637757197853013E-3</v>
      </c>
      <c r="AY348" s="254">
        <f t="shared" si="225"/>
        <v>1.9637757197853013E-3</v>
      </c>
      <c r="AZ348" s="254">
        <f t="shared" si="241"/>
        <v>0.19637757197853012</v>
      </c>
      <c r="BA348" s="254">
        <f t="shared" si="257"/>
        <v>1.8599999999999997E-3</v>
      </c>
      <c r="BB348" s="270">
        <f t="shared" si="226"/>
        <v>1.9503845774615836E-3</v>
      </c>
      <c r="BC348" s="253">
        <f t="shared" si="258"/>
        <v>1.3999999999999999E-4</v>
      </c>
      <c r="BD348" s="255">
        <f t="shared" si="242"/>
        <v>1.3999999999999999E-2</v>
      </c>
      <c r="BF348" s="351" t="e">
        <f>((((IF($T$5=0,$T$6,$T$5)))/(12*$T$19))+(((3*$T$15)/(2*IF($T$5=0,$T$6,$T$5)*$U$5*$T$19))*'IN-OUT'!$F$14))*'Burland damage classification'!BJ348</f>
        <v>#DIV/0!</v>
      </c>
      <c r="BG348" s="352">
        <f>(1+(((IF($T$5=0,$T$6^2,$T$5^2))*$U$5)/(18*$T$15))*('IN-OUT'!$F$14^(-1)))*BK348</f>
        <v>2.8007935383466673E-4</v>
      </c>
      <c r="BH348" s="262" t="e">
        <f t="shared" si="227"/>
        <v>#DIV/0!</v>
      </c>
      <c r="BI348" s="262" t="e">
        <f t="shared" si="243"/>
        <v>#DIV/0!</v>
      </c>
      <c r="BJ348" s="262">
        <f t="shared" si="259"/>
        <v>1.933333333333335E-4</v>
      </c>
      <c r="BK348" s="270">
        <f t="shared" si="228"/>
        <v>2.8007935383466673E-4</v>
      </c>
      <c r="BL348" s="270">
        <f t="shared" si="260"/>
        <v>1.3999999999999999E-4</v>
      </c>
      <c r="BM348" s="271">
        <f t="shared" si="244"/>
        <v>1.3999999999999999E-2</v>
      </c>
      <c r="BO348" s="351" t="e">
        <f>((((IF($T$5=0,$T$6,$T$5)))/(12*$T$19))+(((3*$T$15)/(2*IF($T$5=0,$T$6,$T$5)*$U$5*$T$19))*'IN-OUT'!$F$14))*'Burland damage classification'!BS348</f>
        <v>#DIV/0!</v>
      </c>
      <c r="BP348" s="352">
        <f>(1+(((IF($T$5=0,$T$6^2,$T$5^2))*$U$5)/(18*$T$15))*('IN-OUT'!$F$14^(-1)))*BT348</f>
        <v>4.4833023542919788E-4</v>
      </c>
      <c r="BQ348" s="254" t="e">
        <f t="shared" si="229"/>
        <v>#DIV/0!</v>
      </c>
      <c r="BR348" s="254" t="e">
        <f t="shared" si="245"/>
        <v>#DIV/0!</v>
      </c>
      <c r="BS348" s="254">
        <f t="shared" si="261"/>
        <v>3.600000000000004E-4</v>
      </c>
      <c r="BT348" s="253">
        <f t="shared" si="230"/>
        <v>4.4833023542919788E-4</v>
      </c>
      <c r="BU348" s="253">
        <f t="shared" si="262"/>
        <v>1.3999999999999999E-4</v>
      </c>
      <c r="BV348" s="255">
        <f t="shared" si="246"/>
        <v>1.3999999999999999E-2</v>
      </c>
      <c r="BX348" s="351" t="e">
        <f>((((IF($T$5=0,$T$6,$T$5)))/(12*$T$19))+(((3*$T$15)/(2*IF($T$5=0,$T$6,$T$5)*$U$5*$T$19))*'IN-OUT'!$F$14))*'Burland damage classification'!CB348</f>
        <v>#DIV/0!</v>
      </c>
      <c r="BY348" s="352">
        <f>(1+(((IF($T$5=0,$T$6^2,$T$5^2))*$U$5)/(18*$T$15))*('IN-OUT'!$F$14^(-1)))*CC348</f>
        <v>9.4973680564670122E-4</v>
      </c>
      <c r="BZ348" s="254" t="e">
        <f t="shared" si="231"/>
        <v>#DIV/0!</v>
      </c>
      <c r="CA348" s="254" t="e">
        <f t="shared" si="247"/>
        <v>#DIV/0!</v>
      </c>
      <c r="CB348" s="254">
        <f t="shared" si="263"/>
        <v>8.6000000000000009E-4</v>
      </c>
      <c r="CC348" s="253">
        <f t="shared" si="232"/>
        <v>9.4973680564670122E-4</v>
      </c>
      <c r="CD348" s="253">
        <f t="shared" si="264"/>
        <v>1.3999999999999999E-4</v>
      </c>
      <c r="CE348" s="255">
        <f t="shared" si="248"/>
        <v>1.3999999999999999E-2</v>
      </c>
      <c r="CG348" s="351" t="e">
        <f>((((IF($T$5=0,$T$6,$T$5)))/(12*$T$19))+(((3*$T$15)/(2*IF($T$5=0,$T$6,$T$5)*$U$5*$T$19))*'IN-OUT'!$F$14))*'Burland damage classification'!CK348</f>
        <v>#DIV/0!</v>
      </c>
      <c r="CH348" s="352">
        <f>(1+(((IF($T$5=0,$T$6^2,$T$5^2))*$U$5)/(18*$T$15))*('IN-OUT'!$F$14^(-1)))*CL348</f>
        <v>1.9503845774615836E-3</v>
      </c>
      <c r="CI348" s="254" t="e">
        <f t="shared" si="233"/>
        <v>#DIV/0!</v>
      </c>
      <c r="CJ348" s="254" t="e">
        <f t="shared" si="249"/>
        <v>#DIV/0!</v>
      </c>
      <c r="CK348" s="254">
        <f t="shared" si="265"/>
        <v>1.8599999999999997E-3</v>
      </c>
      <c r="CL348" s="270">
        <f t="shared" si="234"/>
        <v>1.9503845774615836E-3</v>
      </c>
      <c r="CM348" s="253">
        <f t="shared" si="266"/>
        <v>1.3999999999999999E-4</v>
      </c>
      <c r="CN348" s="255">
        <f t="shared" si="250"/>
        <v>1.3999999999999999E-2</v>
      </c>
    </row>
    <row r="349" spans="22:92">
      <c r="V349" s="258">
        <f>(((IF($S$5&lt;&gt;0,$S$5,IF($S$6&lt;&gt;0,$S$6,IF($S$7&lt;&gt;0,$S$7,0))))/(12*$S$19))+(((3*$S$15)/(2*(IF($S$5&lt;&gt;0,$S$5,IF($S$6&lt;&gt;0,$S$6,IF($S$7&lt;&gt;0,$S$7,0))))*$U$5*$S$19))*'IN-OUT'!$F$14))*'Burland damage classification'!Z349</f>
        <v>1.6369639076401947E-3</v>
      </c>
      <c r="W349" s="352">
        <f>(1+(((IF($S$5&lt;&gt;0,$S$5^2,IF($S$6&lt;&gt;0,$S$6^2,IF($S$7&lt;&gt;0,$S$7^2))))*$U$5)/(18*$S$15))*('IN-OUT'!$F$14^(-1)))*AA349</f>
        <v>2.7919229228358828E-4</v>
      </c>
      <c r="X349" s="262">
        <f t="shared" si="219"/>
        <v>2.7919229228358828E-4</v>
      </c>
      <c r="Y349" s="262">
        <f t="shared" si="235"/>
        <v>2.7919229228358829E-2</v>
      </c>
      <c r="Z349" s="262">
        <f t="shared" si="251"/>
        <v>1.8666666666666682E-4</v>
      </c>
      <c r="AA349" s="270">
        <f t="shared" si="220"/>
        <v>2.7728845790780563E-4</v>
      </c>
      <c r="AB349" s="270">
        <f t="shared" si="252"/>
        <v>1.4666666666666666E-4</v>
      </c>
      <c r="AC349" s="271">
        <f t="shared" si="236"/>
        <v>1.4666666666666666E-2</v>
      </c>
      <c r="AE349" s="258">
        <f>(((IF($S$5&lt;&gt;0,$S$5,IF($S$6&lt;&gt;0,$S$6,IF($S$7&lt;&gt;0,$S$7,0))))/(12*$S$19))+(((3*$S$15)/(2*(IF($S$5&lt;&gt;0,$S$5,IF($S$6&lt;&gt;0,$S$6,IF($S$7&lt;&gt;0,$S$7,0))))*$U$5*$S$19))*'IN-OUT'!$F$14))*'Burland damage classification'!AI349</f>
        <v>3.0985388251760842E-3</v>
      </c>
      <c r="AF349" s="353">
        <f>(1+(((IF($S$5&lt;&gt;0,$S$5^2,IF($S$6&lt;&gt;0,$S$6^2,IF($S$7&lt;&gt;0,$S$7^2))))*$U$5)/(18*$S$15))*('IN-OUT'!$F$14^(-1)))*AJ349</f>
        <v>4.4878066158983258E-4</v>
      </c>
      <c r="AG349" s="254">
        <f t="shared" si="221"/>
        <v>4.4878066158983258E-4</v>
      </c>
      <c r="AH349" s="254">
        <f t="shared" si="237"/>
        <v>4.4878066158983258E-2</v>
      </c>
      <c r="AI349" s="254">
        <f t="shared" si="253"/>
        <v>3.5333333333333375E-4</v>
      </c>
      <c r="AJ349" s="253">
        <f t="shared" si="222"/>
        <v>4.4572039067858072E-4</v>
      </c>
      <c r="AK349" s="253">
        <f t="shared" si="254"/>
        <v>1.4666666666666666E-4</v>
      </c>
      <c r="AL349" s="255">
        <f t="shared" si="238"/>
        <v>1.4666666666666666E-2</v>
      </c>
      <c r="AN349" s="258">
        <f>(((IF($S$5&lt;&gt;0,$S$5,IF($S$6&lt;&gt;0,$S$6,IF($S$7&lt;&gt;0,$S$7,0))))/(12*$S$19))+(((3*$S$15)/(2*(IF($S$5&lt;&gt;0,$S$5,IF($S$6&lt;&gt;0,$S$6,IF($S$7&lt;&gt;0,$S$7,0))))*$U$5*$S$19))*'IN-OUT'!$F$14))*'Burland damage classification'!AR349</f>
        <v>7.4832635777837423E-3</v>
      </c>
      <c r="AO349" s="353">
        <f>(1+(((IF($S$5&lt;&gt;0,$S$5^2,IF($S$6&lt;&gt;0,$S$6^2,IF($S$7&lt;&gt;0,$S$7^2))))*$U$5)/(18*$S$15))*('IN-OUT'!$F$14^(-1)))*AS349</f>
        <v>9.5378070493220917E-4</v>
      </c>
      <c r="AP349" s="254">
        <f t="shared" si="223"/>
        <v>9.5378070493220917E-4</v>
      </c>
      <c r="AQ349" s="254">
        <f t="shared" si="239"/>
        <v>9.5378070493220918E-2</v>
      </c>
      <c r="AR349" s="254">
        <f t="shared" si="255"/>
        <v>8.5333333333333344E-4</v>
      </c>
      <c r="AS349" s="253">
        <f t="shared" si="224"/>
        <v>9.4727679868839465E-4</v>
      </c>
      <c r="AT349" s="253">
        <f t="shared" si="256"/>
        <v>1.4666666666666666E-4</v>
      </c>
      <c r="AU349" s="255">
        <f t="shared" si="240"/>
        <v>1.4666666666666666E-2</v>
      </c>
      <c r="AW349" s="258">
        <f>(((IF($S$5&lt;&gt;0,$S$5,IF($S$6&lt;&gt;0,$S$6,IF($S$7&lt;&gt;0,$S$7,0))))/(12*$S$19))+(((3*$S$15)/(2*(IF($S$5&lt;&gt;0,$S$5,IF($S$6&lt;&gt;0,$S$6,IF($S$7&lt;&gt;0,$S$7,0))))*$U$5*$S$19))*'IN-OUT'!$F$14))*'Burland damage classification'!BA349</f>
        <v>1.6252713082999061E-2</v>
      </c>
      <c r="AX349" s="353">
        <f>(1+(((IF($S$5&lt;&gt;0,$S$5^2,IF($S$6&lt;&gt;0,$S$6^2,IF($S$7&lt;&gt;0,$S$7^2))))*$U$5)/(18*$S$15))*('IN-OUT'!$F$14^(-1)))*BB349</f>
        <v>1.9613651217633673E-3</v>
      </c>
      <c r="AY349" s="254">
        <f t="shared" si="225"/>
        <v>1.9613651217633673E-3</v>
      </c>
      <c r="AZ349" s="254">
        <f t="shared" si="241"/>
        <v>0.19613651217633674</v>
      </c>
      <c r="BA349" s="254">
        <f t="shared" si="257"/>
        <v>1.8533333333333329E-3</v>
      </c>
      <c r="BB349" s="270">
        <f t="shared" si="226"/>
        <v>1.9479904174986762E-3</v>
      </c>
      <c r="BC349" s="253">
        <f t="shared" si="258"/>
        <v>1.4666666666666666E-4</v>
      </c>
      <c r="BD349" s="255">
        <f t="shared" si="242"/>
        <v>1.4666666666666666E-2</v>
      </c>
      <c r="BF349" s="351" t="e">
        <f>((((IF($T$5=0,$T$6,$T$5)))/(12*$T$19))+(((3*$T$15)/(2*IF($T$5=0,$T$6,$T$5)*$U$5*$T$19))*'IN-OUT'!$F$14))*'Burland damage classification'!BJ349</f>
        <v>#DIV/0!</v>
      </c>
      <c r="BG349" s="352">
        <f>(1+(((IF($T$5=0,$T$6^2,$T$5^2))*$U$5)/(18*$T$15))*('IN-OUT'!$F$14^(-1)))*BK349</f>
        <v>2.7728845790780563E-4</v>
      </c>
      <c r="BH349" s="262" t="e">
        <f t="shared" si="227"/>
        <v>#DIV/0!</v>
      </c>
      <c r="BI349" s="262" t="e">
        <f t="shared" si="243"/>
        <v>#DIV/0!</v>
      </c>
      <c r="BJ349" s="262">
        <f t="shared" si="259"/>
        <v>1.8666666666666682E-4</v>
      </c>
      <c r="BK349" s="270">
        <f t="shared" si="228"/>
        <v>2.7728845790780563E-4</v>
      </c>
      <c r="BL349" s="270">
        <f t="shared" si="260"/>
        <v>1.4666666666666666E-4</v>
      </c>
      <c r="BM349" s="271">
        <f t="shared" si="244"/>
        <v>1.4666666666666666E-2</v>
      </c>
      <c r="BO349" s="351" t="e">
        <f>((((IF($T$5=0,$T$6,$T$5)))/(12*$T$19))+(((3*$T$15)/(2*IF($T$5=0,$T$6,$T$5)*$U$5*$T$19))*'IN-OUT'!$F$14))*'Burland damage classification'!BS349</f>
        <v>#DIV/0!</v>
      </c>
      <c r="BP349" s="352">
        <f>(1+(((IF($T$5=0,$T$6^2,$T$5^2))*$U$5)/(18*$T$15))*('IN-OUT'!$F$14^(-1)))*BT349</f>
        <v>4.4572039067858072E-4</v>
      </c>
      <c r="BQ349" s="254" t="e">
        <f t="shared" si="229"/>
        <v>#DIV/0!</v>
      </c>
      <c r="BR349" s="254" t="e">
        <f t="shared" si="245"/>
        <v>#DIV/0!</v>
      </c>
      <c r="BS349" s="254">
        <f t="shared" si="261"/>
        <v>3.5333333333333375E-4</v>
      </c>
      <c r="BT349" s="253">
        <f t="shared" si="230"/>
        <v>4.4572039067858072E-4</v>
      </c>
      <c r="BU349" s="253">
        <f t="shared" si="262"/>
        <v>1.4666666666666666E-4</v>
      </c>
      <c r="BV349" s="255">
        <f t="shared" si="246"/>
        <v>1.4666666666666666E-2</v>
      </c>
      <c r="BX349" s="351" t="e">
        <f>((((IF($T$5=0,$T$6,$T$5)))/(12*$T$19))+(((3*$T$15)/(2*IF($T$5=0,$T$6,$T$5)*$U$5*$T$19))*'IN-OUT'!$F$14))*'Burland damage classification'!CB349</f>
        <v>#DIV/0!</v>
      </c>
      <c r="BY349" s="352">
        <f>(1+(((IF($T$5=0,$T$6^2,$T$5^2))*$U$5)/(18*$T$15))*('IN-OUT'!$F$14^(-1)))*CC349</f>
        <v>9.4727679868839465E-4</v>
      </c>
      <c r="BZ349" s="254" t="e">
        <f t="shared" si="231"/>
        <v>#DIV/0!</v>
      </c>
      <c r="CA349" s="254" t="e">
        <f t="shared" si="247"/>
        <v>#DIV/0!</v>
      </c>
      <c r="CB349" s="254">
        <f t="shared" si="263"/>
        <v>8.5333333333333344E-4</v>
      </c>
      <c r="CC349" s="253">
        <f t="shared" si="232"/>
        <v>9.4727679868839465E-4</v>
      </c>
      <c r="CD349" s="253">
        <f t="shared" si="264"/>
        <v>1.4666666666666666E-4</v>
      </c>
      <c r="CE349" s="255">
        <f t="shared" si="248"/>
        <v>1.4666666666666666E-2</v>
      </c>
      <c r="CG349" s="351" t="e">
        <f>((((IF($T$5=0,$T$6,$T$5)))/(12*$T$19))+(((3*$T$15)/(2*IF($T$5=0,$T$6,$T$5)*$U$5*$T$19))*'IN-OUT'!$F$14))*'Burland damage classification'!CK349</f>
        <v>#DIV/0!</v>
      </c>
      <c r="CH349" s="352">
        <f>(1+(((IF($T$5=0,$T$6^2,$T$5^2))*$U$5)/(18*$T$15))*('IN-OUT'!$F$14^(-1)))*CL349</f>
        <v>1.9479904174986762E-3</v>
      </c>
      <c r="CI349" s="254" t="e">
        <f t="shared" si="233"/>
        <v>#DIV/0!</v>
      </c>
      <c r="CJ349" s="254" t="e">
        <f t="shared" si="249"/>
        <v>#DIV/0!</v>
      </c>
      <c r="CK349" s="254">
        <f t="shared" si="265"/>
        <v>1.8533333333333329E-3</v>
      </c>
      <c r="CL349" s="270">
        <f t="shared" si="234"/>
        <v>1.9479904174986762E-3</v>
      </c>
      <c r="CM349" s="253">
        <f t="shared" si="266"/>
        <v>1.4666666666666666E-4</v>
      </c>
      <c r="CN349" s="255">
        <f t="shared" si="250"/>
        <v>1.4666666666666666E-2</v>
      </c>
    </row>
    <row r="350" spans="22:92">
      <c r="V350" s="258">
        <f>(((IF($S$5&lt;&gt;0,$S$5,IF($S$6&lt;&gt;0,$S$6,IF($S$7&lt;&gt;0,$S$7,0))))/(12*$S$19))+(((3*$S$15)/(2*(IF($S$5&lt;&gt;0,$S$5,IF($S$6&lt;&gt;0,$S$6,IF($S$7&lt;&gt;0,$S$7,0))))*$U$5*$S$19))*'IN-OUT'!$F$14))*'Burland damage classification'!Z350</f>
        <v>1.5785009109387591E-3</v>
      </c>
      <c r="W350" s="352">
        <f>(1+(((IF($S$5&lt;&gt;0,$S$5^2,IF($S$6&lt;&gt;0,$S$6^2,IF($S$7&lt;&gt;0,$S$7^2))))*$U$5)/(18*$S$15))*('IN-OUT'!$F$14^(-1)))*AA350</f>
        <v>2.7635366220205867E-4</v>
      </c>
      <c r="X350" s="262">
        <f t="shared" si="219"/>
        <v>2.7635366220205867E-4</v>
      </c>
      <c r="Y350" s="262">
        <f t="shared" si="235"/>
        <v>2.7635366220205865E-2</v>
      </c>
      <c r="Z350" s="262">
        <f t="shared" si="251"/>
        <v>1.8000000000000015E-4</v>
      </c>
      <c r="AA350" s="270">
        <f t="shared" si="220"/>
        <v>2.7446918466985201E-4</v>
      </c>
      <c r="AB350" s="270">
        <f t="shared" si="252"/>
        <v>1.5333333333333334E-4</v>
      </c>
      <c r="AC350" s="271">
        <f t="shared" si="236"/>
        <v>1.5333333333333334E-2</v>
      </c>
      <c r="AE350" s="258">
        <f>(((IF($S$5&lt;&gt;0,$S$5,IF($S$6&lt;&gt;0,$S$6,IF($S$7&lt;&gt;0,$S$7,0))))/(12*$S$19))+(((3*$S$15)/(2*(IF($S$5&lt;&gt;0,$S$5,IF($S$6&lt;&gt;0,$S$6,IF($S$7&lt;&gt;0,$S$7,0))))*$U$5*$S$19))*'IN-OUT'!$F$14))*'Burland damage classification'!AI350</f>
        <v>3.0400758284746488E-3</v>
      </c>
      <c r="AF350" s="353">
        <f>(1+(((IF($S$5&lt;&gt;0,$S$5^2,IF($S$6&lt;&gt;0,$S$6^2,IF($S$7&lt;&gt;0,$S$7^2))))*$U$5)/(18*$S$15))*('IN-OUT'!$F$14^(-1)))*AJ350</f>
        <v>4.4613742056668525E-4</v>
      </c>
      <c r="AG350" s="254">
        <f t="shared" si="221"/>
        <v>4.4613742056668525E-4</v>
      </c>
      <c r="AH350" s="254">
        <f t="shared" si="237"/>
        <v>4.4613742056668522E-2</v>
      </c>
      <c r="AI350" s="254">
        <f t="shared" si="253"/>
        <v>3.4666666666666711E-4</v>
      </c>
      <c r="AJ350" s="253">
        <f t="shared" si="222"/>
        <v>4.4309517412552955E-4</v>
      </c>
      <c r="AK350" s="253">
        <f t="shared" si="254"/>
        <v>1.5333333333333334E-4</v>
      </c>
      <c r="AL350" s="255">
        <f t="shared" si="238"/>
        <v>1.5333333333333334E-2</v>
      </c>
      <c r="AN350" s="258">
        <f>(((IF($S$5&lt;&gt;0,$S$5,IF($S$6&lt;&gt;0,$S$6,IF($S$7&lt;&gt;0,$S$7,0))))/(12*$S$19))+(((3*$S$15)/(2*(IF($S$5&lt;&gt;0,$S$5,IF($S$6&lt;&gt;0,$S$6,IF($S$7&lt;&gt;0,$S$7,0))))*$U$5*$S$19))*'IN-OUT'!$F$14))*'Burland damage classification'!AR350</f>
        <v>7.4248005810823069E-3</v>
      </c>
      <c r="AO350" s="353">
        <f>(1+(((IF($S$5&lt;&gt;0,$S$5^2,IF($S$6&lt;&gt;0,$S$6^2,IF($S$7&lt;&gt;0,$S$7^2))))*$U$5)/(18*$S$15))*('IN-OUT'!$F$14^(-1)))*AS350</f>
        <v>9.5129735873004332E-4</v>
      </c>
      <c r="AP350" s="254">
        <f t="shared" si="223"/>
        <v>9.5129735873004332E-4</v>
      </c>
      <c r="AQ350" s="254">
        <f t="shared" si="239"/>
        <v>9.5129735873004329E-2</v>
      </c>
      <c r="AR350" s="254">
        <f t="shared" si="255"/>
        <v>8.4666666666666679E-4</v>
      </c>
      <c r="AS350" s="253">
        <f t="shared" si="224"/>
        <v>9.4481038662086404E-4</v>
      </c>
      <c r="AT350" s="253">
        <f t="shared" si="256"/>
        <v>1.5333333333333334E-4</v>
      </c>
      <c r="AU350" s="255">
        <f t="shared" si="240"/>
        <v>1.5333333333333334E-2</v>
      </c>
      <c r="AW350" s="258">
        <f>(((IF($S$5&lt;&gt;0,$S$5,IF($S$6&lt;&gt;0,$S$6,IF($S$7&lt;&gt;0,$S$7,0))))/(12*$S$19))+(((3*$S$15)/(2*(IF($S$5&lt;&gt;0,$S$5,IF($S$6&lt;&gt;0,$S$6,IF($S$7&lt;&gt;0,$S$7,0))))*$U$5*$S$19))*'IN-OUT'!$F$14))*'Burland damage classification'!BA350</f>
        <v>1.6194250086297622E-2</v>
      </c>
      <c r="AX350" s="353">
        <f>(1+(((IF($S$5&lt;&gt;0,$S$5^2,IF($S$6&lt;&gt;0,$S$6^2,IF($S$7&lt;&gt;0,$S$7^2))))*$U$5)/(18*$S$15))*('IN-OUT'!$F$14^(-1)))*BB350</f>
        <v>1.9589515573697524E-3</v>
      </c>
      <c r="AY350" s="254">
        <f t="shared" si="225"/>
        <v>1.9589515573697524E-3</v>
      </c>
      <c r="AZ350" s="254">
        <f t="shared" si="241"/>
        <v>0.19589515573697525</v>
      </c>
      <c r="BA350" s="254">
        <f t="shared" si="257"/>
        <v>1.8466666666666662E-3</v>
      </c>
      <c r="BB350" s="270">
        <f t="shared" si="226"/>
        <v>1.9455933113920116E-3</v>
      </c>
      <c r="BC350" s="253">
        <f t="shared" si="258"/>
        <v>1.5333333333333334E-4</v>
      </c>
      <c r="BD350" s="255">
        <f t="shared" si="242"/>
        <v>1.5333333333333334E-2</v>
      </c>
      <c r="BF350" s="351" t="e">
        <f>((((IF($T$5=0,$T$6,$T$5)))/(12*$T$19))+(((3*$T$15)/(2*IF($T$5=0,$T$6,$T$5)*$U$5*$T$19))*'IN-OUT'!$F$14))*'Burland damage classification'!BJ350</f>
        <v>#DIV/0!</v>
      </c>
      <c r="BG350" s="352">
        <f>(1+(((IF($T$5=0,$T$6^2,$T$5^2))*$U$5)/(18*$T$15))*('IN-OUT'!$F$14^(-1)))*BK350</f>
        <v>2.7446918466985201E-4</v>
      </c>
      <c r="BH350" s="262" t="e">
        <f t="shared" si="227"/>
        <v>#DIV/0!</v>
      </c>
      <c r="BI350" s="262" t="e">
        <f t="shared" si="243"/>
        <v>#DIV/0!</v>
      </c>
      <c r="BJ350" s="262">
        <f t="shared" si="259"/>
        <v>1.8000000000000015E-4</v>
      </c>
      <c r="BK350" s="270">
        <f t="shared" si="228"/>
        <v>2.7446918466985201E-4</v>
      </c>
      <c r="BL350" s="270">
        <f t="shared" si="260"/>
        <v>1.5333333333333334E-4</v>
      </c>
      <c r="BM350" s="271">
        <f t="shared" si="244"/>
        <v>1.5333333333333334E-2</v>
      </c>
      <c r="BO350" s="351" t="e">
        <f>((((IF($T$5=0,$T$6,$T$5)))/(12*$T$19))+(((3*$T$15)/(2*IF($T$5=0,$T$6,$T$5)*$U$5*$T$19))*'IN-OUT'!$F$14))*'Burland damage classification'!BS350</f>
        <v>#DIV/0!</v>
      </c>
      <c r="BP350" s="352">
        <f>(1+(((IF($T$5=0,$T$6^2,$T$5^2))*$U$5)/(18*$T$15))*('IN-OUT'!$F$14^(-1)))*BT350</f>
        <v>4.4309517412552955E-4</v>
      </c>
      <c r="BQ350" s="254" t="e">
        <f t="shared" si="229"/>
        <v>#DIV/0!</v>
      </c>
      <c r="BR350" s="254" t="e">
        <f t="shared" si="245"/>
        <v>#DIV/0!</v>
      </c>
      <c r="BS350" s="254">
        <f t="shared" si="261"/>
        <v>3.4666666666666711E-4</v>
      </c>
      <c r="BT350" s="253">
        <f t="shared" si="230"/>
        <v>4.4309517412552955E-4</v>
      </c>
      <c r="BU350" s="253">
        <f t="shared" si="262"/>
        <v>1.5333333333333334E-4</v>
      </c>
      <c r="BV350" s="255">
        <f t="shared" si="246"/>
        <v>1.5333333333333334E-2</v>
      </c>
      <c r="BX350" s="351" t="e">
        <f>((((IF($T$5=0,$T$6,$T$5)))/(12*$T$19))+(((3*$T$15)/(2*IF($T$5=0,$T$6,$T$5)*$U$5*$T$19))*'IN-OUT'!$F$14))*'Burland damage classification'!CB350</f>
        <v>#DIV/0!</v>
      </c>
      <c r="BY350" s="352">
        <f>(1+(((IF($T$5=0,$T$6^2,$T$5^2))*$U$5)/(18*$T$15))*('IN-OUT'!$F$14^(-1)))*CC350</f>
        <v>9.4481038662086404E-4</v>
      </c>
      <c r="BZ350" s="254" t="e">
        <f t="shared" si="231"/>
        <v>#DIV/0!</v>
      </c>
      <c r="CA350" s="254" t="e">
        <f t="shared" si="247"/>
        <v>#DIV/0!</v>
      </c>
      <c r="CB350" s="254">
        <f t="shared" si="263"/>
        <v>8.4666666666666679E-4</v>
      </c>
      <c r="CC350" s="253">
        <f t="shared" si="232"/>
        <v>9.4481038662086404E-4</v>
      </c>
      <c r="CD350" s="253">
        <f t="shared" si="264"/>
        <v>1.5333333333333334E-4</v>
      </c>
      <c r="CE350" s="255">
        <f t="shared" si="248"/>
        <v>1.5333333333333334E-2</v>
      </c>
      <c r="CG350" s="351" t="e">
        <f>((((IF($T$5=0,$T$6,$T$5)))/(12*$T$19))+(((3*$T$15)/(2*IF($T$5=0,$T$6,$T$5)*$U$5*$T$19))*'IN-OUT'!$F$14))*'Burland damage classification'!CK350</f>
        <v>#DIV/0!</v>
      </c>
      <c r="CH350" s="352">
        <f>(1+(((IF($T$5=0,$T$6^2,$T$5^2))*$U$5)/(18*$T$15))*('IN-OUT'!$F$14^(-1)))*CL350</f>
        <v>1.9455933113920116E-3</v>
      </c>
      <c r="CI350" s="254" t="e">
        <f t="shared" si="233"/>
        <v>#DIV/0!</v>
      </c>
      <c r="CJ350" s="254" t="e">
        <f t="shared" si="249"/>
        <v>#DIV/0!</v>
      </c>
      <c r="CK350" s="254">
        <f t="shared" si="265"/>
        <v>1.8466666666666662E-3</v>
      </c>
      <c r="CL350" s="270">
        <f t="shared" si="234"/>
        <v>1.9455933113920116E-3</v>
      </c>
      <c r="CM350" s="253">
        <f t="shared" si="266"/>
        <v>1.5333333333333334E-4</v>
      </c>
      <c r="CN350" s="255">
        <f t="shared" si="250"/>
        <v>1.5333333333333334E-2</v>
      </c>
    </row>
    <row r="351" spans="22:92">
      <c r="V351" s="258">
        <f>(((IF($S$5&lt;&gt;0,$S$5,IF($S$6&lt;&gt;0,$S$6,IF($S$7&lt;&gt;0,$S$7,0))))/(12*$S$19))+(((3*$S$15)/(2*(IF($S$5&lt;&gt;0,$S$5,IF($S$6&lt;&gt;0,$S$6,IF($S$7&lt;&gt;0,$S$7,0))))*$U$5*$S$19))*'IN-OUT'!$F$14))*'Burland damage classification'!Z351</f>
        <v>1.5200379142373238E-3</v>
      </c>
      <c r="W351" s="352">
        <f>(1+(((IF($S$5&lt;&gt;0,$S$5^2,IF($S$6&lt;&gt;0,$S$6^2,IF($S$7&lt;&gt;0,$S$7^2))))*$U$5)/(18*$S$15))*('IN-OUT'!$F$14^(-1)))*AA351</f>
        <v>2.7348557028555371E-4</v>
      </c>
      <c r="X351" s="262">
        <f t="shared" si="219"/>
        <v>2.7348557028555371E-4</v>
      </c>
      <c r="Y351" s="262">
        <f t="shared" si="235"/>
        <v>2.7348557028555372E-2</v>
      </c>
      <c r="Z351" s="262">
        <f t="shared" si="251"/>
        <v>1.7333333333333347E-4</v>
      </c>
      <c r="AA351" s="270">
        <f t="shared" si="220"/>
        <v>2.7162065049951149E-4</v>
      </c>
      <c r="AB351" s="270">
        <f t="shared" si="252"/>
        <v>1.6000000000000001E-4</v>
      </c>
      <c r="AC351" s="271">
        <f t="shared" si="236"/>
        <v>1.6E-2</v>
      </c>
      <c r="AE351" s="258">
        <f>(((IF($S$5&lt;&gt;0,$S$5,IF($S$6&lt;&gt;0,$S$6,IF($S$7&lt;&gt;0,$S$7,0))))/(12*$S$19))+(((3*$S$15)/(2*(IF($S$5&lt;&gt;0,$S$5,IF($S$6&lt;&gt;0,$S$6,IF($S$7&lt;&gt;0,$S$7,0))))*$U$5*$S$19))*'IN-OUT'!$F$14))*'Burland damage classification'!AI351</f>
        <v>2.9816128317732135E-3</v>
      </c>
      <c r="AF351" s="353">
        <f>(1+(((IF($S$5&lt;&gt;0,$S$5^2,IF($S$6&lt;&gt;0,$S$6^2,IF($S$7&lt;&gt;0,$S$7^2))))*$U$5)/(18*$S$15))*('IN-OUT'!$F$14^(-1)))*AJ351</f>
        <v>4.4347842545357582E-4</v>
      </c>
      <c r="AG351" s="254">
        <f t="shared" si="221"/>
        <v>4.4347842545357582E-4</v>
      </c>
      <c r="AH351" s="254">
        <f t="shared" si="237"/>
        <v>4.4347842545357584E-2</v>
      </c>
      <c r="AI351" s="254">
        <f t="shared" si="253"/>
        <v>3.4000000000000046E-4</v>
      </c>
      <c r="AJ351" s="253">
        <f t="shared" si="222"/>
        <v>4.4045431091090478E-4</v>
      </c>
      <c r="AK351" s="253">
        <f t="shared" si="254"/>
        <v>1.6000000000000001E-4</v>
      </c>
      <c r="AL351" s="255">
        <f t="shared" si="238"/>
        <v>1.6E-2</v>
      </c>
      <c r="AN351" s="258">
        <f>(((IF($S$5&lt;&gt;0,$S$5,IF($S$6&lt;&gt;0,$S$6,IF($S$7&lt;&gt;0,$S$7,0))))/(12*$S$19))+(((3*$S$15)/(2*(IF($S$5&lt;&gt;0,$S$5,IF($S$6&lt;&gt;0,$S$6,IF($S$7&lt;&gt;0,$S$7,0))))*$U$5*$S$19))*'IN-OUT'!$F$14))*'Burland damage classification'!AR351</f>
        <v>7.3663375843808715E-3</v>
      </c>
      <c r="AO351" s="353">
        <f>(1+(((IF($S$5&lt;&gt;0,$S$5^2,IF($S$6&lt;&gt;0,$S$6^2,IF($S$7&lt;&gt;0,$S$7^2))))*$U$5)/(18*$S$15))*('IN-OUT'!$F$14^(-1)))*AS351</f>
        <v>9.4880751280358852E-4</v>
      </c>
      <c r="AP351" s="254">
        <f t="shared" si="223"/>
        <v>9.4880751280358852E-4</v>
      </c>
      <c r="AQ351" s="254">
        <f t="shared" si="239"/>
        <v>9.4880751280358847E-2</v>
      </c>
      <c r="AR351" s="254">
        <f t="shared" si="255"/>
        <v>8.4000000000000014E-4</v>
      </c>
      <c r="AS351" s="253">
        <f t="shared" si="224"/>
        <v>9.4233751915117963E-4</v>
      </c>
      <c r="AT351" s="253">
        <f t="shared" si="256"/>
        <v>1.6000000000000001E-4</v>
      </c>
      <c r="AU351" s="255">
        <f t="shared" si="240"/>
        <v>1.6E-2</v>
      </c>
      <c r="AW351" s="258">
        <f>(((IF($S$5&lt;&gt;0,$S$5,IF($S$6&lt;&gt;0,$S$6,IF($S$7&lt;&gt;0,$S$7,0))))/(12*$S$19))+(((3*$S$15)/(2*(IF($S$5&lt;&gt;0,$S$5,IF($S$6&lt;&gt;0,$S$6,IF($S$7&lt;&gt;0,$S$7,0))))*$U$5*$S$19))*'IN-OUT'!$F$14))*'Burland damage classification'!BA351</f>
        <v>1.6135787089596187E-2</v>
      </c>
      <c r="AX351" s="353">
        <f>(1+(((IF($S$5&lt;&gt;0,$S$5^2,IF($S$6&lt;&gt;0,$S$6^2,IF($S$7&lt;&gt;0,$S$7^2))))*$U$5)/(18*$S$15))*('IN-OUT'!$F$14^(-1)))*BB351</f>
        <v>1.9565350156265865E-3</v>
      </c>
      <c r="AY351" s="254">
        <f t="shared" si="225"/>
        <v>1.9565350156265865E-3</v>
      </c>
      <c r="AZ351" s="254">
        <f t="shared" si="241"/>
        <v>0.19565350156265865</v>
      </c>
      <c r="BA351" s="254">
        <f t="shared" si="257"/>
        <v>1.8399999999999994E-3</v>
      </c>
      <c r="BB351" s="270">
        <f t="shared" si="226"/>
        <v>1.943193248238579E-3</v>
      </c>
      <c r="BC351" s="253">
        <f t="shared" si="258"/>
        <v>1.6000000000000001E-4</v>
      </c>
      <c r="BD351" s="255">
        <f t="shared" si="242"/>
        <v>1.6E-2</v>
      </c>
      <c r="BF351" s="351" t="e">
        <f>((((IF($T$5=0,$T$6,$T$5)))/(12*$T$19))+(((3*$T$15)/(2*IF($T$5=0,$T$6,$T$5)*$U$5*$T$19))*'IN-OUT'!$F$14))*'Burland damage classification'!BJ351</f>
        <v>#DIV/0!</v>
      </c>
      <c r="BG351" s="352">
        <f>(1+(((IF($T$5=0,$T$6^2,$T$5^2))*$U$5)/(18*$T$15))*('IN-OUT'!$F$14^(-1)))*BK351</f>
        <v>2.7162065049951149E-4</v>
      </c>
      <c r="BH351" s="262" t="e">
        <f t="shared" si="227"/>
        <v>#DIV/0!</v>
      </c>
      <c r="BI351" s="262" t="e">
        <f t="shared" si="243"/>
        <v>#DIV/0!</v>
      </c>
      <c r="BJ351" s="262">
        <f t="shared" si="259"/>
        <v>1.7333333333333347E-4</v>
      </c>
      <c r="BK351" s="270">
        <f t="shared" si="228"/>
        <v>2.7162065049951149E-4</v>
      </c>
      <c r="BL351" s="270">
        <f t="shared" si="260"/>
        <v>1.6000000000000001E-4</v>
      </c>
      <c r="BM351" s="271">
        <f t="shared" si="244"/>
        <v>1.6E-2</v>
      </c>
      <c r="BO351" s="351" t="e">
        <f>((((IF($T$5=0,$T$6,$T$5)))/(12*$T$19))+(((3*$T$15)/(2*IF($T$5=0,$T$6,$T$5)*$U$5*$T$19))*'IN-OUT'!$F$14))*'Burland damage classification'!BS351</f>
        <v>#DIV/0!</v>
      </c>
      <c r="BP351" s="352">
        <f>(1+(((IF($T$5=0,$T$6^2,$T$5^2))*$U$5)/(18*$T$15))*('IN-OUT'!$F$14^(-1)))*BT351</f>
        <v>4.4045431091090478E-4</v>
      </c>
      <c r="BQ351" s="254" t="e">
        <f t="shared" si="229"/>
        <v>#DIV/0!</v>
      </c>
      <c r="BR351" s="254" t="e">
        <f t="shared" si="245"/>
        <v>#DIV/0!</v>
      </c>
      <c r="BS351" s="254">
        <f t="shared" si="261"/>
        <v>3.4000000000000046E-4</v>
      </c>
      <c r="BT351" s="253">
        <f t="shared" si="230"/>
        <v>4.4045431091090478E-4</v>
      </c>
      <c r="BU351" s="253">
        <f t="shared" si="262"/>
        <v>1.6000000000000001E-4</v>
      </c>
      <c r="BV351" s="255">
        <f t="shared" si="246"/>
        <v>1.6E-2</v>
      </c>
      <c r="BX351" s="351" t="e">
        <f>((((IF($T$5=0,$T$6,$T$5)))/(12*$T$19))+(((3*$T$15)/(2*IF($T$5=0,$T$6,$T$5)*$U$5*$T$19))*'IN-OUT'!$F$14))*'Burland damage classification'!CB351</f>
        <v>#DIV/0!</v>
      </c>
      <c r="BY351" s="352">
        <f>(1+(((IF($T$5=0,$T$6^2,$T$5^2))*$U$5)/(18*$T$15))*('IN-OUT'!$F$14^(-1)))*CC351</f>
        <v>9.4233751915117963E-4</v>
      </c>
      <c r="BZ351" s="254" t="e">
        <f t="shared" si="231"/>
        <v>#DIV/0!</v>
      </c>
      <c r="CA351" s="254" t="e">
        <f t="shared" si="247"/>
        <v>#DIV/0!</v>
      </c>
      <c r="CB351" s="254">
        <f t="shared" si="263"/>
        <v>8.4000000000000014E-4</v>
      </c>
      <c r="CC351" s="253">
        <f t="shared" si="232"/>
        <v>9.4233751915117963E-4</v>
      </c>
      <c r="CD351" s="253">
        <f t="shared" si="264"/>
        <v>1.6000000000000001E-4</v>
      </c>
      <c r="CE351" s="255">
        <f t="shared" si="248"/>
        <v>1.6E-2</v>
      </c>
      <c r="CG351" s="351" t="e">
        <f>((((IF($T$5=0,$T$6,$T$5)))/(12*$T$19))+(((3*$T$15)/(2*IF($T$5=0,$T$6,$T$5)*$U$5*$T$19))*'IN-OUT'!$F$14))*'Burland damage classification'!CK351</f>
        <v>#DIV/0!</v>
      </c>
      <c r="CH351" s="352">
        <f>(1+(((IF($T$5=0,$T$6^2,$T$5^2))*$U$5)/(18*$T$15))*('IN-OUT'!$F$14^(-1)))*CL351</f>
        <v>1.943193248238579E-3</v>
      </c>
      <c r="CI351" s="254" t="e">
        <f t="shared" si="233"/>
        <v>#DIV/0!</v>
      </c>
      <c r="CJ351" s="254" t="e">
        <f t="shared" si="249"/>
        <v>#DIV/0!</v>
      </c>
      <c r="CK351" s="254">
        <f t="shared" si="265"/>
        <v>1.8399999999999994E-3</v>
      </c>
      <c r="CL351" s="270">
        <f t="shared" si="234"/>
        <v>1.943193248238579E-3</v>
      </c>
      <c r="CM351" s="253">
        <f t="shared" si="266"/>
        <v>1.6000000000000001E-4</v>
      </c>
      <c r="CN351" s="255">
        <f t="shared" si="250"/>
        <v>1.6E-2</v>
      </c>
    </row>
    <row r="352" spans="22:92">
      <c r="V352" s="258">
        <f>(((IF($S$5&lt;&gt;0,$S$5,IF($S$6&lt;&gt;0,$S$6,IF($S$7&lt;&gt;0,$S$7,0))))/(12*$S$19))+(((3*$S$15)/(2*(IF($S$5&lt;&gt;0,$S$5,IF($S$6&lt;&gt;0,$S$6,IF($S$7&lt;&gt;0,$S$7,0))))*$U$5*$S$19))*'IN-OUT'!$F$14))*'Burland damage classification'!Z352</f>
        <v>1.4615749175358882E-3</v>
      </c>
      <c r="W352" s="352">
        <f>(1+(((IF($S$5&lt;&gt;0,$S$5^2,IF($S$6&lt;&gt;0,$S$6^2,IF($S$7&lt;&gt;0,$S$7^2))))*$U$5)/(18*$S$15))*('IN-OUT'!$F$14^(-1)))*AA352</f>
        <v>2.705870796921752E-4</v>
      </c>
      <c r="X352" s="262">
        <f t="shared" si="219"/>
        <v>2.705870796921752E-4</v>
      </c>
      <c r="Y352" s="262">
        <f t="shared" si="235"/>
        <v>2.705870796921752E-2</v>
      </c>
      <c r="Z352" s="262">
        <f t="shared" si="251"/>
        <v>1.666666666666668E-4</v>
      </c>
      <c r="AA352" s="270">
        <f t="shared" si="220"/>
        <v>2.6874192494328502E-4</v>
      </c>
      <c r="AB352" s="270">
        <f t="shared" si="252"/>
        <v>1.6666666666666669E-4</v>
      </c>
      <c r="AC352" s="271">
        <f t="shared" si="236"/>
        <v>1.666666666666667E-2</v>
      </c>
      <c r="AE352" s="258">
        <f>(((IF($S$5&lt;&gt;0,$S$5,IF($S$6&lt;&gt;0,$S$6,IF($S$7&lt;&gt;0,$S$7,0))))/(12*$S$19))+(((3*$S$15)/(2*(IF($S$5&lt;&gt;0,$S$5,IF($S$6&lt;&gt;0,$S$6,IF($S$7&lt;&gt;0,$S$7,0))))*$U$5*$S$19))*'IN-OUT'!$F$14))*'Burland damage classification'!AI352</f>
        <v>2.9231498350717781E-3</v>
      </c>
      <c r="AF352" s="353">
        <f>(1+(((IF($S$5&lt;&gt;0,$S$5^2,IF($S$6&lt;&gt;0,$S$6^2,IF($S$7&lt;&gt;0,$S$7^2))))*$U$5)/(18*$S$15))*('IN-OUT'!$F$14^(-1)))*AJ352</f>
        <v>4.4080339115718057E-4</v>
      </c>
      <c r="AG352" s="254">
        <f t="shared" si="221"/>
        <v>4.4080339115718057E-4</v>
      </c>
      <c r="AH352" s="254">
        <f t="shared" si="237"/>
        <v>4.4080339115718056E-2</v>
      </c>
      <c r="AI352" s="254">
        <f t="shared" si="253"/>
        <v>3.3333333333333381E-4</v>
      </c>
      <c r="AJ352" s="253">
        <f t="shared" si="222"/>
        <v>4.3779751788545655E-4</v>
      </c>
      <c r="AK352" s="253">
        <f t="shared" si="254"/>
        <v>1.6666666666666669E-4</v>
      </c>
      <c r="AL352" s="255">
        <f t="shared" si="238"/>
        <v>1.666666666666667E-2</v>
      </c>
      <c r="AN352" s="258">
        <f>(((IF($S$5&lt;&gt;0,$S$5,IF($S$6&lt;&gt;0,$S$6,IF($S$7&lt;&gt;0,$S$7,0))))/(12*$S$19))+(((3*$S$15)/(2*(IF($S$5&lt;&gt;0,$S$5,IF($S$6&lt;&gt;0,$S$6,IF($S$7&lt;&gt;0,$S$7,0))))*$U$5*$S$19))*'IN-OUT'!$F$14))*'Burland damage classification'!AR352</f>
        <v>7.3078745876794362E-3</v>
      </c>
      <c r="AO352" s="353">
        <f>(1+(((IF($S$5&lt;&gt;0,$S$5^2,IF($S$6&lt;&gt;0,$S$6^2,IF($S$7&lt;&gt;0,$S$7^2))))*$U$5)/(18*$S$15))*('IN-OUT'!$F$14^(-1)))*AS352</f>
        <v>9.463111158484332E-4</v>
      </c>
      <c r="AP352" s="254">
        <f t="shared" si="223"/>
        <v>9.463111158484332E-4</v>
      </c>
      <c r="AQ352" s="254">
        <f t="shared" si="239"/>
        <v>9.4631111584843317E-2</v>
      </c>
      <c r="AR352" s="254">
        <f t="shared" si="255"/>
        <v>8.333333333333335E-4</v>
      </c>
      <c r="AS352" s="253">
        <f t="shared" si="224"/>
        <v>9.3985814532477892E-4</v>
      </c>
      <c r="AT352" s="253">
        <f t="shared" si="256"/>
        <v>1.6666666666666669E-4</v>
      </c>
      <c r="AU352" s="255">
        <f t="shared" si="240"/>
        <v>1.666666666666667E-2</v>
      </c>
      <c r="AW352" s="258">
        <f>(((IF($S$5&lt;&gt;0,$S$5,IF($S$6&lt;&gt;0,$S$6,IF($S$7&lt;&gt;0,$S$7,0))))/(12*$S$19))+(((3*$S$15)/(2*(IF($S$5&lt;&gt;0,$S$5,IF($S$6&lt;&gt;0,$S$6,IF($S$7&lt;&gt;0,$S$7,0))))*$U$5*$S$19))*'IN-OUT'!$F$14))*'Burland damage classification'!BA352</f>
        <v>1.6077324092894751E-2</v>
      </c>
      <c r="AX352" s="353">
        <f>(1+(((IF($S$5&lt;&gt;0,$S$5^2,IF($S$6&lt;&gt;0,$S$6^2,IF($S$7&lt;&gt;0,$S$7^2))))*$U$5)/(18*$S$15))*('IN-OUT'!$F$14^(-1)))*BB352</f>
        <v>1.9541154854881217E-3</v>
      </c>
      <c r="AY352" s="254">
        <f t="shared" si="225"/>
        <v>1.9541154854881217E-3</v>
      </c>
      <c r="AZ352" s="254">
        <f t="shared" si="241"/>
        <v>0.19541154854881218</v>
      </c>
      <c r="BA352" s="254">
        <f t="shared" si="257"/>
        <v>1.8333333333333326E-3</v>
      </c>
      <c r="BB352" s="270">
        <f t="shared" si="226"/>
        <v>1.9407902170679515E-3</v>
      </c>
      <c r="BC352" s="253">
        <f t="shared" si="258"/>
        <v>1.6666666666666669E-4</v>
      </c>
      <c r="BD352" s="255">
        <f t="shared" si="242"/>
        <v>1.666666666666667E-2</v>
      </c>
      <c r="BF352" s="351" t="e">
        <f>((((IF($T$5=0,$T$6,$T$5)))/(12*$T$19))+(((3*$T$15)/(2*IF($T$5=0,$T$6,$T$5)*$U$5*$T$19))*'IN-OUT'!$F$14))*'Burland damage classification'!BJ352</f>
        <v>#DIV/0!</v>
      </c>
      <c r="BG352" s="352">
        <f>(1+(((IF($T$5=0,$T$6^2,$T$5^2))*$U$5)/(18*$T$15))*('IN-OUT'!$F$14^(-1)))*BK352</f>
        <v>2.6874192494328502E-4</v>
      </c>
      <c r="BH352" s="262" t="e">
        <f t="shared" si="227"/>
        <v>#DIV/0!</v>
      </c>
      <c r="BI352" s="262" t="e">
        <f t="shared" si="243"/>
        <v>#DIV/0!</v>
      </c>
      <c r="BJ352" s="262">
        <f t="shared" si="259"/>
        <v>1.666666666666668E-4</v>
      </c>
      <c r="BK352" s="270">
        <f t="shared" si="228"/>
        <v>2.6874192494328502E-4</v>
      </c>
      <c r="BL352" s="270">
        <f t="shared" si="260"/>
        <v>1.6666666666666669E-4</v>
      </c>
      <c r="BM352" s="271">
        <f t="shared" si="244"/>
        <v>1.666666666666667E-2</v>
      </c>
      <c r="BO352" s="351" t="e">
        <f>((((IF($T$5=0,$T$6,$T$5)))/(12*$T$19))+(((3*$T$15)/(2*IF($T$5=0,$T$6,$T$5)*$U$5*$T$19))*'IN-OUT'!$F$14))*'Burland damage classification'!BS352</f>
        <v>#DIV/0!</v>
      </c>
      <c r="BP352" s="352">
        <f>(1+(((IF($T$5=0,$T$6^2,$T$5^2))*$U$5)/(18*$T$15))*('IN-OUT'!$F$14^(-1)))*BT352</f>
        <v>4.3779751788545655E-4</v>
      </c>
      <c r="BQ352" s="254" t="e">
        <f t="shared" si="229"/>
        <v>#DIV/0!</v>
      </c>
      <c r="BR352" s="254" t="e">
        <f t="shared" si="245"/>
        <v>#DIV/0!</v>
      </c>
      <c r="BS352" s="254">
        <f t="shared" si="261"/>
        <v>3.3333333333333381E-4</v>
      </c>
      <c r="BT352" s="253">
        <f t="shared" si="230"/>
        <v>4.3779751788545655E-4</v>
      </c>
      <c r="BU352" s="253">
        <f t="shared" si="262"/>
        <v>1.6666666666666669E-4</v>
      </c>
      <c r="BV352" s="255">
        <f t="shared" si="246"/>
        <v>1.666666666666667E-2</v>
      </c>
      <c r="BX352" s="351" t="e">
        <f>((((IF($T$5=0,$T$6,$T$5)))/(12*$T$19))+(((3*$T$15)/(2*IF($T$5=0,$T$6,$T$5)*$U$5*$T$19))*'IN-OUT'!$F$14))*'Burland damage classification'!CB352</f>
        <v>#DIV/0!</v>
      </c>
      <c r="BY352" s="352">
        <f>(1+(((IF($T$5=0,$T$6^2,$T$5^2))*$U$5)/(18*$T$15))*('IN-OUT'!$F$14^(-1)))*CC352</f>
        <v>9.3985814532477892E-4</v>
      </c>
      <c r="BZ352" s="254" t="e">
        <f t="shared" si="231"/>
        <v>#DIV/0!</v>
      </c>
      <c r="CA352" s="254" t="e">
        <f t="shared" si="247"/>
        <v>#DIV/0!</v>
      </c>
      <c r="CB352" s="254">
        <f t="shared" si="263"/>
        <v>8.333333333333335E-4</v>
      </c>
      <c r="CC352" s="253">
        <f t="shared" si="232"/>
        <v>9.3985814532477892E-4</v>
      </c>
      <c r="CD352" s="253">
        <f t="shared" si="264"/>
        <v>1.6666666666666669E-4</v>
      </c>
      <c r="CE352" s="255">
        <f t="shared" si="248"/>
        <v>1.666666666666667E-2</v>
      </c>
      <c r="CG352" s="351" t="e">
        <f>((((IF($T$5=0,$T$6,$T$5)))/(12*$T$19))+(((3*$T$15)/(2*IF($T$5=0,$T$6,$T$5)*$U$5*$T$19))*'IN-OUT'!$F$14))*'Burland damage classification'!CK352</f>
        <v>#DIV/0!</v>
      </c>
      <c r="CH352" s="352">
        <f>(1+(((IF($T$5=0,$T$6^2,$T$5^2))*$U$5)/(18*$T$15))*('IN-OUT'!$F$14^(-1)))*CL352</f>
        <v>1.9407902170679515E-3</v>
      </c>
      <c r="CI352" s="254" t="e">
        <f t="shared" si="233"/>
        <v>#DIV/0!</v>
      </c>
      <c r="CJ352" s="254" t="e">
        <f t="shared" si="249"/>
        <v>#DIV/0!</v>
      </c>
      <c r="CK352" s="254">
        <f t="shared" si="265"/>
        <v>1.8333333333333326E-3</v>
      </c>
      <c r="CL352" s="270">
        <f t="shared" si="234"/>
        <v>1.9407902170679515E-3</v>
      </c>
      <c r="CM352" s="253">
        <f t="shared" si="266"/>
        <v>1.6666666666666669E-4</v>
      </c>
      <c r="CN352" s="255">
        <f t="shared" si="250"/>
        <v>1.666666666666667E-2</v>
      </c>
    </row>
    <row r="353" spans="22:92">
      <c r="V353" s="258">
        <f>(((IF($S$5&lt;&gt;0,$S$5,IF($S$6&lt;&gt;0,$S$6,IF($S$7&lt;&gt;0,$S$7,0))))/(12*$S$19))+(((3*$S$15)/(2*(IF($S$5&lt;&gt;0,$S$5,IF($S$6&lt;&gt;0,$S$6,IF($S$7&lt;&gt;0,$S$7,0))))*$U$5*$S$19))*'IN-OUT'!$F$14))*'Burland damage classification'!Z353</f>
        <v>1.4031119208344526E-3</v>
      </c>
      <c r="W353" s="352">
        <f>(1+(((IF($S$5&lt;&gt;0,$S$5^2,IF($S$6&lt;&gt;0,$S$6^2,IF($S$7&lt;&gt;0,$S$7^2))))*$U$5)/(18*$S$15))*('IN-OUT'!$F$14^(-1)))*AA353</f>
        <v>2.6765720285145425E-4</v>
      </c>
      <c r="X353" s="262">
        <f t="shared" si="219"/>
        <v>2.6765720285145425E-4</v>
      </c>
      <c r="Y353" s="262">
        <f t="shared" si="235"/>
        <v>2.6765720285145424E-2</v>
      </c>
      <c r="Z353" s="262">
        <f t="shared" si="251"/>
        <v>1.6000000000000012E-4</v>
      </c>
      <c r="AA353" s="270">
        <f t="shared" si="220"/>
        <v>2.6583202716502514E-4</v>
      </c>
      <c r="AB353" s="270">
        <f t="shared" si="252"/>
        <v>1.7333333333333336E-4</v>
      </c>
      <c r="AC353" s="271">
        <f t="shared" si="236"/>
        <v>1.7333333333333336E-2</v>
      </c>
      <c r="AE353" s="258">
        <f>(((IF($S$5&lt;&gt;0,$S$5,IF($S$6&lt;&gt;0,$S$6,IF($S$7&lt;&gt;0,$S$7,0))))/(12*$S$19))+(((3*$S$15)/(2*(IF($S$5&lt;&gt;0,$S$5,IF($S$6&lt;&gt;0,$S$6,IF($S$7&lt;&gt;0,$S$7,0))))*$U$5*$S$19))*'IN-OUT'!$F$14))*'Burland damage classification'!AI353</f>
        <v>2.8646868383703427E-3</v>
      </c>
      <c r="AF353" s="353">
        <f>(1+(((IF($S$5&lt;&gt;0,$S$5^2,IF($S$6&lt;&gt;0,$S$6^2,IF($S$7&lt;&gt;0,$S$7^2))))*$U$5)/(18*$S$15))*('IN-OUT'!$F$14^(-1)))*AJ353</f>
        <v>4.3811202388037451E-4</v>
      </c>
      <c r="AG353" s="254">
        <f t="shared" si="221"/>
        <v>4.3811202388037451E-4</v>
      </c>
      <c r="AH353" s="254">
        <f t="shared" si="237"/>
        <v>4.381120238803745E-2</v>
      </c>
      <c r="AI353" s="254">
        <f t="shared" si="253"/>
        <v>3.2666666666666716E-4</v>
      </c>
      <c r="AJ353" s="253">
        <f t="shared" si="222"/>
        <v>4.3512450325548584E-4</v>
      </c>
      <c r="AK353" s="253">
        <f t="shared" si="254"/>
        <v>1.7333333333333336E-4</v>
      </c>
      <c r="AL353" s="255">
        <f t="shared" si="238"/>
        <v>1.7333333333333336E-2</v>
      </c>
      <c r="AN353" s="258">
        <f>(((IF($S$5&lt;&gt;0,$S$5,IF($S$6&lt;&gt;0,$S$6,IF($S$7&lt;&gt;0,$S$7,0))))/(12*$S$19))+(((3*$S$15)/(2*(IF($S$5&lt;&gt;0,$S$5,IF($S$6&lt;&gt;0,$S$6,IF($S$7&lt;&gt;0,$S$7,0))))*$U$5*$S$19))*'IN-OUT'!$F$14))*'Burland damage classification'!AR353</f>
        <v>7.2494115909780008E-3</v>
      </c>
      <c r="AO353" s="353">
        <f>(1+(((IF($S$5&lt;&gt;0,$S$5^2,IF($S$6&lt;&gt;0,$S$6^2,IF($S$7&lt;&gt;0,$S$7^2))))*$U$5)/(18*$S$15))*('IN-OUT'!$F$14^(-1)))*AS353</f>
        <v>9.4380811588165624E-4</v>
      </c>
      <c r="AP353" s="254">
        <f t="shared" si="223"/>
        <v>9.4380811588165624E-4</v>
      </c>
      <c r="AQ353" s="254">
        <f t="shared" si="239"/>
        <v>9.4380811588165622E-2</v>
      </c>
      <c r="AR353" s="254">
        <f t="shared" si="255"/>
        <v>8.2666666666666685E-4</v>
      </c>
      <c r="AS353" s="253">
        <f t="shared" si="224"/>
        <v>9.3737221351321623E-4</v>
      </c>
      <c r="AT353" s="253">
        <f t="shared" si="256"/>
        <v>1.7333333333333336E-4</v>
      </c>
      <c r="AU353" s="255">
        <f t="shared" si="240"/>
        <v>1.7333333333333336E-2</v>
      </c>
      <c r="AW353" s="258">
        <f>(((IF($S$5&lt;&gt;0,$S$5,IF($S$6&lt;&gt;0,$S$6,IF($S$7&lt;&gt;0,$S$7,0))))/(12*$S$19))+(((3*$S$15)/(2*(IF($S$5&lt;&gt;0,$S$5,IF($S$6&lt;&gt;0,$S$6,IF($S$7&lt;&gt;0,$S$7,0))))*$U$5*$S$19))*'IN-OUT'!$F$14))*'Burland damage classification'!BA353</f>
        <v>1.6018861096193316E-2</v>
      </c>
      <c r="AX353" s="353">
        <f>(1+(((IF($S$5&lt;&gt;0,$S$5^2,IF($S$6&lt;&gt;0,$S$6^2,IF($S$7&lt;&gt;0,$S$7^2))))*$U$5)/(18*$S$15))*('IN-OUT'!$F$14^(-1)))*BB353</f>
        <v>1.9516929558401415E-3</v>
      </c>
      <c r="AY353" s="254">
        <f t="shared" si="225"/>
        <v>1.9516929558401415E-3</v>
      </c>
      <c r="AZ353" s="254">
        <f t="shared" si="241"/>
        <v>0.19516929558401416</v>
      </c>
      <c r="BA353" s="254">
        <f t="shared" si="257"/>
        <v>1.8266666666666659E-3</v>
      </c>
      <c r="BB353" s="270">
        <f t="shared" si="226"/>
        <v>1.9383842068417018E-3</v>
      </c>
      <c r="BC353" s="253">
        <f t="shared" si="258"/>
        <v>1.7333333333333336E-4</v>
      </c>
      <c r="BD353" s="255">
        <f t="shared" si="242"/>
        <v>1.7333333333333336E-2</v>
      </c>
      <c r="BF353" s="351" t="e">
        <f>((((IF($T$5=0,$T$6,$T$5)))/(12*$T$19))+(((3*$T$15)/(2*IF($T$5=0,$T$6,$T$5)*$U$5*$T$19))*'IN-OUT'!$F$14))*'Burland damage classification'!BJ353</f>
        <v>#DIV/0!</v>
      </c>
      <c r="BG353" s="352">
        <f>(1+(((IF($T$5=0,$T$6^2,$T$5^2))*$U$5)/(18*$T$15))*('IN-OUT'!$F$14^(-1)))*BK353</f>
        <v>2.6583202716502514E-4</v>
      </c>
      <c r="BH353" s="262" t="e">
        <f t="shared" si="227"/>
        <v>#DIV/0!</v>
      </c>
      <c r="BI353" s="262" t="e">
        <f t="shared" si="243"/>
        <v>#DIV/0!</v>
      </c>
      <c r="BJ353" s="262">
        <f t="shared" si="259"/>
        <v>1.6000000000000012E-4</v>
      </c>
      <c r="BK353" s="270">
        <f t="shared" si="228"/>
        <v>2.6583202716502514E-4</v>
      </c>
      <c r="BL353" s="270">
        <f t="shared" si="260"/>
        <v>1.7333333333333336E-4</v>
      </c>
      <c r="BM353" s="271">
        <f t="shared" si="244"/>
        <v>1.7333333333333336E-2</v>
      </c>
      <c r="BO353" s="351" t="e">
        <f>((((IF($T$5=0,$T$6,$T$5)))/(12*$T$19))+(((3*$T$15)/(2*IF($T$5=0,$T$6,$T$5)*$U$5*$T$19))*'IN-OUT'!$F$14))*'Burland damage classification'!BS353</f>
        <v>#DIV/0!</v>
      </c>
      <c r="BP353" s="352">
        <f>(1+(((IF($T$5=0,$T$6^2,$T$5^2))*$U$5)/(18*$T$15))*('IN-OUT'!$F$14^(-1)))*BT353</f>
        <v>4.3512450325548584E-4</v>
      </c>
      <c r="BQ353" s="254" t="e">
        <f t="shared" si="229"/>
        <v>#DIV/0!</v>
      </c>
      <c r="BR353" s="254" t="e">
        <f t="shared" si="245"/>
        <v>#DIV/0!</v>
      </c>
      <c r="BS353" s="254">
        <f t="shared" si="261"/>
        <v>3.2666666666666716E-4</v>
      </c>
      <c r="BT353" s="253">
        <f t="shared" si="230"/>
        <v>4.3512450325548584E-4</v>
      </c>
      <c r="BU353" s="253">
        <f t="shared" si="262"/>
        <v>1.7333333333333336E-4</v>
      </c>
      <c r="BV353" s="255">
        <f t="shared" si="246"/>
        <v>1.7333333333333336E-2</v>
      </c>
      <c r="BX353" s="351" t="e">
        <f>((((IF($T$5=0,$T$6,$T$5)))/(12*$T$19))+(((3*$T$15)/(2*IF($T$5=0,$T$6,$T$5)*$U$5*$T$19))*'IN-OUT'!$F$14))*'Burland damage classification'!CB353</f>
        <v>#DIV/0!</v>
      </c>
      <c r="BY353" s="352">
        <f>(1+(((IF($T$5=0,$T$6^2,$T$5^2))*$U$5)/(18*$T$15))*('IN-OUT'!$F$14^(-1)))*CC353</f>
        <v>9.3737221351321623E-4</v>
      </c>
      <c r="BZ353" s="254" t="e">
        <f t="shared" si="231"/>
        <v>#DIV/0!</v>
      </c>
      <c r="CA353" s="254" t="e">
        <f t="shared" si="247"/>
        <v>#DIV/0!</v>
      </c>
      <c r="CB353" s="254">
        <f t="shared" si="263"/>
        <v>8.2666666666666685E-4</v>
      </c>
      <c r="CC353" s="253">
        <f t="shared" si="232"/>
        <v>9.3737221351321623E-4</v>
      </c>
      <c r="CD353" s="253">
        <f t="shared" si="264"/>
        <v>1.7333333333333336E-4</v>
      </c>
      <c r="CE353" s="255">
        <f t="shared" si="248"/>
        <v>1.7333333333333336E-2</v>
      </c>
      <c r="CG353" s="351" t="e">
        <f>((((IF($T$5=0,$T$6,$T$5)))/(12*$T$19))+(((3*$T$15)/(2*IF($T$5=0,$T$6,$T$5)*$U$5*$T$19))*'IN-OUT'!$F$14))*'Burland damage classification'!CK353</f>
        <v>#DIV/0!</v>
      </c>
      <c r="CH353" s="352">
        <f>(1+(((IF($T$5=0,$T$6^2,$T$5^2))*$U$5)/(18*$T$15))*('IN-OUT'!$F$14^(-1)))*CL353</f>
        <v>1.9383842068417018E-3</v>
      </c>
      <c r="CI353" s="254" t="e">
        <f t="shared" si="233"/>
        <v>#DIV/0!</v>
      </c>
      <c r="CJ353" s="254" t="e">
        <f t="shared" si="249"/>
        <v>#DIV/0!</v>
      </c>
      <c r="CK353" s="254">
        <f t="shared" si="265"/>
        <v>1.8266666666666659E-3</v>
      </c>
      <c r="CL353" s="270">
        <f t="shared" si="234"/>
        <v>1.9383842068417018E-3</v>
      </c>
      <c r="CM353" s="253">
        <f t="shared" si="266"/>
        <v>1.7333333333333336E-4</v>
      </c>
      <c r="CN353" s="255">
        <f t="shared" si="250"/>
        <v>1.7333333333333336E-2</v>
      </c>
    </row>
    <row r="354" spans="22:92">
      <c r="V354" s="258">
        <f>(((IF($S$5&lt;&gt;0,$S$5,IF($S$6&lt;&gt;0,$S$6,IF($S$7&lt;&gt;0,$S$7,0))))/(12*$S$19))+(((3*$S$15)/(2*(IF($S$5&lt;&gt;0,$S$5,IF($S$6&lt;&gt;0,$S$6,IF($S$7&lt;&gt;0,$S$7,0))))*$U$5*$S$19))*'IN-OUT'!$F$14))*'Burland damage classification'!Z354</f>
        <v>1.344648924133017E-3</v>
      </c>
      <c r="W354" s="352">
        <f>(1+(((IF($S$5&lt;&gt;0,$S$5^2,IF($S$6&lt;&gt;0,$S$6^2,IF($S$7&lt;&gt;0,$S$7^2))))*$U$5)/(18*$S$15))*('IN-OUT'!$F$14^(-1)))*AA354</f>
        <v>2.6469489753334788E-4</v>
      </c>
      <c r="X354" s="262">
        <f t="shared" si="219"/>
        <v>2.6469489753334788E-4</v>
      </c>
      <c r="Y354" s="262">
        <f t="shared" si="235"/>
        <v>2.6469489753334789E-2</v>
      </c>
      <c r="Z354" s="262">
        <f t="shared" si="251"/>
        <v>1.5333333333333345E-4</v>
      </c>
      <c r="AA354" s="270">
        <f t="shared" si="220"/>
        <v>2.6288992204173803E-4</v>
      </c>
      <c r="AB354" s="270">
        <f t="shared" si="252"/>
        <v>1.8000000000000004E-4</v>
      </c>
      <c r="AC354" s="271">
        <f t="shared" si="236"/>
        <v>1.8000000000000002E-2</v>
      </c>
      <c r="AE354" s="258">
        <f>(((IF($S$5&lt;&gt;0,$S$5,IF($S$6&lt;&gt;0,$S$6,IF($S$7&lt;&gt;0,$S$7,0))))/(12*$S$19))+(((3*$S$15)/(2*(IF($S$5&lt;&gt;0,$S$5,IF($S$6&lt;&gt;0,$S$6,IF($S$7&lt;&gt;0,$S$7,0))))*$U$5*$S$19))*'IN-OUT'!$F$14))*'Burland damage classification'!AI354</f>
        <v>2.8062238416689074E-3</v>
      </c>
      <c r="AF354" s="353">
        <f>(1+(((IF($S$5&lt;&gt;0,$S$5^2,IF($S$6&lt;&gt;0,$S$6^2,IF($S$7&lt;&gt;0,$S$7^2))))*$U$5)/(18*$S$15))*('IN-OUT'!$F$14^(-1)))*AJ354</f>
        <v>4.3540402074561196E-4</v>
      </c>
      <c r="AG354" s="254">
        <f t="shared" si="221"/>
        <v>4.3540402074561196E-4</v>
      </c>
      <c r="AH354" s="254">
        <f t="shared" si="237"/>
        <v>4.3540402074561196E-2</v>
      </c>
      <c r="AI354" s="254">
        <f t="shared" si="253"/>
        <v>3.2000000000000051E-4</v>
      </c>
      <c r="AJ354" s="253">
        <f t="shared" si="222"/>
        <v>4.3243496620879303E-4</v>
      </c>
      <c r="AK354" s="253">
        <f t="shared" si="254"/>
        <v>1.8000000000000004E-4</v>
      </c>
      <c r="AL354" s="255">
        <f t="shared" si="238"/>
        <v>1.8000000000000002E-2</v>
      </c>
      <c r="AN354" s="258">
        <f>(((IF($S$5&lt;&gt;0,$S$5,IF($S$6&lt;&gt;0,$S$6,IF($S$7&lt;&gt;0,$S$7,0))))/(12*$S$19))+(((3*$S$15)/(2*(IF($S$5&lt;&gt;0,$S$5,IF($S$6&lt;&gt;0,$S$6,IF($S$7&lt;&gt;0,$S$7,0))))*$U$5*$S$19))*'IN-OUT'!$F$14))*'Burland damage classification'!AR354</f>
        <v>7.1909485942765654E-3</v>
      </c>
      <c r="AO354" s="353">
        <f>(1+(((IF($S$5&lt;&gt;0,$S$5^2,IF($S$6&lt;&gt;0,$S$6^2,IF($S$7&lt;&gt;0,$S$7^2))))*$U$5)/(18*$S$15))*('IN-OUT'!$F$14^(-1)))*AS354</f>
        <v>9.4129846022919679E-4</v>
      </c>
      <c r="AP354" s="254">
        <f t="shared" si="223"/>
        <v>9.4129846022919679E-4</v>
      </c>
      <c r="AQ354" s="254">
        <f t="shared" si="239"/>
        <v>9.4129846022919683E-2</v>
      </c>
      <c r="AR354" s="254">
        <f t="shared" si="255"/>
        <v>8.200000000000002E-4</v>
      </c>
      <c r="AS354" s="253">
        <f t="shared" si="224"/>
        <v>9.3487967140161942E-4</v>
      </c>
      <c r="AT354" s="253">
        <f t="shared" si="256"/>
        <v>1.8000000000000004E-4</v>
      </c>
      <c r="AU354" s="255">
        <f t="shared" si="240"/>
        <v>1.8000000000000002E-2</v>
      </c>
      <c r="AW354" s="258">
        <f>(((IF($S$5&lt;&gt;0,$S$5,IF($S$6&lt;&gt;0,$S$6,IF($S$7&lt;&gt;0,$S$7,0))))/(12*$S$19))+(((3*$S$15)/(2*(IF($S$5&lt;&gt;0,$S$5,IF($S$6&lt;&gt;0,$S$6,IF($S$7&lt;&gt;0,$S$7,0))))*$U$5*$S$19))*'IN-OUT'!$F$14))*'Burland damage classification'!BA354</f>
        <v>1.5960398099491877E-2</v>
      </c>
      <c r="AX354" s="353">
        <f>(1+(((IF($S$5&lt;&gt;0,$S$5^2,IF($S$6&lt;&gt;0,$S$6^2,IF($S$7&lt;&gt;0,$S$7^2))))*$U$5)/(18*$S$15))*('IN-OUT'!$F$14^(-1)))*BB354</f>
        <v>1.949267415499366E-3</v>
      </c>
      <c r="AY354" s="254">
        <f t="shared" si="225"/>
        <v>1.949267415499366E-3</v>
      </c>
      <c r="AZ354" s="254">
        <f t="shared" si="241"/>
        <v>0.19492674154993661</v>
      </c>
      <c r="BA354" s="254">
        <f t="shared" si="257"/>
        <v>1.8199999999999991E-3</v>
      </c>
      <c r="BB354" s="270">
        <f t="shared" si="226"/>
        <v>1.9359752064528099E-3</v>
      </c>
      <c r="BC354" s="253">
        <f t="shared" si="258"/>
        <v>1.8000000000000004E-4</v>
      </c>
      <c r="BD354" s="255">
        <f t="shared" si="242"/>
        <v>1.8000000000000002E-2</v>
      </c>
      <c r="BF354" s="351" t="e">
        <f>((((IF($T$5=0,$T$6,$T$5)))/(12*$T$19))+(((3*$T$15)/(2*IF($T$5=0,$T$6,$T$5)*$U$5*$T$19))*'IN-OUT'!$F$14))*'Burland damage classification'!BJ354</f>
        <v>#DIV/0!</v>
      </c>
      <c r="BG354" s="352">
        <f>(1+(((IF($T$5=0,$T$6^2,$T$5^2))*$U$5)/(18*$T$15))*('IN-OUT'!$F$14^(-1)))*BK354</f>
        <v>2.6288992204173803E-4</v>
      </c>
      <c r="BH354" s="262" t="e">
        <f t="shared" si="227"/>
        <v>#DIV/0!</v>
      </c>
      <c r="BI354" s="262" t="e">
        <f t="shared" si="243"/>
        <v>#DIV/0!</v>
      </c>
      <c r="BJ354" s="262">
        <f t="shared" si="259"/>
        <v>1.5333333333333345E-4</v>
      </c>
      <c r="BK354" s="270">
        <f t="shared" si="228"/>
        <v>2.6288992204173803E-4</v>
      </c>
      <c r="BL354" s="270">
        <f t="shared" si="260"/>
        <v>1.8000000000000004E-4</v>
      </c>
      <c r="BM354" s="271">
        <f t="shared" si="244"/>
        <v>1.8000000000000002E-2</v>
      </c>
      <c r="BO354" s="351" t="e">
        <f>((((IF($T$5=0,$T$6,$T$5)))/(12*$T$19))+(((3*$T$15)/(2*IF($T$5=0,$T$6,$T$5)*$U$5*$T$19))*'IN-OUT'!$F$14))*'Burland damage classification'!BS354</f>
        <v>#DIV/0!</v>
      </c>
      <c r="BP354" s="352">
        <f>(1+(((IF($T$5=0,$T$6^2,$T$5^2))*$U$5)/(18*$T$15))*('IN-OUT'!$F$14^(-1)))*BT354</f>
        <v>4.3243496620879303E-4</v>
      </c>
      <c r="BQ354" s="254" t="e">
        <f t="shared" si="229"/>
        <v>#DIV/0!</v>
      </c>
      <c r="BR354" s="254" t="e">
        <f t="shared" si="245"/>
        <v>#DIV/0!</v>
      </c>
      <c r="BS354" s="254">
        <f t="shared" si="261"/>
        <v>3.2000000000000051E-4</v>
      </c>
      <c r="BT354" s="253">
        <f t="shared" si="230"/>
        <v>4.3243496620879303E-4</v>
      </c>
      <c r="BU354" s="253">
        <f t="shared" si="262"/>
        <v>1.8000000000000004E-4</v>
      </c>
      <c r="BV354" s="255">
        <f t="shared" si="246"/>
        <v>1.8000000000000002E-2</v>
      </c>
      <c r="BX354" s="351" t="e">
        <f>((((IF($T$5=0,$T$6,$T$5)))/(12*$T$19))+(((3*$T$15)/(2*IF($T$5=0,$T$6,$T$5)*$U$5*$T$19))*'IN-OUT'!$F$14))*'Burland damage classification'!CB354</f>
        <v>#DIV/0!</v>
      </c>
      <c r="BY354" s="352">
        <f>(1+(((IF($T$5=0,$T$6^2,$T$5^2))*$U$5)/(18*$T$15))*('IN-OUT'!$F$14^(-1)))*CC354</f>
        <v>9.3487967140161942E-4</v>
      </c>
      <c r="BZ354" s="254" t="e">
        <f t="shared" si="231"/>
        <v>#DIV/0!</v>
      </c>
      <c r="CA354" s="254" t="e">
        <f t="shared" si="247"/>
        <v>#DIV/0!</v>
      </c>
      <c r="CB354" s="254">
        <f t="shared" si="263"/>
        <v>8.200000000000002E-4</v>
      </c>
      <c r="CC354" s="253">
        <f t="shared" si="232"/>
        <v>9.3487967140161942E-4</v>
      </c>
      <c r="CD354" s="253">
        <f t="shared" si="264"/>
        <v>1.8000000000000004E-4</v>
      </c>
      <c r="CE354" s="255">
        <f t="shared" si="248"/>
        <v>1.8000000000000002E-2</v>
      </c>
      <c r="CG354" s="351" t="e">
        <f>((((IF($T$5=0,$T$6,$T$5)))/(12*$T$19))+(((3*$T$15)/(2*IF($T$5=0,$T$6,$T$5)*$U$5*$T$19))*'IN-OUT'!$F$14))*'Burland damage classification'!CK354</f>
        <v>#DIV/0!</v>
      </c>
      <c r="CH354" s="352">
        <f>(1+(((IF($T$5=0,$T$6^2,$T$5^2))*$U$5)/(18*$T$15))*('IN-OUT'!$F$14^(-1)))*CL354</f>
        <v>1.9359752064528099E-3</v>
      </c>
      <c r="CI354" s="254" t="e">
        <f t="shared" si="233"/>
        <v>#DIV/0!</v>
      </c>
      <c r="CJ354" s="254" t="e">
        <f t="shared" si="249"/>
        <v>#DIV/0!</v>
      </c>
      <c r="CK354" s="254">
        <f t="shared" si="265"/>
        <v>1.8199999999999991E-3</v>
      </c>
      <c r="CL354" s="270">
        <f t="shared" si="234"/>
        <v>1.9359752064528099E-3</v>
      </c>
      <c r="CM354" s="253">
        <f t="shared" si="266"/>
        <v>1.8000000000000004E-4</v>
      </c>
      <c r="CN354" s="255">
        <f t="shared" si="250"/>
        <v>1.8000000000000002E-2</v>
      </c>
    </row>
    <row r="355" spans="22:92">
      <c r="V355" s="258">
        <f>(((IF($S$5&lt;&gt;0,$S$5,IF($S$6&lt;&gt;0,$S$6,IF($S$7&lt;&gt;0,$S$7,0))))/(12*$S$19))+(((3*$S$15)/(2*(IF($S$5&lt;&gt;0,$S$5,IF($S$6&lt;&gt;0,$S$6,IF($S$7&lt;&gt;0,$S$7,0))))*$U$5*$S$19))*'IN-OUT'!$F$14))*'Burland damage classification'!Z355</f>
        <v>1.2861859274315814E-3</v>
      </c>
      <c r="W355" s="352">
        <f>(1+(((IF($S$5&lt;&gt;0,$S$5^2,IF($S$6&lt;&gt;0,$S$6^2,IF($S$7&lt;&gt;0,$S$7^2))))*$U$5)/(18*$S$15))*('IN-OUT'!$F$14^(-1)))*AA355</f>
        <v>2.6169906251669018E-4</v>
      </c>
      <c r="X355" s="262">
        <f t="shared" si="219"/>
        <v>2.6169906251669018E-4</v>
      </c>
      <c r="Y355" s="262">
        <f t="shared" si="235"/>
        <v>2.6169906251669019E-2</v>
      </c>
      <c r="Z355" s="262">
        <f t="shared" si="251"/>
        <v>1.4666666666666677E-4</v>
      </c>
      <c r="AA355" s="270">
        <f t="shared" si="220"/>
        <v>2.5991451586157235E-4</v>
      </c>
      <c r="AB355" s="270">
        <f t="shared" si="252"/>
        <v>1.8666666666666671E-4</v>
      </c>
      <c r="AC355" s="271">
        <f t="shared" si="236"/>
        <v>1.8666666666666672E-2</v>
      </c>
      <c r="AE355" s="258">
        <f>(((IF($S$5&lt;&gt;0,$S$5,IF($S$6&lt;&gt;0,$S$6,IF($S$7&lt;&gt;0,$S$7,0))))/(12*$S$19))+(((3*$S$15)/(2*(IF($S$5&lt;&gt;0,$S$5,IF($S$6&lt;&gt;0,$S$6,IF($S$7&lt;&gt;0,$S$7,0))))*$U$5*$S$19))*'IN-OUT'!$F$14))*'Burland damage classification'!AI355</f>
        <v>2.747760844967472E-3</v>
      </c>
      <c r="AF355" s="353">
        <f>(1+(((IF($S$5&lt;&gt;0,$S$5^2,IF($S$6&lt;&gt;0,$S$6^2,IF($S$7&lt;&gt;0,$S$7^2))))*$U$5)/(18*$S$15))*('IN-OUT'!$F$14^(-1)))*AJ355</f>
        <v>4.3267906939709115E-4</v>
      </c>
      <c r="AG355" s="254">
        <f t="shared" si="221"/>
        <v>4.3267906939709115E-4</v>
      </c>
      <c r="AH355" s="254">
        <f t="shared" si="237"/>
        <v>4.3267906939709118E-2</v>
      </c>
      <c r="AI355" s="254">
        <f t="shared" si="253"/>
        <v>3.1333333333333387E-4</v>
      </c>
      <c r="AJ355" s="253">
        <f t="shared" si="222"/>
        <v>4.297285965195552E-4</v>
      </c>
      <c r="AK355" s="253">
        <f t="shared" si="254"/>
        <v>1.8666666666666671E-4</v>
      </c>
      <c r="AL355" s="255">
        <f t="shared" si="238"/>
        <v>1.8666666666666672E-2</v>
      </c>
      <c r="AN355" s="258">
        <f>(((IF($S$5&lt;&gt;0,$S$5,IF($S$6&lt;&gt;0,$S$6,IF($S$7&lt;&gt;0,$S$7,0))))/(12*$S$19))+(((3*$S$15)/(2*(IF($S$5&lt;&gt;0,$S$5,IF($S$6&lt;&gt;0,$S$6,IF($S$7&lt;&gt;0,$S$7,0))))*$U$5*$S$19))*'IN-OUT'!$F$14))*'Burland damage classification'!AR355</f>
        <v>7.13248559757513E-3</v>
      </c>
      <c r="AO355" s="353">
        <f>(1+(((IF($S$5&lt;&gt;0,$S$5^2,IF($S$6&lt;&gt;0,$S$6^2,IF($S$7&lt;&gt;0,$S$7^2))))*$U$5)/(18*$S$15))*('IN-OUT'!$F$14^(-1)))*AS355</f>
        <v>9.3878209551292134E-4</v>
      </c>
      <c r="AP355" s="254">
        <f t="shared" si="223"/>
        <v>9.3878209551292134E-4</v>
      </c>
      <c r="AQ355" s="254">
        <f t="shared" si="239"/>
        <v>9.3878209551292141E-2</v>
      </c>
      <c r="AR355" s="254">
        <f t="shared" si="255"/>
        <v>8.1333333333333355E-4</v>
      </c>
      <c r="AS355" s="253">
        <f t="shared" si="224"/>
        <v>9.3238046597584473E-4</v>
      </c>
      <c r="AT355" s="253">
        <f t="shared" si="256"/>
        <v>1.8666666666666671E-4</v>
      </c>
      <c r="AU355" s="255">
        <f t="shared" si="240"/>
        <v>1.8666666666666672E-2</v>
      </c>
      <c r="AW355" s="258">
        <f>(((IF($S$5&lt;&gt;0,$S$5,IF($S$6&lt;&gt;0,$S$6,IF($S$7&lt;&gt;0,$S$7,0))))/(12*$S$19))+(((3*$S$15)/(2*(IF($S$5&lt;&gt;0,$S$5,IF($S$6&lt;&gt;0,$S$6,IF($S$7&lt;&gt;0,$S$7,0))))*$U$5*$S$19))*'IN-OUT'!$F$14))*'Burland damage classification'!BA355</f>
        <v>1.5901935102790442E-2</v>
      </c>
      <c r="AX355" s="353">
        <f>(1+(((IF($S$5&lt;&gt;0,$S$5^2,IF($S$6&lt;&gt;0,$S$6^2,IF($S$7&lt;&gt;0,$S$7^2))))*$U$5)/(18*$S$15))*('IN-OUT'!$F$14^(-1)))*BB355</f>
        <v>1.9468388532128508E-3</v>
      </c>
      <c r="AY355" s="254">
        <f t="shared" si="225"/>
        <v>1.9468388532128508E-3</v>
      </c>
      <c r="AZ355" s="254">
        <f t="shared" si="241"/>
        <v>0.19468388532128508</v>
      </c>
      <c r="BA355" s="254">
        <f t="shared" si="257"/>
        <v>1.8133333333333324E-3</v>
      </c>
      <c r="BB355" s="270">
        <f t="shared" si="226"/>
        <v>1.9335632047250658E-3</v>
      </c>
      <c r="BC355" s="253">
        <f t="shared" si="258"/>
        <v>1.8666666666666671E-4</v>
      </c>
      <c r="BD355" s="255">
        <f t="shared" si="242"/>
        <v>1.8666666666666672E-2</v>
      </c>
      <c r="BF355" s="351" t="e">
        <f>((((IF($T$5=0,$T$6,$T$5)))/(12*$T$19))+(((3*$T$15)/(2*IF($T$5=0,$T$6,$T$5)*$U$5*$T$19))*'IN-OUT'!$F$14))*'Burland damage classification'!BJ355</f>
        <v>#DIV/0!</v>
      </c>
      <c r="BG355" s="352">
        <f>(1+(((IF($T$5=0,$T$6^2,$T$5^2))*$U$5)/(18*$T$15))*('IN-OUT'!$F$14^(-1)))*BK355</f>
        <v>2.5991451586157235E-4</v>
      </c>
      <c r="BH355" s="262" t="e">
        <f t="shared" si="227"/>
        <v>#DIV/0!</v>
      </c>
      <c r="BI355" s="262" t="e">
        <f t="shared" si="243"/>
        <v>#DIV/0!</v>
      </c>
      <c r="BJ355" s="262">
        <f t="shared" si="259"/>
        <v>1.4666666666666677E-4</v>
      </c>
      <c r="BK355" s="270">
        <f t="shared" si="228"/>
        <v>2.5991451586157235E-4</v>
      </c>
      <c r="BL355" s="270">
        <f t="shared" si="260"/>
        <v>1.8666666666666671E-4</v>
      </c>
      <c r="BM355" s="271">
        <f t="shared" si="244"/>
        <v>1.8666666666666672E-2</v>
      </c>
      <c r="BO355" s="351" t="e">
        <f>((((IF($T$5=0,$T$6,$T$5)))/(12*$T$19))+(((3*$T$15)/(2*IF($T$5=0,$T$6,$T$5)*$U$5*$T$19))*'IN-OUT'!$F$14))*'Burland damage classification'!BS355</f>
        <v>#DIV/0!</v>
      </c>
      <c r="BP355" s="352">
        <f>(1+(((IF($T$5=0,$T$6^2,$T$5^2))*$U$5)/(18*$T$15))*('IN-OUT'!$F$14^(-1)))*BT355</f>
        <v>4.297285965195552E-4</v>
      </c>
      <c r="BQ355" s="254" t="e">
        <f t="shared" si="229"/>
        <v>#DIV/0!</v>
      </c>
      <c r="BR355" s="254" t="e">
        <f t="shared" si="245"/>
        <v>#DIV/0!</v>
      </c>
      <c r="BS355" s="254">
        <f t="shared" si="261"/>
        <v>3.1333333333333387E-4</v>
      </c>
      <c r="BT355" s="253">
        <f t="shared" si="230"/>
        <v>4.297285965195552E-4</v>
      </c>
      <c r="BU355" s="253">
        <f t="shared" si="262"/>
        <v>1.8666666666666671E-4</v>
      </c>
      <c r="BV355" s="255">
        <f t="shared" si="246"/>
        <v>1.8666666666666672E-2</v>
      </c>
      <c r="BX355" s="351" t="e">
        <f>((((IF($T$5=0,$T$6,$T$5)))/(12*$T$19))+(((3*$T$15)/(2*IF($T$5=0,$T$6,$T$5)*$U$5*$T$19))*'IN-OUT'!$F$14))*'Burland damage classification'!CB355</f>
        <v>#DIV/0!</v>
      </c>
      <c r="BY355" s="352">
        <f>(1+(((IF($T$5=0,$T$6^2,$T$5^2))*$U$5)/(18*$T$15))*('IN-OUT'!$F$14^(-1)))*CC355</f>
        <v>9.3238046597584473E-4</v>
      </c>
      <c r="BZ355" s="254" t="e">
        <f t="shared" si="231"/>
        <v>#DIV/0!</v>
      </c>
      <c r="CA355" s="254" t="e">
        <f t="shared" si="247"/>
        <v>#DIV/0!</v>
      </c>
      <c r="CB355" s="254">
        <f t="shared" si="263"/>
        <v>8.1333333333333355E-4</v>
      </c>
      <c r="CC355" s="253">
        <f t="shared" si="232"/>
        <v>9.3238046597584473E-4</v>
      </c>
      <c r="CD355" s="253">
        <f t="shared" si="264"/>
        <v>1.8666666666666671E-4</v>
      </c>
      <c r="CE355" s="255">
        <f t="shared" si="248"/>
        <v>1.8666666666666672E-2</v>
      </c>
      <c r="CG355" s="351" t="e">
        <f>((((IF($T$5=0,$T$6,$T$5)))/(12*$T$19))+(((3*$T$15)/(2*IF($T$5=0,$T$6,$T$5)*$U$5*$T$19))*'IN-OUT'!$F$14))*'Burland damage classification'!CK355</f>
        <v>#DIV/0!</v>
      </c>
      <c r="CH355" s="352">
        <f>(1+(((IF($T$5=0,$T$6^2,$T$5^2))*$U$5)/(18*$T$15))*('IN-OUT'!$F$14^(-1)))*CL355</f>
        <v>1.9335632047250658E-3</v>
      </c>
      <c r="CI355" s="254" t="e">
        <f t="shared" si="233"/>
        <v>#DIV/0!</v>
      </c>
      <c r="CJ355" s="254" t="e">
        <f t="shared" si="249"/>
        <v>#DIV/0!</v>
      </c>
      <c r="CK355" s="254">
        <f t="shared" si="265"/>
        <v>1.8133333333333324E-3</v>
      </c>
      <c r="CL355" s="270">
        <f t="shared" si="234"/>
        <v>1.9335632047250658E-3</v>
      </c>
      <c r="CM355" s="253">
        <f t="shared" si="266"/>
        <v>1.8666666666666671E-4</v>
      </c>
      <c r="CN355" s="255">
        <f t="shared" si="250"/>
        <v>1.8666666666666672E-2</v>
      </c>
    </row>
    <row r="356" spans="22:92">
      <c r="V356" s="258">
        <f>(((IF($S$5&lt;&gt;0,$S$5,IF($S$6&lt;&gt;0,$S$6,IF($S$7&lt;&gt;0,$S$7,0))))/(12*$S$19))+(((3*$S$15)/(2*(IF($S$5&lt;&gt;0,$S$5,IF($S$6&lt;&gt;0,$S$6,IF($S$7&lt;&gt;0,$S$7,0))))*$U$5*$S$19))*'IN-OUT'!$F$14))*'Burland damage classification'!Z356</f>
        <v>1.2277229307301458E-3</v>
      </c>
      <c r="W356" s="352">
        <f>(1+(((IF($S$5&lt;&gt;0,$S$5^2,IF($S$6&lt;&gt;0,$S$6^2,IF($S$7&lt;&gt;0,$S$7^2))))*$U$5)/(18*$S$15))*('IN-OUT'!$F$14^(-1)))*AA356</f>
        <v>2.5866853280605956E-4</v>
      </c>
      <c r="X356" s="262">
        <f t="shared" si="219"/>
        <v>2.5866853280605956E-4</v>
      </c>
      <c r="Y356" s="262">
        <f t="shared" si="235"/>
        <v>2.5866853280605957E-2</v>
      </c>
      <c r="Z356" s="262">
        <f t="shared" si="251"/>
        <v>1.400000000000001E-4</v>
      </c>
      <c r="AA356" s="270">
        <f t="shared" si="220"/>
        <v>2.5690465157330255E-4</v>
      </c>
      <c r="AB356" s="270">
        <f t="shared" si="252"/>
        <v>1.9333333333333339E-4</v>
      </c>
      <c r="AC356" s="271">
        <f t="shared" si="236"/>
        <v>1.9333333333333338E-2</v>
      </c>
      <c r="AE356" s="258">
        <f>(((IF($S$5&lt;&gt;0,$S$5,IF($S$6&lt;&gt;0,$S$6,IF($S$7&lt;&gt;0,$S$7,0))))/(12*$S$19))+(((3*$S$15)/(2*(IF($S$5&lt;&gt;0,$S$5,IF($S$6&lt;&gt;0,$S$6,IF($S$7&lt;&gt;0,$S$7,0))))*$U$5*$S$19))*'IN-OUT'!$F$14))*'Burland damage classification'!AI356</f>
        <v>2.6892978482660371E-3</v>
      </c>
      <c r="AF356" s="353">
        <f>(1+(((IF($S$5&lt;&gt;0,$S$5^2,IF($S$6&lt;&gt;0,$S$6^2,IF($S$7&lt;&gt;0,$S$7^2))))*$U$5)/(18*$S$15))*('IN-OUT'!$F$14^(-1)))*AJ356</f>
        <v>4.2993684758022347E-4</v>
      </c>
      <c r="AG356" s="254">
        <f t="shared" si="221"/>
        <v>4.2993684758022347E-4</v>
      </c>
      <c r="AH356" s="254">
        <f t="shared" si="237"/>
        <v>4.2993684758022344E-2</v>
      </c>
      <c r="AI356" s="254">
        <f t="shared" si="253"/>
        <v>3.0666666666666722E-4</v>
      </c>
      <c r="AJ356" s="253">
        <f t="shared" si="222"/>
        <v>4.2700507413066335E-4</v>
      </c>
      <c r="AK356" s="253">
        <f t="shared" si="254"/>
        <v>1.9333333333333339E-4</v>
      </c>
      <c r="AL356" s="255">
        <f t="shared" si="238"/>
        <v>1.9333333333333338E-2</v>
      </c>
      <c r="AN356" s="258">
        <f>(((IF($S$5&lt;&gt;0,$S$5,IF($S$6&lt;&gt;0,$S$6,IF($S$7&lt;&gt;0,$S$7,0))))/(12*$S$19))+(((3*$S$15)/(2*(IF($S$5&lt;&gt;0,$S$5,IF($S$6&lt;&gt;0,$S$6,IF($S$7&lt;&gt;0,$S$7,0))))*$U$5*$S$19))*'IN-OUT'!$F$14))*'Burland damage classification'!AR356</f>
        <v>7.0740226008736947E-3</v>
      </c>
      <c r="AO356" s="353">
        <f>(1+(((IF($S$5&lt;&gt;0,$S$5^2,IF($S$6&lt;&gt;0,$S$6^2,IF($S$7&lt;&gt;0,$S$7^2))))*$U$5)/(18*$S$15))*('IN-OUT'!$F$14^(-1)))*AS356</f>
        <v>9.3625896763737683E-4</v>
      </c>
      <c r="AP356" s="254">
        <f t="shared" si="223"/>
        <v>9.3625896763737683E-4</v>
      </c>
      <c r="AQ356" s="254">
        <f t="shared" si="239"/>
        <v>9.3625896763737684E-2</v>
      </c>
      <c r="AR356" s="254">
        <f t="shared" si="255"/>
        <v>8.066666666666669E-4</v>
      </c>
      <c r="AS356" s="253">
        <f t="shared" si="224"/>
        <v>9.2987454350932015E-4</v>
      </c>
      <c r="AT356" s="253">
        <f t="shared" si="256"/>
        <v>1.9333333333333339E-4</v>
      </c>
      <c r="AU356" s="255">
        <f t="shared" si="240"/>
        <v>1.9333333333333338E-2</v>
      </c>
      <c r="AW356" s="258">
        <f>(((IF($S$5&lt;&gt;0,$S$5,IF($S$6&lt;&gt;0,$S$6,IF($S$7&lt;&gt;0,$S$7,0))))/(12*$S$19))+(((3*$S$15)/(2*(IF($S$5&lt;&gt;0,$S$5,IF($S$6&lt;&gt;0,$S$6,IF($S$7&lt;&gt;0,$S$7,0))))*$U$5*$S$19))*'IN-OUT'!$F$14))*'Burland damage classification'!BA356</f>
        <v>1.5843472106089006E-2</v>
      </c>
      <c r="AX356" s="353">
        <f>(1+(((IF($S$5&lt;&gt;0,$S$5^2,IF($S$6&lt;&gt;0,$S$6^2,IF($S$7&lt;&gt;0,$S$7^2))))*$U$5)/(18*$S$15))*('IN-OUT'!$F$14^(-1)))*BB356</f>
        <v>1.9444072576573761E-3</v>
      </c>
      <c r="AY356" s="254">
        <f t="shared" si="225"/>
        <v>1.9444072576573761E-3</v>
      </c>
      <c r="AZ356" s="254">
        <f t="shared" si="241"/>
        <v>0.19444072576573762</v>
      </c>
      <c r="BA356" s="254">
        <f t="shared" si="257"/>
        <v>1.8066666666666656E-3</v>
      </c>
      <c r="BB356" s="270">
        <f t="shared" si="226"/>
        <v>1.9311481904124637E-3</v>
      </c>
      <c r="BC356" s="253">
        <f t="shared" si="258"/>
        <v>1.9333333333333339E-4</v>
      </c>
      <c r="BD356" s="255">
        <f t="shared" si="242"/>
        <v>1.9333333333333338E-2</v>
      </c>
      <c r="BF356" s="351" t="e">
        <f>((((IF($T$5=0,$T$6,$T$5)))/(12*$T$19))+(((3*$T$15)/(2*IF($T$5=0,$T$6,$T$5)*$U$5*$T$19))*'IN-OUT'!$F$14))*'Burland damage classification'!BJ356</f>
        <v>#DIV/0!</v>
      </c>
      <c r="BG356" s="352">
        <f>(1+(((IF($T$5=0,$T$6^2,$T$5^2))*$U$5)/(18*$T$15))*('IN-OUT'!$F$14^(-1)))*BK356</f>
        <v>2.5690465157330255E-4</v>
      </c>
      <c r="BH356" s="262" t="e">
        <f t="shared" si="227"/>
        <v>#DIV/0!</v>
      </c>
      <c r="BI356" s="262" t="e">
        <f t="shared" si="243"/>
        <v>#DIV/0!</v>
      </c>
      <c r="BJ356" s="262">
        <f t="shared" si="259"/>
        <v>1.400000000000001E-4</v>
      </c>
      <c r="BK356" s="270">
        <f t="shared" si="228"/>
        <v>2.5690465157330255E-4</v>
      </c>
      <c r="BL356" s="270">
        <f t="shared" si="260"/>
        <v>1.9333333333333339E-4</v>
      </c>
      <c r="BM356" s="271">
        <f t="shared" si="244"/>
        <v>1.9333333333333338E-2</v>
      </c>
      <c r="BO356" s="351" t="e">
        <f>((((IF($T$5=0,$T$6,$T$5)))/(12*$T$19))+(((3*$T$15)/(2*IF($T$5=0,$T$6,$T$5)*$U$5*$T$19))*'IN-OUT'!$F$14))*'Burland damage classification'!BS356</f>
        <v>#DIV/0!</v>
      </c>
      <c r="BP356" s="352">
        <f>(1+(((IF($T$5=0,$T$6^2,$T$5^2))*$U$5)/(18*$T$15))*('IN-OUT'!$F$14^(-1)))*BT356</f>
        <v>4.2700507413066335E-4</v>
      </c>
      <c r="BQ356" s="254" t="e">
        <f t="shared" si="229"/>
        <v>#DIV/0!</v>
      </c>
      <c r="BR356" s="254" t="e">
        <f t="shared" si="245"/>
        <v>#DIV/0!</v>
      </c>
      <c r="BS356" s="254">
        <f t="shared" si="261"/>
        <v>3.0666666666666722E-4</v>
      </c>
      <c r="BT356" s="253">
        <f t="shared" si="230"/>
        <v>4.2700507413066335E-4</v>
      </c>
      <c r="BU356" s="253">
        <f t="shared" si="262"/>
        <v>1.9333333333333339E-4</v>
      </c>
      <c r="BV356" s="255">
        <f t="shared" si="246"/>
        <v>1.9333333333333338E-2</v>
      </c>
      <c r="BX356" s="351" t="e">
        <f>((((IF($T$5=0,$T$6,$T$5)))/(12*$T$19))+(((3*$T$15)/(2*IF($T$5=0,$T$6,$T$5)*$U$5*$T$19))*'IN-OUT'!$F$14))*'Burland damage classification'!CB356</f>
        <v>#DIV/0!</v>
      </c>
      <c r="BY356" s="352">
        <f>(1+(((IF($T$5=0,$T$6^2,$T$5^2))*$U$5)/(18*$T$15))*('IN-OUT'!$F$14^(-1)))*CC356</f>
        <v>9.2987454350932015E-4</v>
      </c>
      <c r="BZ356" s="254" t="e">
        <f t="shared" si="231"/>
        <v>#DIV/0!</v>
      </c>
      <c r="CA356" s="254" t="e">
        <f t="shared" si="247"/>
        <v>#DIV/0!</v>
      </c>
      <c r="CB356" s="254">
        <f t="shared" si="263"/>
        <v>8.066666666666669E-4</v>
      </c>
      <c r="CC356" s="253">
        <f t="shared" si="232"/>
        <v>9.2987454350932015E-4</v>
      </c>
      <c r="CD356" s="253">
        <f t="shared" si="264"/>
        <v>1.9333333333333339E-4</v>
      </c>
      <c r="CE356" s="255">
        <f t="shared" si="248"/>
        <v>1.9333333333333338E-2</v>
      </c>
      <c r="CG356" s="351" t="e">
        <f>((((IF($T$5=0,$T$6,$T$5)))/(12*$T$19))+(((3*$T$15)/(2*IF($T$5=0,$T$6,$T$5)*$U$5*$T$19))*'IN-OUT'!$F$14))*'Burland damage classification'!CK356</f>
        <v>#DIV/0!</v>
      </c>
      <c r="CH356" s="352">
        <f>(1+(((IF($T$5=0,$T$6^2,$T$5^2))*$U$5)/(18*$T$15))*('IN-OUT'!$F$14^(-1)))*CL356</f>
        <v>1.9311481904124637E-3</v>
      </c>
      <c r="CI356" s="254" t="e">
        <f t="shared" si="233"/>
        <v>#DIV/0!</v>
      </c>
      <c r="CJ356" s="254" t="e">
        <f t="shared" si="249"/>
        <v>#DIV/0!</v>
      </c>
      <c r="CK356" s="254">
        <f t="shared" si="265"/>
        <v>1.8066666666666656E-3</v>
      </c>
      <c r="CL356" s="270">
        <f t="shared" si="234"/>
        <v>1.9311481904124637E-3</v>
      </c>
      <c r="CM356" s="253">
        <f t="shared" si="266"/>
        <v>1.9333333333333339E-4</v>
      </c>
      <c r="CN356" s="255">
        <f t="shared" si="250"/>
        <v>1.9333333333333338E-2</v>
      </c>
    </row>
    <row r="357" spans="22:92">
      <c r="V357" s="258">
        <f>(((IF($S$5&lt;&gt;0,$S$5,IF($S$6&lt;&gt;0,$S$6,IF($S$7&lt;&gt;0,$S$7,0))))/(12*$S$19))+(((3*$S$15)/(2*(IF($S$5&lt;&gt;0,$S$5,IF($S$6&lt;&gt;0,$S$6,IF($S$7&lt;&gt;0,$S$7,0))))*$U$5*$S$19))*'IN-OUT'!$F$14))*'Burland damage classification'!Z357</f>
        <v>1.1692599340287102E-3</v>
      </c>
      <c r="W357" s="352">
        <f>(1+(((IF($S$5&lt;&gt;0,$S$5^2,IF($S$6&lt;&gt;0,$S$6^2,IF($S$7&lt;&gt;0,$S$7^2))))*$U$5)/(18*$S$15))*('IN-OUT'!$F$14^(-1)))*AA357</f>
        <v>2.5560207433814871E-4</v>
      </c>
      <c r="X357" s="262">
        <f t="shared" si="219"/>
        <v>2.5560207433814871E-4</v>
      </c>
      <c r="Y357" s="262">
        <f t="shared" si="235"/>
        <v>2.5560207433814871E-2</v>
      </c>
      <c r="Z357" s="262">
        <f t="shared" si="251"/>
        <v>1.3333333333333342E-4</v>
      </c>
      <c r="AA357" s="270">
        <f t="shared" si="220"/>
        <v>2.5385910352879691E-4</v>
      </c>
      <c r="AB357" s="270">
        <f t="shared" si="252"/>
        <v>2.0000000000000006E-4</v>
      </c>
      <c r="AC357" s="271">
        <f t="shared" si="236"/>
        <v>2.0000000000000007E-2</v>
      </c>
      <c r="AE357" s="258">
        <f>(((IF($S$5&lt;&gt;0,$S$5,IF($S$6&lt;&gt;0,$S$6,IF($S$7&lt;&gt;0,$S$7,0))))/(12*$S$19))+(((3*$S$15)/(2*(IF($S$5&lt;&gt;0,$S$5,IF($S$6&lt;&gt;0,$S$6,IF($S$7&lt;&gt;0,$S$7,0))))*$U$5*$S$19))*'IN-OUT'!$F$14))*'Burland damage classification'!AI357</f>
        <v>2.6308348515646017E-3</v>
      </c>
      <c r="AF357" s="353">
        <f>(1+(((IF($S$5&lt;&gt;0,$S$5^2,IF($S$6&lt;&gt;0,$S$6^2,IF($S$7&lt;&gt;0,$S$7^2))))*$U$5)/(18*$S$15))*('IN-OUT'!$F$14^(-1)))*AJ357</f>
        <v>4.2717702269680634E-4</v>
      </c>
      <c r="AG357" s="254">
        <f t="shared" si="221"/>
        <v>4.2717702269680634E-4</v>
      </c>
      <c r="AH357" s="254">
        <f t="shared" si="237"/>
        <v>4.2717702269680635E-2</v>
      </c>
      <c r="AI357" s="254">
        <f t="shared" si="253"/>
        <v>3.0000000000000057E-4</v>
      </c>
      <c r="AJ357" s="253">
        <f t="shared" si="222"/>
        <v>4.242640687119285E-4</v>
      </c>
      <c r="AK357" s="253">
        <f t="shared" si="254"/>
        <v>2.0000000000000006E-4</v>
      </c>
      <c r="AL357" s="255">
        <f t="shared" si="238"/>
        <v>2.0000000000000007E-2</v>
      </c>
      <c r="AN357" s="258">
        <f>(((IF($S$5&lt;&gt;0,$S$5,IF($S$6&lt;&gt;0,$S$6,IF($S$7&lt;&gt;0,$S$7,0))))/(12*$S$19))+(((3*$S$15)/(2*(IF($S$5&lt;&gt;0,$S$5,IF($S$6&lt;&gt;0,$S$6,IF($S$7&lt;&gt;0,$S$7,0))))*$U$5*$S$19))*'IN-OUT'!$F$14))*'Burland damage classification'!AR357</f>
        <v>7.0155596041722593E-3</v>
      </c>
      <c r="AO357" s="353">
        <f>(1+(((IF($S$5&lt;&gt;0,$S$5^2,IF($S$6&lt;&gt;0,$S$6^2,IF($S$7&lt;&gt;0,$S$7^2))))*$U$5)/(18*$S$15))*('IN-OUT'!$F$14^(-1)))*AS357</f>
        <v>9.3372902177622265E-4</v>
      </c>
      <c r="AP357" s="254">
        <f t="shared" si="223"/>
        <v>9.3372902177622265E-4</v>
      </c>
      <c r="AQ357" s="254">
        <f t="shared" si="239"/>
        <v>9.3372902177622258E-2</v>
      </c>
      <c r="AR357" s="254">
        <f t="shared" si="255"/>
        <v>8.0000000000000026E-4</v>
      </c>
      <c r="AS357" s="253">
        <f t="shared" si="224"/>
        <v>9.2736184954957037E-4</v>
      </c>
      <c r="AT357" s="253">
        <f t="shared" si="256"/>
        <v>2.0000000000000006E-4</v>
      </c>
      <c r="AU357" s="255">
        <f t="shared" si="240"/>
        <v>2.0000000000000007E-2</v>
      </c>
      <c r="AW357" s="258">
        <f>(((IF($S$5&lt;&gt;0,$S$5,IF($S$6&lt;&gt;0,$S$6,IF($S$7&lt;&gt;0,$S$7,0))))/(12*$S$19))+(((3*$S$15)/(2*(IF($S$5&lt;&gt;0,$S$5,IF($S$6&lt;&gt;0,$S$6,IF($S$7&lt;&gt;0,$S$7,0))))*$U$5*$S$19))*'IN-OUT'!$F$14))*'Burland damage classification'!BA357</f>
        <v>1.5785009109387571E-2</v>
      </c>
      <c r="AX357" s="353">
        <f>(1+(((IF($S$5&lt;&gt;0,$S$5^2,IF($S$6&lt;&gt;0,$S$6^2,IF($S$7&lt;&gt;0,$S$7^2))))*$U$5)/(18*$S$15))*('IN-OUT'!$F$14^(-1)))*BB357</f>
        <v>1.941972617438832E-3</v>
      </c>
      <c r="AY357" s="254">
        <f t="shared" si="225"/>
        <v>1.941972617438832E-3</v>
      </c>
      <c r="AZ357" s="254">
        <f t="shared" si="241"/>
        <v>0.19419726174388319</v>
      </c>
      <c r="BA357" s="254">
        <f t="shared" si="257"/>
        <v>1.7999999999999989E-3</v>
      </c>
      <c r="BB357" s="270">
        <f t="shared" si="226"/>
        <v>1.928730152198591E-3</v>
      </c>
      <c r="BC357" s="253">
        <f t="shared" si="258"/>
        <v>2.0000000000000006E-4</v>
      </c>
      <c r="BD357" s="255">
        <f t="shared" si="242"/>
        <v>2.0000000000000007E-2</v>
      </c>
      <c r="BF357" s="351" t="e">
        <f>((((IF($T$5=0,$T$6,$T$5)))/(12*$T$19))+(((3*$T$15)/(2*IF($T$5=0,$T$6,$T$5)*$U$5*$T$19))*'IN-OUT'!$F$14))*'Burland damage classification'!BJ357</f>
        <v>#DIV/0!</v>
      </c>
      <c r="BG357" s="352">
        <f>(1+(((IF($T$5=0,$T$6^2,$T$5^2))*$U$5)/(18*$T$15))*('IN-OUT'!$F$14^(-1)))*BK357</f>
        <v>2.5385910352879691E-4</v>
      </c>
      <c r="BH357" s="262" t="e">
        <f t="shared" si="227"/>
        <v>#DIV/0!</v>
      </c>
      <c r="BI357" s="262" t="e">
        <f t="shared" si="243"/>
        <v>#DIV/0!</v>
      </c>
      <c r="BJ357" s="262">
        <f t="shared" si="259"/>
        <v>1.3333333333333342E-4</v>
      </c>
      <c r="BK357" s="270">
        <f t="shared" si="228"/>
        <v>2.5385910352879691E-4</v>
      </c>
      <c r="BL357" s="270">
        <f t="shared" si="260"/>
        <v>2.0000000000000006E-4</v>
      </c>
      <c r="BM357" s="271">
        <f t="shared" si="244"/>
        <v>2.0000000000000007E-2</v>
      </c>
      <c r="BO357" s="351" t="e">
        <f>((((IF($T$5=0,$T$6,$T$5)))/(12*$T$19))+(((3*$T$15)/(2*IF($T$5=0,$T$6,$T$5)*$U$5*$T$19))*'IN-OUT'!$F$14))*'Burland damage classification'!BS357</f>
        <v>#DIV/0!</v>
      </c>
      <c r="BP357" s="352">
        <f>(1+(((IF($T$5=0,$T$6^2,$T$5^2))*$U$5)/(18*$T$15))*('IN-OUT'!$F$14^(-1)))*BT357</f>
        <v>4.242640687119285E-4</v>
      </c>
      <c r="BQ357" s="254" t="e">
        <f t="shared" si="229"/>
        <v>#DIV/0!</v>
      </c>
      <c r="BR357" s="254" t="e">
        <f t="shared" si="245"/>
        <v>#DIV/0!</v>
      </c>
      <c r="BS357" s="254">
        <f t="shared" si="261"/>
        <v>3.0000000000000057E-4</v>
      </c>
      <c r="BT357" s="253">
        <f t="shared" si="230"/>
        <v>4.242640687119285E-4</v>
      </c>
      <c r="BU357" s="253">
        <f t="shared" si="262"/>
        <v>2.0000000000000006E-4</v>
      </c>
      <c r="BV357" s="255">
        <f t="shared" si="246"/>
        <v>2.0000000000000007E-2</v>
      </c>
      <c r="BX357" s="351" t="e">
        <f>((((IF($T$5=0,$T$6,$T$5)))/(12*$T$19))+(((3*$T$15)/(2*IF($T$5=0,$T$6,$T$5)*$U$5*$T$19))*'IN-OUT'!$F$14))*'Burland damage classification'!CB357</f>
        <v>#DIV/0!</v>
      </c>
      <c r="BY357" s="352">
        <f>(1+(((IF($T$5=0,$T$6^2,$T$5^2))*$U$5)/(18*$T$15))*('IN-OUT'!$F$14^(-1)))*CC357</f>
        <v>9.2736184954957037E-4</v>
      </c>
      <c r="BZ357" s="254" t="e">
        <f t="shared" si="231"/>
        <v>#DIV/0!</v>
      </c>
      <c r="CA357" s="254" t="e">
        <f t="shared" si="247"/>
        <v>#DIV/0!</v>
      </c>
      <c r="CB357" s="254">
        <f t="shared" si="263"/>
        <v>8.0000000000000026E-4</v>
      </c>
      <c r="CC357" s="253">
        <f t="shared" si="232"/>
        <v>9.2736184954957037E-4</v>
      </c>
      <c r="CD357" s="253">
        <f t="shared" si="264"/>
        <v>2.0000000000000006E-4</v>
      </c>
      <c r="CE357" s="255">
        <f t="shared" si="248"/>
        <v>2.0000000000000007E-2</v>
      </c>
      <c r="CG357" s="351" t="e">
        <f>((((IF($T$5=0,$T$6,$T$5)))/(12*$T$19))+(((3*$T$15)/(2*IF($T$5=0,$T$6,$T$5)*$U$5*$T$19))*'IN-OUT'!$F$14))*'Burland damage classification'!CK357</f>
        <v>#DIV/0!</v>
      </c>
      <c r="CH357" s="352">
        <f>(1+(((IF($T$5=0,$T$6^2,$T$5^2))*$U$5)/(18*$T$15))*('IN-OUT'!$F$14^(-1)))*CL357</f>
        <v>1.928730152198591E-3</v>
      </c>
      <c r="CI357" s="254" t="e">
        <f t="shared" si="233"/>
        <v>#DIV/0!</v>
      </c>
      <c r="CJ357" s="254" t="e">
        <f t="shared" si="249"/>
        <v>#DIV/0!</v>
      </c>
      <c r="CK357" s="254">
        <f t="shared" si="265"/>
        <v>1.7999999999999989E-3</v>
      </c>
      <c r="CL357" s="270">
        <f t="shared" si="234"/>
        <v>1.928730152198591E-3</v>
      </c>
      <c r="CM357" s="253">
        <f t="shared" si="266"/>
        <v>2.0000000000000006E-4</v>
      </c>
      <c r="CN357" s="255">
        <f t="shared" si="250"/>
        <v>2.0000000000000007E-2</v>
      </c>
    </row>
    <row r="358" spans="22:92">
      <c r="V358" s="258">
        <f>(((IF($S$5&lt;&gt;0,$S$5,IF($S$6&lt;&gt;0,$S$6,IF($S$7&lt;&gt;0,$S$7,0))))/(12*$S$19))+(((3*$S$15)/(2*(IF($S$5&lt;&gt;0,$S$5,IF($S$6&lt;&gt;0,$S$6,IF($S$7&lt;&gt;0,$S$7,0))))*$U$5*$S$19))*'IN-OUT'!$F$14))*'Burland damage classification'!Z358</f>
        <v>1.1107969373272749E-3</v>
      </c>
      <c r="W358" s="352">
        <f>(1+(((IF($S$5&lt;&gt;0,$S$5^2,IF($S$6&lt;&gt;0,$S$6^2,IF($S$7&lt;&gt;0,$S$7^2))))*$U$5)/(18*$S$15))*('IN-OUT'!$F$14^(-1)))*AA358</f>
        <v>2.5249837810942369E-4</v>
      </c>
      <c r="X358" s="262">
        <f t="shared" si="219"/>
        <v>2.5249837810942369E-4</v>
      </c>
      <c r="Y358" s="262">
        <f t="shared" si="235"/>
        <v>2.5249837810942369E-2</v>
      </c>
      <c r="Z358" s="262">
        <f t="shared" si="251"/>
        <v>1.2666666666666675E-4</v>
      </c>
      <c r="AA358" s="270">
        <f t="shared" si="220"/>
        <v>2.5077657165072033E-4</v>
      </c>
      <c r="AB358" s="270">
        <f t="shared" si="252"/>
        <v>2.0666666666666674E-4</v>
      </c>
      <c r="AC358" s="271">
        <f t="shared" si="236"/>
        <v>2.0666666666666673E-2</v>
      </c>
      <c r="AE358" s="258">
        <f>(((IF($S$5&lt;&gt;0,$S$5,IF($S$6&lt;&gt;0,$S$6,IF($S$7&lt;&gt;0,$S$7,0))))/(12*$S$19))+(((3*$S$15)/(2*(IF($S$5&lt;&gt;0,$S$5,IF($S$6&lt;&gt;0,$S$6,IF($S$7&lt;&gt;0,$S$7,0))))*$U$5*$S$19))*'IN-OUT'!$F$14))*'Burland damage classification'!AI358</f>
        <v>2.5723718548631663E-3</v>
      </c>
      <c r="AF358" s="353">
        <f>(1+(((IF($S$5&lt;&gt;0,$S$5^2,IF($S$6&lt;&gt;0,$S$6^2,IF($S$7&lt;&gt;0,$S$7^2))))*$U$5)/(18*$S$15))*('IN-OUT'!$F$14^(-1)))*AJ358</f>
        <v>4.243992513341597E-4</v>
      </c>
      <c r="AG358" s="254">
        <f t="shared" si="221"/>
        <v>4.243992513341597E-4</v>
      </c>
      <c r="AH358" s="254">
        <f t="shared" si="237"/>
        <v>4.2439925133415969E-2</v>
      </c>
      <c r="AI358" s="254">
        <f t="shared" si="253"/>
        <v>2.9333333333333392E-4</v>
      </c>
      <c r="AJ358" s="253">
        <f t="shared" si="222"/>
        <v>4.215052391924288E-4</v>
      </c>
      <c r="AK358" s="253">
        <f t="shared" si="254"/>
        <v>2.0666666666666674E-4</v>
      </c>
      <c r="AL358" s="255">
        <f t="shared" si="238"/>
        <v>2.0666666666666673E-2</v>
      </c>
      <c r="AN358" s="258">
        <f>(((IF($S$5&lt;&gt;0,$S$5,IF($S$6&lt;&gt;0,$S$6,IF($S$7&lt;&gt;0,$S$7,0))))/(12*$S$19))+(((3*$S$15)/(2*(IF($S$5&lt;&gt;0,$S$5,IF($S$6&lt;&gt;0,$S$6,IF($S$7&lt;&gt;0,$S$7,0))))*$U$5*$S$19))*'IN-OUT'!$F$14))*'Burland damage classification'!AR358</f>
        <v>6.9570966074708248E-3</v>
      </c>
      <c r="AO358" s="353">
        <f>(1+(((IF($S$5&lt;&gt;0,$S$5^2,IF($S$6&lt;&gt;0,$S$6^2,IF($S$7&lt;&gt;0,$S$7^2))))*$U$5)/(18*$S$15))*('IN-OUT'!$F$14^(-1)))*AS358</f>
        <v>9.3119220235832992E-4</v>
      </c>
      <c r="AP358" s="254">
        <f t="shared" si="223"/>
        <v>9.3119220235832992E-4</v>
      </c>
      <c r="AQ358" s="254">
        <f t="shared" si="239"/>
        <v>9.3119220235832995E-2</v>
      </c>
      <c r="AR358" s="254">
        <f t="shared" si="255"/>
        <v>7.9333333333333361E-4</v>
      </c>
      <c r="AS358" s="253">
        <f t="shared" si="224"/>
        <v>9.2484232890441026E-4</v>
      </c>
      <c r="AT358" s="253">
        <f t="shared" si="256"/>
        <v>2.0666666666666674E-4</v>
      </c>
      <c r="AU358" s="255">
        <f t="shared" si="240"/>
        <v>2.0666666666666673E-2</v>
      </c>
      <c r="AW358" s="258">
        <f>(((IF($S$5&lt;&gt;0,$S$5,IF($S$6&lt;&gt;0,$S$6,IF($S$7&lt;&gt;0,$S$7,0))))/(12*$S$19))+(((3*$S$15)/(2*(IF($S$5&lt;&gt;0,$S$5,IF($S$6&lt;&gt;0,$S$6,IF($S$7&lt;&gt;0,$S$7,0))))*$U$5*$S$19))*'IN-OUT'!$F$14))*'Burland damage classification'!BA358</f>
        <v>1.5726546112686132E-2</v>
      </c>
      <c r="AX358" s="353">
        <f>(1+(((IF($S$5&lt;&gt;0,$S$5^2,IF($S$6&lt;&gt;0,$S$6^2,IF($S$7&lt;&gt;0,$S$7^2))))*$U$5)/(18*$S$15))*('IN-OUT'!$F$14^(-1)))*BB358</f>
        <v>1.9395349210915946E-3</v>
      </c>
      <c r="AY358" s="254">
        <f t="shared" si="225"/>
        <v>1.9395349210915946E-3</v>
      </c>
      <c r="AZ358" s="254">
        <f t="shared" si="241"/>
        <v>0.19395349210915946</v>
      </c>
      <c r="BA358" s="254">
        <f t="shared" si="257"/>
        <v>1.7933333333333321E-3</v>
      </c>
      <c r="BB358" s="270">
        <f t="shared" si="226"/>
        <v>1.9263090786960089E-3</v>
      </c>
      <c r="BC358" s="253">
        <f t="shared" si="258"/>
        <v>2.0666666666666674E-4</v>
      </c>
      <c r="BD358" s="255">
        <f t="shared" si="242"/>
        <v>2.0666666666666673E-2</v>
      </c>
      <c r="BF358" s="351" t="e">
        <f>((((IF($T$5=0,$T$6,$T$5)))/(12*$T$19))+(((3*$T$15)/(2*IF($T$5=0,$T$6,$T$5)*$U$5*$T$19))*'IN-OUT'!$F$14))*'Burland damage classification'!BJ358</f>
        <v>#DIV/0!</v>
      </c>
      <c r="BG358" s="352">
        <f>(1+(((IF($T$5=0,$T$6^2,$T$5^2))*$U$5)/(18*$T$15))*('IN-OUT'!$F$14^(-1)))*BK358</f>
        <v>2.5077657165072033E-4</v>
      </c>
      <c r="BH358" s="262" t="e">
        <f t="shared" si="227"/>
        <v>#DIV/0!</v>
      </c>
      <c r="BI358" s="262" t="e">
        <f t="shared" si="243"/>
        <v>#DIV/0!</v>
      </c>
      <c r="BJ358" s="262">
        <f t="shared" si="259"/>
        <v>1.2666666666666675E-4</v>
      </c>
      <c r="BK358" s="270">
        <f t="shared" si="228"/>
        <v>2.5077657165072033E-4</v>
      </c>
      <c r="BL358" s="270">
        <f t="shared" si="260"/>
        <v>2.0666666666666674E-4</v>
      </c>
      <c r="BM358" s="271">
        <f t="shared" si="244"/>
        <v>2.0666666666666673E-2</v>
      </c>
      <c r="BO358" s="351" t="e">
        <f>((((IF($T$5=0,$T$6,$T$5)))/(12*$T$19))+(((3*$T$15)/(2*IF($T$5=0,$T$6,$T$5)*$U$5*$T$19))*'IN-OUT'!$F$14))*'Burland damage classification'!BS358</f>
        <v>#DIV/0!</v>
      </c>
      <c r="BP358" s="352">
        <f>(1+(((IF($T$5=0,$T$6^2,$T$5^2))*$U$5)/(18*$T$15))*('IN-OUT'!$F$14^(-1)))*BT358</f>
        <v>4.215052391924288E-4</v>
      </c>
      <c r="BQ358" s="254" t="e">
        <f t="shared" si="229"/>
        <v>#DIV/0!</v>
      </c>
      <c r="BR358" s="254" t="e">
        <f t="shared" si="245"/>
        <v>#DIV/0!</v>
      </c>
      <c r="BS358" s="254">
        <f t="shared" si="261"/>
        <v>2.9333333333333392E-4</v>
      </c>
      <c r="BT358" s="253">
        <f t="shared" si="230"/>
        <v>4.215052391924288E-4</v>
      </c>
      <c r="BU358" s="253">
        <f t="shared" si="262"/>
        <v>2.0666666666666674E-4</v>
      </c>
      <c r="BV358" s="255">
        <f t="shared" si="246"/>
        <v>2.0666666666666673E-2</v>
      </c>
      <c r="BX358" s="351" t="e">
        <f>((((IF($T$5=0,$T$6,$T$5)))/(12*$T$19))+(((3*$T$15)/(2*IF($T$5=0,$T$6,$T$5)*$U$5*$T$19))*'IN-OUT'!$F$14))*'Burland damage classification'!CB358</f>
        <v>#DIV/0!</v>
      </c>
      <c r="BY358" s="352">
        <f>(1+(((IF($T$5=0,$T$6^2,$T$5^2))*$U$5)/(18*$T$15))*('IN-OUT'!$F$14^(-1)))*CC358</f>
        <v>9.2484232890441026E-4</v>
      </c>
      <c r="BZ358" s="254" t="e">
        <f t="shared" si="231"/>
        <v>#DIV/0!</v>
      </c>
      <c r="CA358" s="254" t="e">
        <f t="shared" si="247"/>
        <v>#DIV/0!</v>
      </c>
      <c r="CB358" s="254">
        <f t="shared" si="263"/>
        <v>7.9333333333333361E-4</v>
      </c>
      <c r="CC358" s="253">
        <f t="shared" si="232"/>
        <v>9.2484232890441026E-4</v>
      </c>
      <c r="CD358" s="253">
        <f t="shared" si="264"/>
        <v>2.0666666666666674E-4</v>
      </c>
      <c r="CE358" s="255">
        <f t="shared" si="248"/>
        <v>2.0666666666666673E-2</v>
      </c>
      <c r="CG358" s="351" t="e">
        <f>((((IF($T$5=0,$T$6,$T$5)))/(12*$T$19))+(((3*$T$15)/(2*IF($T$5=0,$T$6,$T$5)*$U$5*$T$19))*'IN-OUT'!$F$14))*'Burland damage classification'!CK358</f>
        <v>#DIV/0!</v>
      </c>
      <c r="CH358" s="352">
        <f>(1+(((IF($T$5=0,$T$6^2,$T$5^2))*$U$5)/(18*$T$15))*('IN-OUT'!$F$14^(-1)))*CL358</f>
        <v>1.9263090786960089E-3</v>
      </c>
      <c r="CI358" s="254" t="e">
        <f t="shared" si="233"/>
        <v>#DIV/0!</v>
      </c>
      <c r="CJ358" s="254" t="e">
        <f t="shared" si="249"/>
        <v>#DIV/0!</v>
      </c>
      <c r="CK358" s="254">
        <f t="shared" si="265"/>
        <v>1.7933333333333321E-3</v>
      </c>
      <c r="CL358" s="270">
        <f t="shared" si="234"/>
        <v>1.9263090786960089E-3</v>
      </c>
      <c r="CM358" s="253">
        <f t="shared" si="266"/>
        <v>2.0666666666666674E-4</v>
      </c>
      <c r="CN358" s="255">
        <f t="shared" si="250"/>
        <v>2.0666666666666673E-2</v>
      </c>
    </row>
    <row r="359" spans="22:92">
      <c r="V359" s="258">
        <f>(((IF($S$5&lt;&gt;0,$S$5,IF($S$6&lt;&gt;0,$S$6,IF($S$7&lt;&gt;0,$S$7,0))))/(12*$S$19))+(((3*$S$15)/(2*(IF($S$5&lt;&gt;0,$S$5,IF($S$6&lt;&gt;0,$S$6,IF($S$7&lt;&gt;0,$S$7,0))))*$U$5*$S$19))*'IN-OUT'!$F$14))*'Burland damage classification'!Z359</f>
        <v>1.0523339406258393E-3</v>
      </c>
      <c r="W359" s="352">
        <f>(1+(((IF($S$5&lt;&gt;0,$S$5^2,IF($S$6&lt;&gt;0,$S$6^2,IF($S$7&lt;&gt;0,$S$7^2))))*$U$5)/(18*$S$15))*('IN-OUT'!$F$14^(-1)))*AA359</f>
        <v>2.493560536458149E-4</v>
      </c>
      <c r="X359" s="262">
        <f t="shared" si="219"/>
        <v>2.493560536458149E-4</v>
      </c>
      <c r="Y359" s="262">
        <f t="shared" si="235"/>
        <v>2.493560536458149E-2</v>
      </c>
      <c r="Z359" s="262">
        <f t="shared" si="251"/>
        <v>1.2000000000000008E-4</v>
      </c>
      <c r="AA359" s="270">
        <f t="shared" ref="AA359:AA377" si="267">($P$25^2-(2*0.35*$P$25*AB359))^0.5</f>
        <v>2.4765567494675615E-4</v>
      </c>
      <c r="AB359" s="270">
        <f t="shared" si="252"/>
        <v>2.1333333333333341E-4</v>
      </c>
      <c r="AC359" s="271">
        <f t="shared" si="236"/>
        <v>2.1333333333333343E-2</v>
      </c>
      <c r="AE359" s="258">
        <f>(((IF($S$5&lt;&gt;0,$S$5,IF($S$6&lt;&gt;0,$S$6,IF($S$7&lt;&gt;0,$S$7,0))))/(12*$S$19))+(((3*$S$15)/(2*(IF($S$5&lt;&gt;0,$S$5,IF($S$6&lt;&gt;0,$S$6,IF($S$7&lt;&gt;0,$S$7,0))))*$U$5*$S$19))*'IN-OUT'!$F$14))*'Burland damage classification'!AI359</f>
        <v>2.5139088581617309E-3</v>
      </c>
      <c r="AF359" s="353">
        <f>(1+(((IF($S$5&lt;&gt;0,$S$5^2,IF($S$6&lt;&gt;0,$S$6^2,IF($S$7&lt;&gt;0,$S$7^2))))*$U$5)/(18*$S$15))*('IN-OUT'!$F$14^(-1)))*AJ359</f>
        <v>4.2160317876634038E-4</v>
      </c>
      <c r="AG359" s="254">
        <f t="shared" si="221"/>
        <v>4.2160317876634038E-4</v>
      </c>
      <c r="AH359" s="254">
        <f t="shared" si="237"/>
        <v>4.2160317876634039E-2</v>
      </c>
      <c r="AI359" s="254">
        <f t="shared" si="253"/>
        <v>2.8666666666666727E-4</v>
      </c>
      <c r="AJ359" s="253">
        <f t="shared" ref="AJ359:AJ390" si="268">($P$26^2-(2*0.35*$P$26*AK359))^0.5</f>
        <v>4.1872823326512542E-4</v>
      </c>
      <c r="AK359" s="253">
        <f t="shared" si="254"/>
        <v>2.1333333333333341E-4</v>
      </c>
      <c r="AL359" s="255">
        <f t="shared" si="238"/>
        <v>2.1333333333333343E-2</v>
      </c>
      <c r="AN359" s="258">
        <f>(((IF($S$5&lt;&gt;0,$S$5,IF($S$6&lt;&gt;0,$S$6,IF($S$7&lt;&gt;0,$S$7,0))))/(12*$S$19))+(((3*$S$15)/(2*(IF($S$5&lt;&gt;0,$S$5,IF($S$6&lt;&gt;0,$S$6,IF($S$7&lt;&gt;0,$S$7,0))))*$U$5*$S$19))*'IN-OUT'!$F$14))*'Burland damage classification'!AR359</f>
        <v>6.8986336107693894E-3</v>
      </c>
      <c r="AO359" s="353">
        <f>(1+(((IF($S$5&lt;&gt;0,$S$5^2,IF($S$6&lt;&gt;0,$S$6^2,IF($S$7&lt;&gt;0,$S$7^2))))*$U$5)/(18*$S$15))*('IN-OUT'!$F$14^(-1)))*AS359</f>
        <v>9.2864845305353936E-4</v>
      </c>
      <c r="AP359" s="254">
        <f t="shared" si="223"/>
        <v>9.2864845305353936E-4</v>
      </c>
      <c r="AQ359" s="254">
        <f t="shared" si="239"/>
        <v>9.2864845305353938E-2</v>
      </c>
      <c r="AR359" s="254">
        <f t="shared" si="255"/>
        <v>7.8666666666666696E-4</v>
      </c>
      <c r="AS359" s="253">
        <f t="shared" ref="AS359:AS390" si="269">($P$27^2-(2*0.35*$P$27*AT359))^0.5</f>
        <v>9.2231592562780058E-4</v>
      </c>
      <c r="AT359" s="253">
        <f t="shared" si="256"/>
        <v>2.1333333333333341E-4</v>
      </c>
      <c r="AU359" s="255">
        <f t="shared" si="240"/>
        <v>2.1333333333333343E-2</v>
      </c>
      <c r="AW359" s="258">
        <f>(((IF($S$5&lt;&gt;0,$S$5,IF($S$6&lt;&gt;0,$S$6,IF($S$7&lt;&gt;0,$S$7,0))))/(12*$S$19))+(((3*$S$15)/(2*(IF($S$5&lt;&gt;0,$S$5,IF($S$6&lt;&gt;0,$S$6,IF($S$7&lt;&gt;0,$S$7,0))))*$U$5*$S$19))*'IN-OUT'!$F$14))*'Burland damage classification'!BA359</f>
        <v>1.5668083115984697E-2</v>
      </c>
      <c r="AX359" s="353">
        <f>(1+(((IF($S$5&lt;&gt;0,$S$5^2,IF($S$6&lt;&gt;0,$S$6^2,IF($S$7&lt;&gt;0,$S$7^2))))*$U$5)/(18*$S$15))*('IN-OUT'!$F$14^(-1)))*BB359</f>
        <v>1.937094157077897E-3</v>
      </c>
      <c r="AY359" s="254">
        <f t="shared" si="225"/>
        <v>1.937094157077897E-3</v>
      </c>
      <c r="AZ359" s="254">
        <f t="shared" si="241"/>
        <v>0.19370941570778971</v>
      </c>
      <c r="BA359" s="254">
        <f t="shared" si="257"/>
        <v>1.7866666666666654E-3</v>
      </c>
      <c r="BB359" s="270">
        <f t="shared" si="226"/>
        <v>1.9238849584456274E-3</v>
      </c>
      <c r="BC359" s="253">
        <f t="shared" si="258"/>
        <v>2.1333333333333341E-4</v>
      </c>
      <c r="BD359" s="255">
        <f t="shared" si="242"/>
        <v>2.1333333333333343E-2</v>
      </c>
      <c r="BF359" s="351" t="e">
        <f>((((IF($T$5=0,$T$6,$T$5)))/(12*$T$19))+(((3*$T$15)/(2*IF($T$5=0,$T$6,$T$5)*$U$5*$T$19))*'IN-OUT'!$F$14))*'Burland damage classification'!BJ359</f>
        <v>#DIV/0!</v>
      </c>
      <c r="BG359" s="352">
        <f>(1+(((IF($T$5=0,$T$6^2,$T$5^2))*$U$5)/(18*$T$15))*('IN-OUT'!$F$14^(-1)))*BK359</f>
        <v>2.4765567494675615E-4</v>
      </c>
      <c r="BH359" s="262" t="e">
        <f t="shared" si="227"/>
        <v>#DIV/0!</v>
      </c>
      <c r="BI359" s="262" t="e">
        <f t="shared" si="243"/>
        <v>#DIV/0!</v>
      </c>
      <c r="BJ359" s="262">
        <f t="shared" si="259"/>
        <v>1.2000000000000008E-4</v>
      </c>
      <c r="BK359" s="270">
        <f t="shared" ref="BK359:BK377" si="270">($P$25^2-(2*0.35*$P$25*BL359))^0.5</f>
        <v>2.4765567494675615E-4</v>
      </c>
      <c r="BL359" s="270">
        <f t="shared" si="260"/>
        <v>2.1333333333333341E-4</v>
      </c>
      <c r="BM359" s="271">
        <f t="shared" si="244"/>
        <v>2.1333333333333343E-2</v>
      </c>
      <c r="BO359" s="351" t="e">
        <f>((((IF($T$5=0,$T$6,$T$5)))/(12*$T$19))+(((3*$T$15)/(2*IF($T$5=0,$T$6,$T$5)*$U$5*$T$19))*'IN-OUT'!$F$14))*'Burland damage classification'!BS359</f>
        <v>#DIV/0!</v>
      </c>
      <c r="BP359" s="352">
        <f>(1+(((IF($T$5=0,$T$6^2,$T$5^2))*$U$5)/(18*$T$15))*('IN-OUT'!$F$14^(-1)))*BT359</f>
        <v>4.1872823326512542E-4</v>
      </c>
      <c r="BQ359" s="254" t="e">
        <f t="shared" si="229"/>
        <v>#DIV/0!</v>
      </c>
      <c r="BR359" s="254" t="e">
        <f t="shared" si="245"/>
        <v>#DIV/0!</v>
      </c>
      <c r="BS359" s="254">
        <f t="shared" si="261"/>
        <v>2.8666666666666727E-4</v>
      </c>
      <c r="BT359" s="253">
        <f t="shared" ref="BT359:BT390" si="271">($P$26^2-(2*0.35*$P$26*BU359))^0.5</f>
        <v>4.1872823326512542E-4</v>
      </c>
      <c r="BU359" s="253">
        <f t="shared" si="262"/>
        <v>2.1333333333333341E-4</v>
      </c>
      <c r="BV359" s="255">
        <f t="shared" si="246"/>
        <v>2.1333333333333343E-2</v>
      </c>
      <c r="BX359" s="351" t="e">
        <f>((((IF($T$5=0,$T$6,$T$5)))/(12*$T$19))+(((3*$T$15)/(2*IF($T$5=0,$T$6,$T$5)*$U$5*$T$19))*'IN-OUT'!$F$14))*'Burland damage classification'!CB359</f>
        <v>#DIV/0!</v>
      </c>
      <c r="BY359" s="352">
        <f>(1+(((IF($T$5=0,$T$6^2,$T$5^2))*$U$5)/(18*$T$15))*('IN-OUT'!$F$14^(-1)))*CC359</f>
        <v>9.2231592562780058E-4</v>
      </c>
      <c r="BZ359" s="254" t="e">
        <f t="shared" si="231"/>
        <v>#DIV/0!</v>
      </c>
      <c r="CA359" s="254" t="e">
        <f t="shared" si="247"/>
        <v>#DIV/0!</v>
      </c>
      <c r="CB359" s="254">
        <f t="shared" si="263"/>
        <v>7.8666666666666696E-4</v>
      </c>
      <c r="CC359" s="253">
        <f t="shared" ref="CC359:CC390" si="272">($P$27^2-(2*0.35*$P$27*CD359))^0.5</f>
        <v>9.2231592562780058E-4</v>
      </c>
      <c r="CD359" s="253">
        <f t="shared" si="264"/>
        <v>2.1333333333333341E-4</v>
      </c>
      <c r="CE359" s="255">
        <f t="shared" si="248"/>
        <v>2.1333333333333343E-2</v>
      </c>
      <c r="CG359" s="351" t="e">
        <f>((((IF($T$5=0,$T$6,$T$5)))/(12*$T$19))+(((3*$T$15)/(2*IF($T$5=0,$T$6,$T$5)*$U$5*$T$19))*'IN-OUT'!$F$14))*'Burland damage classification'!CK359</f>
        <v>#DIV/0!</v>
      </c>
      <c r="CH359" s="352">
        <f>(1+(((IF($T$5=0,$T$6^2,$T$5^2))*$U$5)/(18*$T$15))*('IN-OUT'!$F$14^(-1)))*CL359</f>
        <v>1.9238849584456274E-3</v>
      </c>
      <c r="CI359" s="254" t="e">
        <f t="shared" si="233"/>
        <v>#DIV/0!</v>
      </c>
      <c r="CJ359" s="254" t="e">
        <f t="shared" si="249"/>
        <v>#DIV/0!</v>
      </c>
      <c r="CK359" s="254">
        <f t="shared" si="265"/>
        <v>1.7866666666666654E-3</v>
      </c>
      <c r="CL359" s="270">
        <f t="shared" si="234"/>
        <v>1.9238849584456274E-3</v>
      </c>
      <c r="CM359" s="253">
        <f t="shared" si="266"/>
        <v>2.1333333333333341E-4</v>
      </c>
      <c r="CN359" s="255">
        <f t="shared" si="250"/>
        <v>2.1333333333333343E-2</v>
      </c>
    </row>
    <row r="360" spans="22:92">
      <c r="V360" s="258">
        <f>(((IF($S$5&lt;&gt;0,$S$5,IF($S$6&lt;&gt;0,$S$6,IF($S$7&lt;&gt;0,$S$7,0))))/(12*$S$19))+(((3*$S$15)/(2*(IF($S$5&lt;&gt;0,$S$5,IF($S$6&lt;&gt;0,$S$6,IF($S$7&lt;&gt;0,$S$7,0))))*$U$5*$S$19))*'IN-OUT'!$F$14))*'Burland damage classification'!Z360</f>
        <v>9.9387094392440391E-4</v>
      </c>
      <c r="W360" s="352">
        <f>(1+(((IF($S$5&lt;&gt;0,$S$5^2,IF($S$6&lt;&gt;0,$S$6^2,IF($S$7&lt;&gt;0,$S$7^2))))*$U$5)/(18*$S$15))*('IN-OUT'!$F$14^(-1)))*AA360</f>
        <v>2.461736217220267E-4</v>
      </c>
      <c r="X360" s="262">
        <f t="shared" si="219"/>
        <v>2.461736217220267E-4</v>
      </c>
      <c r="Y360" s="262">
        <f t="shared" si="235"/>
        <v>2.4617362172202669E-2</v>
      </c>
      <c r="Z360" s="262">
        <f t="shared" si="251"/>
        <v>1.1333333333333342E-4</v>
      </c>
      <c r="AA360" s="270">
        <f t="shared" si="267"/>
        <v>2.4449494427856327E-4</v>
      </c>
      <c r="AB360" s="270">
        <f t="shared" si="252"/>
        <v>2.2000000000000009E-4</v>
      </c>
      <c r="AC360" s="271">
        <f t="shared" si="236"/>
        <v>2.2000000000000009E-2</v>
      </c>
      <c r="AE360" s="258">
        <f>(((IF($S$5&lt;&gt;0,$S$5,IF($S$6&lt;&gt;0,$S$6,IF($S$7&lt;&gt;0,$S$7,0))))/(12*$S$19))+(((3*$S$15)/(2*(IF($S$5&lt;&gt;0,$S$5,IF($S$6&lt;&gt;0,$S$6,IF($S$7&lt;&gt;0,$S$7,0))))*$U$5*$S$19))*'IN-OUT'!$F$14))*'Burland damage classification'!AI360</f>
        <v>2.4554458614602956E-3</v>
      </c>
      <c r="AF360" s="353">
        <f>(1+(((IF($S$5&lt;&gt;0,$S$5^2,IF($S$6&lt;&gt;0,$S$6^2,IF($S$7&lt;&gt;0,$S$7^2))))*$U$5)/(18*$S$15))*('IN-OUT'!$F$14^(-1)))*AJ360</f>
        <v>4.1878843842538233E-4</v>
      </c>
      <c r="AG360" s="254">
        <f t="shared" si="221"/>
        <v>4.1878843842538233E-4</v>
      </c>
      <c r="AH360" s="254">
        <f t="shared" si="237"/>
        <v>4.1878843842538233E-2</v>
      </c>
      <c r="AI360" s="254">
        <f t="shared" si="253"/>
        <v>2.8000000000000063E-4</v>
      </c>
      <c r="AJ360" s="253">
        <f t="shared" si="268"/>
        <v>4.1593268686170839E-4</v>
      </c>
      <c r="AK360" s="253">
        <f t="shared" si="254"/>
        <v>2.2000000000000009E-4</v>
      </c>
      <c r="AL360" s="255">
        <f t="shared" si="238"/>
        <v>2.2000000000000009E-2</v>
      </c>
      <c r="AN360" s="258">
        <f>(((IF($S$5&lt;&gt;0,$S$5,IF($S$6&lt;&gt;0,$S$6,IF($S$7&lt;&gt;0,$S$7,0))))/(12*$S$19))+(((3*$S$15)/(2*(IF($S$5&lt;&gt;0,$S$5,IF($S$6&lt;&gt;0,$S$6,IF($S$7&lt;&gt;0,$S$7,0))))*$U$5*$S$19))*'IN-OUT'!$F$14))*'Burland damage classification'!AR360</f>
        <v>6.8401706140679541E-3</v>
      </c>
      <c r="AO360" s="353">
        <f>(1+(((IF($S$5&lt;&gt;0,$S$5^2,IF($S$6&lt;&gt;0,$S$6^2,IF($S$7&lt;&gt;0,$S$7^2))))*$U$5)/(18*$S$15))*('IN-OUT'!$F$14^(-1)))*AS360</f>
        <v>9.260977167580679E-4</v>
      </c>
      <c r="AP360" s="254">
        <f t="shared" si="223"/>
        <v>9.260977167580679E-4</v>
      </c>
      <c r="AQ360" s="254">
        <f t="shared" si="239"/>
        <v>9.2609771675806793E-2</v>
      </c>
      <c r="AR360" s="254">
        <f t="shared" si="255"/>
        <v>7.8000000000000031E-4</v>
      </c>
      <c r="AS360" s="253">
        <f t="shared" si="269"/>
        <v>9.1978258300535348E-4</v>
      </c>
      <c r="AT360" s="253">
        <f t="shared" si="256"/>
        <v>2.2000000000000009E-4</v>
      </c>
      <c r="AU360" s="255">
        <f t="shared" si="240"/>
        <v>2.2000000000000009E-2</v>
      </c>
      <c r="AW360" s="258">
        <f>(((IF($S$5&lt;&gt;0,$S$5,IF($S$6&lt;&gt;0,$S$6,IF($S$7&lt;&gt;0,$S$7,0))))/(12*$S$19))+(((3*$S$15)/(2*(IF($S$5&lt;&gt;0,$S$5,IF($S$6&lt;&gt;0,$S$6,IF($S$7&lt;&gt;0,$S$7,0))))*$U$5*$S$19))*'IN-OUT'!$F$14))*'Burland damage classification'!BA360</f>
        <v>1.560962011928326E-2</v>
      </c>
      <c r="AX360" s="353">
        <f>(1+(((IF($S$5&lt;&gt;0,$S$5^2,IF($S$6&lt;&gt;0,$S$6^2,IF($S$7&lt;&gt;0,$S$7^2))))*$U$5)/(18*$S$15))*('IN-OUT'!$F$14^(-1)))*BB360</f>
        <v>1.9346503137871913E-3</v>
      </c>
      <c r="AY360" s="254">
        <f t="shared" si="225"/>
        <v>1.9346503137871913E-3</v>
      </c>
      <c r="AZ360" s="254">
        <f t="shared" si="241"/>
        <v>0.19346503137871912</v>
      </c>
      <c r="BA360" s="254">
        <f t="shared" si="257"/>
        <v>1.7799999999999986E-3</v>
      </c>
      <c r="BB360" s="270">
        <f t="shared" si="226"/>
        <v>1.9214577799160719E-3</v>
      </c>
      <c r="BC360" s="253">
        <f t="shared" si="258"/>
        <v>2.2000000000000009E-4</v>
      </c>
      <c r="BD360" s="255">
        <f t="shared" si="242"/>
        <v>2.2000000000000009E-2</v>
      </c>
      <c r="BF360" s="351" t="e">
        <f>((((IF($T$5=0,$T$6,$T$5)))/(12*$T$19))+(((3*$T$15)/(2*IF($T$5=0,$T$6,$T$5)*$U$5*$T$19))*'IN-OUT'!$F$14))*'Burland damage classification'!BJ360</f>
        <v>#DIV/0!</v>
      </c>
      <c r="BG360" s="352">
        <f>(1+(((IF($T$5=0,$T$6^2,$T$5^2))*$U$5)/(18*$T$15))*('IN-OUT'!$F$14^(-1)))*BK360</f>
        <v>2.4449494427856327E-4</v>
      </c>
      <c r="BH360" s="262" t="e">
        <f t="shared" si="227"/>
        <v>#DIV/0!</v>
      </c>
      <c r="BI360" s="262" t="e">
        <f t="shared" si="243"/>
        <v>#DIV/0!</v>
      </c>
      <c r="BJ360" s="262">
        <f t="shared" si="259"/>
        <v>1.1333333333333342E-4</v>
      </c>
      <c r="BK360" s="270">
        <f t="shared" si="270"/>
        <v>2.4449494427856327E-4</v>
      </c>
      <c r="BL360" s="270">
        <f t="shared" si="260"/>
        <v>2.2000000000000009E-4</v>
      </c>
      <c r="BM360" s="271">
        <f t="shared" si="244"/>
        <v>2.2000000000000009E-2</v>
      </c>
      <c r="BO360" s="351" t="e">
        <f>((((IF($T$5=0,$T$6,$T$5)))/(12*$T$19))+(((3*$T$15)/(2*IF($T$5=0,$T$6,$T$5)*$U$5*$T$19))*'IN-OUT'!$F$14))*'Burland damage classification'!BS360</f>
        <v>#DIV/0!</v>
      </c>
      <c r="BP360" s="352">
        <f>(1+(((IF($T$5=0,$T$6^2,$T$5^2))*$U$5)/(18*$T$15))*('IN-OUT'!$F$14^(-1)))*BT360</f>
        <v>4.1593268686170839E-4</v>
      </c>
      <c r="BQ360" s="254" t="e">
        <f t="shared" si="229"/>
        <v>#DIV/0!</v>
      </c>
      <c r="BR360" s="254" t="e">
        <f t="shared" si="245"/>
        <v>#DIV/0!</v>
      </c>
      <c r="BS360" s="254">
        <f t="shared" si="261"/>
        <v>2.8000000000000063E-4</v>
      </c>
      <c r="BT360" s="253">
        <f t="shared" si="271"/>
        <v>4.1593268686170839E-4</v>
      </c>
      <c r="BU360" s="253">
        <f t="shared" si="262"/>
        <v>2.2000000000000009E-4</v>
      </c>
      <c r="BV360" s="255">
        <f t="shared" si="246"/>
        <v>2.2000000000000009E-2</v>
      </c>
      <c r="BX360" s="351" t="e">
        <f>((((IF($T$5=0,$T$6,$T$5)))/(12*$T$19))+(((3*$T$15)/(2*IF($T$5=0,$T$6,$T$5)*$U$5*$T$19))*'IN-OUT'!$F$14))*'Burland damage classification'!CB360</f>
        <v>#DIV/0!</v>
      </c>
      <c r="BY360" s="352">
        <f>(1+(((IF($T$5=0,$T$6^2,$T$5^2))*$U$5)/(18*$T$15))*('IN-OUT'!$F$14^(-1)))*CC360</f>
        <v>9.1978258300535348E-4</v>
      </c>
      <c r="BZ360" s="254" t="e">
        <f t="shared" si="231"/>
        <v>#DIV/0!</v>
      </c>
      <c r="CA360" s="254" t="e">
        <f t="shared" si="247"/>
        <v>#DIV/0!</v>
      </c>
      <c r="CB360" s="254">
        <f t="shared" si="263"/>
        <v>7.8000000000000031E-4</v>
      </c>
      <c r="CC360" s="253">
        <f t="shared" si="272"/>
        <v>9.1978258300535348E-4</v>
      </c>
      <c r="CD360" s="253">
        <f t="shared" si="264"/>
        <v>2.2000000000000009E-4</v>
      </c>
      <c r="CE360" s="255">
        <f t="shared" si="248"/>
        <v>2.2000000000000009E-2</v>
      </c>
      <c r="CG360" s="351" t="e">
        <f>((((IF($T$5=0,$T$6,$T$5)))/(12*$T$19))+(((3*$T$15)/(2*IF($T$5=0,$T$6,$T$5)*$U$5*$T$19))*'IN-OUT'!$F$14))*'Burland damage classification'!CK360</f>
        <v>#DIV/0!</v>
      </c>
      <c r="CH360" s="352">
        <f>(1+(((IF($T$5=0,$T$6^2,$T$5^2))*$U$5)/(18*$T$15))*('IN-OUT'!$F$14^(-1)))*CL360</f>
        <v>1.9214577799160719E-3</v>
      </c>
      <c r="CI360" s="254" t="e">
        <f t="shared" si="233"/>
        <v>#DIV/0!</v>
      </c>
      <c r="CJ360" s="254" t="e">
        <f t="shared" si="249"/>
        <v>#DIV/0!</v>
      </c>
      <c r="CK360" s="254">
        <f t="shared" si="265"/>
        <v>1.7799999999999986E-3</v>
      </c>
      <c r="CL360" s="270">
        <f t="shared" si="234"/>
        <v>1.9214577799160719E-3</v>
      </c>
      <c r="CM360" s="253">
        <f t="shared" si="266"/>
        <v>2.2000000000000009E-4</v>
      </c>
      <c r="CN360" s="255">
        <f t="shared" si="250"/>
        <v>2.2000000000000009E-2</v>
      </c>
    </row>
    <row r="361" spans="22:92">
      <c r="V361" s="258">
        <f>(((IF($S$5&lt;&gt;0,$S$5,IF($S$6&lt;&gt;0,$S$6,IF($S$7&lt;&gt;0,$S$7,0))))/(12*$S$19))+(((3*$S$15)/(2*(IF($S$5&lt;&gt;0,$S$5,IF($S$6&lt;&gt;0,$S$6,IF($S$7&lt;&gt;0,$S$7,0))))*$U$5*$S$19))*'IN-OUT'!$F$14))*'Burland damage classification'!Z361</f>
        <v>9.3540794722296854E-4</v>
      </c>
      <c r="W361" s="352">
        <f>(1+(((IF($S$5&lt;&gt;0,$S$5^2,IF($S$6&lt;&gt;0,$S$6^2,IF($S$7&lt;&gt;0,$S$7^2))))*$U$5)/(18*$S$15))*('IN-OUT'!$F$14^(-1)))*AA361</f>
        <v>2.4294950622231047E-4</v>
      </c>
      <c r="X361" s="262">
        <f t="shared" si="219"/>
        <v>2.4294950622231047E-4</v>
      </c>
      <c r="Y361" s="262">
        <f t="shared" si="235"/>
        <v>2.4294950622231047E-2</v>
      </c>
      <c r="Z361" s="262">
        <f t="shared" si="251"/>
        <v>1.0666666666666676E-4</v>
      </c>
      <c r="AA361" s="270">
        <f t="shared" si="267"/>
        <v>2.4129281427805139E-4</v>
      </c>
      <c r="AB361" s="270">
        <f t="shared" si="252"/>
        <v>2.2666666666666676E-4</v>
      </c>
      <c r="AC361" s="271">
        <f t="shared" si="236"/>
        <v>2.2666666666666675E-2</v>
      </c>
      <c r="AE361" s="258">
        <f>(((IF($S$5&lt;&gt;0,$S$5,IF($S$6&lt;&gt;0,$S$6,IF($S$7&lt;&gt;0,$S$7,0))))/(12*$S$19))+(((3*$S$15)/(2*(IF($S$5&lt;&gt;0,$S$5,IF($S$6&lt;&gt;0,$S$6,IF($S$7&lt;&gt;0,$S$7,0))))*$U$5*$S$19))*'IN-OUT'!$F$14))*'Burland damage classification'!AI361</f>
        <v>2.3969828647588602E-3</v>
      </c>
      <c r="AF361" s="353">
        <f>(1+(((IF($S$5&lt;&gt;0,$S$5^2,IF($S$6&lt;&gt;0,$S$6^2,IF($S$7&lt;&gt;0,$S$7^2))))*$U$5)/(18*$S$15))*('IN-OUT'!$F$14^(-1)))*AJ361</f>
        <v>4.1595465134033264E-4</v>
      </c>
      <c r="AG361" s="254">
        <f t="shared" si="221"/>
        <v>4.1595465134033264E-4</v>
      </c>
      <c r="AH361" s="254">
        <f t="shared" si="237"/>
        <v>4.1595465134033262E-2</v>
      </c>
      <c r="AI361" s="254">
        <f t="shared" si="253"/>
        <v>2.7333333333333398E-4</v>
      </c>
      <c r="AJ361" s="253">
        <f t="shared" si="268"/>
        <v>4.1311822359545771E-4</v>
      </c>
      <c r="AK361" s="253">
        <f t="shared" si="254"/>
        <v>2.2666666666666676E-4</v>
      </c>
      <c r="AL361" s="255">
        <f t="shared" si="238"/>
        <v>2.2666666666666675E-2</v>
      </c>
      <c r="AN361" s="258">
        <f>(((IF($S$5&lt;&gt;0,$S$5,IF($S$6&lt;&gt;0,$S$6,IF($S$7&lt;&gt;0,$S$7,0))))/(12*$S$19))+(((3*$S$15)/(2*(IF($S$5&lt;&gt;0,$S$5,IF($S$6&lt;&gt;0,$S$6,IF($S$7&lt;&gt;0,$S$7,0))))*$U$5*$S$19))*'IN-OUT'!$F$14))*'Burland damage classification'!AR361</f>
        <v>6.7817076173665187E-3</v>
      </c>
      <c r="AO361" s="353">
        <f>(1+(((IF($S$5&lt;&gt;0,$S$5^2,IF($S$6&lt;&gt;0,$S$6^2,IF($S$7&lt;&gt;0,$S$7^2))))*$U$5)/(18*$S$15))*('IN-OUT'!$F$14^(-1)))*AS361</f>
        <v>9.2353993557955114E-4</v>
      </c>
      <c r="AP361" s="254">
        <f t="shared" si="223"/>
        <v>9.2353993557955114E-4</v>
      </c>
      <c r="AQ361" s="254">
        <f t="shared" si="239"/>
        <v>9.2353993557955108E-2</v>
      </c>
      <c r="AR361" s="254">
        <f t="shared" si="255"/>
        <v>7.7333333333333366E-4</v>
      </c>
      <c r="AS361" s="253">
        <f t="shared" si="269"/>
        <v>9.1724224353947697E-4</v>
      </c>
      <c r="AT361" s="253">
        <f t="shared" si="256"/>
        <v>2.2666666666666676E-4</v>
      </c>
      <c r="AU361" s="255">
        <f t="shared" si="240"/>
        <v>2.2666666666666675E-2</v>
      </c>
      <c r="AW361" s="258">
        <f>(((IF($S$5&lt;&gt;0,$S$5,IF($S$6&lt;&gt;0,$S$6,IF($S$7&lt;&gt;0,$S$7,0))))/(12*$S$19))+(((3*$S$15)/(2*(IF($S$5&lt;&gt;0,$S$5,IF($S$6&lt;&gt;0,$S$6,IF($S$7&lt;&gt;0,$S$7,0))))*$U$5*$S$19))*'IN-OUT'!$F$14))*'Burland damage classification'!BA361</f>
        <v>1.5551157122581824E-2</v>
      </c>
      <c r="AX361" s="353">
        <f>(1+(((IF($S$5&lt;&gt;0,$S$5^2,IF($S$6&lt;&gt;0,$S$6^2,IF($S$7&lt;&gt;0,$S$7^2))))*$U$5)/(18*$S$15))*('IN-OUT'!$F$14^(-1)))*BB361</f>
        <v>1.9322033795355054E-3</v>
      </c>
      <c r="AY361" s="254">
        <f t="shared" si="225"/>
        <v>1.9322033795355054E-3</v>
      </c>
      <c r="AZ361" s="254">
        <f t="shared" si="241"/>
        <v>0.19322033795355054</v>
      </c>
      <c r="BA361" s="254">
        <f t="shared" si="257"/>
        <v>1.7733333333333318E-3</v>
      </c>
      <c r="BB361" s="270">
        <f t="shared" si="226"/>
        <v>1.9190275315030441E-3</v>
      </c>
      <c r="BC361" s="253">
        <f t="shared" si="258"/>
        <v>2.2666666666666676E-4</v>
      </c>
      <c r="BD361" s="255">
        <f t="shared" si="242"/>
        <v>2.2666666666666675E-2</v>
      </c>
      <c r="BF361" s="351" t="e">
        <f>((((IF($T$5=0,$T$6,$T$5)))/(12*$T$19))+(((3*$T$15)/(2*IF($T$5=0,$T$6,$T$5)*$U$5*$T$19))*'IN-OUT'!$F$14))*'Burland damage classification'!BJ361</f>
        <v>#DIV/0!</v>
      </c>
      <c r="BG361" s="352">
        <f>(1+(((IF($T$5=0,$T$6^2,$T$5^2))*$U$5)/(18*$T$15))*('IN-OUT'!$F$14^(-1)))*BK361</f>
        <v>2.4129281427805139E-4</v>
      </c>
      <c r="BH361" s="262" t="e">
        <f t="shared" si="227"/>
        <v>#DIV/0!</v>
      </c>
      <c r="BI361" s="262" t="e">
        <f t="shared" si="243"/>
        <v>#DIV/0!</v>
      </c>
      <c r="BJ361" s="262">
        <f t="shared" si="259"/>
        <v>1.0666666666666676E-4</v>
      </c>
      <c r="BK361" s="270">
        <f t="shared" si="270"/>
        <v>2.4129281427805139E-4</v>
      </c>
      <c r="BL361" s="270">
        <f t="shared" si="260"/>
        <v>2.2666666666666676E-4</v>
      </c>
      <c r="BM361" s="271">
        <f t="shared" si="244"/>
        <v>2.2666666666666675E-2</v>
      </c>
      <c r="BO361" s="351" t="e">
        <f>((((IF($T$5=0,$T$6,$T$5)))/(12*$T$19))+(((3*$T$15)/(2*IF($T$5=0,$T$6,$T$5)*$U$5*$T$19))*'IN-OUT'!$F$14))*'Burland damage classification'!BS361</f>
        <v>#DIV/0!</v>
      </c>
      <c r="BP361" s="352">
        <f>(1+(((IF($T$5=0,$T$6^2,$T$5^2))*$U$5)/(18*$T$15))*('IN-OUT'!$F$14^(-1)))*BT361</f>
        <v>4.1311822359545771E-4</v>
      </c>
      <c r="BQ361" s="254" t="e">
        <f t="shared" si="229"/>
        <v>#DIV/0!</v>
      </c>
      <c r="BR361" s="254" t="e">
        <f t="shared" si="245"/>
        <v>#DIV/0!</v>
      </c>
      <c r="BS361" s="254">
        <f t="shared" si="261"/>
        <v>2.7333333333333398E-4</v>
      </c>
      <c r="BT361" s="253">
        <f t="shared" si="271"/>
        <v>4.1311822359545771E-4</v>
      </c>
      <c r="BU361" s="253">
        <f t="shared" si="262"/>
        <v>2.2666666666666676E-4</v>
      </c>
      <c r="BV361" s="255">
        <f t="shared" si="246"/>
        <v>2.2666666666666675E-2</v>
      </c>
      <c r="BX361" s="351" t="e">
        <f>((((IF($T$5=0,$T$6,$T$5)))/(12*$T$19))+(((3*$T$15)/(2*IF($T$5=0,$T$6,$T$5)*$U$5*$T$19))*'IN-OUT'!$F$14))*'Burland damage classification'!CB361</f>
        <v>#DIV/0!</v>
      </c>
      <c r="BY361" s="352">
        <f>(1+(((IF($T$5=0,$T$6^2,$T$5^2))*$U$5)/(18*$T$15))*('IN-OUT'!$F$14^(-1)))*CC361</f>
        <v>9.1724224353947697E-4</v>
      </c>
      <c r="BZ361" s="254" t="e">
        <f t="shared" si="231"/>
        <v>#DIV/0!</v>
      </c>
      <c r="CA361" s="254" t="e">
        <f t="shared" si="247"/>
        <v>#DIV/0!</v>
      </c>
      <c r="CB361" s="254">
        <f t="shared" si="263"/>
        <v>7.7333333333333366E-4</v>
      </c>
      <c r="CC361" s="253">
        <f t="shared" si="272"/>
        <v>9.1724224353947697E-4</v>
      </c>
      <c r="CD361" s="253">
        <f t="shared" si="264"/>
        <v>2.2666666666666676E-4</v>
      </c>
      <c r="CE361" s="255">
        <f t="shared" si="248"/>
        <v>2.2666666666666675E-2</v>
      </c>
      <c r="CG361" s="351" t="e">
        <f>((((IF($T$5=0,$T$6,$T$5)))/(12*$T$19))+(((3*$T$15)/(2*IF($T$5=0,$T$6,$T$5)*$U$5*$T$19))*'IN-OUT'!$F$14))*'Burland damage classification'!CK361</f>
        <v>#DIV/0!</v>
      </c>
      <c r="CH361" s="352">
        <f>(1+(((IF($T$5=0,$T$6^2,$T$5^2))*$U$5)/(18*$T$15))*('IN-OUT'!$F$14^(-1)))*CL361</f>
        <v>1.9190275315030441E-3</v>
      </c>
      <c r="CI361" s="254" t="e">
        <f t="shared" si="233"/>
        <v>#DIV/0!</v>
      </c>
      <c r="CJ361" s="254" t="e">
        <f t="shared" si="249"/>
        <v>#DIV/0!</v>
      </c>
      <c r="CK361" s="254">
        <f t="shared" si="265"/>
        <v>1.7733333333333318E-3</v>
      </c>
      <c r="CL361" s="270">
        <f t="shared" si="234"/>
        <v>1.9190275315030441E-3</v>
      </c>
      <c r="CM361" s="253">
        <f t="shared" si="266"/>
        <v>2.2666666666666676E-4</v>
      </c>
      <c r="CN361" s="255">
        <f t="shared" si="250"/>
        <v>2.2666666666666675E-2</v>
      </c>
    </row>
    <row r="362" spans="22:92">
      <c r="V362" s="258">
        <f>(((IF($S$5&lt;&gt;0,$S$5,IF($S$6&lt;&gt;0,$S$6,IF($S$7&lt;&gt;0,$S$7,0))))/(12*$S$19))+(((3*$S$15)/(2*(IF($S$5&lt;&gt;0,$S$5,IF($S$6&lt;&gt;0,$S$6,IF($S$7&lt;&gt;0,$S$7,0))))*$U$5*$S$19))*'IN-OUT'!$F$14))*'Burland damage classification'!Z362</f>
        <v>8.7694495052153306E-4</v>
      </c>
      <c r="W362" s="352">
        <f>(1+(((IF($S$5&lt;&gt;0,$S$5^2,IF($S$6&lt;&gt;0,$S$6^2,IF($S$7&lt;&gt;0,$S$7^2))))*$U$5)/(18*$S$15))*('IN-OUT'!$F$14^(-1)))*AA362</f>
        <v>2.3968202501562245E-4</v>
      </c>
      <c r="X362" s="262">
        <f t="shared" si="219"/>
        <v>2.3968202501562245E-4</v>
      </c>
      <c r="Y362" s="262">
        <f t="shared" si="235"/>
        <v>2.3968202501562244E-2</v>
      </c>
      <c r="Z362" s="262">
        <f t="shared" si="251"/>
        <v>1.000000000000001E-4</v>
      </c>
      <c r="AA362" s="270">
        <f t="shared" si="267"/>
        <v>2.3804761428476161E-4</v>
      </c>
      <c r="AB362" s="270">
        <f t="shared" si="252"/>
        <v>2.3333333333333344E-4</v>
      </c>
      <c r="AC362" s="271">
        <f t="shared" si="236"/>
        <v>2.3333333333333345E-2</v>
      </c>
      <c r="AE362" s="258">
        <f>(((IF($S$5&lt;&gt;0,$S$5,IF($S$6&lt;&gt;0,$S$6,IF($S$7&lt;&gt;0,$S$7,0))))/(12*$S$19))+(((3*$S$15)/(2*(IF($S$5&lt;&gt;0,$S$5,IF($S$6&lt;&gt;0,$S$6,IF($S$7&lt;&gt;0,$S$7,0))))*$U$5*$S$19))*'IN-OUT'!$F$14))*'Burland damage classification'!AI362</f>
        <v>2.3385198680574248E-3</v>
      </c>
      <c r="AF362" s="353">
        <f>(1+(((IF($S$5&lt;&gt;0,$S$5^2,IF($S$6&lt;&gt;0,$S$6^2,IF($S$7&lt;&gt;0,$S$7^2))))*$U$5)/(18*$S$15))*('IN-OUT'!$F$14^(-1)))*AJ362</f>
        <v>4.1310142554165224E-4</v>
      </c>
      <c r="AG362" s="254">
        <f t="shared" si="221"/>
        <v>4.1310142554165224E-4</v>
      </c>
      <c r="AH362" s="254">
        <f t="shared" si="237"/>
        <v>4.1310142554165222E-2</v>
      </c>
      <c r="AI362" s="254">
        <f t="shared" si="253"/>
        <v>2.6666666666666733E-4</v>
      </c>
      <c r="AJ362" s="253">
        <f t="shared" si="268"/>
        <v>4.1028445416970566E-4</v>
      </c>
      <c r="AK362" s="253">
        <f t="shared" si="254"/>
        <v>2.3333333333333344E-4</v>
      </c>
      <c r="AL362" s="255">
        <f t="shared" si="238"/>
        <v>2.3333333333333345E-2</v>
      </c>
      <c r="AN362" s="258">
        <f>(((IF($S$5&lt;&gt;0,$S$5,IF($S$6&lt;&gt;0,$S$6,IF($S$7&lt;&gt;0,$S$7,0))))/(12*$S$19))+(((3*$S$15)/(2*(IF($S$5&lt;&gt;0,$S$5,IF($S$6&lt;&gt;0,$S$6,IF($S$7&lt;&gt;0,$S$7,0))))*$U$5*$S$19))*'IN-OUT'!$F$14))*'Burland damage classification'!AR362</f>
        <v>6.7232446206650833E-3</v>
      </c>
      <c r="AO362" s="353">
        <f>(1+(((IF($S$5&lt;&gt;0,$S$5^2,IF($S$6&lt;&gt;0,$S$6^2,IF($S$7&lt;&gt;0,$S$7^2))))*$U$5)/(18*$S$15))*('IN-OUT'!$F$14^(-1)))*AS362</f>
        <v>9.2097505082171282E-4</v>
      </c>
      <c r="AP362" s="254">
        <f t="shared" si="223"/>
        <v>9.2097505082171282E-4</v>
      </c>
      <c r="AQ362" s="254">
        <f t="shared" si="239"/>
        <v>9.209750508217128E-2</v>
      </c>
      <c r="AR362" s="254">
        <f t="shared" si="255"/>
        <v>7.6666666666666702E-4</v>
      </c>
      <c r="AS362" s="253">
        <f t="shared" si="269"/>
        <v>9.1469484893414951E-4</v>
      </c>
      <c r="AT362" s="253">
        <f t="shared" si="256"/>
        <v>2.3333333333333344E-4</v>
      </c>
      <c r="AU362" s="255">
        <f t="shared" si="240"/>
        <v>2.3333333333333345E-2</v>
      </c>
      <c r="AW362" s="258">
        <f>(((IF($S$5&lt;&gt;0,$S$5,IF($S$6&lt;&gt;0,$S$6,IF($S$7&lt;&gt;0,$S$7,0))))/(12*$S$19))+(((3*$S$15)/(2*(IF($S$5&lt;&gt;0,$S$5,IF($S$6&lt;&gt;0,$S$6,IF($S$7&lt;&gt;0,$S$7,0))))*$U$5*$S$19))*'IN-OUT'!$F$14))*'Burland damage classification'!BA362</f>
        <v>1.5492694125880387E-2</v>
      </c>
      <c r="AX362" s="353">
        <f>(1+(((IF($S$5&lt;&gt;0,$S$5^2,IF($S$6&lt;&gt;0,$S$6^2,IF($S$7&lt;&gt;0,$S$7^2))))*$U$5)/(18*$S$15))*('IN-OUT'!$F$14^(-1)))*BB362</f>
        <v>1.9297533425647894E-3</v>
      </c>
      <c r="AY362" s="254">
        <f t="shared" si="225"/>
        <v>1.9297533425647894E-3</v>
      </c>
      <c r="AZ362" s="254">
        <f t="shared" si="241"/>
        <v>0.19297533425647895</v>
      </c>
      <c r="BA362" s="254">
        <f t="shared" si="257"/>
        <v>1.7666666666666651E-3</v>
      </c>
      <c r="BB362" s="270">
        <f t="shared" si="226"/>
        <v>1.9165942015286733E-3</v>
      </c>
      <c r="BC362" s="253">
        <f t="shared" si="258"/>
        <v>2.3333333333333344E-4</v>
      </c>
      <c r="BD362" s="255">
        <f t="shared" si="242"/>
        <v>2.3333333333333345E-2</v>
      </c>
      <c r="BF362" s="351" t="e">
        <f>((((IF($T$5=0,$T$6,$T$5)))/(12*$T$19))+(((3*$T$15)/(2*IF($T$5=0,$T$6,$T$5)*$U$5*$T$19))*'IN-OUT'!$F$14))*'Burland damage classification'!BJ362</f>
        <v>#DIV/0!</v>
      </c>
      <c r="BG362" s="352">
        <f>(1+(((IF($T$5=0,$T$6^2,$T$5^2))*$U$5)/(18*$T$15))*('IN-OUT'!$F$14^(-1)))*BK362</f>
        <v>2.3804761428476161E-4</v>
      </c>
      <c r="BH362" s="262" t="e">
        <f t="shared" si="227"/>
        <v>#DIV/0!</v>
      </c>
      <c r="BI362" s="262" t="e">
        <f t="shared" si="243"/>
        <v>#DIV/0!</v>
      </c>
      <c r="BJ362" s="262">
        <f t="shared" si="259"/>
        <v>1.000000000000001E-4</v>
      </c>
      <c r="BK362" s="270">
        <f t="shared" si="270"/>
        <v>2.3804761428476161E-4</v>
      </c>
      <c r="BL362" s="270">
        <f t="shared" si="260"/>
        <v>2.3333333333333344E-4</v>
      </c>
      <c r="BM362" s="271">
        <f t="shared" si="244"/>
        <v>2.3333333333333345E-2</v>
      </c>
      <c r="BO362" s="351" t="e">
        <f>((((IF($T$5=0,$T$6,$T$5)))/(12*$T$19))+(((3*$T$15)/(2*IF($T$5=0,$T$6,$T$5)*$U$5*$T$19))*'IN-OUT'!$F$14))*'Burland damage classification'!BS362</f>
        <v>#DIV/0!</v>
      </c>
      <c r="BP362" s="352">
        <f>(1+(((IF($T$5=0,$T$6^2,$T$5^2))*$U$5)/(18*$T$15))*('IN-OUT'!$F$14^(-1)))*BT362</f>
        <v>4.1028445416970566E-4</v>
      </c>
      <c r="BQ362" s="254" t="e">
        <f t="shared" si="229"/>
        <v>#DIV/0!</v>
      </c>
      <c r="BR362" s="254" t="e">
        <f t="shared" si="245"/>
        <v>#DIV/0!</v>
      </c>
      <c r="BS362" s="254">
        <f t="shared" si="261"/>
        <v>2.6666666666666733E-4</v>
      </c>
      <c r="BT362" s="253">
        <f t="shared" si="271"/>
        <v>4.1028445416970566E-4</v>
      </c>
      <c r="BU362" s="253">
        <f t="shared" si="262"/>
        <v>2.3333333333333344E-4</v>
      </c>
      <c r="BV362" s="255">
        <f t="shared" si="246"/>
        <v>2.3333333333333345E-2</v>
      </c>
      <c r="BX362" s="351" t="e">
        <f>((((IF($T$5=0,$T$6,$T$5)))/(12*$T$19))+(((3*$T$15)/(2*IF($T$5=0,$T$6,$T$5)*$U$5*$T$19))*'IN-OUT'!$F$14))*'Burland damage classification'!CB362</f>
        <v>#DIV/0!</v>
      </c>
      <c r="BY362" s="352">
        <f>(1+(((IF($T$5=0,$T$6^2,$T$5^2))*$U$5)/(18*$T$15))*('IN-OUT'!$F$14^(-1)))*CC362</f>
        <v>9.1469484893414951E-4</v>
      </c>
      <c r="BZ362" s="254" t="e">
        <f t="shared" si="231"/>
        <v>#DIV/0!</v>
      </c>
      <c r="CA362" s="254" t="e">
        <f t="shared" si="247"/>
        <v>#DIV/0!</v>
      </c>
      <c r="CB362" s="254">
        <f t="shared" si="263"/>
        <v>7.6666666666666702E-4</v>
      </c>
      <c r="CC362" s="253">
        <f t="shared" si="272"/>
        <v>9.1469484893414951E-4</v>
      </c>
      <c r="CD362" s="253">
        <f t="shared" si="264"/>
        <v>2.3333333333333344E-4</v>
      </c>
      <c r="CE362" s="255">
        <f t="shared" si="248"/>
        <v>2.3333333333333345E-2</v>
      </c>
      <c r="CG362" s="351" t="e">
        <f>((((IF($T$5=0,$T$6,$T$5)))/(12*$T$19))+(((3*$T$15)/(2*IF($T$5=0,$T$6,$T$5)*$U$5*$T$19))*'IN-OUT'!$F$14))*'Burland damage classification'!CK362</f>
        <v>#DIV/0!</v>
      </c>
      <c r="CH362" s="352">
        <f>(1+(((IF($T$5=0,$T$6^2,$T$5^2))*$U$5)/(18*$T$15))*('IN-OUT'!$F$14^(-1)))*CL362</f>
        <v>1.9165942015286733E-3</v>
      </c>
      <c r="CI362" s="254" t="e">
        <f t="shared" si="233"/>
        <v>#DIV/0!</v>
      </c>
      <c r="CJ362" s="254" t="e">
        <f t="shared" si="249"/>
        <v>#DIV/0!</v>
      </c>
      <c r="CK362" s="254">
        <f t="shared" si="265"/>
        <v>1.7666666666666651E-3</v>
      </c>
      <c r="CL362" s="270">
        <f t="shared" si="234"/>
        <v>1.9165942015286733E-3</v>
      </c>
      <c r="CM362" s="253">
        <f t="shared" si="266"/>
        <v>2.3333333333333344E-4</v>
      </c>
      <c r="CN362" s="255">
        <f t="shared" si="250"/>
        <v>2.3333333333333345E-2</v>
      </c>
    </row>
    <row r="363" spans="22:92">
      <c r="V363" s="258">
        <f>(((IF($S$5&lt;&gt;0,$S$5,IF($S$6&lt;&gt;0,$S$6,IF($S$7&lt;&gt;0,$S$7,0))))/(12*$S$19))+(((3*$S$15)/(2*(IF($S$5&lt;&gt;0,$S$5,IF($S$6&lt;&gt;0,$S$6,IF($S$7&lt;&gt;0,$S$7,0))))*$U$5*$S$19))*'IN-OUT'!$F$14))*'Burland damage classification'!Z363</f>
        <v>8.1848195382009758E-4</v>
      </c>
      <c r="W363" s="352">
        <f>(1+(((IF($S$5&lt;&gt;0,$S$5^2,IF($S$6&lt;&gt;0,$S$6^2,IF($S$7&lt;&gt;0,$S$7^2))))*$U$5)/(18*$S$15))*('IN-OUT'!$F$14^(-1)))*AA363</f>
        <v>2.3636937969524408E-4</v>
      </c>
      <c r="X363" s="262">
        <f t="shared" si="219"/>
        <v>2.3636937969524408E-4</v>
      </c>
      <c r="Y363" s="262">
        <f t="shared" si="235"/>
        <v>2.3636937969524409E-2</v>
      </c>
      <c r="Z363" s="262">
        <f t="shared" si="251"/>
        <v>9.3333333333333438E-5</v>
      </c>
      <c r="AA363" s="270">
        <f t="shared" si="267"/>
        <v>2.347575581554534E-4</v>
      </c>
      <c r="AB363" s="270">
        <f t="shared" si="252"/>
        <v>2.4000000000000011E-4</v>
      </c>
      <c r="AC363" s="271">
        <f t="shared" si="236"/>
        <v>2.4000000000000011E-2</v>
      </c>
      <c r="AE363" s="258">
        <f>(((IF($S$5&lt;&gt;0,$S$5,IF($S$6&lt;&gt;0,$S$6,IF($S$7&lt;&gt;0,$S$7,0))))/(12*$S$19))+(((3*$S$15)/(2*(IF($S$5&lt;&gt;0,$S$5,IF($S$6&lt;&gt;0,$S$6,IF($S$7&lt;&gt;0,$S$7,0))))*$U$5*$S$19))*'IN-OUT'!$F$14))*'Burland damage classification'!AI363</f>
        <v>2.2800568713559895E-3</v>
      </c>
      <c r="AF363" s="353">
        <f>(1+(((IF($S$5&lt;&gt;0,$S$5^2,IF($S$6&lt;&gt;0,$S$6^2,IF($S$7&lt;&gt;0,$S$7^2))))*$U$5)/(18*$S$15))*('IN-OUT'!$F$14^(-1)))*AJ363</f>
        <v>4.102283554283306E-4</v>
      </c>
      <c r="AG363" s="254">
        <f t="shared" si="221"/>
        <v>4.102283554283306E-4</v>
      </c>
      <c r="AH363" s="254">
        <f t="shared" si="237"/>
        <v>4.1022835542833057E-2</v>
      </c>
      <c r="AI363" s="254">
        <f t="shared" si="253"/>
        <v>2.6000000000000068E-4</v>
      </c>
      <c r="AJ363" s="253">
        <f t="shared" si="268"/>
        <v>4.0743097574926721E-4</v>
      </c>
      <c r="AK363" s="253">
        <f t="shared" si="254"/>
        <v>2.4000000000000011E-4</v>
      </c>
      <c r="AL363" s="255">
        <f t="shared" si="238"/>
        <v>2.4000000000000011E-2</v>
      </c>
      <c r="AN363" s="258">
        <f>(((IF($S$5&lt;&gt;0,$S$5,IF($S$6&lt;&gt;0,$S$6,IF($S$7&lt;&gt;0,$S$7,0))))/(12*$S$19))+(((3*$S$15)/(2*(IF($S$5&lt;&gt;0,$S$5,IF($S$6&lt;&gt;0,$S$6,IF($S$7&lt;&gt;0,$S$7,0))))*$U$5*$S$19))*'IN-OUT'!$F$14))*'Burland damage classification'!AR363</f>
        <v>6.6647816239636479E-3</v>
      </c>
      <c r="AO363" s="353">
        <f>(1+(((IF($S$5&lt;&gt;0,$S$5^2,IF($S$6&lt;&gt;0,$S$6^2,IF($S$7&lt;&gt;0,$S$7^2))))*$U$5)/(18*$S$15))*('IN-OUT'!$F$14^(-1)))*AS363</f>
        <v>9.1840300296864858E-4</v>
      </c>
      <c r="AP363" s="254">
        <f t="shared" si="223"/>
        <v>9.1840300296864858E-4</v>
      </c>
      <c r="AQ363" s="254">
        <f t="shared" si="239"/>
        <v>9.1840300296864852E-2</v>
      </c>
      <c r="AR363" s="254">
        <f t="shared" si="255"/>
        <v>7.6000000000000037E-4</v>
      </c>
      <c r="AS363" s="253">
        <f t="shared" si="269"/>
        <v>9.1214034007931028E-4</v>
      </c>
      <c r="AT363" s="253">
        <f t="shared" si="256"/>
        <v>2.4000000000000011E-4</v>
      </c>
      <c r="AU363" s="255">
        <f t="shared" si="240"/>
        <v>2.4000000000000011E-2</v>
      </c>
      <c r="AW363" s="258">
        <f>(((IF($S$5&lt;&gt;0,$S$5,IF($S$6&lt;&gt;0,$S$6,IF($S$7&lt;&gt;0,$S$7,0))))/(12*$S$19))+(((3*$S$15)/(2*(IF($S$5&lt;&gt;0,$S$5,IF($S$6&lt;&gt;0,$S$6,IF($S$7&lt;&gt;0,$S$7,0))))*$U$5*$S$19))*'IN-OUT'!$F$14))*'Burland damage classification'!BA363</f>
        <v>1.5434231129178952E-2</v>
      </c>
      <c r="AX363" s="353">
        <f>(1+(((IF($S$5&lt;&gt;0,$S$5^2,IF($S$6&lt;&gt;0,$S$6^2,IF($S$7&lt;&gt;0,$S$7^2))))*$U$5)/(18*$S$15))*('IN-OUT'!$F$14^(-1)))*BB363</f>
        <v>1.9273001910422589E-3</v>
      </c>
      <c r="AY363" s="254">
        <f t="shared" si="225"/>
        <v>1.9273001910422589E-3</v>
      </c>
      <c r="AZ363" s="254">
        <f t="shared" si="241"/>
        <v>0.19273001910422588</v>
      </c>
      <c r="BA363" s="254">
        <f t="shared" si="257"/>
        <v>1.7599999999999983E-3</v>
      </c>
      <c r="BB363" s="270">
        <f t="shared" si="226"/>
        <v>1.9141577782408638E-3</v>
      </c>
      <c r="BC363" s="253">
        <f t="shared" si="258"/>
        <v>2.4000000000000011E-4</v>
      </c>
      <c r="BD363" s="255">
        <f t="shared" si="242"/>
        <v>2.4000000000000011E-2</v>
      </c>
      <c r="BF363" s="351" t="e">
        <f>((((IF($T$5=0,$T$6,$T$5)))/(12*$T$19))+(((3*$T$15)/(2*IF($T$5=0,$T$6,$T$5)*$U$5*$T$19))*'IN-OUT'!$F$14))*'Burland damage classification'!BJ363</f>
        <v>#DIV/0!</v>
      </c>
      <c r="BG363" s="352">
        <f>(1+(((IF($T$5=0,$T$6^2,$T$5^2))*$U$5)/(18*$T$15))*('IN-OUT'!$F$14^(-1)))*BK363</f>
        <v>2.347575581554534E-4</v>
      </c>
      <c r="BH363" s="262" t="e">
        <f t="shared" si="227"/>
        <v>#DIV/0!</v>
      </c>
      <c r="BI363" s="262" t="e">
        <f t="shared" si="243"/>
        <v>#DIV/0!</v>
      </c>
      <c r="BJ363" s="262">
        <f t="shared" si="259"/>
        <v>9.3333333333333438E-5</v>
      </c>
      <c r="BK363" s="270">
        <f t="shared" si="270"/>
        <v>2.347575581554534E-4</v>
      </c>
      <c r="BL363" s="270">
        <f t="shared" si="260"/>
        <v>2.4000000000000011E-4</v>
      </c>
      <c r="BM363" s="271">
        <f t="shared" si="244"/>
        <v>2.4000000000000011E-2</v>
      </c>
      <c r="BO363" s="351" t="e">
        <f>((((IF($T$5=0,$T$6,$T$5)))/(12*$T$19))+(((3*$T$15)/(2*IF($T$5=0,$T$6,$T$5)*$U$5*$T$19))*'IN-OUT'!$F$14))*'Burland damage classification'!BS363</f>
        <v>#DIV/0!</v>
      </c>
      <c r="BP363" s="352">
        <f>(1+(((IF($T$5=0,$T$6^2,$T$5^2))*$U$5)/(18*$T$15))*('IN-OUT'!$F$14^(-1)))*BT363</f>
        <v>4.0743097574926721E-4</v>
      </c>
      <c r="BQ363" s="254" t="e">
        <f t="shared" si="229"/>
        <v>#DIV/0!</v>
      </c>
      <c r="BR363" s="254" t="e">
        <f t="shared" si="245"/>
        <v>#DIV/0!</v>
      </c>
      <c r="BS363" s="254">
        <f t="shared" si="261"/>
        <v>2.6000000000000068E-4</v>
      </c>
      <c r="BT363" s="253">
        <f t="shared" si="271"/>
        <v>4.0743097574926721E-4</v>
      </c>
      <c r="BU363" s="253">
        <f t="shared" si="262"/>
        <v>2.4000000000000011E-4</v>
      </c>
      <c r="BV363" s="255">
        <f t="shared" si="246"/>
        <v>2.4000000000000011E-2</v>
      </c>
      <c r="BX363" s="351" t="e">
        <f>((((IF($T$5=0,$T$6,$T$5)))/(12*$T$19))+(((3*$T$15)/(2*IF($T$5=0,$T$6,$T$5)*$U$5*$T$19))*'IN-OUT'!$F$14))*'Burland damage classification'!CB363</f>
        <v>#DIV/0!</v>
      </c>
      <c r="BY363" s="352">
        <f>(1+(((IF($T$5=0,$T$6^2,$T$5^2))*$U$5)/(18*$T$15))*('IN-OUT'!$F$14^(-1)))*CC363</f>
        <v>9.1214034007931028E-4</v>
      </c>
      <c r="BZ363" s="254" t="e">
        <f t="shared" si="231"/>
        <v>#DIV/0!</v>
      </c>
      <c r="CA363" s="254" t="e">
        <f t="shared" si="247"/>
        <v>#DIV/0!</v>
      </c>
      <c r="CB363" s="254">
        <f t="shared" si="263"/>
        <v>7.6000000000000037E-4</v>
      </c>
      <c r="CC363" s="253">
        <f t="shared" si="272"/>
        <v>9.1214034007931028E-4</v>
      </c>
      <c r="CD363" s="253">
        <f t="shared" si="264"/>
        <v>2.4000000000000011E-4</v>
      </c>
      <c r="CE363" s="255">
        <f t="shared" si="248"/>
        <v>2.4000000000000011E-2</v>
      </c>
      <c r="CG363" s="351" t="e">
        <f>((((IF($T$5=0,$T$6,$T$5)))/(12*$T$19))+(((3*$T$15)/(2*IF($T$5=0,$T$6,$T$5)*$U$5*$T$19))*'IN-OUT'!$F$14))*'Burland damage classification'!CK363</f>
        <v>#DIV/0!</v>
      </c>
      <c r="CH363" s="352">
        <f>(1+(((IF($T$5=0,$T$6^2,$T$5^2))*$U$5)/(18*$T$15))*('IN-OUT'!$F$14^(-1)))*CL363</f>
        <v>1.9141577782408638E-3</v>
      </c>
      <c r="CI363" s="254" t="e">
        <f t="shared" si="233"/>
        <v>#DIV/0!</v>
      </c>
      <c r="CJ363" s="254" t="e">
        <f t="shared" si="249"/>
        <v>#DIV/0!</v>
      </c>
      <c r="CK363" s="254">
        <f t="shared" si="265"/>
        <v>1.7599999999999983E-3</v>
      </c>
      <c r="CL363" s="270">
        <f t="shared" si="234"/>
        <v>1.9141577782408638E-3</v>
      </c>
      <c r="CM363" s="253">
        <f t="shared" si="266"/>
        <v>2.4000000000000011E-4</v>
      </c>
      <c r="CN363" s="255">
        <f t="shared" si="250"/>
        <v>2.4000000000000011E-2</v>
      </c>
    </row>
    <row r="364" spans="22:92">
      <c r="V364" s="258">
        <f>(((IF($S$5&lt;&gt;0,$S$5,IF($S$6&lt;&gt;0,$S$6,IF($S$7&lt;&gt;0,$S$7,0))))/(12*$S$19))+(((3*$S$15)/(2*(IF($S$5&lt;&gt;0,$S$5,IF($S$6&lt;&gt;0,$S$6,IF($S$7&lt;&gt;0,$S$7,0))))*$U$5*$S$19))*'IN-OUT'!$F$14))*'Burland damage classification'!Z364</f>
        <v>7.6001895711866221E-4</v>
      </c>
      <c r="W364" s="352">
        <f>(1+(((IF($S$5&lt;&gt;0,$S$5^2,IF($S$6&lt;&gt;0,$S$6^2,IF($S$7&lt;&gt;0,$S$7^2))))*$U$5)/(18*$S$15))*('IN-OUT'!$F$14^(-1)))*AA364</f>
        <v>2.3300964400522022E-4</v>
      </c>
      <c r="X364" s="262">
        <f t="shared" si="219"/>
        <v>2.3300964400522022E-4</v>
      </c>
      <c r="Y364" s="262">
        <f t="shared" si="235"/>
        <v>2.3300964400522022E-2</v>
      </c>
      <c r="Z364" s="262">
        <f t="shared" si="251"/>
        <v>8.6666666666666777E-5</v>
      </c>
      <c r="AA364" s="270">
        <f t="shared" si="267"/>
        <v>2.3142073276946371E-4</v>
      </c>
      <c r="AB364" s="270">
        <f t="shared" si="252"/>
        <v>2.4666666666666679E-4</v>
      </c>
      <c r="AC364" s="271">
        <f t="shared" si="236"/>
        <v>2.466666666666668E-2</v>
      </c>
      <c r="AE364" s="258">
        <f>(((IF($S$5&lt;&gt;0,$S$5,IF($S$6&lt;&gt;0,$S$6,IF($S$7&lt;&gt;0,$S$7,0))))/(12*$S$19))+(((3*$S$15)/(2*(IF($S$5&lt;&gt;0,$S$5,IF($S$6&lt;&gt;0,$S$6,IF($S$7&lt;&gt;0,$S$7,0))))*$U$5*$S$19))*'IN-OUT'!$F$14))*'Burland damage classification'!AI364</f>
        <v>2.2215938746545545E-3</v>
      </c>
      <c r="AF364" s="353">
        <f>(1+(((IF($S$5&lt;&gt;0,$S$5^2,IF($S$6&lt;&gt;0,$S$6^2,IF($S$7&lt;&gt;0,$S$7^2))))*$U$5)/(18*$S$15))*('IN-OUT'!$F$14^(-1)))*AJ364</f>
        <v>4.0733502109482336E-4</v>
      </c>
      <c r="AG364" s="254">
        <f t="shared" si="221"/>
        <v>4.0733502109482336E-4</v>
      </c>
      <c r="AH364" s="254">
        <f t="shared" si="237"/>
        <v>4.0733502109482338E-2</v>
      </c>
      <c r="AI364" s="254">
        <f t="shared" si="253"/>
        <v>2.5333333333333403E-4</v>
      </c>
      <c r="AJ364" s="253">
        <f t="shared" si="268"/>
        <v>4.0455737129196722E-4</v>
      </c>
      <c r="AK364" s="253">
        <f t="shared" si="254"/>
        <v>2.4666666666666679E-4</v>
      </c>
      <c r="AL364" s="255">
        <f t="shared" si="238"/>
        <v>2.466666666666668E-2</v>
      </c>
      <c r="AN364" s="258">
        <f>(((IF($S$5&lt;&gt;0,$S$5,IF($S$6&lt;&gt;0,$S$6,IF($S$7&lt;&gt;0,$S$7,0))))/(12*$S$19))+(((3*$S$15)/(2*(IF($S$5&lt;&gt;0,$S$5,IF($S$6&lt;&gt;0,$S$6,IF($S$7&lt;&gt;0,$S$7,0))))*$U$5*$S$19))*'IN-OUT'!$F$14))*'Burland damage classification'!AR364</f>
        <v>6.6063186272622126E-3</v>
      </c>
      <c r="AO364" s="353">
        <f>(1+(((IF($S$5&lt;&gt;0,$S$5^2,IF($S$6&lt;&gt;0,$S$6^2,IF($S$7&lt;&gt;0,$S$7^2))))*$U$5)/(18*$S$15))*('IN-OUT'!$F$14^(-1)))*AS364</f>
        <v>9.1582373166871278E-4</v>
      </c>
      <c r="AP364" s="254">
        <f t="shared" si="223"/>
        <v>9.1582373166871278E-4</v>
      </c>
      <c r="AQ364" s="254">
        <f t="shared" si="239"/>
        <v>9.1582373166871275E-2</v>
      </c>
      <c r="AR364" s="254">
        <f t="shared" si="255"/>
        <v>7.5333333333333372E-4</v>
      </c>
      <c r="AS364" s="253">
        <f t="shared" si="269"/>
        <v>9.0957865703485651E-4</v>
      </c>
      <c r="AT364" s="253">
        <f t="shared" si="256"/>
        <v>2.4666666666666679E-4</v>
      </c>
      <c r="AU364" s="255">
        <f t="shared" si="240"/>
        <v>2.466666666666668E-2</v>
      </c>
      <c r="AW364" s="258">
        <f>(((IF($S$5&lt;&gt;0,$S$5,IF($S$6&lt;&gt;0,$S$6,IF($S$7&lt;&gt;0,$S$7,0))))/(12*$S$19))+(((3*$S$15)/(2*(IF($S$5&lt;&gt;0,$S$5,IF($S$6&lt;&gt;0,$S$6,IF($S$7&lt;&gt;0,$S$7,0))))*$U$5*$S$19))*'IN-OUT'!$F$14))*'Burland damage classification'!BA364</f>
        <v>1.5375768132477515E-2</v>
      </c>
      <c r="AX364" s="353">
        <f>(1+(((IF($S$5&lt;&gt;0,$S$5^2,IF($S$6&lt;&gt;0,$S$6^2,IF($S$7&lt;&gt;0,$S$7^2))))*$U$5)/(18*$S$15))*('IN-OUT'!$F$14^(-1)))*BB364</f>
        <v>1.924843913059726E-3</v>
      </c>
      <c r="AY364" s="254">
        <f t="shared" si="225"/>
        <v>1.924843913059726E-3</v>
      </c>
      <c r="AZ364" s="254">
        <f t="shared" si="241"/>
        <v>0.19248439130597261</v>
      </c>
      <c r="BA364" s="254">
        <f t="shared" si="257"/>
        <v>1.7533333333333316E-3</v>
      </c>
      <c r="BB364" s="270">
        <f t="shared" si="226"/>
        <v>1.9117182498126304E-3</v>
      </c>
      <c r="BC364" s="253">
        <f t="shared" si="258"/>
        <v>2.4666666666666679E-4</v>
      </c>
      <c r="BD364" s="255">
        <f t="shared" si="242"/>
        <v>2.466666666666668E-2</v>
      </c>
      <c r="BF364" s="351" t="e">
        <f>((((IF($T$5=0,$T$6,$T$5)))/(12*$T$19))+(((3*$T$15)/(2*IF($T$5=0,$T$6,$T$5)*$U$5*$T$19))*'IN-OUT'!$F$14))*'Burland damage classification'!BJ364</f>
        <v>#DIV/0!</v>
      </c>
      <c r="BG364" s="352">
        <f>(1+(((IF($T$5=0,$T$6^2,$T$5^2))*$U$5)/(18*$T$15))*('IN-OUT'!$F$14^(-1)))*BK364</f>
        <v>2.3142073276946371E-4</v>
      </c>
      <c r="BH364" s="262" t="e">
        <f t="shared" si="227"/>
        <v>#DIV/0!</v>
      </c>
      <c r="BI364" s="262" t="e">
        <f t="shared" si="243"/>
        <v>#DIV/0!</v>
      </c>
      <c r="BJ364" s="262">
        <f t="shared" si="259"/>
        <v>8.6666666666666777E-5</v>
      </c>
      <c r="BK364" s="270">
        <f t="shared" si="270"/>
        <v>2.3142073276946371E-4</v>
      </c>
      <c r="BL364" s="270">
        <f t="shared" si="260"/>
        <v>2.4666666666666679E-4</v>
      </c>
      <c r="BM364" s="271">
        <f t="shared" si="244"/>
        <v>2.466666666666668E-2</v>
      </c>
      <c r="BO364" s="351" t="e">
        <f>((((IF($T$5=0,$T$6,$T$5)))/(12*$T$19))+(((3*$T$15)/(2*IF($T$5=0,$T$6,$T$5)*$U$5*$T$19))*'IN-OUT'!$F$14))*'Burland damage classification'!BS364</f>
        <v>#DIV/0!</v>
      </c>
      <c r="BP364" s="352">
        <f>(1+(((IF($T$5=0,$T$6^2,$T$5^2))*$U$5)/(18*$T$15))*('IN-OUT'!$F$14^(-1)))*BT364</f>
        <v>4.0455737129196722E-4</v>
      </c>
      <c r="BQ364" s="254" t="e">
        <f t="shared" si="229"/>
        <v>#DIV/0!</v>
      </c>
      <c r="BR364" s="254" t="e">
        <f t="shared" si="245"/>
        <v>#DIV/0!</v>
      </c>
      <c r="BS364" s="254">
        <f t="shared" si="261"/>
        <v>2.5333333333333403E-4</v>
      </c>
      <c r="BT364" s="253">
        <f t="shared" si="271"/>
        <v>4.0455737129196722E-4</v>
      </c>
      <c r="BU364" s="253">
        <f t="shared" si="262"/>
        <v>2.4666666666666679E-4</v>
      </c>
      <c r="BV364" s="255">
        <f t="shared" si="246"/>
        <v>2.466666666666668E-2</v>
      </c>
      <c r="BX364" s="351" t="e">
        <f>((((IF($T$5=0,$T$6,$T$5)))/(12*$T$19))+(((3*$T$15)/(2*IF($T$5=0,$T$6,$T$5)*$U$5*$T$19))*'IN-OUT'!$F$14))*'Burland damage classification'!CB364</f>
        <v>#DIV/0!</v>
      </c>
      <c r="BY364" s="352">
        <f>(1+(((IF($T$5=0,$T$6^2,$T$5^2))*$U$5)/(18*$T$15))*('IN-OUT'!$F$14^(-1)))*CC364</f>
        <v>9.0957865703485651E-4</v>
      </c>
      <c r="BZ364" s="254" t="e">
        <f t="shared" si="231"/>
        <v>#DIV/0!</v>
      </c>
      <c r="CA364" s="254" t="e">
        <f t="shared" si="247"/>
        <v>#DIV/0!</v>
      </c>
      <c r="CB364" s="254">
        <f t="shared" si="263"/>
        <v>7.5333333333333372E-4</v>
      </c>
      <c r="CC364" s="253">
        <f t="shared" si="272"/>
        <v>9.0957865703485651E-4</v>
      </c>
      <c r="CD364" s="253">
        <f t="shared" si="264"/>
        <v>2.4666666666666679E-4</v>
      </c>
      <c r="CE364" s="255">
        <f t="shared" si="248"/>
        <v>2.466666666666668E-2</v>
      </c>
      <c r="CG364" s="351" t="e">
        <f>((((IF($T$5=0,$T$6,$T$5)))/(12*$T$19))+(((3*$T$15)/(2*IF($T$5=0,$T$6,$T$5)*$U$5*$T$19))*'IN-OUT'!$F$14))*'Burland damage classification'!CK364</f>
        <v>#DIV/0!</v>
      </c>
      <c r="CH364" s="352">
        <f>(1+(((IF($T$5=0,$T$6^2,$T$5^2))*$U$5)/(18*$T$15))*('IN-OUT'!$F$14^(-1)))*CL364</f>
        <v>1.9117182498126304E-3</v>
      </c>
      <c r="CI364" s="254" t="e">
        <f t="shared" si="233"/>
        <v>#DIV/0!</v>
      </c>
      <c r="CJ364" s="254" t="e">
        <f t="shared" si="249"/>
        <v>#DIV/0!</v>
      </c>
      <c r="CK364" s="254">
        <f t="shared" si="265"/>
        <v>1.7533333333333316E-3</v>
      </c>
      <c r="CL364" s="270">
        <f t="shared" si="234"/>
        <v>1.9117182498126304E-3</v>
      </c>
      <c r="CM364" s="253">
        <f t="shared" si="266"/>
        <v>2.4666666666666679E-4</v>
      </c>
      <c r="CN364" s="255">
        <f t="shared" si="250"/>
        <v>2.466666666666668E-2</v>
      </c>
    </row>
    <row r="365" spans="22:92">
      <c r="V365" s="258">
        <f>(((IF($S$5&lt;&gt;0,$S$5,IF($S$6&lt;&gt;0,$S$6,IF($S$7&lt;&gt;0,$S$7,0))))/(12*$S$19))+(((3*$S$15)/(2*(IF($S$5&lt;&gt;0,$S$5,IF($S$6&lt;&gt;0,$S$6,IF($S$7&lt;&gt;0,$S$7,0))))*$U$5*$S$19))*'IN-OUT'!$F$14))*'Burland damage classification'!Z365</f>
        <v>7.0155596041722673E-4</v>
      </c>
      <c r="W365" s="352">
        <f>(1+(((IF($S$5&lt;&gt;0,$S$5^2,IF($S$6&lt;&gt;0,$S$6^2,IF($S$7&lt;&gt;0,$S$7^2))))*$U$5)/(18*$S$15))*('IN-OUT'!$F$14^(-1)))*AA365</f>
        <v>2.2960075074216212E-4</v>
      </c>
      <c r="X365" s="262">
        <f t="shared" si="219"/>
        <v>2.2960075074216212E-4</v>
      </c>
      <c r="Y365" s="262">
        <f t="shared" si="235"/>
        <v>2.2960075074216213E-2</v>
      </c>
      <c r="Z365" s="262">
        <f t="shared" si="251"/>
        <v>8.0000000000000115E-5</v>
      </c>
      <c r="AA365" s="270">
        <f t="shared" si="267"/>
        <v>2.2803508501982754E-4</v>
      </c>
      <c r="AB365" s="270">
        <f t="shared" si="252"/>
        <v>2.5333333333333344E-4</v>
      </c>
      <c r="AC365" s="271">
        <f t="shared" si="236"/>
        <v>2.5333333333333343E-2</v>
      </c>
      <c r="AE365" s="258">
        <f>(((IF($S$5&lt;&gt;0,$S$5,IF($S$6&lt;&gt;0,$S$6,IF($S$7&lt;&gt;0,$S$7,0))))/(12*$S$19))+(((3*$S$15)/(2*(IF($S$5&lt;&gt;0,$S$5,IF($S$6&lt;&gt;0,$S$6,IF($S$7&lt;&gt;0,$S$7,0))))*$U$5*$S$19))*'IN-OUT'!$F$14))*'Burland damage classification'!AI365</f>
        <v>2.1631308779531191E-3</v>
      </c>
      <c r="AF365" s="353">
        <f>(1+(((IF($S$5&lt;&gt;0,$S$5^2,IF($S$6&lt;&gt;0,$S$6^2,IF($S$7&lt;&gt;0,$S$7^2))))*$U$5)/(18*$S$15))*('IN-OUT'!$F$14^(-1)))*AJ365</f>
        <v>4.0442098761464854E-4</v>
      </c>
      <c r="AG365" s="254">
        <f t="shared" si="221"/>
        <v>4.0442098761464854E-4</v>
      </c>
      <c r="AH365" s="254">
        <f t="shared" si="237"/>
        <v>4.0442098761464852E-2</v>
      </c>
      <c r="AI365" s="254">
        <f t="shared" si="253"/>
        <v>2.4666666666666739E-4</v>
      </c>
      <c r="AJ365" s="253">
        <f t="shared" si="268"/>
        <v>4.0166320883712177E-4</v>
      </c>
      <c r="AK365" s="253">
        <f t="shared" si="254"/>
        <v>2.5333333333333344E-4</v>
      </c>
      <c r="AL365" s="255">
        <f t="shared" si="238"/>
        <v>2.5333333333333343E-2</v>
      </c>
      <c r="AN365" s="258">
        <f>(((IF($S$5&lt;&gt;0,$S$5,IF($S$6&lt;&gt;0,$S$6,IF($S$7&lt;&gt;0,$S$7,0))))/(12*$S$19))+(((3*$S$15)/(2*(IF($S$5&lt;&gt;0,$S$5,IF($S$6&lt;&gt;0,$S$6,IF($S$7&lt;&gt;0,$S$7,0))))*$U$5*$S$19))*'IN-OUT'!$F$14))*'Burland damage classification'!AR365</f>
        <v>6.5478556305607772E-3</v>
      </c>
      <c r="AO365" s="353">
        <f>(1+(((IF($S$5&lt;&gt;0,$S$5^2,IF($S$6&lt;&gt;0,$S$6^2,IF($S$7&lt;&gt;0,$S$7^2))))*$U$5)/(18*$S$15))*('IN-OUT'!$F$14^(-1)))*AS365</f>
        <v>9.1323717571799572E-4</v>
      </c>
      <c r="AP365" s="254">
        <f t="shared" si="223"/>
        <v>9.1323717571799572E-4</v>
      </c>
      <c r="AQ365" s="254">
        <f t="shared" si="239"/>
        <v>9.1323717571799579E-2</v>
      </c>
      <c r="AR365" s="254">
        <f t="shared" si="255"/>
        <v>7.4666666666666707E-4</v>
      </c>
      <c r="AS365" s="253">
        <f t="shared" si="269"/>
        <v>9.0700973901423269E-4</v>
      </c>
      <c r="AT365" s="253">
        <f t="shared" si="256"/>
        <v>2.5333333333333344E-4</v>
      </c>
      <c r="AU365" s="255">
        <f t="shared" si="240"/>
        <v>2.5333333333333343E-2</v>
      </c>
      <c r="AW365" s="258">
        <f>(((IF($S$5&lt;&gt;0,$S$5,IF($S$6&lt;&gt;0,$S$6,IF($S$7&lt;&gt;0,$S$7,0))))/(12*$S$19))+(((3*$S$15)/(2*(IF($S$5&lt;&gt;0,$S$5,IF($S$6&lt;&gt;0,$S$6,IF($S$7&lt;&gt;0,$S$7,0))))*$U$5*$S$19))*'IN-OUT'!$F$14))*'Burland damage classification'!BA365</f>
        <v>1.5317305135776079E-2</v>
      </c>
      <c r="AX365" s="353">
        <f>(1+(((IF($S$5&lt;&gt;0,$S$5^2,IF($S$6&lt;&gt;0,$S$6^2,IF($S$7&lt;&gt;0,$S$7^2))))*$U$5)/(18*$S$15))*('IN-OUT'!$F$14^(-1)))*BB365</f>
        <v>1.9223844966329256E-3</v>
      </c>
      <c r="AY365" s="254">
        <f t="shared" si="225"/>
        <v>1.9223844966329256E-3</v>
      </c>
      <c r="AZ365" s="254">
        <f t="shared" si="241"/>
        <v>0.19223844966329257</v>
      </c>
      <c r="BA365" s="254">
        <f t="shared" si="257"/>
        <v>1.7466666666666648E-3</v>
      </c>
      <c r="BB365" s="270">
        <f t="shared" si="226"/>
        <v>1.90927560434143E-3</v>
      </c>
      <c r="BC365" s="253">
        <f t="shared" si="258"/>
        <v>2.5333333333333344E-4</v>
      </c>
      <c r="BD365" s="255">
        <f t="shared" si="242"/>
        <v>2.5333333333333343E-2</v>
      </c>
      <c r="BF365" s="351" t="e">
        <f>((((IF($T$5=0,$T$6,$T$5)))/(12*$T$19))+(((3*$T$15)/(2*IF($T$5=0,$T$6,$T$5)*$U$5*$T$19))*'IN-OUT'!$F$14))*'Burland damage classification'!BJ365</f>
        <v>#DIV/0!</v>
      </c>
      <c r="BG365" s="352">
        <f>(1+(((IF($T$5=0,$T$6^2,$T$5^2))*$U$5)/(18*$T$15))*('IN-OUT'!$F$14^(-1)))*BK365</f>
        <v>2.2803508501982754E-4</v>
      </c>
      <c r="BH365" s="262" t="e">
        <f t="shared" si="227"/>
        <v>#DIV/0!</v>
      </c>
      <c r="BI365" s="262" t="e">
        <f t="shared" si="243"/>
        <v>#DIV/0!</v>
      </c>
      <c r="BJ365" s="262">
        <f t="shared" si="259"/>
        <v>8.0000000000000115E-5</v>
      </c>
      <c r="BK365" s="270">
        <f t="shared" si="270"/>
        <v>2.2803508501982754E-4</v>
      </c>
      <c r="BL365" s="270">
        <f t="shared" si="260"/>
        <v>2.5333333333333344E-4</v>
      </c>
      <c r="BM365" s="271">
        <f t="shared" si="244"/>
        <v>2.5333333333333343E-2</v>
      </c>
      <c r="BO365" s="351" t="e">
        <f>((((IF($T$5=0,$T$6,$T$5)))/(12*$T$19))+(((3*$T$15)/(2*IF($T$5=0,$T$6,$T$5)*$U$5*$T$19))*'IN-OUT'!$F$14))*'Burland damage classification'!BS365</f>
        <v>#DIV/0!</v>
      </c>
      <c r="BP365" s="352">
        <f>(1+(((IF($T$5=0,$T$6^2,$T$5^2))*$U$5)/(18*$T$15))*('IN-OUT'!$F$14^(-1)))*BT365</f>
        <v>4.0166320883712177E-4</v>
      </c>
      <c r="BQ365" s="254" t="e">
        <f t="shared" si="229"/>
        <v>#DIV/0!</v>
      </c>
      <c r="BR365" s="254" t="e">
        <f t="shared" si="245"/>
        <v>#DIV/0!</v>
      </c>
      <c r="BS365" s="254">
        <f t="shared" si="261"/>
        <v>2.4666666666666739E-4</v>
      </c>
      <c r="BT365" s="253">
        <f t="shared" si="271"/>
        <v>4.0166320883712177E-4</v>
      </c>
      <c r="BU365" s="253">
        <f t="shared" si="262"/>
        <v>2.5333333333333344E-4</v>
      </c>
      <c r="BV365" s="255">
        <f t="shared" si="246"/>
        <v>2.5333333333333343E-2</v>
      </c>
      <c r="BX365" s="351" t="e">
        <f>((((IF($T$5=0,$T$6,$T$5)))/(12*$T$19))+(((3*$T$15)/(2*IF($T$5=0,$T$6,$T$5)*$U$5*$T$19))*'IN-OUT'!$F$14))*'Burland damage classification'!CB365</f>
        <v>#DIV/0!</v>
      </c>
      <c r="BY365" s="352">
        <f>(1+(((IF($T$5=0,$T$6^2,$T$5^2))*$U$5)/(18*$T$15))*('IN-OUT'!$F$14^(-1)))*CC365</f>
        <v>9.0700973901423269E-4</v>
      </c>
      <c r="BZ365" s="254" t="e">
        <f t="shared" si="231"/>
        <v>#DIV/0!</v>
      </c>
      <c r="CA365" s="254" t="e">
        <f t="shared" si="247"/>
        <v>#DIV/0!</v>
      </c>
      <c r="CB365" s="254">
        <f t="shared" si="263"/>
        <v>7.4666666666666707E-4</v>
      </c>
      <c r="CC365" s="253">
        <f t="shared" si="272"/>
        <v>9.0700973901423269E-4</v>
      </c>
      <c r="CD365" s="253">
        <f t="shared" si="264"/>
        <v>2.5333333333333344E-4</v>
      </c>
      <c r="CE365" s="255">
        <f t="shared" si="248"/>
        <v>2.5333333333333343E-2</v>
      </c>
      <c r="CG365" s="351" t="e">
        <f>((((IF($T$5=0,$T$6,$T$5)))/(12*$T$19))+(((3*$T$15)/(2*IF($T$5=0,$T$6,$T$5)*$U$5*$T$19))*'IN-OUT'!$F$14))*'Burland damage classification'!CK365</f>
        <v>#DIV/0!</v>
      </c>
      <c r="CH365" s="352">
        <f>(1+(((IF($T$5=0,$T$6^2,$T$5^2))*$U$5)/(18*$T$15))*('IN-OUT'!$F$14^(-1)))*CL365</f>
        <v>1.90927560434143E-3</v>
      </c>
      <c r="CI365" s="254" t="e">
        <f t="shared" si="233"/>
        <v>#DIV/0!</v>
      </c>
      <c r="CJ365" s="254" t="e">
        <f t="shared" si="249"/>
        <v>#DIV/0!</v>
      </c>
      <c r="CK365" s="254">
        <f t="shared" si="265"/>
        <v>1.7466666666666648E-3</v>
      </c>
      <c r="CL365" s="270">
        <f t="shared" si="234"/>
        <v>1.90927560434143E-3</v>
      </c>
      <c r="CM365" s="253">
        <f t="shared" si="266"/>
        <v>2.5333333333333344E-4</v>
      </c>
      <c r="CN365" s="255">
        <f t="shared" si="250"/>
        <v>2.5333333333333343E-2</v>
      </c>
    </row>
    <row r="366" spans="22:92">
      <c r="V366" s="258">
        <f>(((IF($S$5&lt;&gt;0,$S$5,IF($S$6&lt;&gt;0,$S$6,IF($S$7&lt;&gt;0,$S$7,0))))/(12*$S$19))+(((3*$S$15)/(2*(IF($S$5&lt;&gt;0,$S$5,IF($S$6&lt;&gt;0,$S$6,IF($S$7&lt;&gt;0,$S$7,0))))*$U$5*$S$19))*'IN-OUT'!$F$14))*'Burland damage classification'!Z366</f>
        <v>6.4309296371579136E-4</v>
      </c>
      <c r="W366" s="352">
        <f>(1+(((IF($S$5&lt;&gt;0,$S$5^2,IF($S$6&lt;&gt;0,$S$6^2,IF($S$7&lt;&gt;0,$S$7^2))))*$U$5)/(18*$S$15))*('IN-OUT'!$F$14^(-1)))*AA366</f>
        <v>2.2614047687950396E-4</v>
      </c>
      <c r="X366" s="262">
        <f t="shared" si="219"/>
        <v>2.2614047687950396E-4</v>
      </c>
      <c r="Y366" s="262">
        <f t="shared" si="235"/>
        <v>2.2614047687950396E-2</v>
      </c>
      <c r="Z366" s="262">
        <f t="shared" si="251"/>
        <v>7.3333333333333453E-5</v>
      </c>
      <c r="AA366" s="270">
        <f t="shared" si="267"/>
        <v>2.2459840703897352E-4</v>
      </c>
      <c r="AB366" s="270">
        <f t="shared" si="252"/>
        <v>2.6000000000000009E-4</v>
      </c>
      <c r="AC366" s="271">
        <f t="shared" si="236"/>
        <v>2.6000000000000009E-2</v>
      </c>
      <c r="AE366" s="258">
        <f>(((IF($S$5&lt;&gt;0,$S$5,IF($S$6&lt;&gt;0,$S$6,IF($S$7&lt;&gt;0,$S$7,0))))/(12*$S$19))+(((3*$S$15)/(2*(IF($S$5&lt;&gt;0,$S$5,IF($S$6&lt;&gt;0,$S$6,IF($S$7&lt;&gt;0,$S$7,0))))*$U$5*$S$19))*'IN-OUT'!$F$14))*'Burland damage classification'!AI366</f>
        <v>2.1046678812516833E-3</v>
      </c>
      <c r="AF366" s="353">
        <f>(1+(((IF($S$5&lt;&gt;0,$S$5^2,IF($S$6&lt;&gt;0,$S$6^2,IF($S$7&lt;&gt;0,$S$7^2))))*$U$5)/(18*$S$15))*('IN-OUT'!$F$14^(-1)))*AJ366</f>
        <v>4.0148580427718135E-4</v>
      </c>
      <c r="AG366" s="254">
        <f t="shared" si="221"/>
        <v>4.0148580427718135E-4</v>
      </c>
      <c r="AH366" s="254">
        <f t="shared" si="237"/>
        <v>4.0148580427718135E-2</v>
      </c>
      <c r="AI366" s="254">
        <f t="shared" si="253"/>
        <v>2.4000000000000071E-4</v>
      </c>
      <c r="AJ366" s="253">
        <f t="shared" si="268"/>
        <v>3.9874804074753765E-4</v>
      </c>
      <c r="AK366" s="253">
        <f t="shared" si="254"/>
        <v>2.6000000000000009E-4</v>
      </c>
      <c r="AL366" s="255">
        <f t="shared" si="238"/>
        <v>2.6000000000000009E-2</v>
      </c>
      <c r="AN366" s="258">
        <f>(((IF($S$5&lt;&gt;0,$S$5,IF($S$6&lt;&gt;0,$S$6,IF($S$7&lt;&gt;0,$S$7,0))))/(12*$S$19))+(((3*$S$15)/(2*(IF($S$5&lt;&gt;0,$S$5,IF($S$6&lt;&gt;0,$S$6,IF($S$7&lt;&gt;0,$S$7,0))))*$U$5*$S$19))*'IN-OUT'!$F$14))*'Burland damage classification'!AR366</f>
        <v>6.4893926338593418E-3</v>
      </c>
      <c r="AO366" s="353">
        <f>(1+(((IF($S$5&lt;&gt;0,$S$5^2,IF($S$6&lt;&gt;0,$S$6^2,IF($S$7&lt;&gt;0,$S$7^2))))*$U$5)/(18*$S$15))*('IN-OUT'!$F$14^(-1)))*AS366</f>
        <v>9.106432730433781E-4</v>
      </c>
      <c r="AP366" s="254">
        <f t="shared" si="223"/>
        <v>9.106432730433781E-4</v>
      </c>
      <c r="AQ366" s="254">
        <f t="shared" si="239"/>
        <v>9.1064327304337805E-2</v>
      </c>
      <c r="AR366" s="254">
        <f t="shared" si="255"/>
        <v>7.4000000000000042E-4</v>
      </c>
      <c r="AS366" s="253">
        <f t="shared" si="269"/>
        <v>9.0443352436760094E-4</v>
      </c>
      <c r="AT366" s="253">
        <f t="shared" si="256"/>
        <v>2.6000000000000009E-4</v>
      </c>
      <c r="AU366" s="255">
        <f t="shared" si="240"/>
        <v>2.6000000000000009E-2</v>
      </c>
      <c r="AW366" s="258">
        <f>(((IF($S$5&lt;&gt;0,$S$5,IF($S$6&lt;&gt;0,$S$6,IF($S$7&lt;&gt;0,$S$7,0))))/(12*$S$19))+(((3*$S$15)/(2*(IF($S$5&lt;&gt;0,$S$5,IF($S$6&lt;&gt;0,$S$6,IF($S$7&lt;&gt;0,$S$7,0))))*$U$5*$S$19))*'IN-OUT'!$F$14))*'Burland damage classification'!BA366</f>
        <v>1.5258842139074642E-2</v>
      </c>
      <c r="AX366" s="353">
        <f>(1+(((IF($S$5&lt;&gt;0,$S$5^2,IF($S$6&lt;&gt;0,$S$6^2,IF($S$7&lt;&gt;0,$S$7^2))))*$U$5)/(18*$S$15))*('IN-OUT'!$F$14^(-1)))*BB366</f>
        <v>1.9199219297008348E-3</v>
      </c>
      <c r="AY366" s="254">
        <f t="shared" si="225"/>
        <v>1.9199219297008348E-3</v>
      </c>
      <c r="AZ366" s="254">
        <f t="shared" si="241"/>
        <v>0.19199219297008346</v>
      </c>
      <c r="BA366" s="254">
        <f t="shared" si="257"/>
        <v>1.7399999999999981E-3</v>
      </c>
      <c r="BB366" s="270">
        <f t="shared" si="226"/>
        <v>1.9068298298484843E-3</v>
      </c>
      <c r="BC366" s="253">
        <f t="shared" si="258"/>
        <v>2.6000000000000009E-4</v>
      </c>
      <c r="BD366" s="255">
        <f t="shared" si="242"/>
        <v>2.6000000000000009E-2</v>
      </c>
      <c r="BF366" s="351" t="e">
        <f>((((IF($T$5=0,$T$6,$T$5)))/(12*$T$19))+(((3*$T$15)/(2*IF($T$5=0,$T$6,$T$5)*$U$5*$T$19))*'IN-OUT'!$F$14))*'Burland damage classification'!BJ366</f>
        <v>#DIV/0!</v>
      </c>
      <c r="BG366" s="352">
        <f>(1+(((IF($T$5=0,$T$6^2,$T$5^2))*$U$5)/(18*$T$15))*('IN-OUT'!$F$14^(-1)))*BK366</f>
        <v>2.2459840703897352E-4</v>
      </c>
      <c r="BH366" s="262" t="e">
        <f t="shared" si="227"/>
        <v>#DIV/0!</v>
      </c>
      <c r="BI366" s="262" t="e">
        <f t="shared" si="243"/>
        <v>#DIV/0!</v>
      </c>
      <c r="BJ366" s="262">
        <f t="shared" si="259"/>
        <v>7.3333333333333453E-5</v>
      </c>
      <c r="BK366" s="270">
        <f t="shared" si="270"/>
        <v>2.2459840703897352E-4</v>
      </c>
      <c r="BL366" s="270">
        <f t="shared" si="260"/>
        <v>2.6000000000000009E-4</v>
      </c>
      <c r="BM366" s="271">
        <f t="shared" si="244"/>
        <v>2.6000000000000009E-2</v>
      </c>
      <c r="BO366" s="351" t="e">
        <f>((((IF($T$5=0,$T$6,$T$5)))/(12*$T$19))+(((3*$T$15)/(2*IF($T$5=0,$T$6,$T$5)*$U$5*$T$19))*'IN-OUT'!$F$14))*'Burland damage classification'!BS366</f>
        <v>#DIV/0!</v>
      </c>
      <c r="BP366" s="352">
        <f>(1+(((IF($T$5=0,$T$6^2,$T$5^2))*$U$5)/(18*$T$15))*('IN-OUT'!$F$14^(-1)))*BT366</f>
        <v>3.9874804074753765E-4</v>
      </c>
      <c r="BQ366" s="254" t="e">
        <f t="shared" si="229"/>
        <v>#DIV/0!</v>
      </c>
      <c r="BR366" s="254" t="e">
        <f t="shared" si="245"/>
        <v>#DIV/0!</v>
      </c>
      <c r="BS366" s="254">
        <f t="shared" si="261"/>
        <v>2.4000000000000071E-4</v>
      </c>
      <c r="BT366" s="253">
        <f t="shared" si="271"/>
        <v>3.9874804074753765E-4</v>
      </c>
      <c r="BU366" s="253">
        <f t="shared" si="262"/>
        <v>2.6000000000000009E-4</v>
      </c>
      <c r="BV366" s="255">
        <f t="shared" si="246"/>
        <v>2.6000000000000009E-2</v>
      </c>
      <c r="BX366" s="351" t="e">
        <f>((((IF($T$5=0,$T$6,$T$5)))/(12*$T$19))+(((3*$T$15)/(2*IF($T$5=0,$T$6,$T$5)*$U$5*$T$19))*'IN-OUT'!$F$14))*'Burland damage classification'!CB366</f>
        <v>#DIV/0!</v>
      </c>
      <c r="BY366" s="352">
        <f>(1+(((IF($T$5=0,$T$6^2,$T$5^2))*$U$5)/(18*$T$15))*('IN-OUT'!$F$14^(-1)))*CC366</f>
        <v>9.0443352436760094E-4</v>
      </c>
      <c r="BZ366" s="254" t="e">
        <f t="shared" si="231"/>
        <v>#DIV/0!</v>
      </c>
      <c r="CA366" s="254" t="e">
        <f t="shared" si="247"/>
        <v>#DIV/0!</v>
      </c>
      <c r="CB366" s="254">
        <f t="shared" si="263"/>
        <v>7.4000000000000042E-4</v>
      </c>
      <c r="CC366" s="253">
        <f t="shared" si="272"/>
        <v>9.0443352436760094E-4</v>
      </c>
      <c r="CD366" s="253">
        <f t="shared" si="264"/>
        <v>2.6000000000000009E-4</v>
      </c>
      <c r="CE366" s="255">
        <f t="shared" si="248"/>
        <v>2.6000000000000009E-2</v>
      </c>
      <c r="CG366" s="351" t="e">
        <f>((((IF($T$5=0,$T$6,$T$5)))/(12*$T$19))+(((3*$T$15)/(2*IF($T$5=0,$T$6,$T$5)*$U$5*$T$19))*'IN-OUT'!$F$14))*'Burland damage classification'!CK366</f>
        <v>#DIV/0!</v>
      </c>
      <c r="CH366" s="352">
        <f>(1+(((IF($T$5=0,$T$6^2,$T$5^2))*$U$5)/(18*$T$15))*('IN-OUT'!$F$14^(-1)))*CL366</f>
        <v>1.9068298298484843E-3</v>
      </c>
      <c r="CI366" s="254" t="e">
        <f t="shared" si="233"/>
        <v>#DIV/0!</v>
      </c>
      <c r="CJ366" s="254" t="e">
        <f t="shared" si="249"/>
        <v>#DIV/0!</v>
      </c>
      <c r="CK366" s="254">
        <f t="shared" si="265"/>
        <v>1.7399999999999981E-3</v>
      </c>
      <c r="CL366" s="270">
        <f t="shared" si="234"/>
        <v>1.9068298298484843E-3</v>
      </c>
      <c r="CM366" s="253">
        <f t="shared" si="266"/>
        <v>2.6000000000000009E-4</v>
      </c>
      <c r="CN366" s="255">
        <f t="shared" si="250"/>
        <v>2.6000000000000009E-2</v>
      </c>
    </row>
    <row r="367" spans="22:92">
      <c r="V367" s="258">
        <f>(((IF($S$5&lt;&gt;0,$S$5,IF($S$6&lt;&gt;0,$S$6,IF($S$7&lt;&gt;0,$S$7,0))))/(12*$S$19))+(((3*$S$15)/(2*(IF($S$5&lt;&gt;0,$S$5,IF($S$6&lt;&gt;0,$S$6,IF($S$7&lt;&gt;0,$S$7,0))))*$U$5*$S$19))*'IN-OUT'!$F$14))*'Burland damage classification'!Z367</f>
        <v>5.8462996701435588E-4</v>
      </c>
      <c r="W367" s="352">
        <f>(1+(((IF($S$5&lt;&gt;0,$S$5^2,IF($S$6&lt;&gt;0,$S$6^2,IF($S$7&lt;&gt;0,$S$7^2))))*$U$5)/(18*$S$15))*('IN-OUT'!$F$14^(-1)))*AA367</f>
        <v>2.2262642661017237E-4</v>
      </c>
      <c r="X367" s="262">
        <f t="shared" si="219"/>
        <v>2.2262642661017237E-4</v>
      </c>
      <c r="Y367" s="262">
        <f t="shared" si="235"/>
        <v>2.2262642661017237E-2</v>
      </c>
      <c r="Z367" s="262">
        <f t="shared" si="251"/>
        <v>6.6666666666666792E-5</v>
      </c>
      <c r="AA367" s="270">
        <f t="shared" si="267"/>
        <v>2.2110831935702663E-4</v>
      </c>
      <c r="AB367" s="270">
        <f t="shared" si="252"/>
        <v>2.6666666666666673E-4</v>
      </c>
      <c r="AC367" s="271">
        <f t="shared" si="236"/>
        <v>2.6666666666666672E-2</v>
      </c>
      <c r="AE367" s="258">
        <f>(((IF($S$5&lt;&gt;0,$S$5,IF($S$6&lt;&gt;0,$S$6,IF($S$7&lt;&gt;0,$S$7,0))))/(12*$S$19))+(((3*$S$15)/(2*(IF($S$5&lt;&gt;0,$S$5,IF($S$6&lt;&gt;0,$S$6,IF($S$7&lt;&gt;0,$S$7,0))))*$U$5*$S$19))*'IN-OUT'!$F$14))*'Burland damage classification'!AI367</f>
        <v>2.046204884550248E-3</v>
      </c>
      <c r="AF367" s="353">
        <f>(1+(((IF($S$5&lt;&gt;0,$S$5^2,IF($S$6&lt;&gt;0,$S$6^2,IF($S$7&lt;&gt;0,$S$7^2))))*$U$5)/(18*$S$15))*('IN-OUT'!$F$14^(-1)))*AJ367</f>
        <v>3.9852900377385667E-4</v>
      </c>
      <c r="AG367" s="254">
        <f t="shared" si="221"/>
        <v>3.9852900377385667E-4</v>
      </c>
      <c r="AH367" s="254">
        <f t="shared" si="237"/>
        <v>3.9852900377385668E-2</v>
      </c>
      <c r="AI367" s="254">
        <f t="shared" si="253"/>
        <v>2.3333333333333404E-4</v>
      </c>
      <c r="AJ367" s="253">
        <f t="shared" si="268"/>
        <v>3.9581140290126382E-4</v>
      </c>
      <c r="AK367" s="253">
        <f t="shared" si="254"/>
        <v>2.6666666666666673E-4</v>
      </c>
      <c r="AL367" s="255">
        <f t="shared" si="238"/>
        <v>2.6666666666666672E-2</v>
      </c>
      <c r="AN367" s="258">
        <f>(((IF($S$5&lt;&gt;0,$S$5,IF($S$6&lt;&gt;0,$S$6,IF($S$7&lt;&gt;0,$S$7,0))))/(12*$S$19))+(((3*$S$15)/(2*(IF($S$5&lt;&gt;0,$S$5,IF($S$6&lt;&gt;0,$S$6,IF($S$7&lt;&gt;0,$S$7,0))))*$U$5*$S$19))*'IN-OUT'!$F$14))*'Burland damage classification'!AR367</f>
        <v>6.4309296371579065E-3</v>
      </c>
      <c r="AO367" s="353">
        <f>(1+(((IF($S$5&lt;&gt;0,$S$5^2,IF($S$6&lt;&gt;0,$S$6^2,IF($S$7&lt;&gt;0,$S$7^2))))*$U$5)/(18*$S$15))*('IN-OUT'!$F$14^(-1)))*AS367</f>
        <v>9.0804196068514998E-4</v>
      </c>
      <c r="AP367" s="254">
        <f t="shared" si="223"/>
        <v>9.0804196068514998E-4</v>
      </c>
      <c r="AQ367" s="254">
        <f t="shared" si="239"/>
        <v>9.0804196068515003E-2</v>
      </c>
      <c r="AR367" s="254">
        <f t="shared" si="255"/>
        <v>7.3333333333333378E-4</v>
      </c>
      <c r="AS367" s="253">
        <f t="shared" si="269"/>
        <v>9.018499505645788E-4</v>
      </c>
      <c r="AT367" s="253">
        <f t="shared" si="256"/>
        <v>2.6666666666666673E-4</v>
      </c>
      <c r="AU367" s="255">
        <f t="shared" si="240"/>
        <v>2.6666666666666672E-2</v>
      </c>
      <c r="AW367" s="258">
        <f>(((IF($S$5&lt;&gt;0,$S$5,IF($S$6&lt;&gt;0,$S$6,IF($S$7&lt;&gt;0,$S$7,0))))/(12*$S$19))+(((3*$S$15)/(2*(IF($S$5&lt;&gt;0,$S$5,IF($S$6&lt;&gt;0,$S$6,IF($S$7&lt;&gt;0,$S$7,0))))*$U$5*$S$19))*'IN-OUT'!$F$14))*'Burland damage classification'!BA367</f>
        <v>1.5200379142373207E-2</v>
      </c>
      <c r="AX367" s="353">
        <f>(1+(((IF($S$5&lt;&gt;0,$S$5^2,IF($S$6&lt;&gt;0,$S$6^2,IF($S$7&lt;&gt;0,$S$7^2))))*$U$5)/(18*$S$15))*('IN-OUT'!$F$14^(-1)))*BB367</f>
        <v>1.9174562001249801E-3</v>
      </c>
      <c r="AY367" s="254">
        <f t="shared" si="225"/>
        <v>1.9174562001249801E-3</v>
      </c>
      <c r="AZ367" s="254">
        <f t="shared" si="241"/>
        <v>0.19174562001249801</v>
      </c>
      <c r="BA367" s="254">
        <f t="shared" si="257"/>
        <v>1.7333333333333313E-3</v>
      </c>
      <c r="BB367" s="270">
        <f t="shared" si="226"/>
        <v>1.9043809142780933E-3</v>
      </c>
      <c r="BC367" s="253">
        <f t="shared" si="258"/>
        <v>2.6666666666666673E-4</v>
      </c>
      <c r="BD367" s="255">
        <f t="shared" si="242"/>
        <v>2.6666666666666672E-2</v>
      </c>
      <c r="BF367" s="351" t="e">
        <f>((((IF($T$5=0,$T$6,$T$5)))/(12*$T$19))+(((3*$T$15)/(2*IF($T$5=0,$T$6,$T$5)*$U$5*$T$19))*'IN-OUT'!$F$14))*'Burland damage classification'!BJ367</f>
        <v>#DIV/0!</v>
      </c>
      <c r="BG367" s="352">
        <f>(1+(((IF($T$5=0,$T$6^2,$T$5^2))*$U$5)/(18*$T$15))*('IN-OUT'!$F$14^(-1)))*BK367</f>
        <v>2.2110831935702663E-4</v>
      </c>
      <c r="BH367" s="262" t="e">
        <f t="shared" si="227"/>
        <v>#DIV/0!</v>
      </c>
      <c r="BI367" s="262" t="e">
        <f t="shared" si="243"/>
        <v>#DIV/0!</v>
      </c>
      <c r="BJ367" s="262">
        <f t="shared" si="259"/>
        <v>6.6666666666666792E-5</v>
      </c>
      <c r="BK367" s="270">
        <f t="shared" si="270"/>
        <v>2.2110831935702663E-4</v>
      </c>
      <c r="BL367" s="270">
        <f t="shared" si="260"/>
        <v>2.6666666666666673E-4</v>
      </c>
      <c r="BM367" s="271">
        <f t="shared" si="244"/>
        <v>2.6666666666666672E-2</v>
      </c>
      <c r="BO367" s="351" t="e">
        <f>((((IF($T$5=0,$T$6,$T$5)))/(12*$T$19))+(((3*$T$15)/(2*IF($T$5=0,$T$6,$T$5)*$U$5*$T$19))*'IN-OUT'!$F$14))*'Burland damage classification'!BS367</f>
        <v>#DIV/0!</v>
      </c>
      <c r="BP367" s="352">
        <f>(1+(((IF($T$5=0,$T$6^2,$T$5^2))*$U$5)/(18*$T$15))*('IN-OUT'!$F$14^(-1)))*BT367</f>
        <v>3.9581140290126382E-4</v>
      </c>
      <c r="BQ367" s="254" t="e">
        <f t="shared" si="229"/>
        <v>#DIV/0!</v>
      </c>
      <c r="BR367" s="254" t="e">
        <f t="shared" si="245"/>
        <v>#DIV/0!</v>
      </c>
      <c r="BS367" s="254">
        <f t="shared" si="261"/>
        <v>2.3333333333333404E-4</v>
      </c>
      <c r="BT367" s="253">
        <f t="shared" si="271"/>
        <v>3.9581140290126382E-4</v>
      </c>
      <c r="BU367" s="253">
        <f t="shared" si="262"/>
        <v>2.6666666666666673E-4</v>
      </c>
      <c r="BV367" s="255">
        <f t="shared" si="246"/>
        <v>2.6666666666666672E-2</v>
      </c>
      <c r="BX367" s="351" t="e">
        <f>((((IF($T$5=0,$T$6,$T$5)))/(12*$T$19))+(((3*$T$15)/(2*IF($T$5=0,$T$6,$T$5)*$U$5*$T$19))*'IN-OUT'!$F$14))*'Burland damage classification'!CB367</f>
        <v>#DIV/0!</v>
      </c>
      <c r="BY367" s="352">
        <f>(1+(((IF($T$5=0,$T$6^2,$T$5^2))*$U$5)/(18*$T$15))*('IN-OUT'!$F$14^(-1)))*CC367</f>
        <v>9.018499505645788E-4</v>
      </c>
      <c r="BZ367" s="254" t="e">
        <f t="shared" si="231"/>
        <v>#DIV/0!</v>
      </c>
      <c r="CA367" s="254" t="e">
        <f t="shared" si="247"/>
        <v>#DIV/0!</v>
      </c>
      <c r="CB367" s="254">
        <f t="shared" si="263"/>
        <v>7.3333333333333378E-4</v>
      </c>
      <c r="CC367" s="253">
        <f t="shared" si="272"/>
        <v>9.018499505645788E-4</v>
      </c>
      <c r="CD367" s="253">
        <f t="shared" si="264"/>
        <v>2.6666666666666673E-4</v>
      </c>
      <c r="CE367" s="255">
        <f t="shared" si="248"/>
        <v>2.6666666666666672E-2</v>
      </c>
      <c r="CG367" s="351" t="e">
        <f>((((IF($T$5=0,$T$6,$T$5)))/(12*$T$19))+(((3*$T$15)/(2*IF($T$5=0,$T$6,$T$5)*$U$5*$T$19))*'IN-OUT'!$F$14))*'Burland damage classification'!CK367</f>
        <v>#DIV/0!</v>
      </c>
      <c r="CH367" s="352">
        <f>(1+(((IF($T$5=0,$T$6^2,$T$5^2))*$U$5)/(18*$T$15))*('IN-OUT'!$F$14^(-1)))*CL367</f>
        <v>1.9043809142780933E-3</v>
      </c>
      <c r="CI367" s="254" t="e">
        <f t="shared" si="233"/>
        <v>#DIV/0!</v>
      </c>
      <c r="CJ367" s="254" t="e">
        <f t="shared" si="249"/>
        <v>#DIV/0!</v>
      </c>
      <c r="CK367" s="254">
        <f t="shared" si="265"/>
        <v>1.7333333333333313E-3</v>
      </c>
      <c r="CL367" s="270">
        <f t="shared" si="234"/>
        <v>1.9043809142780933E-3</v>
      </c>
      <c r="CM367" s="253">
        <f t="shared" si="266"/>
        <v>2.6666666666666673E-4</v>
      </c>
      <c r="CN367" s="255">
        <f t="shared" si="250"/>
        <v>2.6666666666666672E-2</v>
      </c>
    </row>
    <row r="368" spans="22:92">
      <c r="V368" s="258">
        <f>(((IF($S$5&lt;&gt;0,$S$5,IF($S$6&lt;&gt;0,$S$6,IF($S$7&lt;&gt;0,$S$7,0))))/(12*$S$19))+(((3*$S$15)/(2*(IF($S$5&lt;&gt;0,$S$5,IF($S$6&lt;&gt;0,$S$6,IF($S$7&lt;&gt;0,$S$7,0))))*$U$5*$S$19))*'IN-OUT'!$F$14))*'Burland damage classification'!Z368</f>
        <v>5.261669703129204E-4</v>
      </c>
      <c r="W368" s="352">
        <f>(1+(((IF($S$5&lt;&gt;0,$S$5^2,IF($S$6&lt;&gt;0,$S$6^2,IF($S$7&lt;&gt;0,$S$7^2))))*$U$5)/(18*$S$15))*('IN-OUT'!$F$14^(-1)))*AA368</f>
        <v>2.1905601194018725E-4</v>
      </c>
      <c r="X368" s="262">
        <f t="shared" si="219"/>
        <v>2.1905601194018725E-4</v>
      </c>
      <c r="Y368" s="262">
        <f t="shared" si="235"/>
        <v>2.1905601194018725E-2</v>
      </c>
      <c r="Z368" s="262">
        <f t="shared" si="251"/>
        <v>6.0000000000000123E-5</v>
      </c>
      <c r="AA368" s="270">
        <f t="shared" si="267"/>
        <v>2.1756225162774292E-4</v>
      </c>
      <c r="AB368" s="270">
        <f t="shared" si="252"/>
        <v>2.7333333333333338E-4</v>
      </c>
      <c r="AC368" s="271">
        <f t="shared" si="236"/>
        <v>2.7333333333333338E-2</v>
      </c>
      <c r="AE368" s="258">
        <f>(((IF($S$5&lt;&gt;0,$S$5,IF($S$6&lt;&gt;0,$S$6,IF($S$7&lt;&gt;0,$S$7,0))))/(12*$S$19))+(((3*$S$15)/(2*(IF($S$5&lt;&gt;0,$S$5,IF($S$6&lt;&gt;0,$S$6,IF($S$7&lt;&gt;0,$S$7,0))))*$U$5*$S$19))*'IN-OUT'!$F$14))*'Burland damage classification'!AI368</f>
        <v>1.9877418878488122E-3</v>
      </c>
      <c r="AF368" s="353">
        <f>(1+(((IF($S$5&lt;&gt;0,$S$5^2,IF($S$6&lt;&gt;0,$S$6^2,IF($S$7&lt;&gt;0,$S$7^2))))*$U$5)/(18*$S$15))*('IN-OUT'!$F$14^(-1)))*AJ368</f>
        <v>3.9555010132961689E-4</v>
      </c>
      <c r="AG368" s="254">
        <f t="shared" si="221"/>
        <v>3.9555010132961689E-4</v>
      </c>
      <c r="AH368" s="254">
        <f t="shared" si="237"/>
        <v>3.9555010132961692E-2</v>
      </c>
      <c r="AI368" s="254">
        <f t="shared" si="253"/>
        <v>2.2666666666666736E-4</v>
      </c>
      <c r="AJ368" s="253">
        <f t="shared" si="268"/>
        <v>3.928528138289623E-4</v>
      </c>
      <c r="AK368" s="253">
        <f t="shared" si="254"/>
        <v>2.7333333333333338E-4</v>
      </c>
      <c r="AL368" s="255">
        <f t="shared" si="238"/>
        <v>2.7333333333333338E-2</v>
      </c>
      <c r="AN368" s="258">
        <f>(((IF($S$5&lt;&gt;0,$S$5,IF($S$6&lt;&gt;0,$S$6,IF($S$7&lt;&gt;0,$S$7,0))))/(12*$S$19))+(((3*$S$15)/(2*(IF($S$5&lt;&gt;0,$S$5,IF($S$6&lt;&gt;0,$S$6,IF($S$7&lt;&gt;0,$S$7,0))))*$U$5*$S$19))*'IN-OUT'!$F$14))*'Burland damage classification'!AR368</f>
        <v>6.3724666404564711E-3</v>
      </c>
      <c r="AO368" s="353">
        <f>(1+(((IF($S$5&lt;&gt;0,$S$5^2,IF($S$6&lt;&gt;0,$S$6^2,IF($S$7&lt;&gt;0,$S$7^2))))*$U$5)/(18*$S$15))*('IN-OUT'!$F$14^(-1)))*AS368</f>
        <v>9.0543317477918069E-4</v>
      </c>
      <c r="AP368" s="254">
        <f t="shared" si="223"/>
        <v>9.0543317477918069E-4</v>
      </c>
      <c r="AQ368" s="254">
        <f t="shared" si="239"/>
        <v>9.0543317477918064E-2</v>
      </c>
      <c r="AR368" s="254">
        <f t="shared" si="255"/>
        <v>7.2666666666666713E-4</v>
      </c>
      <c r="AS368" s="253">
        <f t="shared" si="269"/>
        <v>8.9925895417653E-4</v>
      </c>
      <c r="AT368" s="253">
        <f t="shared" si="256"/>
        <v>2.7333333333333338E-4</v>
      </c>
      <c r="AU368" s="255">
        <f t="shared" si="240"/>
        <v>2.7333333333333338E-2</v>
      </c>
      <c r="AW368" s="258">
        <f>(((IF($S$5&lt;&gt;0,$S$5,IF($S$6&lt;&gt;0,$S$6,IF($S$7&lt;&gt;0,$S$7,0))))/(12*$S$19))+(((3*$S$15)/(2*(IF($S$5&lt;&gt;0,$S$5,IF($S$6&lt;&gt;0,$S$6,IF($S$7&lt;&gt;0,$S$7,0))))*$U$5*$S$19))*'IN-OUT'!$F$14))*'Burland damage classification'!BA368</f>
        <v>1.514191614567177E-2</v>
      </c>
      <c r="AX368" s="353">
        <f>(1+(((IF($S$5&lt;&gt;0,$S$5^2,IF($S$6&lt;&gt;0,$S$6^2,IF($S$7&lt;&gt;0,$S$7^2))))*$U$5)/(18*$S$15))*('IN-OUT'!$F$14^(-1)))*BB368</f>
        <v>1.914987295688741E-3</v>
      </c>
      <c r="AY368" s="254">
        <f t="shared" si="225"/>
        <v>1.914987295688741E-3</v>
      </c>
      <c r="AZ368" s="254">
        <f t="shared" si="241"/>
        <v>0.19149872956887409</v>
      </c>
      <c r="BA368" s="254">
        <f t="shared" si="257"/>
        <v>1.7266666666666645E-3</v>
      </c>
      <c r="BB368" s="270">
        <f t="shared" si="226"/>
        <v>1.9019288454969426E-3</v>
      </c>
      <c r="BC368" s="253">
        <f t="shared" si="258"/>
        <v>2.7333333333333338E-4</v>
      </c>
      <c r="BD368" s="255">
        <f t="shared" si="242"/>
        <v>2.7333333333333338E-2</v>
      </c>
      <c r="BF368" s="351" t="e">
        <f>((((IF($T$5=0,$T$6,$T$5)))/(12*$T$19))+(((3*$T$15)/(2*IF($T$5=0,$T$6,$T$5)*$U$5*$T$19))*'IN-OUT'!$F$14))*'Burland damage classification'!BJ368</f>
        <v>#DIV/0!</v>
      </c>
      <c r="BG368" s="352">
        <f>(1+(((IF($T$5=0,$T$6^2,$T$5^2))*$U$5)/(18*$T$15))*('IN-OUT'!$F$14^(-1)))*BK368</f>
        <v>2.1756225162774292E-4</v>
      </c>
      <c r="BH368" s="262" t="e">
        <f t="shared" si="227"/>
        <v>#DIV/0!</v>
      </c>
      <c r="BI368" s="262" t="e">
        <f t="shared" si="243"/>
        <v>#DIV/0!</v>
      </c>
      <c r="BJ368" s="262">
        <f t="shared" si="259"/>
        <v>6.0000000000000123E-5</v>
      </c>
      <c r="BK368" s="270">
        <f t="shared" si="270"/>
        <v>2.1756225162774292E-4</v>
      </c>
      <c r="BL368" s="270">
        <f t="shared" si="260"/>
        <v>2.7333333333333338E-4</v>
      </c>
      <c r="BM368" s="271">
        <f t="shared" si="244"/>
        <v>2.7333333333333338E-2</v>
      </c>
      <c r="BO368" s="351" t="e">
        <f>((((IF($T$5=0,$T$6,$T$5)))/(12*$T$19))+(((3*$T$15)/(2*IF($T$5=0,$T$6,$T$5)*$U$5*$T$19))*'IN-OUT'!$F$14))*'Burland damage classification'!BS368</f>
        <v>#DIV/0!</v>
      </c>
      <c r="BP368" s="352">
        <f>(1+(((IF($T$5=0,$T$6^2,$T$5^2))*$U$5)/(18*$T$15))*('IN-OUT'!$F$14^(-1)))*BT368</f>
        <v>3.928528138289623E-4</v>
      </c>
      <c r="BQ368" s="254" t="e">
        <f t="shared" si="229"/>
        <v>#DIV/0!</v>
      </c>
      <c r="BR368" s="254" t="e">
        <f t="shared" si="245"/>
        <v>#DIV/0!</v>
      </c>
      <c r="BS368" s="254">
        <f t="shared" si="261"/>
        <v>2.2666666666666736E-4</v>
      </c>
      <c r="BT368" s="253">
        <f t="shared" si="271"/>
        <v>3.928528138289623E-4</v>
      </c>
      <c r="BU368" s="253">
        <f t="shared" si="262"/>
        <v>2.7333333333333338E-4</v>
      </c>
      <c r="BV368" s="255">
        <f t="shared" si="246"/>
        <v>2.7333333333333338E-2</v>
      </c>
      <c r="BX368" s="351" t="e">
        <f>((((IF($T$5=0,$T$6,$T$5)))/(12*$T$19))+(((3*$T$15)/(2*IF($T$5=0,$T$6,$T$5)*$U$5*$T$19))*'IN-OUT'!$F$14))*'Burland damage classification'!CB368</f>
        <v>#DIV/0!</v>
      </c>
      <c r="BY368" s="352">
        <f>(1+(((IF($T$5=0,$T$6^2,$T$5^2))*$U$5)/(18*$T$15))*('IN-OUT'!$F$14^(-1)))*CC368</f>
        <v>8.9925895417653E-4</v>
      </c>
      <c r="BZ368" s="254" t="e">
        <f t="shared" si="231"/>
        <v>#DIV/0!</v>
      </c>
      <c r="CA368" s="254" t="e">
        <f t="shared" si="247"/>
        <v>#DIV/0!</v>
      </c>
      <c r="CB368" s="254">
        <f t="shared" si="263"/>
        <v>7.2666666666666713E-4</v>
      </c>
      <c r="CC368" s="253">
        <f t="shared" si="272"/>
        <v>8.9925895417653E-4</v>
      </c>
      <c r="CD368" s="253">
        <f t="shared" si="264"/>
        <v>2.7333333333333338E-4</v>
      </c>
      <c r="CE368" s="255">
        <f t="shared" si="248"/>
        <v>2.7333333333333338E-2</v>
      </c>
      <c r="CG368" s="351" t="e">
        <f>((((IF($T$5=0,$T$6,$T$5)))/(12*$T$19))+(((3*$T$15)/(2*IF($T$5=0,$T$6,$T$5)*$U$5*$T$19))*'IN-OUT'!$F$14))*'Burland damage classification'!CK368</f>
        <v>#DIV/0!</v>
      </c>
      <c r="CH368" s="352">
        <f>(1+(((IF($T$5=0,$T$6^2,$T$5^2))*$U$5)/(18*$T$15))*('IN-OUT'!$F$14^(-1)))*CL368</f>
        <v>1.9019288454969426E-3</v>
      </c>
      <c r="CI368" s="254" t="e">
        <f t="shared" si="233"/>
        <v>#DIV/0!</v>
      </c>
      <c r="CJ368" s="254" t="e">
        <f t="shared" si="249"/>
        <v>#DIV/0!</v>
      </c>
      <c r="CK368" s="254">
        <f t="shared" si="265"/>
        <v>1.7266666666666645E-3</v>
      </c>
      <c r="CL368" s="270">
        <f t="shared" si="234"/>
        <v>1.9019288454969426E-3</v>
      </c>
      <c r="CM368" s="253">
        <f t="shared" si="266"/>
        <v>2.7333333333333338E-4</v>
      </c>
      <c r="CN368" s="255">
        <f t="shared" si="250"/>
        <v>2.7333333333333338E-2</v>
      </c>
    </row>
    <row r="369" spans="22:92">
      <c r="V369" s="258">
        <f>(((IF($S$5&lt;&gt;0,$S$5,IF($S$6&lt;&gt;0,$S$6,IF($S$7&lt;&gt;0,$S$7,0))))/(12*$S$19))+(((3*$S$15)/(2*(IF($S$5&lt;&gt;0,$S$5,IF($S$6&lt;&gt;0,$S$6,IF($S$7&lt;&gt;0,$S$7,0))))*$U$5*$S$19))*'IN-OUT'!$F$14))*'Burland damage classification'!Z369</f>
        <v>4.6770397361148492E-4</v>
      </c>
      <c r="W369" s="352">
        <f>(1+(((IF($S$5&lt;&gt;0,$S$5^2,IF($S$6&lt;&gt;0,$S$6^2,IF($S$7&lt;&gt;0,$S$7^2))))*$U$5)/(18*$S$15))*('IN-OUT'!$F$14^(-1)))*AA369</f>
        <v>2.1542643038648823E-4</v>
      </c>
      <c r="X369" s="262">
        <f t="shared" si="219"/>
        <v>2.1542643038648823E-4</v>
      </c>
      <c r="Y369" s="262">
        <f t="shared" si="235"/>
        <v>2.1542643038648824E-2</v>
      </c>
      <c r="Z369" s="262">
        <f t="shared" si="251"/>
        <v>5.3333333333333455E-5</v>
      </c>
      <c r="AA369" s="270">
        <f t="shared" si="267"/>
        <v>2.1395742047841616E-4</v>
      </c>
      <c r="AB369" s="270">
        <f t="shared" si="252"/>
        <v>2.8000000000000003E-4</v>
      </c>
      <c r="AC369" s="271">
        <f t="shared" si="236"/>
        <v>2.8000000000000004E-2</v>
      </c>
      <c r="AE369" s="258">
        <f>(((IF($S$5&lt;&gt;0,$S$5,IF($S$6&lt;&gt;0,$S$6,IF($S$7&lt;&gt;0,$S$7,0))))/(12*$S$19))+(((3*$S$15)/(2*(IF($S$5&lt;&gt;0,$S$5,IF($S$6&lt;&gt;0,$S$6,IF($S$7&lt;&gt;0,$S$7,0))))*$U$5*$S$19))*'IN-OUT'!$F$14))*'Burland damage classification'!AI369</f>
        <v>1.9292788911473768E-3</v>
      </c>
      <c r="AF369" s="353">
        <f>(1+(((IF($S$5&lt;&gt;0,$S$5^2,IF($S$6&lt;&gt;0,$S$6^2,IF($S$7&lt;&gt;0,$S$7^2))))*$U$5)/(18*$S$15))*('IN-OUT'!$F$14^(-1)))*AJ369</f>
        <v>3.9254859377503532E-4</v>
      </c>
      <c r="AG369" s="254">
        <f t="shared" si="221"/>
        <v>3.9254859377503532E-4</v>
      </c>
      <c r="AH369" s="254">
        <f t="shared" si="237"/>
        <v>3.9254859377503531E-2</v>
      </c>
      <c r="AI369" s="254">
        <f t="shared" si="253"/>
        <v>2.2000000000000069E-4</v>
      </c>
      <c r="AJ369" s="253">
        <f t="shared" si="268"/>
        <v>3.8987177379235855E-4</v>
      </c>
      <c r="AK369" s="253">
        <f t="shared" si="254"/>
        <v>2.8000000000000003E-4</v>
      </c>
      <c r="AL369" s="255">
        <f t="shared" si="238"/>
        <v>2.8000000000000004E-2</v>
      </c>
      <c r="AN369" s="258">
        <f>(((IF($S$5&lt;&gt;0,$S$5,IF($S$6&lt;&gt;0,$S$6,IF($S$7&lt;&gt;0,$S$7,0))))/(12*$S$19))+(((3*$S$15)/(2*(IF($S$5&lt;&gt;0,$S$5,IF($S$6&lt;&gt;0,$S$6,IF($S$7&lt;&gt;0,$S$7,0))))*$U$5*$S$19))*'IN-OUT'!$F$14))*'Burland damage classification'!AR369</f>
        <v>6.3140036437550357E-3</v>
      </c>
      <c r="AO369" s="353">
        <f>(1+(((IF($S$5&lt;&gt;0,$S$5^2,IF($S$6&lt;&gt;0,$S$6^2,IF($S$7&lt;&gt;0,$S$7^2))))*$U$5)/(18*$S$15))*('IN-OUT'!$F$14^(-1)))*AS369</f>
        <v>9.0281685053862474E-4</v>
      </c>
      <c r="AP369" s="254">
        <f t="shared" si="223"/>
        <v>9.0281685053862474E-4</v>
      </c>
      <c r="AQ369" s="254">
        <f t="shared" si="239"/>
        <v>9.028168505386247E-2</v>
      </c>
      <c r="AR369" s="254">
        <f t="shared" si="255"/>
        <v>7.2000000000000048E-4</v>
      </c>
      <c r="AS369" s="253">
        <f t="shared" si="269"/>
        <v>8.9666047085839575E-4</v>
      </c>
      <c r="AT369" s="253">
        <f t="shared" si="256"/>
        <v>2.8000000000000003E-4</v>
      </c>
      <c r="AU369" s="255">
        <f t="shared" si="240"/>
        <v>2.8000000000000004E-2</v>
      </c>
      <c r="AW369" s="258">
        <f>(((IF($S$5&lt;&gt;0,$S$5,IF($S$6&lt;&gt;0,$S$6,IF($S$7&lt;&gt;0,$S$7,0))))/(12*$S$19))+(((3*$S$15)/(2*(IF($S$5&lt;&gt;0,$S$5,IF($S$6&lt;&gt;0,$S$6,IF($S$7&lt;&gt;0,$S$7,0))))*$U$5*$S$19))*'IN-OUT'!$F$14))*'Burland damage classification'!BA369</f>
        <v>1.5083453148970334E-2</v>
      </c>
      <c r="AX369" s="353">
        <f>(1+(((IF($S$5&lt;&gt;0,$S$5^2,IF($S$6&lt;&gt;0,$S$6^2,IF($S$7&lt;&gt;0,$S$7^2))))*$U$5)/(18*$S$15))*('IN-OUT'!$F$14^(-1)))*BB369</f>
        <v>1.9125152040966439E-3</v>
      </c>
      <c r="AY369" s="254">
        <f t="shared" si="225"/>
        <v>1.9125152040966439E-3</v>
      </c>
      <c r="AZ369" s="254">
        <f t="shared" si="241"/>
        <v>0.19125152040966439</v>
      </c>
      <c r="BA369" s="254">
        <f t="shared" si="257"/>
        <v>1.7199999999999978E-3</v>
      </c>
      <c r="BB369" s="270">
        <f t="shared" si="226"/>
        <v>1.8994736112934024E-3</v>
      </c>
      <c r="BC369" s="253">
        <f t="shared" si="258"/>
        <v>2.8000000000000003E-4</v>
      </c>
      <c r="BD369" s="255">
        <f t="shared" si="242"/>
        <v>2.8000000000000004E-2</v>
      </c>
      <c r="BF369" s="351" t="e">
        <f>((((IF($T$5=0,$T$6,$T$5)))/(12*$T$19))+(((3*$T$15)/(2*IF($T$5=0,$T$6,$T$5)*$U$5*$T$19))*'IN-OUT'!$F$14))*'Burland damage classification'!BJ369</f>
        <v>#DIV/0!</v>
      </c>
      <c r="BG369" s="352">
        <f>(1+(((IF($T$5=0,$T$6^2,$T$5^2))*$U$5)/(18*$T$15))*('IN-OUT'!$F$14^(-1)))*BK369</f>
        <v>2.1395742047841616E-4</v>
      </c>
      <c r="BH369" s="262" t="e">
        <f t="shared" si="227"/>
        <v>#DIV/0!</v>
      </c>
      <c r="BI369" s="262" t="e">
        <f t="shared" si="243"/>
        <v>#DIV/0!</v>
      </c>
      <c r="BJ369" s="262">
        <f t="shared" si="259"/>
        <v>5.3333333333333455E-5</v>
      </c>
      <c r="BK369" s="270">
        <f t="shared" si="270"/>
        <v>2.1395742047841616E-4</v>
      </c>
      <c r="BL369" s="270">
        <f t="shared" si="260"/>
        <v>2.8000000000000003E-4</v>
      </c>
      <c r="BM369" s="271">
        <f t="shared" si="244"/>
        <v>2.8000000000000004E-2</v>
      </c>
      <c r="BO369" s="351" t="e">
        <f>((((IF($T$5=0,$T$6,$T$5)))/(12*$T$19))+(((3*$T$15)/(2*IF($T$5=0,$T$6,$T$5)*$U$5*$T$19))*'IN-OUT'!$F$14))*'Burland damage classification'!BS369</f>
        <v>#DIV/0!</v>
      </c>
      <c r="BP369" s="352">
        <f>(1+(((IF($T$5=0,$T$6^2,$T$5^2))*$U$5)/(18*$T$15))*('IN-OUT'!$F$14^(-1)))*BT369</f>
        <v>3.8987177379235855E-4</v>
      </c>
      <c r="BQ369" s="254" t="e">
        <f t="shared" si="229"/>
        <v>#DIV/0!</v>
      </c>
      <c r="BR369" s="254" t="e">
        <f t="shared" si="245"/>
        <v>#DIV/0!</v>
      </c>
      <c r="BS369" s="254">
        <f t="shared" si="261"/>
        <v>2.2000000000000069E-4</v>
      </c>
      <c r="BT369" s="253">
        <f t="shared" si="271"/>
        <v>3.8987177379235855E-4</v>
      </c>
      <c r="BU369" s="253">
        <f t="shared" si="262"/>
        <v>2.8000000000000003E-4</v>
      </c>
      <c r="BV369" s="255">
        <f t="shared" si="246"/>
        <v>2.8000000000000004E-2</v>
      </c>
      <c r="BX369" s="351" t="e">
        <f>((((IF($T$5=0,$T$6,$T$5)))/(12*$T$19))+(((3*$T$15)/(2*IF($T$5=0,$T$6,$T$5)*$U$5*$T$19))*'IN-OUT'!$F$14))*'Burland damage classification'!CB369</f>
        <v>#DIV/0!</v>
      </c>
      <c r="BY369" s="352">
        <f>(1+(((IF($T$5=0,$T$6^2,$T$5^2))*$U$5)/(18*$T$15))*('IN-OUT'!$F$14^(-1)))*CC369</f>
        <v>8.9666047085839575E-4</v>
      </c>
      <c r="BZ369" s="254" t="e">
        <f t="shared" si="231"/>
        <v>#DIV/0!</v>
      </c>
      <c r="CA369" s="254" t="e">
        <f t="shared" si="247"/>
        <v>#DIV/0!</v>
      </c>
      <c r="CB369" s="254">
        <f t="shared" si="263"/>
        <v>7.2000000000000048E-4</v>
      </c>
      <c r="CC369" s="253">
        <f t="shared" si="272"/>
        <v>8.9666047085839575E-4</v>
      </c>
      <c r="CD369" s="253">
        <f t="shared" si="264"/>
        <v>2.8000000000000003E-4</v>
      </c>
      <c r="CE369" s="255">
        <f t="shared" si="248"/>
        <v>2.8000000000000004E-2</v>
      </c>
      <c r="CG369" s="351" t="e">
        <f>((((IF($T$5=0,$T$6,$T$5)))/(12*$T$19))+(((3*$T$15)/(2*IF($T$5=0,$T$6,$T$5)*$U$5*$T$19))*'IN-OUT'!$F$14))*'Burland damage classification'!CK369</f>
        <v>#DIV/0!</v>
      </c>
      <c r="CH369" s="352">
        <f>(1+(((IF($T$5=0,$T$6^2,$T$5^2))*$U$5)/(18*$T$15))*('IN-OUT'!$F$14^(-1)))*CL369</f>
        <v>1.8994736112934024E-3</v>
      </c>
      <c r="CI369" s="254" t="e">
        <f t="shared" si="233"/>
        <v>#DIV/0!</v>
      </c>
      <c r="CJ369" s="254" t="e">
        <f t="shared" si="249"/>
        <v>#DIV/0!</v>
      </c>
      <c r="CK369" s="254">
        <f t="shared" si="265"/>
        <v>1.7199999999999978E-3</v>
      </c>
      <c r="CL369" s="270">
        <f t="shared" si="234"/>
        <v>1.8994736112934024E-3</v>
      </c>
      <c r="CM369" s="253">
        <f t="shared" si="266"/>
        <v>2.8000000000000003E-4</v>
      </c>
      <c r="CN369" s="255">
        <f t="shared" si="250"/>
        <v>2.8000000000000004E-2</v>
      </c>
    </row>
    <row r="370" spans="22:92">
      <c r="V370" s="258">
        <f>(((IF($S$5&lt;&gt;0,$S$5,IF($S$6&lt;&gt;0,$S$6,IF($S$7&lt;&gt;0,$S$7,0))))/(12*$S$19))+(((3*$S$15)/(2*(IF($S$5&lt;&gt;0,$S$5,IF($S$6&lt;&gt;0,$S$6,IF($S$7&lt;&gt;0,$S$7,0))))*$U$5*$S$19))*'IN-OUT'!$F$14))*'Burland damage classification'!Z370</f>
        <v>4.0924097691004939E-4</v>
      </c>
      <c r="W370" s="352">
        <f>(1+(((IF($S$5&lt;&gt;0,$S$5^2,IF($S$6&lt;&gt;0,$S$6^2,IF($S$7&lt;&gt;0,$S$7^2))))*$U$5)/(18*$S$15))*('IN-OUT'!$F$14^(-1)))*AA370</f>
        <v>2.1173463923267126E-4</v>
      </c>
      <c r="X370" s="262">
        <f t="shared" si="219"/>
        <v>2.1173463923267126E-4</v>
      </c>
      <c r="Y370" s="262">
        <f t="shared" si="235"/>
        <v>2.1173463923267126E-2</v>
      </c>
      <c r="Z370" s="262">
        <f t="shared" si="251"/>
        <v>4.6666666666666787E-5</v>
      </c>
      <c r="AA370" s="270">
        <f t="shared" si="267"/>
        <v>2.1029080394116672E-4</v>
      </c>
      <c r="AB370" s="270">
        <f t="shared" si="252"/>
        <v>2.8666666666666668E-4</v>
      </c>
      <c r="AC370" s="271">
        <f t="shared" si="236"/>
        <v>2.8666666666666667E-2</v>
      </c>
      <c r="AE370" s="258">
        <f>(((IF($S$5&lt;&gt;0,$S$5,IF($S$6&lt;&gt;0,$S$6,IF($S$7&lt;&gt;0,$S$7,0))))/(12*$S$19))+(((3*$S$15)/(2*(IF($S$5&lt;&gt;0,$S$5,IF($S$6&lt;&gt;0,$S$6,IF($S$7&lt;&gt;0,$S$7,0))))*$U$5*$S$19))*'IN-OUT'!$F$14))*'Burland damage classification'!AI370</f>
        <v>1.8708158944459412E-3</v>
      </c>
      <c r="AF370" s="353">
        <f>(1+(((IF($S$5&lt;&gt;0,$S$5^2,IF($S$6&lt;&gt;0,$S$6^2,IF($S$7&lt;&gt;0,$S$7^2))))*$U$5)/(18*$S$15))*('IN-OUT'!$F$14^(-1)))*AJ370</f>
        <v>3.895239585540859E-4</v>
      </c>
      <c r="AG370" s="254">
        <f t="shared" si="221"/>
        <v>3.895239585540859E-4</v>
      </c>
      <c r="AH370" s="254">
        <f t="shared" si="237"/>
        <v>3.8952395855408592E-2</v>
      </c>
      <c r="AI370" s="254">
        <f t="shared" si="253"/>
        <v>2.1333333333333401E-4</v>
      </c>
      <c r="AJ370" s="253">
        <f t="shared" si="268"/>
        <v>3.8686776379877748E-4</v>
      </c>
      <c r="AK370" s="253">
        <f t="shared" si="254"/>
        <v>2.8666666666666668E-4</v>
      </c>
      <c r="AL370" s="255">
        <f t="shared" si="238"/>
        <v>2.8666666666666667E-2</v>
      </c>
      <c r="AN370" s="258">
        <f>(((IF($S$5&lt;&gt;0,$S$5,IF($S$6&lt;&gt;0,$S$6,IF($S$7&lt;&gt;0,$S$7,0))))/(12*$S$19))+(((3*$S$15)/(2*(IF($S$5&lt;&gt;0,$S$5,IF($S$6&lt;&gt;0,$S$6,IF($S$7&lt;&gt;0,$S$7,0))))*$U$5*$S$19))*'IN-OUT'!$F$14))*'Burland damage classification'!AR370</f>
        <v>6.2555406470536003E-3</v>
      </c>
      <c r="AO370" s="353">
        <f>(1+(((IF($S$5&lt;&gt;0,$S$5^2,IF($S$6&lt;&gt;0,$S$6^2,IF($S$7&lt;&gt;0,$S$7^2))))*$U$5)/(18*$S$15))*('IN-OUT'!$F$14^(-1)))*AS370</f>
        <v>9.0019292223514867E-4</v>
      </c>
      <c r="AP370" s="254">
        <f t="shared" si="223"/>
        <v>9.0019292223514867E-4</v>
      </c>
      <c r="AQ370" s="254">
        <f t="shared" si="239"/>
        <v>9.0019292223514874E-2</v>
      </c>
      <c r="AR370" s="254">
        <f t="shared" si="255"/>
        <v>7.1333333333333383E-4</v>
      </c>
      <c r="AS370" s="253">
        <f t="shared" si="269"/>
        <v>8.9405443533004927E-4</v>
      </c>
      <c r="AT370" s="253">
        <f t="shared" si="256"/>
        <v>2.8666666666666668E-4</v>
      </c>
      <c r="AU370" s="255">
        <f t="shared" si="240"/>
        <v>2.8666666666666667E-2</v>
      </c>
      <c r="AW370" s="258">
        <f>(((IF($S$5&lt;&gt;0,$S$5,IF($S$6&lt;&gt;0,$S$6,IF($S$7&lt;&gt;0,$S$7,0))))/(12*$S$19))+(((3*$S$15)/(2*(IF($S$5&lt;&gt;0,$S$5,IF($S$6&lt;&gt;0,$S$6,IF($S$7&lt;&gt;0,$S$7,0))))*$U$5*$S$19))*'IN-OUT'!$F$14))*'Burland damage classification'!BA370</f>
        <v>1.5024990152268897E-2</v>
      </c>
      <c r="AX370" s="353">
        <f>(1+(((IF($S$5&lt;&gt;0,$S$5^2,IF($S$6&lt;&gt;0,$S$6^2,IF($S$7&lt;&gt;0,$S$7^2))))*$U$5)/(18*$S$15))*('IN-OUT'!$F$14^(-1)))*BB370</f>
        <v>1.9100399129736471E-3</v>
      </c>
      <c r="AY370" s="254">
        <f t="shared" si="225"/>
        <v>1.9100399129736471E-3</v>
      </c>
      <c r="AZ370" s="254">
        <f t="shared" si="241"/>
        <v>0.1910039912973647</v>
      </c>
      <c r="BA370" s="254">
        <f t="shared" si="257"/>
        <v>1.713333333333331E-3</v>
      </c>
      <c r="BB370" s="270">
        <f t="shared" si="226"/>
        <v>1.8970151993768175E-3</v>
      </c>
      <c r="BC370" s="253">
        <f t="shared" si="258"/>
        <v>2.8666666666666668E-4</v>
      </c>
      <c r="BD370" s="255">
        <f t="shared" si="242"/>
        <v>2.8666666666666667E-2</v>
      </c>
      <c r="BF370" s="351" t="e">
        <f>((((IF($T$5=0,$T$6,$T$5)))/(12*$T$19))+(((3*$T$15)/(2*IF($T$5=0,$T$6,$T$5)*$U$5*$T$19))*'IN-OUT'!$F$14))*'Burland damage classification'!BJ370</f>
        <v>#DIV/0!</v>
      </c>
      <c r="BG370" s="352">
        <f>(1+(((IF($T$5=0,$T$6^2,$T$5^2))*$U$5)/(18*$T$15))*('IN-OUT'!$F$14^(-1)))*BK370</f>
        <v>2.1029080394116672E-4</v>
      </c>
      <c r="BH370" s="262" t="e">
        <f t="shared" si="227"/>
        <v>#DIV/0!</v>
      </c>
      <c r="BI370" s="262" t="e">
        <f t="shared" si="243"/>
        <v>#DIV/0!</v>
      </c>
      <c r="BJ370" s="262">
        <f t="shared" si="259"/>
        <v>4.6666666666666787E-5</v>
      </c>
      <c r="BK370" s="270">
        <f t="shared" si="270"/>
        <v>2.1029080394116672E-4</v>
      </c>
      <c r="BL370" s="270">
        <f t="shared" si="260"/>
        <v>2.8666666666666668E-4</v>
      </c>
      <c r="BM370" s="271">
        <f t="shared" si="244"/>
        <v>2.8666666666666667E-2</v>
      </c>
      <c r="BO370" s="351" t="e">
        <f>((((IF($T$5=0,$T$6,$T$5)))/(12*$T$19))+(((3*$T$15)/(2*IF($T$5=0,$T$6,$T$5)*$U$5*$T$19))*'IN-OUT'!$F$14))*'Burland damage classification'!BS370</f>
        <v>#DIV/0!</v>
      </c>
      <c r="BP370" s="352">
        <f>(1+(((IF($T$5=0,$T$6^2,$T$5^2))*$U$5)/(18*$T$15))*('IN-OUT'!$F$14^(-1)))*BT370</f>
        <v>3.8686776379877748E-4</v>
      </c>
      <c r="BQ370" s="254" t="e">
        <f t="shared" si="229"/>
        <v>#DIV/0!</v>
      </c>
      <c r="BR370" s="254" t="e">
        <f t="shared" si="245"/>
        <v>#DIV/0!</v>
      </c>
      <c r="BS370" s="254">
        <f t="shared" si="261"/>
        <v>2.1333333333333401E-4</v>
      </c>
      <c r="BT370" s="253">
        <f t="shared" si="271"/>
        <v>3.8686776379877748E-4</v>
      </c>
      <c r="BU370" s="253">
        <f t="shared" si="262"/>
        <v>2.8666666666666668E-4</v>
      </c>
      <c r="BV370" s="255">
        <f t="shared" si="246"/>
        <v>2.8666666666666667E-2</v>
      </c>
      <c r="BX370" s="351" t="e">
        <f>((((IF($T$5=0,$T$6,$T$5)))/(12*$T$19))+(((3*$T$15)/(2*IF($T$5=0,$T$6,$T$5)*$U$5*$T$19))*'IN-OUT'!$F$14))*'Burland damage classification'!CB370</f>
        <v>#DIV/0!</v>
      </c>
      <c r="BY370" s="352">
        <f>(1+(((IF($T$5=0,$T$6^2,$T$5^2))*$U$5)/(18*$T$15))*('IN-OUT'!$F$14^(-1)))*CC370</f>
        <v>8.9405443533004927E-4</v>
      </c>
      <c r="BZ370" s="254" t="e">
        <f t="shared" si="231"/>
        <v>#DIV/0!</v>
      </c>
      <c r="CA370" s="254" t="e">
        <f t="shared" si="247"/>
        <v>#DIV/0!</v>
      </c>
      <c r="CB370" s="254">
        <f t="shared" si="263"/>
        <v>7.1333333333333383E-4</v>
      </c>
      <c r="CC370" s="253">
        <f t="shared" si="272"/>
        <v>8.9405443533004927E-4</v>
      </c>
      <c r="CD370" s="253">
        <f t="shared" si="264"/>
        <v>2.8666666666666668E-4</v>
      </c>
      <c r="CE370" s="255">
        <f t="shared" si="248"/>
        <v>2.8666666666666667E-2</v>
      </c>
      <c r="CG370" s="351" t="e">
        <f>((((IF($T$5=0,$T$6,$T$5)))/(12*$T$19))+(((3*$T$15)/(2*IF($T$5=0,$T$6,$T$5)*$U$5*$T$19))*'IN-OUT'!$F$14))*'Burland damage classification'!CK370</f>
        <v>#DIV/0!</v>
      </c>
      <c r="CH370" s="352">
        <f>(1+(((IF($T$5=0,$T$6^2,$T$5^2))*$U$5)/(18*$T$15))*('IN-OUT'!$F$14^(-1)))*CL370</f>
        <v>1.8970151993768175E-3</v>
      </c>
      <c r="CI370" s="254" t="e">
        <f t="shared" si="233"/>
        <v>#DIV/0!</v>
      </c>
      <c r="CJ370" s="254" t="e">
        <f t="shared" si="249"/>
        <v>#DIV/0!</v>
      </c>
      <c r="CK370" s="254">
        <f t="shared" si="265"/>
        <v>1.713333333333331E-3</v>
      </c>
      <c r="CL370" s="270">
        <f t="shared" si="234"/>
        <v>1.8970151993768175E-3</v>
      </c>
      <c r="CM370" s="253">
        <f t="shared" si="266"/>
        <v>2.8666666666666668E-4</v>
      </c>
      <c r="CN370" s="255">
        <f t="shared" si="250"/>
        <v>2.8666666666666667E-2</v>
      </c>
    </row>
    <row r="371" spans="22:92">
      <c r="V371" s="258">
        <f>(((IF($S$5&lt;&gt;0,$S$5,IF($S$6&lt;&gt;0,$S$6,IF($S$7&lt;&gt;0,$S$7,0))))/(12*$S$19))+(((3*$S$15)/(2*(IF($S$5&lt;&gt;0,$S$5,IF($S$6&lt;&gt;0,$S$6,IF($S$7&lt;&gt;0,$S$7,0))))*$U$5*$S$19))*'IN-OUT'!$F$14))*'Burland damage classification'!Z371</f>
        <v>3.5077798020861391E-4</v>
      </c>
      <c r="W371" s="352">
        <f>(1+(((IF($S$5&lt;&gt;0,$S$5^2,IF($S$6&lt;&gt;0,$S$6^2,IF($S$7&lt;&gt;0,$S$7^2))))*$U$5)/(18*$S$15))*('IN-OUT'!$F$14^(-1)))*AA371</f>
        <v>2.079773256701664E-4</v>
      </c>
      <c r="X371" s="262">
        <f t="shared" si="219"/>
        <v>2.079773256701664E-4</v>
      </c>
      <c r="Y371" s="262">
        <f t="shared" si="235"/>
        <v>2.0797732567016641E-2</v>
      </c>
      <c r="Z371" s="262">
        <f t="shared" si="251"/>
        <v>4.0000000000000118E-5</v>
      </c>
      <c r="AA371" s="270">
        <f t="shared" si="267"/>
        <v>2.0655911179772894E-4</v>
      </c>
      <c r="AB371" s="270">
        <f t="shared" si="252"/>
        <v>2.9333333333333333E-4</v>
      </c>
      <c r="AC371" s="271">
        <f t="shared" si="236"/>
        <v>2.9333333333333333E-2</v>
      </c>
      <c r="AE371" s="258">
        <f>(((IF($S$5&lt;&gt;0,$S$5,IF($S$6&lt;&gt;0,$S$6,IF($S$7&lt;&gt;0,$S$7,0))))/(12*$S$19))+(((3*$S$15)/(2*(IF($S$5&lt;&gt;0,$S$5,IF($S$6&lt;&gt;0,$S$6,IF($S$7&lt;&gt;0,$S$7,0))))*$U$5*$S$19))*'IN-OUT'!$F$14))*'Burland damage classification'!AI371</f>
        <v>1.8123528977445056E-3</v>
      </c>
      <c r="AF371" s="353">
        <f>(1+(((IF($S$5&lt;&gt;0,$S$5^2,IF($S$6&lt;&gt;0,$S$6^2,IF($S$7&lt;&gt;0,$S$7^2))))*$U$5)/(18*$S$15))*('IN-OUT'!$F$14^(-1)))*AJ371</f>
        <v>3.8647565266201786E-4</v>
      </c>
      <c r="AG371" s="254">
        <f t="shared" si="221"/>
        <v>3.8647565266201786E-4</v>
      </c>
      <c r="AH371" s="254">
        <f t="shared" si="237"/>
        <v>3.8647565266201785E-2</v>
      </c>
      <c r="AI371" s="254">
        <f t="shared" si="253"/>
        <v>2.0666666666666734E-4</v>
      </c>
      <c r="AJ371" s="253">
        <f t="shared" si="268"/>
        <v>3.8384024454626083E-4</v>
      </c>
      <c r="AK371" s="253">
        <f t="shared" si="254"/>
        <v>2.9333333333333333E-4</v>
      </c>
      <c r="AL371" s="255">
        <f t="shared" si="238"/>
        <v>2.9333333333333333E-2</v>
      </c>
      <c r="AN371" s="258">
        <f>(((IF($S$5&lt;&gt;0,$S$5,IF($S$6&lt;&gt;0,$S$6,IF($S$7&lt;&gt;0,$S$7,0))))/(12*$S$19))+(((3*$S$15)/(2*(IF($S$5&lt;&gt;0,$S$5,IF($S$6&lt;&gt;0,$S$6,IF($S$7&lt;&gt;0,$S$7,0))))*$U$5*$S$19))*'IN-OUT'!$F$14))*'Burland damage classification'!AR371</f>
        <v>6.197077650352165E-3</v>
      </c>
      <c r="AO371" s="353">
        <f>(1+(((IF($S$5&lt;&gt;0,$S$5^2,IF($S$6&lt;&gt;0,$S$6^2,IF($S$7&lt;&gt;0,$S$7^2))))*$U$5)/(18*$S$15))*('IN-OUT'!$F$14^(-1)))*AS371</f>
        <v>8.9756132317966517E-4</v>
      </c>
      <c r="AP371" s="254">
        <f t="shared" si="223"/>
        <v>8.9756132317966517E-4</v>
      </c>
      <c r="AQ371" s="254">
        <f t="shared" si="239"/>
        <v>8.9756132317966517E-2</v>
      </c>
      <c r="AR371" s="254">
        <f t="shared" si="255"/>
        <v>7.0666666666666718E-4</v>
      </c>
      <c r="AS371" s="253">
        <f t="shared" si="269"/>
        <v>8.9144078135716144E-4</v>
      </c>
      <c r="AT371" s="253">
        <f t="shared" si="256"/>
        <v>2.9333333333333333E-4</v>
      </c>
      <c r="AU371" s="255">
        <f t="shared" si="240"/>
        <v>2.9333333333333333E-2</v>
      </c>
      <c r="AW371" s="258">
        <f>(((IF($S$5&lt;&gt;0,$S$5,IF($S$6&lt;&gt;0,$S$6,IF($S$7&lt;&gt;0,$S$7,0))))/(12*$S$19))+(((3*$S$15)/(2*(IF($S$5&lt;&gt;0,$S$5,IF($S$6&lt;&gt;0,$S$6,IF($S$7&lt;&gt;0,$S$7,0))))*$U$5*$S$19))*'IN-OUT'!$F$14))*'Burland damage classification'!BA371</f>
        <v>1.4966527155567462E-2</v>
      </c>
      <c r="AX371" s="353">
        <f>(1+(((IF($S$5&lt;&gt;0,$S$5^2,IF($S$6&lt;&gt;0,$S$6^2,IF($S$7&lt;&gt;0,$S$7^2))))*$U$5)/(18*$S$15))*('IN-OUT'!$F$14^(-1)))*BB371</f>
        <v>1.9075614098644183E-3</v>
      </c>
      <c r="AY371" s="254">
        <f t="shared" si="225"/>
        <v>1.9075614098644183E-3</v>
      </c>
      <c r="AZ371" s="254">
        <f t="shared" si="241"/>
        <v>0.19075614098644184</v>
      </c>
      <c r="BA371" s="254">
        <f t="shared" si="257"/>
        <v>1.7066666666666643E-3</v>
      </c>
      <c r="BB371" s="270">
        <f t="shared" si="226"/>
        <v>1.8945535973767893E-3</v>
      </c>
      <c r="BC371" s="253">
        <f t="shared" si="258"/>
        <v>2.9333333333333333E-4</v>
      </c>
      <c r="BD371" s="255">
        <f t="shared" si="242"/>
        <v>2.9333333333333333E-2</v>
      </c>
      <c r="BF371" s="351" t="e">
        <f>((((IF($T$5=0,$T$6,$T$5)))/(12*$T$19))+(((3*$T$15)/(2*IF($T$5=0,$T$6,$T$5)*$U$5*$T$19))*'IN-OUT'!$F$14))*'Burland damage classification'!BJ371</f>
        <v>#DIV/0!</v>
      </c>
      <c r="BG371" s="352">
        <f>(1+(((IF($T$5=0,$T$6^2,$T$5^2))*$U$5)/(18*$T$15))*('IN-OUT'!$F$14^(-1)))*BK371</f>
        <v>2.0655911179772894E-4</v>
      </c>
      <c r="BH371" s="262" t="e">
        <f t="shared" si="227"/>
        <v>#DIV/0!</v>
      </c>
      <c r="BI371" s="262" t="e">
        <f t="shared" si="243"/>
        <v>#DIV/0!</v>
      </c>
      <c r="BJ371" s="262">
        <f t="shared" si="259"/>
        <v>4.0000000000000118E-5</v>
      </c>
      <c r="BK371" s="270">
        <f t="shared" si="270"/>
        <v>2.0655911179772894E-4</v>
      </c>
      <c r="BL371" s="270">
        <f t="shared" si="260"/>
        <v>2.9333333333333333E-4</v>
      </c>
      <c r="BM371" s="271">
        <f t="shared" si="244"/>
        <v>2.9333333333333333E-2</v>
      </c>
      <c r="BO371" s="351" t="e">
        <f>((((IF($T$5=0,$T$6,$T$5)))/(12*$T$19))+(((3*$T$15)/(2*IF($T$5=0,$T$6,$T$5)*$U$5*$T$19))*'IN-OUT'!$F$14))*'Burland damage classification'!BS371</f>
        <v>#DIV/0!</v>
      </c>
      <c r="BP371" s="352">
        <f>(1+(((IF($T$5=0,$T$6^2,$T$5^2))*$U$5)/(18*$T$15))*('IN-OUT'!$F$14^(-1)))*BT371</f>
        <v>3.8384024454626083E-4</v>
      </c>
      <c r="BQ371" s="254" t="e">
        <f t="shared" si="229"/>
        <v>#DIV/0!</v>
      </c>
      <c r="BR371" s="254" t="e">
        <f t="shared" si="245"/>
        <v>#DIV/0!</v>
      </c>
      <c r="BS371" s="254">
        <f t="shared" si="261"/>
        <v>2.0666666666666734E-4</v>
      </c>
      <c r="BT371" s="253">
        <f t="shared" si="271"/>
        <v>3.8384024454626083E-4</v>
      </c>
      <c r="BU371" s="253">
        <f t="shared" si="262"/>
        <v>2.9333333333333333E-4</v>
      </c>
      <c r="BV371" s="255">
        <f t="shared" si="246"/>
        <v>2.9333333333333333E-2</v>
      </c>
      <c r="BX371" s="351" t="e">
        <f>((((IF($T$5=0,$T$6,$T$5)))/(12*$T$19))+(((3*$T$15)/(2*IF($T$5=0,$T$6,$T$5)*$U$5*$T$19))*'IN-OUT'!$F$14))*'Burland damage classification'!CB371</f>
        <v>#DIV/0!</v>
      </c>
      <c r="BY371" s="352">
        <f>(1+(((IF($T$5=0,$T$6^2,$T$5^2))*$U$5)/(18*$T$15))*('IN-OUT'!$F$14^(-1)))*CC371</f>
        <v>8.9144078135716144E-4</v>
      </c>
      <c r="BZ371" s="254" t="e">
        <f t="shared" si="231"/>
        <v>#DIV/0!</v>
      </c>
      <c r="CA371" s="254" t="e">
        <f t="shared" si="247"/>
        <v>#DIV/0!</v>
      </c>
      <c r="CB371" s="254">
        <f t="shared" si="263"/>
        <v>7.0666666666666718E-4</v>
      </c>
      <c r="CC371" s="253">
        <f t="shared" si="272"/>
        <v>8.9144078135716144E-4</v>
      </c>
      <c r="CD371" s="253">
        <f t="shared" si="264"/>
        <v>2.9333333333333333E-4</v>
      </c>
      <c r="CE371" s="255">
        <f t="shared" si="248"/>
        <v>2.9333333333333333E-2</v>
      </c>
      <c r="CG371" s="351" t="e">
        <f>((((IF($T$5=0,$T$6,$T$5)))/(12*$T$19))+(((3*$T$15)/(2*IF($T$5=0,$T$6,$T$5)*$U$5*$T$19))*'IN-OUT'!$F$14))*'Burland damage classification'!CK371</f>
        <v>#DIV/0!</v>
      </c>
      <c r="CH371" s="352">
        <f>(1+(((IF($T$5=0,$T$6^2,$T$5^2))*$U$5)/(18*$T$15))*('IN-OUT'!$F$14^(-1)))*CL371</f>
        <v>1.8945535973767893E-3</v>
      </c>
      <c r="CI371" s="254" t="e">
        <f t="shared" si="233"/>
        <v>#DIV/0!</v>
      </c>
      <c r="CJ371" s="254" t="e">
        <f t="shared" si="249"/>
        <v>#DIV/0!</v>
      </c>
      <c r="CK371" s="254">
        <f t="shared" si="265"/>
        <v>1.7066666666666643E-3</v>
      </c>
      <c r="CL371" s="270">
        <f t="shared" si="234"/>
        <v>1.8945535973767893E-3</v>
      </c>
      <c r="CM371" s="253">
        <f t="shared" si="266"/>
        <v>2.9333333333333333E-4</v>
      </c>
      <c r="CN371" s="255">
        <f t="shared" si="250"/>
        <v>2.9333333333333333E-2</v>
      </c>
    </row>
    <row r="372" spans="22:92">
      <c r="V372" s="258">
        <f>(((IF($S$5&lt;&gt;0,$S$5,IF($S$6&lt;&gt;0,$S$6,IF($S$7&lt;&gt;0,$S$7,0))))/(12*$S$19))+(((3*$S$15)/(2*(IF($S$5&lt;&gt;0,$S$5,IF($S$6&lt;&gt;0,$S$6,IF($S$7&lt;&gt;0,$S$7,0))))*$U$5*$S$19))*'IN-OUT'!$F$14))*'Burland damage classification'!Z372</f>
        <v>2.9231498350717843E-4</v>
      </c>
      <c r="W372" s="352">
        <f>(1+(((IF($S$5&lt;&gt;0,$S$5^2,IF($S$6&lt;&gt;0,$S$6^2,IF($S$7&lt;&gt;0,$S$7^2))))*$U$5)/(18*$S$15))*('IN-OUT'!$F$14^(-1)))*AA372</f>
        <v>2.0415087199137662E-4</v>
      </c>
      <c r="X372" s="262">
        <f t="shared" si="219"/>
        <v>2.0415087199137662E-4</v>
      </c>
      <c r="Y372" s="262">
        <f t="shared" si="235"/>
        <v>2.0415087199137663E-2</v>
      </c>
      <c r="Z372" s="262">
        <f t="shared" si="251"/>
        <v>3.333333333333345E-5</v>
      </c>
      <c r="AA372" s="270">
        <f t="shared" si="267"/>
        <v>2.0275875100994066E-4</v>
      </c>
      <c r="AB372" s="270">
        <f t="shared" si="252"/>
        <v>2.9999999999999997E-4</v>
      </c>
      <c r="AC372" s="271">
        <f t="shared" si="236"/>
        <v>0.03</v>
      </c>
      <c r="AE372" s="258">
        <f>(((IF($S$5&lt;&gt;0,$S$5,IF($S$6&lt;&gt;0,$S$6,IF($S$7&lt;&gt;0,$S$7,0))))/(12*$S$19))+(((3*$S$15)/(2*(IF($S$5&lt;&gt;0,$S$5,IF($S$6&lt;&gt;0,$S$6,IF($S$7&lt;&gt;0,$S$7,0))))*$U$5*$S$19))*'IN-OUT'!$F$14))*'Burland damage classification'!AI372</f>
        <v>1.7538899010430702E-3</v>
      </c>
      <c r="AF372" s="353">
        <f>(1+(((IF($S$5&lt;&gt;0,$S$5^2,IF($S$6&lt;&gt;0,$S$6^2,IF($S$7&lt;&gt;0,$S$7^2))))*$U$5)/(18*$S$15))*('IN-OUT'!$F$14^(-1)))*AJ372</f>
        <v>3.8340311150722315E-4</v>
      </c>
      <c r="AG372" s="254">
        <f t="shared" si="221"/>
        <v>3.8340311150722315E-4</v>
      </c>
      <c r="AH372" s="254">
        <f t="shared" si="237"/>
        <v>3.8340311150722312E-2</v>
      </c>
      <c r="AI372" s="254">
        <f t="shared" si="253"/>
        <v>2.0000000000000066E-4</v>
      </c>
      <c r="AJ372" s="253">
        <f t="shared" si="268"/>
        <v>3.8078865529319543E-4</v>
      </c>
      <c r="AK372" s="253">
        <f t="shared" si="254"/>
        <v>2.9999999999999997E-4</v>
      </c>
      <c r="AL372" s="255">
        <f t="shared" si="238"/>
        <v>0.03</v>
      </c>
      <c r="AN372" s="258">
        <f>(((IF($S$5&lt;&gt;0,$S$5,IF($S$6&lt;&gt;0,$S$6,IF($S$7&lt;&gt;0,$S$7,0))))/(12*$S$19))+(((3*$S$15)/(2*(IF($S$5&lt;&gt;0,$S$5,IF($S$6&lt;&gt;0,$S$6,IF($S$7&lt;&gt;0,$S$7,0))))*$U$5*$S$19))*'IN-OUT'!$F$14))*'Burland damage classification'!AR372</f>
        <v>6.1386146536507296E-3</v>
      </c>
      <c r="AO372" s="353">
        <f>(1+(((IF($S$5&lt;&gt;0,$S$5^2,IF($S$6&lt;&gt;0,$S$6^2,IF($S$7&lt;&gt;0,$S$7^2))))*$U$5)/(18*$S$15))*('IN-OUT'!$F$14^(-1)))*AS372</f>
        <v>8.9492198570255638E-4</v>
      </c>
      <c r="AP372" s="254">
        <f t="shared" si="223"/>
        <v>8.9492198570255638E-4</v>
      </c>
      <c r="AQ372" s="254">
        <f t="shared" si="239"/>
        <v>8.9492198570255643E-2</v>
      </c>
      <c r="AR372" s="254">
        <f t="shared" si="255"/>
        <v>7.0000000000000053E-4</v>
      </c>
      <c r="AS372" s="253">
        <f t="shared" si="269"/>
        <v>8.8881944173155889E-4</v>
      </c>
      <c r="AT372" s="253">
        <f t="shared" si="256"/>
        <v>2.9999999999999997E-4</v>
      </c>
      <c r="AU372" s="255">
        <f t="shared" si="240"/>
        <v>0.03</v>
      </c>
      <c r="AW372" s="258">
        <f>(((IF($S$5&lt;&gt;0,$S$5,IF($S$6&lt;&gt;0,$S$6,IF($S$7&lt;&gt;0,$S$7,0))))/(12*$S$19))+(((3*$S$15)/(2*(IF($S$5&lt;&gt;0,$S$5,IF($S$6&lt;&gt;0,$S$6,IF($S$7&lt;&gt;0,$S$7,0))))*$U$5*$S$19))*'IN-OUT'!$F$14))*'Burland damage classification'!BA372</f>
        <v>1.4908064158866025E-2</v>
      </c>
      <c r="AX372" s="353">
        <f>(1+(((IF($S$5&lt;&gt;0,$S$5^2,IF($S$6&lt;&gt;0,$S$6^2,IF($S$7&lt;&gt;0,$S$7^2))))*$U$5)/(18*$S$15))*('IN-OUT'!$F$14^(-1)))*BB372</f>
        <v>1.9050796822326034E-3</v>
      </c>
      <c r="AY372" s="254">
        <f t="shared" si="225"/>
        <v>1.9050796822326034E-3</v>
      </c>
      <c r="AZ372" s="254">
        <f t="shared" si="241"/>
        <v>0.19050796822326033</v>
      </c>
      <c r="BA372" s="254">
        <f t="shared" si="257"/>
        <v>1.6999999999999975E-3</v>
      </c>
      <c r="BB372" s="270">
        <f t="shared" si="226"/>
        <v>1.89208879284245E-3</v>
      </c>
      <c r="BC372" s="253">
        <f t="shared" si="258"/>
        <v>2.9999999999999997E-4</v>
      </c>
      <c r="BD372" s="255">
        <f t="shared" si="242"/>
        <v>0.03</v>
      </c>
      <c r="BF372" s="351" t="e">
        <f>((((IF($T$5=0,$T$6,$T$5)))/(12*$T$19))+(((3*$T$15)/(2*IF($T$5=0,$T$6,$T$5)*$U$5*$T$19))*'IN-OUT'!$F$14))*'Burland damage classification'!BJ372</f>
        <v>#DIV/0!</v>
      </c>
      <c r="BG372" s="352">
        <f>(1+(((IF($T$5=0,$T$6^2,$T$5^2))*$U$5)/(18*$T$15))*('IN-OUT'!$F$14^(-1)))*BK372</f>
        <v>2.0275875100994066E-4</v>
      </c>
      <c r="BH372" s="262" t="e">
        <f t="shared" si="227"/>
        <v>#DIV/0!</v>
      </c>
      <c r="BI372" s="262" t="e">
        <f t="shared" si="243"/>
        <v>#DIV/0!</v>
      </c>
      <c r="BJ372" s="262">
        <f t="shared" si="259"/>
        <v>3.333333333333345E-5</v>
      </c>
      <c r="BK372" s="270">
        <f t="shared" si="270"/>
        <v>2.0275875100994066E-4</v>
      </c>
      <c r="BL372" s="270">
        <f t="shared" si="260"/>
        <v>2.9999999999999997E-4</v>
      </c>
      <c r="BM372" s="271">
        <f t="shared" si="244"/>
        <v>0.03</v>
      </c>
      <c r="BO372" s="351" t="e">
        <f>((((IF($T$5=0,$T$6,$T$5)))/(12*$T$19))+(((3*$T$15)/(2*IF($T$5=0,$T$6,$T$5)*$U$5*$T$19))*'IN-OUT'!$F$14))*'Burland damage classification'!BS372</f>
        <v>#DIV/0!</v>
      </c>
      <c r="BP372" s="352">
        <f>(1+(((IF($T$5=0,$T$6^2,$T$5^2))*$U$5)/(18*$T$15))*('IN-OUT'!$F$14^(-1)))*BT372</f>
        <v>3.8078865529319543E-4</v>
      </c>
      <c r="BQ372" s="254" t="e">
        <f t="shared" si="229"/>
        <v>#DIV/0!</v>
      </c>
      <c r="BR372" s="254" t="e">
        <f t="shared" si="245"/>
        <v>#DIV/0!</v>
      </c>
      <c r="BS372" s="254">
        <f t="shared" si="261"/>
        <v>2.0000000000000066E-4</v>
      </c>
      <c r="BT372" s="253">
        <f t="shared" si="271"/>
        <v>3.8078865529319543E-4</v>
      </c>
      <c r="BU372" s="253">
        <f t="shared" si="262"/>
        <v>2.9999999999999997E-4</v>
      </c>
      <c r="BV372" s="255">
        <f t="shared" si="246"/>
        <v>0.03</v>
      </c>
      <c r="BX372" s="351" t="e">
        <f>((((IF($T$5=0,$T$6,$T$5)))/(12*$T$19))+(((3*$T$15)/(2*IF($T$5=0,$T$6,$T$5)*$U$5*$T$19))*'IN-OUT'!$F$14))*'Burland damage classification'!CB372</f>
        <v>#DIV/0!</v>
      </c>
      <c r="BY372" s="352">
        <f>(1+(((IF($T$5=0,$T$6^2,$T$5^2))*$U$5)/(18*$T$15))*('IN-OUT'!$F$14^(-1)))*CC372</f>
        <v>8.8881944173155889E-4</v>
      </c>
      <c r="BZ372" s="254" t="e">
        <f t="shared" si="231"/>
        <v>#DIV/0!</v>
      </c>
      <c r="CA372" s="254" t="e">
        <f t="shared" si="247"/>
        <v>#DIV/0!</v>
      </c>
      <c r="CB372" s="254">
        <f t="shared" si="263"/>
        <v>7.0000000000000053E-4</v>
      </c>
      <c r="CC372" s="253">
        <f t="shared" si="272"/>
        <v>8.8881944173155889E-4</v>
      </c>
      <c r="CD372" s="253">
        <f t="shared" si="264"/>
        <v>2.9999999999999997E-4</v>
      </c>
      <c r="CE372" s="255">
        <f t="shared" si="248"/>
        <v>0.03</v>
      </c>
      <c r="CG372" s="351" t="e">
        <f>((((IF($T$5=0,$T$6,$T$5)))/(12*$T$19))+(((3*$T$15)/(2*IF($T$5=0,$T$6,$T$5)*$U$5*$T$19))*'IN-OUT'!$F$14))*'Burland damage classification'!CK372</f>
        <v>#DIV/0!</v>
      </c>
      <c r="CH372" s="352">
        <f>(1+(((IF($T$5=0,$T$6^2,$T$5^2))*$U$5)/(18*$T$15))*('IN-OUT'!$F$14^(-1)))*CL372</f>
        <v>1.89208879284245E-3</v>
      </c>
      <c r="CI372" s="254" t="e">
        <f t="shared" si="233"/>
        <v>#DIV/0!</v>
      </c>
      <c r="CJ372" s="254" t="e">
        <f t="shared" si="249"/>
        <v>#DIV/0!</v>
      </c>
      <c r="CK372" s="254">
        <f t="shared" si="265"/>
        <v>1.6999999999999975E-3</v>
      </c>
      <c r="CL372" s="270">
        <f t="shared" si="234"/>
        <v>1.89208879284245E-3</v>
      </c>
      <c r="CM372" s="253">
        <f t="shared" si="266"/>
        <v>2.9999999999999997E-4</v>
      </c>
      <c r="CN372" s="255">
        <f t="shared" si="250"/>
        <v>0.03</v>
      </c>
    </row>
    <row r="373" spans="22:92">
      <c r="V373" s="258">
        <f>(((IF($S$5&lt;&gt;0,$S$5,IF($S$6&lt;&gt;0,$S$6,IF($S$7&lt;&gt;0,$S$7,0))))/(12*$S$19))+(((3*$S$15)/(2*(IF($S$5&lt;&gt;0,$S$5,IF($S$6&lt;&gt;0,$S$6,IF($S$7&lt;&gt;0,$S$7,0))))*$U$5*$S$19))*'IN-OUT'!$F$14))*'Burland damage classification'!Z373</f>
        <v>2.3385198680574292E-4</v>
      </c>
      <c r="W373" s="352">
        <f>(1+(((IF($S$5&lt;&gt;0,$S$5^2,IF($S$6&lt;&gt;0,$S$6^2,IF($S$7&lt;&gt;0,$S$7^2))))*$U$5)/(18*$S$15))*('IN-OUT'!$F$14^(-1)))*AA373</f>
        <v>2.0025131479409677E-4</v>
      </c>
      <c r="X373" s="262">
        <f t="shared" si="219"/>
        <v>2.0025131479409677E-4</v>
      </c>
      <c r="Y373" s="262">
        <f t="shared" si="235"/>
        <v>2.0025131479409677E-2</v>
      </c>
      <c r="Z373" s="262">
        <f t="shared" si="251"/>
        <v>2.6666666666666782E-5</v>
      </c>
      <c r="AA373" s="270">
        <f t="shared" si="267"/>
        <v>1.9888578520235067E-4</v>
      </c>
      <c r="AB373" s="270">
        <f t="shared" si="252"/>
        <v>3.0666666666666662E-4</v>
      </c>
      <c r="AC373" s="271">
        <f t="shared" si="236"/>
        <v>3.0666666666666662E-2</v>
      </c>
      <c r="AE373" s="258">
        <f>(((IF($S$5&lt;&gt;0,$S$5,IF($S$6&lt;&gt;0,$S$6,IF($S$7&lt;&gt;0,$S$7,0))))/(12*$S$19))+(((3*$S$15)/(2*(IF($S$5&lt;&gt;0,$S$5,IF($S$6&lt;&gt;0,$S$6,IF($S$7&lt;&gt;0,$S$7,0))))*$U$5*$S$19))*'IN-OUT'!$F$14))*'Burland damage classification'!AI373</f>
        <v>1.6954269043416347E-3</v>
      </c>
      <c r="AF373" s="353">
        <f>(1+(((IF($S$5&lt;&gt;0,$S$5^2,IF($S$6&lt;&gt;0,$S$6^2,IF($S$7&lt;&gt;0,$S$7^2))))*$U$5)/(18*$S$15))*('IN-OUT'!$F$14^(-1)))*AJ373</f>
        <v>3.8030574769033884E-4</v>
      </c>
      <c r="AG373" s="254">
        <f t="shared" si="221"/>
        <v>3.8030574769033884E-4</v>
      </c>
      <c r="AH373" s="254">
        <f t="shared" si="237"/>
        <v>3.8030574769033883E-2</v>
      </c>
      <c r="AI373" s="254">
        <f t="shared" si="253"/>
        <v>1.9333333333333398E-4</v>
      </c>
      <c r="AJ373" s="253">
        <f t="shared" si="268"/>
        <v>3.7771241264574119E-4</v>
      </c>
      <c r="AK373" s="253">
        <f t="shared" si="254"/>
        <v>3.0666666666666662E-4</v>
      </c>
      <c r="AL373" s="255">
        <f t="shared" si="238"/>
        <v>3.0666666666666662E-2</v>
      </c>
      <c r="AN373" s="258">
        <f>(((IF($S$5&lt;&gt;0,$S$5,IF($S$6&lt;&gt;0,$S$6,IF($S$7&lt;&gt;0,$S$7,0))))/(12*$S$19))+(((3*$S$15)/(2*(IF($S$5&lt;&gt;0,$S$5,IF($S$6&lt;&gt;0,$S$6,IF($S$7&lt;&gt;0,$S$7,0))))*$U$5*$S$19))*'IN-OUT'!$F$14))*'Burland damage classification'!AR373</f>
        <v>6.0801516569492951E-3</v>
      </c>
      <c r="AO373" s="353">
        <f>(1+(((IF($S$5&lt;&gt;0,$S$5^2,IF($S$6&lt;&gt;0,$S$6^2,IF($S$7&lt;&gt;0,$S$7^2))))*$U$5)/(18*$S$15))*('IN-OUT'!$F$14^(-1)))*AS373</f>
        <v>8.922748411333705E-4</v>
      </c>
      <c r="AP373" s="254">
        <f t="shared" si="223"/>
        <v>8.922748411333705E-4</v>
      </c>
      <c r="AQ373" s="254">
        <f t="shared" si="239"/>
        <v>8.9227484113337044E-2</v>
      </c>
      <c r="AR373" s="254">
        <f t="shared" si="255"/>
        <v>6.9333333333333389E-4</v>
      </c>
      <c r="AS373" s="253">
        <f t="shared" si="269"/>
        <v>8.8619034825105909E-4</v>
      </c>
      <c r="AT373" s="253">
        <f t="shared" si="256"/>
        <v>3.0666666666666662E-4</v>
      </c>
      <c r="AU373" s="255">
        <f t="shared" si="240"/>
        <v>3.0666666666666662E-2</v>
      </c>
      <c r="AW373" s="258">
        <f>(((IF($S$5&lt;&gt;0,$S$5,IF($S$6&lt;&gt;0,$S$6,IF($S$7&lt;&gt;0,$S$7,0))))/(12*$S$19))+(((3*$S$15)/(2*(IF($S$5&lt;&gt;0,$S$5,IF($S$6&lt;&gt;0,$S$6,IF($S$7&lt;&gt;0,$S$7,0))))*$U$5*$S$19))*'IN-OUT'!$F$14))*'Burland damage classification'!BA373</f>
        <v>1.484960116216459E-2</v>
      </c>
      <c r="AX373" s="353">
        <f>(1+(((IF($S$5&lt;&gt;0,$S$5^2,IF($S$6&lt;&gt;0,$S$6^2,IF($S$7&lt;&gt;0,$S$7^2))))*$U$5)/(18*$S$15))*('IN-OUT'!$F$14^(-1)))*BB373</f>
        <v>1.9025947174600866E-3</v>
      </c>
      <c r="AY373" s="254">
        <f t="shared" si="225"/>
        <v>1.9025947174600866E-3</v>
      </c>
      <c r="AZ373" s="254">
        <f t="shared" si="241"/>
        <v>0.19025947174600866</v>
      </c>
      <c r="BA373" s="254">
        <f t="shared" si="257"/>
        <v>1.6933333333333308E-3</v>
      </c>
      <c r="BB373" s="270">
        <f t="shared" si="226"/>
        <v>1.8896207732417281E-3</v>
      </c>
      <c r="BC373" s="253">
        <f t="shared" si="258"/>
        <v>3.0666666666666662E-4</v>
      </c>
      <c r="BD373" s="255">
        <f t="shared" si="242"/>
        <v>3.0666666666666662E-2</v>
      </c>
      <c r="BF373" s="351" t="e">
        <f>((((IF($T$5=0,$T$6,$T$5)))/(12*$T$19))+(((3*$T$15)/(2*IF($T$5=0,$T$6,$T$5)*$U$5*$T$19))*'IN-OUT'!$F$14))*'Burland damage classification'!BJ373</f>
        <v>#DIV/0!</v>
      </c>
      <c r="BG373" s="352">
        <f>(1+(((IF($T$5=0,$T$6^2,$T$5^2))*$U$5)/(18*$T$15))*('IN-OUT'!$F$14^(-1)))*BK373</f>
        <v>1.9888578520235067E-4</v>
      </c>
      <c r="BH373" s="262" t="e">
        <f t="shared" si="227"/>
        <v>#DIV/0!</v>
      </c>
      <c r="BI373" s="262" t="e">
        <f t="shared" si="243"/>
        <v>#DIV/0!</v>
      </c>
      <c r="BJ373" s="262">
        <f t="shared" si="259"/>
        <v>2.6666666666666782E-5</v>
      </c>
      <c r="BK373" s="270">
        <f t="shared" si="270"/>
        <v>1.9888578520235067E-4</v>
      </c>
      <c r="BL373" s="270">
        <f t="shared" si="260"/>
        <v>3.0666666666666662E-4</v>
      </c>
      <c r="BM373" s="271">
        <f t="shared" si="244"/>
        <v>3.0666666666666662E-2</v>
      </c>
      <c r="BO373" s="351" t="e">
        <f>((((IF($T$5=0,$T$6,$T$5)))/(12*$T$19))+(((3*$T$15)/(2*IF($T$5=0,$T$6,$T$5)*$U$5*$T$19))*'IN-OUT'!$F$14))*'Burland damage classification'!BS373</f>
        <v>#DIV/0!</v>
      </c>
      <c r="BP373" s="352">
        <f>(1+(((IF($T$5=0,$T$6^2,$T$5^2))*$U$5)/(18*$T$15))*('IN-OUT'!$F$14^(-1)))*BT373</f>
        <v>3.7771241264574119E-4</v>
      </c>
      <c r="BQ373" s="254" t="e">
        <f t="shared" si="229"/>
        <v>#DIV/0!</v>
      </c>
      <c r="BR373" s="254" t="e">
        <f t="shared" si="245"/>
        <v>#DIV/0!</v>
      </c>
      <c r="BS373" s="254">
        <f t="shared" si="261"/>
        <v>1.9333333333333398E-4</v>
      </c>
      <c r="BT373" s="253">
        <f t="shared" si="271"/>
        <v>3.7771241264574119E-4</v>
      </c>
      <c r="BU373" s="253">
        <f t="shared" si="262"/>
        <v>3.0666666666666662E-4</v>
      </c>
      <c r="BV373" s="255">
        <f t="shared" si="246"/>
        <v>3.0666666666666662E-2</v>
      </c>
      <c r="BX373" s="351" t="e">
        <f>((((IF($T$5=0,$T$6,$T$5)))/(12*$T$19))+(((3*$T$15)/(2*IF($T$5=0,$T$6,$T$5)*$U$5*$T$19))*'IN-OUT'!$F$14))*'Burland damage classification'!CB373</f>
        <v>#DIV/0!</v>
      </c>
      <c r="BY373" s="352">
        <f>(1+(((IF($T$5=0,$T$6^2,$T$5^2))*$U$5)/(18*$T$15))*('IN-OUT'!$F$14^(-1)))*CC373</f>
        <v>8.8619034825105909E-4</v>
      </c>
      <c r="BZ373" s="254" t="e">
        <f t="shared" si="231"/>
        <v>#DIV/0!</v>
      </c>
      <c r="CA373" s="254" t="e">
        <f t="shared" si="247"/>
        <v>#DIV/0!</v>
      </c>
      <c r="CB373" s="254">
        <f t="shared" si="263"/>
        <v>6.9333333333333389E-4</v>
      </c>
      <c r="CC373" s="253">
        <f t="shared" si="272"/>
        <v>8.8619034825105909E-4</v>
      </c>
      <c r="CD373" s="253">
        <f t="shared" si="264"/>
        <v>3.0666666666666662E-4</v>
      </c>
      <c r="CE373" s="255">
        <f t="shared" si="248"/>
        <v>3.0666666666666662E-2</v>
      </c>
      <c r="CG373" s="351" t="e">
        <f>((((IF($T$5=0,$T$6,$T$5)))/(12*$T$19))+(((3*$T$15)/(2*IF($T$5=0,$T$6,$T$5)*$U$5*$T$19))*'IN-OUT'!$F$14))*'Burland damage classification'!CK373</f>
        <v>#DIV/0!</v>
      </c>
      <c r="CH373" s="352">
        <f>(1+(((IF($T$5=0,$T$6^2,$T$5^2))*$U$5)/(18*$T$15))*('IN-OUT'!$F$14^(-1)))*CL373</f>
        <v>1.8896207732417281E-3</v>
      </c>
      <c r="CI373" s="254" t="e">
        <f t="shared" si="233"/>
        <v>#DIV/0!</v>
      </c>
      <c r="CJ373" s="254" t="e">
        <f t="shared" si="249"/>
        <v>#DIV/0!</v>
      </c>
      <c r="CK373" s="254">
        <f t="shared" si="265"/>
        <v>1.6933333333333308E-3</v>
      </c>
      <c r="CL373" s="270">
        <f t="shared" si="234"/>
        <v>1.8896207732417281E-3</v>
      </c>
      <c r="CM373" s="253">
        <f t="shared" si="266"/>
        <v>3.0666666666666662E-4</v>
      </c>
      <c r="CN373" s="255">
        <f t="shared" si="250"/>
        <v>3.0666666666666662E-2</v>
      </c>
    </row>
    <row r="374" spans="22:92">
      <c r="V374" s="258">
        <f>(((IF($S$5&lt;&gt;0,$S$5,IF($S$6&lt;&gt;0,$S$6,IF($S$7&lt;&gt;0,$S$7,0))))/(12*$S$19))+(((3*$S$15)/(2*(IF($S$5&lt;&gt;0,$S$5,IF($S$6&lt;&gt;0,$S$6,IF($S$7&lt;&gt;0,$S$7,0))))*$U$5*$S$19))*'IN-OUT'!$F$14))*'Burland damage classification'!Z374</f>
        <v>1.7538899010430744E-4</v>
      </c>
      <c r="W374" s="352">
        <f>(1+(((IF($S$5&lt;&gt;0,$S$5^2,IF($S$6&lt;&gt;0,$S$6^2,IF($S$7&lt;&gt;0,$S$7^2))))*$U$5)/(18*$S$15))*('IN-OUT'!$F$14^(-1)))*AA374</f>
        <v>1.9627429688751771E-4</v>
      </c>
      <c r="X374" s="262">
        <f t="shared" si="219"/>
        <v>1.7538899010430744E-4</v>
      </c>
      <c r="Y374" s="262">
        <f t="shared" si="235"/>
        <v>1.7538899010430743E-2</v>
      </c>
      <c r="Z374" s="262">
        <f t="shared" si="251"/>
        <v>2.0000000000000113E-5</v>
      </c>
      <c r="AA374" s="270">
        <f t="shared" si="267"/>
        <v>1.9493588689617933E-4</v>
      </c>
      <c r="AB374" s="270">
        <f t="shared" si="252"/>
        <v>3.1333333333333327E-4</v>
      </c>
      <c r="AC374" s="271">
        <f t="shared" si="236"/>
        <v>3.1333333333333324E-2</v>
      </c>
      <c r="AE374" s="258">
        <f>(((IF($S$5&lt;&gt;0,$S$5,IF($S$6&lt;&gt;0,$S$6,IF($S$7&lt;&gt;0,$S$7,0))))/(12*$S$19))+(((3*$S$15)/(2*(IF($S$5&lt;&gt;0,$S$5,IF($S$6&lt;&gt;0,$S$6,IF($S$7&lt;&gt;0,$S$7,0))))*$U$5*$S$19))*'IN-OUT'!$F$14))*'Burland damage classification'!AI374</f>
        <v>1.6369639076401991E-3</v>
      </c>
      <c r="AF374" s="353">
        <f>(1+(((IF($S$5&lt;&gt;0,$S$5^2,IF($S$6&lt;&gt;0,$S$6^2,IF($S$7&lt;&gt;0,$S$7^2))))*$U$5)/(18*$S$15))*('IN-OUT'!$F$14^(-1)))*AJ374</f>
        <v>3.7718294969311006E-4</v>
      </c>
      <c r="AG374" s="254">
        <f t="shared" si="221"/>
        <v>3.7718294969311006E-4</v>
      </c>
      <c r="AH374" s="254">
        <f t="shared" si="237"/>
        <v>3.7718294969311006E-2</v>
      </c>
      <c r="AI374" s="254">
        <f t="shared" si="253"/>
        <v>1.8666666666666731E-4</v>
      </c>
      <c r="AJ374" s="253">
        <f t="shared" si="268"/>
        <v>3.746109092556347E-4</v>
      </c>
      <c r="AK374" s="253">
        <f t="shared" si="254"/>
        <v>3.1333333333333327E-4</v>
      </c>
      <c r="AL374" s="255">
        <f t="shared" si="238"/>
        <v>3.1333333333333324E-2</v>
      </c>
      <c r="AN374" s="258">
        <f>(((IF($S$5&lt;&gt;0,$S$5,IF($S$6&lt;&gt;0,$S$6,IF($S$7&lt;&gt;0,$S$7,0))))/(12*$S$19))+(((3*$S$15)/(2*(IF($S$5&lt;&gt;0,$S$5,IF($S$6&lt;&gt;0,$S$6,IF($S$7&lt;&gt;0,$S$7,0))))*$U$5*$S$19))*'IN-OUT'!$F$14))*'Burland damage classification'!AR374</f>
        <v>6.0216886602478597E-3</v>
      </c>
      <c r="AO374" s="353">
        <f>(1+(((IF($S$5&lt;&gt;0,$S$5^2,IF($S$6&lt;&gt;0,$S$6^2,IF($S$7&lt;&gt;0,$S$7^2))))*$U$5)/(18*$S$15))*('IN-OUT'!$F$14^(-1)))*AS374</f>
        <v>8.896198197799757E-4</v>
      </c>
      <c r="AP374" s="254">
        <f t="shared" si="223"/>
        <v>8.896198197799757E-4</v>
      </c>
      <c r="AQ374" s="254">
        <f t="shared" si="239"/>
        <v>8.8961981977997567E-2</v>
      </c>
      <c r="AR374" s="254">
        <f t="shared" si="255"/>
        <v>6.8666666666666724E-4</v>
      </c>
      <c r="AS374" s="253">
        <f t="shared" si="269"/>
        <v>8.8355343169876639E-4</v>
      </c>
      <c r="AT374" s="253">
        <f t="shared" si="256"/>
        <v>3.1333333333333327E-4</v>
      </c>
      <c r="AU374" s="255">
        <f t="shared" si="240"/>
        <v>3.1333333333333324E-2</v>
      </c>
      <c r="AW374" s="258">
        <f>(((IF($S$5&lt;&gt;0,$S$5,IF($S$6&lt;&gt;0,$S$6,IF($S$7&lt;&gt;0,$S$7,0))))/(12*$S$19))+(((3*$S$15)/(2*(IF($S$5&lt;&gt;0,$S$5,IF($S$6&lt;&gt;0,$S$6,IF($S$7&lt;&gt;0,$S$7,0))))*$U$5*$S$19))*'IN-OUT'!$F$14))*'Burland damage classification'!BA374</f>
        <v>1.4791138165463152E-2</v>
      </c>
      <c r="AX374" s="353">
        <f>(1+(((IF($S$5&lt;&gt;0,$S$5^2,IF($S$6&lt;&gt;0,$S$6^2,IF($S$7&lt;&gt;0,$S$7^2))))*$U$5)/(18*$S$15))*('IN-OUT'!$F$14^(-1)))*BB374</f>
        <v>1.9001065028462422E-3</v>
      </c>
      <c r="AY374" s="254">
        <f t="shared" si="225"/>
        <v>1.9001065028462422E-3</v>
      </c>
      <c r="AZ374" s="254">
        <f t="shared" si="241"/>
        <v>0.19001065028462422</v>
      </c>
      <c r="BA374" s="254">
        <f t="shared" si="257"/>
        <v>1.686666666666664E-3</v>
      </c>
      <c r="BB374" s="270">
        <f t="shared" si="226"/>
        <v>1.8871495259606041E-3</v>
      </c>
      <c r="BC374" s="253">
        <f t="shared" si="258"/>
        <v>3.1333333333333327E-4</v>
      </c>
      <c r="BD374" s="255">
        <f t="shared" si="242"/>
        <v>3.1333333333333324E-2</v>
      </c>
      <c r="BF374" s="351" t="e">
        <f>((((IF($T$5=0,$T$6,$T$5)))/(12*$T$19))+(((3*$T$15)/(2*IF($T$5=0,$T$6,$T$5)*$U$5*$T$19))*'IN-OUT'!$F$14))*'Burland damage classification'!BJ374</f>
        <v>#DIV/0!</v>
      </c>
      <c r="BG374" s="352">
        <f>(1+(((IF($T$5=0,$T$6^2,$T$5^2))*$U$5)/(18*$T$15))*('IN-OUT'!$F$14^(-1)))*BK374</f>
        <v>1.9493588689617933E-4</v>
      </c>
      <c r="BH374" s="262" t="e">
        <f t="shared" si="227"/>
        <v>#DIV/0!</v>
      </c>
      <c r="BI374" s="262" t="e">
        <f t="shared" si="243"/>
        <v>#DIV/0!</v>
      </c>
      <c r="BJ374" s="262">
        <f t="shared" si="259"/>
        <v>2.0000000000000113E-5</v>
      </c>
      <c r="BK374" s="270">
        <f t="shared" si="270"/>
        <v>1.9493588689617933E-4</v>
      </c>
      <c r="BL374" s="270">
        <f t="shared" si="260"/>
        <v>3.1333333333333327E-4</v>
      </c>
      <c r="BM374" s="271">
        <f t="shared" si="244"/>
        <v>3.1333333333333324E-2</v>
      </c>
      <c r="BO374" s="351" t="e">
        <f>((((IF($T$5=0,$T$6,$T$5)))/(12*$T$19))+(((3*$T$15)/(2*IF($T$5=0,$T$6,$T$5)*$U$5*$T$19))*'IN-OUT'!$F$14))*'Burland damage classification'!BS374</f>
        <v>#DIV/0!</v>
      </c>
      <c r="BP374" s="352">
        <f>(1+(((IF($T$5=0,$T$6^2,$T$5^2))*$U$5)/(18*$T$15))*('IN-OUT'!$F$14^(-1)))*BT374</f>
        <v>3.746109092556347E-4</v>
      </c>
      <c r="BQ374" s="254" t="e">
        <f t="shared" si="229"/>
        <v>#DIV/0!</v>
      </c>
      <c r="BR374" s="254" t="e">
        <f t="shared" si="245"/>
        <v>#DIV/0!</v>
      </c>
      <c r="BS374" s="254">
        <f t="shared" si="261"/>
        <v>1.8666666666666731E-4</v>
      </c>
      <c r="BT374" s="253">
        <f t="shared" si="271"/>
        <v>3.746109092556347E-4</v>
      </c>
      <c r="BU374" s="253">
        <f t="shared" si="262"/>
        <v>3.1333333333333327E-4</v>
      </c>
      <c r="BV374" s="255">
        <f t="shared" si="246"/>
        <v>3.1333333333333324E-2</v>
      </c>
      <c r="BX374" s="351" t="e">
        <f>((((IF($T$5=0,$T$6,$T$5)))/(12*$T$19))+(((3*$T$15)/(2*IF($T$5=0,$T$6,$T$5)*$U$5*$T$19))*'IN-OUT'!$F$14))*'Burland damage classification'!CB374</f>
        <v>#DIV/0!</v>
      </c>
      <c r="BY374" s="352">
        <f>(1+(((IF($T$5=0,$T$6^2,$T$5^2))*$U$5)/(18*$T$15))*('IN-OUT'!$F$14^(-1)))*CC374</f>
        <v>8.8355343169876639E-4</v>
      </c>
      <c r="BZ374" s="254" t="e">
        <f t="shared" si="231"/>
        <v>#DIV/0!</v>
      </c>
      <c r="CA374" s="254" t="e">
        <f t="shared" si="247"/>
        <v>#DIV/0!</v>
      </c>
      <c r="CB374" s="254">
        <f t="shared" si="263"/>
        <v>6.8666666666666724E-4</v>
      </c>
      <c r="CC374" s="253">
        <f t="shared" si="272"/>
        <v>8.8355343169876639E-4</v>
      </c>
      <c r="CD374" s="253">
        <f t="shared" si="264"/>
        <v>3.1333333333333327E-4</v>
      </c>
      <c r="CE374" s="255">
        <f t="shared" si="248"/>
        <v>3.1333333333333324E-2</v>
      </c>
      <c r="CG374" s="351" t="e">
        <f>((((IF($T$5=0,$T$6,$T$5)))/(12*$T$19))+(((3*$T$15)/(2*IF($T$5=0,$T$6,$T$5)*$U$5*$T$19))*'IN-OUT'!$F$14))*'Burland damage classification'!CK374</f>
        <v>#DIV/0!</v>
      </c>
      <c r="CH374" s="352">
        <f>(1+(((IF($T$5=0,$T$6^2,$T$5^2))*$U$5)/(18*$T$15))*('IN-OUT'!$F$14^(-1)))*CL374</f>
        <v>1.8871495259606041E-3</v>
      </c>
      <c r="CI374" s="254" t="e">
        <f t="shared" si="233"/>
        <v>#DIV/0!</v>
      </c>
      <c r="CJ374" s="254" t="e">
        <f t="shared" si="249"/>
        <v>#DIV/0!</v>
      </c>
      <c r="CK374" s="254">
        <f t="shared" si="265"/>
        <v>1.686666666666664E-3</v>
      </c>
      <c r="CL374" s="270">
        <f t="shared" si="234"/>
        <v>1.8871495259606041E-3</v>
      </c>
      <c r="CM374" s="253">
        <f t="shared" si="266"/>
        <v>3.1333333333333327E-4</v>
      </c>
      <c r="CN374" s="255">
        <f t="shared" si="250"/>
        <v>3.1333333333333324E-2</v>
      </c>
    </row>
    <row r="375" spans="22:92">
      <c r="V375" s="258">
        <f>(((IF($S$5&lt;&gt;0,$S$5,IF($S$6&lt;&gt;0,$S$6,IF($S$7&lt;&gt;0,$S$7,0))))/(12*$S$19))+(((3*$S$15)/(2*(IF($S$5&lt;&gt;0,$S$5,IF($S$6&lt;&gt;0,$S$6,IF($S$7&lt;&gt;0,$S$7,0))))*$U$5*$S$19))*'IN-OUT'!$F$14))*'Burland damage classification'!Z375</f>
        <v>1.1692599340287195E-4</v>
      </c>
      <c r="W375" s="352">
        <f>(1+(((IF($S$5&lt;&gt;0,$S$5^2,IF($S$6&lt;&gt;0,$S$6^2,IF($S$7&lt;&gt;0,$S$7^2))))*$U$5)/(18*$S$15))*('IN-OUT'!$F$14^(-1)))*AA375</f>
        <v>1.922150102375318E-4</v>
      </c>
      <c r="X375" s="262">
        <f t="shared" si="219"/>
        <v>1.1692599340287195E-4</v>
      </c>
      <c r="Y375" s="262">
        <f t="shared" si="235"/>
        <v>1.1692599340287196E-2</v>
      </c>
      <c r="Z375" s="262">
        <f t="shared" si="251"/>
        <v>1.3333333333333447E-5</v>
      </c>
      <c r="AA375" s="270">
        <f t="shared" si="267"/>
        <v>1.909042808436848E-4</v>
      </c>
      <c r="AB375" s="270">
        <f t="shared" si="252"/>
        <v>3.1999999999999992E-4</v>
      </c>
      <c r="AC375" s="271">
        <f t="shared" si="236"/>
        <v>3.1999999999999994E-2</v>
      </c>
      <c r="AE375" s="258">
        <f>(((IF($S$5&lt;&gt;0,$S$5,IF($S$6&lt;&gt;0,$S$6,IF($S$7&lt;&gt;0,$S$7,0))))/(12*$S$19))+(((3*$S$15)/(2*(IF($S$5&lt;&gt;0,$S$5,IF($S$6&lt;&gt;0,$S$6,IF($S$7&lt;&gt;0,$S$7,0))))*$U$5*$S$19))*'IN-OUT'!$F$14))*'Burland damage classification'!AI375</f>
        <v>1.5785009109387635E-3</v>
      </c>
      <c r="AF375" s="353">
        <f>(1+(((IF($S$5&lt;&gt;0,$S$5^2,IF($S$6&lt;&gt;0,$S$6^2,IF($S$7&lt;&gt;0,$S$7^2))))*$U$5)/(18*$S$15))*('IN-OUT'!$F$14^(-1)))*AJ375</f>
        <v>3.7403408046872237E-4</v>
      </c>
      <c r="AG375" s="254">
        <f t="shared" si="221"/>
        <v>3.7403408046872237E-4</v>
      </c>
      <c r="AH375" s="254">
        <f t="shared" si="237"/>
        <v>3.7403408046872234E-2</v>
      </c>
      <c r="AI375" s="254">
        <f t="shared" si="253"/>
        <v>1.8000000000000063E-4</v>
      </c>
      <c r="AJ375" s="253">
        <f t="shared" si="268"/>
        <v>3.7148351242013425E-4</v>
      </c>
      <c r="AK375" s="253">
        <f t="shared" si="254"/>
        <v>3.1999999999999992E-4</v>
      </c>
      <c r="AL375" s="255">
        <f t="shared" si="238"/>
        <v>3.1999999999999994E-2</v>
      </c>
      <c r="AN375" s="258">
        <f>(((IF($S$5&lt;&gt;0,$S$5,IF($S$6&lt;&gt;0,$S$6,IF($S$7&lt;&gt;0,$S$7,0))))/(12*$S$19))+(((3*$S$15)/(2*(IF($S$5&lt;&gt;0,$S$5,IF($S$6&lt;&gt;0,$S$6,IF($S$7&lt;&gt;0,$S$7,0))))*$U$5*$S$19))*'IN-OUT'!$F$14))*'Burland damage classification'!AR375</f>
        <v>5.9632256635464244E-3</v>
      </c>
      <c r="AO375" s="353">
        <f>(1+(((IF($S$5&lt;&gt;0,$S$5^2,IF($S$6&lt;&gt;0,$S$6^2,IF($S$7&lt;&gt;0,$S$7^2))))*$U$5)/(18*$S$15))*('IN-OUT'!$F$14^(-1)))*AS375</f>
        <v>8.8695685090715176E-4</v>
      </c>
      <c r="AP375" s="254">
        <f t="shared" si="223"/>
        <v>8.8695685090715176E-4</v>
      </c>
      <c r="AQ375" s="254">
        <f t="shared" si="239"/>
        <v>8.8695685090715182E-2</v>
      </c>
      <c r="AR375" s="254">
        <f t="shared" si="255"/>
        <v>6.8000000000000059E-4</v>
      </c>
      <c r="AS375" s="253">
        <f t="shared" si="269"/>
        <v>8.8090862182180966E-4</v>
      </c>
      <c r="AT375" s="253">
        <f t="shared" si="256"/>
        <v>3.1999999999999992E-4</v>
      </c>
      <c r="AU375" s="255">
        <f t="shared" si="240"/>
        <v>3.1999999999999994E-2</v>
      </c>
      <c r="AW375" s="258">
        <f>(((IF($S$5&lt;&gt;0,$S$5,IF($S$6&lt;&gt;0,$S$6,IF($S$7&lt;&gt;0,$S$7,0))))/(12*$S$19))+(((3*$S$15)/(2*(IF($S$5&lt;&gt;0,$S$5,IF($S$6&lt;&gt;0,$S$6,IF($S$7&lt;&gt;0,$S$7,0))))*$U$5*$S$19))*'IN-OUT'!$F$14))*'Burland damage classification'!BA375</f>
        <v>1.4732675168761717E-2</v>
      </c>
      <c r="AX375" s="353">
        <f>(1+(((IF($S$5&lt;&gt;0,$S$5^2,IF($S$6&lt;&gt;0,$S$6^2,IF($S$7&lt;&gt;0,$S$7^2))))*$U$5)/(18*$S$15))*('IN-OUT'!$F$14^(-1)))*BB375</f>
        <v>1.8976150256071773E-3</v>
      </c>
      <c r="AY375" s="254">
        <f t="shared" si="225"/>
        <v>1.8976150256071773E-3</v>
      </c>
      <c r="AZ375" s="254">
        <f t="shared" si="241"/>
        <v>0.18976150256071772</v>
      </c>
      <c r="BA375" s="254">
        <f t="shared" si="257"/>
        <v>1.6799999999999973E-3</v>
      </c>
      <c r="BB375" s="270">
        <f t="shared" si="226"/>
        <v>1.8846750383023595E-3</v>
      </c>
      <c r="BC375" s="253">
        <f t="shared" si="258"/>
        <v>3.1999999999999992E-4</v>
      </c>
      <c r="BD375" s="255">
        <f t="shared" si="242"/>
        <v>3.1999999999999994E-2</v>
      </c>
      <c r="BF375" s="351" t="e">
        <f>((((IF($T$5=0,$T$6,$T$5)))/(12*$T$19))+(((3*$T$15)/(2*IF($T$5=0,$T$6,$T$5)*$U$5*$T$19))*'IN-OUT'!$F$14))*'Burland damage classification'!BJ375</f>
        <v>#DIV/0!</v>
      </c>
      <c r="BG375" s="352">
        <f>(1+(((IF($T$5=0,$T$6^2,$T$5^2))*$U$5)/(18*$T$15))*('IN-OUT'!$F$14^(-1)))*BK375</f>
        <v>1.909042808436848E-4</v>
      </c>
      <c r="BH375" s="262" t="e">
        <f t="shared" si="227"/>
        <v>#DIV/0!</v>
      </c>
      <c r="BI375" s="262" t="e">
        <f t="shared" si="243"/>
        <v>#DIV/0!</v>
      </c>
      <c r="BJ375" s="262">
        <f t="shared" si="259"/>
        <v>1.3333333333333447E-5</v>
      </c>
      <c r="BK375" s="270">
        <f t="shared" si="270"/>
        <v>1.909042808436848E-4</v>
      </c>
      <c r="BL375" s="270">
        <f t="shared" si="260"/>
        <v>3.1999999999999992E-4</v>
      </c>
      <c r="BM375" s="271">
        <f t="shared" si="244"/>
        <v>3.1999999999999994E-2</v>
      </c>
      <c r="BO375" s="351" t="e">
        <f>((((IF($T$5=0,$T$6,$T$5)))/(12*$T$19))+(((3*$T$15)/(2*IF($T$5=0,$T$6,$T$5)*$U$5*$T$19))*'IN-OUT'!$F$14))*'Burland damage classification'!BS375</f>
        <v>#DIV/0!</v>
      </c>
      <c r="BP375" s="352">
        <f>(1+(((IF($T$5=0,$T$6^2,$T$5^2))*$U$5)/(18*$T$15))*('IN-OUT'!$F$14^(-1)))*BT375</f>
        <v>3.7148351242013425E-4</v>
      </c>
      <c r="BQ375" s="254" t="e">
        <f t="shared" si="229"/>
        <v>#DIV/0!</v>
      </c>
      <c r="BR375" s="254" t="e">
        <f t="shared" si="245"/>
        <v>#DIV/0!</v>
      </c>
      <c r="BS375" s="254">
        <f t="shared" si="261"/>
        <v>1.8000000000000063E-4</v>
      </c>
      <c r="BT375" s="253">
        <f t="shared" si="271"/>
        <v>3.7148351242013425E-4</v>
      </c>
      <c r="BU375" s="253">
        <f t="shared" si="262"/>
        <v>3.1999999999999992E-4</v>
      </c>
      <c r="BV375" s="255">
        <f t="shared" si="246"/>
        <v>3.1999999999999994E-2</v>
      </c>
      <c r="BX375" s="351" t="e">
        <f>((((IF($T$5=0,$T$6,$T$5)))/(12*$T$19))+(((3*$T$15)/(2*IF($T$5=0,$T$6,$T$5)*$U$5*$T$19))*'IN-OUT'!$F$14))*'Burland damage classification'!CB375</f>
        <v>#DIV/0!</v>
      </c>
      <c r="BY375" s="352">
        <f>(1+(((IF($T$5=0,$T$6^2,$T$5^2))*$U$5)/(18*$T$15))*('IN-OUT'!$F$14^(-1)))*CC375</f>
        <v>8.8090862182180966E-4</v>
      </c>
      <c r="BZ375" s="254" t="e">
        <f t="shared" si="231"/>
        <v>#DIV/0!</v>
      </c>
      <c r="CA375" s="254" t="e">
        <f t="shared" si="247"/>
        <v>#DIV/0!</v>
      </c>
      <c r="CB375" s="254">
        <f t="shared" si="263"/>
        <v>6.8000000000000059E-4</v>
      </c>
      <c r="CC375" s="253">
        <f t="shared" si="272"/>
        <v>8.8090862182180966E-4</v>
      </c>
      <c r="CD375" s="253">
        <f t="shared" si="264"/>
        <v>3.1999999999999992E-4</v>
      </c>
      <c r="CE375" s="255">
        <f t="shared" si="248"/>
        <v>3.1999999999999994E-2</v>
      </c>
      <c r="CG375" s="351" t="e">
        <f>((((IF($T$5=0,$T$6,$T$5)))/(12*$T$19))+(((3*$T$15)/(2*IF($T$5=0,$T$6,$T$5)*$U$5*$T$19))*'IN-OUT'!$F$14))*'Burland damage classification'!CK375</f>
        <v>#DIV/0!</v>
      </c>
      <c r="CH375" s="352">
        <f>(1+(((IF($T$5=0,$T$6^2,$T$5^2))*$U$5)/(18*$T$15))*('IN-OUT'!$F$14^(-1)))*CL375</f>
        <v>1.8846750383023595E-3</v>
      </c>
      <c r="CI375" s="254" t="e">
        <f t="shared" si="233"/>
        <v>#DIV/0!</v>
      </c>
      <c r="CJ375" s="254" t="e">
        <f t="shared" si="249"/>
        <v>#DIV/0!</v>
      </c>
      <c r="CK375" s="254">
        <f t="shared" si="265"/>
        <v>1.6799999999999973E-3</v>
      </c>
      <c r="CL375" s="270">
        <f t="shared" si="234"/>
        <v>1.8846750383023595E-3</v>
      </c>
      <c r="CM375" s="253">
        <f t="shared" si="266"/>
        <v>3.1999999999999992E-4</v>
      </c>
      <c r="CN375" s="255">
        <f t="shared" si="250"/>
        <v>3.1999999999999994E-2</v>
      </c>
    </row>
    <row r="376" spans="22:92">
      <c r="V376" s="258">
        <f>(((IF($S$5&lt;&gt;0,$S$5,IF($S$6&lt;&gt;0,$S$6,IF($S$7&lt;&gt;0,$S$7,0))))/(12*$S$19))+(((3*$S$15)/(2*(IF($S$5&lt;&gt;0,$S$5,IF($S$6&lt;&gt;0,$S$6,IF($S$7&lt;&gt;0,$S$7,0))))*$U$5*$S$19))*'IN-OUT'!$F$14))*'Burland damage classification'!Z376</f>
        <v>5.8462996701436476E-5</v>
      </c>
      <c r="W376" s="352">
        <f>(1+(((IF($S$5&lt;&gt;0,$S$5^2,IF($S$6&lt;&gt;0,$S$6^2,IF($S$7&lt;&gt;0,$S$7^2))))*$U$5)/(18*$S$15))*('IN-OUT'!$F$14^(-1)))*AA376</f>
        <v>1.8806812782217895E-4</v>
      </c>
      <c r="X376" s="262">
        <f t="shared" si="219"/>
        <v>5.8462996701436476E-5</v>
      </c>
      <c r="Y376" s="262">
        <f t="shared" si="235"/>
        <v>5.8462996701436473E-3</v>
      </c>
      <c r="Z376" s="262">
        <f t="shared" si="251"/>
        <v>6.6666666666667801E-6</v>
      </c>
      <c r="AA376" s="270">
        <f t="shared" si="267"/>
        <v>1.8678567634829206E-4</v>
      </c>
      <c r="AB376" s="270">
        <f t="shared" si="252"/>
        <v>3.2666666666666657E-4</v>
      </c>
      <c r="AC376" s="271">
        <f t="shared" si="236"/>
        <v>3.2666666666666656E-2</v>
      </c>
      <c r="AE376" s="258">
        <f>(((IF($S$5&lt;&gt;0,$S$5,IF($S$6&lt;&gt;0,$S$6,IF($S$7&lt;&gt;0,$S$7,0))))/(12*$S$19))+(((3*$S$15)/(2*(IF($S$5&lt;&gt;0,$S$5,IF($S$6&lt;&gt;0,$S$6,IF($S$7&lt;&gt;0,$S$7,0))))*$U$5*$S$19))*'IN-OUT'!$F$14))*'Burland damage classification'!AI376</f>
        <v>1.5200379142373279E-3</v>
      </c>
      <c r="AF376" s="353">
        <f>(1+(((IF($S$5&lt;&gt;0,$S$5^2,IF($S$6&lt;&gt;0,$S$6^2,IF($S$7&lt;&gt;0,$S$7^2))))*$U$5)/(18*$S$15))*('IN-OUT'!$F$14^(-1)))*AJ376</f>
        <v>3.7085847592440189E-4</v>
      </c>
      <c r="AG376" s="254">
        <f t="shared" si="221"/>
        <v>3.7085847592440189E-4</v>
      </c>
      <c r="AH376" s="254">
        <f t="shared" si="237"/>
        <v>3.7085847592440192E-2</v>
      </c>
      <c r="AI376" s="254">
        <f t="shared" si="253"/>
        <v>1.7333333333333396E-4</v>
      </c>
      <c r="AJ376" s="253">
        <f t="shared" si="268"/>
        <v>3.6832956257496722E-4</v>
      </c>
      <c r="AK376" s="253">
        <f t="shared" si="254"/>
        <v>3.2666666666666657E-4</v>
      </c>
      <c r="AL376" s="255">
        <f t="shared" si="238"/>
        <v>3.2666666666666656E-2</v>
      </c>
      <c r="AN376" s="258">
        <f>(((IF($S$5&lt;&gt;0,$S$5,IF($S$6&lt;&gt;0,$S$6,IF($S$7&lt;&gt;0,$S$7,0))))/(12*$S$19))+(((3*$S$15)/(2*(IF($S$5&lt;&gt;0,$S$5,IF($S$6&lt;&gt;0,$S$6,IF($S$7&lt;&gt;0,$S$7,0))))*$U$5*$S$19))*'IN-OUT'!$F$14))*'Burland damage classification'!AR376</f>
        <v>5.904762666844989E-3</v>
      </c>
      <c r="AO376" s="353">
        <f>(1+(((IF($S$5&lt;&gt;0,$S$5^2,IF($S$6&lt;&gt;0,$S$6^2,IF($S$7&lt;&gt;0,$S$7^2))))*$U$5)/(18*$S$15))*('IN-OUT'!$F$14^(-1)))*AS376</f>
        <v>8.842858627146011E-4</v>
      </c>
      <c r="AP376" s="254">
        <f t="shared" si="223"/>
        <v>8.842858627146011E-4</v>
      </c>
      <c r="AQ376" s="254">
        <f t="shared" si="239"/>
        <v>8.8428586271460108E-2</v>
      </c>
      <c r="AR376" s="254">
        <f t="shared" si="255"/>
        <v>6.7333333333333394E-4</v>
      </c>
      <c r="AS376" s="253">
        <f t="shared" si="269"/>
        <v>8.7825584730950315E-4</v>
      </c>
      <c r="AT376" s="253">
        <f t="shared" si="256"/>
        <v>3.2666666666666657E-4</v>
      </c>
      <c r="AU376" s="255">
        <f t="shared" si="240"/>
        <v>3.2666666666666656E-2</v>
      </c>
      <c r="AW376" s="258">
        <f>(((IF($S$5&lt;&gt;0,$S$5,IF($S$6&lt;&gt;0,$S$6,IF($S$7&lt;&gt;0,$S$7,0))))/(12*$S$19))+(((3*$S$15)/(2*(IF($S$5&lt;&gt;0,$S$5,IF($S$6&lt;&gt;0,$S$6,IF($S$7&lt;&gt;0,$S$7,0))))*$U$5*$S$19))*'IN-OUT'!$F$14))*'Burland damage classification'!BA376</f>
        <v>1.467421217206028E-2</v>
      </c>
      <c r="AX376" s="353">
        <f>(1+(((IF($S$5&lt;&gt;0,$S$5^2,IF($S$6&lt;&gt;0,$S$6^2,IF($S$7&lt;&gt;0,$S$7^2))))*$U$5)/(18*$S$15))*('IN-OUT'!$F$14^(-1)))*BB376</f>
        <v>1.8951202728749636E-3</v>
      </c>
      <c r="AY376" s="254">
        <f t="shared" si="225"/>
        <v>1.8951202728749636E-3</v>
      </c>
      <c r="AZ376" s="254">
        <f t="shared" si="241"/>
        <v>0.18951202728749636</v>
      </c>
      <c r="BA376" s="254">
        <f t="shared" si="257"/>
        <v>1.6733333333333305E-3</v>
      </c>
      <c r="BB376" s="270">
        <f t="shared" si="226"/>
        <v>1.882197297486814E-3</v>
      </c>
      <c r="BC376" s="253">
        <f t="shared" si="258"/>
        <v>3.2666666666666657E-4</v>
      </c>
      <c r="BD376" s="255">
        <f t="shared" si="242"/>
        <v>3.2666666666666656E-2</v>
      </c>
      <c r="BF376" s="351" t="e">
        <f>((((IF($T$5=0,$T$6,$T$5)))/(12*$T$19))+(((3*$T$15)/(2*IF($T$5=0,$T$6,$T$5)*$U$5*$T$19))*'IN-OUT'!$F$14))*'Burland damage classification'!BJ376</f>
        <v>#DIV/0!</v>
      </c>
      <c r="BG376" s="352">
        <f>(1+(((IF($T$5=0,$T$6^2,$T$5^2))*$U$5)/(18*$T$15))*('IN-OUT'!$F$14^(-1)))*BK376</f>
        <v>1.8678567634829206E-4</v>
      </c>
      <c r="BH376" s="262" t="e">
        <f t="shared" si="227"/>
        <v>#DIV/0!</v>
      </c>
      <c r="BI376" s="262" t="e">
        <f t="shared" si="243"/>
        <v>#DIV/0!</v>
      </c>
      <c r="BJ376" s="262">
        <f t="shared" si="259"/>
        <v>6.6666666666667801E-6</v>
      </c>
      <c r="BK376" s="270">
        <f t="shared" si="270"/>
        <v>1.8678567634829206E-4</v>
      </c>
      <c r="BL376" s="270">
        <f t="shared" si="260"/>
        <v>3.2666666666666657E-4</v>
      </c>
      <c r="BM376" s="271">
        <f t="shared" si="244"/>
        <v>3.2666666666666656E-2</v>
      </c>
      <c r="BO376" s="351" t="e">
        <f>((((IF($T$5=0,$T$6,$T$5)))/(12*$T$19))+(((3*$T$15)/(2*IF($T$5=0,$T$6,$T$5)*$U$5*$T$19))*'IN-OUT'!$F$14))*'Burland damage classification'!BS376</f>
        <v>#DIV/0!</v>
      </c>
      <c r="BP376" s="352">
        <f>(1+(((IF($T$5=0,$T$6^2,$T$5^2))*$U$5)/(18*$T$15))*('IN-OUT'!$F$14^(-1)))*BT376</f>
        <v>3.6832956257496722E-4</v>
      </c>
      <c r="BQ376" s="254" t="e">
        <f t="shared" si="229"/>
        <v>#DIV/0!</v>
      </c>
      <c r="BR376" s="254" t="e">
        <f t="shared" si="245"/>
        <v>#DIV/0!</v>
      </c>
      <c r="BS376" s="254">
        <f t="shared" si="261"/>
        <v>1.7333333333333396E-4</v>
      </c>
      <c r="BT376" s="253">
        <f t="shared" si="271"/>
        <v>3.6832956257496722E-4</v>
      </c>
      <c r="BU376" s="253">
        <f t="shared" si="262"/>
        <v>3.2666666666666657E-4</v>
      </c>
      <c r="BV376" s="255">
        <f t="shared" si="246"/>
        <v>3.2666666666666656E-2</v>
      </c>
      <c r="BX376" s="351" t="e">
        <f>((((IF($T$5=0,$T$6,$T$5)))/(12*$T$19))+(((3*$T$15)/(2*IF($T$5=0,$T$6,$T$5)*$U$5*$T$19))*'IN-OUT'!$F$14))*'Burland damage classification'!CB376</f>
        <v>#DIV/0!</v>
      </c>
      <c r="BY376" s="352">
        <f>(1+(((IF($T$5=0,$T$6^2,$T$5^2))*$U$5)/(18*$T$15))*('IN-OUT'!$F$14^(-1)))*CC376</f>
        <v>8.7825584730950315E-4</v>
      </c>
      <c r="BZ376" s="254" t="e">
        <f t="shared" si="231"/>
        <v>#DIV/0!</v>
      </c>
      <c r="CA376" s="254" t="e">
        <f t="shared" si="247"/>
        <v>#DIV/0!</v>
      </c>
      <c r="CB376" s="254">
        <f t="shared" si="263"/>
        <v>6.7333333333333394E-4</v>
      </c>
      <c r="CC376" s="253">
        <f t="shared" si="272"/>
        <v>8.7825584730950315E-4</v>
      </c>
      <c r="CD376" s="253">
        <f t="shared" si="264"/>
        <v>3.2666666666666657E-4</v>
      </c>
      <c r="CE376" s="255">
        <f t="shared" si="248"/>
        <v>3.2666666666666656E-2</v>
      </c>
      <c r="CG376" s="351" t="e">
        <f>((((IF($T$5=0,$T$6,$T$5)))/(12*$T$19))+(((3*$T$15)/(2*IF($T$5=0,$T$6,$T$5)*$U$5*$T$19))*'IN-OUT'!$F$14))*'Burland damage classification'!CK376</f>
        <v>#DIV/0!</v>
      </c>
      <c r="CH376" s="352">
        <f>(1+(((IF($T$5=0,$T$6^2,$T$5^2))*$U$5)/(18*$T$15))*('IN-OUT'!$F$14^(-1)))*CL376</f>
        <v>1.882197297486814E-3</v>
      </c>
      <c r="CI376" s="254" t="e">
        <f t="shared" si="233"/>
        <v>#DIV/0!</v>
      </c>
      <c r="CJ376" s="254" t="e">
        <f t="shared" si="249"/>
        <v>#DIV/0!</v>
      </c>
      <c r="CK376" s="254">
        <f t="shared" si="265"/>
        <v>1.6733333333333305E-3</v>
      </c>
      <c r="CL376" s="270">
        <f t="shared" si="234"/>
        <v>1.882197297486814E-3</v>
      </c>
      <c r="CM376" s="253">
        <f t="shared" si="266"/>
        <v>3.2666666666666657E-4</v>
      </c>
      <c r="CN376" s="255">
        <f t="shared" si="250"/>
        <v>3.2666666666666656E-2</v>
      </c>
    </row>
    <row r="377" spans="22:92" ht="13.8" thickBot="1">
      <c r="V377" s="258">
        <f>(((IF($S$5&lt;&gt;0,$S$5,IF($S$6&lt;&gt;0,$S$6,IF($S$7&lt;&gt;0,$S$7,0))))/(12*$S$19))+(((3*$S$15)/(2*(IF($S$5&lt;&gt;0,$S$5,IF($S$6&lt;&gt;0,$S$6,IF($S$7&lt;&gt;0,$S$7,0))))*$U$5*$S$19))*'IN-OUT'!$F$14))*'Burland damage classification'!Z377</f>
        <v>9.9535369646684025E-19</v>
      </c>
      <c r="W377" s="352">
        <f>(1+(((IF($S$5&lt;&gt;0,$S$5^2,IF($S$6&lt;&gt;0,$S$6^2,IF($S$7&lt;&gt;0,$S$7^2))))*$U$5)/(18*$S$15))*('IN-OUT'!$F$14^(-1)))*AA377</f>
        <v>1.8382772164302215E-4</v>
      </c>
      <c r="X377" s="272">
        <f t="shared" si="219"/>
        <v>9.9535369646684025E-19</v>
      </c>
      <c r="Y377" s="272">
        <f t="shared" si="235"/>
        <v>9.9535369646684023E-17</v>
      </c>
      <c r="Z377" s="262">
        <f t="shared" si="251"/>
        <v>1.1350241493207625E-19</v>
      </c>
      <c r="AA377" s="273">
        <f t="shared" si="267"/>
        <v>1.8257418583505545E-4</v>
      </c>
      <c r="AB377" s="270">
        <f t="shared" si="252"/>
        <v>3.3333333333333321E-4</v>
      </c>
      <c r="AC377" s="274">
        <f t="shared" si="236"/>
        <v>3.3333333333333319E-2</v>
      </c>
      <c r="AE377" s="258">
        <f>(((IF($S$5&lt;&gt;0,$S$5,IF($S$6&lt;&gt;0,$S$6,IF($S$7&lt;&gt;0,$S$7,0))))/(12*$S$19))+(((3*$S$15)/(2*(IF($S$5&lt;&gt;0,$S$5,IF($S$6&lt;&gt;0,$S$6,IF($S$7&lt;&gt;0,$S$7,0))))*$U$5*$S$19))*'IN-OUT'!$F$14))*'Burland damage classification'!AI377</f>
        <v>1.4615749175358923E-3</v>
      </c>
      <c r="AF377" s="353">
        <f>(1+(((IF($S$5&lt;&gt;0,$S$5^2,IF($S$6&lt;&gt;0,$S$6^2,IF($S$7&lt;&gt;0,$S$7^2))))*$U$5)/(18*$S$15))*('IN-OUT'!$F$14^(-1)))*AJ377</f>
        <v>3.676554432860442E-4</v>
      </c>
      <c r="AG377" s="254">
        <f t="shared" si="221"/>
        <v>3.676554432860442E-4</v>
      </c>
      <c r="AH377" s="254">
        <f t="shared" si="237"/>
        <v>3.6765544328604419E-2</v>
      </c>
      <c r="AI377" s="254">
        <f t="shared" si="253"/>
        <v>1.6666666666666728E-4</v>
      </c>
      <c r="AJ377" s="253">
        <f t="shared" si="268"/>
        <v>3.6514837167011079E-4</v>
      </c>
      <c r="AK377" s="253">
        <f t="shared" si="254"/>
        <v>3.3333333333333321E-4</v>
      </c>
      <c r="AL377" s="255">
        <f t="shared" si="238"/>
        <v>3.3333333333333319E-2</v>
      </c>
      <c r="AN377" s="258">
        <f>(((IF($S$5&lt;&gt;0,$S$5,IF($S$6&lt;&gt;0,$S$6,IF($S$7&lt;&gt;0,$S$7,0))))/(12*$S$19))+(((3*$S$15)/(2*(IF($S$5&lt;&gt;0,$S$5,IF($S$6&lt;&gt;0,$S$6,IF($S$7&lt;&gt;0,$S$7,0))))*$U$5*$S$19))*'IN-OUT'!$F$14))*'Burland damage classification'!AR377</f>
        <v>5.8462996701435536E-3</v>
      </c>
      <c r="AO377" s="353">
        <f>(1+(((IF($S$5&lt;&gt;0,$S$5^2,IF($S$6&lt;&gt;0,$S$6^2,IF($S$7&lt;&gt;0,$S$7^2))))*$U$5)/(18*$S$15))*('IN-OUT'!$F$14^(-1)))*AS377</f>
        <v>8.8160678231436124E-4</v>
      </c>
      <c r="AP377" s="254">
        <f t="shared" si="223"/>
        <v>8.8160678231436124E-4</v>
      </c>
      <c r="AQ377" s="254">
        <f t="shared" si="239"/>
        <v>8.8160678231436126E-2</v>
      </c>
      <c r="AR377" s="254">
        <f t="shared" si="255"/>
        <v>6.6666666666666729E-4</v>
      </c>
      <c r="AS377" s="253">
        <f t="shared" si="269"/>
        <v>8.755950357709132E-4</v>
      </c>
      <c r="AT377" s="253">
        <f t="shared" si="256"/>
        <v>3.3333333333333321E-4</v>
      </c>
      <c r="AU377" s="255">
        <f t="shared" si="240"/>
        <v>3.3333333333333319E-2</v>
      </c>
      <c r="AW377" s="258">
        <f>(((IF($S$5&lt;&gt;0,$S$5,IF($S$6&lt;&gt;0,$S$6,IF($S$7&lt;&gt;0,$S$7,0))))/(12*$S$19))+(((3*$S$15)/(2*(IF($S$5&lt;&gt;0,$S$5,IF($S$6&lt;&gt;0,$S$6,IF($S$7&lt;&gt;0,$S$7,0))))*$U$5*$S$19))*'IN-OUT'!$F$14))*'Burland damage classification'!BA377</f>
        <v>1.4615749175358845E-2</v>
      </c>
      <c r="AX377" s="353">
        <f>(1+(((IF($S$5&lt;&gt;0,$S$5^2,IF($S$6&lt;&gt;0,$S$6^2,IF($S$7&lt;&gt;0,$S$7^2))))*$U$5)/(18*$S$15))*('IN-OUT'!$F$14^(-1)))*BB377</f>
        <v>1.8926222316968664E-3</v>
      </c>
      <c r="AY377" s="254">
        <f t="shared" si="225"/>
        <v>1.8926222316968664E-3</v>
      </c>
      <c r="AZ377" s="254">
        <f t="shared" si="241"/>
        <v>0.18926222316968663</v>
      </c>
      <c r="BA377" s="254">
        <f t="shared" si="257"/>
        <v>1.6666666666666637E-3</v>
      </c>
      <c r="BB377" s="270">
        <f t="shared" si="226"/>
        <v>1.8797162906495578E-3</v>
      </c>
      <c r="BC377" s="253">
        <f t="shared" si="258"/>
        <v>3.3333333333333321E-4</v>
      </c>
      <c r="BD377" s="255">
        <f t="shared" si="242"/>
        <v>3.3333333333333319E-2</v>
      </c>
      <c r="BF377" s="351" t="e">
        <f>((((IF($T$5=0,$T$6,$T$5)))/(12*$T$19))+(((3*$T$15)/(2*IF($T$5=0,$T$6,$T$5)*$U$5*$T$19))*'IN-OUT'!$F$14))*'Burland damage classification'!BJ377</f>
        <v>#DIV/0!</v>
      </c>
      <c r="BG377" s="352">
        <f>(1+(((IF($T$5=0,$T$6^2,$T$5^2))*$U$5)/(18*$T$15))*('IN-OUT'!$F$14^(-1)))*BK377</f>
        <v>1.8257418583505545E-4</v>
      </c>
      <c r="BH377" s="272" t="e">
        <f t="shared" si="227"/>
        <v>#DIV/0!</v>
      </c>
      <c r="BI377" s="272" t="e">
        <f t="shared" si="243"/>
        <v>#DIV/0!</v>
      </c>
      <c r="BJ377" s="262">
        <f t="shared" si="259"/>
        <v>1.1350241493207625E-19</v>
      </c>
      <c r="BK377" s="273">
        <f t="shared" si="270"/>
        <v>1.8257418583505545E-4</v>
      </c>
      <c r="BL377" s="270">
        <f t="shared" si="260"/>
        <v>3.3333333333333321E-4</v>
      </c>
      <c r="BM377" s="274">
        <f t="shared" si="244"/>
        <v>3.3333333333333319E-2</v>
      </c>
      <c r="BO377" s="351" t="e">
        <f>((((IF($T$5=0,$T$6,$T$5)))/(12*$T$19))+(((3*$T$15)/(2*IF($T$5=0,$T$6,$T$5)*$U$5*$T$19))*'IN-OUT'!$F$14))*'Burland damage classification'!BS377</f>
        <v>#DIV/0!</v>
      </c>
      <c r="BP377" s="352">
        <f>(1+(((IF($T$5=0,$T$6^2,$T$5^2))*$U$5)/(18*$T$15))*('IN-OUT'!$F$14^(-1)))*BT377</f>
        <v>3.6514837167011079E-4</v>
      </c>
      <c r="BQ377" s="254" t="e">
        <f t="shared" si="229"/>
        <v>#DIV/0!</v>
      </c>
      <c r="BR377" s="254" t="e">
        <f t="shared" si="245"/>
        <v>#DIV/0!</v>
      </c>
      <c r="BS377" s="254">
        <f t="shared" si="261"/>
        <v>1.6666666666666728E-4</v>
      </c>
      <c r="BT377" s="253">
        <f t="shared" si="271"/>
        <v>3.6514837167011079E-4</v>
      </c>
      <c r="BU377" s="253">
        <f t="shared" si="262"/>
        <v>3.3333333333333321E-4</v>
      </c>
      <c r="BV377" s="255">
        <f t="shared" si="246"/>
        <v>3.3333333333333319E-2</v>
      </c>
      <c r="BX377" s="351" t="e">
        <f>((((IF($T$5=0,$T$6,$T$5)))/(12*$T$19))+(((3*$T$15)/(2*IF($T$5=0,$T$6,$T$5)*$U$5*$T$19))*'IN-OUT'!$F$14))*'Burland damage classification'!CB377</f>
        <v>#DIV/0!</v>
      </c>
      <c r="BY377" s="352">
        <f>(1+(((IF($T$5=0,$T$6^2,$T$5^2))*$U$5)/(18*$T$15))*('IN-OUT'!$F$14^(-1)))*CC377</f>
        <v>8.755950357709132E-4</v>
      </c>
      <c r="BZ377" s="254" t="e">
        <f t="shared" si="231"/>
        <v>#DIV/0!</v>
      </c>
      <c r="CA377" s="254" t="e">
        <f t="shared" si="247"/>
        <v>#DIV/0!</v>
      </c>
      <c r="CB377" s="254">
        <f t="shared" si="263"/>
        <v>6.6666666666666729E-4</v>
      </c>
      <c r="CC377" s="253">
        <f t="shared" si="272"/>
        <v>8.755950357709132E-4</v>
      </c>
      <c r="CD377" s="253">
        <f t="shared" si="264"/>
        <v>3.3333333333333321E-4</v>
      </c>
      <c r="CE377" s="255">
        <f t="shared" si="248"/>
        <v>3.3333333333333319E-2</v>
      </c>
      <c r="CG377" s="351" t="e">
        <f>((((IF($T$5=0,$T$6,$T$5)))/(12*$T$19))+(((3*$T$15)/(2*IF($T$5=0,$T$6,$T$5)*$U$5*$T$19))*'IN-OUT'!$F$14))*'Burland damage classification'!CK377</f>
        <v>#DIV/0!</v>
      </c>
      <c r="CH377" s="352">
        <f>(1+(((IF($T$5=0,$T$6^2,$T$5^2))*$U$5)/(18*$T$15))*('IN-OUT'!$F$14^(-1)))*CL377</f>
        <v>1.8797162906495578E-3</v>
      </c>
      <c r="CI377" s="254" t="e">
        <f t="shared" si="233"/>
        <v>#DIV/0!</v>
      </c>
      <c r="CJ377" s="254" t="e">
        <f t="shared" si="249"/>
        <v>#DIV/0!</v>
      </c>
      <c r="CK377" s="254">
        <f t="shared" si="265"/>
        <v>1.6666666666666637E-3</v>
      </c>
      <c r="CL377" s="270">
        <f t="shared" si="234"/>
        <v>1.8797162906495578E-3</v>
      </c>
      <c r="CM377" s="253">
        <f t="shared" si="266"/>
        <v>3.3333333333333321E-4</v>
      </c>
      <c r="CN377" s="255">
        <f t="shared" si="250"/>
        <v>3.3333333333333319E-2</v>
      </c>
    </row>
    <row r="378" spans="22:92">
      <c r="AE378" s="258">
        <f>(((IF($S$5&lt;&gt;0,$S$5,IF($S$6&lt;&gt;0,$S$6,IF($S$7&lt;&gt;0,$S$7,0))))/(12*$S$19))+(((3*$S$15)/(2*(IF($S$5&lt;&gt;0,$S$5,IF($S$6&lt;&gt;0,$S$6,IF($S$7&lt;&gt;0,$S$7,0))))*$U$5*$S$19))*'IN-OUT'!$F$14))*'Burland damage classification'!AI378</f>
        <v>1.4031119208344569E-3</v>
      </c>
      <c r="AF378" s="353">
        <f>(1+(((IF($S$5&lt;&gt;0,$S$5^2,IF($S$6&lt;&gt;0,$S$6^2,IF($S$7&lt;&gt;0,$S$7^2))))*$U$5)/(18*$S$15))*('IN-OUT'!$F$14^(-1)))*AJ378</f>
        <v>3.6442425933346585E-4</v>
      </c>
      <c r="AG378" s="254">
        <f t="shared" si="221"/>
        <v>3.6442425933346585E-4</v>
      </c>
      <c r="AH378" s="254">
        <f t="shared" si="237"/>
        <v>3.6442425933346588E-2</v>
      </c>
      <c r="AI378" s="254">
        <f t="shared" si="253"/>
        <v>1.6000000000000061E-4</v>
      </c>
      <c r="AJ378" s="253">
        <f t="shared" si="268"/>
        <v>3.619392214170772E-4</v>
      </c>
      <c r="AK378" s="253">
        <f t="shared" si="254"/>
        <v>3.3999999999999986E-4</v>
      </c>
      <c r="AL378" s="255">
        <f t="shared" si="238"/>
        <v>3.3999999999999989E-2</v>
      </c>
      <c r="AN378" s="258">
        <f>(((IF($S$5&lt;&gt;0,$S$5,IF($S$6&lt;&gt;0,$S$6,IF($S$7&lt;&gt;0,$S$7,0))))/(12*$S$19))+(((3*$S$15)/(2*(IF($S$5&lt;&gt;0,$S$5,IF($S$6&lt;&gt;0,$S$6,IF($S$7&lt;&gt;0,$S$7,0))))*$U$5*$S$19))*'IN-OUT'!$F$14))*'Burland damage classification'!AR378</f>
        <v>5.7878366734421182E-3</v>
      </c>
      <c r="AO378" s="353">
        <f>(1+(((IF($S$5&lt;&gt;0,$S$5^2,IF($S$6&lt;&gt;0,$S$6^2,IF($S$7&lt;&gt;0,$S$7^2))))*$U$5)/(18*$S$15))*('IN-OUT'!$F$14^(-1)))*AS378</f>
        <v>8.7891953570759626E-4</v>
      </c>
      <c r="AP378" s="254">
        <f t="shared" si="223"/>
        <v>8.7891953570759626E-4</v>
      </c>
      <c r="AQ378" s="254">
        <f t="shared" si="239"/>
        <v>8.7891953570759629E-2</v>
      </c>
      <c r="AR378" s="254">
        <f t="shared" si="255"/>
        <v>6.6000000000000065E-4</v>
      </c>
      <c r="AS378" s="253">
        <f t="shared" si="269"/>
        <v>8.7292611371180787E-4</v>
      </c>
      <c r="AT378" s="253">
        <f t="shared" si="256"/>
        <v>3.3999999999999986E-4</v>
      </c>
      <c r="AU378" s="255">
        <f t="shared" si="240"/>
        <v>3.3999999999999989E-2</v>
      </c>
      <c r="AW378" s="258">
        <f>(((IF($S$5&lt;&gt;0,$S$5,IF($S$6&lt;&gt;0,$S$6,IF($S$7&lt;&gt;0,$S$7,0))))/(12*$S$19))+(((3*$S$15)/(2*(IF($S$5&lt;&gt;0,$S$5,IF($S$6&lt;&gt;0,$S$6,IF($S$7&lt;&gt;0,$S$7,0))))*$U$5*$S$19))*'IN-OUT'!$F$14))*'Burland damage classification'!BA378</f>
        <v>1.4557286178657407E-2</v>
      </c>
      <c r="AX378" s="353">
        <f>(1+(((IF($S$5&lt;&gt;0,$S$5^2,IF($S$6&lt;&gt;0,$S$6^2,IF($S$7&lt;&gt;0,$S$7^2))))*$U$5)/(18*$S$15))*('IN-OUT'!$F$14^(-1)))*BB378</f>
        <v>1.8901208890345551E-3</v>
      </c>
      <c r="AY378" s="254">
        <f t="shared" si="225"/>
        <v>1.8901208890345551E-3</v>
      </c>
      <c r="AZ378" s="254">
        <f t="shared" si="241"/>
        <v>0.1890120889034555</v>
      </c>
      <c r="BA378" s="254">
        <f t="shared" si="257"/>
        <v>1.659999999999997E-3</v>
      </c>
      <c r="BB378" s="270">
        <f t="shared" si="226"/>
        <v>1.8772320048411704E-3</v>
      </c>
      <c r="BC378" s="253">
        <f t="shared" si="258"/>
        <v>3.3999999999999986E-4</v>
      </c>
      <c r="BD378" s="255">
        <f t="shared" si="242"/>
        <v>3.3999999999999989E-2</v>
      </c>
      <c r="BI378" s="248"/>
      <c r="BO378" s="351" t="e">
        <f>((((IF($T$5=0,$T$6,$T$5)))/(12*$T$19))+(((3*$T$15)/(2*IF($T$5=0,$T$6,$T$5)*$U$5*$T$19))*'IN-OUT'!$F$14))*'Burland damage classification'!BS378</f>
        <v>#DIV/0!</v>
      </c>
      <c r="BP378" s="352">
        <f>(1+(((IF($T$5=0,$T$6^2,$T$5^2))*$U$5)/(18*$T$15))*('IN-OUT'!$F$14^(-1)))*BT378</f>
        <v>3.619392214170772E-4</v>
      </c>
      <c r="BQ378" s="254" t="e">
        <f t="shared" si="229"/>
        <v>#DIV/0!</v>
      </c>
      <c r="BR378" s="254" t="e">
        <f t="shared" si="245"/>
        <v>#DIV/0!</v>
      </c>
      <c r="BS378" s="254">
        <f t="shared" si="261"/>
        <v>1.6000000000000061E-4</v>
      </c>
      <c r="BT378" s="253">
        <f t="shared" si="271"/>
        <v>3.619392214170772E-4</v>
      </c>
      <c r="BU378" s="253">
        <f t="shared" si="262"/>
        <v>3.3999999999999986E-4</v>
      </c>
      <c r="BV378" s="255">
        <f t="shared" si="246"/>
        <v>3.3999999999999989E-2</v>
      </c>
      <c r="BX378" s="351" t="e">
        <f>((((IF($T$5=0,$T$6,$T$5)))/(12*$T$19))+(((3*$T$15)/(2*IF($T$5=0,$T$6,$T$5)*$U$5*$T$19))*'IN-OUT'!$F$14))*'Burland damage classification'!CB378</f>
        <v>#DIV/0!</v>
      </c>
      <c r="BY378" s="352">
        <f>(1+(((IF($T$5=0,$T$6^2,$T$5^2))*$U$5)/(18*$T$15))*('IN-OUT'!$F$14^(-1)))*CC378</f>
        <v>8.7292611371180787E-4</v>
      </c>
      <c r="BZ378" s="254" t="e">
        <f t="shared" si="231"/>
        <v>#DIV/0!</v>
      </c>
      <c r="CA378" s="254" t="e">
        <f t="shared" si="247"/>
        <v>#DIV/0!</v>
      </c>
      <c r="CB378" s="254">
        <f t="shared" si="263"/>
        <v>6.6000000000000065E-4</v>
      </c>
      <c r="CC378" s="253">
        <f t="shared" si="272"/>
        <v>8.7292611371180787E-4</v>
      </c>
      <c r="CD378" s="253">
        <f t="shared" si="264"/>
        <v>3.3999999999999986E-4</v>
      </c>
      <c r="CE378" s="255">
        <f t="shared" si="248"/>
        <v>3.3999999999999989E-2</v>
      </c>
      <c r="CG378" s="351" t="e">
        <f>((((IF($T$5=0,$T$6,$T$5)))/(12*$T$19))+(((3*$T$15)/(2*IF($T$5=0,$T$6,$T$5)*$U$5*$T$19))*'IN-OUT'!$F$14))*'Burland damage classification'!CK378</f>
        <v>#DIV/0!</v>
      </c>
      <c r="CH378" s="352">
        <f>(1+(((IF($T$5=0,$T$6^2,$T$5^2))*$U$5)/(18*$T$15))*('IN-OUT'!$F$14^(-1)))*CL378</f>
        <v>1.8772320048411704E-3</v>
      </c>
      <c r="CI378" s="254" t="e">
        <f t="shared" si="233"/>
        <v>#DIV/0!</v>
      </c>
      <c r="CJ378" s="254" t="e">
        <f t="shared" si="249"/>
        <v>#DIV/0!</v>
      </c>
      <c r="CK378" s="254">
        <f t="shared" si="265"/>
        <v>1.659999999999997E-3</v>
      </c>
      <c r="CL378" s="270">
        <f t="shared" si="234"/>
        <v>1.8772320048411704E-3</v>
      </c>
      <c r="CM378" s="253">
        <f t="shared" si="266"/>
        <v>3.3999999999999986E-4</v>
      </c>
      <c r="CN378" s="255">
        <f t="shared" si="250"/>
        <v>3.3999999999999989E-2</v>
      </c>
    </row>
    <row r="379" spans="22:92">
      <c r="AE379" s="258">
        <f>(((IF($S$5&lt;&gt;0,$S$5,IF($S$6&lt;&gt;0,$S$6,IF($S$7&lt;&gt;0,$S$7,0))))/(12*$S$19))+(((3*$S$15)/(2*(IF($S$5&lt;&gt;0,$S$5,IF($S$6&lt;&gt;0,$S$6,IF($S$7&lt;&gt;0,$S$7,0))))*$U$5*$S$19))*'IN-OUT'!$F$14))*'Burland damage classification'!AI379</f>
        <v>1.3446489241330213E-3</v>
      </c>
      <c r="AF379" s="353">
        <f>(1+(((IF($S$5&lt;&gt;0,$S$5^2,IF($S$6&lt;&gt;0,$S$6^2,IF($S$7&lt;&gt;0,$S$7^2))))*$U$5)/(18*$S$15))*('IN-OUT'!$F$14^(-1)))*AJ379</f>
        <v>3.6116416849354347E-4</v>
      </c>
      <c r="AG379" s="254">
        <f t="shared" si="221"/>
        <v>3.6116416849354347E-4</v>
      </c>
      <c r="AH379" s="254">
        <f t="shared" si="237"/>
        <v>3.6116416849354349E-2</v>
      </c>
      <c r="AI379" s="254">
        <f t="shared" si="253"/>
        <v>1.5333333333333393E-4</v>
      </c>
      <c r="AJ379" s="253">
        <f t="shared" si="268"/>
        <v>3.5870136139505619E-4</v>
      </c>
      <c r="AK379" s="253">
        <f t="shared" si="254"/>
        <v>3.4666666666666651E-4</v>
      </c>
      <c r="AL379" s="255">
        <f t="shared" si="238"/>
        <v>3.4666666666666651E-2</v>
      </c>
      <c r="AN379" s="258">
        <f>(((IF($S$5&lt;&gt;0,$S$5,IF($S$6&lt;&gt;0,$S$6,IF($S$7&lt;&gt;0,$S$7,0))))/(12*$S$19))+(((3*$S$15)/(2*(IF($S$5&lt;&gt;0,$S$5,IF($S$6&lt;&gt;0,$S$6,IF($S$7&lt;&gt;0,$S$7,0))))*$U$5*$S$19))*'IN-OUT'!$F$14))*'Burland damage classification'!AR379</f>
        <v>5.7293736767406829E-3</v>
      </c>
      <c r="AO379" s="353">
        <f>(1+(((IF($S$5&lt;&gt;0,$S$5^2,IF($S$6&lt;&gt;0,$S$6^2,IF($S$7&lt;&gt;0,$S$7^2))))*$U$5)/(18*$S$15))*('IN-OUT'!$F$14^(-1)))*AS379</f>
        <v>8.7622404776074901E-4</v>
      </c>
      <c r="AP379" s="254">
        <f t="shared" si="223"/>
        <v>8.7622404776074901E-4</v>
      </c>
      <c r="AQ379" s="254">
        <f t="shared" si="239"/>
        <v>8.76224047760749E-2</v>
      </c>
      <c r="AR379" s="254">
        <f t="shared" si="255"/>
        <v>6.53333333333334E-4</v>
      </c>
      <c r="AS379" s="253">
        <f t="shared" si="269"/>
        <v>8.7024900651097169E-4</v>
      </c>
      <c r="AT379" s="253">
        <f t="shared" si="256"/>
        <v>3.4666666666666651E-4</v>
      </c>
      <c r="AU379" s="255">
        <f t="shared" si="240"/>
        <v>3.4666666666666651E-2</v>
      </c>
      <c r="AW379" s="258">
        <f>(((IF($S$5&lt;&gt;0,$S$5,IF($S$6&lt;&gt;0,$S$6,IF($S$7&lt;&gt;0,$S$7,0))))/(12*$S$19))+(((3*$S$15)/(2*(IF($S$5&lt;&gt;0,$S$5,IF($S$6&lt;&gt;0,$S$6,IF($S$7&lt;&gt;0,$S$7,0))))*$U$5*$S$19))*'IN-OUT'!$F$14))*'Burland damage classification'!BA379</f>
        <v>1.4498823181955972E-2</v>
      </c>
      <c r="AX379" s="353">
        <f>(1+(((IF($S$5&lt;&gt;0,$S$5^2,IF($S$6&lt;&gt;0,$S$6^2,IF($S$7&lt;&gt;0,$S$7^2))))*$U$5)/(18*$S$15))*('IN-OUT'!$F$14^(-1)))*BB379</f>
        <v>1.8876162317633125E-3</v>
      </c>
      <c r="AY379" s="254">
        <f t="shared" si="225"/>
        <v>1.8876162317633125E-3</v>
      </c>
      <c r="AZ379" s="254">
        <f t="shared" si="241"/>
        <v>0.18876162317633124</v>
      </c>
      <c r="BA379" s="254">
        <f t="shared" si="257"/>
        <v>1.6533333333333302E-3</v>
      </c>
      <c r="BB379" s="270">
        <f t="shared" si="226"/>
        <v>1.8747444270264325E-3</v>
      </c>
      <c r="BC379" s="253">
        <f t="shared" si="258"/>
        <v>3.4666666666666651E-4</v>
      </c>
      <c r="BD379" s="255">
        <f t="shared" si="242"/>
        <v>3.4666666666666651E-2</v>
      </c>
      <c r="BI379" s="248"/>
      <c r="BO379" s="351" t="e">
        <f>((((IF($T$5=0,$T$6,$T$5)))/(12*$T$19))+(((3*$T$15)/(2*IF($T$5=0,$T$6,$T$5)*$U$5*$T$19))*'IN-OUT'!$F$14))*'Burland damage classification'!BS379</f>
        <v>#DIV/0!</v>
      </c>
      <c r="BP379" s="352">
        <f>(1+(((IF($T$5=0,$T$6^2,$T$5^2))*$U$5)/(18*$T$15))*('IN-OUT'!$F$14^(-1)))*BT379</f>
        <v>3.5870136139505619E-4</v>
      </c>
      <c r="BQ379" s="254" t="e">
        <f t="shared" si="229"/>
        <v>#DIV/0!</v>
      </c>
      <c r="BR379" s="254" t="e">
        <f t="shared" si="245"/>
        <v>#DIV/0!</v>
      </c>
      <c r="BS379" s="254">
        <f t="shared" si="261"/>
        <v>1.5333333333333393E-4</v>
      </c>
      <c r="BT379" s="253">
        <f t="shared" si="271"/>
        <v>3.5870136139505619E-4</v>
      </c>
      <c r="BU379" s="253">
        <f t="shared" si="262"/>
        <v>3.4666666666666651E-4</v>
      </c>
      <c r="BV379" s="255">
        <f t="shared" si="246"/>
        <v>3.4666666666666651E-2</v>
      </c>
      <c r="BX379" s="351" t="e">
        <f>((((IF($T$5=0,$T$6,$T$5)))/(12*$T$19))+(((3*$T$15)/(2*IF($T$5=0,$T$6,$T$5)*$U$5*$T$19))*'IN-OUT'!$F$14))*'Burland damage classification'!CB379</f>
        <v>#DIV/0!</v>
      </c>
      <c r="BY379" s="352">
        <f>(1+(((IF($T$5=0,$T$6^2,$T$5^2))*$U$5)/(18*$T$15))*('IN-OUT'!$F$14^(-1)))*CC379</f>
        <v>8.7024900651097169E-4</v>
      </c>
      <c r="BZ379" s="254" t="e">
        <f t="shared" si="231"/>
        <v>#DIV/0!</v>
      </c>
      <c r="CA379" s="254" t="e">
        <f t="shared" si="247"/>
        <v>#DIV/0!</v>
      </c>
      <c r="CB379" s="254">
        <f t="shared" si="263"/>
        <v>6.53333333333334E-4</v>
      </c>
      <c r="CC379" s="253">
        <f t="shared" si="272"/>
        <v>8.7024900651097169E-4</v>
      </c>
      <c r="CD379" s="253">
        <f t="shared" si="264"/>
        <v>3.4666666666666651E-4</v>
      </c>
      <c r="CE379" s="255">
        <f t="shared" si="248"/>
        <v>3.4666666666666651E-2</v>
      </c>
      <c r="CG379" s="351" t="e">
        <f>((((IF($T$5=0,$T$6,$T$5)))/(12*$T$19))+(((3*$T$15)/(2*IF($T$5=0,$T$6,$T$5)*$U$5*$T$19))*'IN-OUT'!$F$14))*'Burland damage classification'!CK379</f>
        <v>#DIV/0!</v>
      </c>
      <c r="CH379" s="352">
        <f>(1+(((IF($T$5=0,$T$6^2,$T$5^2))*$U$5)/(18*$T$15))*('IN-OUT'!$F$14^(-1)))*CL379</f>
        <v>1.8747444270264325E-3</v>
      </c>
      <c r="CI379" s="254" t="e">
        <f t="shared" si="233"/>
        <v>#DIV/0!</v>
      </c>
      <c r="CJ379" s="254" t="e">
        <f t="shared" si="249"/>
        <v>#DIV/0!</v>
      </c>
      <c r="CK379" s="254">
        <f t="shared" si="265"/>
        <v>1.6533333333333302E-3</v>
      </c>
      <c r="CL379" s="270">
        <f t="shared" si="234"/>
        <v>1.8747444270264325E-3</v>
      </c>
      <c r="CM379" s="253">
        <f t="shared" si="266"/>
        <v>3.4666666666666651E-4</v>
      </c>
      <c r="CN379" s="255">
        <f t="shared" si="250"/>
        <v>3.4666666666666651E-2</v>
      </c>
    </row>
    <row r="380" spans="22:92">
      <c r="AE380" s="258">
        <f>(((IF($S$5&lt;&gt;0,$S$5,IF($S$6&lt;&gt;0,$S$6,IF($S$7&lt;&gt;0,$S$7,0))))/(12*$S$19))+(((3*$S$15)/(2*(IF($S$5&lt;&gt;0,$S$5,IF($S$6&lt;&gt;0,$S$6,IF($S$7&lt;&gt;0,$S$7,0))))*$U$5*$S$19))*'IN-OUT'!$F$14))*'Burland damage classification'!AI380</f>
        <v>1.2861859274315858E-3</v>
      </c>
      <c r="AF380" s="353">
        <f>(1+(((IF($S$5&lt;&gt;0,$S$5^2,IF($S$6&lt;&gt;0,$S$6^2,IF($S$7&lt;&gt;0,$S$7^2))))*$U$5)/(18*$S$15))*('IN-OUT'!$F$14^(-1)))*AJ380</f>
        <v>3.5787438077699858E-4</v>
      </c>
      <c r="AG380" s="254">
        <f t="shared" si="221"/>
        <v>3.5787438077699858E-4</v>
      </c>
      <c r="AH380" s="254">
        <f t="shared" si="237"/>
        <v>3.5787438077699858E-2</v>
      </c>
      <c r="AI380" s="254">
        <f t="shared" si="253"/>
        <v>1.4666666666666726E-4</v>
      </c>
      <c r="AJ380" s="253">
        <f t="shared" si="268"/>
        <v>3.5543400700176875E-4</v>
      </c>
      <c r="AK380" s="253">
        <f t="shared" si="254"/>
        <v>3.5333333333333316E-4</v>
      </c>
      <c r="AL380" s="255">
        <f t="shared" si="238"/>
        <v>3.5333333333333314E-2</v>
      </c>
      <c r="AN380" s="258">
        <f>(((IF($S$5&lt;&gt;0,$S$5,IF($S$6&lt;&gt;0,$S$6,IF($S$7&lt;&gt;0,$S$7,0))))/(12*$S$19))+(((3*$S$15)/(2*(IF($S$5&lt;&gt;0,$S$5,IF($S$6&lt;&gt;0,$S$6,IF($S$7&lt;&gt;0,$S$7,0))))*$U$5*$S$19))*'IN-OUT'!$F$14))*'Burland damage classification'!AR380</f>
        <v>5.6709106800392475E-3</v>
      </c>
      <c r="AO380" s="353">
        <f>(1+(((IF($S$5&lt;&gt;0,$S$5^2,IF($S$6&lt;&gt;0,$S$6^2,IF($S$7&lt;&gt;0,$S$7^2))))*$U$5)/(18*$S$15))*('IN-OUT'!$F$14^(-1)))*AS380</f>
        <v>8.7352024218103068E-4</v>
      </c>
      <c r="AP380" s="254">
        <f t="shared" si="223"/>
        <v>8.7352024218103068E-4</v>
      </c>
      <c r="AQ380" s="254">
        <f t="shared" si="239"/>
        <v>8.7352024218103064E-2</v>
      </c>
      <c r="AR380" s="254">
        <f t="shared" si="255"/>
        <v>6.4666666666666735E-4</v>
      </c>
      <c r="AS380" s="253">
        <f t="shared" si="269"/>
        <v>8.6756363839586245E-4</v>
      </c>
      <c r="AT380" s="253">
        <f t="shared" si="256"/>
        <v>3.5333333333333316E-4</v>
      </c>
      <c r="AU380" s="255">
        <f t="shared" si="240"/>
        <v>3.5333333333333314E-2</v>
      </c>
      <c r="AW380" s="258">
        <f>(((IF($S$5&lt;&gt;0,$S$5,IF($S$6&lt;&gt;0,$S$6,IF($S$7&lt;&gt;0,$S$7,0))))/(12*$S$19))+(((3*$S$15)/(2*(IF($S$5&lt;&gt;0,$S$5,IF($S$6&lt;&gt;0,$S$6,IF($S$7&lt;&gt;0,$S$7,0))))*$U$5*$S$19))*'IN-OUT'!$F$14))*'Burland damage classification'!BA380</f>
        <v>1.4440360185254535E-2</v>
      </c>
      <c r="AX380" s="353">
        <f>(1+(((IF($S$5&lt;&gt;0,$S$5^2,IF($S$6&lt;&gt;0,$S$6^2,IF($S$7&lt;&gt;0,$S$7^2))))*$U$5)/(18*$S$15))*('IN-OUT'!$F$14^(-1)))*BB380</f>
        <v>1.8851082466712296E-3</v>
      </c>
      <c r="AY380" s="254">
        <f t="shared" si="225"/>
        <v>1.8851082466712296E-3</v>
      </c>
      <c r="AZ380" s="254">
        <f t="shared" si="241"/>
        <v>0.18851082466712296</v>
      </c>
      <c r="BA380" s="254">
        <f t="shared" si="257"/>
        <v>1.6466666666666635E-3</v>
      </c>
      <c r="BB380" s="270">
        <f t="shared" si="226"/>
        <v>1.8722535440835286E-3</v>
      </c>
      <c r="BC380" s="253">
        <f t="shared" si="258"/>
        <v>3.5333333333333316E-4</v>
      </c>
      <c r="BD380" s="255">
        <f t="shared" si="242"/>
        <v>3.5333333333333314E-2</v>
      </c>
      <c r="BI380" s="248"/>
      <c r="BO380" s="351" t="e">
        <f>((((IF($T$5=0,$T$6,$T$5)))/(12*$T$19))+(((3*$T$15)/(2*IF($T$5=0,$T$6,$T$5)*$U$5*$T$19))*'IN-OUT'!$F$14))*'Burland damage classification'!BS380</f>
        <v>#DIV/0!</v>
      </c>
      <c r="BP380" s="352">
        <f>(1+(((IF($T$5=0,$T$6^2,$T$5^2))*$U$5)/(18*$T$15))*('IN-OUT'!$F$14^(-1)))*BT380</f>
        <v>3.5543400700176875E-4</v>
      </c>
      <c r="BQ380" s="254" t="e">
        <f t="shared" si="229"/>
        <v>#DIV/0!</v>
      </c>
      <c r="BR380" s="254" t="e">
        <f t="shared" si="245"/>
        <v>#DIV/0!</v>
      </c>
      <c r="BS380" s="254">
        <f t="shared" si="261"/>
        <v>1.4666666666666726E-4</v>
      </c>
      <c r="BT380" s="253">
        <f t="shared" si="271"/>
        <v>3.5543400700176875E-4</v>
      </c>
      <c r="BU380" s="253">
        <f t="shared" si="262"/>
        <v>3.5333333333333316E-4</v>
      </c>
      <c r="BV380" s="255">
        <f t="shared" si="246"/>
        <v>3.5333333333333314E-2</v>
      </c>
      <c r="BX380" s="351" t="e">
        <f>((((IF($T$5=0,$T$6,$T$5)))/(12*$T$19))+(((3*$T$15)/(2*IF($T$5=0,$T$6,$T$5)*$U$5*$T$19))*'IN-OUT'!$F$14))*'Burland damage classification'!CB380</f>
        <v>#DIV/0!</v>
      </c>
      <c r="BY380" s="352">
        <f>(1+(((IF($T$5=0,$T$6^2,$T$5^2))*$U$5)/(18*$T$15))*('IN-OUT'!$F$14^(-1)))*CC380</f>
        <v>8.6756363839586245E-4</v>
      </c>
      <c r="BZ380" s="254" t="e">
        <f t="shared" si="231"/>
        <v>#DIV/0!</v>
      </c>
      <c r="CA380" s="254" t="e">
        <f t="shared" si="247"/>
        <v>#DIV/0!</v>
      </c>
      <c r="CB380" s="254">
        <f t="shared" si="263"/>
        <v>6.4666666666666735E-4</v>
      </c>
      <c r="CC380" s="253">
        <f t="shared" si="272"/>
        <v>8.6756363839586245E-4</v>
      </c>
      <c r="CD380" s="253">
        <f t="shared" si="264"/>
        <v>3.5333333333333316E-4</v>
      </c>
      <c r="CE380" s="255">
        <f t="shared" si="248"/>
        <v>3.5333333333333314E-2</v>
      </c>
      <c r="CG380" s="351" t="e">
        <f>((((IF($T$5=0,$T$6,$T$5)))/(12*$T$19))+(((3*$T$15)/(2*IF($T$5=0,$T$6,$T$5)*$U$5*$T$19))*'IN-OUT'!$F$14))*'Burland damage classification'!CK380</f>
        <v>#DIV/0!</v>
      </c>
      <c r="CH380" s="352">
        <f>(1+(((IF($T$5=0,$T$6^2,$T$5^2))*$U$5)/(18*$T$15))*('IN-OUT'!$F$14^(-1)))*CL380</f>
        <v>1.8722535440835286E-3</v>
      </c>
      <c r="CI380" s="254" t="e">
        <f t="shared" si="233"/>
        <v>#DIV/0!</v>
      </c>
      <c r="CJ380" s="254" t="e">
        <f t="shared" si="249"/>
        <v>#DIV/0!</v>
      </c>
      <c r="CK380" s="254">
        <f t="shared" si="265"/>
        <v>1.6466666666666635E-3</v>
      </c>
      <c r="CL380" s="270">
        <f t="shared" si="234"/>
        <v>1.8722535440835286E-3</v>
      </c>
      <c r="CM380" s="253">
        <f t="shared" si="266"/>
        <v>3.5333333333333316E-4</v>
      </c>
      <c r="CN380" s="255">
        <f t="shared" si="250"/>
        <v>3.5333333333333314E-2</v>
      </c>
    </row>
    <row r="381" spans="22:92">
      <c r="AE381" s="258">
        <f>(((IF($S$5&lt;&gt;0,$S$5,IF($S$6&lt;&gt;0,$S$6,IF($S$7&lt;&gt;0,$S$7,0))))/(12*$S$19))+(((3*$S$15)/(2*(IF($S$5&lt;&gt;0,$S$5,IF($S$6&lt;&gt;0,$S$6,IF($S$7&lt;&gt;0,$S$7,0))))*$U$5*$S$19))*'IN-OUT'!$F$14))*'Burland damage classification'!AI381</f>
        <v>1.2277229307301502E-3</v>
      </c>
      <c r="AF381" s="353">
        <f>(1+(((IF($S$5&lt;&gt;0,$S$5^2,IF($S$6&lt;&gt;0,$S$6^2,IF($S$7&lt;&gt;0,$S$7^2))))*$U$5)/(18*$S$15))*('IN-OUT'!$F$14^(-1)))*AJ381</f>
        <v>3.5455406954286629E-4</v>
      </c>
      <c r="AG381" s="254">
        <f t="shared" si="221"/>
        <v>3.5455406954286629E-4</v>
      </c>
      <c r="AH381" s="254">
        <f t="shared" si="237"/>
        <v>3.5455406954286631E-2</v>
      </c>
      <c r="AI381" s="254">
        <f t="shared" si="253"/>
        <v>1.4000000000000058E-4</v>
      </c>
      <c r="AJ381" s="253">
        <f t="shared" si="268"/>
        <v>3.5213633723318026E-4</v>
      </c>
      <c r="AK381" s="253">
        <f t="shared" si="254"/>
        <v>3.5999999999999981E-4</v>
      </c>
      <c r="AL381" s="255">
        <f t="shared" si="238"/>
        <v>3.5999999999999983E-2</v>
      </c>
      <c r="AN381" s="258">
        <f>(((IF($S$5&lt;&gt;0,$S$5,IF($S$6&lt;&gt;0,$S$6,IF($S$7&lt;&gt;0,$S$7,0))))/(12*$S$19))+(((3*$S$15)/(2*(IF($S$5&lt;&gt;0,$S$5,IF($S$6&lt;&gt;0,$S$6,IF($S$7&lt;&gt;0,$S$7,0))))*$U$5*$S$19))*'IN-OUT'!$F$14))*'Burland damage classification'!AR381</f>
        <v>5.6124476833378121E-3</v>
      </c>
      <c r="AO381" s="353">
        <f>(1+(((IF($S$5&lt;&gt;0,$S$5^2,IF($S$6&lt;&gt;0,$S$6^2,IF($S$7&lt;&gt;0,$S$7^2))))*$U$5)/(18*$S$15))*('IN-OUT'!$F$14^(-1)))*AS381</f>
        <v>8.7080804149122402E-4</v>
      </c>
      <c r="AP381" s="254">
        <f t="shared" si="223"/>
        <v>8.7080804149122402E-4</v>
      </c>
      <c r="AQ381" s="254">
        <f t="shared" si="239"/>
        <v>8.7080804149122407E-2</v>
      </c>
      <c r="AR381" s="254">
        <f t="shared" si="255"/>
        <v>6.400000000000007E-4</v>
      </c>
      <c r="AS381" s="253">
        <f t="shared" si="269"/>
        <v>8.6486993241758616E-4</v>
      </c>
      <c r="AT381" s="253">
        <f t="shared" si="256"/>
        <v>3.5999999999999981E-4</v>
      </c>
      <c r="AU381" s="255">
        <f t="shared" si="240"/>
        <v>3.5999999999999983E-2</v>
      </c>
      <c r="AW381" s="258">
        <f>(((IF($S$5&lt;&gt;0,$S$5,IF($S$6&lt;&gt;0,$S$6,IF($S$7&lt;&gt;0,$S$7,0))))/(12*$S$19))+(((3*$S$15)/(2*(IF($S$5&lt;&gt;0,$S$5,IF($S$6&lt;&gt;0,$S$6,IF($S$7&lt;&gt;0,$S$7,0))))*$U$5*$S$19))*'IN-OUT'!$F$14))*'Burland damage classification'!BA381</f>
        <v>1.43818971885531E-2</v>
      </c>
      <c r="AX381" s="353">
        <f>(1+(((IF($S$5&lt;&gt;0,$S$5^2,IF($S$6&lt;&gt;0,$S$6^2,IF($S$7&lt;&gt;0,$S$7^2))))*$U$5)/(18*$S$15))*('IN-OUT'!$F$14^(-1)))*BB381</f>
        <v>1.8825969204583938E-3</v>
      </c>
      <c r="AY381" s="254">
        <f t="shared" si="225"/>
        <v>1.8825969204583938E-3</v>
      </c>
      <c r="AZ381" s="254">
        <f t="shared" si="241"/>
        <v>0.18825969204583937</v>
      </c>
      <c r="BA381" s="254">
        <f t="shared" si="257"/>
        <v>1.6399999999999967E-3</v>
      </c>
      <c r="BB381" s="270">
        <f t="shared" si="226"/>
        <v>1.8697593428032391E-3</v>
      </c>
      <c r="BC381" s="253">
        <f t="shared" si="258"/>
        <v>3.5999999999999981E-4</v>
      </c>
      <c r="BD381" s="255">
        <f t="shared" si="242"/>
        <v>3.5999999999999983E-2</v>
      </c>
      <c r="BI381" s="248"/>
      <c r="BO381" s="351" t="e">
        <f>((((IF($T$5=0,$T$6,$T$5)))/(12*$T$19))+(((3*$T$15)/(2*IF($T$5=0,$T$6,$T$5)*$U$5*$T$19))*'IN-OUT'!$F$14))*'Burland damage classification'!BS381</f>
        <v>#DIV/0!</v>
      </c>
      <c r="BP381" s="352">
        <f>(1+(((IF($T$5=0,$T$6^2,$T$5^2))*$U$5)/(18*$T$15))*('IN-OUT'!$F$14^(-1)))*BT381</f>
        <v>3.5213633723318026E-4</v>
      </c>
      <c r="BQ381" s="254" t="e">
        <f t="shared" si="229"/>
        <v>#DIV/0!</v>
      </c>
      <c r="BR381" s="254" t="e">
        <f t="shared" si="245"/>
        <v>#DIV/0!</v>
      </c>
      <c r="BS381" s="254">
        <f t="shared" si="261"/>
        <v>1.4000000000000058E-4</v>
      </c>
      <c r="BT381" s="253">
        <f t="shared" si="271"/>
        <v>3.5213633723318026E-4</v>
      </c>
      <c r="BU381" s="253">
        <f t="shared" si="262"/>
        <v>3.5999999999999981E-4</v>
      </c>
      <c r="BV381" s="255">
        <f t="shared" si="246"/>
        <v>3.5999999999999983E-2</v>
      </c>
      <c r="BX381" s="351" t="e">
        <f>((((IF($T$5=0,$T$6,$T$5)))/(12*$T$19))+(((3*$T$15)/(2*IF($T$5=0,$T$6,$T$5)*$U$5*$T$19))*'IN-OUT'!$F$14))*'Burland damage classification'!CB381</f>
        <v>#DIV/0!</v>
      </c>
      <c r="BY381" s="352">
        <f>(1+(((IF($T$5=0,$T$6^2,$T$5^2))*$U$5)/(18*$T$15))*('IN-OUT'!$F$14^(-1)))*CC381</f>
        <v>8.6486993241758616E-4</v>
      </c>
      <c r="BZ381" s="254" t="e">
        <f t="shared" si="231"/>
        <v>#DIV/0!</v>
      </c>
      <c r="CA381" s="254" t="e">
        <f t="shared" si="247"/>
        <v>#DIV/0!</v>
      </c>
      <c r="CB381" s="254">
        <f t="shared" si="263"/>
        <v>6.400000000000007E-4</v>
      </c>
      <c r="CC381" s="253">
        <f t="shared" si="272"/>
        <v>8.6486993241758616E-4</v>
      </c>
      <c r="CD381" s="253">
        <f t="shared" si="264"/>
        <v>3.5999999999999981E-4</v>
      </c>
      <c r="CE381" s="255">
        <f t="shared" si="248"/>
        <v>3.5999999999999983E-2</v>
      </c>
      <c r="CG381" s="351" t="e">
        <f>((((IF($T$5=0,$T$6,$T$5)))/(12*$T$19))+(((3*$T$15)/(2*IF($T$5=0,$T$6,$T$5)*$U$5*$T$19))*'IN-OUT'!$F$14))*'Burland damage classification'!CK381</f>
        <v>#DIV/0!</v>
      </c>
      <c r="CH381" s="352">
        <f>(1+(((IF($T$5=0,$T$6^2,$T$5^2))*$U$5)/(18*$T$15))*('IN-OUT'!$F$14^(-1)))*CL381</f>
        <v>1.8697593428032391E-3</v>
      </c>
      <c r="CI381" s="254" t="e">
        <f t="shared" si="233"/>
        <v>#DIV/0!</v>
      </c>
      <c r="CJ381" s="254" t="e">
        <f t="shared" si="249"/>
        <v>#DIV/0!</v>
      </c>
      <c r="CK381" s="254">
        <f t="shared" si="265"/>
        <v>1.6399999999999967E-3</v>
      </c>
      <c r="CL381" s="270">
        <f t="shared" si="234"/>
        <v>1.8697593428032391E-3</v>
      </c>
      <c r="CM381" s="253">
        <f t="shared" si="266"/>
        <v>3.5999999999999981E-4</v>
      </c>
      <c r="CN381" s="255">
        <f t="shared" si="250"/>
        <v>3.5999999999999983E-2</v>
      </c>
    </row>
    <row r="382" spans="22:92">
      <c r="AE382" s="258">
        <f>(((IF($S$5&lt;&gt;0,$S$5,IF($S$6&lt;&gt;0,$S$6,IF($S$7&lt;&gt;0,$S$7,0))))/(12*$S$19))+(((3*$S$15)/(2*(IF($S$5&lt;&gt;0,$S$5,IF($S$6&lt;&gt;0,$S$6,IF($S$7&lt;&gt;0,$S$7,0))))*$U$5*$S$19))*'IN-OUT'!$F$14))*'Burland damage classification'!AI382</f>
        <v>1.1692599340287146E-3</v>
      </c>
      <c r="AF382" s="353">
        <f>(1+(((IF($S$5&lt;&gt;0,$S$5^2,IF($S$6&lt;&gt;0,$S$6^2,IF($S$7&lt;&gt;0,$S$7^2))))*$U$5)/(18*$S$15))*('IN-OUT'!$F$14^(-1)))*AJ382</f>
        <v>3.5120236907272589E-4</v>
      </c>
      <c r="AG382" s="254">
        <f t="shared" si="221"/>
        <v>3.5120236907272589E-4</v>
      </c>
      <c r="AH382" s="254">
        <f t="shared" si="237"/>
        <v>3.512023690727259E-2</v>
      </c>
      <c r="AI382" s="254">
        <f t="shared" si="253"/>
        <v>1.3333333333333391E-4</v>
      </c>
      <c r="AJ382" s="253">
        <f t="shared" si="268"/>
        <v>3.4880749227427258E-4</v>
      </c>
      <c r="AK382" s="253">
        <f t="shared" si="254"/>
        <v>3.6666666666666645E-4</v>
      </c>
      <c r="AL382" s="255">
        <f t="shared" si="238"/>
        <v>3.6666666666666646E-2</v>
      </c>
      <c r="AN382" s="258">
        <f>(((IF($S$5&lt;&gt;0,$S$5,IF($S$6&lt;&gt;0,$S$6,IF($S$7&lt;&gt;0,$S$7,0))))/(12*$S$19))+(((3*$S$15)/(2*(IF($S$5&lt;&gt;0,$S$5,IF($S$6&lt;&gt;0,$S$6,IF($S$7&lt;&gt;0,$S$7,0))))*$U$5*$S$19))*'IN-OUT'!$F$14))*'Burland damage classification'!AR382</f>
        <v>5.5539846866363768E-3</v>
      </c>
      <c r="AO382" s="353">
        <f>(1+(((IF($S$5&lt;&gt;0,$S$5^2,IF($S$6&lt;&gt;0,$S$6^2,IF($S$7&lt;&gt;0,$S$7^2))))*$U$5)/(18*$S$15))*('IN-OUT'!$F$14^(-1)))*AS382</f>
        <v>8.6808736700378058E-4</v>
      </c>
      <c r="AP382" s="254">
        <f t="shared" si="223"/>
        <v>8.6808736700378058E-4</v>
      </c>
      <c r="AQ382" s="254">
        <f t="shared" si="239"/>
        <v>8.6808736700378059E-2</v>
      </c>
      <c r="AR382" s="254">
        <f t="shared" si="255"/>
        <v>6.3333333333333405E-4</v>
      </c>
      <c r="AS382" s="253">
        <f t="shared" si="269"/>
        <v>8.6216781042517093E-4</v>
      </c>
      <c r="AT382" s="253">
        <f t="shared" si="256"/>
        <v>3.6666666666666645E-4</v>
      </c>
      <c r="AU382" s="255">
        <f t="shared" si="240"/>
        <v>3.6666666666666646E-2</v>
      </c>
      <c r="AW382" s="258">
        <f>(((IF($S$5&lt;&gt;0,$S$5,IF($S$6&lt;&gt;0,$S$6,IF($S$7&lt;&gt;0,$S$7,0))))/(12*$S$19))+(((3*$S$15)/(2*(IF($S$5&lt;&gt;0,$S$5,IF($S$6&lt;&gt;0,$S$6,IF($S$7&lt;&gt;0,$S$7,0))))*$U$5*$S$19))*'IN-OUT'!$F$14))*'Burland damage classification'!BA382</f>
        <v>1.4323434191851663E-2</v>
      </c>
      <c r="AX382" s="353">
        <f>(1+(((IF($S$5&lt;&gt;0,$S$5^2,IF($S$6&lt;&gt;0,$S$6^2,IF($S$7&lt;&gt;0,$S$7^2))))*$U$5)/(18*$S$15))*('IN-OUT'!$F$14^(-1)))*BB382</f>
        <v>1.8800822397360645E-3</v>
      </c>
      <c r="AY382" s="254">
        <f t="shared" si="225"/>
        <v>1.8800822397360645E-3</v>
      </c>
      <c r="AZ382" s="254">
        <f t="shared" si="241"/>
        <v>0.18800822397360645</v>
      </c>
      <c r="BA382" s="254">
        <f t="shared" si="257"/>
        <v>1.63333333333333E-3</v>
      </c>
      <c r="BB382" s="270">
        <f t="shared" si="226"/>
        <v>1.8672618098881223E-3</v>
      </c>
      <c r="BC382" s="253">
        <f t="shared" si="258"/>
        <v>3.6666666666666645E-4</v>
      </c>
      <c r="BD382" s="255">
        <f t="shared" si="242"/>
        <v>3.6666666666666646E-2</v>
      </c>
      <c r="BI382" s="248"/>
      <c r="BO382" s="351" t="e">
        <f>((((IF($T$5=0,$T$6,$T$5)))/(12*$T$19))+(((3*$T$15)/(2*IF($T$5=0,$T$6,$T$5)*$U$5*$T$19))*'IN-OUT'!$F$14))*'Burland damage classification'!BS382</f>
        <v>#DIV/0!</v>
      </c>
      <c r="BP382" s="352">
        <f>(1+(((IF($T$5=0,$T$6^2,$T$5^2))*$U$5)/(18*$T$15))*('IN-OUT'!$F$14^(-1)))*BT382</f>
        <v>3.4880749227427258E-4</v>
      </c>
      <c r="BQ382" s="254" t="e">
        <f t="shared" si="229"/>
        <v>#DIV/0!</v>
      </c>
      <c r="BR382" s="254" t="e">
        <f t="shared" si="245"/>
        <v>#DIV/0!</v>
      </c>
      <c r="BS382" s="254">
        <f t="shared" si="261"/>
        <v>1.3333333333333391E-4</v>
      </c>
      <c r="BT382" s="253">
        <f t="shared" si="271"/>
        <v>3.4880749227427258E-4</v>
      </c>
      <c r="BU382" s="253">
        <f t="shared" si="262"/>
        <v>3.6666666666666645E-4</v>
      </c>
      <c r="BV382" s="255">
        <f t="shared" si="246"/>
        <v>3.6666666666666646E-2</v>
      </c>
      <c r="BX382" s="351" t="e">
        <f>((((IF($T$5=0,$T$6,$T$5)))/(12*$T$19))+(((3*$T$15)/(2*IF($T$5=0,$T$6,$T$5)*$U$5*$T$19))*'IN-OUT'!$F$14))*'Burland damage classification'!CB382</f>
        <v>#DIV/0!</v>
      </c>
      <c r="BY382" s="352">
        <f>(1+(((IF($T$5=0,$T$6^2,$T$5^2))*$U$5)/(18*$T$15))*('IN-OUT'!$F$14^(-1)))*CC382</f>
        <v>8.6216781042517093E-4</v>
      </c>
      <c r="BZ382" s="254" t="e">
        <f t="shared" si="231"/>
        <v>#DIV/0!</v>
      </c>
      <c r="CA382" s="254" t="e">
        <f t="shared" si="247"/>
        <v>#DIV/0!</v>
      </c>
      <c r="CB382" s="254">
        <f t="shared" si="263"/>
        <v>6.3333333333333405E-4</v>
      </c>
      <c r="CC382" s="253">
        <f t="shared" si="272"/>
        <v>8.6216781042517093E-4</v>
      </c>
      <c r="CD382" s="253">
        <f t="shared" si="264"/>
        <v>3.6666666666666645E-4</v>
      </c>
      <c r="CE382" s="255">
        <f t="shared" si="248"/>
        <v>3.6666666666666646E-2</v>
      </c>
      <c r="CG382" s="351" t="e">
        <f>((((IF($T$5=0,$T$6,$T$5)))/(12*$T$19))+(((3*$T$15)/(2*IF($T$5=0,$T$6,$T$5)*$U$5*$T$19))*'IN-OUT'!$F$14))*'Burland damage classification'!CK382</f>
        <v>#DIV/0!</v>
      </c>
      <c r="CH382" s="352">
        <f>(1+(((IF($T$5=0,$T$6^2,$T$5^2))*$U$5)/(18*$T$15))*('IN-OUT'!$F$14^(-1)))*CL382</f>
        <v>1.8672618098881223E-3</v>
      </c>
      <c r="CI382" s="254" t="e">
        <f t="shared" si="233"/>
        <v>#DIV/0!</v>
      </c>
      <c r="CJ382" s="254" t="e">
        <f t="shared" si="249"/>
        <v>#DIV/0!</v>
      </c>
      <c r="CK382" s="254">
        <f t="shared" si="265"/>
        <v>1.63333333333333E-3</v>
      </c>
      <c r="CL382" s="270">
        <f t="shared" si="234"/>
        <v>1.8672618098881223E-3</v>
      </c>
      <c r="CM382" s="253">
        <f t="shared" si="266"/>
        <v>3.6666666666666645E-4</v>
      </c>
      <c r="CN382" s="255">
        <f t="shared" si="250"/>
        <v>3.6666666666666646E-2</v>
      </c>
    </row>
    <row r="383" spans="22:92">
      <c r="AE383" s="258">
        <f>(((IF($S$5&lt;&gt;0,$S$5,IF($S$6&lt;&gt;0,$S$6,IF($S$7&lt;&gt;0,$S$7,0))))/(12*$S$19))+(((3*$S$15)/(2*(IF($S$5&lt;&gt;0,$S$5,IF($S$6&lt;&gt;0,$S$6,IF($S$7&lt;&gt;0,$S$7,0))))*$U$5*$S$19))*'IN-OUT'!$F$14))*'Burland damage classification'!AI383</f>
        <v>1.110796937327279E-3</v>
      </c>
      <c r="AF383" s="353">
        <f>(1+(((IF($S$5&lt;&gt;0,$S$5^2,IF($S$6&lt;&gt;0,$S$6^2,IF($S$7&lt;&gt;0,$S$7^2))))*$U$5)/(18*$S$15))*('IN-OUT'!$F$14^(-1)))*AJ383</f>
        <v>3.4781837193452366E-4</v>
      </c>
      <c r="AG383" s="254">
        <f t="shared" si="221"/>
        <v>3.4781837193452366E-4</v>
      </c>
      <c r="AH383" s="254">
        <f t="shared" si="237"/>
        <v>3.4781837193452368E-2</v>
      </c>
      <c r="AI383" s="254">
        <f t="shared" si="253"/>
        <v>1.2666666666666723E-4</v>
      </c>
      <c r="AJ383" s="253">
        <f t="shared" si="268"/>
        <v>3.4544657088084315E-4</v>
      </c>
      <c r="AK383" s="253">
        <f t="shared" si="254"/>
        <v>3.733333333333331E-4</v>
      </c>
      <c r="AL383" s="255">
        <f t="shared" si="238"/>
        <v>3.7333333333333309E-2</v>
      </c>
      <c r="AN383" s="258">
        <f>(((IF($S$5&lt;&gt;0,$S$5,IF($S$6&lt;&gt;0,$S$6,IF($S$7&lt;&gt;0,$S$7,0))))/(12*$S$19))+(((3*$S$15)/(2*(IF($S$5&lt;&gt;0,$S$5,IF($S$6&lt;&gt;0,$S$6,IF($S$7&lt;&gt;0,$S$7,0))))*$U$5*$S$19))*'IN-OUT'!$F$14))*'Burland damage classification'!AR383</f>
        <v>5.4955216899349414E-3</v>
      </c>
      <c r="AO383" s="353">
        <f>(1+(((IF($S$5&lt;&gt;0,$S$5^2,IF($S$6&lt;&gt;0,$S$6^2,IF($S$7&lt;&gt;0,$S$7^2))))*$U$5)/(18*$S$15))*('IN-OUT'!$F$14^(-1)))*AS383</f>
        <v>8.6535813879418241E-4</v>
      </c>
      <c r="AP383" s="254">
        <f t="shared" si="223"/>
        <v>8.6535813879418241E-4</v>
      </c>
      <c r="AQ383" s="254">
        <f t="shared" si="239"/>
        <v>8.6535813879418236E-2</v>
      </c>
      <c r="AR383" s="254">
        <f t="shared" si="255"/>
        <v>6.2666666666666741E-4</v>
      </c>
      <c r="AS383" s="253">
        <f t="shared" si="269"/>
        <v>8.5945719303911052E-4</v>
      </c>
      <c r="AT383" s="253">
        <f t="shared" si="256"/>
        <v>3.733333333333331E-4</v>
      </c>
      <c r="AU383" s="255">
        <f t="shared" si="240"/>
        <v>3.7333333333333309E-2</v>
      </c>
      <c r="AW383" s="258">
        <f>(((IF($S$5&lt;&gt;0,$S$5,IF($S$6&lt;&gt;0,$S$6,IF($S$7&lt;&gt;0,$S$7,0))))/(12*$S$19))+(((3*$S$15)/(2*(IF($S$5&lt;&gt;0,$S$5,IF($S$6&lt;&gt;0,$S$6,IF($S$7&lt;&gt;0,$S$7,0))))*$U$5*$S$19))*'IN-OUT'!$F$14))*'Burland damage classification'!BA383</f>
        <v>1.4264971195150227E-2</v>
      </c>
      <c r="AX383" s="353">
        <f>(1+(((IF($S$5&lt;&gt;0,$S$5^2,IF($S$6&lt;&gt;0,$S$6^2,IF($S$7&lt;&gt;0,$S$7^2))))*$U$5)/(18*$S$15))*('IN-OUT'!$F$14^(-1)))*BB383</f>
        <v>1.8775641910258427E-3</v>
      </c>
      <c r="AY383" s="254">
        <f t="shared" si="225"/>
        <v>1.8775641910258427E-3</v>
      </c>
      <c r="AZ383" s="254">
        <f t="shared" si="241"/>
        <v>0.18775641910258428</v>
      </c>
      <c r="BA383" s="254">
        <f t="shared" si="257"/>
        <v>1.6266666666666632E-3</v>
      </c>
      <c r="BB383" s="270">
        <f t="shared" si="226"/>
        <v>1.8647609319516895E-3</v>
      </c>
      <c r="BC383" s="253">
        <f t="shared" si="258"/>
        <v>3.733333333333331E-4</v>
      </c>
      <c r="BD383" s="255">
        <f t="shared" si="242"/>
        <v>3.7333333333333309E-2</v>
      </c>
      <c r="BI383" s="248"/>
      <c r="BO383" s="351" t="e">
        <f>((((IF($T$5=0,$T$6,$T$5)))/(12*$T$19))+(((3*$T$15)/(2*IF($T$5=0,$T$6,$T$5)*$U$5*$T$19))*'IN-OUT'!$F$14))*'Burland damage classification'!BS383</f>
        <v>#DIV/0!</v>
      </c>
      <c r="BP383" s="352">
        <f>(1+(((IF($T$5=0,$T$6^2,$T$5^2))*$U$5)/(18*$T$15))*('IN-OUT'!$F$14^(-1)))*BT383</f>
        <v>3.4544657088084315E-4</v>
      </c>
      <c r="BQ383" s="254" t="e">
        <f t="shared" si="229"/>
        <v>#DIV/0!</v>
      </c>
      <c r="BR383" s="254" t="e">
        <f t="shared" si="245"/>
        <v>#DIV/0!</v>
      </c>
      <c r="BS383" s="254">
        <f t="shared" si="261"/>
        <v>1.2666666666666723E-4</v>
      </c>
      <c r="BT383" s="253">
        <f t="shared" si="271"/>
        <v>3.4544657088084315E-4</v>
      </c>
      <c r="BU383" s="253">
        <f t="shared" si="262"/>
        <v>3.733333333333331E-4</v>
      </c>
      <c r="BV383" s="255">
        <f t="shared" si="246"/>
        <v>3.7333333333333309E-2</v>
      </c>
      <c r="BX383" s="351" t="e">
        <f>((((IF($T$5=0,$T$6,$T$5)))/(12*$T$19))+(((3*$T$15)/(2*IF($T$5=0,$T$6,$T$5)*$U$5*$T$19))*'IN-OUT'!$F$14))*'Burland damage classification'!CB383</f>
        <v>#DIV/0!</v>
      </c>
      <c r="BY383" s="352">
        <f>(1+(((IF($T$5=0,$T$6^2,$T$5^2))*$U$5)/(18*$T$15))*('IN-OUT'!$F$14^(-1)))*CC383</f>
        <v>8.5945719303911052E-4</v>
      </c>
      <c r="BZ383" s="254" t="e">
        <f t="shared" si="231"/>
        <v>#DIV/0!</v>
      </c>
      <c r="CA383" s="254" t="e">
        <f t="shared" si="247"/>
        <v>#DIV/0!</v>
      </c>
      <c r="CB383" s="254">
        <f t="shared" si="263"/>
        <v>6.2666666666666741E-4</v>
      </c>
      <c r="CC383" s="253">
        <f t="shared" si="272"/>
        <v>8.5945719303911052E-4</v>
      </c>
      <c r="CD383" s="253">
        <f t="shared" si="264"/>
        <v>3.733333333333331E-4</v>
      </c>
      <c r="CE383" s="255">
        <f t="shared" si="248"/>
        <v>3.7333333333333309E-2</v>
      </c>
      <c r="CG383" s="351" t="e">
        <f>((((IF($T$5=0,$T$6,$T$5)))/(12*$T$19))+(((3*$T$15)/(2*IF($T$5=0,$T$6,$T$5)*$U$5*$T$19))*'IN-OUT'!$F$14))*'Burland damage classification'!CK383</f>
        <v>#DIV/0!</v>
      </c>
      <c r="CH383" s="352">
        <f>(1+(((IF($T$5=0,$T$6^2,$T$5^2))*$U$5)/(18*$T$15))*('IN-OUT'!$F$14^(-1)))*CL383</f>
        <v>1.8647609319516895E-3</v>
      </c>
      <c r="CI383" s="254" t="e">
        <f t="shared" si="233"/>
        <v>#DIV/0!</v>
      </c>
      <c r="CJ383" s="254" t="e">
        <f t="shared" si="249"/>
        <v>#DIV/0!</v>
      </c>
      <c r="CK383" s="254">
        <f t="shared" si="265"/>
        <v>1.6266666666666632E-3</v>
      </c>
      <c r="CL383" s="270">
        <f t="shared" si="234"/>
        <v>1.8647609319516895E-3</v>
      </c>
      <c r="CM383" s="253">
        <f t="shared" si="266"/>
        <v>3.733333333333331E-4</v>
      </c>
      <c r="CN383" s="255">
        <f t="shared" si="250"/>
        <v>3.7333333333333309E-2</v>
      </c>
    </row>
    <row r="384" spans="22:92">
      <c r="AE384" s="258">
        <f>(((IF($S$5&lt;&gt;0,$S$5,IF($S$6&lt;&gt;0,$S$6,IF($S$7&lt;&gt;0,$S$7,0))))/(12*$S$19))+(((3*$S$15)/(2*(IF($S$5&lt;&gt;0,$S$5,IF($S$6&lt;&gt;0,$S$6,IF($S$7&lt;&gt;0,$S$7,0))))*$U$5*$S$19))*'IN-OUT'!$F$14))*'Burland damage classification'!AI384</f>
        <v>1.0523339406258436E-3</v>
      </c>
      <c r="AF384" s="353">
        <f>(1+(((IF($S$5&lt;&gt;0,$S$5^2,IF($S$6&lt;&gt;0,$S$6^2,IF($S$7&lt;&gt;0,$S$7^2))))*$U$5)/(18*$S$15))*('IN-OUT'!$F$14^(-1)))*AJ384</f>
        <v>3.4440112611324337E-4</v>
      </c>
      <c r="AG384" s="254">
        <f t="shared" si="221"/>
        <v>3.4440112611324337E-4</v>
      </c>
      <c r="AH384" s="254">
        <f t="shared" si="237"/>
        <v>3.4440112611324333E-2</v>
      </c>
      <c r="AI384" s="254">
        <f t="shared" si="253"/>
        <v>1.2000000000000057E-4</v>
      </c>
      <c r="AJ384" s="253">
        <f t="shared" si="268"/>
        <v>3.4205262752974152E-4</v>
      </c>
      <c r="AK384" s="253">
        <f t="shared" si="254"/>
        <v>3.7999999999999975E-4</v>
      </c>
      <c r="AL384" s="255">
        <f t="shared" si="238"/>
        <v>3.7999999999999978E-2</v>
      </c>
      <c r="AN384" s="258">
        <f>(((IF($S$5&lt;&gt;0,$S$5,IF($S$6&lt;&gt;0,$S$6,IF($S$7&lt;&gt;0,$S$7,0))))/(12*$S$19))+(((3*$S$15)/(2*(IF($S$5&lt;&gt;0,$S$5,IF($S$6&lt;&gt;0,$S$6,IF($S$7&lt;&gt;0,$S$7,0))))*$U$5*$S$19))*'IN-OUT'!$F$14))*'Burland damage classification'!AR384</f>
        <v>5.437058693233506E-3</v>
      </c>
      <c r="AO384" s="353">
        <f>(1+(((IF($S$5&lt;&gt;0,$S$5^2,IF($S$6&lt;&gt;0,$S$6^2,IF($S$7&lt;&gt;0,$S$7^2))))*$U$5)/(18*$S$15))*('IN-OUT'!$F$14^(-1)))*AS384</f>
        <v>8.6262027567354717E-4</v>
      </c>
      <c r="AP384" s="254">
        <f t="shared" si="223"/>
        <v>8.6262027567354717E-4</v>
      </c>
      <c r="AQ384" s="254">
        <f t="shared" si="239"/>
        <v>8.6262027567354724E-2</v>
      </c>
      <c r="AR384" s="254">
        <f t="shared" si="255"/>
        <v>6.2000000000000076E-4</v>
      </c>
      <c r="AS384" s="253">
        <f t="shared" si="269"/>
        <v>8.567379996241559E-4</v>
      </c>
      <c r="AT384" s="253">
        <f t="shared" si="256"/>
        <v>3.7999999999999975E-4</v>
      </c>
      <c r="AU384" s="255">
        <f t="shared" si="240"/>
        <v>3.7999999999999978E-2</v>
      </c>
      <c r="AW384" s="258">
        <f>(((IF($S$5&lt;&gt;0,$S$5,IF($S$6&lt;&gt;0,$S$6,IF($S$7&lt;&gt;0,$S$7,0))))/(12*$S$19))+(((3*$S$15)/(2*(IF($S$5&lt;&gt;0,$S$5,IF($S$6&lt;&gt;0,$S$6,IF($S$7&lt;&gt;0,$S$7,0))))*$U$5*$S$19))*'IN-OUT'!$F$14))*'Burland damage classification'!BA384</f>
        <v>1.420650819844879E-2</v>
      </c>
      <c r="AX384" s="353">
        <f>(1+(((IF($S$5&lt;&gt;0,$S$5^2,IF($S$6&lt;&gt;0,$S$6^2,IF($S$7&lt;&gt;0,$S$7^2))))*$U$5)/(18*$S$15))*('IN-OUT'!$F$14^(-1)))*BB384</f>
        <v>1.8750427607588252E-3</v>
      </c>
      <c r="AY384" s="254">
        <f t="shared" si="225"/>
        <v>1.8750427607588252E-3</v>
      </c>
      <c r="AZ384" s="254">
        <f t="shared" si="241"/>
        <v>0.18750427607588252</v>
      </c>
      <c r="BA384" s="254">
        <f t="shared" si="257"/>
        <v>1.6199999999999964E-3</v>
      </c>
      <c r="BB384" s="270">
        <f t="shared" si="226"/>
        <v>1.8622566955175648E-3</v>
      </c>
      <c r="BC384" s="253">
        <f t="shared" si="258"/>
        <v>3.7999999999999975E-4</v>
      </c>
      <c r="BD384" s="255">
        <f t="shared" si="242"/>
        <v>3.7999999999999978E-2</v>
      </c>
      <c r="BI384" s="248"/>
      <c r="BO384" s="351" t="e">
        <f>((((IF($T$5=0,$T$6,$T$5)))/(12*$T$19))+(((3*$T$15)/(2*IF($T$5=0,$T$6,$T$5)*$U$5*$T$19))*'IN-OUT'!$F$14))*'Burland damage classification'!BS384</f>
        <v>#DIV/0!</v>
      </c>
      <c r="BP384" s="352">
        <f>(1+(((IF($T$5=0,$T$6^2,$T$5^2))*$U$5)/(18*$T$15))*('IN-OUT'!$F$14^(-1)))*BT384</f>
        <v>3.4205262752974152E-4</v>
      </c>
      <c r="BQ384" s="254" t="e">
        <f t="shared" si="229"/>
        <v>#DIV/0!</v>
      </c>
      <c r="BR384" s="254" t="e">
        <f t="shared" si="245"/>
        <v>#DIV/0!</v>
      </c>
      <c r="BS384" s="254">
        <f t="shared" si="261"/>
        <v>1.2000000000000057E-4</v>
      </c>
      <c r="BT384" s="253">
        <f t="shared" si="271"/>
        <v>3.4205262752974152E-4</v>
      </c>
      <c r="BU384" s="253">
        <f t="shared" si="262"/>
        <v>3.7999999999999975E-4</v>
      </c>
      <c r="BV384" s="255">
        <f t="shared" si="246"/>
        <v>3.7999999999999978E-2</v>
      </c>
      <c r="BX384" s="351" t="e">
        <f>((((IF($T$5=0,$T$6,$T$5)))/(12*$T$19))+(((3*$T$15)/(2*IF($T$5=0,$T$6,$T$5)*$U$5*$T$19))*'IN-OUT'!$F$14))*'Burland damage classification'!CB384</f>
        <v>#DIV/0!</v>
      </c>
      <c r="BY384" s="352">
        <f>(1+(((IF($T$5=0,$T$6^2,$T$5^2))*$U$5)/(18*$T$15))*('IN-OUT'!$F$14^(-1)))*CC384</f>
        <v>8.567379996241559E-4</v>
      </c>
      <c r="BZ384" s="254" t="e">
        <f t="shared" si="231"/>
        <v>#DIV/0!</v>
      </c>
      <c r="CA384" s="254" t="e">
        <f t="shared" si="247"/>
        <v>#DIV/0!</v>
      </c>
      <c r="CB384" s="254">
        <f t="shared" si="263"/>
        <v>6.2000000000000076E-4</v>
      </c>
      <c r="CC384" s="253">
        <f t="shared" si="272"/>
        <v>8.567379996241559E-4</v>
      </c>
      <c r="CD384" s="253">
        <f t="shared" si="264"/>
        <v>3.7999999999999975E-4</v>
      </c>
      <c r="CE384" s="255">
        <f t="shared" si="248"/>
        <v>3.7999999999999978E-2</v>
      </c>
      <c r="CG384" s="351" t="e">
        <f>((((IF($T$5=0,$T$6,$T$5)))/(12*$T$19))+(((3*$T$15)/(2*IF($T$5=0,$T$6,$T$5)*$U$5*$T$19))*'IN-OUT'!$F$14))*'Burland damage classification'!CK384</f>
        <v>#DIV/0!</v>
      </c>
      <c r="CH384" s="352">
        <f>(1+(((IF($T$5=0,$T$6^2,$T$5^2))*$U$5)/(18*$T$15))*('IN-OUT'!$F$14^(-1)))*CL384</f>
        <v>1.8622566955175648E-3</v>
      </c>
      <c r="CI384" s="254" t="e">
        <f t="shared" si="233"/>
        <v>#DIV/0!</v>
      </c>
      <c r="CJ384" s="254" t="e">
        <f t="shared" si="249"/>
        <v>#DIV/0!</v>
      </c>
      <c r="CK384" s="254">
        <f t="shared" si="265"/>
        <v>1.6199999999999964E-3</v>
      </c>
      <c r="CL384" s="270">
        <f t="shared" si="234"/>
        <v>1.8622566955175648E-3</v>
      </c>
      <c r="CM384" s="253">
        <f t="shared" si="266"/>
        <v>3.7999999999999975E-4</v>
      </c>
      <c r="CN384" s="255">
        <f t="shared" si="250"/>
        <v>3.7999999999999978E-2</v>
      </c>
    </row>
    <row r="385" spans="31:92">
      <c r="AE385" s="258">
        <f>(((IF($S$5&lt;&gt;0,$S$5,IF($S$6&lt;&gt;0,$S$6,IF($S$7&lt;&gt;0,$S$7,0))))/(12*$S$19))+(((3*$S$15)/(2*(IF($S$5&lt;&gt;0,$S$5,IF($S$6&lt;&gt;0,$S$6,IF($S$7&lt;&gt;0,$S$7,0))))*$U$5*$S$19))*'IN-OUT'!$F$14))*'Burland damage classification'!AI385</f>
        <v>9.9387094392440825E-4</v>
      </c>
      <c r="AF385" s="353">
        <f>(1+(((IF($S$5&lt;&gt;0,$S$5^2,IF($S$6&lt;&gt;0,$S$6^2,IF($S$7&lt;&gt;0,$S$7^2))))*$U$5)/(18*$S$15))*('IN-OUT'!$F$14^(-1)))*AJ385</f>
        <v>3.409496318827132E-4</v>
      </c>
      <c r="AG385" s="254">
        <f t="shared" si="221"/>
        <v>3.409496318827132E-4</v>
      </c>
      <c r="AH385" s="254">
        <f t="shared" si="237"/>
        <v>3.4094963188271321E-2</v>
      </c>
      <c r="AI385" s="254">
        <f t="shared" si="253"/>
        <v>1.1333333333333391E-4</v>
      </c>
      <c r="AJ385" s="253">
        <f t="shared" si="268"/>
        <v>3.3862466931200793E-4</v>
      </c>
      <c r="AK385" s="253">
        <f t="shared" si="254"/>
        <v>3.866666666666664E-4</v>
      </c>
      <c r="AL385" s="255">
        <f t="shared" si="238"/>
        <v>3.8666666666666641E-2</v>
      </c>
      <c r="AN385" s="258">
        <f>(((IF($S$5&lt;&gt;0,$S$5,IF($S$6&lt;&gt;0,$S$6,IF($S$7&lt;&gt;0,$S$7,0))))/(12*$S$19))+(((3*$S$15)/(2*(IF($S$5&lt;&gt;0,$S$5,IF($S$6&lt;&gt;0,$S$6,IF($S$7&lt;&gt;0,$S$7,0))))*$U$5*$S$19))*'IN-OUT'!$F$14))*'Burland damage classification'!AR385</f>
        <v>5.3785956965320706E-3</v>
      </c>
      <c r="AO385" s="353">
        <f>(1+(((IF($S$5&lt;&gt;0,$S$5^2,IF($S$6&lt;&gt;0,$S$6^2,IF($S$7&lt;&gt;0,$S$7^2))))*$U$5)/(18*$S$15))*('IN-OUT'!$F$14^(-1)))*AS385</f>
        <v>8.5987369516044704E-4</v>
      </c>
      <c r="AP385" s="254">
        <f t="shared" si="223"/>
        <v>8.5987369516044704E-4</v>
      </c>
      <c r="AQ385" s="254">
        <f t="shared" si="239"/>
        <v>8.5987369516044701E-2</v>
      </c>
      <c r="AR385" s="254">
        <f t="shared" si="255"/>
        <v>6.1333333333333411E-4</v>
      </c>
      <c r="AS385" s="253">
        <f t="shared" si="269"/>
        <v>8.5401014826132682E-4</v>
      </c>
      <c r="AT385" s="253">
        <f t="shared" si="256"/>
        <v>3.866666666666664E-4</v>
      </c>
      <c r="AU385" s="255">
        <f t="shared" si="240"/>
        <v>3.8666666666666641E-2</v>
      </c>
      <c r="AW385" s="258">
        <f>(((IF($S$5&lt;&gt;0,$S$5,IF($S$6&lt;&gt;0,$S$6,IF($S$7&lt;&gt;0,$S$7,0))))/(12*$S$19))+(((3*$S$15)/(2*(IF($S$5&lt;&gt;0,$S$5,IF($S$6&lt;&gt;0,$S$6,IF($S$7&lt;&gt;0,$S$7,0))))*$U$5*$S$19))*'IN-OUT'!$F$14))*'Burland damage classification'!BA385</f>
        <v>1.4148045201747355E-2</v>
      </c>
      <c r="AX385" s="353">
        <f>(1+(((IF($S$5&lt;&gt;0,$S$5^2,IF($S$6&lt;&gt;0,$S$6^2,IF($S$7&lt;&gt;0,$S$7^2))))*$U$5)/(18*$S$15))*('IN-OUT'!$F$14^(-1)))*BB385</f>
        <v>1.8725179352747539E-3</v>
      </c>
      <c r="AY385" s="254">
        <f t="shared" si="225"/>
        <v>1.8725179352747539E-3</v>
      </c>
      <c r="AZ385" s="254">
        <f t="shared" si="241"/>
        <v>0.1872517935274754</v>
      </c>
      <c r="BA385" s="254">
        <f t="shared" si="257"/>
        <v>1.6133333333333297E-3</v>
      </c>
      <c r="BB385" s="270">
        <f t="shared" si="226"/>
        <v>1.8597490870186405E-3</v>
      </c>
      <c r="BC385" s="253">
        <f t="shared" si="258"/>
        <v>3.866666666666664E-4</v>
      </c>
      <c r="BD385" s="255">
        <f t="shared" si="242"/>
        <v>3.8666666666666641E-2</v>
      </c>
      <c r="BI385" s="248"/>
      <c r="BO385" s="351" t="e">
        <f>((((IF($T$5=0,$T$6,$T$5)))/(12*$T$19))+(((3*$T$15)/(2*IF($T$5=0,$T$6,$T$5)*$U$5*$T$19))*'IN-OUT'!$F$14))*'Burland damage classification'!BS385</f>
        <v>#DIV/0!</v>
      </c>
      <c r="BP385" s="352">
        <f>(1+(((IF($T$5=0,$T$6^2,$T$5^2))*$U$5)/(18*$T$15))*('IN-OUT'!$F$14^(-1)))*BT385</f>
        <v>3.3862466931200793E-4</v>
      </c>
      <c r="BQ385" s="254" t="e">
        <f t="shared" si="229"/>
        <v>#DIV/0!</v>
      </c>
      <c r="BR385" s="254" t="e">
        <f t="shared" si="245"/>
        <v>#DIV/0!</v>
      </c>
      <c r="BS385" s="254">
        <f t="shared" si="261"/>
        <v>1.1333333333333391E-4</v>
      </c>
      <c r="BT385" s="253">
        <f t="shared" si="271"/>
        <v>3.3862466931200793E-4</v>
      </c>
      <c r="BU385" s="253">
        <f t="shared" si="262"/>
        <v>3.866666666666664E-4</v>
      </c>
      <c r="BV385" s="255">
        <f t="shared" si="246"/>
        <v>3.8666666666666641E-2</v>
      </c>
      <c r="BX385" s="351" t="e">
        <f>((((IF($T$5=0,$T$6,$T$5)))/(12*$T$19))+(((3*$T$15)/(2*IF($T$5=0,$T$6,$T$5)*$U$5*$T$19))*'IN-OUT'!$F$14))*'Burland damage classification'!CB385</f>
        <v>#DIV/0!</v>
      </c>
      <c r="BY385" s="352">
        <f>(1+(((IF($T$5=0,$T$6^2,$T$5^2))*$U$5)/(18*$T$15))*('IN-OUT'!$F$14^(-1)))*CC385</f>
        <v>8.5401014826132682E-4</v>
      </c>
      <c r="BZ385" s="254" t="e">
        <f t="shared" si="231"/>
        <v>#DIV/0!</v>
      </c>
      <c r="CA385" s="254" t="e">
        <f t="shared" si="247"/>
        <v>#DIV/0!</v>
      </c>
      <c r="CB385" s="254">
        <f t="shared" si="263"/>
        <v>6.1333333333333411E-4</v>
      </c>
      <c r="CC385" s="253">
        <f t="shared" si="272"/>
        <v>8.5401014826132682E-4</v>
      </c>
      <c r="CD385" s="253">
        <f t="shared" si="264"/>
        <v>3.866666666666664E-4</v>
      </c>
      <c r="CE385" s="255">
        <f t="shared" si="248"/>
        <v>3.8666666666666641E-2</v>
      </c>
      <c r="CG385" s="351" t="e">
        <f>((((IF($T$5=0,$T$6,$T$5)))/(12*$T$19))+(((3*$T$15)/(2*IF($T$5=0,$T$6,$T$5)*$U$5*$T$19))*'IN-OUT'!$F$14))*'Burland damage classification'!CK385</f>
        <v>#DIV/0!</v>
      </c>
      <c r="CH385" s="352">
        <f>(1+(((IF($T$5=0,$T$6^2,$T$5^2))*$U$5)/(18*$T$15))*('IN-OUT'!$F$14^(-1)))*CL385</f>
        <v>1.8597490870186405E-3</v>
      </c>
      <c r="CI385" s="254" t="e">
        <f t="shared" si="233"/>
        <v>#DIV/0!</v>
      </c>
      <c r="CJ385" s="254" t="e">
        <f t="shared" si="249"/>
        <v>#DIV/0!</v>
      </c>
      <c r="CK385" s="254">
        <f t="shared" si="265"/>
        <v>1.6133333333333297E-3</v>
      </c>
      <c r="CL385" s="270">
        <f t="shared" si="234"/>
        <v>1.8597490870186405E-3</v>
      </c>
      <c r="CM385" s="253">
        <f t="shared" si="266"/>
        <v>3.866666666666664E-4</v>
      </c>
      <c r="CN385" s="255">
        <f t="shared" si="250"/>
        <v>3.8666666666666641E-2</v>
      </c>
    </row>
    <row r="386" spans="31:92">
      <c r="AE386" s="258">
        <f>(((IF($S$5&lt;&gt;0,$S$5,IF($S$6&lt;&gt;0,$S$6,IF($S$7&lt;&gt;0,$S$7,0))))/(12*$S$19))+(((3*$S$15)/(2*(IF($S$5&lt;&gt;0,$S$5,IF($S$6&lt;&gt;0,$S$6,IF($S$7&lt;&gt;0,$S$7,0))))*$U$5*$S$19))*'IN-OUT'!$F$14))*'Burland damage classification'!AI386</f>
        <v>9.3540794722297277E-4</v>
      </c>
      <c r="AF386" s="353">
        <f>(1+(((IF($S$5&lt;&gt;0,$S$5^2,IF($S$6&lt;&gt;0,$S$6^2,IF($S$7&lt;&gt;0,$S$7^2))))*$U$5)/(18*$S$15))*('IN-OUT'!$F$14^(-1)))*AJ386</f>
        <v>3.3746283838942198E-4</v>
      </c>
      <c r="AG386" s="254">
        <f t="shared" si="221"/>
        <v>3.3746283838942198E-4</v>
      </c>
      <c r="AH386" s="254">
        <f t="shared" si="237"/>
        <v>3.3746283838942195E-2</v>
      </c>
      <c r="AI386" s="254">
        <f t="shared" si="253"/>
        <v>1.0666666666666725E-4</v>
      </c>
      <c r="AJ386" s="253">
        <f t="shared" si="268"/>
        <v>3.3516165253998466E-4</v>
      </c>
      <c r="AK386" s="253">
        <f t="shared" si="254"/>
        <v>3.9333333333333305E-4</v>
      </c>
      <c r="AL386" s="255">
        <f t="shared" si="238"/>
        <v>3.9333333333333304E-2</v>
      </c>
      <c r="AN386" s="258">
        <f>(((IF($S$5&lt;&gt;0,$S$5,IF($S$6&lt;&gt;0,$S$6,IF($S$7&lt;&gt;0,$S$7,0))))/(12*$S$19))+(((3*$S$15)/(2*(IF($S$5&lt;&gt;0,$S$5,IF($S$6&lt;&gt;0,$S$6,IF($S$7&lt;&gt;0,$S$7,0))))*$U$5*$S$19))*'IN-OUT'!$F$14))*'Burland damage classification'!AR386</f>
        <v>5.3201326998306353E-3</v>
      </c>
      <c r="AO386" s="353">
        <f>(1+(((IF($S$5&lt;&gt;0,$S$5^2,IF($S$6&lt;&gt;0,$S$6^2,IF($S$7&lt;&gt;0,$S$7^2))))*$U$5)/(18*$S$15))*('IN-OUT'!$F$14^(-1)))*AS386</f>
        <v>8.5711831345191571E-4</v>
      </c>
      <c r="AP386" s="254">
        <f t="shared" si="223"/>
        <v>8.5711831345191571E-4</v>
      </c>
      <c r="AQ386" s="254">
        <f t="shared" si="239"/>
        <v>8.5711831345191572E-2</v>
      </c>
      <c r="AR386" s="254">
        <f t="shared" si="255"/>
        <v>6.0666666666666746E-4</v>
      </c>
      <c r="AS386" s="253">
        <f t="shared" si="269"/>
        <v>8.5127355571911595E-4</v>
      </c>
      <c r="AT386" s="253">
        <f t="shared" si="256"/>
        <v>3.9333333333333305E-4</v>
      </c>
      <c r="AU386" s="255">
        <f t="shared" si="240"/>
        <v>3.9333333333333304E-2</v>
      </c>
      <c r="AW386" s="258">
        <f>(((IF($S$5&lt;&gt;0,$S$5,IF($S$6&lt;&gt;0,$S$6,IF($S$7&lt;&gt;0,$S$7,0))))/(12*$S$19))+(((3*$S$15)/(2*(IF($S$5&lt;&gt;0,$S$5,IF($S$6&lt;&gt;0,$S$6,IF($S$7&lt;&gt;0,$S$7,0))))*$U$5*$S$19))*'IN-OUT'!$F$14))*'Burland damage classification'!BA386</f>
        <v>1.4089582205045918E-2</v>
      </c>
      <c r="AX386" s="353">
        <f>(1+(((IF($S$5&lt;&gt;0,$S$5^2,IF($S$6&lt;&gt;0,$S$6^2,IF($S$7&lt;&gt;0,$S$7^2))))*$U$5)/(18*$S$15))*('IN-OUT'!$F$14^(-1)))*BB386</f>
        <v>1.869989700821151E-3</v>
      </c>
      <c r="AY386" s="254">
        <f t="shared" si="225"/>
        <v>1.869989700821151E-3</v>
      </c>
      <c r="AZ386" s="254">
        <f t="shared" si="241"/>
        <v>0.18699897008211511</v>
      </c>
      <c r="BA386" s="254">
        <f t="shared" si="257"/>
        <v>1.6066666666666629E-3</v>
      </c>
      <c r="BB386" s="270">
        <f t="shared" si="226"/>
        <v>1.8572380927962182E-3</v>
      </c>
      <c r="BC386" s="253">
        <f t="shared" si="258"/>
        <v>3.9333333333333305E-4</v>
      </c>
      <c r="BD386" s="255">
        <f t="shared" si="242"/>
        <v>3.9333333333333304E-2</v>
      </c>
      <c r="BI386" s="248"/>
      <c r="BO386" s="351" t="e">
        <f>((((IF($T$5=0,$T$6,$T$5)))/(12*$T$19))+(((3*$T$15)/(2*IF($T$5=0,$T$6,$T$5)*$U$5*$T$19))*'IN-OUT'!$F$14))*'Burland damage classification'!BS386</f>
        <v>#DIV/0!</v>
      </c>
      <c r="BP386" s="352">
        <f>(1+(((IF($T$5=0,$T$6^2,$T$5^2))*$U$5)/(18*$T$15))*('IN-OUT'!$F$14^(-1)))*BT386</f>
        <v>3.3516165253998466E-4</v>
      </c>
      <c r="BQ386" s="254" t="e">
        <f t="shared" si="229"/>
        <v>#DIV/0!</v>
      </c>
      <c r="BR386" s="254" t="e">
        <f t="shared" si="245"/>
        <v>#DIV/0!</v>
      </c>
      <c r="BS386" s="254">
        <f t="shared" si="261"/>
        <v>1.0666666666666725E-4</v>
      </c>
      <c r="BT386" s="253">
        <f t="shared" si="271"/>
        <v>3.3516165253998466E-4</v>
      </c>
      <c r="BU386" s="253">
        <f t="shared" si="262"/>
        <v>3.9333333333333305E-4</v>
      </c>
      <c r="BV386" s="255">
        <f t="shared" si="246"/>
        <v>3.9333333333333304E-2</v>
      </c>
      <c r="BX386" s="351" t="e">
        <f>((((IF($T$5=0,$T$6,$T$5)))/(12*$T$19))+(((3*$T$15)/(2*IF($T$5=0,$T$6,$T$5)*$U$5*$T$19))*'IN-OUT'!$F$14))*'Burland damage classification'!CB386</f>
        <v>#DIV/0!</v>
      </c>
      <c r="BY386" s="352">
        <f>(1+(((IF($T$5=0,$T$6^2,$T$5^2))*$U$5)/(18*$T$15))*('IN-OUT'!$F$14^(-1)))*CC386</f>
        <v>8.5127355571911595E-4</v>
      </c>
      <c r="BZ386" s="254" t="e">
        <f t="shared" si="231"/>
        <v>#DIV/0!</v>
      </c>
      <c r="CA386" s="254" t="e">
        <f t="shared" si="247"/>
        <v>#DIV/0!</v>
      </c>
      <c r="CB386" s="254">
        <f t="shared" si="263"/>
        <v>6.0666666666666746E-4</v>
      </c>
      <c r="CC386" s="253">
        <f t="shared" si="272"/>
        <v>8.5127355571911595E-4</v>
      </c>
      <c r="CD386" s="253">
        <f t="shared" si="264"/>
        <v>3.9333333333333305E-4</v>
      </c>
      <c r="CE386" s="255">
        <f t="shared" si="248"/>
        <v>3.9333333333333304E-2</v>
      </c>
      <c r="CG386" s="351" t="e">
        <f>((((IF($T$5=0,$T$6,$T$5)))/(12*$T$19))+(((3*$T$15)/(2*IF($T$5=0,$T$6,$T$5)*$U$5*$T$19))*'IN-OUT'!$F$14))*'Burland damage classification'!CK386</f>
        <v>#DIV/0!</v>
      </c>
      <c r="CH386" s="352">
        <f>(1+(((IF($T$5=0,$T$6^2,$T$5^2))*$U$5)/(18*$T$15))*('IN-OUT'!$F$14^(-1)))*CL386</f>
        <v>1.8572380927962182E-3</v>
      </c>
      <c r="CI386" s="254" t="e">
        <f t="shared" si="233"/>
        <v>#DIV/0!</v>
      </c>
      <c r="CJ386" s="254" t="e">
        <f t="shared" si="249"/>
        <v>#DIV/0!</v>
      </c>
      <c r="CK386" s="254">
        <f t="shared" si="265"/>
        <v>1.6066666666666629E-3</v>
      </c>
      <c r="CL386" s="270">
        <f t="shared" si="234"/>
        <v>1.8572380927962182E-3</v>
      </c>
      <c r="CM386" s="253">
        <f t="shared" si="266"/>
        <v>3.9333333333333305E-4</v>
      </c>
      <c r="CN386" s="255">
        <f t="shared" si="250"/>
        <v>3.9333333333333304E-2</v>
      </c>
    </row>
    <row r="387" spans="31:92">
      <c r="AE387" s="258">
        <f>(((IF($S$5&lt;&gt;0,$S$5,IF($S$6&lt;&gt;0,$S$6,IF($S$7&lt;&gt;0,$S$7,0))))/(12*$S$19))+(((3*$S$15)/(2*(IF($S$5&lt;&gt;0,$S$5,IF($S$6&lt;&gt;0,$S$6,IF($S$7&lt;&gt;0,$S$7,0))))*$U$5*$S$19))*'IN-OUT'!$F$14))*'Burland damage classification'!AI387</f>
        <v>8.7694495052153729E-4</v>
      </c>
      <c r="AF387" s="353">
        <f>(1+(((IF($S$5&lt;&gt;0,$S$5^2,IF($S$6&lt;&gt;0,$S$6^2,IF($S$7&lt;&gt;0,$S$7^2))))*$U$5)/(18*$S$15))*('IN-OUT'!$F$14^(-1)))*AJ387</f>
        <v>3.339396399152587E-4</v>
      </c>
      <c r="AG387" s="254">
        <f t="shared" si="221"/>
        <v>3.339396399152587E-4</v>
      </c>
      <c r="AH387" s="254">
        <f t="shared" si="237"/>
        <v>3.3393963991525867E-2</v>
      </c>
      <c r="AI387" s="254">
        <f t="shared" si="253"/>
        <v>1.0000000000000059E-4</v>
      </c>
      <c r="AJ387" s="253">
        <f t="shared" si="268"/>
        <v>3.3166247903554011E-4</v>
      </c>
      <c r="AK387" s="253">
        <f t="shared" si="254"/>
        <v>3.9999999999999969E-4</v>
      </c>
      <c r="AL387" s="255">
        <f t="shared" si="238"/>
        <v>3.9999999999999966E-2</v>
      </c>
      <c r="AN387" s="258">
        <f>(((IF($S$5&lt;&gt;0,$S$5,IF($S$6&lt;&gt;0,$S$6,IF($S$7&lt;&gt;0,$S$7,0))))/(12*$S$19))+(((3*$S$15)/(2*(IF($S$5&lt;&gt;0,$S$5,IF($S$6&lt;&gt;0,$S$6,IF($S$7&lt;&gt;0,$S$7,0))))*$U$5*$S$19))*'IN-OUT'!$F$14))*'Burland damage classification'!AR387</f>
        <v>5.2616697031291999E-3</v>
      </c>
      <c r="AO387" s="353">
        <f>(1+(((IF($S$5&lt;&gt;0,$S$5^2,IF($S$6&lt;&gt;0,$S$6^2,IF($S$7&lt;&gt;0,$S$7^2))))*$U$5)/(18*$S$15))*('IN-OUT'!$F$14^(-1)))*AS387</f>
        <v>8.5435404539361279E-4</v>
      </c>
      <c r="AP387" s="254">
        <f t="shared" si="223"/>
        <v>8.5435404539361279E-4</v>
      </c>
      <c r="AQ387" s="254">
        <f t="shared" si="239"/>
        <v>8.5435404539361284E-2</v>
      </c>
      <c r="AR387" s="254">
        <f t="shared" si="255"/>
        <v>6.0000000000000081E-4</v>
      </c>
      <c r="AS387" s="253">
        <f t="shared" si="269"/>
        <v>8.485281374238571E-4</v>
      </c>
      <c r="AT387" s="253">
        <f t="shared" si="256"/>
        <v>3.9999999999999969E-4</v>
      </c>
      <c r="AU387" s="255">
        <f t="shared" si="240"/>
        <v>3.9999999999999966E-2</v>
      </c>
      <c r="AW387" s="258">
        <f>(((IF($S$5&lt;&gt;0,$S$5,IF($S$6&lt;&gt;0,$S$6,IF($S$7&lt;&gt;0,$S$7,0))))/(12*$S$19))+(((3*$S$15)/(2*(IF($S$5&lt;&gt;0,$S$5,IF($S$6&lt;&gt;0,$S$6,IF($S$7&lt;&gt;0,$S$7,0))))*$U$5*$S$19))*'IN-OUT'!$F$14))*'Burland damage classification'!BA387</f>
        <v>1.4031119208344482E-2</v>
      </c>
      <c r="AX387" s="353">
        <f>(1+(((IF($S$5&lt;&gt;0,$S$5^2,IF($S$6&lt;&gt;0,$S$6^2,IF($S$7&lt;&gt;0,$S$7^2))))*$U$5)/(18*$S$15))*('IN-OUT'!$F$14^(-1)))*BB387</f>
        <v>1.8674580435524453E-3</v>
      </c>
      <c r="AY387" s="254">
        <f t="shared" si="225"/>
        <v>1.8674580435524453E-3</v>
      </c>
      <c r="AZ387" s="254">
        <f t="shared" si="241"/>
        <v>0.18674580435524452</v>
      </c>
      <c r="BA387" s="254">
        <f t="shared" si="257"/>
        <v>1.5999999999999962E-3</v>
      </c>
      <c r="BB387" s="270">
        <f t="shared" si="226"/>
        <v>1.8547236990991407E-3</v>
      </c>
      <c r="BC387" s="253">
        <f t="shared" si="258"/>
        <v>3.9999999999999969E-4</v>
      </c>
      <c r="BD387" s="255">
        <f t="shared" si="242"/>
        <v>3.9999999999999966E-2</v>
      </c>
      <c r="BI387" s="248"/>
      <c r="BO387" s="351" t="e">
        <f>((((IF($T$5=0,$T$6,$T$5)))/(12*$T$19))+(((3*$T$15)/(2*IF($T$5=0,$T$6,$T$5)*$U$5*$T$19))*'IN-OUT'!$F$14))*'Burland damage classification'!BS387</f>
        <v>#DIV/0!</v>
      </c>
      <c r="BP387" s="352">
        <f>(1+(((IF($T$5=0,$T$6^2,$T$5^2))*$U$5)/(18*$T$15))*('IN-OUT'!$F$14^(-1)))*BT387</f>
        <v>3.3166247903554011E-4</v>
      </c>
      <c r="BQ387" s="254" t="e">
        <f t="shared" si="229"/>
        <v>#DIV/0!</v>
      </c>
      <c r="BR387" s="254" t="e">
        <f t="shared" si="245"/>
        <v>#DIV/0!</v>
      </c>
      <c r="BS387" s="254">
        <f t="shared" si="261"/>
        <v>1.0000000000000059E-4</v>
      </c>
      <c r="BT387" s="253">
        <f t="shared" si="271"/>
        <v>3.3166247903554011E-4</v>
      </c>
      <c r="BU387" s="253">
        <f t="shared" si="262"/>
        <v>3.9999999999999969E-4</v>
      </c>
      <c r="BV387" s="255">
        <f t="shared" si="246"/>
        <v>3.9999999999999966E-2</v>
      </c>
      <c r="BX387" s="351" t="e">
        <f>((((IF($T$5=0,$T$6,$T$5)))/(12*$T$19))+(((3*$T$15)/(2*IF($T$5=0,$T$6,$T$5)*$U$5*$T$19))*'IN-OUT'!$F$14))*'Burland damage classification'!CB387</f>
        <v>#DIV/0!</v>
      </c>
      <c r="BY387" s="352">
        <f>(1+(((IF($T$5=0,$T$6^2,$T$5^2))*$U$5)/(18*$T$15))*('IN-OUT'!$F$14^(-1)))*CC387</f>
        <v>8.485281374238571E-4</v>
      </c>
      <c r="BZ387" s="254" t="e">
        <f t="shared" si="231"/>
        <v>#DIV/0!</v>
      </c>
      <c r="CA387" s="254" t="e">
        <f t="shared" si="247"/>
        <v>#DIV/0!</v>
      </c>
      <c r="CB387" s="254">
        <f t="shared" si="263"/>
        <v>6.0000000000000081E-4</v>
      </c>
      <c r="CC387" s="253">
        <f t="shared" si="272"/>
        <v>8.485281374238571E-4</v>
      </c>
      <c r="CD387" s="253">
        <f t="shared" si="264"/>
        <v>3.9999999999999969E-4</v>
      </c>
      <c r="CE387" s="255">
        <f t="shared" si="248"/>
        <v>3.9999999999999966E-2</v>
      </c>
      <c r="CG387" s="351" t="e">
        <f>((((IF($T$5=0,$T$6,$T$5)))/(12*$T$19))+(((3*$T$15)/(2*IF($T$5=0,$T$6,$T$5)*$U$5*$T$19))*'IN-OUT'!$F$14))*'Burland damage classification'!CK387</f>
        <v>#DIV/0!</v>
      </c>
      <c r="CH387" s="352">
        <f>(1+(((IF($T$5=0,$T$6^2,$T$5^2))*$U$5)/(18*$T$15))*('IN-OUT'!$F$14^(-1)))*CL387</f>
        <v>1.8547236990991407E-3</v>
      </c>
      <c r="CI387" s="254" t="e">
        <f t="shared" si="233"/>
        <v>#DIV/0!</v>
      </c>
      <c r="CJ387" s="254" t="e">
        <f t="shared" si="249"/>
        <v>#DIV/0!</v>
      </c>
      <c r="CK387" s="254">
        <f t="shared" si="265"/>
        <v>1.5999999999999962E-3</v>
      </c>
      <c r="CL387" s="270">
        <f t="shared" si="234"/>
        <v>1.8547236990991407E-3</v>
      </c>
      <c r="CM387" s="253">
        <f t="shared" si="266"/>
        <v>3.9999999999999969E-4</v>
      </c>
      <c r="CN387" s="255">
        <f t="shared" si="250"/>
        <v>3.9999999999999966E-2</v>
      </c>
    </row>
    <row r="388" spans="31:92">
      <c r="AE388" s="258">
        <f>(((IF($S$5&lt;&gt;0,$S$5,IF($S$6&lt;&gt;0,$S$6,IF($S$7&lt;&gt;0,$S$7,0))))/(12*$S$19))+(((3*$S$15)/(2*(IF($S$5&lt;&gt;0,$S$5,IF($S$6&lt;&gt;0,$S$6,IF($S$7&lt;&gt;0,$S$7,0))))*$U$5*$S$19))*'IN-OUT'!$F$14))*'Burland damage classification'!AI388</f>
        <v>8.1848195382010192E-4</v>
      </c>
      <c r="AF388" s="353">
        <f>(1+(((IF($S$5&lt;&gt;0,$S$5^2,IF($S$6&lt;&gt;0,$S$6^2,IF($S$7&lt;&gt;0,$S$7^2))))*$U$5)/(18*$S$15))*('IN-OUT'!$F$14^(-1)))*AJ388</f>
        <v>3.3037887178150504E-4</v>
      </c>
      <c r="AG388" s="254">
        <f t="shared" si="221"/>
        <v>3.3037887178150504E-4</v>
      </c>
      <c r="AH388" s="254">
        <f t="shared" si="237"/>
        <v>3.3037887178150503E-2</v>
      </c>
      <c r="AI388" s="254">
        <f t="shared" si="253"/>
        <v>9.3333333333333926E-5</v>
      </c>
      <c r="AJ388" s="253">
        <f t="shared" si="268"/>
        <v>3.2812599206199253E-4</v>
      </c>
      <c r="AK388" s="253">
        <f t="shared" si="254"/>
        <v>4.0666666666666634E-4</v>
      </c>
      <c r="AL388" s="255">
        <f t="shared" si="238"/>
        <v>4.0666666666666636E-2</v>
      </c>
      <c r="AN388" s="258">
        <f>(((IF($S$5&lt;&gt;0,$S$5,IF($S$6&lt;&gt;0,$S$6,IF($S$7&lt;&gt;0,$S$7,0))))/(12*$S$19))+(((3*$S$15)/(2*(IF($S$5&lt;&gt;0,$S$5,IF($S$6&lt;&gt;0,$S$6,IF($S$7&lt;&gt;0,$S$7,0))))*$U$5*$S$19))*'IN-OUT'!$F$14))*'Burland damage classification'!AR388</f>
        <v>5.2032067064277645E-3</v>
      </c>
      <c r="AO388" s="353">
        <f>(1+(((IF($S$5&lt;&gt;0,$S$5^2,IF($S$6&lt;&gt;0,$S$6^2,IF($S$7&lt;&gt;0,$S$7^2))))*$U$5)/(18*$S$15))*('IN-OUT'!$F$14^(-1)))*AS388</f>
        <v>8.5158080444911778E-4</v>
      </c>
      <c r="AP388" s="254">
        <f t="shared" si="223"/>
        <v>8.5158080444911778E-4</v>
      </c>
      <c r="AQ388" s="254">
        <f t="shared" si="239"/>
        <v>8.5158080444911771E-2</v>
      </c>
      <c r="AR388" s="254">
        <f t="shared" si="255"/>
        <v>5.9333333333333417E-4</v>
      </c>
      <c r="AS388" s="253">
        <f t="shared" si="269"/>
        <v>8.4577380742922848E-4</v>
      </c>
      <c r="AT388" s="253">
        <f t="shared" si="256"/>
        <v>4.0666666666666634E-4</v>
      </c>
      <c r="AU388" s="255">
        <f t="shared" si="240"/>
        <v>4.0666666666666636E-2</v>
      </c>
      <c r="AW388" s="258">
        <f>(((IF($S$5&lt;&gt;0,$S$5,IF($S$6&lt;&gt;0,$S$6,IF($S$7&lt;&gt;0,$S$7,0))))/(12*$S$19))+(((3*$S$15)/(2*(IF($S$5&lt;&gt;0,$S$5,IF($S$6&lt;&gt;0,$S$6,IF($S$7&lt;&gt;0,$S$7,0))))*$U$5*$S$19))*'IN-OUT'!$F$14))*'Burland damage classification'!BA388</f>
        <v>1.3972656211643045E-2</v>
      </c>
      <c r="AX388" s="353">
        <f>(1+(((IF($S$5&lt;&gt;0,$S$5^2,IF($S$6&lt;&gt;0,$S$6^2,IF($S$7&lt;&gt;0,$S$7^2))))*$U$5)/(18*$S$15))*('IN-OUT'!$F$14^(-1)))*BB388</f>
        <v>1.8649229495290892E-3</v>
      </c>
      <c r="AY388" s="254">
        <f t="shared" si="225"/>
        <v>1.8649229495290892E-3</v>
      </c>
      <c r="AZ388" s="254">
        <f t="shared" si="241"/>
        <v>0.18649229495290892</v>
      </c>
      <c r="BA388" s="254">
        <f t="shared" si="257"/>
        <v>1.5933333333333294E-3</v>
      </c>
      <c r="BB388" s="270">
        <f t="shared" si="226"/>
        <v>1.8522058920829151E-3</v>
      </c>
      <c r="BC388" s="253">
        <f t="shared" si="258"/>
        <v>4.0666666666666634E-4</v>
      </c>
      <c r="BD388" s="255">
        <f t="shared" si="242"/>
        <v>4.0666666666666636E-2</v>
      </c>
      <c r="BI388" s="248"/>
      <c r="BO388" s="351" t="e">
        <f>((((IF($T$5=0,$T$6,$T$5)))/(12*$T$19))+(((3*$T$15)/(2*IF($T$5=0,$T$6,$T$5)*$U$5*$T$19))*'IN-OUT'!$F$14))*'Burland damage classification'!BS388</f>
        <v>#DIV/0!</v>
      </c>
      <c r="BP388" s="352">
        <f>(1+(((IF($T$5=0,$T$6^2,$T$5^2))*$U$5)/(18*$T$15))*('IN-OUT'!$F$14^(-1)))*BT388</f>
        <v>3.2812599206199253E-4</v>
      </c>
      <c r="BQ388" s="254" t="e">
        <f t="shared" si="229"/>
        <v>#DIV/0!</v>
      </c>
      <c r="BR388" s="254" t="e">
        <f t="shared" si="245"/>
        <v>#DIV/0!</v>
      </c>
      <c r="BS388" s="254">
        <f t="shared" si="261"/>
        <v>9.3333333333333926E-5</v>
      </c>
      <c r="BT388" s="253">
        <f t="shared" si="271"/>
        <v>3.2812599206199253E-4</v>
      </c>
      <c r="BU388" s="253">
        <f t="shared" si="262"/>
        <v>4.0666666666666634E-4</v>
      </c>
      <c r="BV388" s="255">
        <f t="shared" si="246"/>
        <v>4.0666666666666636E-2</v>
      </c>
      <c r="BX388" s="351" t="e">
        <f>((((IF($T$5=0,$T$6,$T$5)))/(12*$T$19))+(((3*$T$15)/(2*IF($T$5=0,$T$6,$T$5)*$U$5*$T$19))*'IN-OUT'!$F$14))*'Burland damage classification'!CB388</f>
        <v>#DIV/0!</v>
      </c>
      <c r="BY388" s="352">
        <f>(1+(((IF($T$5=0,$T$6^2,$T$5^2))*$U$5)/(18*$T$15))*('IN-OUT'!$F$14^(-1)))*CC388</f>
        <v>8.4577380742922848E-4</v>
      </c>
      <c r="BZ388" s="254" t="e">
        <f t="shared" si="231"/>
        <v>#DIV/0!</v>
      </c>
      <c r="CA388" s="254" t="e">
        <f t="shared" si="247"/>
        <v>#DIV/0!</v>
      </c>
      <c r="CB388" s="254">
        <f t="shared" si="263"/>
        <v>5.9333333333333417E-4</v>
      </c>
      <c r="CC388" s="253">
        <f t="shared" si="272"/>
        <v>8.4577380742922848E-4</v>
      </c>
      <c r="CD388" s="253">
        <f t="shared" si="264"/>
        <v>4.0666666666666634E-4</v>
      </c>
      <c r="CE388" s="255">
        <f t="shared" si="248"/>
        <v>4.0666666666666636E-2</v>
      </c>
      <c r="CG388" s="351" t="e">
        <f>((((IF($T$5=0,$T$6,$T$5)))/(12*$T$19))+(((3*$T$15)/(2*IF($T$5=0,$T$6,$T$5)*$U$5*$T$19))*'IN-OUT'!$F$14))*'Burland damage classification'!CK388</f>
        <v>#DIV/0!</v>
      </c>
      <c r="CH388" s="352">
        <f>(1+(((IF($T$5=0,$T$6^2,$T$5^2))*$U$5)/(18*$T$15))*('IN-OUT'!$F$14^(-1)))*CL388</f>
        <v>1.8522058920829151E-3</v>
      </c>
      <c r="CI388" s="254" t="e">
        <f t="shared" si="233"/>
        <v>#DIV/0!</v>
      </c>
      <c r="CJ388" s="254" t="e">
        <f t="shared" si="249"/>
        <v>#DIV/0!</v>
      </c>
      <c r="CK388" s="254">
        <f t="shared" si="265"/>
        <v>1.5933333333333294E-3</v>
      </c>
      <c r="CL388" s="270">
        <f t="shared" si="234"/>
        <v>1.8522058920829151E-3</v>
      </c>
      <c r="CM388" s="253">
        <f t="shared" si="266"/>
        <v>4.0666666666666634E-4</v>
      </c>
      <c r="CN388" s="255">
        <f t="shared" si="250"/>
        <v>4.0666666666666636E-2</v>
      </c>
    </row>
    <row r="389" spans="31:92">
      <c r="AE389" s="258">
        <f>(((IF($S$5&lt;&gt;0,$S$5,IF($S$6&lt;&gt;0,$S$6,IF($S$7&lt;&gt;0,$S$7,0))))/(12*$S$19))+(((3*$S$15)/(2*(IF($S$5&lt;&gt;0,$S$5,IF($S$6&lt;&gt;0,$S$6,IF($S$7&lt;&gt;0,$S$7,0))))*$U$5*$S$19))*'IN-OUT'!$F$14))*'Burland damage classification'!AI389</f>
        <v>7.6001895711866644E-4</v>
      </c>
      <c r="AF389" s="353">
        <f>(1+(((IF($S$5&lt;&gt;0,$S$5^2,IF($S$6&lt;&gt;0,$S$6^2,IF($S$7&lt;&gt;0,$S$7^2))))*$U$5)/(18*$S$15))*('IN-OUT'!$F$14^(-1)))*AJ389</f>
        <v>3.2677930585107078E-4</v>
      </c>
      <c r="AG389" s="254">
        <f t="shared" si="221"/>
        <v>3.2677930585107078E-4</v>
      </c>
      <c r="AH389" s="254">
        <f t="shared" si="237"/>
        <v>3.2677930585107082E-2</v>
      </c>
      <c r="AI389" s="254">
        <f t="shared" si="253"/>
        <v>8.6666666666667264E-5</v>
      </c>
      <c r="AJ389" s="253">
        <f t="shared" si="268"/>
        <v>3.2455097185701582E-4</v>
      </c>
      <c r="AK389" s="253">
        <f t="shared" si="254"/>
        <v>4.1333333333333299E-4</v>
      </c>
      <c r="AL389" s="255">
        <f t="shared" si="238"/>
        <v>4.1333333333333298E-2</v>
      </c>
      <c r="AN389" s="258">
        <f>(((IF($S$5&lt;&gt;0,$S$5,IF($S$6&lt;&gt;0,$S$6,IF($S$7&lt;&gt;0,$S$7,0))))/(12*$S$19))+(((3*$S$15)/(2*(IF($S$5&lt;&gt;0,$S$5,IF($S$6&lt;&gt;0,$S$6,IF($S$7&lt;&gt;0,$S$7,0))))*$U$5*$S$19))*'IN-OUT'!$F$14))*'Burland damage classification'!AR389</f>
        <v>5.14474370972633E-3</v>
      </c>
      <c r="AO389" s="353">
        <f>(1+(((IF($S$5&lt;&gt;0,$S$5^2,IF($S$6&lt;&gt;0,$S$6^2,IF($S$7&lt;&gt;0,$S$7^2))))*$U$5)/(18*$S$15))*('IN-OUT'!$F$14^(-1)))*AS389</f>
        <v>8.4879850266831962E-4</v>
      </c>
      <c r="AP389" s="254">
        <f t="shared" si="223"/>
        <v>8.4879850266831962E-4</v>
      </c>
      <c r="AQ389" s="254">
        <f t="shared" si="239"/>
        <v>8.4879850266831966E-2</v>
      </c>
      <c r="AR389" s="254">
        <f t="shared" si="255"/>
        <v>5.8666666666666752E-4</v>
      </c>
      <c r="AS389" s="253">
        <f t="shared" si="269"/>
        <v>8.4301047838485782E-4</v>
      </c>
      <c r="AT389" s="253">
        <f t="shared" si="256"/>
        <v>4.1333333333333299E-4</v>
      </c>
      <c r="AU389" s="255">
        <f t="shared" si="240"/>
        <v>4.1333333333333298E-2</v>
      </c>
      <c r="AW389" s="258">
        <f>(((IF($S$5&lt;&gt;0,$S$5,IF($S$6&lt;&gt;0,$S$6,IF($S$7&lt;&gt;0,$S$7,0))))/(12*$S$19))+(((3*$S$15)/(2*(IF($S$5&lt;&gt;0,$S$5,IF($S$6&lt;&gt;0,$S$6,IF($S$7&lt;&gt;0,$S$7,0))))*$U$5*$S$19))*'IN-OUT'!$F$14))*'Burland damage classification'!BA389</f>
        <v>1.391419321494161E-2</v>
      </c>
      <c r="AX389" s="353">
        <f>(1+(((IF($S$5&lt;&gt;0,$S$5^2,IF($S$6&lt;&gt;0,$S$6^2,IF($S$7&lt;&gt;0,$S$7^2))))*$U$5)/(18*$S$15))*('IN-OUT'!$F$14^(-1)))*BB389</f>
        <v>1.8623844047166598E-3</v>
      </c>
      <c r="AY389" s="254">
        <f t="shared" si="225"/>
        <v>1.8623844047166598E-3</v>
      </c>
      <c r="AZ389" s="254">
        <f t="shared" si="241"/>
        <v>0.18623844047166599</v>
      </c>
      <c r="BA389" s="254">
        <f t="shared" si="257"/>
        <v>1.5866666666666627E-3</v>
      </c>
      <c r="BB389" s="270">
        <f t="shared" si="226"/>
        <v>1.8496846578088205E-3</v>
      </c>
      <c r="BC389" s="253">
        <f t="shared" si="258"/>
        <v>4.1333333333333299E-4</v>
      </c>
      <c r="BD389" s="255">
        <f t="shared" si="242"/>
        <v>4.1333333333333298E-2</v>
      </c>
      <c r="BI389" s="248"/>
      <c r="BO389" s="351" t="e">
        <f>((((IF($T$5=0,$T$6,$T$5)))/(12*$T$19))+(((3*$T$15)/(2*IF($T$5=0,$T$6,$T$5)*$U$5*$T$19))*'IN-OUT'!$F$14))*'Burland damage classification'!BS389</f>
        <v>#DIV/0!</v>
      </c>
      <c r="BP389" s="352">
        <f>(1+(((IF($T$5=0,$T$6^2,$T$5^2))*$U$5)/(18*$T$15))*('IN-OUT'!$F$14^(-1)))*BT389</f>
        <v>3.2455097185701582E-4</v>
      </c>
      <c r="BQ389" s="254" t="e">
        <f t="shared" si="229"/>
        <v>#DIV/0!</v>
      </c>
      <c r="BR389" s="254" t="e">
        <f t="shared" si="245"/>
        <v>#DIV/0!</v>
      </c>
      <c r="BS389" s="254">
        <f t="shared" si="261"/>
        <v>8.6666666666667264E-5</v>
      </c>
      <c r="BT389" s="253">
        <f t="shared" si="271"/>
        <v>3.2455097185701582E-4</v>
      </c>
      <c r="BU389" s="253">
        <f t="shared" si="262"/>
        <v>4.1333333333333299E-4</v>
      </c>
      <c r="BV389" s="255">
        <f t="shared" si="246"/>
        <v>4.1333333333333298E-2</v>
      </c>
      <c r="BX389" s="351" t="e">
        <f>((((IF($T$5=0,$T$6,$T$5)))/(12*$T$19))+(((3*$T$15)/(2*IF($T$5=0,$T$6,$T$5)*$U$5*$T$19))*'IN-OUT'!$F$14))*'Burland damage classification'!CB389</f>
        <v>#DIV/0!</v>
      </c>
      <c r="BY389" s="352">
        <f>(1+(((IF($T$5=0,$T$6^2,$T$5^2))*$U$5)/(18*$T$15))*('IN-OUT'!$F$14^(-1)))*CC389</f>
        <v>8.4301047838485782E-4</v>
      </c>
      <c r="BZ389" s="254" t="e">
        <f t="shared" si="231"/>
        <v>#DIV/0!</v>
      </c>
      <c r="CA389" s="254" t="e">
        <f t="shared" si="247"/>
        <v>#DIV/0!</v>
      </c>
      <c r="CB389" s="254">
        <f t="shared" si="263"/>
        <v>5.8666666666666752E-4</v>
      </c>
      <c r="CC389" s="253">
        <f t="shared" si="272"/>
        <v>8.4301047838485782E-4</v>
      </c>
      <c r="CD389" s="253">
        <f t="shared" si="264"/>
        <v>4.1333333333333299E-4</v>
      </c>
      <c r="CE389" s="255">
        <f t="shared" si="248"/>
        <v>4.1333333333333298E-2</v>
      </c>
      <c r="CG389" s="351" t="e">
        <f>((((IF($T$5=0,$T$6,$T$5)))/(12*$T$19))+(((3*$T$15)/(2*IF($T$5=0,$T$6,$T$5)*$U$5*$T$19))*'IN-OUT'!$F$14))*'Burland damage classification'!CK389</f>
        <v>#DIV/0!</v>
      </c>
      <c r="CH389" s="352">
        <f>(1+(((IF($T$5=0,$T$6^2,$T$5^2))*$U$5)/(18*$T$15))*('IN-OUT'!$F$14^(-1)))*CL389</f>
        <v>1.8496846578088205E-3</v>
      </c>
      <c r="CI389" s="254" t="e">
        <f t="shared" si="233"/>
        <v>#DIV/0!</v>
      </c>
      <c r="CJ389" s="254" t="e">
        <f t="shared" si="249"/>
        <v>#DIV/0!</v>
      </c>
      <c r="CK389" s="254">
        <f t="shared" si="265"/>
        <v>1.5866666666666627E-3</v>
      </c>
      <c r="CL389" s="270">
        <f t="shared" si="234"/>
        <v>1.8496846578088205E-3</v>
      </c>
      <c r="CM389" s="253">
        <f t="shared" si="266"/>
        <v>4.1333333333333299E-4</v>
      </c>
      <c r="CN389" s="255">
        <f t="shared" si="250"/>
        <v>4.1333333333333298E-2</v>
      </c>
    </row>
    <row r="390" spans="31:92">
      <c r="AE390" s="258">
        <f>(((IF($S$5&lt;&gt;0,$S$5,IF($S$6&lt;&gt;0,$S$6,IF($S$7&lt;&gt;0,$S$7,0))))/(12*$S$19))+(((3*$S$15)/(2*(IF($S$5&lt;&gt;0,$S$5,IF($S$6&lt;&gt;0,$S$6,IF($S$7&lt;&gt;0,$S$7,0))))*$U$5*$S$19))*'IN-OUT'!$F$14))*'Burland damage classification'!AI390</f>
        <v>7.0155596041723107E-4</v>
      </c>
      <c r="AF390" s="353">
        <f>(1+(((IF($S$5&lt;&gt;0,$S$5^2,IF($S$6&lt;&gt;0,$S$6^2,IF($S$7&lt;&gt;0,$S$7^2))))*$U$5)/(18*$S$15))*('IN-OUT'!$F$14^(-1)))*AJ390</f>
        <v>3.2313964557973248E-4</v>
      </c>
      <c r="AG390" s="254">
        <f t="shared" si="221"/>
        <v>3.2313964557973248E-4</v>
      </c>
      <c r="AH390" s="254">
        <f t="shared" si="237"/>
        <v>3.2313964557973245E-2</v>
      </c>
      <c r="AI390" s="254">
        <f t="shared" si="253"/>
        <v>8.0000000000000603E-5</v>
      </c>
      <c r="AJ390" s="253">
        <f t="shared" si="268"/>
        <v>3.2093613071762441E-4</v>
      </c>
      <c r="AK390" s="253">
        <f t="shared" si="254"/>
        <v>4.1999999999999964E-4</v>
      </c>
      <c r="AL390" s="255">
        <f t="shared" si="238"/>
        <v>4.1999999999999961E-2</v>
      </c>
      <c r="AN390" s="258">
        <f>(((IF($S$5&lt;&gt;0,$S$5,IF($S$6&lt;&gt;0,$S$6,IF($S$7&lt;&gt;0,$S$7,0))))/(12*$S$19))+(((3*$S$15)/(2*(IF($S$5&lt;&gt;0,$S$5,IF($S$6&lt;&gt;0,$S$6,IF($S$7&lt;&gt;0,$S$7,0))))*$U$5*$S$19))*'IN-OUT'!$F$14))*'Burland damage classification'!AR390</f>
        <v>5.0862807130248947E-3</v>
      </c>
      <c r="AO390" s="353">
        <f>(1+(((IF($S$5&lt;&gt;0,$S$5^2,IF($S$6&lt;&gt;0,$S$6^2,IF($S$7&lt;&gt;0,$S$7^2))))*$U$5)/(18*$S$15))*('IN-OUT'!$F$14^(-1)))*AS390</f>
        <v>8.4600705065487273E-4</v>
      </c>
      <c r="AP390" s="254">
        <f t="shared" si="223"/>
        <v>8.4600705065487273E-4</v>
      </c>
      <c r="AQ390" s="254">
        <f t="shared" si="239"/>
        <v>8.4600705065487267E-2</v>
      </c>
      <c r="AR390" s="254">
        <f t="shared" si="255"/>
        <v>5.8000000000000087E-4</v>
      </c>
      <c r="AS390" s="253">
        <f t="shared" si="269"/>
        <v>8.4023806150400034E-4</v>
      </c>
      <c r="AT390" s="253">
        <f t="shared" si="256"/>
        <v>4.1999999999999964E-4</v>
      </c>
      <c r="AU390" s="255">
        <f t="shared" si="240"/>
        <v>4.1999999999999961E-2</v>
      </c>
      <c r="AW390" s="258">
        <f>(((IF($S$5&lt;&gt;0,$S$5,IF($S$6&lt;&gt;0,$S$6,IF($S$7&lt;&gt;0,$S$7,0))))/(12*$S$19))+(((3*$S$15)/(2*(IF($S$5&lt;&gt;0,$S$5,IF($S$6&lt;&gt;0,$S$6,IF($S$7&lt;&gt;0,$S$7,0))))*$U$5*$S$19))*'IN-OUT'!$F$14))*'Burland damage classification'!BA390</f>
        <v>1.3855730218240173E-2</v>
      </c>
      <c r="AX390" s="353">
        <f>(1+(((IF($S$5&lt;&gt;0,$S$5^2,IF($S$6&lt;&gt;0,$S$6^2,IF($S$7&lt;&gt;0,$S$7^2))))*$U$5)/(18*$S$15))*('IN-OUT'!$F$14^(-1)))*BB390</f>
        <v>1.8598423949849562E-3</v>
      </c>
      <c r="AY390" s="254">
        <f t="shared" si="225"/>
        <v>1.8598423949849562E-3</v>
      </c>
      <c r="AZ390" s="254">
        <f t="shared" si="241"/>
        <v>0.18598423949849563</v>
      </c>
      <c r="BA390" s="254">
        <f t="shared" si="257"/>
        <v>1.5799999999999959E-3</v>
      </c>
      <c r="BB390" s="270">
        <f t="shared" si="226"/>
        <v>1.847159982243011E-3</v>
      </c>
      <c r="BC390" s="253">
        <f t="shared" si="258"/>
        <v>4.1999999999999964E-4</v>
      </c>
      <c r="BD390" s="255">
        <f t="shared" si="242"/>
        <v>4.1999999999999961E-2</v>
      </c>
      <c r="BI390" s="248"/>
      <c r="BO390" s="351" t="e">
        <f>((((IF($T$5=0,$T$6,$T$5)))/(12*$T$19))+(((3*$T$15)/(2*IF($T$5=0,$T$6,$T$5)*$U$5*$T$19))*'IN-OUT'!$F$14))*'Burland damage classification'!BS390</f>
        <v>#DIV/0!</v>
      </c>
      <c r="BP390" s="352">
        <f>(1+(((IF($T$5=0,$T$6^2,$T$5^2))*$U$5)/(18*$T$15))*('IN-OUT'!$F$14^(-1)))*BT390</f>
        <v>3.2093613071762441E-4</v>
      </c>
      <c r="BQ390" s="254" t="e">
        <f t="shared" si="229"/>
        <v>#DIV/0!</v>
      </c>
      <c r="BR390" s="254" t="e">
        <f t="shared" si="245"/>
        <v>#DIV/0!</v>
      </c>
      <c r="BS390" s="254">
        <f t="shared" si="261"/>
        <v>8.0000000000000603E-5</v>
      </c>
      <c r="BT390" s="253">
        <f t="shared" si="271"/>
        <v>3.2093613071762441E-4</v>
      </c>
      <c r="BU390" s="253">
        <f t="shared" si="262"/>
        <v>4.1999999999999964E-4</v>
      </c>
      <c r="BV390" s="255">
        <f t="shared" si="246"/>
        <v>4.1999999999999961E-2</v>
      </c>
      <c r="BX390" s="351" t="e">
        <f>((((IF($T$5=0,$T$6,$T$5)))/(12*$T$19))+(((3*$T$15)/(2*IF($T$5=0,$T$6,$T$5)*$U$5*$T$19))*'IN-OUT'!$F$14))*'Burland damage classification'!CB390</f>
        <v>#DIV/0!</v>
      </c>
      <c r="BY390" s="352">
        <f>(1+(((IF($T$5=0,$T$6^2,$T$5^2))*$U$5)/(18*$T$15))*('IN-OUT'!$F$14^(-1)))*CC390</f>
        <v>8.4023806150400034E-4</v>
      </c>
      <c r="BZ390" s="254" t="e">
        <f t="shared" si="231"/>
        <v>#DIV/0!</v>
      </c>
      <c r="CA390" s="254" t="e">
        <f t="shared" si="247"/>
        <v>#DIV/0!</v>
      </c>
      <c r="CB390" s="254">
        <f t="shared" si="263"/>
        <v>5.8000000000000087E-4</v>
      </c>
      <c r="CC390" s="253">
        <f t="shared" si="272"/>
        <v>8.4023806150400034E-4</v>
      </c>
      <c r="CD390" s="253">
        <f t="shared" si="264"/>
        <v>4.1999999999999964E-4</v>
      </c>
      <c r="CE390" s="255">
        <f t="shared" si="248"/>
        <v>4.1999999999999961E-2</v>
      </c>
      <c r="CG390" s="351" t="e">
        <f>((((IF($T$5=0,$T$6,$T$5)))/(12*$T$19))+(((3*$T$15)/(2*IF($T$5=0,$T$6,$T$5)*$U$5*$T$19))*'IN-OUT'!$F$14))*'Burland damage classification'!CK390</f>
        <v>#DIV/0!</v>
      </c>
      <c r="CH390" s="352">
        <f>(1+(((IF($T$5=0,$T$6^2,$T$5^2))*$U$5)/(18*$T$15))*('IN-OUT'!$F$14^(-1)))*CL390</f>
        <v>1.847159982243011E-3</v>
      </c>
      <c r="CI390" s="254" t="e">
        <f t="shared" si="233"/>
        <v>#DIV/0!</v>
      </c>
      <c r="CJ390" s="254" t="e">
        <f t="shared" si="249"/>
        <v>#DIV/0!</v>
      </c>
      <c r="CK390" s="254">
        <f t="shared" si="265"/>
        <v>1.5799999999999959E-3</v>
      </c>
      <c r="CL390" s="270">
        <f t="shared" si="234"/>
        <v>1.847159982243011E-3</v>
      </c>
      <c r="CM390" s="253">
        <f t="shared" si="266"/>
        <v>4.1999999999999964E-4</v>
      </c>
      <c r="CN390" s="255">
        <f t="shared" si="250"/>
        <v>4.1999999999999961E-2</v>
      </c>
    </row>
    <row r="391" spans="31:92">
      <c r="AE391" s="258">
        <f>(((IF($S$5&lt;&gt;0,$S$5,IF($S$6&lt;&gt;0,$S$6,IF($S$7&lt;&gt;0,$S$7,0))))/(12*$S$19))+(((3*$S$15)/(2*(IF($S$5&lt;&gt;0,$S$5,IF($S$6&lt;&gt;0,$S$6,IF($S$7&lt;&gt;0,$S$7,0))))*$U$5*$S$19))*'IN-OUT'!$F$14))*'Burland damage classification'!AI391</f>
        <v>6.4309296371579559E-4</v>
      </c>
      <c r="AF391" s="353">
        <f>(1+(((IF($S$5&lt;&gt;0,$S$5^2,IF($S$6&lt;&gt;0,$S$6^2,IF($S$7&lt;&gt;0,$S$7^2))))*$U$5)/(18*$S$15))*('IN-OUT'!$F$14^(-1)))*AJ391</f>
        <v>3.1945852055984149E-4</v>
      </c>
      <c r="AG391" s="254">
        <f t="shared" ref="AG391:AG402" si="273">MIN(AE391,AF391)</f>
        <v>3.1945852055984149E-4</v>
      </c>
      <c r="AH391" s="254">
        <f t="shared" si="237"/>
        <v>3.1945852055984152E-2</v>
      </c>
      <c r="AI391" s="254">
        <f t="shared" si="253"/>
        <v>7.3333333333333941E-5</v>
      </c>
      <c r="AJ391" s="253">
        <f t="shared" ref="AJ391:AJ402" si="274">($P$26^2-(2*0.35*$P$26*AK391))^0.5</f>
        <v>3.1728010758108805E-4</v>
      </c>
      <c r="AK391" s="253">
        <f t="shared" si="254"/>
        <v>4.2666666666666629E-4</v>
      </c>
      <c r="AL391" s="255">
        <f t="shared" si="238"/>
        <v>4.2666666666666631E-2</v>
      </c>
      <c r="AN391" s="258">
        <f>(((IF($S$5&lt;&gt;0,$S$5,IF($S$6&lt;&gt;0,$S$6,IF($S$7&lt;&gt;0,$S$7,0))))/(12*$S$19))+(((3*$S$15)/(2*(IF($S$5&lt;&gt;0,$S$5,IF($S$6&lt;&gt;0,$S$6,IF($S$7&lt;&gt;0,$S$7,0))))*$U$5*$S$19))*'IN-OUT'!$F$14))*'Burland damage classification'!AR391</f>
        <v>5.0278177163234593E-3</v>
      </c>
      <c r="AO391" s="353">
        <f>(1+(((IF($S$5&lt;&gt;0,$S$5^2,IF($S$6&lt;&gt;0,$S$6^2,IF($S$7&lt;&gt;0,$S$7^2))))*$U$5)/(18*$S$15))*('IN-OUT'!$F$14^(-1)))*AS391</f>
        <v>8.4320635753268097E-4</v>
      </c>
      <c r="AP391" s="254">
        <f t="shared" ref="AP391:AP454" si="275">MIN(AN391,AO391)</f>
        <v>8.4320635753268097E-4</v>
      </c>
      <c r="AQ391" s="254">
        <f t="shared" si="239"/>
        <v>8.4320635753268092E-2</v>
      </c>
      <c r="AR391" s="254">
        <f t="shared" si="255"/>
        <v>5.7333333333333422E-4</v>
      </c>
      <c r="AS391" s="253">
        <f t="shared" ref="AS391:AS422" si="276">($P$27^2-(2*0.35*$P$27*AT391))^0.5</f>
        <v>8.3745646653025105E-4</v>
      </c>
      <c r="AT391" s="253">
        <f t="shared" si="256"/>
        <v>4.2666666666666629E-4</v>
      </c>
      <c r="AU391" s="255">
        <f t="shared" si="240"/>
        <v>4.2666666666666631E-2</v>
      </c>
      <c r="AW391" s="258">
        <f>(((IF($S$5&lt;&gt;0,$S$5,IF($S$6&lt;&gt;0,$S$6,IF($S$7&lt;&gt;0,$S$7,0))))/(12*$S$19))+(((3*$S$15)/(2*(IF($S$5&lt;&gt;0,$S$5,IF($S$6&lt;&gt;0,$S$6,IF($S$7&lt;&gt;0,$S$7,0))))*$U$5*$S$19))*'IN-OUT'!$F$14))*'Burland damage classification'!BA391</f>
        <v>1.3797267221538735E-2</v>
      </c>
      <c r="AX391" s="353">
        <f>(1+(((IF($S$5&lt;&gt;0,$S$5^2,IF($S$6&lt;&gt;0,$S$6^2,IF($S$7&lt;&gt;0,$S$7^2))))*$U$5)/(18*$S$15))*('IN-OUT'!$F$14^(-1)))*BB391</f>
        <v>1.8572969061070789E-3</v>
      </c>
      <c r="AY391" s="254">
        <f t="shared" ref="AY391:AY454" si="277">MIN(AW391,AX391)</f>
        <v>1.8572969061070789E-3</v>
      </c>
      <c r="AZ391" s="254">
        <f t="shared" si="241"/>
        <v>0.1857296906107079</v>
      </c>
      <c r="BA391" s="254">
        <f t="shared" si="257"/>
        <v>1.5733333333333291E-3</v>
      </c>
      <c r="BB391" s="270">
        <f t="shared" ref="BB391:BB454" si="278">($P$28^2-(2*0.35*$P$28*BC391))^0.5</f>
        <v>1.8446318512556014E-3</v>
      </c>
      <c r="BC391" s="253">
        <f t="shared" si="258"/>
        <v>4.2666666666666629E-4</v>
      </c>
      <c r="BD391" s="255">
        <f t="shared" si="242"/>
        <v>4.2666666666666631E-2</v>
      </c>
      <c r="BI391" s="248"/>
      <c r="BO391" s="351" t="e">
        <f>((((IF($T$5=0,$T$6,$T$5)))/(12*$T$19))+(((3*$T$15)/(2*IF($T$5=0,$T$6,$T$5)*$U$5*$T$19))*'IN-OUT'!$F$14))*'Burland damage classification'!BS391</f>
        <v>#DIV/0!</v>
      </c>
      <c r="BP391" s="352">
        <f>(1+(((IF($T$5=0,$T$6^2,$T$5^2))*$U$5)/(18*$T$15))*('IN-OUT'!$F$14^(-1)))*BT391</f>
        <v>3.1728010758108805E-4</v>
      </c>
      <c r="BQ391" s="254" t="e">
        <f t="shared" ref="BQ391:BQ402" si="279">MIN(BO391,BP391)</f>
        <v>#DIV/0!</v>
      </c>
      <c r="BR391" s="254" t="e">
        <f t="shared" si="245"/>
        <v>#DIV/0!</v>
      </c>
      <c r="BS391" s="254">
        <f t="shared" si="261"/>
        <v>7.3333333333333941E-5</v>
      </c>
      <c r="BT391" s="253">
        <f t="shared" ref="BT391:BT402" si="280">($P$26^2-(2*0.35*$P$26*BU391))^0.5</f>
        <v>3.1728010758108805E-4</v>
      </c>
      <c r="BU391" s="253">
        <f t="shared" si="262"/>
        <v>4.2666666666666629E-4</v>
      </c>
      <c r="BV391" s="255">
        <f t="shared" si="246"/>
        <v>4.2666666666666631E-2</v>
      </c>
      <c r="BX391" s="351" t="e">
        <f>((((IF($T$5=0,$T$6,$T$5)))/(12*$T$19))+(((3*$T$15)/(2*IF($T$5=0,$T$6,$T$5)*$U$5*$T$19))*'IN-OUT'!$F$14))*'Burland damage classification'!CB391</f>
        <v>#DIV/0!</v>
      </c>
      <c r="BY391" s="352">
        <f>(1+(((IF($T$5=0,$T$6^2,$T$5^2))*$U$5)/(18*$T$15))*('IN-OUT'!$F$14^(-1)))*CC391</f>
        <v>8.3745646653025105E-4</v>
      </c>
      <c r="BZ391" s="254" t="e">
        <f t="shared" ref="BZ391:BZ454" si="281">MIN(BX391,BY391)</f>
        <v>#DIV/0!</v>
      </c>
      <c r="CA391" s="254" t="e">
        <f t="shared" si="247"/>
        <v>#DIV/0!</v>
      </c>
      <c r="CB391" s="254">
        <f t="shared" si="263"/>
        <v>5.7333333333333422E-4</v>
      </c>
      <c r="CC391" s="253">
        <f t="shared" ref="CC391:CC422" si="282">($P$27^2-(2*0.35*$P$27*CD391))^0.5</f>
        <v>8.3745646653025105E-4</v>
      </c>
      <c r="CD391" s="253">
        <f t="shared" si="264"/>
        <v>4.2666666666666629E-4</v>
      </c>
      <c r="CE391" s="255">
        <f t="shared" si="248"/>
        <v>4.2666666666666631E-2</v>
      </c>
      <c r="CG391" s="351" t="e">
        <f>((((IF($T$5=0,$T$6,$T$5)))/(12*$T$19))+(((3*$T$15)/(2*IF($T$5=0,$T$6,$T$5)*$U$5*$T$19))*'IN-OUT'!$F$14))*'Burland damage classification'!CK391</f>
        <v>#DIV/0!</v>
      </c>
      <c r="CH391" s="352">
        <f>(1+(((IF($T$5=0,$T$6^2,$T$5^2))*$U$5)/(18*$T$15))*('IN-OUT'!$F$14^(-1)))*CL391</f>
        <v>1.8446318512556014E-3</v>
      </c>
      <c r="CI391" s="254" t="e">
        <f t="shared" ref="CI391:CI454" si="283">MIN(CG391,CH391)</f>
        <v>#DIV/0!</v>
      </c>
      <c r="CJ391" s="254" t="e">
        <f t="shared" si="249"/>
        <v>#DIV/0!</v>
      </c>
      <c r="CK391" s="254">
        <f t="shared" si="265"/>
        <v>1.5733333333333291E-3</v>
      </c>
      <c r="CL391" s="270">
        <f t="shared" ref="CL391:CL454" si="284">($P$28^2-(2*0.35*$P$28*CM391))^0.5</f>
        <v>1.8446318512556014E-3</v>
      </c>
      <c r="CM391" s="253">
        <f t="shared" si="266"/>
        <v>4.2666666666666629E-4</v>
      </c>
      <c r="CN391" s="255">
        <f t="shared" si="250"/>
        <v>4.2666666666666631E-2</v>
      </c>
    </row>
    <row r="392" spans="31:92">
      <c r="AE392" s="258">
        <f>(((IF($S$5&lt;&gt;0,$S$5,IF($S$6&lt;&gt;0,$S$6,IF($S$7&lt;&gt;0,$S$7,0))))/(12*$S$19))+(((3*$S$15)/(2*(IF($S$5&lt;&gt;0,$S$5,IF($S$6&lt;&gt;0,$S$6,IF($S$7&lt;&gt;0,$S$7,0))))*$U$5*$S$19))*'IN-OUT'!$F$14))*'Burland damage classification'!AI392</f>
        <v>5.8462996701436022E-4</v>
      </c>
      <c r="AF392" s="353">
        <f>(1+(((IF($S$5&lt;&gt;0,$S$5^2,IF($S$6&lt;&gt;0,$S$6^2,IF($S$7&lt;&gt;0,$S$7^2))))*$U$5)/(18*$S$15))*('IN-OUT'!$F$14^(-1)))*AJ392</f>
        <v>3.1573448049139344E-4</v>
      </c>
      <c r="AG392" s="254">
        <f t="shared" si="273"/>
        <v>3.1573448049139344E-4</v>
      </c>
      <c r="AH392" s="254">
        <f t="shared" ref="AH392:AH402" si="285">AG392*100</f>
        <v>3.1573448049139342E-2</v>
      </c>
      <c r="AI392" s="254">
        <f t="shared" si="253"/>
        <v>6.666666666666728E-5</v>
      </c>
      <c r="AJ392" s="253">
        <f t="shared" si="274"/>
        <v>3.1358146203711316E-4</v>
      </c>
      <c r="AK392" s="253">
        <f t="shared" si="254"/>
        <v>4.3333333333333293E-4</v>
      </c>
      <c r="AL392" s="255">
        <f t="shared" ref="AL392:AL402" si="286">AK392*100</f>
        <v>4.3333333333333293E-2</v>
      </c>
      <c r="AN392" s="258">
        <f>(((IF($S$5&lt;&gt;0,$S$5,IF($S$6&lt;&gt;0,$S$6,IF($S$7&lt;&gt;0,$S$7,0))))/(12*$S$19))+(((3*$S$15)/(2*(IF($S$5&lt;&gt;0,$S$5,IF($S$6&lt;&gt;0,$S$6,IF($S$7&lt;&gt;0,$S$7,0))))*$U$5*$S$19))*'IN-OUT'!$F$14))*'Burland damage classification'!AR392</f>
        <v>4.9693547196220239E-3</v>
      </c>
      <c r="AO392" s="353">
        <f>(1+(((IF($S$5&lt;&gt;0,$S$5^2,IF($S$6&lt;&gt;0,$S$6^2,IF($S$7&lt;&gt;0,$S$7^2))))*$U$5)/(18*$S$15))*('IN-OUT'!$F$14^(-1)))*AS392</f>
        <v>8.4039633091137792E-4</v>
      </c>
      <c r="AP392" s="254">
        <f t="shared" si="275"/>
        <v>8.4039633091137792E-4</v>
      </c>
      <c r="AQ392" s="254">
        <f t="shared" ref="AQ392:AQ455" si="287">AP392*100</f>
        <v>8.4039633091137794E-2</v>
      </c>
      <c r="AR392" s="254">
        <f t="shared" si="255"/>
        <v>5.6666666666666757E-4</v>
      </c>
      <c r="AS392" s="253">
        <f t="shared" si="276"/>
        <v>8.3466560170326106E-4</v>
      </c>
      <c r="AT392" s="253">
        <f t="shared" si="256"/>
        <v>4.3333333333333293E-4</v>
      </c>
      <c r="AU392" s="255">
        <f t="shared" ref="AU392:AU455" si="288">AT392*100</f>
        <v>4.3333333333333293E-2</v>
      </c>
      <c r="AW392" s="258">
        <f>(((IF($S$5&lt;&gt;0,$S$5,IF($S$6&lt;&gt;0,$S$6,IF($S$7&lt;&gt;0,$S$7,0))))/(12*$S$19))+(((3*$S$15)/(2*(IF($S$5&lt;&gt;0,$S$5,IF($S$6&lt;&gt;0,$S$6,IF($S$7&lt;&gt;0,$S$7,0))))*$U$5*$S$19))*'IN-OUT'!$F$14))*'Burland damage classification'!BA392</f>
        <v>1.37388042248373E-2</v>
      </c>
      <c r="AX392" s="353">
        <f>(1+(((IF($S$5&lt;&gt;0,$S$5^2,IF($S$6&lt;&gt;0,$S$6^2,IF($S$7&lt;&gt;0,$S$7^2))))*$U$5)/(18*$S$15))*('IN-OUT'!$F$14^(-1)))*BB392</f>
        <v>1.8547479237585028E-3</v>
      </c>
      <c r="AY392" s="254">
        <f t="shared" si="277"/>
        <v>1.8547479237585028E-3</v>
      </c>
      <c r="AZ392" s="254">
        <f t="shared" ref="AZ392:AZ455" si="289">AY392*100</f>
        <v>0.18547479237585027</v>
      </c>
      <c r="BA392" s="254">
        <f t="shared" si="257"/>
        <v>1.5666666666666624E-3</v>
      </c>
      <c r="BB392" s="270">
        <f t="shared" si="278"/>
        <v>1.8421002506197467E-3</v>
      </c>
      <c r="BC392" s="253">
        <f t="shared" si="258"/>
        <v>4.3333333333333293E-4</v>
      </c>
      <c r="BD392" s="255">
        <f t="shared" ref="BD392:BD455" si="290">BC392*100</f>
        <v>4.3333333333333293E-2</v>
      </c>
      <c r="BI392" s="248"/>
      <c r="BO392" s="351" t="e">
        <f>((((IF($T$5=0,$T$6,$T$5)))/(12*$T$19))+(((3*$T$15)/(2*IF($T$5=0,$T$6,$T$5)*$U$5*$T$19))*'IN-OUT'!$F$14))*'Burland damage classification'!BS392</f>
        <v>#DIV/0!</v>
      </c>
      <c r="BP392" s="352">
        <f>(1+(((IF($T$5=0,$T$6^2,$T$5^2))*$U$5)/(18*$T$15))*('IN-OUT'!$F$14^(-1)))*BT392</f>
        <v>3.1358146203711316E-4</v>
      </c>
      <c r="BQ392" s="254" t="e">
        <f t="shared" si="279"/>
        <v>#DIV/0!</v>
      </c>
      <c r="BR392" s="254" t="e">
        <f t="shared" ref="BR392:BR402" si="291">BQ392*100</f>
        <v>#DIV/0!</v>
      </c>
      <c r="BS392" s="254">
        <f t="shared" si="261"/>
        <v>6.666666666666728E-5</v>
      </c>
      <c r="BT392" s="253">
        <f t="shared" si="280"/>
        <v>3.1358146203711316E-4</v>
      </c>
      <c r="BU392" s="253">
        <f t="shared" si="262"/>
        <v>4.3333333333333293E-4</v>
      </c>
      <c r="BV392" s="255">
        <f t="shared" ref="BV392:BV402" si="292">BU392*100</f>
        <v>4.3333333333333293E-2</v>
      </c>
      <c r="BX392" s="351" t="e">
        <f>((((IF($T$5=0,$T$6,$T$5)))/(12*$T$19))+(((3*$T$15)/(2*IF($T$5=0,$T$6,$T$5)*$U$5*$T$19))*'IN-OUT'!$F$14))*'Burland damage classification'!CB392</f>
        <v>#DIV/0!</v>
      </c>
      <c r="BY392" s="352">
        <f>(1+(((IF($T$5=0,$T$6^2,$T$5^2))*$U$5)/(18*$T$15))*('IN-OUT'!$F$14^(-1)))*CC392</f>
        <v>8.3466560170326106E-4</v>
      </c>
      <c r="BZ392" s="254" t="e">
        <f t="shared" si="281"/>
        <v>#DIV/0!</v>
      </c>
      <c r="CA392" s="254" t="e">
        <f t="shared" ref="CA392:CA455" si="293">BZ392*100</f>
        <v>#DIV/0!</v>
      </c>
      <c r="CB392" s="254">
        <f t="shared" si="263"/>
        <v>5.6666666666666757E-4</v>
      </c>
      <c r="CC392" s="253">
        <f t="shared" si="282"/>
        <v>8.3466560170326106E-4</v>
      </c>
      <c r="CD392" s="253">
        <f t="shared" si="264"/>
        <v>4.3333333333333293E-4</v>
      </c>
      <c r="CE392" s="255">
        <f t="shared" ref="CE392:CE455" si="294">CD392*100</f>
        <v>4.3333333333333293E-2</v>
      </c>
      <c r="CG392" s="351" t="e">
        <f>((((IF($T$5=0,$T$6,$T$5)))/(12*$T$19))+(((3*$T$15)/(2*IF($T$5=0,$T$6,$T$5)*$U$5*$T$19))*'IN-OUT'!$F$14))*'Burland damage classification'!CK392</f>
        <v>#DIV/0!</v>
      </c>
      <c r="CH392" s="352">
        <f>(1+(((IF($T$5=0,$T$6^2,$T$5^2))*$U$5)/(18*$T$15))*('IN-OUT'!$F$14^(-1)))*CL392</f>
        <v>1.8421002506197467E-3</v>
      </c>
      <c r="CI392" s="254" t="e">
        <f t="shared" si="283"/>
        <v>#DIV/0!</v>
      </c>
      <c r="CJ392" s="254" t="e">
        <f t="shared" ref="CJ392:CJ455" si="295">CI392*100</f>
        <v>#DIV/0!</v>
      </c>
      <c r="CK392" s="254">
        <f t="shared" si="265"/>
        <v>1.5666666666666624E-3</v>
      </c>
      <c r="CL392" s="270">
        <f t="shared" si="284"/>
        <v>1.8421002506197467E-3</v>
      </c>
      <c r="CM392" s="253">
        <f t="shared" si="266"/>
        <v>4.3333333333333293E-4</v>
      </c>
      <c r="CN392" s="255">
        <f t="shared" ref="CN392:CN455" si="296">CM392*100</f>
        <v>4.3333333333333293E-2</v>
      </c>
    </row>
    <row r="393" spans="31:92">
      <c r="AE393" s="258">
        <f>(((IF($S$5&lt;&gt;0,$S$5,IF($S$6&lt;&gt;0,$S$6,IF($S$7&lt;&gt;0,$S$7,0))))/(12*$S$19))+(((3*$S$15)/(2*(IF($S$5&lt;&gt;0,$S$5,IF($S$6&lt;&gt;0,$S$6,IF($S$7&lt;&gt;0,$S$7,0))))*$U$5*$S$19))*'IN-OUT'!$F$14))*'Burland damage classification'!AI393</f>
        <v>5.2616697031292463E-4</v>
      </c>
      <c r="AF393" s="353">
        <f>(1+(((IF($S$5&lt;&gt;0,$S$5^2,IF($S$6&lt;&gt;0,$S$6^2,IF($S$7&lt;&gt;0,$S$7^2))))*$U$5)/(18*$S$15))*('IN-OUT'!$F$14^(-1)))*AJ393</f>
        <v>3.1196598850524981E-4</v>
      </c>
      <c r="AG393" s="254">
        <f t="shared" si="273"/>
        <v>3.1196598850524981E-4</v>
      </c>
      <c r="AH393" s="254">
        <f t="shared" si="285"/>
        <v>3.1196598850524979E-2</v>
      </c>
      <c r="AI393" s="254">
        <f t="shared" ref="AI393:AI402" si="297">AI392-($P$26/75)</f>
        <v>6.0000000000000611E-5</v>
      </c>
      <c r="AJ393" s="253">
        <f t="shared" si="274"/>
        <v>3.098386676965936E-4</v>
      </c>
      <c r="AK393" s="253">
        <f t="shared" ref="AK393:AK402" si="298">AK392+($P$26/75)</f>
        <v>4.3999999999999958E-4</v>
      </c>
      <c r="AL393" s="255">
        <f t="shared" si="286"/>
        <v>4.3999999999999956E-2</v>
      </c>
      <c r="AN393" s="258">
        <f>(((IF($S$5&lt;&gt;0,$S$5,IF($S$6&lt;&gt;0,$S$6,IF($S$7&lt;&gt;0,$S$7,0))))/(12*$S$19))+(((3*$S$15)/(2*(IF($S$5&lt;&gt;0,$S$5,IF($S$6&lt;&gt;0,$S$6,IF($S$7&lt;&gt;0,$S$7,0))))*$U$5*$S$19))*'IN-OUT'!$F$14))*'Burland damage classification'!AR393</f>
        <v>4.9108917229205885E-3</v>
      </c>
      <c r="AO393" s="353">
        <f>(1+(((IF($S$5&lt;&gt;0,$S$5^2,IF($S$6&lt;&gt;0,$S$6^2,IF($S$7&lt;&gt;0,$S$7^2))))*$U$5)/(18*$S$15))*('IN-OUT'!$F$14^(-1)))*AS393</f>
        <v>8.3757687685076488E-4</v>
      </c>
      <c r="AP393" s="254">
        <f t="shared" si="275"/>
        <v>8.3757687685076488E-4</v>
      </c>
      <c r="AQ393" s="254">
        <f t="shared" si="287"/>
        <v>8.3757687685076493E-2</v>
      </c>
      <c r="AR393" s="254">
        <f t="shared" ref="AR393:AR456" si="299">AR392-($P$27/150)</f>
        <v>5.6000000000000093E-4</v>
      </c>
      <c r="AS393" s="253">
        <f t="shared" si="276"/>
        <v>8.3186537372341701E-4</v>
      </c>
      <c r="AT393" s="253">
        <f t="shared" ref="AT393:AT456" si="300">AT392+($P$27/150)</f>
        <v>4.3999999999999958E-4</v>
      </c>
      <c r="AU393" s="255">
        <f t="shared" si="288"/>
        <v>4.3999999999999956E-2</v>
      </c>
      <c r="AW393" s="258">
        <f>(((IF($S$5&lt;&gt;0,$S$5,IF($S$6&lt;&gt;0,$S$6,IF($S$7&lt;&gt;0,$S$7,0))))/(12*$S$19))+(((3*$S$15)/(2*(IF($S$5&lt;&gt;0,$S$5,IF($S$6&lt;&gt;0,$S$6,IF($S$7&lt;&gt;0,$S$7,0))))*$U$5*$S$19))*'IN-OUT'!$F$14))*'Burland damage classification'!BA393</f>
        <v>1.3680341228135863E-2</v>
      </c>
      <c r="AX393" s="353">
        <f>(1+(((IF($S$5&lt;&gt;0,$S$5^2,IF($S$6&lt;&gt;0,$S$6^2,IF($S$7&lt;&gt;0,$S$7^2))))*$U$5)/(18*$S$15))*('IN-OUT'!$F$14^(-1)))*BB393</f>
        <v>1.852195433516136E-3</v>
      </c>
      <c r="AY393" s="254">
        <f t="shared" si="277"/>
        <v>1.852195433516136E-3</v>
      </c>
      <c r="AZ393" s="254">
        <f t="shared" si="289"/>
        <v>0.18521954335161361</v>
      </c>
      <c r="BA393" s="254">
        <f t="shared" ref="BA393:BA456" si="301">BA392-($P$28/300)</f>
        <v>1.5599999999999956E-3</v>
      </c>
      <c r="BB393" s="270">
        <f t="shared" si="278"/>
        <v>1.8395651660107072E-3</v>
      </c>
      <c r="BC393" s="253">
        <f t="shared" ref="BC393:BC456" si="302">BC392+($P$28/300)</f>
        <v>4.3999999999999958E-4</v>
      </c>
      <c r="BD393" s="255">
        <f t="shared" si="290"/>
        <v>4.3999999999999956E-2</v>
      </c>
      <c r="BI393" s="248"/>
      <c r="BO393" s="351" t="e">
        <f>((((IF($T$5=0,$T$6,$T$5)))/(12*$T$19))+(((3*$T$15)/(2*IF($T$5=0,$T$6,$T$5)*$U$5*$T$19))*'IN-OUT'!$F$14))*'Burland damage classification'!BS393</f>
        <v>#DIV/0!</v>
      </c>
      <c r="BP393" s="352">
        <f>(1+(((IF($T$5=0,$T$6^2,$T$5^2))*$U$5)/(18*$T$15))*('IN-OUT'!$F$14^(-1)))*BT393</f>
        <v>3.098386676965936E-4</v>
      </c>
      <c r="BQ393" s="254" t="e">
        <f t="shared" si="279"/>
        <v>#DIV/0!</v>
      </c>
      <c r="BR393" s="254" t="e">
        <f t="shared" si="291"/>
        <v>#DIV/0!</v>
      </c>
      <c r="BS393" s="254">
        <f t="shared" ref="BS393:BS402" si="303">BS392-($P$26/75)</f>
        <v>6.0000000000000611E-5</v>
      </c>
      <c r="BT393" s="253">
        <f t="shared" si="280"/>
        <v>3.098386676965936E-4</v>
      </c>
      <c r="BU393" s="253">
        <f t="shared" ref="BU393:BU402" si="304">BU392+($P$26/75)</f>
        <v>4.3999999999999958E-4</v>
      </c>
      <c r="BV393" s="255">
        <f t="shared" si="292"/>
        <v>4.3999999999999956E-2</v>
      </c>
      <c r="BX393" s="351" t="e">
        <f>((((IF($T$5=0,$T$6,$T$5)))/(12*$T$19))+(((3*$T$15)/(2*IF($T$5=0,$T$6,$T$5)*$U$5*$T$19))*'IN-OUT'!$F$14))*'Burland damage classification'!CB393</f>
        <v>#DIV/0!</v>
      </c>
      <c r="BY393" s="352">
        <f>(1+(((IF($T$5=0,$T$6^2,$T$5^2))*$U$5)/(18*$T$15))*('IN-OUT'!$F$14^(-1)))*CC393</f>
        <v>8.3186537372341701E-4</v>
      </c>
      <c r="BZ393" s="254" t="e">
        <f t="shared" si="281"/>
        <v>#DIV/0!</v>
      </c>
      <c r="CA393" s="254" t="e">
        <f t="shared" si="293"/>
        <v>#DIV/0!</v>
      </c>
      <c r="CB393" s="254">
        <f t="shared" ref="CB393:CB456" si="305">CB392-($P$27/150)</f>
        <v>5.6000000000000093E-4</v>
      </c>
      <c r="CC393" s="253">
        <f t="shared" si="282"/>
        <v>8.3186537372341701E-4</v>
      </c>
      <c r="CD393" s="253">
        <f t="shared" ref="CD393:CD456" si="306">CD392+($P$27/150)</f>
        <v>4.3999999999999958E-4</v>
      </c>
      <c r="CE393" s="255">
        <f t="shared" si="294"/>
        <v>4.3999999999999956E-2</v>
      </c>
      <c r="CG393" s="351" t="e">
        <f>((((IF($T$5=0,$T$6,$T$5)))/(12*$T$19))+(((3*$T$15)/(2*IF($T$5=0,$T$6,$T$5)*$U$5*$T$19))*'IN-OUT'!$F$14))*'Burland damage classification'!CK393</f>
        <v>#DIV/0!</v>
      </c>
      <c r="CH393" s="352">
        <f>(1+(((IF($T$5=0,$T$6^2,$T$5^2))*$U$5)/(18*$T$15))*('IN-OUT'!$F$14^(-1)))*CL393</f>
        <v>1.8395651660107072E-3</v>
      </c>
      <c r="CI393" s="254" t="e">
        <f t="shared" si="283"/>
        <v>#DIV/0!</v>
      </c>
      <c r="CJ393" s="254" t="e">
        <f t="shared" si="295"/>
        <v>#DIV/0!</v>
      </c>
      <c r="CK393" s="254">
        <f t="shared" ref="CK393:CK456" si="307">CK392-($P$28/300)</f>
        <v>1.5599999999999956E-3</v>
      </c>
      <c r="CL393" s="270">
        <f t="shared" si="284"/>
        <v>1.8395651660107072E-3</v>
      </c>
      <c r="CM393" s="253">
        <f t="shared" ref="CM393:CM456" si="308">CM392+($P$28/300)</f>
        <v>4.3999999999999958E-4</v>
      </c>
      <c r="CN393" s="255">
        <f t="shared" si="296"/>
        <v>4.3999999999999956E-2</v>
      </c>
    </row>
    <row r="394" spans="31:92">
      <c r="AE394" s="258">
        <f>(((IF($S$5&lt;&gt;0,$S$5,IF($S$6&lt;&gt;0,$S$6,IF($S$7&lt;&gt;0,$S$7,0))))/(12*$S$19))+(((3*$S$15)/(2*(IF($S$5&lt;&gt;0,$S$5,IF($S$6&lt;&gt;0,$S$6,IF($S$7&lt;&gt;0,$S$7,0))))*$U$5*$S$19))*'IN-OUT'!$F$14))*'Burland damage classification'!AI394</f>
        <v>4.677039736114892E-4</v>
      </c>
      <c r="AF394" s="353">
        <f>(1+(((IF($S$5&lt;&gt;0,$S$5^2,IF($S$6&lt;&gt;0,$S$6^2,IF($S$7&lt;&gt;0,$S$7^2))))*$U$5)/(18*$S$15))*('IN-OUT'!$F$14^(-1)))*AJ394</f>
        <v>3.0815141375133283E-4</v>
      </c>
      <c r="AG394" s="254">
        <f t="shared" si="273"/>
        <v>3.0815141375133283E-4</v>
      </c>
      <c r="AH394" s="254">
        <f t="shared" si="285"/>
        <v>3.0815141375133283E-2</v>
      </c>
      <c r="AI394" s="254">
        <f t="shared" si="297"/>
        <v>5.3333333333333943E-5</v>
      </c>
      <c r="AJ394" s="253">
        <f t="shared" si="274"/>
        <v>3.0605010483034768E-4</v>
      </c>
      <c r="AK394" s="253">
        <f t="shared" si="298"/>
        <v>4.4666666666666623E-4</v>
      </c>
      <c r="AL394" s="255">
        <f t="shared" si="286"/>
        <v>4.4666666666666625E-2</v>
      </c>
      <c r="AN394" s="258">
        <f>(((IF($S$5&lt;&gt;0,$S$5,IF($S$6&lt;&gt;0,$S$6,IF($S$7&lt;&gt;0,$S$7,0))))/(12*$S$19))+(((3*$S$15)/(2*(IF($S$5&lt;&gt;0,$S$5,IF($S$6&lt;&gt;0,$S$6,IF($S$7&lt;&gt;0,$S$7,0))))*$U$5*$S$19))*'IN-OUT'!$F$14))*'Burland damage classification'!AR394</f>
        <v>4.8524287262191532E-3</v>
      </c>
      <c r="AO394" s="353">
        <f>(1+(((IF($S$5&lt;&gt;0,$S$5^2,IF($S$6&lt;&gt;0,$S$6^2,IF($S$7&lt;&gt;0,$S$7^2))))*$U$5)/(18*$S$15))*('IN-OUT'!$F$14^(-1)))*AS394</f>
        <v>8.3474789982416629E-4</v>
      </c>
      <c r="AP394" s="254">
        <f t="shared" si="275"/>
        <v>8.3474789982416629E-4</v>
      </c>
      <c r="AQ394" s="254">
        <f t="shared" si="287"/>
        <v>8.3474789982416628E-2</v>
      </c>
      <c r="AR394" s="254">
        <f t="shared" si="299"/>
        <v>5.5333333333333428E-4</v>
      </c>
      <c r="AS394" s="253">
        <f t="shared" si="276"/>
        <v>8.2905568771544751E-4</v>
      </c>
      <c r="AT394" s="253">
        <f t="shared" si="300"/>
        <v>4.4666666666666623E-4</v>
      </c>
      <c r="AU394" s="255">
        <f t="shared" si="288"/>
        <v>4.4666666666666625E-2</v>
      </c>
      <c r="AW394" s="258">
        <f>(((IF($S$5&lt;&gt;0,$S$5,IF($S$6&lt;&gt;0,$S$6,IF($S$7&lt;&gt;0,$S$7,0))))/(12*$S$19))+(((3*$S$15)/(2*(IF($S$5&lt;&gt;0,$S$5,IF($S$6&lt;&gt;0,$S$6,IF($S$7&lt;&gt;0,$S$7,0))))*$U$5*$S$19))*'IN-OUT'!$F$14))*'Burland damage classification'!BA394</f>
        <v>1.3621878231434428E-2</v>
      </c>
      <c r="AX394" s="353">
        <f>(1+(((IF($S$5&lt;&gt;0,$S$5^2,IF($S$6&lt;&gt;0,$S$6^2,IF($S$7&lt;&gt;0,$S$7^2))))*$U$5)/(18*$S$15))*('IN-OUT'!$F$14^(-1)))*BB394</f>
        <v>1.8496394208573673E-3</v>
      </c>
      <c r="AY394" s="254">
        <f t="shared" si="277"/>
        <v>1.8496394208573673E-3</v>
      </c>
      <c r="AZ394" s="254">
        <f t="shared" si="289"/>
        <v>0.18496394208573674</v>
      </c>
      <c r="BA394" s="254">
        <f t="shared" si="301"/>
        <v>1.5533333333333289E-3</v>
      </c>
      <c r="BB394" s="270">
        <f t="shared" si="278"/>
        <v>1.8370265830049022E-3</v>
      </c>
      <c r="BC394" s="253">
        <f t="shared" si="302"/>
        <v>4.4666666666666623E-4</v>
      </c>
      <c r="BD394" s="255">
        <f t="shared" si="290"/>
        <v>4.4666666666666625E-2</v>
      </c>
      <c r="BI394" s="248"/>
      <c r="BO394" s="351" t="e">
        <f>((((IF($T$5=0,$T$6,$T$5)))/(12*$T$19))+(((3*$T$15)/(2*IF($T$5=0,$T$6,$T$5)*$U$5*$T$19))*'IN-OUT'!$F$14))*'Burland damage classification'!BS394</f>
        <v>#DIV/0!</v>
      </c>
      <c r="BP394" s="352">
        <f>(1+(((IF($T$5=0,$T$6^2,$T$5^2))*$U$5)/(18*$T$15))*('IN-OUT'!$F$14^(-1)))*BT394</f>
        <v>3.0605010483034768E-4</v>
      </c>
      <c r="BQ394" s="254" t="e">
        <f t="shared" si="279"/>
        <v>#DIV/0!</v>
      </c>
      <c r="BR394" s="254" t="e">
        <f t="shared" si="291"/>
        <v>#DIV/0!</v>
      </c>
      <c r="BS394" s="254">
        <f t="shared" si="303"/>
        <v>5.3333333333333943E-5</v>
      </c>
      <c r="BT394" s="253">
        <f t="shared" si="280"/>
        <v>3.0605010483034768E-4</v>
      </c>
      <c r="BU394" s="253">
        <f t="shared" si="304"/>
        <v>4.4666666666666623E-4</v>
      </c>
      <c r="BV394" s="255">
        <f t="shared" si="292"/>
        <v>4.4666666666666625E-2</v>
      </c>
      <c r="BX394" s="351" t="e">
        <f>((((IF($T$5=0,$T$6,$T$5)))/(12*$T$19))+(((3*$T$15)/(2*IF($T$5=0,$T$6,$T$5)*$U$5*$T$19))*'IN-OUT'!$F$14))*'Burland damage classification'!CB394</f>
        <v>#DIV/0!</v>
      </c>
      <c r="BY394" s="352">
        <f>(1+(((IF($T$5=0,$T$6^2,$T$5^2))*$U$5)/(18*$T$15))*('IN-OUT'!$F$14^(-1)))*CC394</f>
        <v>8.2905568771544751E-4</v>
      </c>
      <c r="BZ394" s="254" t="e">
        <f t="shared" si="281"/>
        <v>#DIV/0!</v>
      </c>
      <c r="CA394" s="254" t="e">
        <f t="shared" si="293"/>
        <v>#DIV/0!</v>
      </c>
      <c r="CB394" s="254">
        <f t="shared" si="305"/>
        <v>5.5333333333333428E-4</v>
      </c>
      <c r="CC394" s="253">
        <f t="shared" si="282"/>
        <v>8.2905568771544751E-4</v>
      </c>
      <c r="CD394" s="253">
        <f t="shared" si="306"/>
        <v>4.4666666666666623E-4</v>
      </c>
      <c r="CE394" s="255">
        <f t="shared" si="294"/>
        <v>4.4666666666666625E-2</v>
      </c>
      <c r="CG394" s="351" t="e">
        <f>((((IF($T$5=0,$T$6,$T$5)))/(12*$T$19))+(((3*$T$15)/(2*IF($T$5=0,$T$6,$T$5)*$U$5*$T$19))*'IN-OUT'!$F$14))*'Burland damage classification'!CK394</f>
        <v>#DIV/0!</v>
      </c>
      <c r="CH394" s="352">
        <f>(1+(((IF($T$5=0,$T$6^2,$T$5^2))*$U$5)/(18*$T$15))*('IN-OUT'!$F$14^(-1)))*CL394</f>
        <v>1.8370265830049022E-3</v>
      </c>
      <c r="CI394" s="254" t="e">
        <f t="shared" si="283"/>
        <v>#DIV/0!</v>
      </c>
      <c r="CJ394" s="254" t="e">
        <f t="shared" si="295"/>
        <v>#DIV/0!</v>
      </c>
      <c r="CK394" s="254">
        <f t="shared" si="307"/>
        <v>1.5533333333333289E-3</v>
      </c>
      <c r="CL394" s="270">
        <f t="shared" si="284"/>
        <v>1.8370265830049022E-3</v>
      </c>
      <c r="CM394" s="253">
        <f t="shared" si="308"/>
        <v>4.4666666666666623E-4</v>
      </c>
      <c r="CN394" s="255">
        <f t="shared" si="296"/>
        <v>4.4666666666666625E-2</v>
      </c>
    </row>
    <row r="395" spans="31:92">
      <c r="AE395" s="258">
        <f>(((IF($S$5&lt;&gt;0,$S$5,IF($S$6&lt;&gt;0,$S$6,IF($S$7&lt;&gt;0,$S$7,0))))/(12*$S$19))+(((3*$S$15)/(2*(IF($S$5&lt;&gt;0,$S$5,IF($S$6&lt;&gt;0,$S$6,IF($S$7&lt;&gt;0,$S$7,0))))*$U$5*$S$19))*'IN-OUT'!$F$14))*'Burland damage classification'!AI395</f>
        <v>4.0924097691005367E-4</v>
      </c>
      <c r="AF395" s="353">
        <f>(1+(((IF($S$5&lt;&gt;0,$S$5^2,IF($S$6&lt;&gt;0,$S$6^2,IF($S$7&lt;&gt;0,$S$7^2))))*$U$5)/(18*$S$15))*('IN-OUT'!$F$14^(-1)))*AJ395</f>
        <v>3.0428902315041313E-4</v>
      </c>
      <c r="AG395" s="254">
        <f t="shared" si="273"/>
        <v>3.0428902315041313E-4</v>
      </c>
      <c r="AH395" s="254">
        <f t="shared" si="285"/>
        <v>3.0428902315041313E-2</v>
      </c>
      <c r="AI395" s="254">
        <f t="shared" si="297"/>
        <v>4.6666666666667275E-5</v>
      </c>
      <c r="AJ395" s="253">
        <f t="shared" si="274"/>
        <v>3.022140521771506E-4</v>
      </c>
      <c r="AK395" s="253">
        <f t="shared" si="298"/>
        <v>4.5333333333333288E-4</v>
      </c>
      <c r="AL395" s="255">
        <f t="shared" si="286"/>
        <v>4.5333333333333288E-2</v>
      </c>
      <c r="AN395" s="258">
        <f>(((IF($S$5&lt;&gt;0,$S$5,IF($S$6&lt;&gt;0,$S$6,IF($S$7&lt;&gt;0,$S$7,0))))/(12*$S$19))+(((3*$S$15)/(2*(IF($S$5&lt;&gt;0,$S$5,IF($S$6&lt;&gt;0,$S$6,IF($S$7&lt;&gt;0,$S$7,0))))*$U$5*$S$19))*'IN-OUT'!$F$14))*'Burland damage classification'!AR395</f>
        <v>4.7939657295177178E-3</v>
      </c>
      <c r="AO395" s="353">
        <f>(1+(((IF($S$5&lt;&gt;0,$S$5^2,IF($S$6&lt;&gt;0,$S$6^2,IF($S$7&lt;&gt;0,$S$7^2))))*$U$5)/(18*$S$15))*('IN-OUT'!$F$14^(-1)))*AS395</f>
        <v>8.3190930268066561E-4</v>
      </c>
      <c r="AP395" s="254">
        <f t="shared" si="275"/>
        <v>8.3190930268066561E-4</v>
      </c>
      <c r="AQ395" s="254">
        <f t="shared" si="287"/>
        <v>8.3190930268066565E-2</v>
      </c>
      <c r="AR395" s="254">
        <f t="shared" si="299"/>
        <v>5.4666666666666763E-4</v>
      </c>
      <c r="AS395" s="253">
        <f t="shared" si="276"/>
        <v>8.2623644719091575E-4</v>
      </c>
      <c r="AT395" s="253">
        <f t="shared" si="300"/>
        <v>4.5333333333333288E-4</v>
      </c>
      <c r="AU395" s="255">
        <f t="shared" si="288"/>
        <v>4.5333333333333288E-2</v>
      </c>
      <c r="AW395" s="258">
        <f>(((IF($S$5&lt;&gt;0,$S$5,IF($S$6&lt;&gt;0,$S$6,IF($S$7&lt;&gt;0,$S$7,0))))/(12*$S$19))+(((3*$S$15)/(2*(IF($S$5&lt;&gt;0,$S$5,IF($S$6&lt;&gt;0,$S$6,IF($S$7&lt;&gt;0,$S$7,0))))*$U$5*$S$19))*'IN-OUT'!$F$14))*'Burland damage classification'!BA395</f>
        <v>1.3563415234732991E-2</v>
      </c>
      <c r="AX395" s="353">
        <f>(1+(((IF($S$5&lt;&gt;0,$S$5^2,IF($S$6&lt;&gt;0,$S$6^2,IF($S$7&lt;&gt;0,$S$7^2))))*$U$5)/(18*$S$15))*('IN-OUT'!$F$14^(-1)))*BB395</f>
        <v>1.8470798711591027E-3</v>
      </c>
      <c r="AY395" s="254">
        <f t="shared" si="277"/>
        <v>1.8470798711591027E-3</v>
      </c>
      <c r="AZ395" s="254">
        <f t="shared" si="289"/>
        <v>0.18470798711591027</v>
      </c>
      <c r="BA395" s="254">
        <f t="shared" si="301"/>
        <v>1.5466666666666621E-3</v>
      </c>
      <c r="BB395" s="270">
        <f t="shared" si="278"/>
        <v>1.8344844870789544E-3</v>
      </c>
      <c r="BC395" s="253">
        <f t="shared" si="302"/>
        <v>4.5333333333333288E-4</v>
      </c>
      <c r="BD395" s="255">
        <f t="shared" si="290"/>
        <v>4.5333333333333288E-2</v>
      </c>
      <c r="BI395" s="248"/>
      <c r="BO395" s="351" t="e">
        <f>((((IF($T$5=0,$T$6,$T$5)))/(12*$T$19))+(((3*$T$15)/(2*IF($T$5=0,$T$6,$T$5)*$U$5*$T$19))*'IN-OUT'!$F$14))*'Burland damage classification'!BS395</f>
        <v>#DIV/0!</v>
      </c>
      <c r="BP395" s="352">
        <f>(1+(((IF($T$5=0,$T$6^2,$T$5^2))*$U$5)/(18*$T$15))*('IN-OUT'!$F$14^(-1)))*BT395</f>
        <v>3.022140521771506E-4</v>
      </c>
      <c r="BQ395" s="254" t="e">
        <f t="shared" si="279"/>
        <v>#DIV/0!</v>
      </c>
      <c r="BR395" s="254" t="e">
        <f t="shared" si="291"/>
        <v>#DIV/0!</v>
      </c>
      <c r="BS395" s="254">
        <f t="shared" si="303"/>
        <v>4.6666666666667275E-5</v>
      </c>
      <c r="BT395" s="253">
        <f t="shared" si="280"/>
        <v>3.022140521771506E-4</v>
      </c>
      <c r="BU395" s="253">
        <f t="shared" si="304"/>
        <v>4.5333333333333288E-4</v>
      </c>
      <c r="BV395" s="255">
        <f t="shared" si="292"/>
        <v>4.5333333333333288E-2</v>
      </c>
      <c r="BX395" s="351" t="e">
        <f>((((IF($T$5=0,$T$6,$T$5)))/(12*$T$19))+(((3*$T$15)/(2*IF($T$5=0,$T$6,$T$5)*$U$5*$T$19))*'IN-OUT'!$F$14))*'Burland damage classification'!CB395</f>
        <v>#DIV/0!</v>
      </c>
      <c r="BY395" s="352">
        <f>(1+(((IF($T$5=0,$T$6^2,$T$5^2))*$U$5)/(18*$T$15))*('IN-OUT'!$F$14^(-1)))*CC395</f>
        <v>8.2623644719091575E-4</v>
      </c>
      <c r="BZ395" s="254" t="e">
        <f t="shared" si="281"/>
        <v>#DIV/0!</v>
      </c>
      <c r="CA395" s="254" t="e">
        <f t="shared" si="293"/>
        <v>#DIV/0!</v>
      </c>
      <c r="CB395" s="254">
        <f t="shared" si="305"/>
        <v>5.4666666666666763E-4</v>
      </c>
      <c r="CC395" s="253">
        <f t="shared" si="282"/>
        <v>8.2623644719091575E-4</v>
      </c>
      <c r="CD395" s="253">
        <f t="shared" si="306"/>
        <v>4.5333333333333288E-4</v>
      </c>
      <c r="CE395" s="255">
        <f t="shared" si="294"/>
        <v>4.5333333333333288E-2</v>
      </c>
      <c r="CG395" s="351" t="e">
        <f>((((IF($T$5=0,$T$6,$T$5)))/(12*$T$19))+(((3*$T$15)/(2*IF($T$5=0,$T$6,$T$5)*$U$5*$T$19))*'IN-OUT'!$F$14))*'Burland damage classification'!CK395</f>
        <v>#DIV/0!</v>
      </c>
      <c r="CH395" s="352">
        <f>(1+(((IF($T$5=0,$T$6^2,$T$5^2))*$U$5)/(18*$T$15))*('IN-OUT'!$F$14^(-1)))*CL395</f>
        <v>1.8344844870789544E-3</v>
      </c>
      <c r="CI395" s="254" t="e">
        <f t="shared" si="283"/>
        <v>#DIV/0!</v>
      </c>
      <c r="CJ395" s="254" t="e">
        <f t="shared" si="295"/>
        <v>#DIV/0!</v>
      </c>
      <c r="CK395" s="254">
        <f t="shared" si="307"/>
        <v>1.5466666666666621E-3</v>
      </c>
      <c r="CL395" s="270">
        <f t="shared" si="284"/>
        <v>1.8344844870789544E-3</v>
      </c>
      <c r="CM395" s="253">
        <f t="shared" si="308"/>
        <v>4.5333333333333288E-4</v>
      </c>
      <c r="CN395" s="255">
        <f t="shared" si="296"/>
        <v>4.5333333333333288E-2</v>
      </c>
    </row>
    <row r="396" spans="31:92">
      <c r="AE396" s="258">
        <f>(((IF($S$5&lt;&gt;0,$S$5,IF($S$6&lt;&gt;0,$S$6,IF($S$7&lt;&gt;0,$S$7,0))))/(12*$S$19))+(((3*$S$15)/(2*(IF($S$5&lt;&gt;0,$S$5,IF($S$6&lt;&gt;0,$S$6,IF($S$7&lt;&gt;0,$S$7,0))))*$U$5*$S$19))*'IN-OUT'!$F$14))*'Burland damage classification'!AI396</f>
        <v>3.5077798020861819E-4</v>
      </c>
      <c r="AF396" s="353">
        <f>(1+(((IF($S$5&lt;&gt;0,$S$5^2,IF($S$6&lt;&gt;0,$S$6^2,IF($S$7&lt;&gt;0,$S$7^2))))*$U$5)/(18*$S$15))*('IN-OUT'!$F$14^(-1)))*AJ396</f>
        <v>3.0037697219114534E-4</v>
      </c>
      <c r="AG396" s="254">
        <f t="shared" si="273"/>
        <v>3.0037697219114534E-4</v>
      </c>
      <c r="AH396" s="254">
        <f t="shared" si="285"/>
        <v>3.0037697219114534E-2</v>
      </c>
      <c r="AI396" s="254">
        <f t="shared" si="297"/>
        <v>4.0000000000000606E-5</v>
      </c>
      <c r="AJ396" s="253">
        <f t="shared" si="274"/>
        <v>2.9832867780352619E-4</v>
      </c>
      <c r="AK396" s="253">
        <f t="shared" si="298"/>
        <v>4.5999999999999953E-4</v>
      </c>
      <c r="AL396" s="255">
        <f t="shared" si="286"/>
        <v>4.5999999999999951E-2</v>
      </c>
      <c r="AN396" s="258">
        <f>(((IF($S$5&lt;&gt;0,$S$5,IF($S$6&lt;&gt;0,$S$6,IF($S$7&lt;&gt;0,$S$7,0))))/(12*$S$19))+(((3*$S$15)/(2*(IF($S$5&lt;&gt;0,$S$5,IF($S$6&lt;&gt;0,$S$6,IF($S$7&lt;&gt;0,$S$7,0))))*$U$5*$S$19))*'IN-OUT'!$F$14))*'Burland damage classification'!AR396</f>
        <v>4.7355027328162824E-3</v>
      </c>
      <c r="AO396" s="353">
        <f>(1+(((IF($S$5&lt;&gt;0,$S$5^2,IF($S$6&lt;&gt;0,$S$6^2,IF($S$7&lt;&gt;0,$S$7^2))))*$U$5)/(18*$S$15))*('IN-OUT'!$F$14^(-1)))*AS396</f>
        <v>8.2906098660617627E-4</v>
      </c>
      <c r="AP396" s="254">
        <f t="shared" si="275"/>
        <v>8.2906098660617627E-4</v>
      </c>
      <c r="AQ396" s="254">
        <f t="shared" si="287"/>
        <v>8.2906098660617628E-2</v>
      </c>
      <c r="AR396" s="254">
        <f t="shared" si="299"/>
        <v>5.4000000000000098E-4</v>
      </c>
      <c r="AS396" s="253">
        <f t="shared" si="276"/>
        <v>8.2340755400955629E-4</v>
      </c>
      <c r="AT396" s="253">
        <f t="shared" si="300"/>
        <v>4.5999999999999953E-4</v>
      </c>
      <c r="AU396" s="255">
        <f t="shared" si="288"/>
        <v>4.5999999999999951E-2</v>
      </c>
      <c r="AW396" s="258">
        <f>(((IF($S$5&lt;&gt;0,$S$5,IF($S$6&lt;&gt;0,$S$6,IF($S$7&lt;&gt;0,$S$7,0))))/(12*$S$19))+(((3*$S$15)/(2*(IF($S$5&lt;&gt;0,$S$5,IF($S$6&lt;&gt;0,$S$6,IF($S$7&lt;&gt;0,$S$7,0))))*$U$5*$S$19))*'IN-OUT'!$F$14))*'Burland damage classification'!BA396</f>
        <v>1.3504952238031555E-2</v>
      </c>
      <c r="AX396" s="353">
        <f>(1+(((IF($S$5&lt;&gt;0,$S$5^2,IF($S$6&lt;&gt;0,$S$6^2,IF($S$7&lt;&gt;0,$S$7^2))))*$U$5)/(18*$S$15))*('IN-OUT'!$F$14^(-1)))*BB396</f>
        <v>1.844516769696789E-3</v>
      </c>
      <c r="AY396" s="254">
        <f t="shared" si="277"/>
        <v>1.844516769696789E-3</v>
      </c>
      <c r="AZ396" s="254">
        <f t="shared" si="289"/>
        <v>0.1844516769696789</v>
      </c>
      <c r="BA396" s="254">
        <f t="shared" si="301"/>
        <v>1.5399999999999954E-3</v>
      </c>
      <c r="BB396" s="270">
        <f t="shared" si="278"/>
        <v>1.8319388636087179E-3</v>
      </c>
      <c r="BC396" s="253">
        <f t="shared" si="302"/>
        <v>4.5999999999999953E-4</v>
      </c>
      <c r="BD396" s="255">
        <f t="shared" si="290"/>
        <v>4.5999999999999951E-2</v>
      </c>
      <c r="BI396" s="248"/>
      <c r="BO396" s="351" t="e">
        <f>((((IF($T$5=0,$T$6,$T$5)))/(12*$T$19))+(((3*$T$15)/(2*IF($T$5=0,$T$6,$T$5)*$U$5*$T$19))*'IN-OUT'!$F$14))*'Burland damage classification'!BS396</f>
        <v>#DIV/0!</v>
      </c>
      <c r="BP396" s="352">
        <f>(1+(((IF($T$5=0,$T$6^2,$T$5^2))*$U$5)/(18*$T$15))*('IN-OUT'!$F$14^(-1)))*BT396</f>
        <v>2.9832867780352619E-4</v>
      </c>
      <c r="BQ396" s="254" t="e">
        <f t="shared" si="279"/>
        <v>#DIV/0!</v>
      </c>
      <c r="BR396" s="254" t="e">
        <f t="shared" si="291"/>
        <v>#DIV/0!</v>
      </c>
      <c r="BS396" s="254">
        <f t="shared" si="303"/>
        <v>4.0000000000000606E-5</v>
      </c>
      <c r="BT396" s="253">
        <f t="shared" si="280"/>
        <v>2.9832867780352619E-4</v>
      </c>
      <c r="BU396" s="253">
        <f t="shared" si="304"/>
        <v>4.5999999999999953E-4</v>
      </c>
      <c r="BV396" s="255">
        <f t="shared" si="292"/>
        <v>4.5999999999999951E-2</v>
      </c>
      <c r="BX396" s="351" t="e">
        <f>((((IF($T$5=0,$T$6,$T$5)))/(12*$T$19))+(((3*$T$15)/(2*IF($T$5=0,$T$6,$T$5)*$U$5*$T$19))*'IN-OUT'!$F$14))*'Burland damage classification'!CB396</f>
        <v>#DIV/0!</v>
      </c>
      <c r="BY396" s="352">
        <f>(1+(((IF($T$5=0,$T$6^2,$T$5^2))*$U$5)/(18*$T$15))*('IN-OUT'!$F$14^(-1)))*CC396</f>
        <v>8.2340755400955629E-4</v>
      </c>
      <c r="BZ396" s="254" t="e">
        <f t="shared" si="281"/>
        <v>#DIV/0!</v>
      </c>
      <c r="CA396" s="254" t="e">
        <f t="shared" si="293"/>
        <v>#DIV/0!</v>
      </c>
      <c r="CB396" s="254">
        <f t="shared" si="305"/>
        <v>5.4000000000000098E-4</v>
      </c>
      <c r="CC396" s="253">
        <f t="shared" si="282"/>
        <v>8.2340755400955629E-4</v>
      </c>
      <c r="CD396" s="253">
        <f t="shared" si="306"/>
        <v>4.5999999999999953E-4</v>
      </c>
      <c r="CE396" s="255">
        <f t="shared" si="294"/>
        <v>4.5999999999999951E-2</v>
      </c>
      <c r="CG396" s="351" t="e">
        <f>((((IF($T$5=0,$T$6,$T$5)))/(12*$T$19))+(((3*$T$15)/(2*IF($T$5=0,$T$6,$T$5)*$U$5*$T$19))*'IN-OUT'!$F$14))*'Burland damage classification'!CK396</f>
        <v>#DIV/0!</v>
      </c>
      <c r="CH396" s="352">
        <f>(1+(((IF($T$5=0,$T$6^2,$T$5^2))*$U$5)/(18*$T$15))*('IN-OUT'!$F$14^(-1)))*CL396</f>
        <v>1.8319388636087179E-3</v>
      </c>
      <c r="CI396" s="254" t="e">
        <f t="shared" si="283"/>
        <v>#DIV/0!</v>
      </c>
      <c r="CJ396" s="254" t="e">
        <f t="shared" si="295"/>
        <v>#DIV/0!</v>
      </c>
      <c r="CK396" s="254">
        <f t="shared" si="307"/>
        <v>1.5399999999999954E-3</v>
      </c>
      <c r="CL396" s="270">
        <f t="shared" si="284"/>
        <v>1.8319388636087179E-3</v>
      </c>
      <c r="CM396" s="253">
        <f t="shared" si="308"/>
        <v>4.5999999999999953E-4</v>
      </c>
      <c r="CN396" s="255">
        <f t="shared" si="296"/>
        <v>4.5999999999999951E-2</v>
      </c>
    </row>
    <row r="397" spans="31:92">
      <c r="AE397" s="258">
        <f>(((IF($S$5&lt;&gt;0,$S$5,IF($S$6&lt;&gt;0,$S$6,IF($S$7&lt;&gt;0,$S$7,0))))/(12*$S$19))+(((3*$S$15)/(2*(IF($S$5&lt;&gt;0,$S$5,IF($S$6&lt;&gt;0,$S$6,IF($S$7&lt;&gt;0,$S$7,0))))*$U$5*$S$19))*'IN-OUT'!$F$14))*'Burland damage classification'!AI397</f>
        <v>2.9231498350718271E-4</v>
      </c>
      <c r="AF397" s="353">
        <f>(1+(((IF($S$5&lt;&gt;0,$S$5^2,IF($S$6&lt;&gt;0,$S$6^2,IF($S$7&lt;&gt;0,$S$7^2))))*$U$5)/(18*$S$15))*('IN-OUT'!$F$14^(-1)))*AJ397</f>
        <v>2.9641329463370506E-4</v>
      </c>
      <c r="AG397" s="254">
        <f t="shared" si="273"/>
        <v>2.9231498350718271E-4</v>
      </c>
      <c r="AH397" s="254">
        <f t="shared" si="285"/>
        <v>2.9231498350718272E-2</v>
      </c>
      <c r="AI397" s="254">
        <f t="shared" si="297"/>
        <v>3.3333333333333938E-5</v>
      </c>
      <c r="AJ397" s="253">
        <f t="shared" si="274"/>
        <v>2.9439202887759518E-4</v>
      </c>
      <c r="AK397" s="253">
        <f t="shared" si="298"/>
        <v>4.6666666666666617E-4</v>
      </c>
      <c r="AL397" s="255">
        <f t="shared" si="286"/>
        <v>4.666666666666662E-2</v>
      </c>
      <c r="AN397" s="258">
        <f>(((IF($S$5&lt;&gt;0,$S$5,IF($S$6&lt;&gt;0,$S$6,IF($S$7&lt;&gt;0,$S$7,0))))/(12*$S$19))+(((3*$S$15)/(2*(IF($S$5&lt;&gt;0,$S$5,IF($S$6&lt;&gt;0,$S$6,IF($S$7&lt;&gt;0,$S$7,0))))*$U$5*$S$19))*'IN-OUT'!$F$14))*'Burland damage classification'!AR397</f>
        <v>4.6770397361148471E-3</v>
      </c>
      <c r="AO397" s="353">
        <f>(1+(((IF($S$5&lt;&gt;0,$S$5^2,IF($S$6&lt;&gt;0,$S$6^2,IF($S$7&lt;&gt;0,$S$7^2))))*$U$5)/(18*$S$15))*('IN-OUT'!$F$14^(-1)))*AS397</f>
        <v>8.2620285108330469E-4</v>
      </c>
      <c r="AP397" s="254">
        <f t="shared" si="275"/>
        <v>8.2620285108330469E-4</v>
      </c>
      <c r="AQ397" s="254">
        <f t="shared" si="287"/>
        <v>8.2620285108330471E-2</v>
      </c>
      <c r="AR397" s="254">
        <f t="shared" si="299"/>
        <v>5.3333333333333433E-4</v>
      </c>
      <c r="AS397" s="253">
        <f t="shared" si="276"/>
        <v>8.2056890833941153E-4</v>
      </c>
      <c r="AT397" s="253">
        <f t="shared" si="300"/>
        <v>4.6666666666666617E-4</v>
      </c>
      <c r="AU397" s="255">
        <f t="shared" si="288"/>
        <v>4.666666666666662E-2</v>
      </c>
      <c r="AW397" s="258">
        <f>(((IF($S$5&lt;&gt;0,$S$5,IF($S$6&lt;&gt;0,$S$6,IF($S$7&lt;&gt;0,$S$7,0))))/(12*$S$19))+(((3*$S$15)/(2*(IF($S$5&lt;&gt;0,$S$5,IF($S$6&lt;&gt;0,$S$6,IF($S$7&lt;&gt;0,$S$7,0))))*$U$5*$S$19))*'IN-OUT'!$F$14))*'Burland damage classification'!BA397</f>
        <v>1.3446489241330118E-2</v>
      </c>
      <c r="AX397" s="353">
        <f>(1+(((IF($S$5&lt;&gt;0,$S$5^2,IF($S$6&lt;&gt;0,$S$6^2,IF($S$7&lt;&gt;0,$S$7^2))))*$U$5)/(18*$S$15))*('IN-OUT'!$F$14^(-1)))*BB397</f>
        <v>1.8419501016434258E-3</v>
      </c>
      <c r="AY397" s="254">
        <f t="shared" si="277"/>
        <v>1.8419501016434258E-3</v>
      </c>
      <c r="AZ397" s="254">
        <f t="shared" si="289"/>
        <v>0.18419501016434259</v>
      </c>
      <c r="BA397" s="254">
        <f t="shared" si="301"/>
        <v>1.5333333333333286E-3</v>
      </c>
      <c r="BB397" s="270">
        <f t="shared" si="278"/>
        <v>1.8293896978682992E-3</v>
      </c>
      <c r="BC397" s="253">
        <f t="shared" si="302"/>
        <v>4.6666666666666617E-4</v>
      </c>
      <c r="BD397" s="255">
        <f t="shared" si="290"/>
        <v>4.666666666666662E-2</v>
      </c>
      <c r="BI397" s="248"/>
      <c r="BO397" s="351" t="e">
        <f>((((IF($T$5=0,$T$6,$T$5)))/(12*$T$19))+(((3*$T$15)/(2*IF($T$5=0,$T$6,$T$5)*$U$5*$T$19))*'IN-OUT'!$F$14))*'Burland damage classification'!BS397</f>
        <v>#DIV/0!</v>
      </c>
      <c r="BP397" s="352">
        <f>(1+(((IF($T$5=0,$T$6^2,$T$5^2))*$U$5)/(18*$T$15))*('IN-OUT'!$F$14^(-1)))*BT397</f>
        <v>2.9439202887759518E-4</v>
      </c>
      <c r="BQ397" s="254" t="e">
        <f t="shared" si="279"/>
        <v>#DIV/0!</v>
      </c>
      <c r="BR397" s="254" t="e">
        <f t="shared" si="291"/>
        <v>#DIV/0!</v>
      </c>
      <c r="BS397" s="254">
        <f t="shared" si="303"/>
        <v>3.3333333333333938E-5</v>
      </c>
      <c r="BT397" s="253">
        <f t="shared" si="280"/>
        <v>2.9439202887759518E-4</v>
      </c>
      <c r="BU397" s="253">
        <f t="shared" si="304"/>
        <v>4.6666666666666617E-4</v>
      </c>
      <c r="BV397" s="255">
        <f t="shared" si="292"/>
        <v>4.666666666666662E-2</v>
      </c>
      <c r="BX397" s="351" t="e">
        <f>((((IF($T$5=0,$T$6,$T$5)))/(12*$T$19))+(((3*$T$15)/(2*IF($T$5=0,$T$6,$T$5)*$U$5*$T$19))*'IN-OUT'!$F$14))*'Burland damage classification'!CB397</f>
        <v>#DIV/0!</v>
      </c>
      <c r="BY397" s="352">
        <f>(1+(((IF($T$5=0,$T$6^2,$T$5^2))*$U$5)/(18*$T$15))*('IN-OUT'!$F$14^(-1)))*CC397</f>
        <v>8.2056890833941153E-4</v>
      </c>
      <c r="BZ397" s="254" t="e">
        <f t="shared" si="281"/>
        <v>#DIV/0!</v>
      </c>
      <c r="CA397" s="254" t="e">
        <f t="shared" si="293"/>
        <v>#DIV/0!</v>
      </c>
      <c r="CB397" s="254">
        <f t="shared" si="305"/>
        <v>5.3333333333333433E-4</v>
      </c>
      <c r="CC397" s="253">
        <f t="shared" si="282"/>
        <v>8.2056890833941153E-4</v>
      </c>
      <c r="CD397" s="253">
        <f t="shared" si="306"/>
        <v>4.6666666666666617E-4</v>
      </c>
      <c r="CE397" s="255">
        <f t="shared" si="294"/>
        <v>4.666666666666662E-2</v>
      </c>
      <c r="CG397" s="351" t="e">
        <f>((((IF($T$5=0,$T$6,$T$5)))/(12*$T$19))+(((3*$T$15)/(2*IF($T$5=0,$T$6,$T$5)*$U$5*$T$19))*'IN-OUT'!$F$14))*'Burland damage classification'!CK397</f>
        <v>#DIV/0!</v>
      </c>
      <c r="CH397" s="352">
        <f>(1+(((IF($T$5=0,$T$6^2,$T$5^2))*$U$5)/(18*$T$15))*('IN-OUT'!$F$14^(-1)))*CL397</f>
        <v>1.8293896978682992E-3</v>
      </c>
      <c r="CI397" s="254" t="e">
        <f t="shared" si="283"/>
        <v>#DIV/0!</v>
      </c>
      <c r="CJ397" s="254" t="e">
        <f t="shared" si="295"/>
        <v>#DIV/0!</v>
      </c>
      <c r="CK397" s="254">
        <f t="shared" si="307"/>
        <v>1.5333333333333286E-3</v>
      </c>
      <c r="CL397" s="270">
        <f t="shared" si="284"/>
        <v>1.8293896978682992E-3</v>
      </c>
      <c r="CM397" s="253">
        <f t="shared" si="308"/>
        <v>4.6666666666666617E-4</v>
      </c>
      <c r="CN397" s="255">
        <f t="shared" si="296"/>
        <v>4.666666666666662E-2</v>
      </c>
    </row>
    <row r="398" spans="31:92">
      <c r="AE398" s="258">
        <f>(((IF($S$5&lt;&gt;0,$S$5,IF($S$6&lt;&gt;0,$S$6,IF($S$7&lt;&gt;0,$S$7,0))))/(12*$S$19))+(((3*$S$15)/(2*(IF($S$5&lt;&gt;0,$S$5,IF($S$6&lt;&gt;0,$S$6,IF($S$7&lt;&gt;0,$S$7,0))))*$U$5*$S$19))*'IN-OUT'!$F$14))*'Burland damage classification'!AI398</f>
        <v>2.338519868057472E-4</v>
      </c>
      <c r="AF398" s="353">
        <f>(1+(((IF($S$5&lt;&gt;0,$S$5^2,IF($S$6&lt;&gt;0,$S$6^2,IF($S$7&lt;&gt;0,$S$7^2))))*$U$5)/(18*$S$15))*('IN-OUT'!$F$14^(-1)))*AJ398</f>
        <v>2.9239589095692692E-4</v>
      </c>
      <c r="AG398" s="254">
        <f t="shared" si="273"/>
        <v>2.338519868057472E-4</v>
      </c>
      <c r="AH398" s="254">
        <f t="shared" si="285"/>
        <v>2.3385198680574721E-2</v>
      </c>
      <c r="AI398" s="254">
        <f t="shared" si="297"/>
        <v>2.666666666666727E-5</v>
      </c>
      <c r="AJ398" s="253">
        <f t="shared" si="274"/>
        <v>2.9040202019499362E-4</v>
      </c>
      <c r="AK398" s="253">
        <f t="shared" si="298"/>
        <v>4.7333333333333282E-4</v>
      </c>
      <c r="AL398" s="255">
        <f t="shared" si="286"/>
        <v>4.7333333333333283E-2</v>
      </c>
      <c r="AN398" s="258">
        <f>(((IF($S$5&lt;&gt;0,$S$5,IF($S$6&lt;&gt;0,$S$6,IF($S$7&lt;&gt;0,$S$7,0))))/(12*$S$19))+(((3*$S$15)/(2*(IF($S$5&lt;&gt;0,$S$5,IF($S$6&lt;&gt;0,$S$6,IF($S$7&lt;&gt;0,$S$7,0))))*$U$5*$S$19))*'IN-OUT'!$F$14))*'Burland damage classification'!AR398</f>
        <v>4.6185767394134117E-3</v>
      </c>
      <c r="AO398" s="353">
        <f>(1+(((IF($S$5&lt;&gt;0,$S$5^2,IF($S$6&lt;&gt;0,$S$6^2,IF($S$7&lt;&gt;0,$S$7^2))))*$U$5)/(18*$S$15))*('IN-OUT'!$F$14^(-1)))*AS398</f>
        <v>8.2333479384996016E-4</v>
      </c>
      <c r="AP398" s="254">
        <f t="shared" si="275"/>
        <v>8.2333479384996016E-4</v>
      </c>
      <c r="AQ398" s="254">
        <f t="shared" si="287"/>
        <v>8.2333479384996022E-2</v>
      </c>
      <c r="AR398" s="254">
        <f t="shared" si="299"/>
        <v>5.2666666666666769E-4</v>
      </c>
      <c r="AS398" s="253">
        <f t="shared" si="276"/>
        <v>8.1772040861572423E-4</v>
      </c>
      <c r="AT398" s="253">
        <f t="shared" si="300"/>
        <v>4.7333333333333282E-4</v>
      </c>
      <c r="AU398" s="255">
        <f t="shared" si="288"/>
        <v>4.7333333333333283E-2</v>
      </c>
      <c r="AW398" s="258">
        <f>(((IF($S$5&lt;&gt;0,$S$5,IF($S$6&lt;&gt;0,$S$6,IF($S$7&lt;&gt;0,$S$7,0))))/(12*$S$19))+(((3*$S$15)/(2*(IF($S$5&lt;&gt;0,$S$5,IF($S$6&lt;&gt;0,$S$6,IF($S$7&lt;&gt;0,$S$7,0))))*$U$5*$S$19))*'IN-OUT'!$F$14))*'Burland damage classification'!BA398</f>
        <v>1.3388026244628683E-2</v>
      </c>
      <c r="AX398" s="353">
        <f>(1+(((IF($S$5&lt;&gt;0,$S$5^2,IF($S$6&lt;&gt;0,$S$6^2,IF($S$7&lt;&gt;0,$S$7^2))))*$U$5)/(18*$S$15))*('IN-OUT'!$F$14^(-1)))*BB398</f>
        <v>1.8393798520685652E-3</v>
      </c>
      <c r="AY398" s="254">
        <f t="shared" si="277"/>
        <v>1.8393798520685652E-3</v>
      </c>
      <c r="AZ398" s="254">
        <f t="shared" si="289"/>
        <v>0.1839379852068565</v>
      </c>
      <c r="BA398" s="254">
        <f t="shared" si="301"/>
        <v>1.5266666666666619E-3</v>
      </c>
      <c r="BB398" s="270">
        <f t="shared" si="278"/>
        <v>1.8268369750290619E-3</v>
      </c>
      <c r="BC398" s="253">
        <f t="shared" si="302"/>
        <v>4.7333333333333282E-4</v>
      </c>
      <c r="BD398" s="255">
        <f t="shared" si="290"/>
        <v>4.7333333333333283E-2</v>
      </c>
      <c r="BI398" s="248"/>
      <c r="BO398" s="351" t="e">
        <f>((((IF($T$5=0,$T$6,$T$5)))/(12*$T$19))+(((3*$T$15)/(2*IF($T$5=0,$T$6,$T$5)*$U$5*$T$19))*'IN-OUT'!$F$14))*'Burland damage classification'!BS398</f>
        <v>#DIV/0!</v>
      </c>
      <c r="BP398" s="352">
        <f>(1+(((IF($T$5=0,$T$6^2,$T$5^2))*$U$5)/(18*$T$15))*('IN-OUT'!$F$14^(-1)))*BT398</f>
        <v>2.9040202019499362E-4</v>
      </c>
      <c r="BQ398" s="254" t="e">
        <f t="shared" si="279"/>
        <v>#DIV/0!</v>
      </c>
      <c r="BR398" s="254" t="e">
        <f t="shared" si="291"/>
        <v>#DIV/0!</v>
      </c>
      <c r="BS398" s="254">
        <f t="shared" si="303"/>
        <v>2.666666666666727E-5</v>
      </c>
      <c r="BT398" s="253">
        <f t="shared" si="280"/>
        <v>2.9040202019499362E-4</v>
      </c>
      <c r="BU398" s="253">
        <f t="shared" si="304"/>
        <v>4.7333333333333282E-4</v>
      </c>
      <c r="BV398" s="255">
        <f t="shared" si="292"/>
        <v>4.7333333333333283E-2</v>
      </c>
      <c r="BX398" s="351" t="e">
        <f>((((IF($T$5=0,$T$6,$T$5)))/(12*$T$19))+(((3*$T$15)/(2*IF($T$5=0,$T$6,$T$5)*$U$5*$T$19))*'IN-OUT'!$F$14))*'Burland damage classification'!CB398</f>
        <v>#DIV/0!</v>
      </c>
      <c r="BY398" s="352">
        <f>(1+(((IF($T$5=0,$T$6^2,$T$5^2))*$U$5)/(18*$T$15))*('IN-OUT'!$F$14^(-1)))*CC398</f>
        <v>8.1772040861572423E-4</v>
      </c>
      <c r="BZ398" s="254" t="e">
        <f t="shared" si="281"/>
        <v>#DIV/0!</v>
      </c>
      <c r="CA398" s="254" t="e">
        <f t="shared" si="293"/>
        <v>#DIV/0!</v>
      </c>
      <c r="CB398" s="254">
        <f t="shared" si="305"/>
        <v>5.2666666666666769E-4</v>
      </c>
      <c r="CC398" s="253">
        <f t="shared" si="282"/>
        <v>8.1772040861572423E-4</v>
      </c>
      <c r="CD398" s="253">
        <f t="shared" si="306"/>
        <v>4.7333333333333282E-4</v>
      </c>
      <c r="CE398" s="255">
        <f t="shared" si="294"/>
        <v>4.7333333333333283E-2</v>
      </c>
      <c r="CG398" s="351" t="e">
        <f>((((IF($T$5=0,$T$6,$T$5)))/(12*$T$19))+(((3*$T$15)/(2*IF($T$5=0,$T$6,$T$5)*$U$5*$T$19))*'IN-OUT'!$F$14))*'Burland damage classification'!CK398</f>
        <v>#DIV/0!</v>
      </c>
      <c r="CH398" s="352">
        <f>(1+(((IF($T$5=0,$T$6^2,$T$5^2))*$U$5)/(18*$T$15))*('IN-OUT'!$F$14^(-1)))*CL398</f>
        <v>1.8268369750290619E-3</v>
      </c>
      <c r="CI398" s="254" t="e">
        <f t="shared" si="283"/>
        <v>#DIV/0!</v>
      </c>
      <c r="CJ398" s="254" t="e">
        <f t="shared" si="295"/>
        <v>#DIV/0!</v>
      </c>
      <c r="CK398" s="254">
        <f t="shared" si="307"/>
        <v>1.5266666666666619E-3</v>
      </c>
      <c r="CL398" s="270">
        <f t="shared" si="284"/>
        <v>1.8268369750290619E-3</v>
      </c>
      <c r="CM398" s="253">
        <f t="shared" si="308"/>
        <v>4.7333333333333282E-4</v>
      </c>
      <c r="CN398" s="255">
        <f t="shared" si="296"/>
        <v>4.7333333333333283E-2</v>
      </c>
    </row>
    <row r="399" spans="31:92">
      <c r="AE399" s="258">
        <f>(((IF($S$5&lt;&gt;0,$S$5,IF($S$6&lt;&gt;0,$S$6,IF($S$7&lt;&gt;0,$S$7,0))))/(12*$S$19))+(((3*$S$15)/(2*(IF($S$5&lt;&gt;0,$S$5,IF($S$6&lt;&gt;0,$S$6,IF($S$7&lt;&gt;0,$S$7,0))))*$U$5*$S$19))*'IN-OUT'!$F$14))*'Burland damage classification'!AI399</f>
        <v>1.753889901043117E-4</v>
      </c>
      <c r="AF399" s="353">
        <f>(1+(((IF($S$5&lt;&gt;0,$S$5^2,IF($S$6&lt;&gt;0,$S$6^2,IF($S$7&lt;&gt;0,$S$7^2))))*$U$5)/(18*$S$15))*('IN-OUT'!$F$14^(-1)))*AJ399</f>
        <v>2.8832251535629787E-4</v>
      </c>
      <c r="AG399" s="254">
        <f t="shared" si="273"/>
        <v>1.753889901043117E-4</v>
      </c>
      <c r="AH399" s="254">
        <f t="shared" si="285"/>
        <v>1.753889901043117E-2</v>
      </c>
      <c r="AI399" s="254">
        <f t="shared" si="297"/>
        <v>2.0000000000000601E-5</v>
      </c>
      <c r="AJ399" s="253">
        <f t="shared" si="274"/>
        <v>2.8635642126552738E-4</v>
      </c>
      <c r="AK399" s="253">
        <f t="shared" si="298"/>
        <v>4.7999999999999947E-4</v>
      </c>
      <c r="AL399" s="255">
        <f t="shared" si="286"/>
        <v>4.7999999999999945E-2</v>
      </c>
      <c r="AN399" s="258">
        <f>(((IF($S$5&lt;&gt;0,$S$5,IF($S$6&lt;&gt;0,$S$6,IF($S$7&lt;&gt;0,$S$7,0))))/(12*$S$19))+(((3*$S$15)/(2*(IF($S$5&lt;&gt;0,$S$5,IF($S$6&lt;&gt;0,$S$6,IF($S$7&lt;&gt;0,$S$7,0))))*$U$5*$S$19))*'IN-OUT'!$F$14))*'Burland damage classification'!AR399</f>
        <v>4.5601137427119763E-3</v>
      </c>
      <c r="AO399" s="353">
        <f>(1+(((IF($S$5&lt;&gt;0,$S$5^2,IF($S$6&lt;&gt;0,$S$6^2,IF($S$7&lt;&gt;0,$S$7^2))))*$U$5)/(18*$S$15))*('IN-OUT'!$F$14^(-1)))*AS399</f>
        <v>8.2045671085666152E-4</v>
      </c>
      <c r="AP399" s="254">
        <f t="shared" si="275"/>
        <v>8.2045671085666152E-4</v>
      </c>
      <c r="AQ399" s="254">
        <f t="shared" si="287"/>
        <v>8.2045671085666155E-2</v>
      </c>
      <c r="AR399" s="254">
        <f t="shared" si="299"/>
        <v>5.2000000000000104E-4</v>
      </c>
      <c r="AS399" s="253">
        <f t="shared" si="276"/>
        <v>8.1486195149853475E-4</v>
      </c>
      <c r="AT399" s="253">
        <f t="shared" si="300"/>
        <v>4.7999999999999947E-4</v>
      </c>
      <c r="AU399" s="255">
        <f t="shared" si="288"/>
        <v>4.7999999999999945E-2</v>
      </c>
      <c r="AW399" s="258">
        <f>(((IF($S$5&lt;&gt;0,$S$5,IF($S$6&lt;&gt;0,$S$6,IF($S$7&lt;&gt;0,$S$7,0))))/(12*$S$19))+(((3*$S$15)/(2*(IF($S$5&lt;&gt;0,$S$5,IF($S$6&lt;&gt;0,$S$6,IF($S$7&lt;&gt;0,$S$7,0))))*$U$5*$S$19))*'IN-OUT'!$F$14))*'Burland damage classification'!BA399</f>
        <v>1.3329563247927246E-2</v>
      </c>
      <c r="AX399" s="353">
        <f>(1+(((IF($S$5&lt;&gt;0,$S$5^2,IF($S$6&lt;&gt;0,$S$6^2,IF($S$7&lt;&gt;0,$S$7^2))))*$U$5)/(18*$S$15))*('IN-OUT'!$F$14^(-1)))*BB399</f>
        <v>1.8368060059372976E-3</v>
      </c>
      <c r="AY399" s="254">
        <f t="shared" si="277"/>
        <v>1.8368060059372976E-3</v>
      </c>
      <c r="AZ399" s="254">
        <f t="shared" si="289"/>
        <v>0.18368060059372976</v>
      </c>
      <c r="BA399" s="254">
        <f t="shared" si="301"/>
        <v>1.5199999999999951E-3</v>
      </c>
      <c r="BB399" s="270">
        <f t="shared" si="278"/>
        <v>1.824280680158621E-3</v>
      </c>
      <c r="BC399" s="253">
        <f t="shared" si="302"/>
        <v>4.7999999999999947E-4</v>
      </c>
      <c r="BD399" s="255">
        <f t="shared" si="290"/>
        <v>4.7999999999999945E-2</v>
      </c>
      <c r="BI399" s="248"/>
      <c r="BO399" s="351" t="e">
        <f>((((IF($T$5=0,$T$6,$T$5)))/(12*$T$19))+(((3*$T$15)/(2*IF($T$5=0,$T$6,$T$5)*$U$5*$T$19))*'IN-OUT'!$F$14))*'Burland damage classification'!BS399</f>
        <v>#DIV/0!</v>
      </c>
      <c r="BP399" s="352">
        <f>(1+(((IF($T$5=0,$T$6^2,$T$5^2))*$U$5)/(18*$T$15))*('IN-OUT'!$F$14^(-1)))*BT399</f>
        <v>2.8635642126552738E-4</v>
      </c>
      <c r="BQ399" s="254" t="e">
        <f t="shared" si="279"/>
        <v>#DIV/0!</v>
      </c>
      <c r="BR399" s="254" t="e">
        <f t="shared" si="291"/>
        <v>#DIV/0!</v>
      </c>
      <c r="BS399" s="254">
        <f t="shared" si="303"/>
        <v>2.0000000000000601E-5</v>
      </c>
      <c r="BT399" s="253">
        <f t="shared" si="280"/>
        <v>2.8635642126552738E-4</v>
      </c>
      <c r="BU399" s="253">
        <f t="shared" si="304"/>
        <v>4.7999999999999947E-4</v>
      </c>
      <c r="BV399" s="255">
        <f t="shared" si="292"/>
        <v>4.7999999999999945E-2</v>
      </c>
      <c r="BX399" s="351" t="e">
        <f>((((IF($T$5=0,$T$6,$T$5)))/(12*$T$19))+(((3*$T$15)/(2*IF($T$5=0,$T$6,$T$5)*$U$5*$T$19))*'IN-OUT'!$F$14))*'Burland damage classification'!CB399</f>
        <v>#DIV/0!</v>
      </c>
      <c r="BY399" s="352">
        <f>(1+(((IF($T$5=0,$T$6^2,$T$5^2))*$U$5)/(18*$T$15))*('IN-OUT'!$F$14^(-1)))*CC399</f>
        <v>8.1486195149853475E-4</v>
      </c>
      <c r="BZ399" s="254" t="e">
        <f t="shared" si="281"/>
        <v>#DIV/0!</v>
      </c>
      <c r="CA399" s="254" t="e">
        <f t="shared" si="293"/>
        <v>#DIV/0!</v>
      </c>
      <c r="CB399" s="254">
        <f t="shared" si="305"/>
        <v>5.2000000000000104E-4</v>
      </c>
      <c r="CC399" s="253">
        <f t="shared" si="282"/>
        <v>8.1486195149853475E-4</v>
      </c>
      <c r="CD399" s="253">
        <f t="shared" si="306"/>
        <v>4.7999999999999947E-4</v>
      </c>
      <c r="CE399" s="255">
        <f t="shared" si="294"/>
        <v>4.7999999999999945E-2</v>
      </c>
      <c r="CG399" s="351" t="e">
        <f>((((IF($T$5=0,$T$6,$T$5)))/(12*$T$19))+(((3*$T$15)/(2*IF($T$5=0,$T$6,$T$5)*$U$5*$T$19))*'IN-OUT'!$F$14))*'Burland damage classification'!CK399</f>
        <v>#DIV/0!</v>
      </c>
      <c r="CH399" s="352">
        <f>(1+(((IF($T$5=0,$T$6^2,$T$5^2))*$U$5)/(18*$T$15))*('IN-OUT'!$F$14^(-1)))*CL399</f>
        <v>1.824280680158621E-3</v>
      </c>
      <c r="CI399" s="254" t="e">
        <f t="shared" si="283"/>
        <v>#DIV/0!</v>
      </c>
      <c r="CJ399" s="254" t="e">
        <f t="shared" si="295"/>
        <v>#DIV/0!</v>
      </c>
      <c r="CK399" s="254">
        <f t="shared" si="307"/>
        <v>1.5199999999999951E-3</v>
      </c>
      <c r="CL399" s="270">
        <f t="shared" si="284"/>
        <v>1.824280680158621E-3</v>
      </c>
      <c r="CM399" s="253">
        <f t="shared" si="308"/>
        <v>4.7999999999999947E-4</v>
      </c>
      <c r="CN399" s="255">
        <f t="shared" si="296"/>
        <v>4.7999999999999945E-2</v>
      </c>
    </row>
    <row r="400" spans="31:92">
      <c r="AE400" s="258">
        <f>(((IF($S$5&lt;&gt;0,$S$5,IF($S$6&lt;&gt;0,$S$6,IF($S$7&lt;&gt;0,$S$7,0))))/(12*$S$19))+(((3*$S$15)/(2*(IF($S$5&lt;&gt;0,$S$5,IF($S$6&lt;&gt;0,$S$6,IF($S$7&lt;&gt;0,$S$7,0))))*$U$5*$S$19))*'IN-OUT'!$F$14))*'Burland damage classification'!AI400</f>
        <v>1.1692599340287623E-4</v>
      </c>
      <c r="AF400" s="353">
        <f>(1+(((IF($S$5&lt;&gt;0,$S$5^2,IF($S$6&lt;&gt;0,$S$6^2,IF($S$7&lt;&gt;0,$S$7^2))))*$U$5)/(18*$S$15))*('IN-OUT'!$F$14^(-1)))*AJ400</f>
        <v>2.8419076106423673E-4</v>
      </c>
      <c r="AG400" s="254">
        <f t="shared" si="273"/>
        <v>1.1692599340287623E-4</v>
      </c>
      <c r="AH400" s="254">
        <f t="shared" si="285"/>
        <v>1.1692599340287622E-2</v>
      </c>
      <c r="AI400" s="254">
        <f t="shared" si="297"/>
        <v>1.3333333333333935E-5</v>
      </c>
      <c r="AJ400" s="253">
        <f t="shared" si="274"/>
        <v>2.8225284173355426E-4</v>
      </c>
      <c r="AK400" s="253">
        <f t="shared" si="298"/>
        <v>4.8666666666666612E-4</v>
      </c>
      <c r="AL400" s="255">
        <f t="shared" si="286"/>
        <v>4.8666666666666615E-2</v>
      </c>
      <c r="AN400" s="258">
        <f>(((IF($S$5&lt;&gt;0,$S$5,IF($S$6&lt;&gt;0,$S$6,IF($S$7&lt;&gt;0,$S$7,0))))/(12*$S$19))+(((3*$S$15)/(2*(IF($S$5&lt;&gt;0,$S$5,IF($S$6&lt;&gt;0,$S$6,IF($S$7&lt;&gt;0,$S$7,0))))*$U$5*$S$19))*'IN-OUT'!$F$14))*'Burland damage classification'!AR400</f>
        <v>4.5016507460105409E-3</v>
      </c>
      <c r="AO400" s="353">
        <f>(1+(((IF($S$5&lt;&gt;0,$S$5^2,IF($S$6&lt;&gt;0,$S$6^2,IF($S$7&lt;&gt;0,$S$7^2))))*$U$5)/(18*$S$15))*('IN-OUT'!$F$14^(-1)))*AS400</f>
        <v>8.1756849622249166E-4</v>
      </c>
      <c r="AP400" s="254">
        <f t="shared" si="275"/>
        <v>8.1756849622249166E-4</v>
      </c>
      <c r="AQ400" s="254">
        <f t="shared" si="287"/>
        <v>8.1756849622249161E-2</v>
      </c>
      <c r="AR400" s="254">
        <f t="shared" si="299"/>
        <v>5.1333333333333439E-4</v>
      </c>
      <c r="AS400" s="253">
        <f t="shared" si="276"/>
        <v>8.1199343182893644E-4</v>
      </c>
      <c r="AT400" s="253">
        <f t="shared" si="300"/>
        <v>4.8666666666666612E-4</v>
      </c>
      <c r="AU400" s="255">
        <f t="shared" si="288"/>
        <v>4.8666666666666615E-2</v>
      </c>
      <c r="AW400" s="258">
        <f>(((IF($S$5&lt;&gt;0,$S$5,IF($S$6&lt;&gt;0,$S$6,IF($S$7&lt;&gt;0,$S$7,0))))/(12*$S$19))+(((3*$S$15)/(2*(IF($S$5&lt;&gt;0,$S$5,IF($S$6&lt;&gt;0,$S$6,IF($S$7&lt;&gt;0,$S$7,0))))*$U$5*$S$19))*'IN-OUT'!$F$14))*'Burland damage classification'!BA400</f>
        <v>1.327110025122581E-2</v>
      </c>
      <c r="AX400" s="353">
        <f>(1+(((IF($S$5&lt;&gt;0,$S$5^2,IF($S$6&lt;&gt;0,$S$6^2,IF($S$7&lt;&gt;0,$S$7^2))))*$U$5)/(18*$S$15))*('IN-OUT'!$F$14^(-1)))*BB400</f>
        <v>1.8342285481092254E-3</v>
      </c>
      <c r="AY400" s="254">
        <f t="shared" si="277"/>
        <v>1.8342285481092254E-3</v>
      </c>
      <c r="AZ400" s="254">
        <f t="shared" si="289"/>
        <v>0.18342285481092255</v>
      </c>
      <c r="BA400" s="254">
        <f t="shared" si="301"/>
        <v>1.5133333333333283E-3</v>
      </c>
      <c r="BB400" s="270">
        <f t="shared" si="278"/>
        <v>1.8217207982198225E-3</v>
      </c>
      <c r="BC400" s="253">
        <f t="shared" si="302"/>
        <v>4.8666666666666612E-4</v>
      </c>
      <c r="BD400" s="255">
        <f t="shared" si="290"/>
        <v>4.8666666666666615E-2</v>
      </c>
      <c r="BI400" s="248"/>
      <c r="BO400" s="351" t="e">
        <f>((((IF($T$5=0,$T$6,$T$5)))/(12*$T$19))+(((3*$T$15)/(2*IF($T$5=0,$T$6,$T$5)*$U$5*$T$19))*'IN-OUT'!$F$14))*'Burland damage classification'!BS400</f>
        <v>#DIV/0!</v>
      </c>
      <c r="BP400" s="352">
        <f>(1+(((IF($T$5=0,$T$6^2,$T$5^2))*$U$5)/(18*$T$15))*('IN-OUT'!$F$14^(-1)))*BT400</f>
        <v>2.8225284173355426E-4</v>
      </c>
      <c r="BQ400" s="254" t="e">
        <f t="shared" si="279"/>
        <v>#DIV/0!</v>
      </c>
      <c r="BR400" s="254" t="e">
        <f t="shared" si="291"/>
        <v>#DIV/0!</v>
      </c>
      <c r="BS400" s="254">
        <f t="shared" si="303"/>
        <v>1.3333333333333935E-5</v>
      </c>
      <c r="BT400" s="253">
        <f t="shared" si="280"/>
        <v>2.8225284173355426E-4</v>
      </c>
      <c r="BU400" s="253">
        <f t="shared" si="304"/>
        <v>4.8666666666666612E-4</v>
      </c>
      <c r="BV400" s="255">
        <f t="shared" si="292"/>
        <v>4.8666666666666615E-2</v>
      </c>
      <c r="BX400" s="351" t="e">
        <f>((((IF($T$5=0,$T$6,$T$5)))/(12*$T$19))+(((3*$T$15)/(2*IF($T$5=0,$T$6,$T$5)*$U$5*$T$19))*'IN-OUT'!$F$14))*'Burland damage classification'!CB400</f>
        <v>#DIV/0!</v>
      </c>
      <c r="BY400" s="352">
        <f>(1+(((IF($T$5=0,$T$6^2,$T$5^2))*$U$5)/(18*$T$15))*('IN-OUT'!$F$14^(-1)))*CC400</f>
        <v>8.1199343182893644E-4</v>
      </c>
      <c r="BZ400" s="254" t="e">
        <f t="shared" si="281"/>
        <v>#DIV/0!</v>
      </c>
      <c r="CA400" s="254" t="e">
        <f t="shared" si="293"/>
        <v>#DIV/0!</v>
      </c>
      <c r="CB400" s="254">
        <f t="shared" si="305"/>
        <v>5.1333333333333439E-4</v>
      </c>
      <c r="CC400" s="253">
        <f t="shared" si="282"/>
        <v>8.1199343182893644E-4</v>
      </c>
      <c r="CD400" s="253">
        <f t="shared" si="306"/>
        <v>4.8666666666666612E-4</v>
      </c>
      <c r="CE400" s="255">
        <f t="shared" si="294"/>
        <v>4.8666666666666615E-2</v>
      </c>
      <c r="CG400" s="351" t="e">
        <f>((((IF($T$5=0,$T$6,$T$5)))/(12*$T$19))+(((3*$T$15)/(2*IF($T$5=0,$T$6,$T$5)*$U$5*$T$19))*'IN-OUT'!$F$14))*'Burland damage classification'!CK400</f>
        <v>#DIV/0!</v>
      </c>
      <c r="CH400" s="352">
        <f>(1+(((IF($T$5=0,$T$6^2,$T$5^2))*$U$5)/(18*$T$15))*('IN-OUT'!$F$14^(-1)))*CL400</f>
        <v>1.8217207982198225E-3</v>
      </c>
      <c r="CI400" s="254" t="e">
        <f t="shared" si="283"/>
        <v>#DIV/0!</v>
      </c>
      <c r="CJ400" s="254" t="e">
        <f t="shared" si="295"/>
        <v>#DIV/0!</v>
      </c>
      <c r="CK400" s="254">
        <f t="shared" si="307"/>
        <v>1.5133333333333283E-3</v>
      </c>
      <c r="CL400" s="270">
        <f t="shared" si="284"/>
        <v>1.8217207982198225E-3</v>
      </c>
      <c r="CM400" s="253">
        <f t="shared" si="308"/>
        <v>4.8666666666666612E-4</v>
      </c>
      <c r="CN400" s="255">
        <f t="shared" si="296"/>
        <v>4.8666666666666615E-2</v>
      </c>
    </row>
    <row r="401" spans="24:92">
      <c r="AE401" s="258">
        <f>(((IF($S$5&lt;&gt;0,$S$5,IF($S$6&lt;&gt;0,$S$6,IF($S$7&lt;&gt;0,$S$7,0))))/(12*$S$19))+(((3*$S$15)/(2*(IF($S$5&lt;&gt;0,$S$5,IF($S$6&lt;&gt;0,$S$6,IF($S$7&lt;&gt;0,$S$7,0))))*$U$5*$S$19))*'IN-OUT'!$F$14))*'Burland damage classification'!AI401</f>
        <v>5.8462996701440752E-5</v>
      </c>
      <c r="AF401" s="353">
        <f>(1+(((IF($S$5&lt;&gt;0,$S$5^2,IF($S$6&lt;&gt;0,$S$6^2,IF($S$7&lt;&gt;0,$S$7^2))))*$U$5)/(18*$S$15))*('IN-OUT'!$F$14^(-1)))*AJ401</f>
        <v>2.7999804372023311E-4</v>
      </c>
      <c r="AG401" s="254">
        <f t="shared" si="273"/>
        <v>5.8462996701440752E-5</v>
      </c>
      <c r="AH401" s="254">
        <f t="shared" si="285"/>
        <v>5.8462996701440749E-3</v>
      </c>
      <c r="AI401" s="254">
        <f t="shared" si="297"/>
        <v>6.666666666667268E-6</v>
      </c>
      <c r="AJ401" s="253">
        <f t="shared" si="274"/>
        <v>2.7808871486152307E-4</v>
      </c>
      <c r="AK401" s="253">
        <f t="shared" si="298"/>
        <v>4.9333333333333282E-4</v>
      </c>
      <c r="AL401" s="255">
        <f t="shared" si="286"/>
        <v>4.9333333333333285E-2</v>
      </c>
      <c r="AN401" s="258">
        <f>(((IF($S$5&lt;&gt;0,$S$5,IF($S$6&lt;&gt;0,$S$6,IF($S$7&lt;&gt;0,$S$7,0))))/(12*$S$19))+(((3*$S$15)/(2*(IF($S$5&lt;&gt;0,$S$5,IF($S$6&lt;&gt;0,$S$6,IF($S$7&lt;&gt;0,$S$7,0))))*$U$5*$S$19))*'IN-OUT'!$F$14))*'Burland damage classification'!AR401</f>
        <v>4.4431877493091056E-3</v>
      </c>
      <c r="AO401" s="353">
        <f>(1+(((IF($S$5&lt;&gt;0,$S$5^2,IF($S$6&lt;&gt;0,$S$6^2,IF($S$7&lt;&gt;0,$S$7^2))))*$U$5)/(18*$S$15))*('IN-OUT'!$F$14^(-1)))*AS401</f>
        <v>8.1467004218964704E-4</v>
      </c>
      <c r="AP401" s="254">
        <f t="shared" si="275"/>
        <v>8.1467004218964704E-4</v>
      </c>
      <c r="AQ401" s="254">
        <f t="shared" si="287"/>
        <v>8.1467004218964703E-2</v>
      </c>
      <c r="AR401" s="254">
        <f t="shared" si="299"/>
        <v>5.0666666666666774E-4</v>
      </c>
      <c r="AS401" s="253">
        <f t="shared" si="276"/>
        <v>8.0911474258393476E-4</v>
      </c>
      <c r="AT401" s="253">
        <f t="shared" si="300"/>
        <v>4.9333333333333282E-4</v>
      </c>
      <c r="AU401" s="255">
        <f t="shared" si="288"/>
        <v>4.9333333333333285E-2</v>
      </c>
      <c r="AW401" s="258">
        <f>(((IF($S$5&lt;&gt;0,$S$5,IF($S$6&lt;&gt;0,$S$6,IF($S$7&lt;&gt;0,$S$7,0))))/(12*$S$19))+(((3*$S$15)/(2*(IF($S$5&lt;&gt;0,$S$5,IF($S$6&lt;&gt;0,$S$6,IF($S$7&lt;&gt;0,$S$7,0))))*$U$5*$S$19))*'IN-OUT'!$F$14))*'Burland damage classification'!BA401</f>
        <v>1.3212637254524373E-2</v>
      </c>
      <c r="AX401" s="353">
        <f>(1+(((IF($S$5&lt;&gt;0,$S$5^2,IF($S$6&lt;&gt;0,$S$6^2,IF($S$7&lt;&gt;0,$S$7^2))))*$U$5)/(18*$S$15))*('IN-OUT'!$F$14^(-1)))*BB401</f>
        <v>1.831647463337426E-3</v>
      </c>
      <c r="AY401" s="254">
        <f t="shared" si="277"/>
        <v>1.831647463337426E-3</v>
      </c>
      <c r="AZ401" s="254">
        <f t="shared" si="289"/>
        <v>0.18316474633374261</v>
      </c>
      <c r="BA401" s="254">
        <f t="shared" si="301"/>
        <v>1.5066666666666616E-3</v>
      </c>
      <c r="BB401" s="270">
        <f t="shared" si="278"/>
        <v>1.8191573140697134E-3</v>
      </c>
      <c r="BC401" s="253">
        <f t="shared" si="302"/>
        <v>4.9333333333333282E-4</v>
      </c>
      <c r="BD401" s="255">
        <f t="shared" si="290"/>
        <v>4.9333333333333285E-2</v>
      </c>
      <c r="BI401" s="248"/>
      <c r="BO401" s="351" t="e">
        <f>((((IF($T$5=0,$T$6,$T$5)))/(12*$T$19))+(((3*$T$15)/(2*IF($T$5=0,$T$6,$T$5)*$U$5*$T$19))*'IN-OUT'!$F$14))*'Burland damage classification'!BS401</f>
        <v>#DIV/0!</v>
      </c>
      <c r="BP401" s="352">
        <f>(1+(((IF($T$5=0,$T$6^2,$T$5^2))*$U$5)/(18*$T$15))*('IN-OUT'!$F$14^(-1)))*BT401</f>
        <v>2.7808871486152307E-4</v>
      </c>
      <c r="BQ401" s="254" t="e">
        <f t="shared" si="279"/>
        <v>#DIV/0!</v>
      </c>
      <c r="BR401" s="254" t="e">
        <f t="shared" si="291"/>
        <v>#DIV/0!</v>
      </c>
      <c r="BS401" s="254">
        <f t="shared" si="303"/>
        <v>6.666666666667268E-6</v>
      </c>
      <c r="BT401" s="253">
        <f t="shared" si="280"/>
        <v>2.7808871486152307E-4</v>
      </c>
      <c r="BU401" s="253">
        <f t="shared" si="304"/>
        <v>4.9333333333333282E-4</v>
      </c>
      <c r="BV401" s="255">
        <f t="shared" si="292"/>
        <v>4.9333333333333285E-2</v>
      </c>
      <c r="BX401" s="351" t="e">
        <f>((((IF($T$5=0,$T$6,$T$5)))/(12*$T$19))+(((3*$T$15)/(2*IF($T$5=0,$T$6,$T$5)*$U$5*$T$19))*'IN-OUT'!$F$14))*'Burland damage classification'!CB401</f>
        <v>#DIV/0!</v>
      </c>
      <c r="BY401" s="352">
        <f>(1+(((IF($T$5=0,$T$6^2,$T$5^2))*$U$5)/(18*$T$15))*('IN-OUT'!$F$14^(-1)))*CC401</f>
        <v>8.0911474258393476E-4</v>
      </c>
      <c r="BZ401" s="254" t="e">
        <f t="shared" si="281"/>
        <v>#DIV/0!</v>
      </c>
      <c r="CA401" s="254" t="e">
        <f t="shared" si="293"/>
        <v>#DIV/0!</v>
      </c>
      <c r="CB401" s="254">
        <f t="shared" si="305"/>
        <v>5.0666666666666774E-4</v>
      </c>
      <c r="CC401" s="253">
        <f t="shared" si="282"/>
        <v>8.0911474258393476E-4</v>
      </c>
      <c r="CD401" s="253">
        <f t="shared" si="306"/>
        <v>4.9333333333333282E-4</v>
      </c>
      <c r="CE401" s="255">
        <f t="shared" si="294"/>
        <v>4.9333333333333285E-2</v>
      </c>
      <c r="CG401" s="351" t="e">
        <f>((((IF($T$5=0,$T$6,$T$5)))/(12*$T$19))+(((3*$T$15)/(2*IF($T$5=0,$T$6,$T$5)*$U$5*$T$19))*'IN-OUT'!$F$14))*'Burland damage classification'!CK401</f>
        <v>#DIV/0!</v>
      </c>
      <c r="CH401" s="352">
        <f>(1+(((IF($T$5=0,$T$6^2,$T$5^2))*$U$5)/(18*$T$15))*('IN-OUT'!$F$14^(-1)))*CL401</f>
        <v>1.8191573140697134E-3</v>
      </c>
      <c r="CI401" s="254" t="e">
        <f t="shared" si="283"/>
        <v>#DIV/0!</v>
      </c>
      <c r="CJ401" s="254" t="e">
        <f t="shared" si="295"/>
        <v>#DIV/0!</v>
      </c>
      <c r="CK401" s="254">
        <f t="shared" si="307"/>
        <v>1.5066666666666616E-3</v>
      </c>
      <c r="CL401" s="270">
        <f t="shared" si="284"/>
        <v>1.8191573140697134E-3</v>
      </c>
      <c r="CM401" s="253">
        <f t="shared" si="308"/>
        <v>4.9333333333333282E-4</v>
      </c>
      <c r="CN401" s="255">
        <f t="shared" si="296"/>
        <v>4.9333333333333285E-2</v>
      </c>
    </row>
    <row r="402" spans="24:92" ht="13.8" thickBot="1">
      <c r="AE402" s="258">
        <f>(((IF($S$5&lt;&gt;0,$S$5,IF($S$6&lt;&gt;0,$S$6,IF($S$7&lt;&gt;0,$S$7,0))))/(12*$S$19))+(((3*$S$15)/(2*(IF($S$5&lt;&gt;0,$S$5,IF($S$6&lt;&gt;0,$S$6,IF($S$7&lt;&gt;0,$S$7,0))))*$U$5*$S$19))*'IN-OUT'!$F$14))*'Burland damage classification'!AI402</f>
        <v>5.2738889887422131E-18</v>
      </c>
      <c r="AF402" s="353">
        <f>(1+(((IF($S$5&lt;&gt;0,$S$5^2,IF($S$6&lt;&gt;0,$S$6^2,IF($S$7&lt;&gt;0,$S$7^2))))*$U$5)/(18*$S$15))*('IN-OUT'!$F$14^(-1)))*AJ402</f>
        <v>2.7574158246453345E-4</v>
      </c>
      <c r="AG402" s="259">
        <f t="shared" si="273"/>
        <v>5.2738889887422131E-18</v>
      </c>
      <c r="AH402" s="259">
        <f t="shared" si="285"/>
        <v>5.2738889887422131E-16</v>
      </c>
      <c r="AI402" s="254">
        <f t="shared" si="297"/>
        <v>6.0139339255055324E-19</v>
      </c>
      <c r="AJ402" s="260">
        <f t="shared" si="274"/>
        <v>2.7386127875258338E-4</v>
      </c>
      <c r="AK402" s="253">
        <f t="shared" si="298"/>
        <v>4.9999999999999947E-4</v>
      </c>
      <c r="AL402" s="261">
        <f t="shared" si="286"/>
        <v>4.9999999999999947E-2</v>
      </c>
      <c r="AN402" s="258">
        <f>(((IF($S$5&lt;&gt;0,$S$5,IF($S$6&lt;&gt;0,$S$6,IF($S$7&lt;&gt;0,$S$7,0))))/(12*$S$19))+(((3*$S$15)/(2*(IF($S$5&lt;&gt;0,$S$5,IF($S$6&lt;&gt;0,$S$6,IF($S$7&lt;&gt;0,$S$7,0))))*$U$5*$S$19))*'IN-OUT'!$F$14))*'Burland damage classification'!AR402</f>
        <v>4.3847247526076702E-3</v>
      </c>
      <c r="AO402" s="353">
        <f>(1+(((IF($S$5&lt;&gt;0,$S$5^2,IF($S$6&lt;&gt;0,$S$6^2,IF($S$7&lt;&gt;0,$S$7^2))))*$U$5)/(18*$S$15))*('IN-OUT'!$F$14^(-1)))*AS402</f>
        <v>8.1176123907652565E-4</v>
      </c>
      <c r="AP402" s="254">
        <f t="shared" si="275"/>
        <v>8.1176123907652565E-4</v>
      </c>
      <c r="AQ402" s="254">
        <f t="shared" si="287"/>
        <v>8.1176123907652567E-2</v>
      </c>
      <c r="AR402" s="254">
        <f t="shared" si="299"/>
        <v>5.0000000000000109E-4</v>
      </c>
      <c r="AS402" s="253">
        <f t="shared" si="276"/>
        <v>8.0622577482985516E-4</v>
      </c>
      <c r="AT402" s="253">
        <f t="shared" si="300"/>
        <v>4.9999999999999947E-4</v>
      </c>
      <c r="AU402" s="255">
        <f t="shared" si="288"/>
        <v>4.9999999999999947E-2</v>
      </c>
      <c r="AW402" s="258">
        <f>(((IF($S$5&lt;&gt;0,$S$5,IF($S$6&lt;&gt;0,$S$6,IF($S$7&lt;&gt;0,$S$7,0))))/(12*$S$19))+(((3*$S$15)/(2*(IF($S$5&lt;&gt;0,$S$5,IF($S$6&lt;&gt;0,$S$6,IF($S$7&lt;&gt;0,$S$7,0))))*$U$5*$S$19))*'IN-OUT'!$F$14))*'Burland damage classification'!BA402</f>
        <v>1.3154174257822938E-2</v>
      </c>
      <c r="AX402" s="353">
        <f>(1+(((IF($S$5&lt;&gt;0,$S$5^2,IF($S$6&lt;&gt;0,$S$6^2,IF($S$7&lt;&gt;0,$S$7^2))))*$U$5)/(18*$S$15))*('IN-OUT'!$F$14^(-1)))*BB402</f>
        <v>1.8290627362673969E-3</v>
      </c>
      <c r="AY402" s="254">
        <f t="shared" si="277"/>
        <v>1.8290627362673969E-3</v>
      </c>
      <c r="AZ402" s="254">
        <f t="shared" si="289"/>
        <v>0.1829062736267397</v>
      </c>
      <c r="BA402" s="254">
        <f t="shared" si="301"/>
        <v>1.4999999999999948E-3</v>
      </c>
      <c r="BB402" s="270">
        <f t="shared" si="278"/>
        <v>1.8165902124584951E-3</v>
      </c>
      <c r="BC402" s="253">
        <f t="shared" si="302"/>
        <v>4.9999999999999947E-4</v>
      </c>
      <c r="BD402" s="255">
        <f t="shared" si="290"/>
        <v>4.9999999999999947E-2</v>
      </c>
      <c r="BI402" s="248"/>
      <c r="BO402" s="351" t="e">
        <f>((((IF($T$5=0,$T$6,$T$5)))/(12*$T$19))+(((3*$T$15)/(2*IF($T$5=0,$T$6,$T$5)*$U$5*$T$19))*'IN-OUT'!$F$14))*'Burland damage classification'!BS402</f>
        <v>#DIV/0!</v>
      </c>
      <c r="BP402" s="352">
        <f>(1+(((IF($T$5=0,$T$6^2,$T$5^2))*$U$5)/(18*$T$15))*('IN-OUT'!$F$14^(-1)))*BT402</f>
        <v>2.7386127875258338E-4</v>
      </c>
      <c r="BQ402" s="259" t="e">
        <f t="shared" si="279"/>
        <v>#DIV/0!</v>
      </c>
      <c r="BR402" s="259" t="e">
        <f t="shared" si="291"/>
        <v>#DIV/0!</v>
      </c>
      <c r="BS402" s="254">
        <f t="shared" si="303"/>
        <v>6.0139339255055324E-19</v>
      </c>
      <c r="BT402" s="260">
        <f t="shared" si="280"/>
        <v>2.7386127875258338E-4</v>
      </c>
      <c r="BU402" s="253">
        <f t="shared" si="304"/>
        <v>4.9999999999999947E-4</v>
      </c>
      <c r="BV402" s="261">
        <f t="shared" si="292"/>
        <v>4.9999999999999947E-2</v>
      </c>
      <c r="BX402" s="351" t="e">
        <f>((((IF($T$5=0,$T$6,$T$5)))/(12*$T$19))+(((3*$T$15)/(2*IF($T$5=0,$T$6,$T$5)*$U$5*$T$19))*'IN-OUT'!$F$14))*'Burland damage classification'!CB402</f>
        <v>#DIV/0!</v>
      </c>
      <c r="BY402" s="352">
        <f>(1+(((IF($T$5=0,$T$6^2,$T$5^2))*$U$5)/(18*$T$15))*('IN-OUT'!$F$14^(-1)))*CC402</f>
        <v>8.0622577482985516E-4</v>
      </c>
      <c r="BZ402" s="254" t="e">
        <f t="shared" si="281"/>
        <v>#DIV/0!</v>
      </c>
      <c r="CA402" s="254" t="e">
        <f t="shared" si="293"/>
        <v>#DIV/0!</v>
      </c>
      <c r="CB402" s="254">
        <f t="shared" si="305"/>
        <v>5.0000000000000109E-4</v>
      </c>
      <c r="CC402" s="253">
        <f t="shared" si="282"/>
        <v>8.0622577482985516E-4</v>
      </c>
      <c r="CD402" s="253">
        <f t="shared" si="306"/>
        <v>4.9999999999999947E-4</v>
      </c>
      <c r="CE402" s="255">
        <f t="shared" si="294"/>
        <v>4.9999999999999947E-2</v>
      </c>
      <c r="CG402" s="351" t="e">
        <f>((((IF($T$5=0,$T$6,$T$5)))/(12*$T$19))+(((3*$T$15)/(2*IF($T$5=0,$T$6,$T$5)*$U$5*$T$19))*'IN-OUT'!$F$14))*'Burland damage classification'!CK402</f>
        <v>#DIV/0!</v>
      </c>
      <c r="CH402" s="352">
        <f>(1+(((IF($T$5=0,$T$6^2,$T$5^2))*$U$5)/(18*$T$15))*('IN-OUT'!$F$14^(-1)))*CL402</f>
        <v>1.8165902124584951E-3</v>
      </c>
      <c r="CI402" s="254" t="e">
        <f t="shared" si="283"/>
        <v>#DIV/0!</v>
      </c>
      <c r="CJ402" s="254" t="e">
        <f t="shared" si="295"/>
        <v>#DIV/0!</v>
      </c>
      <c r="CK402" s="254">
        <f t="shared" si="307"/>
        <v>1.4999999999999948E-3</v>
      </c>
      <c r="CL402" s="270">
        <f t="shared" si="284"/>
        <v>1.8165902124584951E-3</v>
      </c>
      <c r="CM402" s="253">
        <f t="shared" si="308"/>
        <v>4.9999999999999947E-4</v>
      </c>
      <c r="CN402" s="255">
        <f t="shared" si="296"/>
        <v>4.9999999999999947E-2</v>
      </c>
    </row>
    <row r="403" spans="24:92">
      <c r="X403" s="1201" t="s">
        <v>183</v>
      </c>
      <c r="Y403" s="1201"/>
      <c r="AA403" s="1201" t="s">
        <v>182</v>
      </c>
      <c r="AB403" s="1201"/>
      <c r="AJ403" s="254"/>
      <c r="AN403" s="258">
        <f>(((IF($S$5&lt;&gt;0,$S$5,IF($S$6&lt;&gt;0,$S$6,IF($S$7&lt;&gt;0,$S$7,0))))/(12*$S$19))+(((3*$S$15)/(2*(IF($S$5&lt;&gt;0,$S$5,IF($S$6&lt;&gt;0,$S$6,IF($S$7&lt;&gt;0,$S$7,0))))*$U$5*$S$19))*'IN-OUT'!$F$14))*'Burland damage classification'!AR403</f>
        <v>4.3262617559062348E-3</v>
      </c>
      <c r="AO403" s="353">
        <f>(1+(((IF($S$5&lt;&gt;0,$S$5^2,IF($S$6&lt;&gt;0,$S$6^2,IF($S$7&lt;&gt;0,$S$7^2))))*$U$5)/(18*$S$15))*('IN-OUT'!$F$14^(-1)))*AS403</f>
        <v>8.088419752292973E-4</v>
      </c>
      <c r="AP403" s="254">
        <f t="shared" si="275"/>
        <v>8.088419752292973E-4</v>
      </c>
      <c r="AQ403" s="254">
        <f t="shared" si="287"/>
        <v>8.0884197522929732E-2</v>
      </c>
      <c r="AR403" s="254">
        <f t="shared" si="299"/>
        <v>4.9333333333333445E-4</v>
      </c>
      <c r="AS403" s="253">
        <f t="shared" si="276"/>
        <v>8.0332641767424376E-4</v>
      </c>
      <c r="AT403" s="253">
        <f t="shared" si="300"/>
        <v>5.0666666666666612E-4</v>
      </c>
      <c r="AU403" s="255">
        <f t="shared" si="288"/>
        <v>5.066666666666661E-2</v>
      </c>
      <c r="AW403" s="258">
        <f>(((IF($S$5&lt;&gt;0,$S$5,IF($S$6&lt;&gt;0,$S$6,IF($S$7&lt;&gt;0,$S$7,0))))/(12*$S$19))+(((3*$S$15)/(2*(IF($S$5&lt;&gt;0,$S$5,IF($S$6&lt;&gt;0,$S$6,IF($S$7&lt;&gt;0,$S$7,0))))*$U$5*$S$19))*'IN-OUT'!$F$14))*'Burland damage classification'!BA403</f>
        <v>1.3095711261121501E-2</v>
      </c>
      <c r="AX403" s="353">
        <f>(1+(((IF($S$5&lt;&gt;0,$S$5^2,IF($S$6&lt;&gt;0,$S$6^2,IF($S$7&lt;&gt;0,$S$7^2))))*$U$5)/(18*$S$15))*('IN-OUT'!$F$14^(-1)))*BB403</f>
        <v>1.8264743514359917E-3</v>
      </c>
      <c r="AY403" s="254">
        <f t="shared" si="277"/>
        <v>1.8264743514359917E-3</v>
      </c>
      <c r="AZ403" s="254">
        <f t="shared" si="289"/>
        <v>0.18264743514359916</v>
      </c>
      <c r="BA403" s="254">
        <f t="shared" si="301"/>
        <v>1.4933333333333281E-3</v>
      </c>
      <c r="BB403" s="270">
        <f t="shared" si="278"/>
        <v>1.8140194780284656E-3</v>
      </c>
      <c r="BC403" s="253">
        <f t="shared" si="302"/>
        <v>5.0666666666666612E-4</v>
      </c>
      <c r="BD403" s="255">
        <f t="shared" si="290"/>
        <v>5.066666666666661E-2</v>
      </c>
      <c r="BI403" s="248"/>
      <c r="BT403" s="254"/>
      <c r="BX403" s="351" t="e">
        <f>((((IF($T$5=0,$T$6,$T$5)))/(12*$T$19))+(((3*$T$15)/(2*IF($T$5=0,$T$6,$T$5)*$U$5*$T$19))*'IN-OUT'!$F$14))*'Burland damage classification'!CB403</f>
        <v>#DIV/0!</v>
      </c>
      <c r="BY403" s="352">
        <f>(1+(((IF($T$5=0,$T$6^2,$T$5^2))*$U$5)/(18*$T$15))*('IN-OUT'!$F$14^(-1)))*CC403</f>
        <v>8.0332641767424376E-4</v>
      </c>
      <c r="BZ403" s="254" t="e">
        <f t="shared" si="281"/>
        <v>#DIV/0!</v>
      </c>
      <c r="CA403" s="254" t="e">
        <f t="shared" si="293"/>
        <v>#DIV/0!</v>
      </c>
      <c r="CB403" s="254">
        <f t="shared" si="305"/>
        <v>4.9333333333333445E-4</v>
      </c>
      <c r="CC403" s="253">
        <f t="shared" si="282"/>
        <v>8.0332641767424376E-4</v>
      </c>
      <c r="CD403" s="253">
        <f t="shared" si="306"/>
        <v>5.0666666666666612E-4</v>
      </c>
      <c r="CE403" s="255">
        <f t="shared" si="294"/>
        <v>5.066666666666661E-2</v>
      </c>
      <c r="CG403" s="351" t="e">
        <f>((((IF($T$5=0,$T$6,$T$5)))/(12*$T$19))+(((3*$T$15)/(2*IF($T$5=0,$T$6,$T$5)*$U$5*$T$19))*'IN-OUT'!$F$14))*'Burland damage classification'!CK403</f>
        <v>#DIV/0!</v>
      </c>
      <c r="CH403" s="352">
        <f>(1+(((IF($T$5=0,$T$6^2,$T$5^2))*$U$5)/(18*$T$15))*('IN-OUT'!$F$14^(-1)))*CL403</f>
        <v>1.8140194780284656E-3</v>
      </c>
      <c r="CI403" s="254" t="e">
        <f t="shared" si="283"/>
        <v>#DIV/0!</v>
      </c>
      <c r="CJ403" s="254" t="e">
        <f t="shared" si="295"/>
        <v>#DIV/0!</v>
      </c>
      <c r="CK403" s="254">
        <f t="shared" si="307"/>
        <v>1.4933333333333281E-3</v>
      </c>
      <c r="CL403" s="270">
        <f t="shared" si="284"/>
        <v>1.8140194780284656E-3</v>
      </c>
      <c r="CM403" s="253">
        <f t="shared" si="308"/>
        <v>5.0666666666666612E-4</v>
      </c>
      <c r="CN403" s="255">
        <f t="shared" si="296"/>
        <v>5.066666666666661E-2</v>
      </c>
    </row>
    <row r="404" spans="24:92">
      <c r="AJ404" s="254"/>
      <c r="AN404" s="258">
        <f>(((IF($S$5&lt;&gt;0,$S$5,IF($S$6&lt;&gt;0,$S$6,IF($S$7&lt;&gt;0,$S$7,0))))/(12*$S$19))+(((3*$S$15)/(2*(IF($S$5&lt;&gt;0,$S$5,IF($S$6&lt;&gt;0,$S$6,IF($S$7&lt;&gt;0,$S$7,0))))*$U$5*$S$19))*'IN-OUT'!$F$14))*'Burland damage classification'!AR404</f>
        <v>4.2677987592048003E-3</v>
      </c>
      <c r="AO404" s="353">
        <f>(1+(((IF($S$5&lt;&gt;0,$S$5^2,IF($S$6&lt;&gt;0,$S$6^2,IF($S$7&lt;&gt;0,$S$7^2))))*$U$5)/(18*$S$15))*('IN-OUT'!$F$14^(-1)))*AS404</f>
        <v>8.0591213697189497E-4</v>
      </c>
      <c r="AP404" s="254">
        <f t="shared" si="275"/>
        <v>8.0591213697189497E-4</v>
      </c>
      <c r="AQ404" s="254">
        <f t="shared" si="287"/>
        <v>8.0591213697189495E-2</v>
      </c>
      <c r="AR404" s="254">
        <f t="shared" si="299"/>
        <v>4.866666666666678E-4</v>
      </c>
      <c r="AS404" s="253">
        <f t="shared" si="276"/>
        <v>8.004165582161998E-4</v>
      </c>
      <c r="AT404" s="253">
        <f t="shared" si="300"/>
        <v>5.1333333333333276E-4</v>
      </c>
      <c r="AU404" s="255">
        <f t="shared" si="288"/>
        <v>5.1333333333333279E-2</v>
      </c>
      <c r="AW404" s="258">
        <f>(((IF($S$5&lt;&gt;0,$S$5,IF($S$6&lt;&gt;0,$S$6,IF($S$7&lt;&gt;0,$S$7,0))))/(12*$S$19))+(((3*$S$15)/(2*(IF($S$5&lt;&gt;0,$S$5,IF($S$6&lt;&gt;0,$S$6,IF($S$7&lt;&gt;0,$S$7,0))))*$U$5*$S$19))*'IN-OUT'!$F$14))*'Burland damage classification'!BA404</f>
        <v>1.3037248264420065E-2</v>
      </c>
      <c r="AX404" s="353">
        <f>(1+(((IF($S$5&lt;&gt;0,$S$5^2,IF($S$6&lt;&gt;0,$S$6^2,IF($S$7&lt;&gt;0,$S$7^2))))*$U$5)/(18*$S$15))*('IN-OUT'!$F$14^(-1)))*BB404</f>
        <v>1.8238822932703407E-3</v>
      </c>
      <c r="AY404" s="254">
        <f t="shared" si="277"/>
        <v>1.8238822932703407E-3</v>
      </c>
      <c r="AZ404" s="254">
        <f t="shared" si="289"/>
        <v>0.18238822932703408</v>
      </c>
      <c r="BA404" s="254">
        <f t="shared" si="301"/>
        <v>1.4866666666666613E-3</v>
      </c>
      <c r="BB404" s="270">
        <f t="shared" si="278"/>
        <v>1.8114450953129477E-3</v>
      </c>
      <c r="BC404" s="253">
        <f t="shared" si="302"/>
        <v>5.1333333333333276E-4</v>
      </c>
      <c r="BD404" s="255">
        <f t="shared" si="290"/>
        <v>5.1333333333333279E-2</v>
      </c>
      <c r="BI404" s="248"/>
      <c r="BT404" s="254"/>
      <c r="BX404" s="351" t="e">
        <f>((((IF($T$5=0,$T$6,$T$5)))/(12*$T$19))+(((3*$T$15)/(2*IF($T$5=0,$T$6,$T$5)*$U$5*$T$19))*'IN-OUT'!$F$14))*'Burland damage classification'!CB404</f>
        <v>#DIV/0!</v>
      </c>
      <c r="BY404" s="352">
        <f>(1+(((IF($T$5=0,$T$6^2,$T$5^2))*$U$5)/(18*$T$15))*('IN-OUT'!$F$14^(-1)))*CC404</f>
        <v>8.004165582161998E-4</v>
      </c>
      <c r="BZ404" s="254" t="e">
        <f t="shared" si="281"/>
        <v>#DIV/0!</v>
      </c>
      <c r="CA404" s="254" t="e">
        <f t="shared" si="293"/>
        <v>#DIV/0!</v>
      </c>
      <c r="CB404" s="254">
        <f t="shared" si="305"/>
        <v>4.866666666666678E-4</v>
      </c>
      <c r="CC404" s="253">
        <f t="shared" si="282"/>
        <v>8.004165582161998E-4</v>
      </c>
      <c r="CD404" s="253">
        <f t="shared" si="306"/>
        <v>5.1333333333333276E-4</v>
      </c>
      <c r="CE404" s="255">
        <f t="shared" si="294"/>
        <v>5.1333333333333279E-2</v>
      </c>
      <c r="CG404" s="351" t="e">
        <f>((((IF($T$5=0,$T$6,$T$5)))/(12*$T$19))+(((3*$T$15)/(2*IF($T$5=0,$T$6,$T$5)*$U$5*$T$19))*'IN-OUT'!$F$14))*'Burland damage classification'!CK404</f>
        <v>#DIV/0!</v>
      </c>
      <c r="CH404" s="352">
        <f>(1+(((IF($T$5=0,$T$6^2,$T$5^2))*$U$5)/(18*$T$15))*('IN-OUT'!$F$14^(-1)))*CL404</f>
        <v>1.8114450953129477E-3</v>
      </c>
      <c r="CI404" s="254" t="e">
        <f t="shared" si="283"/>
        <v>#DIV/0!</v>
      </c>
      <c r="CJ404" s="254" t="e">
        <f t="shared" si="295"/>
        <v>#DIV/0!</v>
      </c>
      <c r="CK404" s="254">
        <f t="shared" si="307"/>
        <v>1.4866666666666613E-3</v>
      </c>
      <c r="CL404" s="270">
        <f t="shared" si="284"/>
        <v>1.8114450953129477E-3</v>
      </c>
      <c r="CM404" s="253">
        <f t="shared" si="308"/>
        <v>5.1333333333333276E-4</v>
      </c>
      <c r="CN404" s="255">
        <f t="shared" si="296"/>
        <v>5.1333333333333279E-2</v>
      </c>
    </row>
    <row r="405" spans="24:92">
      <c r="AJ405" s="254"/>
      <c r="AN405" s="258">
        <f>(((IF($S$5&lt;&gt;0,$S$5,IF($S$6&lt;&gt;0,$S$6,IF($S$7&lt;&gt;0,$S$7,0))))/(12*$S$19))+(((3*$S$15)/(2*(IF($S$5&lt;&gt;0,$S$5,IF($S$6&lt;&gt;0,$S$6,IF($S$7&lt;&gt;0,$S$7,0))))*$U$5*$S$19))*'IN-OUT'!$F$14))*'Burland damage classification'!AR405</f>
        <v>4.2093357625033649E-3</v>
      </c>
      <c r="AO405" s="353">
        <f>(1+(((IF($S$5&lt;&gt;0,$S$5^2,IF($S$6&lt;&gt;0,$S$6^2,IF($S$7&lt;&gt;0,$S$7^2))))*$U$5)/(18*$S$15))*('IN-OUT'!$F$14^(-1)))*AS405</f>
        <v>8.0297160855436302E-4</v>
      </c>
      <c r="AP405" s="254">
        <f t="shared" si="275"/>
        <v>8.0297160855436302E-4</v>
      </c>
      <c r="AQ405" s="254">
        <f t="shared" si="287"/>
        <v>8.0297160855436298E-2</v>
      </c>
      <c r="AR405" s="254">
        <f t="shared" si="299"/>
        <v>4.8000000000000115E-4</v>
      </c>
      <c r="AS405" s="253">
        <f t="shared" si="276"/>
        <v>7.9749608149507563E-4</v>
      </c>
      <c r="AT405" s="253">
        <f t="shared" si="300"/>
        <v>5.1999999999999941E-4</v>
      </c>
      <c r="AU405" s="255">
        <f t="shared" si="288"/>
        <v>5.1999999999999942E-2</v>
      </c>
      <c r="AW405" s="258">
        <f>(((IF($S$5&lt;&gt;0,$S$5,IF($S$6&lt;&gt;0,$S$6,IF($S$7&lt;&gt;0,$S$7,0))))/(12*$S$19))+(((3*$S$15)/(2*(IF($S$5&lt;&gt;0,$S$5,IF($S$6&lt;&gt;0,$S$6,IF($S$7&lt;&gt;0,$S$7,0))))*$U$5*$S$19))*'IN-OUT'!$F$14))*'Burland damage classification'!BA405</f>
        <v>1.2978785267718628E-2</v>
      </c>
      <c r="AX405" s="353">
        <f>(1+(((IF($S$5&lt;&gt;0,$S$5^2,IF($S$6&lt;&gt;0,$S$6^2,IF($S$7&lt;&gt;0,$S$7^2))))*$U$5)/(18*$S$15))*('IN-OUT'!$F$14^(-1)))*BB405</f>
        <v>1.8212865460867566E-3</v>
      </c>
      <c r="AY405" s="254">
        <f t="shared" si="277"/>
        <v>1.8212865460867566E-3</v>
      </c>
      <c r="AZ405" s="254">
        <f t="shared" si="289"/>
        <v>0.18212865460867567</v>
      </c>
      <c r="BA405" s="254">
        <f t="shared" si="301"/>
        <v>1.4799999999999946E-3</v>
      </c>
      <c r="BB405" s="270">
        <f t="shared" si="278"/>
        <v>1.8088670487352023E-3</v>
      </c>
      <c r="BC405" s="253">
        <f t="shared" si="302"/>
        <v>5.1999999999999941E-4</v>
      </c>
      <c r="BD405" s="255">
        <f t="shared" si="290"/>
        <v>5.1999999999999942E-2</v>
      </c>
      <c r="BI405" s="248"/>
      <c r="BT405" s="254"/>
      <c r="BX405" s="351" t="e">
        <f>((((IF($T$5=0,$T$6,$T$5)))/(12*$T$19))+(((3*$T$15)/(2*IF($T$5=0,$T$6,$T$5)*$U$5*$T$19))*'IN-OUT'!$F$14))*'Burland damage classification'!CB405</f>
        <v>#DIV/0!</v>
      </c>
      <c r="BY405" s="352">
        <f>(1+(((IF($T$5=0,$T$6^2,$T$5^2))*$U$5)/(18*$T$15))*('IN-OUT'!$F$14^(-1)))*CC405</f>
        <v>7.9749608149507563E-4</v>
      </c>
      <c r="BZ405" s="254" t="e">
        <f t="shared" si="281"/>
        <v>#DIV/0!</v>
      </c>
      <c r="CA405" s="254" t="e">
        <f t="shared" si="293"/>
        <v>#DIV/0!</v>
      </c>
      <c r="CB405" s="254">
        <f t="shared" si="305"/>
        <v>4.8000000000000115E-4</v>
      </c>
      <c r="CC405" s="253">
        <f t="shared" si="282"/>
        <v>7.9749608149507563E-4</v>
      </c>
      <c r="CD405" s="253">
        <f t="shared" si="306"/>
        <v>5.1999999999999941E-4</v>
      </c>
      <c r="CE405" s="255">
        <f t="shared" si="294"/>
        <v>5.1999999999999942E-2</v>
      </c>
      <c r="CG405" s="351" t="e">
        <f>((((IF($T$5=0,$T$6,$T$5)))/(12*$T$19))+(((3*$T$15)/(2*IF($T$5=0,$T$6,$T$5)*$U$5*$T$19))*'IN-OUT'!$F$14))*'Burland damage classification'!CK405</f>
        <v>#DIV/0!</v>
      </c>
      <c r="CH405" s="352">
        <f>(1+(((IF($T$5=0,$T$6^2,$T$5^2))*$U$5)/(18*$T$15))*('IN-OUT'!$F$14^(-1)))*CL405</f>
        <v>1.8088670487352023E-3</v>
      </c>
      <c r="CI405" s="254" t="e">
        <f t="shared" si="283"/>
        <v>#DIV/0!</v>
      </c>
      <c r="CJ405" s="254" t="e">
        <f t="shared" si="295"/>
        <v>#DIV/0!</v>
      </c>
      <c r="CK405" s="254">
        <f t="shared" si="307"/>
        <v>1.4799999999999946E-3</v>
      </c>
      <c r="CL405" s="270">
        <f t="shared" si="284"/>
        <v>1.8088670487352023E-3</v>
      </c>
      <c r="CM405" s="253">
        <f t="shared" si="308"/>
        <v>5.1999999999999941E-4</v>
      </c>
      <c r="CN405" s="255">
        <f t="shared" si="296"/>
        <v>5.1999999999999942E-2</v>
      </c>
    </row>
    <row r="406" spans="24:92">
      <c r="AJ406" s="254"/>
      <c r="AN406" s="258">
        <f>(((IF($S$5&lt;&gt;0,$S$5,IF($S$6&lt;&gt;0,$S$6,IF($S$7&lt;&gt;0,$S$7,0))))/(12*$S$19))+(((3*$S$15)/(2*(IF($S$5&lt;&gt;0,$S$5,IF($S$6&lt;&gt;0,$S$6,IF($S$7&lt;&gt;0,$S$7,0))))*$U$5*$S$19))*'IN-OUT'!$F$14))*'Burland damage classification'!AR406</f>
        <v>4.1508727658019296E-3</v>
      </c>
      <c r="AO406" s="353">
        <f>(1+(((IF($S$5&lt;&gt;0,$S$5^2,IF($S$6&lt;&gt;0,$S$6^2,IF($S$7&lt;&gt;0,$S$7^2))))*$U$5)/(18*$S$15))*('IN-OUT'!$F$14^(-1)))*AS406</f>
        <v>8.0002027209949888E-4</v>
      </c>
      <c r="AP406" s="254">
        <f t="shared" si="275"/>
        <v>8.0002027209949888E-4</v>
      </c>
      <c r="AQ406" s="254">
        <f t="shared" si="287"/>
        <v>8.0002027209949894E-2</v>
      </c>
      <c r="AR406" s="254">
        <f t="shared" si="299"/>
        <v>4.733333333333345E-4</v>
      </c>
      <c r="AS406" s="253">
        <f t="shared" si="276"/>
        <v>7.9456487043748272E-4</v>
      </c>
      <c r="AT406" s="253">
        <f t="shared" si="300"/>
        <v>5.2666666666666606E-4</v>
      </c>
      <c r="AU406" s="255">
        <f t="shared" si="288"/>
        <v>5.2666666666666605E-2</v>
      </c>
      <c r="AW406" s="258">
        <f>(((IF($S$5&lt;&gt;0,$S$5,IF($S$6&lt;&gt;0,$S$6,IF($S$7&lt;&gt;0,$S$7,0))))/(12*$S$19))+(((3*$S$15)/(2*(IF($S$5&lt;&gt;0,$S$5,IF($S$6&lt;&gt;0,$S$6,IF($S$7&lt;&gt;0,$S$7,0))))*$U$5*$S$19))*'IN-OUT'!$F$14))*'Burland damage classification'!BA406</f>
        <v>1.2920322271017193E-2</v>
      </c>
      <c r="AX406" s="353">
        <f>(1+(((IF($S$5&lt;&gt;0,$S$5^2,IF($S$6&lt;&gt;0,$S$6^2,IF($S$7&lt;&gt;0,$S$7^2))))*$U$5)/(18*$S$15))*('IN-OUT'!$F$14^(-1)))*BB406</f>
        <v>1.8186870940896285E-3</v>
      </c>
      <c r="AY406" s="254">
        <f t="shared" si="277"/>
        <v>1.8186870940896285E-3</v>
      </c>
      <c r="AZ406" s="254">
        <f t="shared" si="289"/>
        <v>0.18186870940896285</v>
      </c>
      <c r="BA406" s="254">
        <f t="shared" si="301"/>
        <v>1.4733333333333278E-3</v>
      </c>
      <c r="BB406" s="270">
        <f t="shared" si="278"/>
        <v>1.8062853226073303E-3</v>
      </c>
      <c r="BC406" s="253">
        <f t="shared" si="302"/>
        <v>5.2666666666666606E-4</v>
      </c>
      <c r="BD406" s="255">
        <f t="shared" si="290"/>
        <v>5.2666666666666605E-2</v>
      </c>
      <c r="BI406" s="248"/>
      <c r="BT406" s="254"/>
      <c r="BX406" s="351" t="e">
        <f>((((IF($T$5=0,$T$6,$T$5)))/(12*$T$19))+(((3*$T$15)/(2*IF($T$5=0,$T$6,$T$5)*$U$5*$T$19))*'IN-OUT'!$F$14))*'Burland damage classification'!CB406</f>
        <v>#DIV/0!</v>
      </c>
      <c r="BY406" s="352">
        <f>(1+(((IF($T$5=0,$T$6^2,$T$5^2))*$U$5)/(18*$T$15))*('IN-OUT'!$F$14^(-1)))*CC406</f>
        <v>7.9456487043748272E-4</v>
      </c>
      <c r="BZ406" s="254" t="e">
        <f t="shared" si="281"/>
        <v>#DIV/0!</v>
      </c>
      <c r="CA406" s="254" t="e">
        <f t="shared" si="293"/>
        <v>#DIV/0!</v>
      </c>
      <c r="CB406" s="254">
        <f t="shared" si="305"/>
        <v>4.733333333333345E-4</v>
      </c>
      <c r="CC406" s="253">
        <f t="shared" si="282"/>
        <v>7.9456487043748272E-4</v>
      </c>
      <c r="CD406" s="253">
        <f t="shared" si="306"/>
        <v>5.2666666666666606E-4</v>
      </c>
      <c r="CE406" s="255">
        <f t="shared" si="294"/>
        <v>5.2666666666666605E-2</v>
      </c>
      <c r="CG406" s="351" t="e">
        <f>((((IF($T$5=0,$T$6,$T$5)))/(12*$T$19))+(((3*$T$15)/(2*IF($T$5=0,$T$6,$T$5)*$U$5*$T$19))*'IN-OUT'!$F$14))*'Burland damage classification'!CK406</f>
        <v>#DIV/0!</v>
      </c>
      <c r="CH406" s="352">
        <f>(1+(((IF($T$5=0,$T$6^2,$T$5^2))*$U$5)/(18*$T$15))*('IN-OUT'!$F$14^(-1)))*CL406</f>
        <v>1.8062853226073303E-3</v>
      </c>
      <c r="CI406" s="254" t="e">
        <f t="shared" si="283"/>
        <v>#DIV/0!</v>
      </c>
      <c r="CJ406" s="254" t="e">
        <f t="shared" si="295"/>
        <v>#DIV/0!</v>
      </c>
      <c r="CK406" s="254">
        <f t="shared" si="307"/>
        <v>1.4733333333333278E-3</v>
      </c>
      <c r="CL406" s="270">
        <f t="shared" si="284"/>
        <v>1.8062853226073303E-3</v>
      </c>
      <c r="CM406" s="253">
        <f t="shared" si="308"/>
        <v>5.2666666666666606E-4</v>
      </c>
      <c r="CN406" s="255">
        <f t="shared" si="296"/>
        <v>5.2666666666666605E-2</v>
      </c>
    </row>
    <row r="407" spans="24:92">
      <c r="AJ407" s="254"/>
      <c r="AN407" s="258">
        <f>(((IF($S$5&lt;&gt;0,$S$5,IF($S$6&lt;&gt;0,$S$6,IF($S$7&lt;&gt;0,$S$7,0))))/(12*$S$19))+(((3*$S$15)/(2*(IF($S$5&lt;&gt;0,$S$5,IF($S$6&lt;&gt;0,$S$6,IF($S$7&lt;&gt;0,$S$7,0))))*$U$5*$S$19))*'IN-OUT'!$F$14))*'Burland damage classification'!AR407</f>
        <v>4.0924097691004942E-3</v>
      </c>
      <c r="AO407" s="353">
        <f>(1+(((IF($S$5&lt;&gt;0,$S$5^2,IF($S$6&lt;&gt;0,$S$6^2,IF($S$7&lt;&gt;0,$S$7^2))))*$U$5)/(18*$S$15))*('IN-OUT'!$F$14^(-1)))*AS407</f>
        <v>7.9705800754771377E-4</v>
      </c>
      <c r="AP407" s="254">
        <f t="shared" si="275"/>
        <v>7.9705800754771377E-4</v>
      </c>
      <c r="AQ407" s="254">
        <f t="shared" si="287"/>
        <v>7.9705800754771378E-2</v>
      </c>
      <c r="AR407" s="254">
        <f t="shared" si="299"/>
        <v>4.6666666666666785E-4</v>
      </c>
      <c r="AS407" s="253">
        <f t="shared" si="276"/>
        <v>7.9162280580252807E-4</v>
      </c>
      <c r="AT407" s="253">
        <f t="shared" si="300"/>
        <v>5.3333333333333271E-4</v>
      </c>
      <c r="AU407" s="255">
        <f t="shared" si="288"/>
        <v>5.3333333333333274E-2</v>
      </c>
      <c r="AW407" s="258">
        <f>(((IF($S$5&lt;&gt;0,$S$5,IF($S$6&lt;&gt;0,$S$6,IF($S$7&lt;&gt;0,$S$7,0))))/(12*$S$19))+(((3*$S$15)/(2*(IF($S$5&lt;&gt;0,$S$5,IF($S$6&lt;&gt;0,$S$6,IF($S$7&lt;&gt;0,$S$7,0))))*$U$5*$S$19))*'IN-OUT'!$F$14))*'Burland damage classification'!BA407</f>
        <v>1.2861859274315756E-2</v>
      </c>
      <c r="AX407" s="353">
        <f>(1+(((IF($S$5&lt;&gt;0,$S$5^2,IF($S$6&lt;&gt;0,$S$6^2,IF($S$7&lt;&gt;0,$S$7^2))))*$U$5)/(18*$S$15))*('IN-OUT'!$F$14^(-1)))*BB407</f>
        <v>1.8160839213703004E-3</v>
      </c>
      <c r="AY407" s="254">
        <f t="shared" si="277"/>
        <v>1.8160839213703004E-3</v>
      </c>
      <c r="AZ407" s="254">
        <f t="shared" si="289"/>
        <v>0.18160839213703003</v>
      </c>
      <c r="BA407" s="254">
        <f t="shared" si="301"/>
        <v>1.466666666666661E-3</v>
      </c>
      <c r="BB407" s="270">
        <f t="shared" si="278"/>
        <v>1.803699901129158E-3</v>
      </c>
      <c r="BC407" s="253">
        <f t="shared" si="302"/>
        <v>5.3333333333333271E-4</v>
      </c>
      <c r="BD407" s="255">
        <f t="shared" si="290"/>
        <v>5.3333333333333274E-2</v>
      </c>
      <c r="BI407" s="248"/>
      <c r="BT407" s="254"/>
      <c r="BX407" s="351" t="e">
        <f>((((IF($T$5=0,$T$6,$T$5)))/(12*$T$19))+(((3*$T$15)/(2*IF($T$5=0,$T$6,$T$5)*$U$5*$T$19))*'IN-OUT'!$F$14))*'Burland damage classification'!CB407</f>
        <v>#DIV/0!</v>
      </c>
      <c r="BY407" s="352">
        <f>(1+(((IF($T$5=0,$T$6^2,$T$5^2))*$U$5)/(18*$T$15))*('IN-OUT'!$F$14^(-1)))*CC407</f>
        <v>7.9162280580252807E-4</v>
      </c>
      <c r="BZ407" s="254" t="e">
        <f t="shared" si="281"/>
        <v>#DIV/0!</v>
      </c>
      <c r="CA407" s="254" t="e">
        <f t="shared" si="293"/>
        <v>#DIV/0!</v>
      </c>
      <c r="CB407" s="254">
        <f t="shared" si="305"/>
        <v>4.6666666666666785E-4</v>
      </c>
      <c r="CC407" s="253">
        <f t="shared" si="282"/>
        <v>7.9162280580252807E-4</v>
      </c>
      <c r="CD407" s="253">
        <f t="shared" si="306"/>
        <v>5.3333333333333271E-4</v>
      </c>
      <c r="CE407" s="255">
        <f t="shared" si="294"/>
        <v>5.3333333333333274E-2</v>
      </c>
      <c r="CG407" s="351" t="e">
        <f>((((IF($T$5=0,$T$6,$T$5)))/(12*$T$19))+(((3*$T$15)/(2*IF($T$5=0,$T$6,$T$5)*$U$5*$T$19))*'IN-OUT'!$F$14))*'Burland damage classification'!CK407</f>
        <v>#DIV/0!</v>
      </c>
      <c r="CH407" s="352">
        <f>(1+(((IF($T$5=0,$T$6^2,$T$5^2))*$U$5)/(18*$T$15))*('IN-OUT'!$F$14^(-1)))*CL407</f>
        <v>1.803699901129158E-3</v>
      </c>
      <c r="CI407" s="254" t="e">
        <f t="shared" si="283"/>
        <v>#DIV/0!</v>
      </c>
      <c r="CJ407" s="254" t="e">
        <f t="shared" si="295"/>
        <v>#DIV/0!</v>
      </c>
      <c r="CK407" s="254">
        <f t="shared" si="307"/>
        <v>1.466666666666661E-3</v>
      </c>
      <c r="CL407" s="270">
        <f t="shared" si="284"/>
        <v>1.803699901129158E-3</v>
      </c>
      <c r="CM407" s="253">
        <f t="shared" si="308"/>
        <v>5.3333333333333271E-4</v>
      </c>
      <c r="CN407" s="255">
        <f t="shared" si="296"/>
        <v>5.3333333333333274E-2</v>
      </c>
    </row>
    <row r="408" spans="24:92">
      <c r="AJ408" s="254"/>
      <c r="AN408" s="258">
        <f>(((IF($S$5&lt;&gt;0,$S$5,IF($S$6&lt;&gt;0,$S$6,IF($S$7&lt;&gt;0,$S$7,0))))/(12*$S$19))+(((3*$S$15)/(2*(IF($S$5&lt;&gt;0,$S$5,IF($S$6&lt;&gt;0,$S$6,IF($S$7&lt;&gt;0,$S$7,0))))*$U$5*$S$19))*'IN-OUT'!$F$14))*'Burland damage classification'!AR408</f>
        <v>4.0339467723990588E-3</v>
      </c>
      <c r="AO408" s="353">
        <f>(1+(((IF($S$5&lt;&gt;0,$S$5^2,IF($S$6&lt;&gt;0,$S$6^2,IF($S$7&lt;&gt;0,$S$7^2))))*$U$5)/(18*$S$15))*('IN-OUT'!$F$14^(-1)))*AS408</f>
        <v>7.9408469260004385E-4</v>
      </c>
      <c r="AP408" s="254">
        <f t="shared" si="275"/>
        <v>7.9408469260004385E-4</v>
      </c>
      <c r="AQ408" s="254">
        <f t="shared" si="287"/>
        <v>7.9408469260004388E-2</v>
      </c>
      <c r="AR408" s="254">
        <f t="shared" si="299"/>
        <v>4.6000000000000121E-4</v>
      </c>
      <c r="AS408" s="253">
        <f t="shared" si="276"/>
        <v>7.8866976612521436E-4</v>
      </c>
      <c r="AT408" s="253">
        <f t="shared" si="300"/>
        <v>5.3999999999999936E-4</v>
      </c>
      <c r="AU408" s="255">
        <f t="shared" si="288"/>
        <v>5.3999999999999937E-2</v>
      </c>
      <c r="AW408" s="258">
        <f>(((IF($S$5&lt;&gt;0,$S$5,IF($S$6&lt;&gt;0,$S$6,IF($S$7&lt;&gt;0,$S$7,0))))/(12*$S$19))+(((3*$S$15)/(2*(IF($S$5&lt;&gt;0,$S$5,IF($S$6&lt;&gt;0,$S$6,IF($S$7&lt;&gt;0,$S$7,0))))*$U$5*$S$19))*'IN-OUT'!$F$14))*'Burland damage classification'!BA408</f>
        <v>1.280339627761432E-2</v>
      </c>
      <c r="AX408" s="353">
        <f>(1+(((IF($S$5&lt;&gt;0,$S$5^2,IF($S$6&lt;&gt;0,$S$6^2,IF($S$7&lt;&gt;0,$S$7^2))))*$U$5)/(18*$S$15))*('IN-OUT'!$F$14^(-1)))*BB408</f>
        <v>1.8134770119059345E-3</v>
      </c>
      <c r="AY408" s="254">
        <f t="shared" si="277"/>
        <v>1.8134770119059345E-3</v>
      </c>
      <c r="AZ408" s="254">
        <f t="shared" si="289"/>
        <v>0.18134770119059346</v>
      </c>
      <c r="BA408" s="254">
        <f t="shared" si="301"/>
        <v>1.4599999999999943E-3</v>
      </c>
      <c r="BB408" s="270">
        <f t="shared" si="278"/>
        <v>1.8011107683871086E-3</v>
      </c>
      <c r="BC408" s="253">
        <f t="shared" si="302"/>
        <v>5.3999999999999936E-4</v>
      </c>
      <c r="BD408" s="255">
        <f t="shared" si="290"/>
        <v>5.3999999999999937E-2</v>
      </c>
      <c r="BI408" s="248"/>
      <c r="BT408" s="254"/>
      <c r="BX408" s="351" t="e">
        <f>((((IF($T$5=0,$T$6,$T$5)))/(12*$T$19))+(((3*$T$15)/(2*IF($T$5=0,$T$6,$T$5)*$U$5*$T$19))*'IN-OUT'!$F$14))*'Burland damage classification'!CB408</f>
        <v>#DIV/0!</v>
      </c>
      <c r="BY408" s="352">
        <f>(1+(((IF($T$5=0,$T$6^2,$T$5^2))*$U$5)/(18*$T$15))*('IN-OUT'!$F$14^(-1)))*CC408</f>
        <v>7.8866976612521436E-4</v>
      </c>
      <c r="BZ408" s="254" t="e">
        <f t="shared" si="281"/>
        <v>#DIV/0!</v>
      </c>
      <c r="CA408" s="254" t="e">
        <f t="shared" si="293"/>
        <v>#DIV/0!</v>
      </c>
      <c r="CB408" s="254">
        <f t="shared" si="305"/>
        <v>4.6000000000000121E-4</v>
      </c>
      <c r="CC408" s="253">
        <f t="shared" si="282"/>
        <v>7.8866976612521436E-4</v>
      </c>
      <c r="CD408" s="253">
        <f t="shared" si="306"/>
        <v>5.3999999999999936E-4</v>
      </c>
      <c r="CE408" s="255">
        <f t="shared" si="294"/>
        <v>5.3999999999999937E-2</v>
      </c>
      <c r="CG408" s="351" t="e">
        <f>((((IF($T$5=0,$T$6,$T$5)))/(12*$T$19))+(((3*$T$15)/(2*IF($T$5=0,$T$6,$T$5)*$U$5*$T$19))*'IN-OUT'!$F$14))*'Burland damage classification'!CK408</f>
        <v>#DIV/0!</v>
      </c>
      <c r="CH408" s="352">
        <f>(1+(((IF($T$5=0,$T$6^2,$T$5^2))*$U$5)/(18*$T$15))*('IN-OUT'!$F$14^(-1)))*CL408</f>
        <v>1.8011107683871086E-3</v>
      </c>
      <c r="CI408" s="254" t="e">
        <f t="shared" si="283"/>
        <v>#DIV/0!</v>
      </c>
      <c r="CJ408" s="254" t="e">
        <f t="shared" si="295"/>
        <v>#DIV/0!</v>
      </c>
      <c r="CK408" s="254">
        <f t="shared" si="307"/>
        <v>1.4599999999999943E-3</v>
      </c>
      <c r="CL408" s="270">
        <f t="shared" si="284"/>
        <v>1.8011107683871086E-3</v>
      </c>
      <c r="CM408" s="253">
        <f t="shared" si="308"/>
        <v>5.3999999999999936E-4</v>
      </c>
      <c r="CN408" s="255">
        <f t="shared" si="296"/>
        <v>5.3999999999999937E-2</v>
      </c>
    </row>
    <row r="409" spans="24:92">
      <c r="AJ409" s="254"/>
      <c r="AN409" s="258">
        <f>(((IF($S$5&lt;&gt;0,$S$5,IF($S$6&lt;&gt;0,$S$6,IF($S$7&lt;&gt;0,$S$7,0))))/(12*$S$19))+(((3*$S$15)/(2*(IF($S$5&lt;&gt;0,$S$5,IF($S$6&lt;&gt;0,$S$6,IF($S$7&lt;&gt;0,$S$7,0))))*$U$5*$S$19))*'IN-OUT'!$F$14))*'Burland damage classification'!AR409</f>
        <v>3.9754837756976235E-3</v>
      </c>
      <c r="AO409" s="353">
        <f>(1+(((IF($S$5&lt;&gt;0,$S$5^2,IF($S$6&lt;&gt;0,$S$6^2,IF($S$7&lt;&gt;0,$S$7^2))))*$U$5)/(18*$S$15))*('IN-OUT'!$F$14^(-1)))*AS409</f>
        <v>7.9110020265923421E-4</v>
      </c>
      <c r="AP409" s="254">
        <f t="shared" si="275"/>
        <v>7.9110020265923421E-4</v>
      </c>
      <c r="AQ409" s="254">
        <f t="shared" si="287"/>
        <v>7.9110020265923425E-2</v>
      </c>
      <c r="AR409" s="254">
        <f t="shared" si="299"/>
        <v>4.5333333333333456E-4</v>
      </c>
      <c r="AS409" s="253">
        <f t="shared" si="276"/>
        <v>7.8570562765792502E-4</v>
      </c>
      <c r="AT409" s="253">
        <f t="shared" si="300"/>
        <v>5.46666666666666E-4</v>
      </c>
      <c r="AU409" s="255">
        <f t="shared" si="288"/>
        <v>5.46666666666666E-2</v>
      </c>
      <c r="AW409" s="258">
        <f>(((IF($S$5&lt;&gt;0,$S$5,IF($S$6&lt;&gt;0,$S$6,IF($S$7&lt;&gt;0,$S$7,0))))/(12*$S$19))+(((3*$S$15)/(2*(IF($S$5&lt;&gt;0,$S$5,IF($S$6&lt;&gt;0,$S$6,IF($S$7&lt;&gt;0,$S$7,0))))*$U$5*$S$19))*'IN-OUT'!$F$14))*'Burland damage classification'!BA409</f>
        <v>1.2744933280912883E-2</v>
      </c>
      <c r="AX409" s="353">
        <f>(1+(((IF($S$5&lt;&gt;0,$S$5^2,IF($S$6&lt;&gt;0,$S$6^2,IF($S$7&lt;&gt;0,$S$7^2))))*$U$5)/(18*$S$15))*('IN-OUT'!$F$14^(-1)))*BB409</f>
        <v>1.8108663495583618E-3</v>
      </c>
      <c r="AY409" s="254">
        <f t="shared" si="277"/>
        <v>1.8108663495583618E-3</v>
      </c>
      <c r="AZ409" s="254">
        <f t="shared" si="289"/>
        <v>0.18108663495583618</v>
      </c>
      <c r="BA409" s="254">
        <f t="shared" si="301"/>
        <v>1.4533333333333275E-3</v>
      </c>
      <c r="BB409" s="270">
        <f t="shared" si="278"/>
        <v>1.7985179083530604E-3</v>
      </c>
      <c r="BC409" s="253">
        <f t="shared" si="302"/>
        <v>5.46666666666666E-4</v>
      </c>
      <c r="BD409" s="255">
        <f t="shared" si="290"/>
        <v>5.46666666666666E-2</v>
      </c>
      <c r="BI409" s="248"/>
      <c r="BT409" s="254"/>
      <c r="BX409" s="351" t="e">
        <f>((((IF($T$5=0,$T$6,$T$5)))/(12*$T$19))+(((3*$T$15)/(2*IF($T$5=0,$T$6,$T$5)*$U$5*$T$19))*'IN-OUT'!$F$14))*'Burland damage classification'!CB409</f>
        <v>#DIV/0!</v>
      </c>
      <c r="BY409" s="352">
        <f>(1+(((IF($T$5=0,$T$6^2,$T$5^2))*$U$5)/(18*$T$15))*('IN-OUT'!$F$14^(-1)))*CC409</f>
        <v>7.8570562765792502E-4</v>
      </c>
      <c r="BZ409" s="254" t="e">
        <f t="shared" si="281"/>
        <v>#DIV/0!</v>
      </c>
      <c r="CA409" s="254" t="e">
        <f t="shared" si="293"/>
        <v>#DIV/0!</v>
      </c>
      <c r="CB409" s="254">
        <f t="shared" si="305"/>
        <v>4.5333333333333456E-4</v>
      </c>
      <c r="CC409" s="253">
        <f t="shared" si="282"/>
        <v>7.8570562765792502E-4</v>
      </c>
      <c r="CD409" s="253">
        <f t="shared" si="306"/>
        <v>5.46666666666666E-4</v>
      </c>
      <c r="CE409" s="255">
        <f t="shared" si="294"/>
        <v>5.46666666666666E-2</v>
      </c>
      <c r="CG409" s="351" t="e">
        <f>((((IF($T$5=0,$T$6,$T$5)))/(12*$T$19))+(((3*$T$15)/(2*IF($T$5=0,$T$6,$T$5)*$U$5*$T$19))*'IN-OUT'!$F$14))*'Burland damage classification'!CK409</f>
        <v>#DIV/0!</v>
      </c>
      <c r="CH409" s="352">
        <f>(1+(((IF($T$5=0,$T$6^2,$T$5^2))*$U$5)/(18*$T$15))*('IN-OUT'!$F$14^(-1)))*CL409</f>
        <v>1.7985179083530604E-3</v>
      </c>
      <c r="CI409" s="254" t="e">
        <f t="shared" si="283"/>
        <v>#DIV/0!</v>
      </c>
      <c r="CJ409" s="254" t="e">
        <f t="shared" si="295"/>
        <v>#DIV/0!</v>
      </c>
      <c r="CK409" s="254">
        <f t="shared" si="307"/>
        <v>1.4533333333333275E-3</v>
      </c>
      <c r="CL409" s="270">
        <f t="shared" si="284"/>
        <v>1.7985179083530604E-3</v>
      </c>
      <c r="CM409" s="253">
        <f t="shared" si="308"/>
        <v>5.46666666666666E-4</v>
      </c>
      <c r="CN409" s="255">
        <f t="shared" si="296"/>
        <v>5.46666666666666E-2</v>
      </c>
    </row>
    <row r="410" spans="24:92">
      <c r="AJ410" s="254"/>
      <c r="AN410" s="258">
        <f>(((IF($S$5&lt;&gt;0,$S$5,IF($S$6&lt;&gt;0,$S$6,IF($S$7&lt;&gt;0,$S$7,0))))/(12*$S$19))+(((3*$S$15)/(2*(IF($S$5&lt;&gt;0,$S$5,IF($S$6&lt;&gt;0,$S$6,IF($S$7&lt;&gt;0,$S$7,0))))*$U$5*$S$19))*'IN-OUT'!$F$14))*'Burland damage classification'!AR410</f>
        <v>3.9170207789961881E-3</v>
      </c>
      <c r="AO410" s="353">
        <f>(1+(((IF($S$5&lt;&gt;0,$S$5^2,IF($S$6&lt;&gt;0,$S$6^2,IF($S$7&lt;&gt;0,$S$7^2))))*$U$5)/(18*$S$15))*('IN-OUT'!$F$14^(-1)))*AS410</f>
        <v>7.8810441076881195E-4</v>
      </c>
      <c r="AP410" s="254">
        <f t="shared" si="275"/>
        <v>7.8810441076881195E-4</v>
      </c>
      <c r="AQ410" s="254">
        <f t="shared" si="287"/>
        <v>7.8810441076881191E-2</v>
      </c>
      <c r="AR410" s="254">
        <f t="shared" si="299"/>
        <v>4.4666666666666791E-4</v>
      </c>
      <c r="AS410" s="253">
        <f t="shared" si="276"/>
        <v>7.8273026430991351E-4</v>
      </c>
      <c r="AT410" s="253">
        <f t="shared" si="300"/>
        <v>5.5333333333333265E-4</v>
      </c>
      <c r="AU410" s="255">
        <f t="shared" si="288"/>
        <v>5.5333333333333262E-2</v>
      </c>
      <c r="AW410" s="258">
        <f>(((IF($S$5&lt;&gt;0,$S$5,IF($S$6&lt;&gt;0,$S$6,IF($S$7&lt;&gt;0,$S$7,0))))/(12*$S$19))+(((3*$S$15)/(2*(IF($S$5&lt;&gt;0,$S$5,IF($S$6&lt;&gt;0,$S$6,IF($S$7&lt;&gt;0,$S$7,0))))*$U$5*$S$19))*'IN-OUT'!$F$14))*'Burland damage classification'!BA410</f>
        <v>1.2686470284211448E-2</v>
      </c>
      <c r="AX410" s="353">
        <f>(1+(((IF($S$5&lt;&gt;0,$S$5^2,IF($S$6&lt;&gt;0,$S$6^2,IF($S$7&lt;&gt;0,$S$7^2))))*$U$5)/(18*$S$15))*('IN-OUT'!$F$14^(-1)))*BB410</f>
        <v>1.8082519180729153E-3</v>
      </c>
      <c r="AY410" s="254">
        <f t="shared" si="277"/>
        <v>1.8082519180729153E-3</v>
      </c>
      <c r="AZ410" s="254">
        <f t="shared" si="289"/>
        <v>0.18082519180729154</v>
      </c>
      <c r="BA410" s="254">
        <f t="shared" si="301"/>
        <v>1.4466666666666608E-3</v>
      </c>
      <c r="BB410" s="270">
        <f t="shared" si="278"/>
        <v>1.7959213048831884E-3</v>
      </c>
      <c r="BC410" s="253">
        <f t="shared" si="302"/>
        <v>5.5333333333333265E-4</v>
      </c>
      <c r="BD410" s="255">
        <f t="shared" si="290"/>
        <v>5.5333333333333262E-2</v>
      </c>
      <c r="BI410" s="248"/>
      <c r="BT410" s="254"/>
      <c r="BX410" s="351" t="e">
        <f>((((IF($T$5=0,$T$6,$T$5)))/(12*$T$19))+(((3*$T$15)/(2*IF($T$5=0,$T$6,$T$5)*$U$5*$T$19))*'IN-OUT'!$F$14))*'Burland damage classification'!CB410</f>
        <v>#DIV/0!</v>
      </c>
      <c r="BY410" s="352">
        <f>(1+(((IF($T$5=0,$T$6^2,$T$5^2))*$U$5)/(18*$T$15))*('IN-OUT'!$F$14^(-1)))*CC410</f>
        <v>7.8273026430991351E-4</v>
      </c>
      <c r="BZ410" s="254" t="e">
        <f t="shared" si="281"/>
        <v>#DIV/0!</v>
      </c>
      <c r="CA410" s="254" t="e">
        <f t="shared" si="293"/>
        <v>#DIV/0!</v>
      </c>
      <c r="CB410" s="254">
        <f t="shared" si="305"/>
        <v>4.4666666666666791E-4</v>
      </c>
      <c r="CC410" s="253">
        <f t="shared" si="282"/>
        <v>7.8273026430991351E-4</v>
      </c>
      <c r="CD410" s="253">
        <f t="shared" si="306"/>
        <v>5.5333333333333265E-4</v>
      </c>
      <c r="CE410" s="255">
        <f t="shared" si="294"/>
        <v>5.5333333333333262E-2</v>
      </c>
      <c r="CG410" s="351" t="e">
        <f>((((IF($T$5=0,$T$6,$T$5)))/(12*$T$19))+(((3*$T$15)/(2*IF($T$5=0,$T$6,$T$5)*$U$5*$T$19))*'IN-OUT'!$F$14))*'Burland damage classification'!CK410</f>
        <v>#DIV/0!</v>
      </c>
      <c r="CH410" s="352">
        <f>(1+(((IF($T$5=0,$T$6^2,$T$5^2))*$U$5)/(18*$T$15))*('IN-OUT'!$F$14^(-1)))*CL410</f>
        <v>1.7959213048831884E-3</v>
      </c>
      <c r="CI410" s="254" t="e">
        <f t="shared" si="283"/>
        <v>#DIV/0!</v>
      </c>
      <c r="CJ410" s="254" t="e">
        <f t="shared" si="295"/>
        <v>#DIV/0!</v>
      </c>
      <c r="CK410" s="254">
        <f t="shared" si="307"/>
        <v>1.4466666666666608E-3</v>
      </c>
      <c r="CL410" s="270">
        <f t="shared" si="284"/>
        <v>1.7959213048831884E-3</v>
      </c>
      <c r="CM410" s="253">
        <f t="shared" si="308"/>
        <v>5.5333333333333265E-4</v>
      </c>
      <c r="CN410" s="255">
        <f t="shared" si="296"/>
        <v>5.5333333333333262E-2</v>
      </c>
    </row>
    <row r="411" spans="24:92">
      <c r="AJ411" s="254"/>
      <c r="AN411" s="258">
        <f>(((IF($S$5&lt;&gt;0,$S$5,IF($S$6&lt;&gt;0,$S$6,IF($S$7&lt;&gt;0,$S$7,0))))/(12*$S$19))+(((3*$S$15)/(2*(IF($S$5&lt;&gt;0,$S$5,IF($S$6&lt;&gt;0,$S$6,IF($S$7&lt;&gt;0,$S$7,0))))*$U$5*$S$19))*'IN-OUT'!$F$14))*'Burland damage classification'!AR411</f>
        <v>3.8585577822947527E-3</v>
      </c>
      <c r="AO411" s="353">
        <f>(1+(((IF($S$5&lt;&gt;0,$S$5^2,IF($S$6&lt;&gt;0,$S$6^2,IF($S$7&lt;&gt;0,$S$7^2))))*$U$5)/(18*$S$15))*('IN-OUT'!$F$14^(-1)))*AS411</f>
        <v>7.8509718755007097E-4</v>
      </c>
      <c r="AP411" s="254">
        <f t="shared" si="275"/>
        <v>7.8509718755007097E-4</v>
      </c>
      <c r="AQ411" s="254">
        <f t="shared" si="287"/>
        <v>7.8509718755007091E-2</v>
      </c>
      <c r="AR411" s="254">
        <f t="shared" si="299"/>
        <v>4.4000000000000126E-4</v>
      </c>
      <c r="AS411" s="253">
        <f t="shared" si="276"/>
        <v>7.7974354758471743E-4</v>
      </c>
      <c r="AT411" s="253">
        <f t="shared" si="300"/>
        <v>5.599999999999993E-4</v>
      </c>
      <c r="AU411" s="255">
        <f t="shared" si="288"/>
        <v>5.5999999999999932E-2</v>
      </c>
      <c r="AW411" s="258">
        <f>(((IF($S$5&lt;&gt;0,$S$5,IF($S$6&lt;&gt;0,$S$6,IF($S$7&lt;&gt;0,$S$7,0))))/(12*$S$19))+(((3*$S$15)/(2*(IF($S$5&lt;&gt;0,$S$5,IF($S$6&lt;&gt;0,$S$6,IF($S$7&lt;&gt;0,$S$7,0))))*$U$5*$S$19))*'IN-OUT'!$F$14))*'Burland damage classification'!BA411</f>
        <v>1.2628007287510011E-2</v>
      </c>
      <c r="AX411" s="353">
        <f>(1+(((IF($S$5&lt;&gt;0,$S$5^2,IF($S$6&lt;&gt;0,$S$6^2,IF($S$7&lt;&gt;0,$S$7^2))))*$U$5)/(18*$S$15))*('IN-OUT'!$F$14^(-1)))*BB411</f>
        <v>1.8056337010772497E-3</v>
      </c>
      <c r="AY411" s="254">
        <f t="shared" si="277"/>
        <v>1.8056337010772497E-3</v>
      </c>
      <c r="AZ411" s="254">
        <f t="shared" si="289"/>
        <v>0.18056337010772497</v>
      </c>
      <c r="BA411" s="254">
        <f t="shared" si="301"/>
        <v>1.439999999999994E-3</v>
      </c>
      <c r="BB411" s="270">
        <f t="shared" si="278"/>
        <v>1.7933209417167917E-3</v>
      </c>
      <c r="BC411" s="253">
        <f t="shared" si="302"/>
        <v>5.599999999999993E-4</v>
      </c>
      <c r="BD411" s="255">
        <f t="shared" si="290"/>
        <v>5.5999999999999932E-2</v>
      </c>
      <c r="BI411" s="248"/>
      <c r="BT411" s="254"/>
      <c r="BX411" s="351" t="e">
        <f>((((IF($T$5=0,$T$6,$T$5)))/(12*$T$19))+(((3*$T$15)/(2*IF($T$5=0,$T$6,$T$5)*$U$5*$T$19))*'IN-OUT'!$F$14))*'Burland damage classification'!CB411</f>
        <v>#DIV/0!</v>
      </c>
      <c r="BY411" s="352">
        <f>(1+(((IF($T$5=0,$T$6^2,$T$5^2))*$U$5)/(18*$T$15))*('IN-OUT'!$F$14^(-1)))*CC411</f>
        <v>7.7974354758471743E-4</v>
      </c>
      <c r="BZ411" s="254" t="e">
        <f t="shared" si="281"/>
        <v>#DIV/0!</v>
      </c>
      <c r="CA411" s="254" t="e">
        <f t="shared" si="293"/>
        <v>#DIV/0!</v>
      </c>
      <c r="CB411" s="254">
        <f t="shared" si="305"/>
        <v>4.4000000000000126E-4</v>
      </c>
      <c r="CC411" s="253">
        <f t="shared" si="282"/>
        <v>7.7974354758471743E-4</v>
      </c>
      <c r="CD411" s="253">
        <f t="shared" si="306"/>
        <v>5.599999999999993E-4</v>
      </c>
      <c r="CE411" s="255">
        <f t="shared" si="294"/>
        <v>5.5999999999999932E-2</v>
      </c>
      <c r="CG411" s="351" t="e">
        <f>((((IF($T$5=0,$T$6,$T$5)))/(12*$T$19))+(((3*$T$15)/(2*IF($T$5=0,$T$6,$T$5)*$U$5*$T$19))*'IN-OUT'!$F$14))*'Burland damage classification'!CK411</f>
        <v>#DIV/0!</v>
      </c>
      <c r="CH411" s="352">
        <f>(1+(((IF($T$5=0,$T$6^2,$T$5^2))*$U$5)/(18*$T$15))*('IN-OUT'!$F$14^(-1)))*CL411</f>
        <v>1.7933209417167917E-3</v>
      </c>
      <c r="CI411" s="254" t="e">
        <f t="shared" si="283"/>
        <v>#DIV/0!</v>
      </c>
      <c r="CJ411" s="254" t="e">
        <f t="shared" si="295"/>
        <v>#DIV/0!</v>
      </c>
      <c r="CK411" s="254">
        <f t="shared" si="307"/>
        <v>1.439999999999994E-3</v>
      </c>
      <c r="CL411" s="270">
        <f t="shared" si="284"/>
        <v>1.7933209417167917E-3</v>
      </c>
      <c r="CM411" s="253">
        <f t="shared" si="308"/>
        <v>5.599999999999993E-4</v>
      </c>
      <c r="CN411" s="255">
        <f t="shared" si="296"/>
        <v>5.5999999999999932E-2</v>
      </c>
    </row>
    <row r="412" spans="24:92">
      <c r="AJ412" s="254"/>
      <c r="AN412" s="258">
        <f>(((IF($S$5&lt;&gt;0,$S$5,IF($S$6&lt;&gt;0,$S$6,IF($S$7&lt;&gt;0,$S$7,0))))/(12*$S$19))+(((3*$S$15)/(2*(IF($S$5&lt;&gt;0,$S$5,IF($S$6&lt;&gt;0,$S$6,IF($S$7&lt;&gt;0,$S$7,0))))*$U$5*$S$19))*'IN-OUT'!$F$14))*'Burland damage classification'!AR412</f>
        <v>3.8000947855933173E-3</v>
      </c>
      <c r="AO412" s="353">
        <f>(1+(((IF($S$5&lt;&gt;0,$S$5^2,IF($S$6&lt;&gt;0,$S$6^2,IF($S$7&lt;&gt;0,$S$7^2))))*$U$5)/(18*$S$15))*('IN-OUT'!$F$14^(-1)))*AS412</f>
        <v>7.8207840113687216E-4</v>
      </c>
      <c r="AP412" s="254">
        <f t="shared" si="275"/>
        <v>7.8207840113687216E-4</v>
      </c>
      <c r="AQ412" s="254">
        <f t="shared" si="287"/>
        <v>7.8207840113687213E-2</v>
      </c>
      <c r="AR412" s="254">
        <f t="shared" si="299"/>
        <v>4.3333333333333461E-4</v>
      </c>
      <c r="AS412" s="253">
        <f t="shared" si="276"/>
        <v>7.7674534651540319E-4</v>
      </c>
      <c r="AT412" s="253">
        <f t="shared" si="300"/>
        <v>5.6666666666666595E-4</v>
      </c>
      <c r="AU412" s="255">
        <f t="shared" si="288"/>
        <v>5.6666666666666594E-2</v>
      </c>
      <c r="AW412" s="258">
        <f>(((IF($S$5&lt;&gt;0,$S$5,IF($S$6&lt;&gt;0,$S$6,IF($S$7&lt;&gt;0,$S$7,0))))/(12*$S$19))+(((3*$S$15)/(2*(IF($S$5&lt;&gt;0,$S$5,IF($S$6&lt;&gt;0,$S$6,IF($S$7&lt;&gt;0,$S$7,0))))*$U$5*$S$19))*'IN-OUT'!$F$14))*'Burland damage classification'!BA412</f>
        <v>1.2569544290808575E-2</v>
      </c>
      <c r="AX412" s="353">
        <f>(1+(((IF($S$5&lt;&gt;0,$S$5^2,IF($S$6&lt;&gt;0,$S$6^2,IF($S$7&lt;&gt;0,$S$7^2))))*$U$5)/(18*$S$15))*('IN-OUT'!$F$14^(-1)))*BB412</f>
        <v>1.803011682080146E-3</v>
      </c>
      <c r="AY412" s="254">
        <f t="shared" si="277"/>
        <v>1.803011682080146E-3</v>
      </c>
      <c r="AZ412" s="254">
        <f t="shared" si="289"/>
        <v>0.18030116820801462</v>
      </c>
      <c r="BA412" s="254">
        <f t="shared" si="301"/>
        <v>1.4333333333333273E-3</v>
      </c>
      <c r="BB412" s="270">
        <f t="shared" si="278"/>
        <v>1.790716802475106E-3</v>
      </c>
      <c r="BC412" s="253">
        <f t="shared" si="302"/>
        <v>5.6666666666666595E-4</v>
      </c>
      <c r="BD412" s="255">
        <f t="shared" si="290"/>
        <v>5.6666666666666594E-2</v>
      </c>
      <c r="BI412" s="248"/>
      <c r="BT412" s="254"/>
      <c r="BX412" s="351" t="e">
        <f>((((IF($T$5=0,$T$6,$T$5)))/(12*$T$19))+(((3*$T$15)/(2*IF($T$5=0,$T$6,$T$5)*$U$5*$T$19))*'IN-OUT'!$F$14))*'Burland damage classification'!CB412</f>
        <v>#DIV/0!</v>
      </c>
      <c r="BY412" s="352">
        <f>(1+(((IF($T$5=0,$T$6^2,$T$5^2))*$U$5)/(18*$T$15))*('IN-OUT'!$F$14^(-1)))*CC412</f>
        <v>7.7674534651540319E-4</v>
      </c>
      <c r="BZ412" s="254" t="e">
        <f t="shared" si="281"/>
        <v>#DIV/0!</v>
      </c>
      <c r="CA412" s="254" t="e">
        <f t="shared" si="293"/>
        <v>#DIV/0!</v>
      </c>
      <c r="CB412" s="254">
        <f t="shared" si="305"/>
        <v>4.3333333333333461E-4</v>
      </c>
      <c r="CC412" s="253">
        <f t="shared" si="282"/>
        <v>7.7674534651540319E-4</v>
      </c>
      <c r="CD412" s="253">
        <f t="shared" si="306"/>
        <v>5.6666666666666595E-4</v>
      </c>
      <c r="CE412" s="255">
        <f t="shared" si="294"/>
        <v>5.6666666666666594E-2</v>
      </c>
      <c r="CG412" s="351" t="e">
        <f>((((IF($T$5=0,$T$6,$T$5)))/(12*$T$19))+(((3*$T$15)/(2*IF($T$5=0,$T$6,$T$5)*$U$5*$T$19))*'IN-OUT'!$F$14))*'Burland damage classification'!CK412</f>
        <v>#DIV/0!</v>
      </c>
      <c r="CH412" s="352">
        <f>(1+(((IF($T$5=0,$T$6^2,$T$5^2))*$U$5)/(18*$T$15))*('IN-OUT'!$F$14^(-1)))*CL412</f>
        <v>1.790716802475106E-3</v>
      </c>
      <c r="CI412" s="254" t="e">
        <f t="shared" si="283"/>
        <v>#DIV/0!</v>
      </c>
      <c r="CJ412" s="254" t="e">
        <f t="shared" si="295"/>
        <v>#DIV/0!</v>
      </c>
      <c r="CK412" s="254">
        <f t="shared" si="307"/>
        <v>1.4333333333333273E-3</v>
      </c>
      <c r="CL412" s="270">
        <f t="shared" si="284"/>
        <v>1.790716802475106E-3</v>
      </c>
      <c r="CM412" s="253">
        <f t="shared" si="308"/>
        <v>5.6666666666666595E-4</v>
      </c>
      <c r="CN412" s="255">
        <f t="shared" si="296"/>
        <v>5.6666666666666594E-2</v>
      </c>
    </row>
    <row r="413" spans="24:92">
      <c r="AJ413" s="254"/>
      <c r="AN413" s="258">
        <f>(((IF($S$5&lt;&gt;0,$S$5,IF($S$6&lt;&gt;0,$S$6,IF($S$7&lt;&gt;0,$S$7,0))))/(12*$S$19))+(((3*$S$15)/(2*(IF($S$5&lt;&gt;0,$S$5,IF($S$6&lt;&gt;0,$S$6,IF($S$7&lt;&gt;0,$S$7,0))))*$U$5*$S$19))*'IN-OUT'!$F$14))*'Burland damage classification'!AR413</f>
        <v>3.741631788891882E-3</v>
      </c>
      <c r="AO413" s="353">
        <f>(1+(((IF($S$5&lt;&gt;0,$S$5^2,IF($S$6&lt;&gt;0,$S$6^2,IF($S$7&lt;&gt;0,$S$7^2))))*$U$5)/(18*$S$15))*('IN-OUT'!$F$14^(-1)))*AS413</f>
        <v>7.7904791710817201E-4</v>
      </c>
      <c r="AP413" s="254">
        <f t="shared" si="275"/>
        <v>7.7904791710817201E-4</v>
      </c>
      <c r="AQ413" s="254">
        <f t="shared" si="287"/>
        <v>7.7904791710817198E-2</v>
      </c>
      <c r="AR413" s="254">
        <f t="shared" si="299"/>
        <v>4.2666666666666797E-4</v>
      </c>
      <c r="AS413" s="253">
        <f t="shared" si="276"/>
        <v>7.7373552759755517E-4</v>
      </c>
      <c r="AT413" s="253">
        <f t="shared" si="300"/>
        <v>5.733333333333326E-4</v>
      </c>
      <c r="AU413" s="255">
        <f t="shared" si="288"/>
        <v>5.7333333333333257E-2</v>
      </c>
      <c r="AW413" s="258">
        <f>(((IF($S$5&lt;&gt;0,$S$5,IF($S$6&lt;&gt;0,$S$6,IF($S$7&lt;&gt;0,$S$7,0))))/(12*$S$19))+(((3*$S$15)/(2*(IF($S$5&lt;&gt;0,$S$5,IF($S$6&lt;&gt;0,$S$6,IF($S$7&lt;&gt;0,$S$7,0))))*$U$5*$S$19))*'IN-OUT'!$F$14))*'Burland damage classification'!BA413</f>
        <v>1.2511081294107138E-2</v>
      </c>
      <c r="AX413" s="353">
        <f>(1+(((IF($S$5&lt;&gt;0,$S$5^2,IF($S$6&lt;&gt;0,$S$6^2,IF($S$7&lt;&gt;0,$S$7^2))))*$U$5)/(18*$S$15))*('IN-OUT'!$F$14^(-1)))*BB413</f>
        <v>1.8003858444702976E-3</v>
      </c>
      <c r="AY413" s="254">
        <f t="shared" si="277"/>
        <v>1.8003858444702976E-3</v>
      </c>
      <c r="AZ413" s="254">
        <f t="shared" si="289"/>
        <v>0.18003858444702975</v>
      </c>
      <c r="BA413" s="254">
        <f t="shared" si="301"/>
        <v>1.4266666666666605E-3</v>
      </c>
      <c r="BB413" s="270">
        <f t="shared" si="278"/>
        <v>1.7881088706600988E-3</v>
      </c>
      <c r="BC413" s="253">
        <f t="shared" si="302"/>
        <v>5.733333333333326E-4</v>
      </c>
      <c r="BD413" s="255">
        <f t="shared" si="290"/>
        <v>5.7333333333333257E-2</v>
      </c>
      <c r="BI413" s="248"/>
      <c r="BT413" s="254"/>
      <c r="BX413" s="351" t="e">
        <f>((((IF($T$5=0,$T$6,$T$5)))/(12*$T$19))+(((3*$T$15)/(2*IF($T$5=0,$T$6,$T$5)*$U$5*$T$19))*'IN-OUT'!$F$14))*'Burland damage classification'!CB413</f>
        <v>#DIV/0!</v>
      </c>
      <c r="BY413" s="352">
        <f>(1+(((IF($T$5=0,$T$6^2,$T$5^2))*$U$5)/(18*$T$15))*('IN-OUT'!$F$14^(-1)))*CC413</f>
        <v>7.7373552759755517E-4</v>
      </c>
      <c r="BZ413" s="254" t="e">
        <f t="shared" si="281"/>
        <v>#DIV/0!</v>
      </c>
      <c r="CA413" s="254" t="e">
        <f t="shared" si="293"/>
        <v>#DIV/0!</v>
      </c>
      <c r="CB413" s="254">
        <f t="shared" si="305"/>
        <v>4.2666666666666797E-4</v>
      </c>
      <c r="CC413" s="253">
        <f t="shared" si="282"/>
        <v>7.7373552759755517E-4</v>
      </c>
      <c r="CD413" s="253">
        <f t="shared" si="306"/>
        <v>5.733333333333326E-4</v>
      </c>
      <c r="CE413" s="255">
        <f t="shared" si="294"/>
        <v>5.7333333333333257E-2</v>
      </c>
      <c r="CG413" s="351" t="e">
        <f>((((IF($T$5=0,$T$6,$T$5)))/(12*$T$19))+(((3*$T$15)/(2*IF($T$5=0,$T$6,$T$5)*$U$5*$T$19))*'IN-OUT'!$F$14))*'Burland damage classification'!CK413</f>
        <v>#DIV/0!</v>
      </c>
      <c r="CH413" s="352">
        <f>(1+(((IF($T$5=0,$T$6^2,$T$5^2))*$U$5)/(18*$T$15))*('IN-OUT'!$F$14^(-1)))*CL413</f>
        <v>1.7881088706600988E-3</v>
      </c>
      <c r="CI413" s="254" t="e">
        <f t="shared" si="283"/>
        <v>#DIV/0!</v>
      </c>
      <c r="CJ413" s="254" t="e">
        <f t="shared" si="295"/>
        <v>#DIV/0!</v>
      </c>
      <c r="CK413" s="254">
        <f t="shared" si="307"/>
        <v>1.4266666666666605E-3</v>
      </c>
      <c r="CL413" s="270">
        <f t="shared" si="284"/>
        <v>1.7881088706600988E-3</v>
      </c>
      <c r="CM413" s="253">
        <f t="shared" si="308"/>
        <v>5.733333333333326E-4</v>
      </c>
      <c r="CN413" s="255">
        <f t="shared" si="296"/>
        <v>5.7333333333333257E-2</v>
      </c>
    </row>
    <row r="414" spans="24:92">
      <c r="AJ414" s="254"/>
      <c r="AN414" s="258">
        <f>(((IF($S$5&lt;&gt;0,$S$5,IF($S$6&lt;&gt;0,$S$6,IF($S$7&lt;&gt;0,$S$7,0))))/(12*$S$19))+(((3*$S$15)/(2*(IF($S$5&lt;&gt;0,$S$5,IF($S$6&lt;&gt;0,$S$6,IF($S$7&lt;&gt;0,$S$7,0))))*$U$5*$S$19))*'IN-OUT'!$F$14))*'Burland damage classification'!AR414</f>
        <v>3.6831687921904466E-3</v>
      </c>
      <c r="AO414" s="353">
        <f>(1+(((IF($S$5&lt;&gt;0,$S$5^2,IF($S$6&lt;&gt;0,$S$6^2,IF($S$7&lt;&gt;0,$S$7^2))))*$U$5)/(18*$S$15))*('IN-OUT'!$F$14^(-1)))*AS414</f>
        <v>7.7600559841817913E-4</v>
      </c>
      <c r="AP414" s="254">
        <f t="shared" si="275"/>
        <v>7.7600559841817913E-4</v>
      </c>
      <c r="AQ414" s="254">
        <f t="shared" si="287"/>
        <v>7.7600559841817907E-2</v>
      </c>
      <c r="AR414" s="254">
        <f t="shared" si="299"/>
        <v>4.2000000000000132E-4</v>
      </c>
      <c r="AS414" s="253">
        <f t="shared" si="276"/>
        <v>7.7071395471990808E-4</v>
      </c>
      <c r="AT414" s="253">
        <f t="shared" si="300"/>
        <v>5.7999999999999924E-4</v>
      </c>
      <c r="AU414" s="255">
        <f t="shared" si="288"/>
        <v>5.7999999999999927E-2</v>
      </c>
      <c r="AW414" s="258">
        <f>(((IF($S$5&lt;&gt;0,$S$5,IF($S$6&lt;&gt;0,$S$6,IF($S$7&lt;&gt;0,$S$7,0))))/(12*$S$19))+(((3*$S$15)/(2*(IF($S$5&lt;&gt;0,$S$5,IF($S$6&lt;&gt;0,$S$6,IF($S$7&lt;&gt;0,$S$7,0))))*$U$5*$S$19))*'IN-OUT'!$F$14))*'Burland damage classification'!BA414</f>
        <v>1.2452618297405703E-2</v>
      </c>
      <c r="AX414" s="353">
        <f>(1+(((IF($S$5&lt;&gt;0,$S$5^2,IF($S$6&lt;&gt;0,$S$6^2,IF($S$7&lt;&gt;0,$S$7^2))))*$U$5)/(18*$S$15))*('IN-OUT'!$F$14^(-1)))*BB414</f>
        <v>1.7977561715150853E-3</v>
      </c>
      <c r="AY414" s="254">
        <f t="shared" si="277"/>
        <v>1.7977561715150853E-3</v>
      </c>
      <c r="AZ414" s="254">
        <f t="shared" si="289"/>
        <v>0.17977561715150853</v>
      </c>
      <c r="BA414" s="254">
        <f t="shared" si="301"/>
        <v>1.4199999999999937E-3</v>
      </c>
      <c r="BB414" s="270">
        <f t="shared" si="278"/>
        <v>1.7854971296532517E-3</v>
      </c>
      <c r="BC414" s="253">
        <f t="shared" si="302"/>
        <v>5.7999999999999924E-4</v>
      </c>
      <c r="BD414" s="255">
        <f t="shared" si="290"/>
        <v>5.7999999999999927E-2</v>
      </c>
      <c r="BI414" s="248"/>
      <c r="BT414" s="254"/>
      <c r="BX414" s="351" t="e">
        <f>((((IF($T$5=0,$T$6,$T$5)))/(12*$T$19))+(((3*$T$15)/(2*IF($T$5=0,$T$6,$T$5)*$U$5*$T$19))*'IN-OUT'!$F$14))*'Burland damage classification'!CB414</f>
        <v>#DIV/0!</v>
      </c>
      <c r="BY414" s="352">
        <f>(1+(((IF($T$5=0,$T$6^2,$T$5^2))*$U$5)/(18*$T$15))*('IN-OUT'!$F$14^(-1)))*CC414</f>
        <v>7.7071395471990808E-4</v>
      </c>
      <c r="BZ414" s="254" t="e">
        <f t="shared" si="281"/>
        <v>#DIV/0!</v>
      </c>
      <c r="CA414" s="254" t="e">
        <f t="shared" si="293"/>
        <v>#DIV/0!</v>
      </c>
      <c r="CB414" s="254">
        <f t="shared" si="305"/>
        <v>4.2000000000000132E-4</v>
      </c>
      <c r="CC414" s="253">
        <f t="shared" si="282"/>
        <v>7.7071395471990808E-4</v>
      </c>
      <c r="CD414" s="253">
        <f t="shared" si="306"/>
        <v>5.7999999999999924E-4</v>
      </c>
      <c r="CE414" s="255">
        <f t="shared" si="294"/>
        <v>5.7999999999999927E-2</v>
      </c>
      <c r="CG414" s="351" t="e">
        <f>((((IF($T$5=0,$T$6,$T$5)))/(12*$T$19))+(((3*$T$15)/(2*IF($T$5=0,$T$6,$T$5)*$U$5*$T$19))*'IN-OUT'!$F$14))*'Burland damage classification'!CK414</f>
        <v>#DIV/0!</v>
      </c>
      <c r="CH414" s="352">
        <f>(1+(((IF($T$5=0,$T$6^2,$T$5^2))*$U$5)/(18*$T$15))*('IN-OUT'!$F$14^(-1)))*CL414</f>
        <v>1.7854971296532517E-3</v>
      </c>
      <c r="CI414" s="254" t="e">
        <f t="shared" si="283"/>
        <v>#DIV/0!</v>
      </c>
      <c r="CJ414" s="254" t="e">
        <f t="shared" si="295"/>
        <v>#DIV/0!</v>
      </c>
      <c r="CK414" s="254">
        <f t="shared" si="307"/>
        <v>1.4199999999999937E-3</v>
      </c>
      <c r="CL414" s="270">
        <f t="shared" si="284"/>
        <v>1.7854971296532517E-3</v>
      </c>
      <c r="CM414" s="253">
        <f t="shared" si="308"/>
        <v>5.7999999999999924E-4</v>
      </c>
      <c r="CN414" s="255">
        <f t="shared" si="296"/>
        <v>5.7999999999999927E-2</v>
      </c>
    </row>
    <row r="415" spans="24:92">
      <c r="AN415" s="258">
        <f>(((IF($S$5&lt;&gt;0,$S$5,IF($S$6&lt;&gt;0,$S$6,IF($S$7&lt;&gt;0,$S$7,0))))/(12*$S$19))+(((3*$S$15)/(2*(IF($S$5&lt;&gt;0,$S$5,IF($S$6&lt;&gt;0,$S$6,IF($S$7&lt;&gt;0,$S$7,0))))*$U$5*$S$19))*'IN-OUT'!$F$14))*'Burland damage classification'!AR415</f>
        <v>3.6247057954890112E-3</v>
      </c>
      <c r="AO415" s="353">
        <f>(1+(((IF($S$5&lt;&gt;0,$S$5^2,IF($S$6&lt;&gt;0,$S$6^2,IF($S$7&lt;&gt;0,$S$7^2))))*$U$5)/(18*$S$15))*('IN-OUT'!$F$14^(-1)))*AS415</f>
        <v>7.7295130532403604E-4</v>
      </c>
      <c r="AP415" s="254">
        <f t="shared" si="275"/>
        <v>7.7295130532403604E-4</v>
      </c>
      <c r="AQ415" s="254">
        <f t="shared" si="287"/>
        <v>7.7295130532403611E-2</v>
      </c>
      <c r="AR415" s="254">
        <f t="shared" si="299"/>
        <v>4.1333333333333467E-4</v>
      </c>
      <c r="AS415" s="253">
        <f t="shared" si="276"/>
        <v>7.6768048909252198E-4</v>
      </c>
      <c r="AT415" s="253">
        <f t="shared" si="300"/>
        <v>5.8666666666666589E-4</v>
      </c>
      <c r="AU415" s="255">
        <f t="shared" si="288"/>
        <v>5.8666666666666589E-2</v>
      </c>
      <c r="AW415" s="258">
        <f>(((IF($S$5&lt;&gt;0,$S$5,IF($S$6&lt;&gt;0,$S$6,IF($S$7&lt;&gt;0,$S$7,0))))/(12*$S$19))+(((3*$S$15)/(2*(IF($S$5&lt;&gt;0,$S$5,IF($S$6&lt;&gt;0,$S$6,IF($S$7&lt;&gt;0,$S$7,0))))*$U$5*$S$19))*'IN-OUT'!$F$14))*'Burland damage classification'!BA415</f>
        <v>1.2394155300704266E-2</v>
      </c>
      <c r="AX415" s="353">
        <f>(1+(((IF($S$5&lt;&gt;0,$S$5^2,IF($S$6&lt;&gt;0,$S$6^2,IF($S$7&lt;&gt;0,$S$7^2))))*$U$5)/(18*$S$15))*('IN-OUT'!$F$14^(-1)))*BB415</f>
        <v>1.7951226463593308E-3</v>
      </c>
      <c r="AY415" s="254">
        <f t="shared" si="277"/>
        <v>1.7951226463593308E-3</v>
      </c>
      <c r="AZ415" s="254">
        <f t="shared" si="289"/>
        <v>0.17951226463593309</v>
      </c>
      <c r="BA415" s="254">
        <f t="shared" si="301"/>
        <v>1.413333333333327E-3</v>
      </c>
      <c r="BB415" s="270">
        <f t="shared" si="278"/>
        <v>1.7828815627143233E-3</v>
      </c>
      <c r="BC415" s="253">
        <f t="shared" si="302"/>
        <v>5.8666666666666589E-4</v>
      </c>
      <c r="BD415" s="255">
        <f t="shared" si="290"/>
        <v>5.8666666666666589E-2</v>
      </c>
      <c r="BI415" s="248"/>
      <c r="BX415" s="351" t="e">
        <f>((((IF($T$5=0,$T$6,$T$5)))/(12*$T$19))+(((3*$T$15)/(2*IF($T$5=0,$T$6,$T$5)*$U$5*$T$19))*'IN-OUT'!$F$14))*'Burland damage classification'!CB415</f>
        <v>#DIV/0!</v>
      </c>
      <c r="BY415" s="352">
        <f>(1+(((IF($T$5=0,$T$6^2,$T$5^2))*$U$5)/(18*$T$15))*('IN-OUT'!$F$14^(-1)))*CC415</f>
        <v>7.6768048909252198E-4</v>
      </c>
      <c r="BZ415" s="254" t="e">
        <f t="shared" si="281"/>
        <v>#DIV/0!</v>
      </c>
      <c r="CA415" s="254" t="e">
        <f t="shared" si="293"/>
        <v>#DIV/0!</v>
      </c>
      <c r="CB415" s="254">
        <f t="shared" si="305"/>
        <v>4.1333333333333467E-4</v>
      </c>
      <c r="CC415" s="253">
        <f t="shared" si="282"/>
        <v>7.6768048909252198E-4</v>
      </c>
      <c r="CD415" s="253">
        <f t="shared" si="306"/>
        <v>5.8666666666666589E-4</v>
      </c>
      <c r="CE415" s="255">
        <f t="shared" si="294"/>
        <v>5.8666666666666589E-2</v>
      </c>
      <c r="CG415" s="351" t="e">
        <f>((((IF($T$5=0,$T$6,$T$5)))/(12*$T$19))+(((3*$T$15)/(2*IF($T$5=0,$T$6,$T$5)*$U$5*$T$19))*'IN-OUT'!$F$14))*'Burland damage classification'!CK415</f>
        <v>#DIV/0!</v>
      </c>
      <c r="CH415" s="352">
        <f>(1+(((IF($T$5=0,$T$6^2,$T$5^2))*$U$5)/(18*$T$15))*('IN-OUT'!$F$14^(-1)))*CL415</f>
        <v>1.7828815627143233E-3</v>
      </c>
      <c r="CI415" s="254" t="e">
        <f t="shared" si="283"/>
        <v>#DIV/0!</v>
      </c>
      <c r="CJ415" s="254" t="e">
        <f t="shared" si="295"/>
        <v>#DIV/0!</v>
      </c>
      <c r="CK415" s="254">
        <f t="shared" si="307"/>
        <v>1.413333333333327E-3</v>
      </c>
      <c r="CL415" s="270">
        <f t="shared" si="284"/>
        <v>1.7828815627143233E-3</v>
      </c>
      <c r="CM415" s="253">
        <f t="shared" si="308"/>
        <v>5.8666666666666589E-4</v>
      </c>
      <c r="CN415" s="255">
        <f t="shared" si="296"/>
        <v>5.8666666666666589E-2</v>
      </c>
    </row>
    <row r="416" spans="24:92">
      <c r="AN416" s="258">
        <f>(((IF($S$5&lt;&gt;0,$S$5,IF($S$6&lt;&gt;0,$S$6,IF($S$7&lt;&gt;0,$S$7,0))))/(12*$S$19))+(((3*$S$15)/(2*(IF($S$5&lt;&gt;0,$S$5,IF($S$6&lt;&gt;0,$S$6,IF($S$7&lt;&gt;0,$S$7,0))))*$U$5*$S$19))*'IN-OUT'!$F$14))*'Burland damage classification'!AR416</f>
        <v>3.5662427987875763E-3</v>
      </c>
      <c r="AO416" s="353">
        <f>(1+(((IF($S$5&lt;&gt;0,$S$5^2,IF($S$6&lt;&gt;0,$S$6^2,IF($S$7&lt;&gt;0,$S$7^2))))*$U$5)/(18*$S$15))*('IN-OUT'!$F$14^(-1)))*AS416</f>
        <v>7.6988489531091989E-4</v>
      </c>
      <c r="AP416" s="254">
        <f t="shared" si="275"/>
        <v>7.6988489531091989E-4</v>
      </c>
      <c r="AQ416" s="254">
        <f t="shared" si="287"/>
        <v>7.6988489531091983E-2</v>
      </c>
      <c r="AR416" s="254">
        <f t="shared" si="299"/>
        <v>4.0666666666666802E-4</v>
      </c>
      <c r="AS416" s="253">
        <f t="shared" si="276"/>
        <v>7.6463498917239399E-4</v>
      </c>
      <c r="AT416" s="253">
        <f t="shared" si="300"/>
        <v>5.9333333333333254E-4</v>
      </c>
      <c r="AU416" s="255">
        <f t="shared" si="288"/>
        <v>5.9333333333333252E-2</v>
      </c>
      <c r="AW416" s="258">
        <f>(((IF($S$5&lt;&gt;0,$S$5,IF($S$6&lt;&gt;0,$S$6,IF($S$7&lt;&gt;0,$S$7,0))))/(12*$S$19))+(((3*$S$15)/(2*(IF($S$5&lt;&gt;0,$S$5,IF($S$6&lt;&gt;0,$S$6,IF($S$7&lt;&gt;0,$S$7,0))))*$U$5*$S$19))*'IN-OUT'!$F$14))*'Burland damage classification'!BA416</f>
        <v>1.233569230400283E-2</v>
      </c>
      <c r="AX416" s="353">
        <f>(1+(((IF($S$5&lt;&gt;0,$S$5^2,IF($S$6&lt;&gt;0,$S$6^2,IF($S$7&lt;&gt;0,$S$7^2))))*$U$5)/(18*$S$15))*('IN-OUT'!$F$14^(-1)))*BB416</f>
        <v>1.7924852520240374E-3</v>
      </c>
      <c r="AY416" s="254">
        <f t="shared" si="277"/>
        <v>1.7924852520240374E-3</v>
      </c>
      <c r="AZ416" s="254">
        <f t="shared" si="289"/>
        <v>0.17924852520240375</v>
      </c>
      <c r="BA416" s="254">
        <f t="shared" si="301"/>
        <v>1.4066666666666602E-3</v>
      </c>
      <c r="BB416" s="270">
        <f t="shared" si="278"/>
        <v>1.7802621529800981E-3</v>
      </c>
      <c r="BC416" s="253">
        <f t="shared" si="302"/>
        <v>5.9333333333333254E-4</v>
      </c>
      <c r="BD416" s="255">
        <f t="shared" si="290"/>
        <v>5.9333333333333252E-2</v>
      </c>
      <c r="BI416" s="248"/>
      <c r="BX416" s="351" t="e">
        <f>((((IF($T$5=0,$T$6,$T$5)))/(12*$T$19))+(((3*$T$15)/(2*IF($T$5=0,$T$6,$T$5)*$U$5*$T$19))*'IN-OUT'!$F$14))*'Burland damage classification'!CB416</f>
        <v>#DIV/0!</v>
      </c>
      <c r="BY416" s="352">
        <f>(1+(((IF($T$5=0,$T$6^2,$T$5^2))*$U$5)/(18*$T$15))*('IN-OUT'!$F$14^(-1)))*CC416</f>
        <v>7.6463498917239399E-4</v>
      </c>
      <c r="BZ416" s="254" t="e">
        <f t="shared" si="281"/>
        <v>#DIV/0!</v>
      </c>
      <c r="CA416" s="254" t="e">
        <f t="shared" si="293"/>
        <v>#DIV/0!</v>
      </c>
      <c r="CB416" s="254">
        <f t="shared" si="305"/>
        <v>4.0666666666666802E-4</v>
      </c>
      <c r="CC416" s="253">
        <f t="shared" si="282"/>
        <v>7.6463498917239399E-4</v>
      </c>
      <c r="CD416" s="253">
        <f t="shared" si="306"/>
        <v>5.9333333333333254E-4</v>
      </c>
      <c r="CE416" s="255">
        <f t="shared" si="294"/>
        <v>5.9333333333333252E-2</v>
      </c>
      <c r="CG416" s="351" t="e">
        <f>((((IF($T$5=0,$T$6,$T$5)))/(12*$T$19))+(((3*$T$15)/(2*IF($T$5=0,$T$6,$T$5)*$U$5*$T$19))*'IN-OUT'!$F$14))*'Burland damage classification'!CK416</f>
        <v>#DIV/0!</v>
      </c>
      <c r="CH416" s="352">
        <f>(1+(((IF($T$5=0,$T$6^2,$T$5^2))*$U$5)/(18*$T$15))*('IN-OUT'!$F$14^(-1)))*CL416</f>
        <v>1.7802621529800981E-3</v>
      </c>
      <c r="CI416" s="254" t="e">
        <f t="shared" si="283"/>
        <v>#DIV/0!</v>
      </c>
      <c r="CJ416" s="254" t="e">
        <f t="shared" si="295"/>
        <v>#DIV/0!</v>
      </c>
      <c r="CK416" s="254">
        <f t="shared" si="307"/>
        <v>1.4066666666666602E-3</v>
      </c>
      <c r="CL416" s="270">
        <f t="shared" si="284"/>
        <v>1.7802621529800981E-3</v>
      </c>
      <c r="CM416" s="253">
        <f t="shared" si="308"/>
        <v>5.9333333333333254E-4</v>
      </c>
      <c r="CN416" s="255">
        <f t="shared" si="296"/>
        <v>5.9333333333333252E-2</v>
      </c>
    </row>
    <row r="417" spans="40:92">
      <c r="AN417" s="258">
        <f>(((IF($S$5&lt;&gt;0,$S$5,IF($S$6&lt;&gt;0,$S$6,IF($S$7&lt;&gt;0,$S$7,0))))/(12*$S$19))+(((3*$S$15)/(2*(IF($S$5&lt;&gt;0,$S$5,IF($S$6&lt;&gt;0,$S$6,IF($S$7&lt;&gt;0,$S$7,0))))*$U$5*$S$19))*'IN-OUT'!$F$14))*'Burland damage classification'!AR417</f>
        <v>3.5077798020861409E-3</v>
      </c>
      <c r="AO417" s="353">
        <f>(1+(((IF($S$5&lt;&gt;0,$S$5^2,IF($S$6&lt;&gt;0,$S$6^2,IF($S$7&lt;&gt;0,$S$7^2))))*$U$5)/(18*$S$15))*('IN-OUT'!$F$14^(-1)))*AS417</f>
        <v>7.6680622301444662E-4</v>
      </c>
      <c r="AP417" s="254">
        <f t="shared" si="275"/>
        <v>7.6680622301444662E-4</v>
      </c>
      <c r="AQ417" s="254">
        <f t="shared" si="287"/>
        <v>7.6680622301444665E-2</v>
      </c>
      <c r="AR417" s="254">
        <f t="shared" si="299"/>
        <v>4.0000000000000137E-4</v>
      </c>
      <c r="AS417" s="253">
        <f t="shared" si="276"/>
        <v>7.6157731058639118E-4</v>
      </c>
      <c r="AT417" s="253">
        <f t="shared" si="300"/>
        <v>5.9999999999999919E-4</v>
      </c>
      <c r="AU417" s="255">
        <f t="shared" si="288"/>
        <v>5.9999999999999921E-2</v>
      </c>
      <c r="AW417" s="258">
        <f>(((IF($S$5&lt;&gt;0,$S$5,IF($S$6&lt;&gt;0,$S$6,IF($S$7&lt;&gt;0,$S$7,0))))/(12*$S$19))+(((3*$S$15)/(2*(IF($S$5&lt;&gt;0,$S$5,IF($S$6&lt;&gt;0,$S$6,IF($S$7&lt;&gt;0,$S$7,0))))*$U$5*$S$19))*'IN-OUT'!$F$14))*'Burland damage classification'!BA417</f>
        <v>1.2277229307301393E-2</v>
      </c>
      <c r="AX417" s="353">
        <f>(1+(((IF($S$5&lt;&gt;0,$S$5^2,IF($S$6&lt;&gt;0,$S$6^2,IF($S$7&lt;&gt;0,$S$7^2))))*$U$5)/(18*$S$15))*('IN-OUT'!$F$14^(-1)))*BB417</f>
        <v>1.789843971405113E-3</v>
      </c>
      <c r="AY417" s="254">
        <f t="shared" si="277"/>
        <v>1.789843971405113E-3</v>
      </c>
      <c r="AZ417" s="254">
        <f t="shared" si="289"/>
        <v>0.17898439714051129</v>
      </c>
      <c r="BA417" s="254">
        <f t="shared" si="301"/>
        <v>1.3999999999999935E-3</v>
      </c>
      <c r="BB417" s="270">
        <f t="shared" si="278"/>
        <v>1.777638883463118E-3</v>
      </c>
      <c r="BC417" s="253">
        <f t="shared" si="302"/>
        <v>5.9999999999999919E-4</v>
      </c>
      <c r="BD417" s="255">
        <f t="shared" si="290"/>
        <v>5.9999999999999921E-2</v>
      </c>
      <c r="BI417" s="248"/>
      <c r="BX417" s="351" t="e">
        <f>((((IF($T$5=0,$T$6,$T$5)))/(12*$T$19))+(((3*$T$15)/(2*IF($T$5=0,$T$6,$T$5)*$U$5*$T$19))*'IN-OUT'!$F$14))*'Burland damage classification'!CB417</f>
        <v>#DIV/0!</v>
      </c>
      <c r="BY417" s="352">
        <f>(1+(((IF($T$5=0,$T$6^2,$T$5^2))*$U$5)/(18*$T$15))*('IN-OUT'!$F$14^(-1)))*CC417</f>
        <v>7.6157731058639118E-4</v>
      </c>
      <c r="BZ417" s="254" t="e">
        <f t="shared" si="281"/>
        <v>#DIV/0!</v>
      </c>
      <c r="CA417" s="254" t="e">
        <f t="shared" si="293"/>
        <v>#DIV/0!</v>
      </c>
      <c r="CB417" s="254">
        <f t="shared" si="305"/>
        <v>4.0000000000000137E-4</v>
      </c>
      <c r="CC417" s="253">
        <f t="shared" si="282"/>
        <v>7.6157731058639118E-4</v>
      </c>
      <c r="CD417" s="253">
        <f t="shared" si="306"/>
        <v>5.9999999999999919E-4</v>
      </c>
      <c r="CE417" s="255">
        <f t="shared" si="294"/>
        <v>5.9999999999999921E-2</v>
      </c>
      <c r="CG417" s="351" t="e">
        <f>((((IF($T$5=0,$T$6,$T$5)))/(12*$T$19))+(((3*$T$15)/(2*IF($T$5=0,$T$6,$T$5)*$U$5*$T$19))*'IN-OUT'!$F$14))*'Burland damage classification'!CK417</f>
        <v>#DIV/0!</v>
      </c>
      <c r="CH417" s="352">
        <f>(1+(((IF($T$5=0,$T$6^2,$T$5^2))*$U$5)/(18*$T$15))*('IN-OUT'!$F$14^(-1)))*CL417</f>
        <v>1.777638883463118E-3</v>
      </c>
      <c r="CI417" s="254" t="e">
        <f t="shared" si="283"/>
        <v>#DIV/0!</v>
      </c>
      <c r="CJ417" s="254" t="e">
        <f t="shared" si="295"/>
        <v>#DIV/0!</v>
      </c>
      <c r="CK417" s="254">
        <f t="shared" si="307"/>
        <v>1.3999999999999935E-3</v>
      </c>
      <c r="CL417" s="270">
        <f t="shared" si="284"/>
        <v>1.777638883463118E-3</v>
      </c>
      <c r="CM417" s="253">
        <f t="shared" si="308"/>
        <v>5.9999999999999919E-4</v>
      </c>
      <c r="CN417" s="255">
        <f t="shared" si="296"/>
        <v>5.9999999999999921E-2</v>
      </c>
    </row>
    <row r="418" spans="40:92">
      <c r="AN418" s="258">
        <f>(((IF($S$5&lt;&gt;0,$S$5,IF($S$6&lt;&gt;0,$S$6,IF($S$7&lt;&gt;0,$S$7,0))))/(12*$S$19))+(((3*$S$15)/(2*(IF($S$5&lt;&gt;0,$S$5,IF($S$6&lt;&gt;0,$S$6,IF($S$7&lt;&gt;0,$S$7,0))))*$U$5*$S$19))*'IN-OUT'!$F$14))*'Burland damage classification'!AR418</f>
        <v>3.4493168053847056E-3</v>
      </c>
      <c r="AO418" s="353">
        <f>(1+(((IF($S$5&lt;&gt;0,$S$5^2,IF($S$6&lt;&gt;0,$S$6^2,IF($S$7&lt;&gt;0,$S$7^2))))*$U$5)/(18*$S$15))*('IN-OUT'!$F$14^(-1)))*AS418</f>
        <v>7.6371514014025952E-4</v>
      </c>
      <c r="AP418" s="254">
        <f t="shared" si="275"/>
        <v>7.6371514014025952E-4</v>
      </c>
      <c r="AQ418" s="254">
        <f t="shared" si="287"/>
        <v>7.6371514014025949E-2</v>
      </c>
      <c r="AR418" s="254">
        <f t="shared" si="299"/>
        <v>3.9333333333333473E-4</v>
      </c>
      <c r="AS418" s="253">
        <f t="shared" si="276"/>
        <v>7.5850730605138796E-4</v>
      </c>
      <c r="AT418" s="253">
        <f t="shared" si="300"/>
        <v>6.0666666666666584E-4</v>
      </c>
      <c r="AU418" s="255">
        <f t="shared" si="288"/>
        <v>6.0666666666666584E-2</v>
      </c>
      <c r="AW418" s="258">
        <f>(((IF($S$5&lt;&gt;0,$S$5,IF($S$6&lt;&gt;0,$S$6,IF($S$7&lt;&gt;0,$S$7,0))))/(12*$S$19))+(((3*$S$15)/(2*(IF($S$5&lt;&gt;0,$S$5,IF($S$6&lt;&gt;0,$S$6,IF($S$7&lt;&gt;0,$S$7,0))))*$U$5*$S$19))*'IN-OUT'!$F$14))*'Burland damage classification'!BA418</f>
        <v>1.2218766310599958E-2</v>
      </c>
      <c r="AX418" s="353">
        <f>(1+(((IF($S$5&lt;&gt;0,$S$5^2,IF($S$6&lt;&gt;0,$S$6^2,IF($S$7&lt;&gt;0,$S$7^2))))*$U$5)/(18*$S$15))*('IN-OUT'!$F$14^(-1)))*BB418</f>
        <v>1.7871987872720755E-3</v>
      </c>
      <c r="AY418" s="254">
        <f t="shared" si="277"/>
        <v>1.7871987872720755E-3</v>
      </c>
      <c r="AZ418" s="254">
        <f t="shared" si="289"/>
        <v>0.17871987872720754</v>
      </c>
      <c r="BA418" s="254">
        <f t="shared" si="301"/>
        <v>1.3933333333333267E-3</v>
      </c>
      <c r="BB418" s="270">
        <f t="shared" si="278"/>
        <v>1.775011737050397E-3</v>
      </c>
      <c r="BC418" s="253">
        <f t="shared" si="302"/>
        <v>6.0666666666666584E-4</v>
      </c>
      <c r="BD418" s="255">
        <f t="shared" si="290"/>
        <v>6.0666666666666584E-2</v>
      </c>
      <c r="BI418" s="248"/>
      <c r="BX418" s="351" t="e">
        <f>((((IF($T$5=0,$T$6,$T$5)))/(12*$T$19))+(((3*$T$15)/(2*IF($T$5=0,$T$6,$T$5)*$U$5*$T$19))*'IN-OUT'!$F$14))*'Burland damage classification'!CB418</f>
        <v>#DIV/0!</v>
      </c>
      <c r="BY418" s="352">
        <f>(1+(((IF($T$5=0,$T$6^2,$T$5^2))*$U$5)/(18*$T$15))*('IN-OUT'!$F$14^(-1)))*CC418</f>
        <v>7.5850730605138796E-4</v>
      </c>
      <c r="BZ418" s="254" t="e">
        <f t="shared" si="281"/>
        <v>#DIV/0!</v>
      </c>
      <c r="CA418" s="254" t="e">
        <f t="shared" si="293"/>
        <v>#DIV/0!</v>
      </c>
      <c r="CB418" s="254">
        <f t="shared" si="305"/>
        <v>3.9333333333333473E-4</v>
      </c>
      <c r="CC418" s="253">
        <f t="shared" si="282"/>
        <v>7.5850730605138796E-4</v>
      </c>
      <c r="CD418" s="253">
        <f t="shared" si="306"/>
        <v>6.0666666666666584E-4</v>
      </c>
      <c r="CE418" s="255">
        <f t="shared" si="294"/>
        <v>6.0666666666666584E-2</v>
      </c>
      <c r="CG418" s="351" t="e">
        <f>((((IF($T$5=0,$T$6,$T$5)))/(12*$T$19))+(((3*$T$15)/(2*IF($T$5=0,$T$6,$T$5)*$U$5*$T$19))*'IN-OUT'!$F$14))*'Burland damage classification'!CK418</f>
        <v>#DIV/0!</v>
      </c>
      <c r="CH418" s="352">
        <f>(1+(((IF($T$5=0,$T$6^2,$T$5^2))*$U$5)/(18*$T$15))*('IN-OUT'!$F$14^(-1)))*CL418</f>
        <v>1.775011737050397E-3</v>
      </c>
      <c r="CI418" s="254" t="e">
        <f t="shared" si="283"/>
        <v>#DIV/0!</v>
      </c>
      <c r="CJ418" s="254" t="e">
        <f t="shared" si="295"/>
        <v>#DIV/0!</v>
      </c>
      <c r="CK418" s="254">
        <f t="shared" si="307"/>
        <v>1.3933333333333267E-3</v>
      </c>
      <c r="CL418" s="270">
        <f t="shared" si="284"/>
        <v>1.775011737050397E-3</v>
      </c>
      <c r="CM418" s="253">
        <f t="shared" si="308"/>
        <v>6.0666666666666584E-4</v>
      </c>
      <c r="CN418" s="255">
        <f t="shared" si="296"/>
        <v>6.0666666666666584E-2</v>
      </c>
    </row>
    <row r="419" spans="40:92">
      <c r="AN419" s="258">
        <f>(((IF($S$5&lt;&gt;0,$S$5,IF($S$6&lt;&gt;0,$S$6,IF($S$7&lt;&gt;0,$S$7,0))))/(12*$S$19))+(((3*$S$15)/(2*(IF($S$5&lt;&gt;0,$S$5,IF($S$6&lt;&gt;0,$S$6,IF($S$7&lt;&gt;0,$S$7,0))))*$U$5*$S$19))*'IN-OUT'!$F$14))*'Burland damage classification'!AR419</f>
        <v>3.3908538086832702E-3</v>
      </c>
      <c r="AO419" s="353">
        <f>(1+(((IF($S$5&lt;&gt;0,$S$5^2,IF($S$6&lt;&gt;0,$S$6^2,IF($S$7&lt;&gt;0,$S$7^2))))*$U$5)/(18*$S$15))*('IN-OUT'!$F$14^(-1)))*AS419</f>
        <v>7.6061149538067801E-4</v>
      </c>
      <c r="AP419" s="254">
        <f t="shared" si="275"/>
        <v>7.6061149538067801E-4</v>
      </c>
      <c r="AQ419" s="254">
        <f t="shared" si="287"/>
        <v>7.6061149538067807E-2</v>
      </c>
      <c r="AR419" s="254">
        <f t="shared" si="299"/>
        <v>3.8666666666666808E-4</v>
      </c>
      <c r="AS419" s="253">
        <f t="shared" si="276"/>
        <v>7.5542482529148271E-4</v>
      </c>
      <c r="AT419" s="253">
        <f t="shared" si="300"/>
        <v>6.1333333333333248E-4</v>
      </c>
      <c r="AU419" s="255">
        <f t="shared" si="288"/>
        <v>6.1333333333333247E-2</v>
      </c>
      <c r="AW419" s="258">
        <f>(((IF($S$5&lt;&gt;0,$S$5,IF($S$6&lt;&gt;0,$S$6,IF($S$7&lt;&gt;0,$S$7,0))))/(12*$S$19))+(((3*$S$15)/(2*(IF($S$5&lt;&gt;0,$S$5,IF($S$6&lt;&gt;0,$S$6,IF($S$7&lt;&gt;0,$S$7,0))))*$U$5*$S$19))*'IN-OUT'!$F$14))*'Burland damage classification'!BA419</f>
        <v>1.2160303313898521E-2</v>
      </c>
      <c r="AX419" s="353">
        <f>(1+(((IF($S$5&lt;&gt;0,$S$5^2,IF($S$6&lt;&gt;0,$S$6^2,IF($S$7&lt;&gt;0,$S$7^2))))*$U$5)/(18*$S$15))*('IN-OUT'!$F$14^(-1)))*BB419</f>
        <v>1.7845496822667412E-3</v>
      </c>
      <c r="AY419" s="254">
        <f t="shared" si="277"/>
        <v>1.7845496822667412E-3</v>
      </c>
      <c r="AZ419" s="254">
        <f t="shared" si="289"/>
        <v>0.17845496822667412</v>
      </c>
      <c r="BA419" s="254">
        <f t="shared" si="301"/>
        <v>1.38666666666666E-3</v>
      </c>
      <c r="BB419" s="270">
        <f t="shared" si="278"/>
        <v>1.7723806965021184E-3</v>
      </c>
      <c r="BC419" s="253">
        <f t="shared" si="302"/>
        <v>6.1333333333333248E-4</v>
      </c>
      <c r="BD419" s="255">
        <f t="shared" si="290"/>
        <v>6.1333333333333247E-2</v>
      </c>
      <c r="BI419" s="248"/>
      <c r="BX419" s="351" t="e">
        <f>((((IF($T$5=0,$T$6,$T$5)))/(12*$T$19))+(((3*$T$15)/(2*IF($T$5=0,$T$6,$T$5)*$U$5*$T$19))*'IN-OUT'!$F$14))*'Burland damage classification'!CB419</f>
        <v>#DIV/0!</v>
      </c>
      <c r="BY419" s="352">
        <f>(1+(((IF($T$5=0,$T$6^2,$T$5^2))*$U$5)/(18*$T$15))*('IN-OUT'!$F$14^(-1)))*CC419</f>
        <v>7.5542482529148271E-4</v>
      </c>
      <c r="BZ419" s="254" t="e">
        <f t="shared" si="281"/>
        <v>#DIV/0!</v>
      </c>
      <c r="CA419" s="254" t="e">
        <f t="shared" si="293"/>
        <v>#DIV/0!</v>
      </c>
      <c r="CB419" s="254">
        <f t="shared" si="305"/>
        <v>3.8666666666666808E-4</v>
      </c>
      <c r="CC419" s="253">
        <f t="shared" si="282"/>
        <v>7.5542482529148271E-4</v>
      </c>
      <c r="CD419" s="253">
        <f t="shared" si="306"/>
        <v>6.1333333333333248E-4</v>
      </c>
      <c r="CE419" s="255">
        <f t="shared" si="294"/>
        <v>6.1333333333333247E-2</v>
      </c>
      <c r="CG419" s="351" t="e">
        <f>((((IF($T$5=0,$T$6,$T$5)))/(12*$T$19))+(((3*$T$15)/(2*IF($T$5=0,$T$6,$T$5)*$U$5*$T$19))*'IN-OUT'!$F$14))*'Burland damage classification'!CK419</f>
        <v>#DIV/0!</v>
      </c>
      <c r="CH419" s="352">
        <f>(1+(((IF($T$5=0,$T$6^2,$T$5^2))*$U$5)/(18*$T$15))*('IN-OUT'!$F$14^(-1)))*CL419</f>
        <v>1.7723806965021184E-3</v>
      </c>
      <c r="CI419" s="254" t="e">
        <f t="shared" si="283"/>
        <v>#DIV/0!</v>
      </c>
      <c r="CJ419" s="254" t="e">
        <f t="shared" si="295"/>
        <v>#DIV/0!</v>
      </c>
      <c r="CK419" s="254">
        <f t="shared" si="307"/>
        <v>1.38666666666666E-3</v>
      </c>
      <c r="CL419" s="270">
        <f t="shared" si="284"/>
        <v>1.7723806965021184E-3</v>
      </c>
      <c r="CM419" s="253">
        <f t="shared" si="308"/>
        <v>6.1333333333333248E-4</v>
      </c>
      <c r="CN419" s="255">
        <f t="shared" si="296"/>
        <v>6.1333333333333247E-2</v>
      </c>
    </row>
    <row r="420" spans="40:92">
      <c r="AN420" s="258">
        <f>(((IF($S$5&lt;&gt;0,$S$5,IF($S$6&lt;&gt;0,$S$6,IF($S$7&lt;&gt;0,$S$7,0))))/(12*$S$19))+(((3*$S$15)/(2*(IF($S$5&lt;&gt;0,$S$5,IF($S$6&lt;&gt;0,$S$6,IF($S$7&lt;&gt;0,$S$7,0))))*$U$5*$S$19))*'IN-OUT'!$F$14))*'Burland damage classification'!AR420</f>
        <v>3.3323908119818348E-3</v>
      </c>
      <c r="AO420" s="353">
        <f>(1+(((IF($S$5&lt;&gt;0,$S$5^2,IF($S$6&lt;&gt;0,$S$6^2,IF($S$7&lt;&gt;0,$S$7^2))))*$U$5)/(18*$S$15))*('IN-OUT'!$F$14^(-1)))*AS420</f>
        <v>7.5749513432827166E-4</v>
      </c>
      <c r="AP420" s="254">
        <f t="shared" si="275"/>
        <v>7.5749513432827166E-4</v>
      </c>
      <c r="AQ420" s="254">
        <f t="shared" si="287"/>
        <v>7.5749513432827167E-2</v>
      </c>
      <c r="AR420" s="254">
        <f t="shared" si="299"/>
        <v>3.8000000000000143E-4</v>
      </c>
      <c r="AS420" s="253">
        <f t="shared" si="276"/>
        <v>7.5232971495216153E-4</v>
      </c>
      <c r="AT420" s="253">
        <f t="shared" si="300"/>
        <v>6.1999999999999913E-4</v>
      </c>
      <c r="AU420" s="255">
        <f t="shared" si="288"/>
        <v>6.1999999999999916E-2</v>
      </c>
      <c r="AW420" s="258">
        <f>(((IF($S$5&lt;&gt;0,$S$5,IF($S$6&lt;&gt;0,$S$6,IF($S$7&lt;&gt;0,$S$7,0))))/(12*$S$19))+(((3*$S$15)/(2*(IF($S$5&lt;&gt;0,$S$5,IF($S$6&lt;&gt;0,$S$6,IF($S$7&lt;&gt;0,$S$7,0))))*$U$5*$S$19))*'IN-OUT'!$F$14))*'Burland damage classification'!BA420</f>
        <v>1.2101840317197085E-2</v>
      </c>
      <c r="AX420" s="353">
        <f>(1+(((IF($S$5&lt;&gt;0,$S$5^2,IF($S$6&lt;&gt;0,$S$6^2,IF($S$7&lt;&gt;0,$S$7^2))))*$U$5)/(18*$S$15))*('IN-OUT'!$F$14^(-1)))*BB420</f>
        <v>1.7818966389018969E-3</v>
      </c>
      <c r="AY420" s="254">
        <f t="shared" si="277"/>
        <v>1.7818966389018969E-3</v>
      </c>
      <c r="AZ420" s="254">
        <f t="shared" si="289"/>
        <v>0.1781896638901897</v>
      </c>
      <c r="BA420" s="254">
        <f t="shared" si="301"/>
        <v>1.3799999999999932E-3</v>
      </c>
      <c r="BB420" s="270">
        <f t="shared" si="278"/>
        <v>1.7697457444503155E-3</v>
      </c>
      <c r="BC420" s="253">
        <f t="shared" si="302"/>
        <v>6.1999999999999913E-4</v>
      </c>
      <c r="BD420" s="255">
        <f t="shared" si="290"/>
        <v>6.1999999999999916E-2</v>
      </c>
      <c r="BI420" s="248"/>
      <c r="BX420" s="351" t="e">
        <f>((((IF($T$5=0,$T$6,$T$5)))/(12*$T$19))+(((3*$T$15)/(2*IF($T$5=0,$T$6,$T$5)*$U$5*$T$19))*'IN-OUT'!$F$14))*'Burland damage classification'!CB420</f>
        <v>#DIV/0!</v>
      </c>
      <c r="BY420" s="352">
        <f>(1+(((IF($T$5=0,$T$6^2,$T$5^2))*$U$5)/(18*$T$15))*('IN-OUT'!$F$14^(-1)))*CC420</f>
        <v>7.5232971495216153E-4</v>
      </c>
      <c r="BZ420" s="254" t="e">
        <f t="shared" si="281"/>
        <v>#DIV/0!</v>
      </c>
      <c r="CA420" s="254" t="e">
        <f t="shared" si="293"/>
        <v>#DIV/0!</v>
      </c>
      <c r="CB420" s="254">
        <f t="shared" si="305"/>
        <v>3.8000000000000143E-4</v>
      </c>
      <c r="CC420" s="253">
        <f t="shared" si="282"/>
        <v>7.5232971495216153E-4</v>
      </c>
      <c r="CD420" s="253">
        <f t="shared" si="306"/>
        <v>6.1999999999999913E-4</v>
      </c>
      <c r="CE420" s="255">
        <f t="shared" si="294"/>
        <v>6.1999999999999916E-2</v>
      </c>
      <c r="CG420" s="351" t="e">
        <f>((((IF($T$5=0,$T$6,$T$5)))/(12*$T$19))+(((3*$T$15)/(2*IF($T$5=0,$T$6,$T$5)*$U$5*$T$19))*'IN-OUT'!$F$14))*'Burland damage classification'!CK420</f>
        <v>#DIV/0!</v>
      </c>
      <c r="CH420" s="352">
        <f>(1+(((IF($T$5=0,$T$6^2,$T$5^2))*$U$5)/(18*$T$15))*('IN-OUT'!$F$14^(-1)))*CL420</f>
        <v>1.7697457444503155E-3</v>
      </c>
      <c r="CI420" s="254" t="e">
        <f t="shared" si="283"/>
        <v>#DIV/0!</v>
      </c>
      <c r="CJ420" s="254" t="e">
        <f t="shared" si="295"/>
        <v>#DIV/0!</v>
      </c>
      <c r="CK420" s="254">
        <f t="shared" si="307"/>
        <v>1.3799999999999932E-3</v>
      </c>
      <c r="CL420" s="270">
        <f t="shared" si="284"/>
        <v>1.7697457444503155E-3</v>
      </c>
      <c r="CM420" s="253">
        <f t="shared" si="308"/>
        <v>6.1999999999999913E-4</v>
      </c>
      <c r="CN420" s="255">
        <f t="shared" si="296"/>
        <v>6.1999999999999916E-2</v>
      </c>
    </row>
    <row r="421" spans="40:92">
      <c r="AN421" s="258">
        <f>(((IF($S$5&lt;&gt;0,$S$5,IF($S$6&lt;&gt;0,$S$6,IF($S$7&lt;&gt;0,$S$7,0))))/(12*$S$19))+(((3*$S$15)/(2*(IF($S$5&lt;&gt;0,$S$5,IF($S$6&lt;&gt;0,$S$6,IF($S$7&lt;&gt;0,$S$7,0))))*$U$5*$S$19))*'IN-OUT'!$F$14))*'Burland damage classification'!AR421</f>
        <v>3.2739278152803994E-3</v>
      </c>
      <c r="AO421" s="353">
        <f>(1+(((IF($S$5&lt;&gt;0,$S$5^2,IF($S$6&lt;&gt;0,$S$6^2,IF($S$7&lt;&gt;0,$S$7^2))))*$U$5)/(18*$S$15))*('IN-OUT'!$F$14^(-1)))*AS421</f>
        <v>7.5436589938622034E-4</v>
      </c>
      <c r="AP421" s="254">
        <f t="shared" si="275"/>
        <v>7.5436589938622034E-4</v>
      </c>
      <c r="AQ421" s="254">
        <f t="shared" si="287"/>
        <v>7.543658993862204E-2</v>
      </c>
      <c r="AR421" s="254">
        <f t="shared" si="299"/>
        <v>3.7333333333333478E-4</v>
      </c>
      <c r="AS421" s="253">
        <f t="shared" si="276"/>
        <v>7.4922181851126961E-4</v>
      </c>
      <c r="AT421" s="253">
        <f t="shared" si="300"/>
        <v>6.2666666666666578E-4</v>
      </c>
      <c r="AU421" s="255">
        <f t="shared" si="288"/>
        <v>6.2666666666666579E-2</v>
      </c>
      <c r="AW421" s="258">
        <f>(((IF($S$5&lt;&gt;0,$S$5,IF($S$6&lt;&gt;0,$S$6,IF($S$7&lt;&gt;0,$S$7,0))))/(12*$S$19))+(((3*$S$15)/(2*(IF($S$5&lt;&gt;0,$S$5,IF($S$6&lt;&gt;0,$S$6,IF($S$7&lt;&gt;0,$S$7,0))))*$U$5*$S$19))*'IN-OUT'!$F$14))*'Burland damage classification'!BA421</f>
        <v>1.2043377320495648E-2</v>
      </c>
      <c r="AX421" s="353">
        <f>(1+(((IF($S$5&lt;&gt;0,$S$5^2,IF($S$6&lt;&gt;0,$S$6^2,IF($S$7&lt;&gt;0,$S$7^2))))*$U$5)/(18*$S$15))*('IN-OUT'!$F$14^(-1)))*BB421</f>
        <v>1.7792396395599516E-3</v>
      </c>
      <c r="AY421" s="254">
        <f t="shared" si="277"/>
        <v>1.7792396395599516E-3</v>
      </c>
      <c r="AZ421" s="254">
        <f t="shared" si="289"/>
        <v>0.17792396395599516</v>
      </c>
      <c r="BA421" s="254">
        <f t="shared" si="301"/>
        <v>1.3733333333333265E-3</v>
      </c>
      <c r="BB421" s="270">
        <f t="shared" si="278"/>
        <v>1.767106863397533E-3</v>
      </c>
      <c r="BC421" s="253">
        <f t="shared" si="302"/>
        <v>6.2666666666666578E-4</v>
      </c>
      <c r="BD421" s="255">
        <f t="shared" si="290"/>
        <v>6.2666666666666579E-2</v>
      </c>
      <c r="BI421" s="248"/>
      <c r="BX421" s="351" t="e">
        <f>((((IF($T$5=0,$T$6,$T$5)))/(12*$T$19))+(((3*$T$15)/(2*IF($T$5=0,$T$6,$T$5)*$U$5*$T$19))*'IN-OUT'!$F$14))*'Burland damage classification'!CB421</f>
        <v>#DIV/0!</v>
      </c>
      <c r="BY421" s="352">
        <f>(1+(((IF($T$5=0,$T$6^2,$T$5^2))*$U$5)/(18*$T$15))*('IN-OUT'!$F$14^(-1)))*CC421</f>
        <v>7.4922181851126961E-4</v>
      </c>
      <c r="BZ421" s="254" t="e">
        <f t="shared" si="281"/>
        <v>#DIV/0!</v>
      </c>
      <c r="CA421" s="254" t="e">
        <f t="shared" si="293"/>
        <v>#DIV/0!</v>
      </c>
      <c r="CB421" s="254">
        <f t="shared" si="305"/>
        <v>3.7333333333333478E-4</v>
      </c>
      <c r="CC421" s="253">
        <f t="shared" si="282"/>
        <v>7.4922181851126961E-4</v>
      </c>
      <c r="CD421" s="253">
        <f t="shared" si="306"/>
        <v>6.2666666666666578E-4</v>
      </c>
      <c r="CE421" s="255">
        <f t="shared" si="294"/>
        <v>6.2666666666666579E-2</v>
      </c>
      <c r="CG421" s="351" t="e">
        <f>((((IF($T$5=0,$T$6,$T$5)))/(12*$T$19))+(((3*$T$15)/(2*IF($T$5=0,$T$6,$T$5)*$U$5*$T$19))*'IN-OUT'!$F$14))*'Burland damage classification'!CK421</f>
        <v>#DIV/0!</v>
      </c>
      <c r="CH421" s="352">
        <f>(1+(((IF($T$5=0,$T$6^2,$T$5^2))*$U$5)/(18*$T$15))*('IN-OUT'!$F$14^(-1)))*CL421</f>
        <v>1.767106863397533E-3</v>
      </c>
      <c r="CI421" s="254" t="e">
        <f t="shared" si="283"/>
        <v>#DIV/0!</v>
      </c>
      <c r="CJ421" s="254" t="e">
        <f t="shared" si="295"/>
        <v>#DIV/0!</v>
      </c>
      <c r="CK421" s="254">
        <f t="shared" si="307"/>
        <v>1.3733333333333265E-3</v>
      </c>
      <c r="CL421" s="270">
        <f t="shared" si="284"/>
        <v>1.767106863397533E-3</v>
      </c>
      <c r="CM421" s="253">
        <f t="shared" si="308"/>
        <v>6.2666666666666578E-4</v>
      </c>
      <c r="CN421" s="255">
        <f t="shared" si="296"/>
        <v>6.2666666666666579E-2</v>
      </c>
    </row>
    <row r="422" spans="40:92">
      <c r="AN422" s="258">
        <f>(((IF($S$5&lt;&gt;0,$S$5,IF($S$6&lt;&gt;0,$S$6,IF($S$7&lt;&gt;0,$S$7,0))))/(12*$S$19))+(((3*$S$15)/(2*(IF($S$5&lt;&gt;0,$S$5,IF($S$6&lt;&gt;0,$S$6,IF($S$7&lt;&gt;0,$S$7,0))))*$U$5*$S$19))*'IN-OUT'!$F$14))*'Burland damage classification'!AR422</f>
        <v>3.2154648185789641E-3</v>
      </c>
      <c r="AO422" s="353">
        <f>(1+(((IF($S$5&lt;&gt;0,$S$5^2,IF($S$6&lt;&gt;0,$S$6^2,IF($S$7&lt;&gt;0,$S$7^2))))*$U$5)/(18*$S$15))*('IN-OUT'!$F$14^(-1)))*AS422</f>
        <v>7.5122362967531598E-4</v>
      </c>
      <c r="AP422" s="254">
        <f t="shared" si="275"/>
        <v>7.5122362967531598E-4</v>
      </c>
      <c r="AQ422" s="254">
        <f t="shared" si="287"/>
        <v>7.5122362967531595E-2</v>
      </c>
      <c r="AR422" s="254">
        <f t="shared" si="299"/>
        <v>3.6666666666666813E-4</v>
      </c>
      <c r="AS422" s="253">
        <f t="shared" si="276"/>
        <v>7.4610097618664679E-4</v>
      </c>
      <c r="AT422" s="253">
        <f t="shared" si="300"/>
        <v>6.3333333333333243E-4</v>
      </c>
      <c r="AU422" s="255">
        <f t="shared" si="288"/>
        <v>6.3333333333333242E-2</v>
      </c>
      <c r="AW422" s="258">
        <f>(((IF($S$5&lt;&gt;0,$S$5,IF($S$6&lt;&gt;0,$S$6,IF($S$7&lt;&gt;0,$S$7,0))))/(12*$S$19))+(((3*$S$15)/(2*(IF($S$5&lt;&gt;0,$S$5,IF($S$6&lt;&gt;0,$S$6,IF($S$7&lt;&gt;0,$S$7,0))))*$U$5*$S$19))*'IN-OUT'!$F$14))*'Burland damage classification'!BA422</f>
        <v>1.1984914323794213E-2</v>
      </c>
      <c r="AX422" s="353">
        <f>(1+(((IF($S$5&lt;&gt;0,$S$5^2,IF($S$6&lt;&gt;0,$S$6^2,IF($S$7&lt;&gt;0,$S$7^2))))*$U$5)/(18*$S$15))*('IN-OUT'!$F$14^(-1)))*BB422</f>
        <v>1.7765786664915733E-3</v>
      </c>
      <c r="AY422" s="254">
        <f t="shared" si="277"/>
        <v>1.7765786664915733E-3</v>
      </c>
      <c r="AZ422" s="254">
        <f t="shared" si="289"/>
        <v>0.17765786664915734</v>
      </c>
      <c r="BA422" s="254">
        <f t="shared" si="301"/>
        <v>1.3666666666666597E-3</v>
      </c>
      <c r="BB422" s="270">
        <f t="shared" si="278"/>
        <v>1.7644640357154732E-3</v>
      </c>
      <c r="BC422" s="253">
        <f t="shared" si="302"/>
        <v>6.3333333333333243E-4</v>
      </c>
      <c r="BD422" s="255">
        <f t="shared" si="290"/>
        <v>6.3333333333333242E-2</v>
      </c>
      <c r="BI422" s="248"/>
      <c r="BX422" s="351" t="e">
        <f>((((IF($T$5=0,$T$6,$T$5)))/(12*$T$19))+(((3*$T$15)/(2*IF($T$5=0,$T$6,$T$5)*$U$5*$T$19))*'IN-OUT'!$F$14))*'Burland damage classification'!CB422</f>
        <v>#DIV/0!</v>
      </c>
      <c r="BY422" s="352">
        <f>(1+(((IF($T$5=0,$T$6^2,$T$5^2))*$U$5)/(18*$T$15))*('IN-OUT'!$F$14^(-1)))*CC422</f>
        <v>7.4610097618664679E-4</v>
      </c>
      <c r="BZ422" s="254" t="e">
        <f t="shared" si="281"/>
        <v>#DIV/0!</v>
      </c>
      <c r="CA422" s="254" t="e">
        <f t="shared" si="293"/>
        <v>#DIV/0!</v>
      </c>
      <c r="CB422" s="254">
        <f t="shared" si="305"/>
        <v>3.6666666666666813E-4</v>
      </c>
      <c r="CC422" s="253">
        <f t="shared" si="282"/>
        <v>7.4610097618664679E-4</v>
      </c>
      <c r="CD422" s="253">
        <f t="shared" si="306"/>
        <v>6.3333333333333243E-4</v>
      </c>
      <c r="CE422" s="255">
        <f t="shared" si="294"/>
        <v>6.3333333333333242E-2</v>
      </c>
      <c r="CG422" s="351" t="e">
        <f>((((IF($T$5=0,$T$6,$T$5)))/(12*$T$19))+(((3*$T$15)/(2*IF($T$5=0,$T$6,$T$5)*$U$5*$T$19))*'IN-OUT'!$F$14))*'Burland damage classification'!CK422</f>
        <v>#DIV/0!</v>
      </c>
      <c r="CH422" s="352">
        <f>(1+(((IF($T$5=0,$T$6^2,$T$5^2))*$U$5)/(18*$T$15))*('IN-OUT'!$F$14^(-1)))*CL422</f>
        <v>1.7644640357154732E-3</v>
      </c>
      <c r="CI422" s="254" t="e">
        <f t="shared" si="283"/>
        <v>#DIV/0!</v>
      </c>
      <c r="CJ422" s="254" t="e">
        <f t="shared" si="295"/>
        <v>#DIV/0!</v>
      </c>
      <c r="CK422" s="254">
        <f t="shared" si="307"/>
        <v>1.3666666666666597E-3</v>
      </c>
      <c r="CL422" s="270">
        <f t="shared" si="284"/>
        <v>1.7644640357154732E-3</v>
      </c>
      <c r="CM422" s="253">
        <f t="shared" si="308"/>
        <v>6.3333333333333243E-4</v>
      </c>
      <c r="CN422" s="255">
        <f t="shared" si="296"/>
        <v>6.3333333333333242E-2</v>
      </c>
    </row>
    <row r="423" spans="40:92">
      <c r="AN423" s="258">
        <f>(((IF($S$5&lt;&gt;0,$S$5,IF($S$6&lt;&gt;0,$S$6,IF($S$7&lt;&gt;0,$S$7,0))))/(12*$S$19))+(((3*$S$15)/(2*(IF($S$5&lt;&gt;0,$S$5,IF($S$6&lt;&gt;0,$S$6,IF($S$7&lt;&gt;0,$S$7,0))))*$U$5*$S$19))*'IN-OUT'!$F$14))*'Burland damage classification'!AR423</f>
        <v>3.1570018218775287E-3</v>
      </c>
      <c r="AO423" s="353">
        <f>(1+(((IF($S$5&lt;&gt;0,$S$5^2,IF($S$6&lt;&gt;0,$S$6^2,IF($S$7&lt;&gt;0,$S$7^2))))*$U$5)/(18*$S$15))*('IN-OUT'!$F$14^(-1)))*AS423</f>
        <v>7.4806816093744507E-4</v>
      </c>
      <c r="AP423" s="254">
        <f t="shared" si="275"/>
        <v>7.4806816093744507E-4</v>
      </c>
      <c r="AQ423" s="254">
        <f t="shared" si="287"/>
        <v>7.480681609374451E-2</v>
      </c>
      <c r="AR423" s="254">
        <f t="shared" si="299"/>
        <v>3.6000000000000149E-4</v>
      </c>
      <c r="AS423" s="253">
        <f t="shared" ref="AS423:AS454" si="309">($P$27^2-(2*0.35*$P$27*AT423))^0.5</f>
        <v>7.4296702484026882E-4</v>
      </c>
      <c r="AT423" s="253">
        <f t="shared" si="300"/>
        <v>6.3999999999999908E-4</v>
      </c>
      <c r="AU423" s="255">
        <f t="shared" si="288"/>
        <v>6.3999999999999904E-2</v>
      </c>
      <c r="AW423" s="258">
        <f>(((IF($S$5&lt;&gt;0,$S$5,IF($S$6&lt;&gt;0,$S$6,IF($S$7&lt;&gt;0,$S$7,0))))/(12*$S$19))+(((3*$S$15)/(2*(IF($S$5&lt;&gt;0,$S$5,IF($S$6&lt;&gt;0,$S$6,IF($S$7&lt;&gt;0,$S$7,0))))*$U$5*$S$19))*'IN-OUT'!$F$14))*'Burland damage classification'!BA423</f>
        <v>1.1926451327092776E-2</v>
      </c>
      <c r="AX423" s="353">
        <f>(1+(((IF($S$5&lt;&gt;0,$S$5^2,IF($S$6&lt;&gt;0,$S$6^2,IF($S$7&lt;&gt;0,$S$7^2))))*$U$5)/(18*$S$15))*('IN-OUT'!$F$14^(-1)))*BB423</f>
        <v>1.7739137018143037E-3</v>
      </c>
      <c r="AY423" s="254">
        <f t="shared" si="277"/>
        <v>1.7739137018143037E-3</v>
      </c>
      <c r="AZ423" s="254">
        <f t="shared" si="289"/>
        <v>0.17739137018143036</v>
      </c>
      <c r="BA423" s="254">
        <f t="shared" si="301"/>
        <v>1.3599999999999929E-3</v>
      </c>
      <c r="BB423" s="270">
        <f t="shared" si="278"/>
        <v>1.7618172436436195E-3</v>
      </c>
      <c r="BC423" s="253">
        <f t="shared" si="302"/>
        <v>6.3999999999999908E-4</v>
      </c>
      <c r="BD423" s="255">
        <f t="shared" si="290"/>
        <v>6.3999999999999904E-2</v>
      </c>
      <c r="BI423" s="248"/>
      <c r="BX423" s="351" t="e">
        <f>((((IF($T$5=0,$T$6,$T$5)))/(12*$T$19))+(((3*$T$15)/(2*IF($T$5=0,$T$6,$T$5)*$U$5*$T$19))*'IN-OUT'!$F$14))*'Burland damage classification'!CB423</f>
        <v>#DIV/0!</v>
      </c>
      <c r="BY423" s="352">
        <f>(1+(((IF($T$5=0,$T$6^2,$T$5^2))*$U$5)/(18*$T$15))*('IN-OUT'!$F$14^(-1)))*CC423</f>
        <v>7.4296702484026882E-4</v>
      </c>
      <c r="BZ423" s="254" t="e">
        <f t="shared" si="281"/>
        <v>#DIV/0!</v>
      </c>
      <c r="CA423" s="254" t="e">
        <f t="shared" si="293"/>
        <v>#DIV/0!</v>
      </c>
      <c r="CB423" s="254">
        <f t="shared" si="305"/>
        <v>3.6000000000000149E-4</v>
      </c>
      <c r="CC423" s="253">
        <f t="shared" ref="CC423:CC454" si="310">($P$27^2-(2*0.35*$P$27*CD423))^0.5</f>
        <v>7.4296702484026882E-4</v>
      </c>
      <c r="CD423" s="253">
        <f t="shared" si="306"/>
        <v>6.3999999999999908E-4</v>
      </c>
      <c r="CE423" s="255">
        <f t="shared" si="294"/>
        <v>6.3999999999999904E-2</v>
      </c>
      <c r="CG423" s="351" t="e">
        <f>((((IF($T$5=0,$T$6,$T$5)))/(12*$T$19))+(((3*$T$15)/(2*IF($T$5=0,$T$6,$T$5)*$U$5*$T$19))*'IN-OUT'!$F$14))*'Burland damage classification'!CK423</f>
        <v>#DIV/0!</v>
      </c>
      <c r="CH423" s="352">
        <f>(1+(((IF($T$5=0,$T$6^2,$T$5^2))*$U$5)/(18*$T$15))*('IN-OUT'!$F$14^(-1)))*CL423</f>
        <v>1.7618172436436195E-3</v>
      </c>
      <c r="CI423" s="254" t="e">
        <f t="shared" si="283"/>
        <v>#DIV/0!</v>
      </c>
      <c r="CJ423" s="254" t="e">
        <f t="shared" si="295"/>
        <v>#DIV/0!</v>
      </c>
      <c r="CK423" s="254">
        <f t="shared" si="307"/>
        <v>1.3599999999999929E-3</v>
      </c>
      <c r="CL423" s="270">
        <f t="shared" si="284"/>
        <v>1.7618172436436195E-3</v>
      </c>
      <c r="CM423" s="253">
        <f t="shared" si="308"/>
        <v>6.3999999999999908E-4</v>
      </c>
      <c r="CN423" s="255">
        <f t="shared" si="296"/>
        <v>6.3999999999999904E-2</v>
      </c>
    </row>
    <row r="424" spans="40:92">
      <c r="AN424" s="258">
        <f>(((IF($S$5&lt;&gt;0,$S$5,IF($S$6&lt;&gt;0,$S$6,IF($S$7&lt;&gt;0,$S$7,0))))/(12*$S$19))+(((3*$S$15)/(2*(IF($S$5&lt;&gt;0,$S$5,IF($S$6&lt;&gt;0,$S$6,IF($S$7&lt;&gt;0,$S$7,0))))*$U$5*$S$19))*'IN-OUT'!$F$14))*'Burland damage classification'!AR424</f>
        <v>3.0985388251760938E-3</v>
      </c>
      <c r="AO424" s="353">
        <f>(1+(((IF($S$5&lt;&gt;0,$S$5^2,IF($S$6&lt;&gt;0,$S$6^2,IF($S$7&lt;&gt;0,$S$7^2))))*$U$5)/(18*$S$15))*('IN-OUT'!$F$14^(-1)))*AS424</f>
        <v>7.4489932543539482E-4</v>
      </c>
      <c r="AP424" s="254">
        <f t="shared" si="275"/>
        <v>7.4489932543539482E-4</v>
      </c>
      <c r="AQ424" s="254">
        <f t="shared" si="287"/>
        <v>7.4489932543539486E-2</v>
      </c>
      <c r="AR424" s="254">
        <f t="shared" si="299"/>
        <v>3.5333333333333484E-4</v>
      </c>
      <c r="AS424" s="253">
        <f t="shared" si="309"/>
        <v>7.3981979787873613E-4</v>
      </c>
      <c r="AT424" s="253">
        <f t="shared" si="300"/>
        <v>6.4666666666666572E-4</v>
      </c>
      <c r="AU424" s="255">
        <f t="shared" si="288"/>
        <v>6.4666666666666567E-2</v>
      </c>
      <c r="AW424" s="258">
        <f>(((IF($S$5&lt;&gt;0,$S$5,IF($S$6&lt;&gt;0,$S$6,IF($S$7&lt;&gt;0,$S$7,0))))/(12*$S$19))+(((3*$S$15)/(2*(IF($S$5&lt;&gt;0,$S$5,IF($S$6&lt;&gt;0,$S$6,IF($S$7&lt;&gt;0,$S$7,0))))*$U$5*$S$19))*'IN-OUT'!$F$14))*'Burland damage classification'!BA424</f>
        <v>1.1867988330391339E-2</v>
      </c>
      <c r="AX424" s="353">
        <f>(1+(((IF($S$5&lt;&gt;0,$S$5^2,IF($S$6&lt;&gt;0,$S$6^2,IF($S$7&lt;&gt;0,$S$7^2))))*$U$5)/(18*$S$15))*('IN-OUT'!$F$14^(-1)))*BB424</f>
        <v>1.771244727511158E-3</v>
      </c>
      <c r="AY424" s="254">
        <f t="shared" si="277"/>
        <v>1.771244727511158E-3</v>
      </c>
      <c r="AZ424" s="254">
        <f t="shared" si="289"/>
        <v>0.17712447275111581</v>
      </c>
      <c r="BA424" s="254">
        <f t="shared" si="301"/>
        <v>1.3533333333333262E-3</v>
      </c>
      <c r="BB424" s="270">
        <f t="shared" si="278"/>
        <v>1.7591664692878464E-3</v>
      </c>
      <c r="BC424" s="253">
        <f t="shared" si="302"/>
        <v>6.4666666666666572E-4</v>
      </c>
      <c r="BD424" s="255">
        <f t="shared" si="290"/>
        <v>6.4666666666666567E-2</v>
      </c>
      <c r="BI424" s="248"/>
      <c r="BX424" s="351" t="e">
        <f>((((IF($T$5=0,$T$6,$T$5)))/(12*$T$19))+(((3*$T$15)/(2*IF($T$5=0,$T$6,$T$5)*$U$5*$T$19))*'IN-OUT'!$F$14))*'Burland damage classification'!CB424</f>
        <v>#DIV/0!</v>
      </c>
      <c r="BY424" s="352">
        <f>(1+(((IF($T$5=0,$T$6^2,$T$5^2))*$U$5)/(18*$T$15))*('IN-OUT'!$F$14^(-1)))*CC424</f>
        <v>7.3981979787873613E-4</v>
      </c>
      <c r="BZ424" s="254" t="e">
        <f t="shared" si="281"/>
        <v>#DIV/0!</v>
      </c>
      <c r="CA424" s="254" t="e">
        <f t="shared" si="293"/>
        <v>#DIV/0!</v>
      </c>
      <c r="CB424" s="254">
        <f t="shared" si="305"/>
        <v>3.5333333333333484E-4</v>
      </c>
      <c r="CC424" s="253">
        <f t="shared" si="310"/>
        <v>7.3981979787873613E-4</v>
      </c>
      <c r="CD424" s="253">
        <f t="shared" si="306"/>
        <v>6.4666666666666572E-4</v>
      </c>
      <c r="CE424" s="255">
        <f t="shared" si="294"/>
        <v>6.4666666666666567E-2</v>
      </c>
      <c r="CG424" s="351" t="e">
        <f>((((IF($T$5=0,$T$6,$T$5)))/(12*$T$19))+(((3*$T$15)/(2*IF($T$5=0,$T$6,$T$5)*$U$5*$T$19))*'IN-OUT'!$F$14))*'Burland damage classification'!CK424</f>
        <v>#DIV/0!</v>
      </c>
      <c r="CH424" s="352">
        <f>(1+(((IF($T$5=0,$T$6^2,$T$5^2))*$U$5)/(18*$T$15))*('IN-OUT'!$F$14^(-1)))*CL424</f>
        <v>1.7591664692878464E-3</v>
      </c>
      <c r="CI424" s="254" t="e">
        <f t="shared" si="283"/>
        <v>#DIV/0!</v>
      </c>
      <c r="CJ424" s="254" t="e">
        <f t="shared" si="295"/>
        <v>#DIV/0!</v>
      </c>
      <c r="CK424" s="254">
        <f t="shared" si="307"/>
        <v>1.3533333333333262E-3</v>
      </c>
      <c r="CL424" s="270">
        <f t="shared" si="284"/>
        <v>1.7591664692878464E-3</v>
      </c>
      <c r="CM424" s="253">
        <f t="shared" si="308"/>
        <v>6.4666666666666572E-4</v>
      </c>
      <c r="CN424" s="255">
        <f t="shared" si="296"/>
        <v>6.4666666666666567E-2</v>
      </c>
    </row>
    <row r="425" spans="40:92">
      <c r="AN425" s="258">
        <f>(((IF($S$5&lt;&gt;0,$S$5,IF($S$6&lt;&gt;0,$S$6,IF($S$7&lt;&gt;0,$S$7,0))))/(12*$S$19))+(((3*$S$15)/(2*(IF($S$5&lt;&gt;0,$S$5,IF($S$6&lt;&gt;0,$S$6,IF($S$7&lt;&gt;0,$S$7,0))))*$U$5*$S$19))*'IN-OUT'!$F$14))*'Burland damage classification'!AR425</f>
        <v>3.0400758284746584E-3</v>
      </c>
      <c r="AO425" s="353">
        <f>(1+(((IF($S$5&lt;&gt;0,$S$5^2,IF($S$6&lt;&gt;0,$S$6^2,IF($S$7&lt;&gt;0,$S$7^2))))*$U$5)/(18*$S$15))*('IN-OUT'!$F$14^(-1)))*AS425</f>
        <v>7.4171695184880421E-4</v>
      </c>
      <c r="AP425" s="254">
        <f t="shared" si="275"/>
        <v>7.4171695184880421E-4</v>
      </c>
      <c r="AQ425" s="254">
        <f t="shared" si="287"/>
        <v>7.4171695184880426E-2</v>
      </c>
      <c r="AR425" s="254">
        <f t="shared" si="299"/>
        <v>3.4666666666666819E-4</v>
      </c>
      <c r="AS425" s="253">
        <f t="shared" si="309"/>
        <v>7.3665912514993487E-4</v>
      </c>
      <c r="AT425" s="253">
        <f t="shared" si="300"/>
        <v>6.5333333333333237E-4</v>
      </c>
      <c r="AU425" s="255">
        <f t="shared" si="288"/>
        <v>6.5333333333333243E-2</v>
      </c>
      <c r="AW425" s="258">
        <f>(((IF($S$5&lt;&gt;0,$S$5,IF($S$6&lt;&gt;0,$S$6,IF($S$7&lt;&gt;0,$S$7,0))))/(12*$S$19))+(((3*$S$15)/(2*(IF($S$5&lt;&gt;0,$S$5,IF($S$6&lt;&gt;0,$S$6,IF($S$7&lt;&gt;0,$S$7,0))))*$U$5*$S$19))*'IN-OUT'!$F$14))*'Burland damage classification'!BA425</f>
        <v>1.1809525333689903E-2</v>
      </c>
      <c r="AX425" s="353">
        <f>(1+(((IF($S$5&lt;&gt;0,$S$5^2,IF($S$6&lt;&gt;0,$S$6^2,IF($S$7&lt;&gt;0,$S$7^2))))*$U$5)/(18*$S$15))*('IN-OUT'!$F$14^(-1)))*BB425</f>
        <v>1.7685717254292026E-3</v>
      </c>
      <c r="AY425" s="254">
        <f t="shared" si="277"/>
        <v>1.7685717254292026E-3</v>
      </c>
      <c r="AZ425" s="254">
        <f t="shared" si="289"/>
        <v>0.17685717254292027</v>
      </c>
      <c r="BA425" s="254">
        <f t="shared" si="301"/>
        <v>1.3466666666666594E-3</v>
      </c>
      <c r="BB425" s="270">
        <f t="shared" si="278"/>
        <v>1.7565116946190067E-3</v>
      </c>
      <c r="BC425" s="253">
        <f t="shared" si="302"/>
        <v>6.5333333333333237E-4</v>
      </c>
      <c r="BD425" s="255">
        <f t="shared" si="290"/>
        <v>6.5333333333333243E-2</v>
      </c>
      <c r="BI425" s="248"/>
      <c r="BX425" s="351" t="e">
        <f>((((IF($T$5=0,$T$6,$T$5)))/(12*$T$19))+(((3*$T$15)/(2*IF($T$5=0,$T$6,$T$5)*$U$5*$T$19))*'IN-OUT'!$F$14))*'Burland damage classification'!CB425</f>
        <v>#DIV/0!</v>
      </c>
      <c r="BY425" s="352">
        <f>(1+(((IF($T$5=0,$T$6^2,$T$5^2))*$U$5)/(18*$T$15))*('IN-OUT'!$F$14^(-1)))*CC425</f>
        <v>7.3665912514993487E-4</v>
      </c>
      <c r="BZ425" s="254" t="e">
        <f t="shared" si="281"/>
        <v>#DIV/0!</v>
      </c>
      <c r="CA425" s="254" t="e">
        <f t="shared" si="293"/>
        <v>#DIV/0!</v>
      </c>
      <c r="CB425" s="254">
        <f t="shared" si="305"/>
        <v>3.4666666666666819E-4</v>
      </c>
      <c r="CC425" s="253">
        <f t="shared" si="310"/>
        <v>7.3665912514993487E-4</v>
      </c>
      <c r="CD425" s="253">
        <f t="shared" si="306"/>
        <v>6.5333333333333237E-4</v>
      </c>
      <c r="CE425" s="255">
        <f t="shared" si="294"/>
        <v>6.5333333333333243E-2</v>
      </c>
      <c r="CG425" s="351" t="e">
        <f>((((IF($T$5=0,$T$6,$T$5)))/(12*$T$19))+(((3*$T$15)/(2*IF($T$5=0,$T$6,$T$5)*$U$5*$T$19))*'IN-OUT'!$F$14))*'Burland damage classification'!CK425</f>
        <v>#DIV/0!</v>
      </c>
      <c r="CH425" s="352">
        <f>(1+(((IF($T$5=0,$T$6^2,$T$5^2))*$U$5)/(18*$T$15))*('IN-OUT'!$F$14^(-1)))*CL425</f>
        <v>1.7565116946190067E-3</v>
      </c>
      <c r="CI425" s="254" t="e">
        <f t="shared" si="283"/>
        <v>#DIV/0!</v>
      </c>
      <c r="CJ425" s="254" t="e">
        <f t="shared" si="295"/>
        <v>#DIV/0!</v>
      </c>
      <c r="CK425" s="254">
        <f t="shared" si="307"/>
        <v>1.3466666666666594E-3</v>
      </c>
      <c r="CL425" s="270">
        <f t="shared" si="284"/>
        <v>1.7565116946190067E-3</v>
      </c>
      <c r="CM425" s="253">
        <f t="shared" si="308"/>
        <v>6.5333333333333237E-4</v>
      </c>
      <c r="CN425" s="255">
        <f t="shared" si="296"/>
        <v>6.5333333333333243E-2</v>
      </c>
    </row>
    <row r="426" spans="40:92">
      <c r="AN426" s="258">
        <f>(((IF($S$5&lt;&gt;0,$S$5,IF($S$6&lt;&gt;0,$S$6,IF($S$7&lt;&gt;0,$S$7,0))))/(12*$S$19))+(((3*$S$15)/(2*(IF($S$5&lt;&gt;0,$S$5,IF($S$6&lt;&gt;0,$S$6,IF($S$7&lt;&gt;0,$S$7,0))))*$U$5*$S$19))*'IN-OUT'!$F$14))*'Burland damage classification'!AR426</f>
        <v>2.981612831773223E-3</v>
      </c>
      <c r="AO426" s="353">
        <f>(1+(((IF($S$5&lt;&gt;0,$S$5^2,IF($S$6&lt;&gt;0,$S$6^2,IF($S$7&lt;&gt;0,$S$7^2))))*$U$5)/(18*$S$15))*('IN-OUT'!$F$14^(-1)))*AS426</f>
        <v>7.3852086516608059E-4</v>
      </c>
      <c r="AP426" s="254">
        <f t="shared" si="275"/>
        <v>7.3852086516608059E-4</v>
      </c>
      <c r="AQ426" s="254">
        <f t="shared" si="287"/>
        <v>7.3852086516608059E-2</v>
      </c>
      <c r="AR426" s="254">
        <f t="shared" si="299"/>
        <v>3.4000000000000154E-4</v>
      </c>
      <c r="AS426" s="253">
        <f t="shared" si="309"/>
        <v>7.3348483283569034E-4</v>
      </c>
      <c r="AT426" s="253">
        <f t="shared" si="300"/>
        <v>6.5999999999999902E-4</v>
      </c>
      <c r="AU426" s="255">
        <f t="shared" si="288"/>
        <v>6.5999999999999906E-2</v>
      </c>
      <c r="AW426" s="258">
        <f>(((IF($S$5&lt;&gt;0,$S$5,IF($S$6&lt;&gt;0,$S$6,IF($S$7&lt;&gt;0,$S$7,0))))/(12*$S$19))+(((3*$S$15)/(2*(IF($S$5&lt;&gt;0,$S$5,IF($S$6&lt;&gt;0,$S$6,IF($S$7&lt;&gt;0,$S$7,0))))*$U$5*$S$19))*'IN-OUT'!$F$14))*'Burland damage classification'!BA426</f>
        <v>1.1751062336988466E-2</v>
      </c>
      <c r="AX426" s="353">
        <f>(1+(((IF($S$5&lt;&gt;0,$S$5^2,IF($S$6&lt;&gt;0,$S$6^2,IF($S$7&lt;&gt;0,$S$7^2))))*$U$5)/(18*$S$15))*('IN-OUT'!$F$14^(-1)))*BB426</f>
        <v>1.7658946772781145E-3</v>
      </c>
      <c r="AY426" s="254">
        <f t="shared" si="277"/>
        <v>1.7658946772781145E-3</v>
      </c>
      <c r="AZ426" s="254">
        <f t="shared" si="289"/>
        <v>0.17658946772781145</v>
      </c>
      <c r="BA426" s="254">
        <f t="shared" si="301"/>
        <v>1.3399999999999927E-3</v>
      </c>
      <c r="BB426" s="270">
        <f t="shared" si="278"/>
        <v>1.7538529014715005E-3</v>
      </c>
      <c r="BC426" s="253">
        <f t="shared" si="302"/>
        <v>6.5999999999999902E-4</v>
      </c>
      <c r="BD426" s="255">
        <f t="shared" si="290"/>
        <v>6.5999999999999906E-2</v>
      </c>
      <c r="BI426" s="248"/>
      <c r="BX426" s="351" t="e">
        <f>((((IF($T$5=0,$T$6,$T$5)))/(12*$T$19))+(((3*$T$15)/(2*IF($T$5=0,$T$6,$T$5)*$U$5*$T$19))*'IN-OUT'!$F$14))*'Burland damage classification'!CB426</f>
        <v>#DIV/0!</v>
      </c>
      <c r="BY426" s="352">
        <f>(1+(((IF($T$5=0,$T$6^2,$T$5^2))*$U$5)/(18*$T$15))*('IN-OUT'!$F$14^(-1)))*CC426</f>
        <v>7.3348483283569034E-4</v>
      </c>
      <c r="BZ426" s="254" t="e">
        <f t="shared" si="281"/>
        <v>#DIV/0!</v>
      </c>
      <c r="CA426" s="254" t="e">
        <f t="shared" si="293"/>
        <v>#DIV/0!</v>
      </c>
      <c r="CB426" s="254">
        <f t="shared" si="305"/>
        <v>3.4000000000000154E-4</v>
      </c>
      <c r="CC426" s="253">
        <f t="shared" si="310"/>
        <v>7.3348483283569034E-4</v>
      </c>
      <c r="CD426" s="253">
        <f t="shared" si="306"/>
        <v>6.5999999999999902E-4</v>
      </c>
      <c r="CE426" s="255">
        <f t="shared" si="294"/>
        <v>6.5999999999999906E-2</v>
      </c>
      <c r="CG426" s="351" t="e">
        <f>((((IF($T$5=0,$T$6,$T$5)))/(12*$T$19))+(((3*$T$15)/(2*IF($T$5=0,$T$6,$T$5)*$U$5*$T$19))*'IN-OUT'!$F$14))*'Burland damage classification'!CK426</f>
        <v>#DIV/0!</v>
      </c>
      <c r="CH426" s="352">
        <f>(1+(((IF($T$5=0,$T$6^2,$T$5^2))*$U$5)/(18*$T$15))*('IN-OUT'!$F$14^(-1)))*CL426</f>
        <v>1.7538529014715005E-3</v>
      </c>
      <c r="CI426" s="254" t="e">
        <f t="shared" si="283"/>
        <v>#DIV/0!</v>
      </c>
      <c r="CJ426" s="254" t="e">
        <f t="shared" si="295"/>
        <v>#DIV/0!</v>
      </c>
      <c r="CK426" s="254">
        <f t="shared" si="307"/>
        <v>1.3399999999999927E-3</v>
      </c>
      <c r="CL426" s="270">
        <f t="shared" si="284"/>
        <v>1.7538529014715005E-3</v>
      </c>
      <c r="CM426" s="253">
        <f t="shared" si="308"/>
        <v>6.5999999999999902E-4</v>
      </c>
      <c r="CN426" s="255">
        <f t="shared" si="296"/>
        <v>6.5999999999999906E-2</v>
      </c>
    </row>
    <row r="427" spans="40:92">
      <c r="AN427" s="258">
        <f>(((IF($S$5&lt;&gt;0,$S$5,IF($S$6&lt;&gt;0,$S$6,IF($S$7&lt;&gt;0,$S$7,0))))/(12*$S$19))+(((3*$S$15)/(2*(IF($S$5&lt;&gt;0,$S$5,IF($S$6&lt;&gt;0,$S$6,IF($S$7&lt;&gt;0,$S$7,0))))*$U$5*$S$19))*'IN-OUT'!$F$14))*'Burland damage classification'!AR427</f>
        <v>2.9231498350717876E-3</v>
      </c>
      <c r="AO427" s="353">
        <f>(1+(((IF($S$5&lt;&gt;0,$S$5^2,IF($S$6&lt;&gt;0,$S$6^2,IF($S$7&lt;&gt;0,$S$7^2))))*$U$5)/(18*$S$15))*('IN-OUT'!$F$14^(-1)))*AS427</f>
        <v>7.3531088657208872E-4</v>
      </c>
      <c r="AP427" s="254">
        <f t="shared" si="275"/>
        <v>7.3531088657208872E-4</v>
      </c>
      <c r="AQ427" s="254">
        <f t="shared" si="287"/>
        <v>7.3531088657208879E-2</v>
      </c>
      <c r="AR427" s="254">
        <f t="shared" si="299"/>
        <v>3.3333333333333489E-4</v>
      </c>
      <c r="AS427" s="253">
        <f t="shared" si="309"/>
        <v>7.3029674334022191E-4</v>
      </c>
      <c r="AT427" s="253">
        <f t="shared" si="300"/>
        <v>6.6666666666666567E-4</v>
      </c>
      <c r="AU427" s="255">
        <f t="shared" si="288"/>
        <v>6.6666666666666569E-2</v>
      </c>
      <c r="AW427" s="258">
        <f>(((IF($S$5&lt;&gt;0,$S$5,IF($S$6&lt;&gt;0,$S$6,IF($S$7&lt;&gt;0,$S$7,0))))/(12*$S$19))+(((3*$S$15)/(2*(IF($S$5&lt;&gt;0,$S$5,IF($S$6&lt;&gt;0,$S$6,IF($S$7&lt;&gt;0,$S$7,0))))*$U$5*$S$19))*'IN-OUT'!$F$14))*'Burland damage classification'!BA427</f>
        <v>1.1692599340287031E-2</v>
      </c>
      <c r="AX427" s="353">
        <f>(1+(((IF($S$5&lt;&gt;0,$S$5^2,IF($S$6&lt;&gt;0,$S$6^2,IF($S$7&lt;&gt;0,$S$7^2))))*$U$5)/(18*$S$15))*('IN-OUT'!$F$14^(-1)))*BB427</f>
        <v>1.7632135646287227E-3</v>
      </c>
      <c r="AY427" s="254">
        <f t="shared" si="277"/>
        <v>1.7632135646287227E-3</v>
      </c>
      <c r="AZ427" s="254">
        <f t="shared" si="289"/>
        <v>0.17632135646287228</v>
      </c>
      <c r="BA427" s="254">
        <f t="shared" si="301"/>
        <v>1.3333333333333259E-3</v>
      </c>
      <c r="BB427" s="270">
        <f t="shared" si="278"/>
        <v>1.7511900715418266E-3</v>
      </c>
      <c r="BC427" s="253">
        <f t="shared" si="302"/>
        <v>6.6666666666666567E-4</v>
      </c>
      <c r="BD427" s="255">
        <f t="shared" si="290"/>
        <v>6.6666666666666569E-2</v>
      </c>
      <c r="BI427" s="248"/>
      <c r="BX427" s="351" t="e">
        <f>((((IF($T$5=0,$T$6,$T$5)))/(12*$T$19))+(((3*$T$15)/(2*IF($T$5=0,$T$6,$T$5)*$U$5*$T$19))*'IN-OUT'!$F$14))*'Burland damage classification'!CB427</f>
        <v>#DIV/0!</v>
      </c>
      <c r="BY427" s="352">
        <f>(1+(((IF($T$5=0,$T$6^2,$T$5^2))*$U$5)/(18*$T$15))*('IN-OUT'!$F$14^(-1)))*CC427</f>
        <v>7.3029674334022191E-4</v>
      </c>
      <c r="BZ427" s="254" t="e">
        <f t="shared" si="281"/>
        <v>#DIV/0!</v>
      </c>
      <c r="CA427" s="254" t="e">
        <f t="shared" si="293"/>
        <v>#DIV/0!</v>
      </c>
      <c r="CB427" s="254">
        <f t="shared" si="305"/>
        <v>3.3333333333333489E-4</v>
      </c>
      <c r="CC427" s="253">
        <f t="shared" si="310"/>
        <v>7.3029674334022191E-4</v>
      </c>
      <c r="CD427" s="253">
        <f t="shared" si="306"/>
        <v>6.6666666666666567E-4</v>
      </c>
      <c r="CE427" s="255">
        <f t="shared" si="294"/>
        <v>6.6666666666666569E-2</v>
      </c>
      <c r="CG427" s="351" t="e">
        <f>((((IF($T$5=0,$T$6,$T$5)))/(12*$T$19))+(((3*$T$15)/(2*IF($T$5=0,$T$6,$T$5)*$U$5*$T$19))*'IN-OUT'!$F$14))*'Burland damage classification'!CK427</f>
        <v>#DIV/0!</v>
      </c>
      <c r="CH427" s="352">
        <f>(1+(((IF($T$5=0,$T$6^2,$T$5^2))*$U$5)/(18*$T$15))*('IN-OUT'!$F$14^(-1)))*CL427</f>
        <v>1.7511900715418266E-3</v>
      </c>
      <c r="CI427" s="254" t="e">
        <f t="shared" si="283"/>
        <v>#DIV/0!</v>
      </c>
      <c r="CJ427" s="254" t="e">
        <f t="shared" si="295"/>
        <v>#DIV/0!</v>
      </c>
      <c r="CK427" s="254">
        <f t="shared" si="307"/>
        <v>1.3333333333333259E-3</v>
      </c>
      <c r="CL427" s="270">
        <f t="shared" si="284"/>
        <v>1.7511900715418266E-3</v>
      </c>
      <c r="CM427" s="253">
        <f t="shared" si="308"/>
        <v>6.6666666666666567E-4</v>
      </c>
      <c r="CN427" s="255">
        <f t="shared" si="296"/>
        <v>6.6666666666666569E-2</v>
      </c>
    </row>
    <row r="428" spans="40:92">
      <c r="AN428" s="258">
        <f>(((IF($S$5&lt;&gt;0,$S$5,IF($S$6&lt;&gt;0,$S$6,IF($S$7&lt;&gt;0,$S$7,0))))/(12*$S$19))+(((3*$S$15)/(2*(IF($S$5&lt;&gt;0,$S$5,IF($S$6&lt;&gt;0,$S$6,IF($S$7&lt;&gt;0,$S$7,0))))*$U$5*$S$19))*'IN-OUT'!$F$14))*'Burland damage classification'!AR428</f>
        <v>2.8646868383703523E-3</v>
      </c>
      <c r="AO428" s="353">
        <f>(1+(((IF($S$5&lt;&gt;0,$S$5^2,IF($S$6&lt;&gt;0,$S$6^2,IF($S$7&lt;&gt;0,$S$7^2))))*$U$5)/(18*$S$15))*('IN-OUT'!$F$14^(-1)))*AS428</f>
        <v>7.3208683333140633E-4</v>
      </c>
      <c r="AP428" s="254">
        <f t="shared" si="275"/>
        <v>7.3208683333140633E-4</v>
      </c>
      <c r="AQ428" s="254">
        <f t="shared" si="287"/>
        <v>7.3208683333140637E-2</v>
      </c>
      <c r="AR428" s="254">
        <f t="shared" si="299"/>
        <v>3.2666666666666825E-4</v>
      </c>
      <c r="AS428" s="253">
        <f t="shared" si="309"/>
        <v>7.2709467517419451E-4</v>
      </c>
      <c r="AT428" s="253">
        <f t="shared" si="300"/>
        <v>6.7333333333333232E-4</v>
      </c>
      <c r="AU428" s="255">
        <f t="shared" si="288"/>
        <v>6.7333333333333231E-2</v>
      </c>
      <c r="AW428" s="258">
        <f>(((IF($S$5&lt;&gt;0,$S$5,IF($S$6&lt;&gt;0,$S$6,IF($S$7&lt;&gt;0,$S$7,0))))/(12*$S$19))+(((3*$S$15)/(2*(IF($S$5&lt;&gt;0,$S$5,IF($S$6&lt;&gt;0,$S$6,IF($S$7&lt;&gt;0,$S$7,0))))*$U$5*$S$19))*'IN-OUT'!$F$14))*'Burland damage classification'!BA428</f>
        <v>1.1634136343585594E-2</v>
      </c>
      <c r="AX428" s="353">
        <f>(1+(((IF($S$5&lt;&gt;0,$S$5^2,IF($S$6&lt;&gt;0,$S$6^2,IF($S$7&lt;&gt;0,$S$7^2))))*$U$5)/(18*$S$15))*('IN-OUT'!$F$14^(-1)))*BB428</f>
        <v>1.7605283689115256E-3</v>
      </c>
      <c r="AY428" s="254">
        <f t="shared" si="277"/>
        <v>1.7605283689115256E-3</v>
      </c>
      <c r="AZ428" s="254">
        <f t="shared" si="289"/>
        <v>0.17605283689115256</v>
      </c>
      <c r="BA428" s="254">
        <f t="shared" si="301"/>
        <v>1.3266666666666592E-3</v>
      </c>
      <c r="BB428" s="270">
        <f t="shared" si="278"/>
        <v>1.7485231863871107E-3</v>
      </c>
      <c r="BC428" s="253">
        <f t="shared" si="302"/>
        <v>6.7333333333333232E-4</v>
      </c>
      <c r="BD428" s="255">
        <f t="shared" si="290"/>
        <v>6.7333333333333231E-2</v>
      </c>
      <c r="BI428" s="248"/>
      <c r="BX428" s="351" t="e">
        <f>((((IF($T$5=0,$T$6,$T$5)))/(12*$T$19))+(((3*$T$15)/(2*IF($T$5=0,$T$6,$T$5)*$U$5*$T$19))*'IN-OUT'!$F$14))*'Burland damage classification'!CB428</f>
        <v>#DIV/0!</v>
      </c>
      <c r="BY428" s="352">
        <f>(1+(((IF($T$5=0,$T$6^2,$T$5^2))*$U$5)/(18*$T$15))*('IN-OUT'!$F$14^(-1)))*CC428</f>
        <v>7.2709467517419451E-4</v>
      </c>
      <c r="BZ428" s="254" t="e">
        <f t="shared" si="281"/>
        <v>#DIV/0!</v>
      </c>
      <c r="CA428" s="254" t="e">
        <f t="shared" si="293"/>
        <v>#DIV/0!</v>
      </c>
      <c r="CB428" s="254">
        <f t="shared" si="305"/>
        <v>3.2666666666666825E-4</v>
      </c>
      <c r="CC428" s="253">
        <f t="shared" si="310"/>
        <v>7.2709467517419451E-4</v>
      </c>
      <c r="CD428" s="253">
        <f t="shared" si="306"/>
        <v>6.7333333333333232E-4</v>
      </c>
      <c r="CE428" s="255">
        <f t="shared" si="294"/>
        <v>6.7333333333333231E-2</v>
      </c>
      <c r="CG428" s="351" t="e">
        <f>((((IF($T$5=0,$T$6,$T$5)))/(12*$T$19))+(((3*$T$15)/(2*IF($T$5=0,$T$6,$T$5)*$U$5*$T$19))*'IN-OUT'!$F$14))*'Burland damage classification'!CK428</f>
        <v>#DIV/0!</v>
      </c>
      <c r="CH428" s="352">
        <f>(1+(((IF($T$5=0,$T$6^2,$T$5^2))*$U$5)/(18*$T$15))*('IN-OUT'!$F$14^(-1)))*CL428</f>
        <v>1.7485231863871107E-3</v>
      </c>
      <c r="CI428" s="254" t="e">
        <f t="shared" si="283"/>
        <v>#DIV/0!</v>
      </c>
      <c r="CJ428" s="254" t="e">
        <f t="shared" si="295"/>
        <v>#DIV/0!</v>
      </c>
      <c r="CK428" s="254">
        <f t="shared" si="307"/>
        <v>1.3266666666666592E-3</v>
      </c>
      <c r="CL428" s="270">
        <f t="shared" si="284"/>
        <v>1.7485231863871107E-3</v>
      </c>
      <c r="CM428" s="253">
        <f t="shared" si="308"/>
        <v>6.7333333333333232E-4</v>
      </c>
      <c r="CN428" s="255">
        <f t="shared" si="296"/>
        <v>6.7333333333333231E-2</v>
      </c>
    </row>
    <row r="429" spans="40:92">
      <c r="AN429" s="258">
        <f>(((IF($S$5&lt;&gt;0,$S$5,IF($S$6&lt;&gt;0,$S$6,IF($S$7&lt;&gt;0,$S$7,0))))/(12*$S$19))+(((3*$S$15)/(2*(IF($S$5&lt;&gt;0,$S$5,IF($S$6&lt;&gt;0,$S$6,IF($S$7&lt;&gt;0,$S$7,0))))*$U$5*$S$19))*'IN-OUT'!$F$14))*'Burland damage classification'!AR429</f>
        <v>2.8062238416689169E-3</v>
      </c>
      <c r="AO429" s="353">
        <f>(1+(((IF($S$5&lt;&gt;0,$S$5^2,IF($S$6&lt;&gt;0,$S$6^2,IF($S$7&lt;&gt;0,$S$7^2))))*$U$5)/(18*$S$15))*('IN-OUT'!$F$14^(-1)))*AS429</f>
        <v>7.2884851866693203E-4</v>
      </c>
      <c r="AP429" s="254">
        <f t="shared" si="275"/>
        <v>7.2884851866693203E-4</v>
      </c>
      <c r="AQ429" s="254">
        <f t="shared" si="287"/>
        <v>7.2884851866693204E-2</v>
      </c>
      <c r="AR429" s="254">
        <f t="shared" si="299"/>
        <v>3.200000000000016E-4</v>
      </c>
      <c r="AS429" s="253">
        <f t="shared" si="309"/>
        <v>7.2387844283415472E-4</v>
      </c>
      <c r="AT429" s="253">
        <f t="shared" si="300"/>
        <v>6.7999999999999896E-4</v>
      </c>
      <c r="AU429" s="255">
        <f t="shared" si="288"/>
        <v>6.7999999999999894E-2</v>
      </c>
      <c r="AW429" s="258">
        <f>(((IF($S$5&lt;&gt;0,$S$5,IF($S$6&lt;&gt;0,$S$6,IF($S$7&lt;&gt;0,$S$7,0))))/(12*$S$19))+(((3*$S$15)/(2*(IF($S$5&lt;&gt;0,$S$5,IF($S$6&lt;&gt;0,$S$6,IF($S$7&lt;&gt;0,$S$7,0))))*$U$5*$S$19))*'IN-OUT'!$F$14))*'Burland damage classification'!BA429</f>
        <v>1.1575673346884158E-2</v>
      </c>
      <c r="AX429" s="353">
        <f>(1+(((IF($S$5&lt;&gt;0,$S$5^2,IF($S$6&lt;&gt;0,$S$6^2,IF($S$7&lt;&gt;0,$S$7^2))))*$U$5)/(18*$S$15))*('IN-OUT'!$F$14^(-1)))*BB429</f>
        <v>1.7578390714151927E-3</v>
      </c>
      <c r="AY429" s="254">
        <f t="shared" si="277"/>
        <v>1.7578390714151927E-3</v>
      </c>
      <c r="AZ429" s="254">
        <f t="shared" si="289"/>
        <v>0.17578390714151929</v>
      </c>
      <c r="BA429" s="254">
        <f t="shared" si="301"/>
        <v>1.3199999999999924E-3</v>
      </c>
      <c r="BB429" s="270">
        <f t="shared" si="278"/>
        <v>1.745852227423616E-3</v>
      </c>
      <c r="BC429" s="253">
        <f t="shared" si="302"/>
        <v>6.7999999999999896E-4</v>
      </c>
      <c r="BD429" s="255">
        <f t="shared" si="290"/>
        <v>6.7999999999999894E-2</v>
      </c>
      <c r="BI429" s="248"/>
      <c r="BX429" s="351" t="e">
        <f>((((IF($T$5=0,$T$6,$T$5)))/(12*$T$19))+(((3*$T$15)/(2*IF($T$5=0,$T$6,$T$5)*$U$5*$T$19))*'IN-OUT'!$F$14))*'Burland damage classification'!CB429</f>
        <v>#DIV/0!</v>
      </c>
      <c r="BY429" s="352">
        <f>(1+(((IF($T$5=0,$T$6^2,$T$5^2))*$U$5)/(18*$T$15))*('IN-OUT'!$F$14^(-1)))*CC429</f>
        <v>7.2387844283415472E-4</v>
      </c>
      <c r="BZ429" s="254" t="e">
        <f t="shared" si="281"/>
        <v>#DIV/0!</v>
      </c>
      <c r="CA429" s="254" t="e">
        <f t="shared" si="293"/>
        <v>#DIV/0!</v>
      </c>
      <c r="CB429" s="254">
        <f t="shared" si="305"/>
        <v>3.200000000000016E-4</v>
      </c>
      <c r="CC429" s="253">
        <f t="shared" si="310"/>
        <v>7.2387844283415472E-4</v>
      </c>
      <c r="CD429" s="253">
        <f t="shared" si="306"/>
        <v>6.7999999999999896E-4</v>
      </c>
      <c r="CE429" s="255">
        <f t="shared" si="294"/>
        <v>6.7999999999999894E-2</v>
      </c>
      <c r="CG429" s="351" t="e">
        <f>((((IF($T$5=0,$T$6,$T$5)))/(12*$T$19))+(((3*$T$15)/(2*IF($T$5=0,$T$6,$T$5)*$U$5*$T$19))*'IN-OUT'!$F$14))*'Burland damage classification'!CK429</f>
        <v>#DIV/0!</v>
      </c>
      <c r="CH429" s="352">
        <f>(1+(((IF($T$5=0,$T$6^2,$T$5^2))*$U$5)/(18*$T$15))*('IN-OUT'!$F$14^(-1)))*CL429</f>
        <v>1.745852227423616E-3</v>
      </c>
      <c r="CI429" s="254" t="e">
        <f t="shared" si="283"/>
        <v>#DIV/0!</v>
      </c>
      <c r="CJ429" s="254" t="e">
        <f t="shared" si="295"/>
        <v>#DIV/0!</v>
      </c>
      <c r="CK429" s="254">
        <f t="shared" si="307"/>
        <v>1.3199999999999924E-3</v>
      </c>
      <c r="CL429" s="270">
        <f t="shared" si="284"/>
        <v>1.745852227423616E-3</v>
      </c>
      <c r="CM429" s="253">
        <f t="shared" si="308"/>
        <v>6.7999999999999896E-4</v>
      </c>
      <c r="CN429" s="255">
        <f t="shared" si="296"/>
        <v>6.7999999999999894E-2</v>
      </c>
    </row>
    <row r="430" spans="40:92">
      <c r="AN430" s="258">
        <f>(((IF($S$5&lt;&gt;0,$S$5,IF($S$6&lt;&gt;0,$S$6,IF($S$7&lt;&gt;0,$S$7,0))))/(12*$S$19))+(((3*$S$15)/(2*(IF($S$5&lt;&gt;0,$S$5,IF($S$6&lt;&gt;0,$S$6,IF($S$7&lt;&gt;0,$S$7,0))))*$U$5*$S$19))*'IN-OUT'!$F$14))*'Burland damage classification'!AR430</f>
        <v>2.7477608449674815E-3</v>
      </c>
      <c r="AO430" s="353">
        <f>(1+(((IF($S$5&lt;&gt;0,$S$5^2,IF($S$6&lt;&gt;0,$S$6^2,IF($S$7&lt;&gt;0,$S$7^2))))*$U$5)/(18*$S$15))*('IN-OUT'!$F$14^(-1)))*AS430</f>
        <v>7.2559575163361873E-4</v>
      </c>
      <c r="AP430" s="254">
        <f t="shared" si="275"/>
        <v>7.2559575163361873E-4</v>
      </c>
      <c r="AQ430" s="254">
        <f t="shared" si="287"/>
        <v>7.2559575163361867E-2</v>
      </c>
      <c r="AR430" s="254">
        <f t="shared" si="299"/>
        <v>3.1333333333333495E-4</v>
      </c>
      <c r="AS430" s="253">
        <f t="shared" si="309"/>
        <v>7.206478566771249E-4</v>
      </c>
      <c r="AT430" s="253">
        <f t="shared" si="300"/>
        <v>6.8666666666666561E-4</v>
      </c>
      <c r="AU430" s="255">
        <f t="shared" si="288"/>
        <v>6.8666666666666556E-2</v>
      </c>
      <c r="AW430" s="258">
        <f>(((IF($S$5&lt;&gt;0,$S$5,IF($S$6&lt;&gt;0,$S$6,IF($S$7&lt;&gt;0,$S$7,0))))/(12*$S$19))+(((3*$S$15)/(2*(IF($S$5&lt;&gt;0,$S$5,IF($S$6&lt;&gt;0,$S$6,IF($S$7&lt;&gt;0,$S$7,0))))*$U$5*$S$19))*'IN-OUT'!$F$14))*'Burland damage classification'!BA430</f>
        <v>1.1517210350182721E-2</v>
      </c>
      <c r="AX430" s="353">
        <f>(1+(((IF($S$5&lt;&gt;0,$S$5^2,IF($S$6&lt;&gt;0,$S$6^2,IF($S$7&lt;&gt;0,$S$7^2))))*$U$5)/(18*$S$15))*('IN-OUT'!$F$14^(-1)))*BB430</f>
        <v>1.755145653285042E-3</v>
      </c>
      <c r="AY430" s="254">
        <f t="shared" si="277"/>
        <v>1.755145653285042E-3</v>
      </c>
      <c r="AZ430" s="254">
        <f t="shared" si="289"/>
        <v>0.17551456532850421</v>
      </c>
      <c r="BA430" s="254">
        <f t="shared" si="301"/>
        <v>1.3133333333333256E-3</v>
      </c>
      <c r="BB430" s="270">
        <f t="shared" si="278"/>
        <v>1.7431771759252321E-3</v>
      </c>
      <c r="BC430" s="253">
        <f t="shared" si="302"/>
        <v>6.8666666666666561E-4</v>
      </c>
      <c r="BD430" s="255">
        <f t="shared" si="290"/>
        <v>6.8666666666666556E-2</v>
      </c>
      <c r="BI430" s="248"/>
      <c r="BX430" s="351" t="e">
        <f>((((IF($T$5=0,$T$6,$T$5)))/(12*$T$19))+(((3*$T$15)/(2*IF($T$5=0,$T$6,$T$5)*$U$5*$T$19))*'IN-OUT'!$F$14))*'Burland damage classification'!CB430</f>
        <v>#DIV/0!</v>
      </c>
      <c r="BY430" s="352">
        <f>(1+(((IF($T$5=0,$T$6^2,$T$5^2))*$U$5)/(18*$T$15))*('IN-OUT'!$F$14^(-1)))*CC430</f>
        <v>7.206478566771249E-4</v>
      </c>
      <c r="BZ430" s="254" t="e">
        <f t="shared" si="281"/>
        <v>#DIV/0!</v>
      </c>
      <c r="CA430" s="254" t="e">
        <f t="shared" si="293"/>
        <v>#DIV/0!</v>
      </c>
      <c r="CB430" s="254">
        <f t="shared" si="305"/>
        <v>3.1333333333333495E-4</v>
      </c>
      <c r="CC430" s="253">
        <f t="shared" si="310"/>
        <v>7.206478566771249E-4</v>
      </c>
      <c r="CD430" s="253">
        <f t="shared" si="306"/>
        <v>6.8666666666666561E-4</v>
      </c>
      <c r="CE430" s="255">
        <f t="shared" si="294"/>
        <v>6.8666666666666556E-2</v>
      </c>
      <c r="CG430" s="351" t="e">
        <f>((((IF($T$5=0,$T$6,$T$5)))/(12*$T$19))+(((3*$T$15)/(2*IF($T$5=0,$T$6,$T$5)*$U$5*$T$19))*'IN-OUT'!$F$14))*'Burland damage classification'!CK430</f>
        <v>#DIV/0!</v>
      </c>
      <c r="CH430" s="352">
        <f>(1+(((IF($T$5=0,$T$6^2,$T$5^2))*$U$5)/(18*$T$15))*('IN-OUT'!$F$14^(-1)))*CL430</f>
        <v>1.7431771759252321E-3</v>
      </c>
      <c r="CI430" s="254" t="e">
        <f t="shared" si="283"/>
        <v>#DIV/0!</v>
      </c>
      <c r="CJ430" s="254" t="e">
        <f t="shared" si="295"/>
        <v>#DIV/0!</v>
      </c>
      <c r="CK430" s="254">
        <f t="shared" si="307"/>
        <v>1.3133333333333256E-3</v>
      </c>
      <c r="CL430" s="270">
        <f t="shared" si="284"/>
        <v>1.7431771759252321E-3</v>
      </c>
      <c r="CM430" s="253">
        <f t="shared" si="308"/>
        <v>6.8666666666666561E-4</v>
      </c>
      <c r="CN430" s="255">
        <f t="shared" si="296"/>
        <v>6.8666666666666556E-2</v>
      </c>
    </row>
    <row r="431" spans="40:92">
      <c r="AN431" s="258">
        <f>(((IF($S$5&lt;&gt;0,$S$5,IF($S$6&lt;&gt;0,$S$6,IF($S$7&lt;&gt;0,$S$7,0))))/(12*$S$19))+(((3*$S$15)/(2*(IF($S$5&lt;&gt;0,$S$5,IF($S$6&lt;&gt;0,$S$6,IF($S$7&lt;&gt;0,$S$7,0))))*$U$5*$S$19))*'IN-OUT'!$F$14))*'Burland damage classification'!AR431</f>
        <v>2.6892978482660462E-3</v>
      </c>
      <c r="AO431" s="353">
        <f>(1+(((IF($S$5&lt;&gt;0,$S$5^2,IF($S$6&lt;&gt;0,$S$6^2,IF($S$7&lt;&gt;0,$S$7^2))))*$U$5)/(18*$S$15))*('IN-OUT'!$F$14^(-1)))*AS431</f>
        <v>7.2232833698708727E-4</v>
      </c>
      <c r="AP431" s="254">
        <f t="shared" si="275"/>
        <v>7.2232833698708727E-4</v>
      </c>
      <c r="AQ431" s="254">
        <f t="shared" si="287"/>
        <v>7.2232833698708726E-2</v>
      </c>
      <c r="AR431" s="254">
        <f t="shared" si="299"/>
        <v>3.066666666666683E-4</v>
      </c>
      <c r="AS431" s="253">
        <f t="shared" si="309"/>
        <v>7.1740272279011271E-4</v>
      </c>
      <c r="AT431" s="253">
        <f t="shared" si="300"/>
        <v>6.9333333333333226E-4</v>
      </c>
      <c r="AU431" s="255">
        <f t="shared" si="288"/>
        <v>6.9333333333333219E-2</v>
      </c>
      <c r="AW431" s="258">
        <f>(((IF($S$5&lt;&gt;0,$S$5,IF($S$6&lt;&gt;0,$S$6,IF($S$7&lt;&gt;0,$S$7,0))))/(12*$S$19))+(((3*$S$15)/(2*(IF($S$5&lt;&gt;0,$S$5,IF($S$6&lt;&gt;0,$S$6,IF($S$7&lt;&gt;0,$S$7,0))))*$U$5*$S$19))*'IN-OUT'!$F$14))*'Burland damage classification'!BA431</f>
        <v>1.1458747353481286E-2</v>
      </c>
      <c r="AX431" s="353">
        <f>(1+(((IF($S$5&lt;&gt;0,$S$5^2,IF($S$6&lt;&gt;0,$S$6^2,IF($S$7&lt;&gt;0,$S$7^2))))*$U$5)/(18*$S$15))*('IN-OUT'!$F$14^(-1)))*BB431</f>
        <v>1.7524480955214985E-3</v>
      </c>
      <c r="AY431" s="254">
        <f t="shared" si="277"/>
        <v>1.7524480955214985E-3</v>
      </c>
      <c r="AZ431" s="254">
        <f t="shared" si="289"/>
        <v>0.17524480955214986</v>
      </c>
      <c r="BA431" s="254">
        <f t="shared" si="301"/>
        <v>1.3066666666666589E-3</v>
      </c>
      <c r="BB431" s="270">
        <f t="shared" si="278"/>
        <v>1.7404980130219438E-3</v>
      </c>
      <c r="BC431" s="253">
        <f t="shared" si="302"/>
        <v>6.9333333333333226E-4</v>
      </c>
      <c r="BD431" s="255">
        <f t="shared" si="290"/>
        <v>6.9333333333333219E-2</v>
      </c>
      <c r="BI431" s="248"/>
      <c r="BX431" s="351" t="e">
        <f>((((IF($T$5=0,$T$6,$T$5)))/(12*$T$19))+(((3*$T$15)/(2*IF($T$5=0,$T$6,$T$5)*$U$5*$T$19))*'IN-OUT'!$F$14))*'Burland damage classification'!CB431</f>
        <v>#DIV/0!</v>
      </c>
      <c r="BY431" s="352">
        <f>(1+(((IF($T$5=0,$T$6^2,$T$5^2))*$U$5)/(18*$T$15))*('IN-OUT'!$F$14^(-1)))*CC431</f>
        <v>7.1740272279011271E-4</v>
      </c>
      <c r="BZ431" s="254" t="e">
        <f t="shared" si="281"/>
        <v>#DIV/0!</v>
      </c>
      <c r="CA431" s="254" t="e">
        <f t="shared" si="293"/>
        <v>#DIV/0!</v>
      </c>
      <c r="CB431" s="254">
        <f t="shared" si="305"/>
        <v>3.066666666666683E-4</v>
      </c>
      <c r="CC431" s="253">
        <f t="shared" si="310"/>
        <v>7.1740272279011271E-4</v>
      </c>
      <c r="CD431" s="253">
        <f t="shared" si="306"/>
        <v>6.9333333333333226E-4</v>
      </c>
      <c r="CE431" s="255">
        <f t="shared" si="294"/>
        <v>6.9333333333333219E-2</v>
      </c>
      <c r="CG431" s="351" t="e">
        <f>((((IF($T$5=0,$T$6,$T$5)))/(12*$T$19))+(((3*$T$15)/(2*IF($T$5=0,$T$6,$T$5)*$U$5*$T$19))*'IN-OUT'!$F$14))*'Burland damage classification'!CK431</f>
        <v>#DIV/0!</v>
      </c>
      <c r="CH431" s="352">
        <f>(1+(((IF($T$5=0,$T$6^2,$T$5^2))*$U$5)/(18*$T$15))*('IN-OUT'!$F$14^(-1)))*CL431</f>
        <v>1.7404980130219438E-3</v>
      </c>
      <c r="CI431" s="254" t="e">
        <f t="shared" si="283"/>
        <v>#DIV/0!</v>
      </c>
      <c r="CJ431" s="254" t="e">
        <f t="shared" si="295"/>
        <v>#DIV/0!</v>
      </c>
      <c r="CK431" s="254">
        <f t="shared" si="307"/>
        <v>1.3066666666666589E-3</v>
      </c>
      <c r="CL431" s="270">
        <f t="shared" si="284"/>
        <v>1.7404980130219438E-3</v>
      </c>
      <c r="CM431" s="253">
        <f t="shared" si="308"/>
        <v>6.9333333333333226E-4</v>
      </c>
      <c r="CN431" s="255">
        <f t="shared" si="296"/>
        <v>6.9333333333333219E-2</v>
      </c>
    </row>
    <row r="432" spans="40:92">
      <c r="AN432" s="258">
        <f>(((IF($S$5&lt;&gt;0,$S$5,IF($S$6&lt;&gt;0,$S$6,IF($S$7&lt;&gt;0,$S$7,0))))/(12*$S$19))+(((3*$S$15)/(2*(IF($S$5&lt;&gt;0,$S$5,IF($S$6&lt;&gt;0,$S$6,IF($S$7&lt;&gt;0,$S$7,0))))*$U$5*$S$19))*'IN-OUT'!$F$14))*'Burland damage classification'!AR432</f>
        <v>2.6308348515646112E-3</v>
      </c>
      <c r="AO432" s="353">
        <f>(1+(((IF($S$5&lt;&gt;0,$S$5^2,IF($S$6&lt;&gt;0,$S$6^2,IF($S$7&lt;&gt;0,$S$7^2))))*$U$5)/(18*$S$15))*('IN-OUT'!$F$14^(-1)))*AS432</f>
        <v>7.1904607504686801E-4</v>
      </c>
      <c r="AP432" s="254">
        <f t="shared" si="275"/>
        <v>7.1904607504686801E-4</v>
      </c>
      <c r="AQ432" s="254">
        <f t="shared" si="287"/>
        <v>7.1904607504686802E-2</v>
      </c>
      <c r="AR432" s="254">
        <f t="shared" si="299"/>
        <v>3.0000000000000165E-4</v>
      </c>
      <c r="AS432" s="253">
        <f t="shared" si="309"/>
        <v>7.1414284285428546E-4</v>
      </c>
      <c r="AT432" s="253">
        <f t="shared" si="300"/>
        <v>6.9999999999999891E-4</v>
      </c>
      <c r="AU432" s="255">
        <f t="shared" si="288"/>
        <v>6.9999999999999896E-2</v>
      </c>
      <c r="AW432" s="258">
        <f>(((IF($S$5&lt;&gt;0,$S$5,IF($S$6&lt;&gt;0,$S$6,IF($S$7&lt;&gt;0,$S$7,0))))/(12*$S$19))+(((3*$S$15)/(2*(IF($S$5&lt;&gt;0,$S$5,IF($S$6&lt;&gt;0,$S$6,IF($S$7&lt;&gt;0,$S$7,0))))*$U$5*$S$19))*'IN-OUT'!$F$14))*'Burland damage classification'!BA432</f>
        <v>1.1400284356779849E-2</v>
      </c>
      <c r="AX432" s="353">
        <f>(1+(((IF($S$5&lt;&gt;0,$S$5^2,IF($S$6&lt;&gt;0,$S$6^2,IF($S$7&lt;&gt;0,$S$7^2))))*$U$5)/(18*$S$15))*('IN-OUT'!$F$14^(-1)))*BB432</f>
        <v>1.7497463789785299E-3</v>
      </c>
      <c r="AY432" s="254">
        <f t="shared" si="277"/>
        <v>1.7497463789785299E-3</v>
      </c>
      <c r="AZ432" s="254">
        <f t="shared" si="289"/>
        <v>0.174974637897853</v>
      </c>
      <c r="BA432" s="254">
        <f t="shared" si="301"/>
        <v>1.2999999999999921E-3</v>
      </c>
      <c r="BB432" s="270">
        <f t="shared" si="278"/>
        <v>1.7378147196982772E-3</v>
      </c>
      <c r="BC432" s="253">
        <f t="shared" si="302"/>
        <v>6.9999999999999891E-4</v>
      </c>
      <c r="BD432" s="255">
        <f t="shared" si="290"/>
        <v>6.9999999999999896E-2</v>
      </c>
      <c r="BI432" s="248"/>
      <c r="BX432" s="351" t="e">
        <f>((((IF($T$5=0,$T$6,$T$5)))/(12*$T$19))+(((3*$T$15)/(2*IF($T$5=0,$T$6,$T$5)*$U$5*$T$19))*'IN-OUT'!$F$14))*'Burland damage classification'!CB432</f>
        <v>#DIV/0!</v>
      </c>
      <c r="BY432" s="352">
        <f>(1+(((IF($T$5=0,$T$6^2,$T$5^2))*$U$5)/(18*$T$15))*('IN-OUT'!$F$14^(-1)))*CC432</f>
        <v>7.1414284285428546E-4</v>
      </c>
      <c r="BZ432" s="254" t="e">
        <f t="shared" si="281"/>
        <v>#DIV/0!</v>
      </c>
      <c r="CA432" s="254" t="e">
        <f t="shared" si="293"/>
        <v>#DIV/0!</v>
      </c>
      <c r="CB432" s="254">
        <f t="shared" si="305"/>
        <v>3.0000000000000165E-4</v>
      </c>
      <c r="CC432" s="253">
        <f t="shared" si="310"/>
        <v>7.1414284285428546E-4</v>
      </c>
      <c r="CD432" s="253">
        <f t="shared" si="306"/>
        <v>6.9999999999999891E-4</v>
      </c>
      <c r="CE432" s="255">
        <f t="shared" si="294"/>
        <v>6.9999999999999896E-2</v>
      </c>
      <c r="CG432" s="351" t="e">
        <f>((((IF($T$5=0,$T$6,$T$5)))/(12*$T$19))+(((3*$T$15)/(2*IF($T$5=0,$T$6,$T$5)*$U$5*$T$19))*'IN-OUT'!$F$14))*'Burland damage classification'!CK432</f>
        <v>#DIV/0!</v>
      </c>
      <c r="CH432" s="352">
        <f>(1+(((IF($T$5=0,$T$6^2,$T$5^2))*$U$5)/(18*$T$15))*('IN-OUT'!$F$14^(-1)))*CL432</f>
        <v>1.7378147196982772E-3</v>
      </c>
      <c r="CI432" s="254" t="e">
        <f t="shared" si="283"/>
        <v>#DIV/0!</v>
      </c>
      <c r="CJ432" s="254" t="e">
        <f t="shared" si="295"/>
        <v>#DIV/0!</v>
      </c>
      <c r="CK432" s="254">
        <f t="shared" si="307"/>
        <v>1.2999999999999921E-3</v>
      </c>
      <c r="CL432" s="270">
        <f t="shared" si="284"/>
        <v>1.7378147196982772E-3</v>
      </c>
      <c r="CM432" s="253">
        <f t="shared" si="308"/>
        <v>6.9999999999999891E-4</v>
      </c>
      <c r="CN432" s="255">
        <f t="shared" si="296"/>
        <v>6.9999999999999896E-2</v>
      </c>
    </row>
    <row r="433" spans="40:92">
      <c r="AN433" s="258">
        <f>(((IF($S$5&lt;&gt;0,$S$5,IF($S$6&lt;&gt;0,$S$6,IF($S$7&lt;&gt;0,$S$7,0))))/(12*$S$19))+(((3*$S$15)/(2*(IF($S$5&lt;&gt;0,$S$5,IF($S$6&lt;&gt;0,$S$6,IF($S$7&lt;&gt;0,$S$7,0))))*$U$5*$S$19))*'IN-OUT'!$F$14))*'Burland damage classification'!AR433</f>
        <v>2.5723718548631759E-3</v>
      </c>
      <c r="AO433" s="353">
        <f>(1+(((IF($S$5&lt;&gt;0,$S$5^2,IF($S$6&lt;&gt;0,$S$6^2,IF($S$7&lt;&gt;0,$S$7^2))))*$U$5)/(18*$S$15))*('IN-OUT'!$F$14^(-1)))*AS433</f>
        <v>7.1574876155399748E-4</v>
      </c>
      <c r="AP433" s="254">
        <f t="shared" si="275"/>
        <v>7.1574876155399748E-4</v>
      </c>
      <c r="AQ433" s="254">
        <f t="shared" si="287"/>
        <v>7.1574876155399744E-2</v>
      </c>
      <c r="AR433" s="254">
        <f t="shared" si="299"/>
        <v>2.9333333333333501E-4</v>
      </c>
      <c r="AS433" s="253">
        <f t="shared" si="309"/>
        <v>7.1086801400353783E-4</v>
      </c>
      <c r="AT433" s="253">
        <f t="shared" si="300"/>
        <v>7.0666666666666556E-4</v>
      </c>
      <c r="AU433" s="255">
        <f t="shared" si="288"/>
        <v>7.0666666666666558E-2</v>
      </c>
      <c r="AW433" s="258">
        <f>(((IF($S$5&lt;&gt;0,$S$5,IF($S$6&lt;&gt;0,$S$6,IF($S$7&lt;&gt;0,$S$7,0))))/(12*$S$19))+(((3*$S$15)/(2*(IF($S$5&lt;&gt;0,$S$5,IF($S$6&lt;&gt;0,$S$6,IF($S$7&lt;&gt;0,$S$7,0))))*$U$5*$S$19))*'IN-OUT'!$F$14))*'Burland damage classification'!BA433</f>
        <v>1.1341821360078413E-2</v>
      </c>
      <c r="AX433" s="353">
        <f>(1+(((IF($S$5&lt;&gt;0,$S$5^2,IF($S$6&lt;&gt;0,$S$6^2,IF($S$7&lt;&gt;0,$S$7^2))))*$U$5)/(18*$S$15))*('IN-OUT'!$F$14^(-1)))*BB433</f>
        <v>1.7470404843620616E-3</v>
      </c>
      <c r="AY433" s="254">
        <f t="shared" si="277"/>
        <v>1.7470404843620616E-3</v>
      </c>
      <c r="AZ433" s="254">
        <f t="shared" si="289"/>
        <v>0.17470404843620616</v>
      </c>
      <c r="BA433" s="254">
        <f t="shared" si="301"/>
        <v>1.2933333333333254E-3</v>
      </c>
      <c r="BB433" s="270">
        <f t="shared" si="278"/>
        <v>1.7351272767917251E-3</v>
      </c>
      <c r="BC433" s="253">
        <f t="shared" si="302"/>
        <v>7.0666666666666556E-4</v>
      </c>
      <c r="BD433" s="255">
        <f t="shared" si="290"/>
        <v>7.0666666666666558E-2</v>
      </c>
      <c r="BI433" s="248"/>
      <c r="BX433" s="351" t="e">
        <f>((((IF($T$5=0,$T$6,$T$5)))/(12*$T$19))+(((3*$T$15)/(2*IF($T$5=0,$T$6,$T$5)*$U$5*$T$19))*'IN-OUT'!$F$14))*'Burland damage classification'!CB433</f>
        <v>#DIV/0!</v>
      </c>
      <c r="BY433" s="352">
        <f>(1+(((IF($T$5=0,$T$6^2,$T$5^2))*$U$5)/(18*$T$15))*('IN-OUT'!$F$14^(-1)))*CC433</f>
        <v>7.1086801400353783E-4</v>
      </c>
      <c r="BZ433" s="254" t="e">
        <f t="shared" si="281"/>
        <v>#DIV/0!</v>
      </c>
      <c r="CA433" s="254" t="e">
        <f t="shared" si="293"/>
        <v>#DIV/0!</v>
      </c>
      <c r="CB433" s="254">
        <f t="shared" si="305"/>
        <v>2.9333333333333501E-4</v>
      </c>
      <c r="CC433" s="253">
        <f t="shared" si="310"/>
        <v>7.1086801400353783E-4</v>
      </c>
      <c r="CD433" s="253">
        <f t="shared" si="306"/>
        <v>7.0666666666666556E-4</v>
      </c>
      <c r="CE433" s="255">
        <f t="shared" si="294"/>
        <v>7.0666666666666558E-2</v>
      </c>
      <c r="CG433" s="351" t="e">
        <f>((((IF($T$5=0,$T$6,$T$5)))/(12*$T$19))+(((3*$T$15)/(2*IF($T$5=0,$T$6,$T$5)*$U$5*$T$19))*'IN-OUT'!$F$14))*'Burland damage classification'!CK433</f>
        <v>#DIV/0!</v>
      </c>
      <c r="CH433" s="352">
        <f>(1+(((IF($T$5=0,$T$6^2,$T$5^2))*$U$5)/(18*$T$15))*('IN-OUT'!$F$14^(-1)))*CL433</f>
        <v>1.7351272767917251E-3</v>
      </c>
      <c r="CI433" s="254" t="e">
        <f t="shared" si="283"/>
        <v>#DIV/0!</v>
      </c>
      <c r="CJ433" s="254" t="e">
        <f t="shared" si="295"/>
        <v>#DIV/0!</v>
      </c>
      <c r="CK433" s="254">
        <f t="shared" si="307"/>
        <v>1.2933333333333254E-3</v>
      </c>
      <c r="CL433" s="270">
        <f t="shared" si="284"/>
        <v>1.7351272767917251E-3</v>
      </c>
      <c r="CM433" s="253">
        <f t="shared" si="308"/>
        <v>7.0666666666666556E-4</v>
      </c>
      <c r="CN433" s="255">
        <f t="shared" si="296"/>
        <v>7.0666666666666558E-2</v>
      </c>
    </row>
    <row r="434" spans="40:92">
      <c r="AN434" s="258">
        <f>(((IF($S$5&lt;&gt;0,$S$5,IF($S$6&lt;&gt;0,$S$6,IF($S$7&lt;&gt;0,$S$7,0))))/(12*$S$19))+(((3*$S$15)/(2*(IF($S$5&lt;&gt;0,$S$5,IF($S$6&lt;&gt;0,$S$6,IF($S$7&lt;&gt;0,$S$7,0))))*$U$5*$S$19))*'IN-OUT'!$F$14))*'Burland damage classification'!AR434</f>
        <v>2.5139088581617405E-3</v>
      </c>
      <c r="AO434" s="353">
        <f>(1+(((IF($S$5&lt;&gt;0,$S$5^2,IF($S$6&lt;&gt;0,$S$6^2,IF($S$7&lt;&gt;0,$S$7^2))))*$U$5)/(18*$S$15))*('IN-OUT'!$F$14^(-1)))*AS434</f>
        <v>7.1243618752268336E-4</v>
      </c>
      <c r="AP434" s="254">
        <f t="shared" si="275"/>
        <v>7.1243618752268336E-4</v>
      </c>
      <c r="AQ434" s="254">
        <f t="shared" si="287"/>
        <v>7.124361875226834E-2</v>
      </c>
      <c r="AR434" s="254">
        <f t="shared" si="299"/>
        <v>2.8666666666666836E-4</v>
      </c>
      <c r="AS434" s="253">
        <f t="shared" si="309"/>
        <v>7.0757802867716811E-4</v>
      </c>
      <c r="AT434" s="253">
        <f t="shared" si="300"/>
        <v>7.133333333333322E-4</v>
      </c>
      <c r="AU434" s="255">
        <f t="shared" si="288"/>
        <v>7.1333333333333221E-2</v>
      </c>
      <c r="AW434" s="258">
        <f>(((IF($S$5&lt;&gt;0,$S$5,IF($S$6&lt;&gt;0,$S$6,IF($S$7&lt;&gt;0,$S$7,0))))/(12*$S$19))+(((3*$S$15)/(2*(IF($S$5&lt;&gt;0,$S$5,IF($S$6&lt;&gt;0,$S$6,IF($S$7&lt;&gt;0,$S$7,0))))*$U$5*$S$19))*'IN-OUT'!$F$14))*'Burland damage classification'!BA434</f>
        <v>1.1283358363376976E-2</v>
      </c>
      <c r="AX434" s="353">
        <f>(1+(((IF($S$5&lt;&gt;0,$S$5^2,IF($S$6&lt;&gt;0,$S$6^2,IF($S$7&lt;&gt;0,$S$7^2))))*$U$5)/(18*$S$15))*('IN-OUT'!$F$14^(-1)))*BB434</f>
        <v>1.7443303922283692E-3</v>
      </c>
      <c r="AY434" s="254">
        <f t="shared" si="277"/>
        <v>1.7443303922283692E-3</v>
      </c>
      <c r="AZ434" s="254">
        <f t="shared" si="289"/>
        <v>0.17443303922283693</v>
      </c>
      <c r="BA434" s="254">
        <f t="shared" si="301"/>
        <v>1.2866666666666586E-3</v>
      </c>
      <c r="BB434" s="270">
        <f t="shared" si="278"/>
        <v>1.7324356649911518E-3</v>
      </c>
      <c r="BC434" s="253">
        <f t="shared" si="302"/>
        <v>7.133333333333322E-4</v>
      </c>
      <c r="BD434" s="255">
        <f t="shared" si="290"/>
        <v>7.1333333333333221E-2</v>
      </c>
      <c r="BI434" s="248"/>
      <c r="BX434" s="351" t="e">
        <f>((((IF($T$5=0,$T$6,$T$5)))/(12*$T$19))+(((3*$T$15)/(2*IF($T$5=0,$T$6,$T$5)*$U$5*$T$19))*'IN-OUT'!$F$14))*'Burland damage classification'!CB434</f>
        <v>#DIV/0!</v>
      </c>
      <c r="BY434" s="352">
        <f>(1+(((IF($T$5=0,$T$6^2,$T$5^2))*$U$5)/(18*$T$15))*('IN-OUT'!$F$14^(-1)))*CC434</f>
        <v>7.0757802867716811E-4</v>
      </c>
      <c r="BZ434" s="254" t="e">
        <f t="shared" si="281"/>
        <v>#DIV/0!</v>
      </c>
      <c r="CA434" s="254" t="e">
        <f t="shared" si="293"/>
        <v>#DIV/0!</v>
      </c>
      <c r="CB434" s="254">
        <f t="shared" si="305"/>
        <v>2.8666666666666836E-4</v>
      </c>
      <c r="CC434" s="253">
        <f t="shared" si="310"/>
        <v>7.0757802867716811E-4</v>
      </c>
      <c r="CD434" s="253">
        <f t="shared" si="306"/>
        <v>7.133333333333322E-4</v>
      </c>
      <c r="CE434" s="255">
        <f t="shared" si="294"/>
        <v>7.1333333333333221E-2</v>
      </c>
      <c r="CG434" s="351" t="e">
        <f>((((IF($T$5=0,$T$6,$T$5)))/(12*$T$19))+(((3*$T$15)/(2*IF($T$5=0,$T$6,$T$5)*$U$5*$T$19))*'IN-OUT'!$F$14))*'Burland damage classification'!CK434</f>
        <v>#DIV/0!</v>
      </c>
      <c r="CH434" s="352">
        <f>(1+(((IF($T$5=0,$T$6^2,$T$5^2))*$U$5)/(18*$T$15))*('IN-OUT'!$F$14^(-1)))*CL434</f>
        <v>1.7324356649911518E-3</v>
      </c>
      <c r="CI434" s="254" t="e">
        <f t="shared" si="283"/>
        <v>#DIV/0!</v>
      </c>
      <c r="CJ434" s="254" t="e">
        <f t="shared" si="295"/>
        <v>#DIV/0!</v>
      </c>
      <c r="CK434" s="254">
        <f t="shared" si="307"/>
        <v>1.2866666666666586E-3</v>
      </c>
      <c r="CL434" s="270">
        <f t="shared" si="284"/>
        <v>1.7324356649911518E-3</v>
      </c>
      <c r="CM434" s="253">
        <f t="shared" si="308"/>
        <v>7.133333333333322E-4</v>
      </c>
      <c r="CN434" s="255">
        <f t="shared" si="296"/>
        <v>7.1333333333333221E-2</v>
      </c>
    </row>
    <row r="435" spans="40:92">
      <c r="AN435" s="258">
        <f>(((IF($S$5&lt;&gt;0,$S$5,IF($S$6&lt;&gt;0,$S$6,IF($S$7&lt;&gt;0,$S$7,0))))/(12*$S$19))+(((3*$S$15)/(2*(IF($S$5&lt;&gt;0,$S$5,IF($S$6&lt;&gt;0,$S$6,IF($S$7&lt;&gt;0,$S$7,0))))*$U$5*$S$19))*'IN-OUT'!$F$14))*'Burland damage classification'!AR435</f>
        <v>2.4554458614603051E-3</v>
      </c>
      <c r="AO435" s="353">
        <f>(1+(((IF($S$5&lt;&gt;0,$S$5^2,IF($S$6&lt;&gt;0,$S$6^2,IF($S$7&lt;&gt;0,$S$7^2))))*$U$5)/(18*$S$15))*('IN-OUT'!$F$14^(-1)))*AS435</f>
        <v>7.0910813908573291E-4</v>
      </c>
      <c r="AP435" s="254">
        <f t="shared" si="275"/>
        <v>7.0910813908573291E-4</v>
      </c>
      <c r="AQ435" s="254">
        <f t="shared" si="287"/>
        <v>7.0910813908573289E-2</v>
      </c>
      <c r="AR435" s="254">
        <f t="shared" si="299"/>
        <v>2.8000000000000171E-4</v>
      </c>
      <c r="AS435" s="253">
        <f t="shared" si="309"/>
        <v>7.0427267446636084E-4</v>
      </c>
      <c r="AT435" s="253">
        <f t="shared" si="300"/>
        <v>7.1999999999999885E-4</v>
      </c>
      <c r="AU435" s="255">
        <f t="shared" si="288"/>
        <v>7.1999999999999884E-2</v>
      </c>
      <c r="AW435" s="258">
        <f>(((IF($S$5&lt;&gt;0,$S$5,IF($S$6&lt;&gt;0,$S$6,IF($S$7&lt;&gt;0,$S$7,0))))/(12*$S$19))+(((3*$S$15)/(2*(IF($S$5&lt;&gt;0,$S$5,IF($S$6&lt;&gt;0,$S$6,IF($S$7&lt;&gt;0,$S$7,0))))*$U$5*$S$19))*'IN-OUT'!$F$14))*'Burland damage classification'!BA435</f>
        <v>1.1224895366675541E-2</v>
      </c>
      <c r="AX435" s="353">
        <f>(1+(((IF($S$5&lt;&gt;0,$S$5^2,IF($S$6&lt;&gt;0,$S$6^2,IF($S$7&lt;&gt;0,$S$7^2))))*$U$5)/(18*$S$15))*('IN-OUT'!$F$14^(-1)))*BB435</f>
        <v>1.7416160829824483E-3</v>
      </c>
      <c r="AY435" s="254">
        <f t="shared" si="277"/>
        <v>1.7416160829824483E-3</v>
      </c>
      <c r="AZ435" s="254">
        <f t="shared" si="289"/>
        <v>0.17416160829824481</v>
      </c>
      <c r="BA435" s="254">
        <f t="shared" si="301"/>
        <v>1.2799999999999919E-3</v>
      </c>
      <c r="BB435" s="270">
        <f t="shared" si="278"/>
        <v>1.7297398648351725E-3</v>
      </c>
      <c r="BC435" s="253">
        <f t="shared" si="302"/>
        <v>7.1999999999999885E-4</v>
      </c>
      <c r="BD435" s="255">
        <f t="shared" si="290"/>
        <v>7.1999999999999884E-2</v>
      </c>
      <c r="BI435" s="248"/>
      <c r="BX435" s="351" t="e">
        <f>((((IF($T$5=0,$T$6,$T$5)))/(12*$T$19))+(((3*$T$15)/(2*IF($T$5=0,$T$6,$T$5)*$U$5*$T$19))*'IN-OUT'!$F$14))*'Burland damage classification'!CB435</f>
        <v>#DIV/0!</v>
      </c>
      <c r="BY435" s="352">
        <f>(1+(((IF($T$5=0,$T$6^2,$T$5^2))*$U$5)/(18*$T$15))*('IN-OUT'!$F$14^(-1)))*CC435</f>
        <v>7.0427267446636084E-4</v>
      </c>
      <c r="BZ435" s="254" t="e">
        <f t="shared" si="281"/>
        <v>#DIV/0!</v>
      </c>
      <c r="CA435" s="254" t="e">
        <f t="shared" si="293"/>
        <v>#DIV/0!</v>
      </c>
      <c r="CB435" s="254">
        <f t="shared" si="305"/>
        <v>2.8000000000000171E-4</v>
      </c>
      <c r="CC435" s="253">
        <f t="shared" si="310"/>
        <v>7.0427267446636084E-4</v>
      </c>
      <c r="CD435" s="253">
        <f t="shared" si="306"/>
        <v>7.1999999999999885E-4</v>
      </c>
      <c r="CE435" s="255">
        <f t="shared" si="294"/>
        <v>7.1999999999999884E-2</v>
      </c>
      <c r="CG435" s="351" t="e">
        <f>((((IF($T$5=0,$T$6,$T$5)))/(12*$T$19))+(((3*$T$15)/(2*IF($T$5=0,$T$6,$T$5)*$U$5*$T$19))*'IN-OUT'!$F$14))*'Burland damage classification'!CK435</f>
        <v>#DIV/0!</v>
      </c>
      <c r="CH435" s="352">
        <f>(1+(((IF($T$5=0,$T$6^2,$T$5^2))*$U$5)/(18*$T$15))*('IN-OUT'!$F$14^(-1)))*CL435</f>
        <v>1.7297398648351725E-3</v>
      </c>
      <c r="CI435" s="254" t="e">
        <f t="shared" si="283"/>
        <v>#DIV/0!</v>
      </c>
      <c r="CJ435" s="254" t="e">
        <f t="shared" si="295"/>
        <v>#DIV/0!</v>
      </c>
      <c r="CK435" s="254">
        <f t="shared" si="307"/>
        <v>1.2799999999999919E-3</v>
      </c>
      <c r="CL435" s="270">
        <f t="shared" si="284"/>
        <v>1.7297398648351725E-3</v>
      </c>
      <c r="CM435" s="253">
        <f t="shared" si="308"/>
        <v>7.1999999999999885E-4</v>
      </c>
      <c r="CN435" s="255">
        <f t="shared" si="296"/>
        <v>7.1999999999999884E-2</v>
      </c>
    </row>
    <row r="436" spans="40:92">
      <c r="AN436" s="258">
        <f>(((IF($S$5&lt;&gt;0,$S$5,IF($S$6&lt;&gt;0,$S$6,IF($S$7&lt;&gt;0,$S$7,0))))/(12*$S$19))+(((3*$S$15)/(2*(IF($S$5&lt;&gt;0,$S$5,IF($S$6&lt;&gt;0,$S$6,IF($S$7&lt;&gt;0,$S$7,0))))*$U$5*$S$19))*'IN-OUT'!$F$14))*'Burland damage classification'!AR436</f>
        <v>2.3969828647588697E-3</v>
      </c>
      <c r="AO436" s="353">
        <f>(1+(((IF($S$5&lt;&gt;0,$S$5^2,IF($S$6&lt;&gt;0,$S$6^2,IF($S$7&lt;&gt;0,$S$7^2))))*$U$5)/(18*$S$15))*('IN-OUT'!$F$14^(-1)))*AS436</f>
        <v>7.0576439733342051E-4</v>
      </c>
      <c r="AP436" s="254">
        <f t="shared" si="275"/>
        <v>7.0576439733342051E-4</v>
      </c>
      <c r="AQ436" s="254">
        <f t="shared" si="287"/>
        <v>7.0576439733342045E-2</v>
      </c>
      <c r="AR436" s="254">
        <f t="shared" si="299"/>
        <v>2.7333333333333506E-4</v>
      </c>
      <c r="AS436" s="253">
        <f t="shared" si="309"/>
        <v>7.0095173395415332E-4</v>
      </c>
      <c r="AT436" s="253">
        <f t="shared" si="300"/>
        <v>7.266666666666655E-4</v>
      </c>
      <c r="AU436" s="255">
        <f t="shared" si="288"/>
        <v>7.2666666666666546E-2</v>
      </c>
      <c r="AW436" s="258">
        <f>(((IF($S$5&lt;&gt;0,$S$5,IF($S$6&lt;&gt;0,$S$6,IF($S$7&lt;&gt;0,$S$7,0))))/(12*$S$19))+(((3*$S$15)/(2*(IF($S$5&lt;&gt;0,$S$5,IF($S$6&lt;&gt;0,$S$6,IF($S$7&lt;&gt;0,$S$7,0))))*$U$5*$S$19))*'IN-OUT'!$F$14))*'Burland damage classification'!BA436</f>
        <v>1.1166432369974104E-2</v>
      </c>
      <c r="AX436" s="353">
        <f>(1+(((IF($S$5&lt;&gt;0,$S$5^2,IF($S$6&lt;&gt;0,$S$6^2,IF($S$7&lt;&gt;0,$S$7^2))))*$U$5)/(18*$S$15))*('IN-OUT'!$F$14^(-1)))*BB436</f>
        <v>1.7388975368763616E-3</v>
      </c>
      <c r="AY436" s="254">
        <f t="shared" si="277"/>
        <v>1.7388975368763616E-3</v>
      </c>
      <c r="AZ436" s="254">
        <f t="shared" si="289"/>
        <v>0.17388975368763615</v>
      </c>
      <c r="BA436" s="254">
        <f t="shared" si="301"/>
        <v>1.2733333333333251E-3</v>
      </c>
      <c r="BB436" s="270">
        <f t="shared" si="278"/>
        <v>1.7270398567105127E-3</v>
      </c>
      <c r="BC436" s="253">
        <f t="shared" si="302"/>
        <v>7.266666666666655E-4</v>
      </c>
      <c r="BD436" s="255">
        <f t="shared" si="290"/>
        <v>7.2666666666666546E-2</v>
      </c>
      <c r="BI436" s="248"/>
      <c r="BX436" s="351" t="e">
        <f>((((IF($T$5=0,$T$6,$T$5)))/(12*$T$19))+(((3*$T$15)/(2*IF($T$5=0,$T$6,$T$5)*$U$5*$T$19))*'IN-OUT'!$F$14))*'Burland damage classification'!CB436</f>
        <v>#DIV/0!</v>
      </c>
      <c r="BY436" s="352">
        <f>(1+(((IF($T$5=0,$T$6^2,$T$5^2))*$U$5)/(18*$T$15))*('IN-OUT'!$F$14^(-1)))*CC436</f>
        <v>7.0095173395415332E-4</v>
      </c>
      <c r="BZ436" s="254" t="e">
        <f t="shared" si="281"/>
        <v>#DIV/0!</v>
      </c>
      <c r="CA436" s="254" t="e">
        <f t="shared" si="293"/>
        <v>#DIV/0!</v>
      </c>
      <c r="CB436" s="254">
        <f t="shared" si="305"/>
        <v>2.7333333333333506E-4</v>
      </c>
      <c r="CC436" s="253">
        <f t="shared" si="310"/>
        <v>7.0095173395415332E-4</v>
      </c>
      <c r="CD436" s="253">
        <f t="shared" si="306"/>
        <v>7.266666666666655E-4</v>
      </c>
      <c r="CE436" s="255">
        <f t="shared" si="294"/>
        <v>7.2666666666666546E-2</v>
      </c>
      <c r="CG436" s="351" t="e">
        <f>((((IF($T$5=0,$T$6,$T$5)))/(12*$T$19))+(((3*$T$15)/(2*IF($T$5=0,$T$6,$T$5)*$U$5*$T$19))*'IN-OUT'!$F$14))*'Burland damage classification'!CK436</f>
        <v>#DIV/0!</v>
      </c>
      <c r="CH436" s="352">
        <f>(1+(((IF($T$5=0,$T$6^2,$T$5^2))*$U$5)/(18*$T$15))*('IN-OUT'!$F$14^(-1)))*CL436</f>
        <v>1.7270398567105127E-3</v>
      </c>
      <c r="CI436" s="254" t="e">
        <f t="shared" si="283"/>
        <v>#DIV/0!</v>
      </c>
      <c r="CJ436" s="254" t="e">
        <f t="shared" si="295"/>
        <v>#DIV/0!</v>
      </c>
      <c r="CK436" s="254">
        <f t="shared" si="307"/>
        <v>1.2733333333333251E-3</v>
      </c>
      <c r="CL436" s="270">
        <f t="shared" si="284"/>
        <v>1.7270398567105127E-3</v>
      </c>
      <c r="CM436" s="253">
        <f t="shared" si="308"/>
        <v>7.266666666666655E-4</v>
      </c>
      <c r="CN436" s="255">
        <f t="shared" si="296"/>
        <v>7.2666666666666546E-2</v>
      </c>
    </row>
    <row r="437" spans="40:92">
      <c r="AN437" s="258">
        <f>(((IF($S$5&lt;&gt;0,$S$5,IF($S$6&lt;&gt;0,$S$6,IF($S$7&lt;&gt;0,$S$7,0))))/(12*$S$19))+(((3*$S$15)/(2*(IF($S$5&lt;&gt;0,$S$5,IF($S$6&lt;&gt;0,$S$6,IF($S$7&lt;&gt;0,$S$7,0))))*$U$5*$S$19))*'IN-OUT'!$F$14))*'Burland damage classification'!AR437</f>
        <v>2.3385198680574344E-3</v>
      </c>
      <c r="AO437" s="353">
        <f>(1+(((IF($S$5&lt;&gt;0,$S$5^2,IF($S$6&lt;&gt;0,$S$6^2,IF($S$7&lt;&gt;0,$S$7^2))))*$U$5)/(18*$S$15))*('IN-OUT'!$F$14^(-1)))*AS437</f>
        <v>7.0240473814545221E-4</v>
      </c>
      <c r="AP437" s="254">
        <f t="shared" si="275"/>
        <v>7.0240473814545221E-4</v>
      </c>
      <c r="AQ437" s="254">
        <f t="shared" si="287"/>
        <v>7.0240473814545221E-2</v>
      </c>
      <c r="AR437" s="254">
        <f t="shared" si="299"/>
        <v>2.6666666666666841E-4</v>
      </c>
      <c r="AS437" s="253">
        <f t="shared" si="309"/>
        <v>6.976149845485456E-4</v>
      </c>
      <c r="AT437" s="253">
        <f t="shared" si="300"/>
        <v>7.3333333333333215E-4</v>
      </c>
      <c r="AU437" s="255">
        <f t="shared" si="288"/>
        <v>7.3333333333333209E-2</v>
      </c>
      <c r="AW437" s="258">
        <f>(((IF($S$5&lt;&gt;0,$S$5,IF($S$6&lt;&gt;0,$S$6,IF($S$7&lt;&gt;0,$S$7,0))))/(12*$S$19))+(((3*$S$15)/(2*(IF($S$5&lt;&gt;0,$S$5,IF($S$6&lt;&gt;0,$S$6,IF($S$7&lt;&gt;0,$S$7,0))))*$U$5*$S$19))*'IN-OUT'!$F$14))*'Burland damage classification'!BA437</f>
        <v>1.1107969373272669E-2</v>
      </c>
      <c r="AX437" s="353">
        <f>(1+(((IF($S$5&lt;&gt;0,$S$5^2,IF($S$6&lt;&gt;0,$S$6^2,IF($S$7&lt;&gt;0,$S$7^2))))*$U$5)/(18*$S$15))*('IN-OUT'!$F$14^(-1)))*BB437</f>
        <v>1.7361747340075616E-3</v>
      </c>
      <c r="AY437" s="254">
        <f t="shared" si="277"/>
        <v>1.7361747340075616E-3</v>
      </c>
      <c r="AZ437" s="254">
        <f t="shared" si="289"/>
        <v>0.17361747340075617</v>
      </c>
      <c r="BA437" s="254">
        <f t="shared" si="301"/>
        <v>1.2666666666666584E-3</v>
      </c>
      <c r="BB437" s="270">
        <f t="shared" si="278"/>
        <v>1.7243356208503423E-3</v>
      </c>
      <c r="BC437" s="253">
        <f t="shared" si="302"/>
        <v>7.3333333333333215E-4</v>
      </c>
      <c r="BD437" s="255">
        <f t="shared" si="290"/>
        <v>7.3333333333333209E-2</v>
      </c>
      <c r="BI437" s="248"/>
      <c r="BX437" s="351" t="e">
        <f>((((IF($T$5=0,$T$6,$T$5)))/(12*$T$19))+(((3*$T$15)/(2*IF($T$5=0,$T$6,$T$5)*$U$5*$T$19))*'IN-OUT'!$F$14))*'Burland damage classification'!CB437</f>
        <v>#DIV/0!</v>
      </c>
      <c r="BY437" s="352">
        <f>(1+(((IF($T$5=0,$T$6^2,$T$5^2))*$U$5)/(18*$T$15))*('IN-OUT'!$F$14^(-1)))*CC437</f>
        <v>6.976149845485456E-4</v>
      </c>
      <c r="BZ437" s="254" t="e">
        <f t="shared" si="281"/>
        <v>#DIV/0!</v>
      </c>
      <c r="CA437" s="254" t="e">
        <f t="shared" si="293"/>
        <v>#DIV/0!</v>
      </c>
      <c r="CB437" s="254">
        <f t="shared" si="305"/>
        <v>2.6666666666666841E-4</v>
      </c>
      <c r="CC437" s="253">
        <f t="shared" si="310"/>
        <v>6.976149845485456E-4</v>
      </c>
      <c r="CD437" s="253">
        <f t="shared" si="306"/>
        <v>7.3333333333333215E-4</v>
      </c>
      <c r="CE437" s="255">
        <f t="shared" si="294"/>
        <v>7.3333333333333209E-2</v>
      </c>
      <c r="CG437" s="351" t="e">
        <f>((((IF($T$5=0,$T$6,$T$5)))/(12*$T$19))+(((3*$T$15)/(2*IF($T$5=0,$T$6,$T$5)*$U$5*$T$19))*'IN-OUT'!$F$14))*'Burland damage classification'!CK437</f>
        <v>#DIV/0!</v>
      </c>
      <c r="CH437" s="352">
        <f>(1+(((IF($T$5=0,$T$6^2,$T$5^2))*$U$5)/(18*$T$15))*('IN-OUT'!$F$14^(-1)))*CL437</f>
        <v>1.7243356208503423E-3</v>
      </c>
      <c r="CI437" s="254" t="e">
        <f t="shared" si="283"/>
        <v>#DIV/0!</v>
      </c>
      <c r="CJ437" s="254" t="e">
        <f t="shared" si="295"/>
        <v>#DIV/0!</v>
      </c>
      <c r="CK437" s="254">
        <f t="shared" si="307"/>
        <v>1.2666666666666584E-3</v>
      </c>
      <c r="CL437" s="270">
        <f t="shared" si="284"/>
        <v>1.7243356208503423E-3</v>
      </c>
      <c r="CM437" s="253">
        <f t="shared" si="308"/>
        <v>7.3333333333333215E-4</v>
      </c>
      <c r="CN437" s="255">
        <f t="shared" si="296"/>
        <v>7.3333333333333209E-2</v>
      </c>
    </row>
    <row r="438" spans="40:92">
      <c r="AN438" s="258">
        <f>(((IF($S$5&lt;&gt;0,$S$5,IF($S$6&lt;&gt;0,$S$6,IF($S$7&lt;&gt;0,$S$7,0))))/(12*$S$19))+(((3*$S$15)/(2*(IF($S$5&lt;&gt;0,$S$5,IF($S$6&lt;&gt;0,$S$6,IF($S$7&lt;&gt;0,$S$7,0))))*$U$5*$S$19))*'IN-OUT'!$F$14))*'Burland damage classification'!AR438</f>
        <v>2.280056871355999E-3</v>
      </c>
      <c r="AO438" s="353">
        <f>(1+(((IF($S$5&lt;&gt;0,$S$5^2,IF($S$6&lt;&gt;0,$S$6^2,IF($S$7&lt;&gt;0,$S$7^2))))*$U$5)/(18*$S$15))*('IN-OUT'!$F$14^(-1)))*AS438</f>
        <v>6.9902893201566146E-4</v>
      </c>
      <c r="AP438" s="254">
        <f t="shared" si="275"/>
        <v>6.9902893201566146E-4</v>
      </c>
      <c r="AQ438" s="254">
        <f t="shared" si="287"/>
        <v>6.9902893201566146E-2</v>
      </c>
      <c r="AR438" s="254">
        <f t="shared" si="299"/>
        <v>2.6000000000000177E-4</v>
      </c>
      <c r="AS438" s="253">
        <f t="shared" si="309"/>
        <v>6.9426219830839191E-4</v>
      </c>
      <c r="AT438" s="253">
        <f t="shared" si="300"/>
        <v>7.399999999999988E-4</v>
      </c>
      <c r="AU438" s="255">
        <f t="shared" si="288"/>
        <v>7.3999999999999885E-2</v>
      </c>
      <c r="AW438" s="258">
        <f>(((IF($S$5&lt;&gt;0,$S$5,IF($S$6&lt;&gt;0,$S$6,IF($S$7&lt;&gt;0,$S$7,0))))/(12*$S$19))+(((3*$S$15)/(2*(IF($S$5&lt;&gt;0,$S$5,IF($S$6&lt;&gt;0,$S$6,IF($S$7&lt;&gt;0,$S$7,0))))*$U$5*$S$19))*'IN-OUT'!$F$14))*'Burland damage classification'!BA438</f>
        <v>1.1049506376571231E-2</v>
      </c>
      <c r="AX438" s="353">
        <f>(1+(((IF($S$5&lt;&gt;0,$S$5^2,IF($S$6&lt;&gt;0,$S$6^2,IF($S$7&lt;&gt;0,$S$7^2))))*$U$5)/(18*$S$15))*('IN-OUT'!$F$14^(-1)))*BB438</f>
        <v>1.7334476543171924E-3</v>
      </c>
      <c r="AY438" s="254">
        <f t="shared" si="277"/>
        <v>1.7334476543171924E-3</v>
      </c>
      <c r="AZ438" s="254">
        <f t="shared" si="289"/>
        <v>0.17334476543171923</v>
      </c>
      <c r="BA438" s="254">
        <f t="shared" si="301"/>
        <v>1.2599999999999916E-3</v>
      </c>
      <c r="BB438" s="270">
        <f t="shared" si="278"/>
        <v>1.7216271373325879E-3</v>
      </c>
      <c r="BC438" s="253">
        <f t="shared" si="302"/>
        <v>7.399999999999988E-4</v>
      </c>
      <c r="BD438" s="255">
        <f t="shared" si="290"/>
        <v>7.3999999999999885E-2</v>
      </c>
      <c r="BI438" s="248"/>
      <c r="BX438" s="351" t="e">
        <f>((((IF($T$5=0,$T$6,$T$5)))/(12*$T$19))+(((3*$T$15)/(2*IF($T$5=0,$T$6,$T$5)*$U$5*$T$19))*'IN-OUT'!$F$14))*'Burland damage classification'!CB438</f>
        <v>#DIV/0!</v>
      </c>
      <c r="BY438" s="352">
        <f>(1+(((IF($T$5=0,$T$6^2,$T$5^2))*$U$5)/(18*$T$15))*('IN-OUT'!$F$14^(-1)))*CC438</f>
        <v>6.9426219830839191E-4</v>
      </c>
      <c r="BZ438" s="254" t="e">
        <f t="shared" si="281"/>
        <v>#DIV/0!</v>
      </c>
      <c r="CA438" s="254" t="e">
        <f t="shared" si="293"/>
        <v>#DIV/0!</v>
      </c>
      <c r="CB438" s="254">
        <f t="shared" si="305"/>
        <v>2.6000000000000177E-4</v>
      </c>
      <c r="CC438" s="253">
        <f t="shared" si="310"/>
        <v>6.9426219830839191E-4</v>
      </c>
      <c r="CD438" s="253">
        <f t="shared" si="306"/>
        <v>7.399999999999988E-4</v>
      </c>
      <c r="CE438" s="255">
        <f t="shared" si="294"/>
        <v>7.3999999999999885E-2</v>
      </c>
      <c r="CG438" s="351" t="e">
        <f>((((IF($T$5=0,$T$6,$T$5)))/(12*$T$19))+(((3*$T$15)/(2*IF($T$5=0,$T$6,$T$5)*$U$5*$T$19))*'IN-OUT'!$F$14))*'Burland damage classification'!CK438</f>
        <v>#DIV/0!</v>
      </c>
      <c r="CH438" s="352">
        <f>(1+(((IF($T$5=0,$T$6^2,$T$5^2))*$U$5)/(18*$T$15))*('IN-OUT'!$F$14^(-1)))*CL438</f>
        <v>1.7216271373325879E-3</v>
      </c>
      <c r="CI438" s="254" t="e">
        <f t="shared" si="283"/>
        <v>#DIV/0!</v>
      </c>
      <c r="CJ438" s="254" t="e">
        <f t="shared" si="295"/>
        <v>#DIV/0!</v>
      </c>
      <c r="CK438" s="254">
        <f t="shared" si="307"/>
        <v>1.2599999999999916E-3</v>
      </c>
      <c r="CL438" s="270">
        <f t="shared" si="284"/>
        <v>1.7216271373325879E-3</v>
      </c>
      <c r="CM438" s="253">
        <f t="shared" si="308"/>
        <v>7.399999999999988E-4</v>
      </c>
      <c r="CN438" s="255">
        <f t="shared" si="296"/>
        <v>7.3999999999999885E-2</v>
      </c>
    </row>
    <row r="439" spans="40:92">
      <c r="AN439" s="258">
        <f>(((IF($S$5&lt;&gt;0,$S$5,IF($S$6&lt;&gt;0,$S$6,IF($S$7&lt;&gt;0,$S$7,0))))/(12*$S$19))+(((3*$S$15)/(2*(IF($S$5&lt;&gt;0,$S$5,IF($S$6&lt;&gt;0,$S$6,IF($S$7&lt;&gt;0,$S$7,0))))*$U$5*$S$19))*'IN-OUT'!$F$14))*'Burland damage classification'!AR439</f>
        <v>2.2215938746545641E-3</v>
      </c>
      <c r="AO439" s="353">
        <f>(1+(((IF($S$5&lt;&gt;0,$S$5^2,IF($S$6&lt;&gt;0,$S$6^2,IF($S$7&lt;&gt;0,$S$7^2))))*$U$5)/(18*$S$15))*('IN-OUT'!$F$14^(-1)))*AS439</f>
        <v>6.9563674386904776E-4</v>
      </c>
      <c r="AP439" s="254">
        <f t="shared" si="275"/>
        <v>6.9563674386904776E-4</v>
      </c>
      <c r="AQ439" s="254">
        <f t="shared" si="287"/>
        <v>6.9563674386904778E-2</v>
      </c>
      <c r="AR439" s="254">
        <f t="shared" si="299"/>
        <v>2.5333333333333512E-4</v>
      </c>
      <c r="AS439" s="253">
        <f t="shared" si="309"/>
        <v>6.9089314176168674E-4</v>
      </c>
      <c r="AT439" s="253">
        <f t="shared" si="300"/>
        <v>7.4666666666666544E-4</v>
      </c>
      <c r="AU439" s="255">
        <f t="shared" si="288"/>
        <v>7.4666666666666548E-2</v>
      </c>
      <c r="AW439" s="258">
        <f>(((IF($S$5&lt;&gt;0,$S$5,IF($S$6&lt;&gt;0,$S$6,IF($S$7&lt;&gt;0,$S$7,0))))/(12*$S$19))+(((3*$S$15)/(2*(IF($S$5&lt;&gt;0,$S$5,IF($S$6&lt;&gt;0,$S$6,IF($S$7&lt;&gt;0,$S$7,0))))*$U$5*$S$19))*'IN-OUT'!$F$14))*'Burland damage classification'!BA439</f>
        <v>1.0991043379869796E-2</v>
      </c>
      <c r="AX439" s="353">
        <f>(1+(((IF($S$5&lt;&gt;0,$S$5^2,IF($S$6&lt;&gt;0,$S$6^2,IF($S$7&lt;&gt;0,$S$7^2))))*$U$5)/(18*$S$15))*('IN-OUT'!$F$14^(-1)))*BB439</f>
        <v>1.730716277588365E-3</v>
      </c>
      <c r="AY439" s="254">
        <f t="shared" si="277"/>
        <v>1.730716277588365E-3</v>
      </c>
      <c r="AZ439" s="254">
        <f t="shared" si="289"/>
        <v>0.1730716277588365</v>
      </c>
      <c r="BA439" s="254">
        <f t="shared" si="301"/>
        <v>1.2533333333333248E-3</v>
      </c>
      <c r="BB439" s="270">
        <f t="shared" si="278"/>
        <v>1.7189143860782212E-3</v>
      </c>
      <c r="BC439" s="253">
        <f t="shared" si="302"/>
        <v>7.4666666666666544E-4</v>
      </c>
      <c r="BD439" s="255">
        <f t="shared" si="290"/>
        <v>7.4666666666666548E-2</v>
      </c>
      <c r="BI439" s="248"/>
      <c r="BX439" s="351" t="e">
        <f>((((IF($T$5=0,$T$6,$T$5)))/(12*$T$19))+(((3*$T$15)/(2*IF($T$5=0,$T$6,$T$5)*$U$5*$T$19))*'IN-OUT'!$F$14))*'Burland damage classification'!CB439</f>
        <v>#DIV/0!</v>
      </c>
      <c r="BY439" s="352">
        <f>(1+(((IF($T$5=0,$T$6^2,$T$5^2))*$U$5)/(18*$T$15))*('IN-OUT'!$F$14^(-1)))*CC439</f>
        <v>6.9089314176168674E-4</v>
      </c>
      <c r="BZ439" s="254" t="e">
        <f t="shared" si="281"/>
        <v>#DIV/0!</v>
      </c>
      <c r="CA439" s="254" t="e">
        <f t="shared" si="293"/>
        <v>#DIV/0!</v>
      </c>
      <c r="CB439" s="254">
        <f t="shared" si="305"/>
        <v>2.5333333333333512E-4</v>
      </c>
      <c r="CC439" s="253">
        <f t="shared" si="310"/>
        <v>6.9089314176168674E-4</v>
      </c>
      <c r="CD439" s="253">
        <f t="shared" si="306"/>
        <v>7.4666666666666544E-4</v>
      </c>
      <c r="CE439" s="255">
        <f t="shared" si="294"/>
        <v>7.4666666666666548E-2</v>
      </c>
      <c r="CG439" s="351" t="e">
        <f>((((IF($T$5=0,$T$6,$T$5)))/(12*$T$19))+(((3*$T$15)/(2*IF($T$5=0,$T$6,$T$5)*$U$5*$T$19))*'IN-OUT'!$F$14))*'Burland damage classification'!CK439</f>
        <v>#DIV/0!</v>
      </c>
      <c r="CH439" s="352">
        <f>(1+(((IF($T$5=0,$T$6^2,$T$5^2))*$U$5)/(18*$T$15))*('IN-OUT'!$F$14^(-1)))*CL439</f>
        <v>1.7189143860782212E-3</v>
      </c>
      <c r="CI439" s="254" t="e">
        <f t="shared" si="283"/>
        <v>#DIV/0!</v>
      </c>
      <c r="CJ439" s="254" t="e">
        <f t="shared" si="295"/>
        <v>#DIV/0!</v>
      </c>
      <c r="CK439" s="254">
        <f t="shared" si="307"/>
        <v>1.2533333333333248E-3</v>
      </c>
      <c r="CL439" s="270">
        <f t="shared" si="284"/>
        <v>1.7189143860782212E-3</v>
      </c>
      <c r="CM439" s="253">
        <f t="shared" si="308"/>
        <v>7.4666666666666544E-4</v>
      </c>
      <c r="CN439" s="255">
        <f t="shared" si="296"/>
        <v>7.4666666666666548E-2</v>
      </c>
    </row>
    <row r="440" spans="40:92">
      <c r="AN440" s="258">
        <f>(((IF($S$5&lt;&gt;0,$S$5,IF($S$6&lt;&gt;0,$S$6,IF($S$7&lt;&gt;0,$S$7,0))))/(12*$S$19))+(((3*$S$15)/(2*(IF($S$5&lt;&gt;0,$S$5,IF($S$6&lt;&gt;0,$S$6,IF($S$7&lt;&gt;0,$S$7,0))))*$U$5*$S$19))*'IN-OUT'!$F$14))*'Burland damage classification'!AR440</f>
        <v>2.1631308779531287E-3</v>
      </c>
      <c r="AO440" s="353">
        <f>(1+(((IF($S$5&lt;&gt;0,$S$5^2,IF($S$6&lt;&gt;0,$S$6^2,IF($S$7&lt;&gt;0,$S$7^2))))*$U$5)/(18*$S$15))*('IN-OUT'!$F$14^(-1)))*AS440</f>
        <v>6.9222793287074605E-4</v>
      </c>
      <c r="AP440" s="254">
        <f t="shared" si="275"/>
        <v>6.9222793287074605E-4</v>
      </c>
      <c r="AQ440" s="254">
        <f t="shared" si="287"/>
        <v>6.9222793287074605E-2</v>
      </c>
      <c r="AR440" s="254">
        <f t="shared" si="299"/>
        <v>2.4666666666666847E-4</v>
      </c>
      <c r="AS440" s="253">
        <f t="shared" si="309"/>
        <v>6.8750757571583705E-4</v>
      </c>
      <c r="AT440" s="253">
        <f t="shared" si="300"/>
        <v>7.5333333333333209E-4</v>
      </c>
      <c r="AU440" s="255">
        <f t="shared" si="288"/>
        <v>7.5333333333333211E-2</v>
      </c>
      <c r="AW440" s="258">
        <f>(((IF($S$5&lt;&gt;0,$S$5,IF($S$6&lt;&gt;0,$S$6,IF($S$7&lt;&gt;0,$S$7,0))))/(12*$S$19))+(((3*$S$15)/(2*(IF($S$5&lt;&gt;0,$S$5,IF($S$6&lt;&gt;0,$S$6,IF($S$7&lt;&gt;0,$S$7,0))))*$U$5*$S$19))*'IN-OUT'!$F$14))*'Burland damage classification'!BA440</f>
        <v>1.0932580383168359E-2</v>
      </c>
      <c r="AX440" s="353">
        <f>(1+(((IF($S$5&lt;&gt;0,$S$5^2,IF($S$6&lt;&gt;0,$S$6^2,IF($S$7&lt;&gt;0,$S$7^2))))*$U$5)/(18*$S$15))*('IN-OUT'!$F$14^(-1)))*BB440</f>
        <v>1.7279805834444081E-3</v>
      </c>
      <c r="AY440" s="254">
        <f t="shared" si="277"/>
        <v>1.7279805834444081E-3</v>
      </c>
      <c r="AZ440" s="254">
        <f t="shared" si="289"/>
        <v>0.17279805834444081</v>
      </c>
      <c r="BA440" s="254">
        <f t="shared" si="301"/>
        <v>1.2466666666666581E-3</v>
      </c>
      <c r="BB440" s="270">
        <f t="shared" si="278"/>
        <v>1.7161973468495209E-3</v>
      </c>
      <c r="BC440" s="253">
        <f t="shared" si="302"/>
        <v>7.5333333333333209E-4</v>
      </c>
      <c r="BD440" s="255">
        <f t="shared" si="290"/>
        <v>7.5333333333333211E-2</v>
      </c>
      <c r="BI440" s="248"/>
      <c r="BX440" s="351" t="e">
        <f>((((IF($T$5=0,$T$6,$T$5)))/(12*$T$19))+(((3*$T$15)/(2*IF($T$5=0,$T$6,$T$5)*$U$5*$T$19))*'IN-OUT'!$F$14))*'Burland damage classification'!CB440</f>
        <v>#DIV/0!</v>
      </c>
      <c r="BY440" s="352">
        <f>(1+(((IF($T$5=0,$T$6^2,$T$5^2))*$U$5)/(18*$T$15))*('IN-OUT'!$F$14^(-1)))*CC440</f>
        <v>6.8750757571583705E-4</v>
      </c>
      <c r="BZ440" s="254" t="e">
        <f t="shared" si="281"/>
        <v>#DIV/0!</v>
      </c>
      <c r="CA440" s="254" t="e">
        <f t="shared" si="293"/>
        <v>#DIV/0!</v>
      </c>
      <c r="CB440" s="254">
        <f t="shared" si="305"/>
        <v>2.4666666666666847E-4</v>
      </c>
      <c r="CC440" s="253">
        <f t="shared" si="310"/>
        <v>6.8750757571583705E-4</v>
      </c>
      <c r="CD440" s="253">
        <f t="shared" si="306"/>
        <v>7.5333333333333209E-4</v>
      </c>
      <c r="CE440" s="255">
        <f t="shared" si="294"/>
        <v>7.5333333333333211E-2</v>
      </c>
      <c r="CG440" s="351" t="e">
        <f>((((IF($T$5=0,$T$6,$T$5)))/(12*$T$19))+(((3*$T$15)/(2*IF($T$5=0,$T$6,$T$5)*$U$5*$T$19))*'IN-OUT'!$F$14))*'Burland damage classification'!CK440</f>
        <v>#DIV/0!</v>
      </c>
      <c r="CH440" s="352">
        <f>(1+(((IF($T$5=0,$T$6^2,$T$5^2))*$U$5)/(18*$T$15))*('IN-OUT'!$F$14^(-1)))*CL440</f>
        <v>1.7161973468495209E-3</v>
      </c>
      <c r="CI440" s="254" t="e">
        <f t="shared" si="283"/>
        <v>#DIV/0!</v>
      </c>
      <c r="CJ440" s="254" t="e">
        <f t="shared" si="295"/>
        <v>#DIV/0!</v>
      </c>
      <c r="CK440" s="254">
        <f t="shared" si="307"/>
        <v>1.2466666666666581E-3</v>
      </c>
      <c r="CL440" s="270">
        <f t="shared" si="284"/>
        <v>1.7161973468495209E-3</v>
      </c>
      <c r="CM440" s="253">
        <f t="shared" si="308"/>
        <v>7.5333333333333209E-4</v>
      </c>
      <c r="CN440" s="255">
        <f t="shared" si="296"/>
        <v>7.5333333333333211E-2</v>
      </c>
    </row>
    <row r="441" spans="40:92">
      <c r="AN441" s="258">
        <f>(((IF($S$5&lt;&gt;0,$S$5,IF($S$6&lt;&gt;0,$S$6,IF($S$7&lt;&gt;0,$S$7,0))))/(12*$S$19))+(((3*$S$15)/(2*(IF($S$5&lt;&gt;0,$S$5,IF($S$6&lt;&gt;0,$S$6,IF($S$7&lt;&gt;0,$S$7,0))))*$U$5*$S$19))*'IN-OUT'!$F$14))*'Burland damage classification'!AR441</f>
        <v>2.1046678812516929E-3</v>
      </c>
      <c r="AO441" s="353">
        <f>(1+(((IF($S$5&lt;&gt;0,$S$5^2,IF($S$6&lt;&gt;0,$S$6^2,IF($S$7&lt;&gt;0,$S$7^2))))*$U$5)/(18*$S$15))*('IN-OUT'!$F$14^(-1)))*AS441</f>
        <v>6.8880225222648706E-4</v>
      </c>
      <c r="AP441" s="254">
        <f t="shared" si="275"/>
        <v>6.8880225222648706E-4</v>
      </c>
      <c r="AQ441" s="254">
        <f t="shared" si="287"/>
        <v>6.8880225222648708E-2</v>
      </c>
      <c r="AR441" s="254">
        <f t="shared" si="299"/>
        <v>2.400000000000018E-4</v>
      </c>
      <c r="AS441" s="253">
        <f t="shared" si="309"/>
        <v>6.8410525505948336E-4</v>
      </c>
      <c r="AT441" s="253">
        <f t="shared" si="300"/>
        <v>7.5999999999999874E-4</v>
      </c>
      <c r="AU441" s="255">
        <f t="shared" si="288"/>
        <v>7.5999999999999873E-2</v>
      </c>
      <c r="AW441" s="258">
        <f>(((IF($S$5&lt;&gt;0,$S$5,IF($S$6&lt;&gt;0,$S$6,IF($S$7&lt;&gt;0,$S$7,0))))/(12*$S$19))+(((3*$S$15)/(2*(IF($S$5&lt;&gt;0,$S$5,IF($S$6&lt;&gt;0,$S$6,IF($S$7&lt;&gt;0,$S$7,0))))*$U$5*$S$19))*'IN-OUT'!$F$14))*'Burland damage classification'!BA441</f>
        <v>1.0874117386466924E-2</v>
      </c>
      <c r="AX441" s="353">
        <f>(1+(((IF($S$5&lt;&gt;0,$S$5^2,IF($S$6&lt;&gt;0,$S$6^2,IF($S$7&lt;&gt;0,$S$7^2))))*$U$5)/(18*$S$15))*('IN-OUT'!$F$14^(-1)))*BB441</f>
        <v>1.7252405513470946E-3</v>
      </c>
      <c r="AY441" s="254">
        <f t="shared" si="277"/>
        <v>1.7252405513470946E-3</v>
      </c>
      <c r="AZ441" s="254">
        <f t="shared" si="289"/>
        <v>0.17252405513470945</v>
      </c>
      <c r="BA441" s="254">
        <f t="shared" si="301"/>
        <v>1.2399999999999913E-3</v>
      </c>
      <c r="BB441" s="270">
        <f t="shared" si="278"/>
        <v>1.713475999248312E-3</v>
      </c>
      <c r="BC441" s="253">
        <f t="shared" si="302"/>
        <v>7.5999999999999874E-4</v>
      </c>
      <c r="BD441" s="255">
        <f t="shared" si="290"/>
        <v>7.5999999999999873E-2</v>
      </c>
      <c r="BI441" s="248"/>
      <c r="BX441" s="351" t="e">
        <f>((((IF($T$5=0,$T$6,$T$5)))/(12*$T$19))+(((3*$T$15)/(2*IF($T$5=0,$T$6,$T$5)*$U$5*$T$19))*'IN-OUT'!$F$14))*'Burland damage classification'!CB441</f>
        <v>#DIV/0!</v>
      </c>
      <c r="BY441" s="352">
        <f>(1+(((IF($T$5=0,$T$6^2,$T$5^2))*$U$5)/(18*$T$15))*('IN-OUT'!$F$14^(-1)))*CC441</f>
        <v>6.8410525505948336E-4</v>
      </c>
      <c r="BZ441" s="254" t="e">
        <f t="shared" si="281"/>
        <v>#DIV/0!</v>
      </c>
      <c r="CA441" s="254" t="e">
        <f t="shared" si="293"/>
        <v>#DIV/0!</v>
      </c>
      <c r="CB441" s="254">
        <f t="shared" si="305"/>
        <v>2.400000000000018E-4</v>
      </c>
      <c r="CC441" s="253">
        <f t="shared" si="310"/>
        <v>6.8410525505948336E-4</v>
      </c>
      <c r="CD441" s="253">
        <f t="shared" si="306"/>
        <v>7.5999999999999874E-4</v>
      </c>
      <c r="CE441" s="255">
        <f t="shared" si="294"/>
        <v>7.5999999999999873E-2</v>
      </c>
      <c r="CG441" s="351" t="e">
        <f>((((IF($T$5=0,$T$6,$T$5)))/(12*$T$19))+(((3*$T$15)/(2*IF($T$5=0,$T$6,$T$5)*$U$5*$T$19))*'IN-OUT'!$F$14))*'Burland damage classification'!CK441</f>
        <v>#DIV/0!</v>
      </c>
      <c r="CH441" s="352">
        <f>(1+(((IF($T$5=0,$T$6^2,$T$5^2))*$U$5)/(18*$T$15))*('IN-OUT'!$F$14^(-1)))*CL441</f>
        <v>1.713475999248312E-3</v>
      </c>
      <c r="CI441" s="254" t="e">
        <f t="shared" si="283"/>
        <v>#DIV/0!</v>
      </c>
      <c r="CJ441" s="254" t="e">
        <f t="shared" si="295"/>
        <v>#DIV/0!</v>
      </c>
      <c r="CK441" s="254">
        <f t="shared" si="307"/>
        <v>1.2399999999999913E-3</v>
      </c>
      <c r="CL441" s="270">
        <f t="shared" si="284"/>
        <v>1.713475999248312E-3</v>
      </c>
      <c r="CM441" s="253">
        <f t="shared" si="308"/>
        <v>7.5999999999999874E-4</v>
      </c>
      <c r="CN441" s="255">
        <f t="shared" si="296"/>
        <v>7.5999999999999873E-2</v>
      </c>
    </row>
    <row r="442" spans="40:92">
      <c r="AN442" s="258">
        <f>(((IF($S$5&lt;&gt;0,$S$5,IF($S$6&lt;&gt;0,$S$6,IF($S$7&lt;&gt;0,$S$7,0))))/(12*$S$19))+(((3*$S$15)/(2*(IF($S$5&lt;&gt;0,$S$5,IF($S$6&lt;&gt;0,$S$6,IF($S$7&lt;&gt;0,$S$7,0))))*$U$5*$S$19))*'IN-OUT'!$F$14))*'Burland damage classification'!AR442</f>
        <v>2.0462048845502575E-3</v>
      </c>
      <c r="AO442" s="353">
        <f>(1+(((IF($S$5&lt;&gt;0,$S$5^2,IF($S$6&lt;&gt;0,$S$6^2,IF($S$7&lt;&gt;0,$S$7^2))))*$U$5)/(18*$S$15))*('IN-OUT'!$F$14^(-1)))*AS442</f>
        <v>6.8535944897408119E-4</v>
      </c>
      <c r="AP442" s="254">
        <f t="shared" si="275"/>
        <v>6.8535944897408119E-4</v>
      </c>
      <c r="AQ442" s="254">
        <f t="shared" si="287"/>
        <v>6.8535944897408121E-2</v>
      </c>
      <c r="AR442" s="254">
        <f t="shared" si="299"/>
        <v>2.3333333333333512E-4</v>
      </c>
      <c r="AS442" s="253">
        <f t="shared" si="309"/>
        <v>6.8068592855540519E-4</v>
      </c>
      <c r="AT442" s="253">
        <f t="shared" si="300"/>
        <v>7.6666666666666539E-4</v>
      </c>
      <c r="AU442" s="255">
        <f t="shared" si="288"/>
        <v>7.6666666666666536E-2</v>
      </c>
      <c r="AW442" s="258">
        <f>(((IF($S$5&lt;&gt;0,$S$5,IF($S$6&lt;&gt;0,$S$6,IF($S$7&lt;&gt;0,$S$7,0))))/(12*$S$19))+(((3*$S$15)/(2*(IF($S$5&lt;&gt;0,$S$5,IF($S$6&lt;&gt;0,$S$6,IF($S$7&lt;&gt;0,$S$7,0))))*$U$5*$S$19))*'IN-OUT'!$F$14))*'Burland damage classification'!BA442</f>
        <v>1.0815654389765486E-2</v>
      </c>
      <c r="AX442" s="353">
        <f>(1+(((IF($S$5&lt;&gt;0,$S$5^2,IF($S$6&lt;&gt;0,$S$6^2,IF($S$7&lt;&gt;0,$S$7^2))))*$U$5)/(18*$S$15))*('IN-OUT'!$F$14^(-1)))*BB442</f>
        <v>1.7224961605948434E-3</v>
      </c>
      <c r="AY442" s="254">
        <f t="shared" si="277"/>
        <v>1.7224961605948434E-3</v>
      </c>
      <c r="AZ442" s="254">
        <f t="shared" si="289"/>
        <v>0.17224961605948436</v>
      </c>
      <c r="BA442" s="254">
        <f t="shared" si="301"/>
        <v>1.2333333333333246E-3</v>
      </c>
      <c r="BB442" s="270">
        <f t="shared" si="278"/>
        <v>1.7107503227141792E-3</v>
      </c>
      <c r="BC442" s="253">
        <f t="shared" si="302"/>
        <v>7.6666666666666539E-4</v>
      </c>
      <c r="BD442" s="255">
        <f t="shared" si="290"/>
        <v>7.6666666666666536E-2</v>
      </c>
      <c r="BI442" s="248"/>
      <c r="BX442" s="351" t="e">
        <f>((((IF($T$5=0,$T$6,$T$5)))/(12*$T$19))+(((3*$T$15)/(2*IF($T$5=0,$T$6,$T$5)*$U$5*$T$19))*'IN-OUT'!$F$14))*'Burland damage classification'!CB442</f>
        <v>#DIV/0!</v>
      </c>
      <c r="BY442" s="352">
        <f>(1+(((IF($T$5=0,$T$6^2,$T$5^2))*$U$5)/(18*$T$15))*('IN-OUT'!$F$14^(-1)))*CC442</f>
        <v>6.8068592855540519E-4</v>
      </c>
      <c r="BZ442" s="254" t="e">
        <f t="shared" si="281"/>
        <v>#DIV/0!</v>
      </c>
      <c r="CA442" s="254" t="e">
        <f t="shared" si="293"/>
        <v>#DIV/0!</v>
      </c>
      <c r="CB442" s="254">
        <f t="shared" si="305"/>
        <v>2.3333333333333512E-4</v>
      </c>
      <c r="CC442" s="253">
        <f t="shared" si="310"/>
        <v>6.8068592855540519E-4</v>
      </c>
      <c r="CD442" s="253">
        <f t="shared" si="306"/>
        <v>7.6666666666666539E-4</v>
      </c>
      <c r="CE442" s="255">
        <f t="shared" si="294"/>
        <v>7.6666666666666536E-2</v>
      </c>
      <c r="CG442" s="351" t="e">
        <f>((((IF($T$5=0,$T$6,$T$5)))/(12*$T$19))+(((3*$T$15)/(2*IF($T$5=0,$T$6,$T$5)*$U$5*$T$19))*'IN-OUT'!$F$14))*'Burland damage classification'!CK442</f>
        <v>#DIV/0!</v>
      </c>
      <c r="CH442" s="352">
        <f>(1+(((IF($T$5=0,$T$6^2,$T$5^2))*$U$5)/(18*$T$15))*('IN-OUT'!$F$14^(-1)))*CL442</f>
        <v>1.7107503227141792E-3</v>
      </c>
      <c r="CI442" s="254" t="e">
        <f t="shared" si="283"/>
        <v>#DIV/0!</v>
      </c>
      <c r="CJ442" s="254" t="e">
        <f t="shared" si="295"/>
        <v>#DIV/0!</v>
      </c>
      <c r="CK442" s="254">
        <f t="shared" si="307"/>
        <v>1.2333333333333246E-3</v>
      </c>
      <c r="CL442" s="270">
        <f t="shared" si="284"/>
        <v>1.7107503227141792E-3</v>
      </c>
      <c r="CM442" s="253">
        <f t="shared" si="308"/>
        <v>7.6666666666666539E-4</v>
      </c>
      <c r="CN442" s="255">
        <f t="shared" si="296"/>
        <v>7.6666666666666536E-2</v>
      </c>
    </row>
    <row r="443" spans="40:92">
      <c r="AN443" s="258">
        <f>(((IF($S$5&lt;&gt;0,$S$5,IF($S$6&lt;&gt;0,$S$6,IF($S$7&lt;&gt;0,$S$7,0))))/(12*$S$19))+(((3*$S$15)/(2*(IF($S$5&lt;&gt;0,$S$5,IF($S$6&lt;&gt;0,$S$6,IF($S$7&lt;&gt;0,$S$7,0))))*$U$5*$S$19))*'IN-OUT'!$F$14))*'Burland damage classification'!AR443</f>
        <v>1.9877418878488217E-3</v>
      </c>
      <c r="AO443" s="353">
        <f>(1+(((IF($S$5&lt;&gt;0,$S$5^2,IF($S$6&lt;&gt;0,$S$6^2,IF($S$7&lt;&gt;0,$S$7^2))))*$U$5)/(18*$S$15))*('IN-OUT'!$F$14^(-1)))*AS443</f>
        <v>6.8189926376542684E-4</v>
      </c>
      <c r="AP443" s="254">
        <f t="shared" si="275"/>
        <v>6.8189926376542684E-4</v>
      </c>
      <c r="AQ443" s="254">
        <f t="shared" si="287"/>
        <v>6.8189926376542684E-2</v>
      </c>
      <c r="AR443" s="254">
        <f t="shared" si="299"/>
        <v>2.2666666666666844E-4</v>
      </c>
      <c r="AS443" s="253">
        <f t="shared" si="309"/>
        <v>6.772493386240163E-4</v>
      </c>
      <c r="AT443" s="253">
        <f t="shared" si="300"/>
        <v>7.7333333333333204E-4</v>
      </c>
      <c r="AU443" s="255">
        <f t="shared" si="288"/>
        <v>7.7333333333333198E-2</v>
      </c>
      <c r="AW443" s="258">
        <f>(((IF($S$5&lt;&gt;0,$S$5,IF($S$6&lt;&gt;0,$S$6,IF($S$7&lt;&gt;0,$S$7,0))))/(12*$S$19))+(((3*$S$15)/(2*(IF($S$5&lt;&gt;0,$S$5,IF($S$6&lt;&gt;0,$S$6,IF($S$7&lt;&gt;0,$S$7,0))))*$U$5*$S$19))*'IN-OUT'!$F$14))*'Burland damage classification'!BA443</f>
        <v>1.0757191393064051E-2</v>
      </c>
      <c r="AX443" s="353">
        <f>(1+(((IF($S$5&lt;&gt;0,$S$5^2,IF($S$6&lt;&gt;0,$S$6^2,IF($S$7&lt;&gt;0,$S$7^2))))*$U$5)/(18*$S$15))*('IN-OUT'!$F$14^(-1)))*BB443</f>
        <v>1.7197473903208945E-3</v>
      </c>
      <c r="AY443" s="254">
        <f t="shared" si="277"/>
        <v>1.7197473903208945E-3</v>
      </c>
      <c r="AZ443" s="254">
        <f t="shared" si="289"/>
        <v>0.17197473903208946</v>
      </c>
      <c r="BA443" s="254">
        <f t="shared" si="301"/>
        <v>1.2266666666666578E-3</v>
      </c>
      <c r="BB443" s="270">
        <f t="shared" si="278"/>
        <v>1.7080202965226541E-3</v>
      </c>
      <c r="BC443" s="253">
        <f t="shared" si="302"/>
        <v>7.7333333333333204E-4</v>
      </c>
      <c r="BD443" s="255">
        <f t="shared" si="290"/>
        <v>7.7333333333333198E-2</v>
      </c>
      <c r="BI443" s="248"/>
      <c r="BX443" s="351" t="e">
        <f>((((IF($T$5=0,$T$6,$T$5)))/(12*$T$19))+(((3*$T$15)/(2*IF($T$5=0,$T$6,$T$5)*$U$5*$T$19))*'IN-OUT'!$F$14))*'Burland damage classification'!CB443</f>
        <v>#DIV/0!</v>
      </c>
      <c r="BY443" s="352">
        <f>(1+(((IF($T$5=0,$T$6^2,$T$5^2))*$U$5)/(18*$T$15))*('IN-OUT'!$F$14^(-1)))*CC443</f>
        <v>6.772493386240163E-4</v>
      </c>
      <c r="BZ443" s="254" t="e">
        <f t="shared" si="281"/>
        <v>#DIV/0!</v>
      </c>
      <c r="CA443" s="254" t="e">
        <f t="shared" si="293"/>
        <v>#DIV/0!</v>
      </c>
      <c r="CB443" s="254">
        <f t="shared" si="305"/>
        <v>2.2666666666666844E-4</v>
      </c>
      <c r="CC443" s="253">
        <f t="shared" si="310"/>
        <v>6.772493386240163E-4</v>
      </c>
      <c r="CD443" s="253">
        <f t="shared" si="306"/>
        <v>7.7333333333333204E-4</v>
      </c>
      <c r="CE443" s="255">
        <f t="shared" si="294"/>
        <v>7.7333333333333198E-2</v>
      </c>
      <c r="CG443" s="351" t="e">
        <f>((((IF($T$5=0,$T$6,$T$5)))/(12*$T$19))+(((3*$T$15)/(2*IF($T$5=0,$T$6,$T$5)*$U$5*$T$19))*'IN-OUT'!$F$14))*'Burland damage classification'!CK443</f>
        <v>#DIV/0!</v>
      </c>
      <c r="CH443" s="352">
        <f>(1+(((IF($T$5=0,$T$6^2,$T$5^2))*$U$5)/(18*$T$15))*('IN-OUT'!$F$14^(-1)))*CL443</f>
        <v>1.7080202965226541E-3</v>
      </c>
      <c r="CI443" s="254" t="e">
        <f t="shared" si="283"/>
        <v>#DIV/0!</v>
      </c>
      <c r="CJ443" s="254" t="e">
        <f t="shared" si="295"/>
        <v>#DIV/0!</v>
      </c>
      <c r="CK443" s="254">
        <f t="shared" si="307"/>
        <v>1.2266666666666578E-3</v>
      </c>
      <c r="CL443" s="270">
        <f t="shared" si="284"/>
        <v>1.7080202965226541E-3</v>
      </c>
      <c r="CM443" s="253">
        <f t="shared" si="308"/>
        <v>7.7333333333333204E-4</v>
      </c>
      <c r="CN443" s="255">
        <f t="shared" si="296"/>
        <v>7.7333333333333198E-2</v>
      </c>
    </row>
    <row r="444" spans="40:92">
      <c r="AN444" s="258">
        <f>(((IF($S$5&lt;&gt;0,$S$5,IF($S$6&lt;&gt;0,$S$6,IF($S$7&lt;&gt;0,$S$7,0))))/(12*$S$19))+(((3*$S$15)/(2*(IF($S$5&lt;&gt;0,$S$5,IF($S$6&lt;&gt;0,$S$6,IF($S$7&lt;&gt;0,$S$7,0))))*$U$5*$S$19))*'IN-OUT'!$F$14))*'Burland damage classification'!AR444</f>
        <v>1.9292788911473863E-3</v>
      </c>
      <c r="AO444" s="353">
        <f>(1+(((IF($S$5&lt;&gt;0,$S$5^2,IF($S$6&lt;&gt;0,$S$6^2,IF($S$7&lt;&gt;0,$S$7^2))))*$U$5)/(18*$S$15))*('IN-OUT'!$F$14^(-1)))*AS444</f>
        <v>6.784214306385125E-4</v>
      </c>
      <c r="AP444" s="254">
        <f t="shared" si="275"/>
        <v>6.784214306385125E-4</v>
      </c>
      <c r="AQ444" s="254">
        <f t="shared" si="287"/>
        <v>6.7842143063851251E-2</v>
      </c>
      <c r="AR444" s="254">
        <f t="shared" si="299"/>
        <v>2.2000000000000177E-4</v>
      </c>
      <c r="AS444" s="253">
        <f t="shared" si="309"/>
        <v>6.7379522111692125E-4</v>
      </c>
      <c r="AT444" s="253">
        <f t="shared" si="300"/>
        <v>7.7999999999999868E-4</v>
      </c>
      <c r="AU444" s="255">
        <f t="shared" si="288"/>
        <v>7.7999999999999875E-2</v>
      </c>
      <c r="AW444" s="258">
        <f>(((IF($S$5&lt;&gt;0,$S$5,IF($S$6&lt;&gt;0,$S$6,IF($S$7&lt;&gt;0,$S$7,0))))/(12*$S$19))+(((3*$S$15)/(2*(IF($S$5&lt;&gt;0,$S$5,IF($S$6&lt;&gt;0,$S$6,IF($S$7&lt;&gt;0,$S$7,0))))*$U$5*$S$19))*'IN-OUT'!$F$14))*'Burland damage classification'!BA444</f>
        <v>1.0698728396362614E-2</v>
      </c>
      <c r="AX444" s="353">
        <f>(1+(((IF($S$5&lt;&gt;0,$S$5^2,IF($S$6&lt;&gt;0,$S$6^2,IF($S$7&lt;&gt;0,$S$7^2))))*$U$5)/(18*$S$15))*('IN-OUT'!$F$14^(-1)))*BB444</f>
        <v>1.7169942194914566E-3</v>
      </c>
      <c r="AY444" s="254">
        <f t="shared" si="277"/>
        <v>1.7169942194914566E-3</v>
      </c>
      <c r="AZ444" s="254">
        <f t="shared" si="289"/>
        <v>0.17169942194914567</v>
      </c>
      <c r="BA444" s="254">
        <f t="shared" si="301"/>
        <v>1.2199999999999911E-3</v>
      </c>
      <c r="BB444" s="270">
        <f t="shared" si="278"/>
        <v>1.7052858997833769E-3</v>
      </c>
      <c r="BC444" s="253">
        <f t="shared" si="302"/>
        <v>7.7999999999999868E-4</v>
      </c>
      <c r="BD444" s="255">
        <f t="shared" si="290"/>
        <v>7.7999999999999875E-2</v>
      </c>
      <c r="BI444" s="248"/>
      <c r="BX444" s="351" t="e">
        <f>((((IF($T$5=0,$T$6,$T$5)))/(12*$T$19))+(((3*$T$15)/(2*IF($T$5=0,$T$6,$T$5)*$U$5*$T$19))*'IN-OUT'!$F$14))*'Burland damage classification'!CB444</f>
        <v>#DIV/0!</v>
      </c>
      <c r="BY444" s="352">
        <f>(1+(((IF($T$5=0,$T$6^2,$T$5^2))*$U$5)/(18*$T$15))*('IN-OUT'!$F$14^(-1)))*CC444</f>
        <v>6.7379522111692125E-4</v>
      </c>
      <c r="BZ444" s="254" t="e">
        <f t="shared" si="281"/>
        <v>#DIV/0!</v>
      </c>
      <c r="CA444" s="254" t="e">
        <f t="shared" si="293"/>
        <v>#DIV/0!</v>
      </c>
      <c r="CB444" s="254">
        <f t="shared" si="305"/>
        <v>2.2000000000000177E-4</v>
      </c>
      <c r="CC444" s="253">
        <f t="shared" si="310"/>
        <v>6.7379522111692125E-4</v>
      </c>
      <c r="CD444" s="253">
        <f t="shared" si="306"/>
        <v>7.7999999999999868E-4</v>
      </c>
      <c r="CE444" s="255">
        <f t="shared" si="294"/>
        <v>7.7999999999999875E-2</v>
      </c>
      <c r="CG444" s="351" t="e">
        <f>((((IF($T$5=0,$T$6,$T$5)))/(12*$T$19))+(((3*$T$15)/(2*IF($T$5=0,$T$6,$T$5)*$U$5*$T$19))*'IN-OUT'!$F$14))*'Burland damage classification'!CK444</f>
        <v>#DIV/0!</v>
      </c>
      <c r="CH444" s="352">
        <f>(1+(((IF($T$5=0,$T$6^2,$T$5^2))*$U$5)/(18*$T$15))*('IN-OUT'!$F$14^(-1)))*CL444</f>
        <v>1.7052858997833769E-3</v>
      </c>
      <c r="CI444" s="254" t="e">
        <f t="shared" si="283"/>
        <v>#DIV/0!</v>
      </c>
      <c r="CJ444" s="254" t="e">
        <f t="shared" si="295"/>
        <v>#DIV/0!</v>
      </c>
      <c r="CK444" s="254">
        <f t="shared" si="307"/>
        <v>1.2199999999999911E-3</v>
      </c>
      <c r="CL444" s="270">
        <f t="shared" si="284"/>
        <v>1.7052858997833769E-3</v>
      </c>
      <c r="CM444" s="253">
        <f t="shared" si="308"/>
        <v>7.7999999999999868E-4</v>
      </c>
      <c r="CN444" s="255">
        <f t="shared" si="296"/>
        <v>7.7999999999999875E-2</v>
      </c>
    </row>
    <row r="445" spans="40:92">
      <c r="AN445" s="258">
        <f>(((IF($S$5&lt;&gt;0,$S$5,IF($S$6&lt;&gt;0,$S$6,IF($S$7&lt;&gt;0,$S$7,0))))/(12*$S$19))+(((3*$S$15)/(2*(IF($S$5&lt;&gt;0,$S$5,IF($S$6&lt;&gt;0,$S$6,IF($S$7&lt;&gt;0,$S$7,0))))*$U$5*$S$19))*'IN-OUT'!$F$14))*'Burland damage classification'!AR445</f>
        <v>1.8708158944459507E-3</v>
      </c>
      <c r="AO445" s="353">
        <f>(1+(((IF($S$5&lt;&gt;0,$S$5^2,IF($S$6&lt;&gt;0,$S$6^2,IF($S$7&lt;&gt;0,$S$7^2))))*$U$5)/(18*$S$15))*('IN-OUT'!$F$14^(-1)))*AS445</f>
        <v>6.7492567677884439E-4</v>
      </c>
      <c r="AP445" s="254">
        <f t="shared" si="275"/>
        <v>6.7492567677884439E-4</v>
      </c>
      <c r="AQ445" s="254">
        <f t="shared" si="287"/>
        <v>6.7492567677884432E-2</v>
      </c>
      <c r="AR445" s="254">
        <f t="shared" si="299"/>
        <v>2.1333333333333509E-4</v>
      </c>
      <c r="AS445" s="253">
        <f t="shared" si="309"/>
        <v>6.7032330507996976E-4</v>
      </c>
      <c r="AT445" s="253">
        <f t="shared" si="300"/>
        <v>7.8666666666666533E-4</v>
      </c>
      <c r="AU445" s="255">
        <f t="shared" si="288"/>
        <v>7.8666666666666538E-2</v>
      </c>
      <c r="AW445" s="258">
        <f>(((IF($S$5&lt;&gt;0,$S$5,IF($S$6&lt;&gt;0,$S$6,IF($S$7&lt;&gt;0,$S$7,0))))/(12*$S$19))+(((3*$S$15)/(2*(IF($S$5&lt;&gt;0,$S$5,IF($S$6&lt;&gt;0,$S$6,IF($S$7&lt;&gt;0,$S$7,0))))*$U$5*$S$19))*'IN-OUT'!$F$14))*'Burland damage classification'!BA445</f>
        <v>1.0640265399661179E-2</v>
      </c>
      <c r="AX445" s="353">
        <f>(1+(((IF($S$5&lt;&gt;0,$S$5^2,IF($S$6&lt;&gt;0,$S$6^2,IF($S$7&lt;&gt;0,$S$7^2))))*$U$5)/(18*$S$15))*('IN-OUT'!$F$14^(-1)))*BB445</f>
        <v>1.7142366269038316E-3</v>
      </c>
      <c r="AY445" s="254">
        <f t="shared" si="277"/>
        <v>1.7142366269038316E-3</v>
      </c>
      <c r="AZ445" s="254">
        <f t="shared" si="289"/>
        <v>0.17142366269038317</v>
      </c>
      <c r="BA445" s="254">
        <f t="shared" si="301"/>
        <v>1.2133333333333243E-3</v>
      </c>
      <c r="BB445" s="270">
        <f t="shared" si="278"/>
        <v>1.7025471114382321E-3</v>
      </c>
      <c r="BC445" s="253">
        <f t="shared" si="302"/>
        <v>7.8666666666666533E-4</v>
      </c>
      <c r="BD445" s="255">
        <f t="shared" si="290"/>
        <v>7.8666666666666538E-2</v>
      </c>
      <c r="BI445" s="248"/>
      <c r="BX445" s="351" t="e">
        <f>((((IF($T$5=0,$T$6,$T$5)))/(12*$T$19))+(((3*$T$15)/(2*IF($T$5=0,$T$6,$T$5)*$U$5*$T$19))*'IN-OUT'!$F$14))*'Burland damage classification'!CB445</f>
        <v>#DIV/0!</v>
      </c>
      <c r="BY445" s="352">
        <f>(1+(((IF($T$5=0,$T$6^2,$T$5^2))*$U$5)/(18*$T$15))*('IN-OUT'!$F$14^(-1)))*CC445</f>
        <v>6.7032330507996976E-4</v>
      </c>
      <c r="BZ445" s="254" t="e">
        <f t="shared" si="281"/>
        <v>#DIV/0!</v>
      </c>
      <c r="CA445" s="254" t="e">
        <f t="shared" si="293"/>
        <v>#DIV/0!</v>
      </c>
      <c r="CB445" s="254">
        <f t="shared" si="305"/>
        <v>2.1333333333333509E-4</v>
      </c>
      <c r="CC445" s="253">
        <f t="shared" si="310"/>
        <v>6.7032330507996976E-4</v>
      </c>
      <c r="CD445" s="253">
        <f t="shared" si="306"/>
        <v>7.8666666666666533E-4</v>
      </c>
      <c r="CE445" s="255">
        <f t="shared" si="294"/>
        <v>7.8666666666666538E-2</v>
      </c>
      <c r="CG445" s="351" t="e">
        <f>((((IF($T$5=0,$T$6,$T$5)))/(12*$T$19))+(((3*$T$15)/(2*IF($T$5=0,$T$6,$T$5)*$U$5*$T$19))*'IN-OUT'!$F$14))*'Burland damage classification'!CK445</f>
        <v>#DIV/0!</v>
      </c>
      <c r="CH445" s="352">
        <f>(1+(((IF($T$5=0,$T$6^2,$T$5^2))*$U$5)/(18*$T$15))*('IN-OUT'!$F$14^(-1)))*CL445</f>
        <v>1.7025471114382321E-3</v>
      </c>
      <c r="CI445" s="254" t="e">
        <f t="shared" si="283"/>
        <v>#DIV/0!</v>
      </c>
      <c r="CJ445" s="254" t="e">
        <f t="shared" si="295"/>
        <v>#DIV/0!</v>
      </c>
      <c r="CK445" s="254">
        <f t="shared" si="307"/>
        <v>1.2133333333333243E-3</v>
      </c>
      <c r="CL445" s="270">
        <f t="shared" si="284"/>
        <v>1.7025471114382321E-3</v>
      </c>
      <c r="CM445" s="253">
        <f t="shared" si="308"/>
        <v>7.8666666666666533E-4</v>
      </c>
      <c r="CN445" s="255">
        <f t="shared" si="296"/>
        <v>7.8666666666666538E-2</v>
      </c>
    </row>
    <row r="446" spans="40:92">
      <c r="AN446" s="258">
        <f>(((IF($S$5&lt;&gt;0,$S$5,IF($S$6&lt;&gt;0,$S$6,IF($S$7&lt;&gt;0,$S$7,0))))/(12*$S$19))+(((3*$S$15)/(2*(IF($S$5&lt;&gt;0,$S$5,IF($S$6&lt;&gt;0,$S$6,IF($S$7&lt;&gt;0,$S$7,0))))*$U$5*$S$19))*'IN-OUT'!$F$14))*'Burland damage classification'!AR446</f>
        <v>1.8123528977445152E-3</v>
      </c>
      <c r="AO446" s="353">
        <f>(1+(((IF($S$5&lt;&gt;0,$S$5^2,IF($S$6&lt;&gt;0,$S$6^2,IF($S$7&lt;&gt;0,$S$7^2))))*$U$5)/(18*$S$15))*('IN-OUT'!$F$14^(-1)))*AS446</f>
        <v>6.7141172226969361E-4</v>
      </c>
      <c r="AP446" s="254">
        <f t="shared" si="275"/>
        <v>6.7141172226969361E-4</v>
      </c>
      <c r="AQ446" s="254">
        <f t="shared" si="287"/>
        <v>6.7141172226969359E-2</v>
      </c>
      <c r="AR446" s="254">
        <f t="shared" si="299"/>
        <v>2.0666666666666842E-4</v>
      </c>
      <c r="AS446" s="253">
        <f t="shared" si="309"/>
        <v>6.668333125052074E-4</v>
      </c>
      <c r="AT446" s="253">
        <f t="shared" si="300"/>
        <v>7.9333333333333198E-4</v>
      </c>
      <c r="AU446" s="255">
        <f t="shared" si="288"/>
        <v>7.93333333333332E-2</v>
      </c>
      <c r="AW446" s="258">
        <f>(((IF($S$5&lt;&gt;0,$S$5,IF($S$6&lt;&gt;0,$S$6,IF($S$7&lt;&gt;0,$S$7,0))))/(12*$S$19))+(((3*$S$15)/(2*(IF($S$5&lt;&gt;0,$S$5,IF($S$6&lt;&gt;0,$S$6,IF($S$7&lt;&gt;0,$S$7,0))))*$U$5*$S$19))*'IN-OUT'!$F$14))*'Burland damage classification'!BA446</f>
        <v>1.0581802402959741E-2</v>
      </c>
      <c r="AX446" s="353">
        <f>(1+(((IF($S$5&lt;&gt;0,$S$5^2,IF($S$6&lt;&gt;0,$S$6^2,IF($S$7&lt;&gt;0,$S$7^2))))*$U$5)/(18*$S$15))*('IN-OUT'!$F$14^(-1)))*BB446</f>
        <v>1.7114745911845073E-3</v>
      </c>
      <c r="AY446" s="254">
        <f t="shared" si="277"/>
        <v>1.7114745911845073E-3</v>
      </c>
      <c r="AZ446" s="254">
        <f t="shared" si="289"/>
        <v>0.17114745911845072</v>
      </c>
      <c r="BA446" s="254">
        <f t="shared" si="301"/>
        <v>1.2066666666666575E-3</v>
      </c>
      <c r="BB446" s="270">
        <f t="shared" si="278"/>
        <v>1.6998039102594554E-3</v>
      </c>
      <c r="BC446" s="253">
        <f t="shared" si="302"/>
        <v>7.9333333333333198E-4</v>
      </c>
      <c r="BD446" s="255">
        <f t="shared" si="290"/>
        <v>7.93333333333332E-2</v>
      </c>
      <c r="BI446" s="248"/>
      <c r="BX446" s="351" t="e">
        <f>((((IF($T$5=0,$T$6,$T$5)))/(12*$T$19))+(((3*$T$15)/(2*IF($T$5=0,$T$6,$T$5)*$U$5*$T$19))*'IN-OUT'!$F$14))*'Burland damage classification'!CB446</f>
        <v>#DIV/0!</v>
      </c>
      <c r="BY446" s="352">
        <f>(1+(((IF($T$5=0,$T$6^2,$T$5^2))*$U$5)/(18*$T$15))*('IN-OUT'!$F$14^(-1)))*CC446</f>
        <v>6.668333125052074E-4</v>
      </c>
      <c r="BZ446" s="254" t="e">
        <f t="shared" si="281"/>
        <v>#DIV/0!</v>
      </c>
      <c r="CA446" s="254" t="e">
        <f t="shared" si="293"/>
        <v>#DIV/0!</v>
      </c>
      <c r="CB446" s="254">
        <f t="shared" si="305"/>
        <v>2.0666666666666842E-4</v>
      </c>
      <c r="CC446" s="253">
        <f t="shared" si="310"/>
        <v>6.668333125052074E-4</v>
      </c>
      <c r="CD446" s="253">
        <f t="shared" si="306"/>
        <v>7.9333333333333198E-4</v>
      </c>
      <c r="CE446" s="255">
        <f t="shared" si="294"/>
        <v>7.93333333333332E-2</v>
      </c>
      <c r="CG446" s="351" t="e">
        <f>((((IF($T$5=0,$T$6,$T$5)))/(12*$T$19))+(((3*$T$15)/(2*IF($T$5=0,$T$6,$T$5)*$U$5*$T$19))*'IN-OUT'!$F$14))*'Burland damage classification'!CK446</f>
        <v>#DIV/0!</v>
      </c>
      <c r="CH446" s="352">
        <f>(1+(((IF($T$5=0,$T$6^2,$T$5^2))*$U$5)/(18*$T$15))*('IN-OUT'!$F$14^(-1)))*CL446</f>
        <v>1.6998039102594554E-3</v>
      </c>
      <c r="CI446" s="254" t="e">
        <f t="shared" si="283"/>
        <v>#DIV/0!</v>
      </c>
      <c r="CJ446" s="254" t="e">
        <f t="shared" si="295"/>
        <v>#DIV/0!</v>
      </c>
      <c r="CK446" s="254">
        <f t="shared" si="307"/>
        <v>1.2066666666666575E-3</v>
      </c>
      <c r="CL446" s="270">
        <f t="shared" si="284"/>
        <v>1.6998039102594554E-3</v>
      </c>
      <c r="CM446" s="253">
        <f t="shared" si="308"/>
        <v>7.9333333333333198E-4</v>
      </c>
      <c r="CN446" s="255">
        <f t="shared" si="296"/>
        <v>7.93333333333332E-2</v>
      </c>
    </row>
    <row r="447" spans="40:92">
      <c r="AN447" s="258">
        <f>(((IF($S$5&lt;&gt;0,$S$5,IF($S$6&lt;&gt;0,$S$6,IF($S$7&lt;&gt;0,$S$7,0))))/(12*$S$19))+(((3*$S$15)/(2*(IF($S$5&lt;&gt;0,$S$5,IF($S$6&lt;&gt;0,$S$6,IF($S$7&lt;&gt;0,$S$7,0))))*$U$5*$S$19))*'IN-OUT'!$F$14))*'Burland damage classification'!AR447</f>
        <v>1.7538899010430796E-3</v>
      </c>
      <c r="AO447" s="353">
        <f>(1+(((IF($S$5&lt;&gt;0,$S$5^2,IF($S$6&lt;&gt;0,$S$6^2,IF($S$7&lt;&gt;0,$S$7^2))))*$U$5)/(18*$S$15))*('IN-OUT'!$F$14^(-1)))*AS447</f>
        <v>6.6787927983051783E-4</v>
      </c>
      <c r="AP447" s="254">
        <f t="shared" si="275"/>
        <v>6.6787927983051783E-4</v>
      </c>
      <c r="AQ447" s="254">
        <f t="shared" si="287"/>
        <v>6.6787927983051776E-2</v>
      </c>
      <c r="AR447" s="254">
        <f t="shared" si="299"/>
        <v>2.0000000000000174E-4</v>
      </c>
      <c r="AS447" s="253">
        <f t="shared" si="309"/>
        <v>6.6332495807108066E-4</v>
      </c>
      <c r="AT447" s="253">
        <f t="shared" si="300"/>
        <v>7.9999999999999863E-4</v>
      </c>
      <c r="AU447" s="255">
        <f t="shared" si="288"/>
        <v>7.9999999999999863E-2</v>
      </c>
      <c r="AW447" s="258">
        <f>(((IF($S$5&lt;&gt;0,$S$5,IF($S$6&lt;&gt;0,$S$6,IF($S$7&lt;&gt;0,$S$7,0))))/(12*$S$19))+(((3*$S$15)/(2*(IF($S$5&lt;&gt;0,$S$5,IF($S$6&lt;&gt;0,$S$6,IF($S$7&lt;&gt;0,$S$7,0))))*$U$5*$S$19))*'IN-OUT'!$F$14))*'Burland damage classification'!BA447</f>
        <v>1.0523339406258306E-2</v>
      </c>
      <c r="AX447" s="353">
        <f>(1+(((IF($S$5&lt;&gt;0,$S$5^2,IF($S$6&lt;&gt;0,$S$6^2,IF($S$7&lt;&gt;0,$S$7^2))))*$U$5)/(18*$S$15))*('IN-OUT'!$F$14^(-1)))*BB447</f>
        <v>1.708708090787226E-3</v>
      </c>
      <c r="AY447" s="254">
        <f t="shared" si="277"/>
        <v>1.708708090787226E-3</v>
      </c>
      <c r="AZ447" s="254">
        <f t="shared" si="289"/>
        <v>0.1708708090787226</v>
      </c>
      <c r="BA447" s="254">
        <f t="shared" si="301"/>
        <v>1.1999999999999908E-3</v>
      </c>
      <c r="BB447" s="270">
        <f t="shared" si="278"/>
        <v>1.6970562748477146E-3</v>
      </c>
      <c r="BC447" s="253">
        <f t="shared" si="302"/>
        <v>7.9999999999999863E-4</v>
      </c>
      <c r="BD447" s="255">
        <f t="shared" si="290"/>
        <v>7.9999999999999863E-2</v>
      </c>
      <c r="BI447" s="248"/>
      <c r="BX447" s="351" t="e">
        <f>((((IF($T$5=0,$T$6,$T$5)))/(12*$T$19))+(((3*$T$15)/(2*IF($T$5=0,$T$6,$T$5)*$U$5*$T$19))*'IN-OUT'!$F$14))*'Burland damage classification'!CB447</f>
        <v>#DIV/0!</v>
      </c>
      <c r="BY447" s="352">
        <f>(1+(((IF($T$5=0,$T$6^2,$T$5^2))*$U$5)/(18*$T$15))*('IN-OUT'!$F$14^(-1)))*CC447</f>
        <v>6.6332495807108066E-4</v>
      </c>
      <c r="BZ447" s="254" t="e">
        <f t="shared" si="281"/>
        <v>#DIV/0!</v>
      </c>
      <c r="CA447" s="254" t="e">
        <f t="shared" si="293"/>
        <v>#DIV/0!</v>
      </c>
      <c r="CB447" s="254">
        <f t="shared" si="305"/>
        <v>2.0000000000000174E-4</v>
      </c>
      <c r="CC447" s="253">
        <f t="shared" si="310"/>
        <v>6.6332495807108066E-4</v>
      </c>
      <c r="CD447" s="253">
        <f t="shared" si="306"/>
        <v>7.9999999999999863E-4</v>
      </c>
      <c r="CE447" s="255">
        <f t="shared" si="294"/>
        <v>7.9999999999999863E-2</v>
      </c>
      <c r="CG447" s="351" t="e">
        <f>((((IF($T$5=0,$T$6,$T$5)))/(12*$T$19))+(((3*$T$15)/(2*IF($T$5=0,$T$6,$T$5)*$U$5*$T$19))*'IN-OUT'!$F$14))*'Burland damage classification'!CK447</f>
        <v>#DIV/0!</v>
      </c>
      <c r="CH447" s="352">
        <f>(1+(((IF($T$5=0,$T$6^2,$T$5^2))*$U$5)/(18*$T$15))*('IN-OUT'!$F$14^(-1)))*CL447</f>
        <v>1.6970562748477146E-3</v>
      </c>
      <c r="CI447" s="254" t="e">
        <f t="shared" si="283"/>
        <v>#DIV/0!</v>
      </c>
      <c r="CJ447" s="254" t="e">
        <f t="shared" si="295"/>
        <v>#DIV/0!</v>
      </c>
      <c r="CK447" s="254">
        <f t="shared" si="307"/>
        <v>1.1999999999999908E-3</v>
      </c>
      <c r="CL447" s="270">
        <f t="shared" si="284"/>
        <v>1.6970562748477146E-3</v>
      </c>
      <c r="CM447" s="253">
        <f t="shared" si="308"/>
        <v>7.9999999999999863E-4</v>
      </c>
      <c r="CN447" s="255">
        <f t="shared" si="296"/>
        <v>7.9999999999999863E-2</v>
      </c>
    </row>
    <row r="448" spans="40:92">
      <c r="AN448" s="258">
        <f>(((IF($S$5&lt;&gt;0,$S$5,IF($S$6&lt;&gt;0,$S$6,IF($S$7&lt;&gt;0,$S$7,0))))/(12*$S$19))+(((3*$S$15)/(2*(IF($S$5&lt;&gt;0,$S$5,IF($S$6&lt;&gt;0,$S$6,IF($S$7&lt;&gt;0,$S$7,0))))*$U$5*$S$19))*'IN-OUT'!$F$14))*'Burland damage classification'!AR448</f>
        <v>1.6954269043416442E-3</v>
      </c>
      <c r="AO448" s="353">
        <f>(1+(((IF($S$5&lt;&gt;0,$S$5^2,IF($S$6&lt;&gt;0,$S$6^2,IF($S$7&lt;&gt;0,$S$7^2))))*$U$5)/(18*$S$15))*('IN-OUT'!$F$14^(-1)))*AS448</f>
        <v>6.6432805454286366E-4</v>
      </c>
      <c r="AP448" s="254">
        <f t="shared" si="275"/>
        <v>6.6432805454286366E-4</v>
      </c>
      <c r="AQ448" s="254">
        <f t="shared" si="287"/>
        <v>6.643280545428637E-2</v>
      </c>
      <c r="AR448" s="254">
        <f t="shared" si="299"/>
        <v>1.9333333333333507E-4</v>
      </c>
      <c r="AS448" s="253">
        <f t="shared" si="309"/>
        <v>6.5979794887020848E-4</v>
      </c>
      <c r="AT448" s="253">
        <f t="shared" si="300"/>
        <v>8.0666666666666528E-4</v>
      </c>
      <c r="AU448" s="255">
        <f t="shared" si="288"/>
        <v>8.0666666666666526E-2</v>
      </c>
      <c r="AW448" s="258">
        <f>(((IF($S$5&lt;&gt;0,$S$5,IF($S$6&lt;&gt;0,$S$6,IF($S$7&lt;&gt;0,$S$7,0))))/(12*$S$19))+(((3*$S$15)/(2*(IF($S$5&lt;&gt;0,$S$5,IF($S$6&lt;&gt;0,$S$6,IF($S$7&lt;&gt;0,$S$7,0))))*$U$5*$S$19))*'IN-OUT'!$F$14))*'Burland damage classification'!BA448</f>
        <v>1.0464876409556869E-2</v>
      </c>
      <c r="AX448" s="353">
        <f>(1+(((IF($S$5&lt;&gt;0,$S$5^2,IF($S$6&lt;&gt;0,$S$6^2,IF($S$7&lt;&gt;0,$S$7^2))))*$U$5)/(18*$S$15))*('IN-OUT'!$F$14^(-1)))*BB448</f>
        <v>1.7059371039910224E-3</v>
      </c>
      <c r="AY448" s="254">
        <f t="shared" si="277"/>
        <v>1.7059371039910224E-3</v>
      </c>
      <c r="AZ448" s="254">
        <f t="shared" si="289"/>
        <v>0.17059371039910223</v>
      </c>
      <c r="BA448" s="254">
        <f t="shared" si="301"/>
        <v>1.193333333333324E-3</v>
      </c>
      <c r="BB448" s="270">
        <f t="shared" si="278"/>
        <v>1.6943041836301616E-3</v>
      </c>
      <c r="BC448" s="253">
        <f t="shared" si="302"/>
        <v>8.0666666666666528E-4</v>
      </c>
      <c r="BD448" s="255">
        <f t="shared" si="290"/>
        <v>8.0666666666666526E-2</v>
      </c>
      <c r="BI448" s="248"/>
      <c r="BX448" s="351" t="e">
        <f>((((IF($T$5=0,$T$6,$T$5)))/(12*$T$19))+(((3*$T$15)/(2*IF($T$5=0,$T$6,$T$5)*$U$5*$T$19))*'IN-OUT'!$F$14))*'Burland damage classification'!CB448</f>
        <v>#DIV/0!</v>
      </c>
      <c r="BY448" s="352">
        <f>(1+(((IF($T$5=0,$T$6^2,$T$5^2))*$U$5)/(18*$T$15))*('IN-OUT'!$F$14^(-1)))*CC448</f>
        <v>6.5979794887020848E-4</v>
      </c>
      <c r="BZ448" s="254" t="e">
        <f t="shared" si="281"/>
        <v>#DIV/0!</v>
      </c>
      <c r="CA448" s="254" t="e">
        <f t="shared" si="293"/>
        <v>#DIV/0!</v>
      </c>
      <c r="CB448" s="254">
        <f t="shared" si="305"/>
        <v>1.9333333333333507E-4</v>
      </c>
      <c r="CC448" s="253">
        <f t="shared" si="310"/>
        <v>6.5979794887020848E-4</v>
      </c>
      <c r="CD448" s="253">
        <f t="shared" si="306"/>
        <v>8.0666666666666528E-4</v>
      </c>
      <c r="CE448" s="255">
        <f t="shared" si="294"/>
        <v>8.0666666666666526E-2</v>
      </c>
      <c r="CG448" s="351" t="e">
        <f>((((IF($T$5=0,$T$6,$T$5)))/(12*$T$19))+(((3*$T$15)/(2*IF($T$5=0,$T$6,$T$5)*$U$5*$T$19))*'IN-OUT'!$F$14))*'Burland damage classification'!CK448</f>
        <v>#DIV/0!</v>
      </c>
      <c r="CH448" s="352">
        <f>(1+(((IF($T$5=0,$T$6^2,$T$5^2))*$U$5)/(18*$T$15))*('IN-OUT'!$F$14^(-1)))*CL448</f>
        <v>1.6943041836301616E-3</v>
      </c>
      <c r="CI448" s="254" t="e">
        <f t="shared" si="283"/>
        <v>#DIV/0!</v>
      </c>
      <c r="CJ448" s="254" t="e">
        <f t="shared" si="295"/>
        <v>#DIV/0!</v>
      </c>
      <c r="CK448" s="254">
        <f t="shared" si="307"/>
        <v>1.193333333333324E-3</v>
      </c>
      <c r="CL448" s="270">
        <f t="shared" si="284"/>
        <v>1.6943041836301616E-3</v>
      </c>
      <c r="CM448" s="253">
        <f t="shared" si="308"/>
        <v>8.0666666666666528E-4</v>
      </c>
      <c r="CN448" s="255">
        <f t="shared" si="296"/>
        <v>8.0666666666666526E-2</v>
      </c>
    </row>
    <row r="449" spans="40:92">
      <c r="AN449" s="258">
        <f>(((IF($S$5&lt;&gt;0,$S$5,IF($S$6&lt;&gt;0,$S$6,IF($S$7&lt;&gt;0,$S$7,0))))/(12*$S$19))+(((3*$S$15)/(2*(IF($S$5&lt;&gt;0,$S$5,IF($S$6&lt;&gt;0,$S$6,IF($S$7&lt;&gt;0,$S$7,0))))*$U$5*$S$19))*'IN-OUT'!$F$14))*'Burland damage classification'!AR449</f>
        <v>1.6369639076402086E-3</v>
      </c>
      <c r="AO449" s="353">
        <f>(1+(((IF($S$5&lt;&gt;0,$S$5^2,IF($S$6&lt;&gt;0,$S$6^2,IF($S$7&lt;&gt;0,$S$7^2))))*$U$5)/(18*$S$15))*('IN-OUT'!$F$14^(-1)))*AS449</f>
        <v>6.6075774356301042E-4</v>
      </c>
      <c r="AP449" s="254">
        <f t="shared" si="275"/>
        <v>6.6075774356301042E-4</v>
      </c>
      <c r="AQ449" s="254">
        <f t="shared" si="287"/>
        <v>6.6075774356301048E-2</v>
      </c>
      <c r="AR449" s="254">
        <f t="shared" si="299"/>
        <v>1.8666666666666839E-4</v>
      </c>
      <c r="AS449" s="253">
        <f t="shared" si="309"/>
        <v>6.5625198412398538E-4</v>
      </c>
      <c r="AT449" s="253">
        <f t="shared" si="300"/>
        <v>8.1333333333333192E-4</v>
      </c>
      <c r="AU449" s="255">
        <f t="shared" si="288"/>
        <v>8.1333333333333188E-2</v>
      </c>
      <c r="AW449" s="258">
        <f>(((IF($S$5&lt;&gt;0,$S$5,IF($S$6&lt;&gt;0,$S$6,IF($S$7&lt;&gt;0,$S$7,0))))/(12*$S$19))+(((3*$S$15)/(2*(IF($S$5&lt;&gt;0,$S$5,IF($S$6&lt;&gt;0,$S$6,IF($S$7&lt;&gt;0,$S$7,0))))*$U$5*$S$19))*'IN-OUT'!$F$14))*'Burland damage classification'!BA449</f>
        <v>1.0406413412855434E-2</v>
      </c>
      <c r="AX449" s="353">
        <f>(1+(((IF($S$5&lt;&gt;0,$S$5^2,IF($S$6&lt;&gt;0,$S$6^2,IF($S$7&lt;&gt;0,$S$7^2))))*$U$5)/(18*$S$15))*('IN-OUT'!$F$14^(-1)))*BB449</f>
        <v>1.7031616088982358E-3</v>
      </c>
      <c r="AY449" s="254">
        <f t="shared" si="277"/>
        <v>1.7031616088982358E-3</v>
      </c>
      <c r="AZ449" s="254">
        <f t="shared" si="289"/>
        <v>0.17031616088982357</v>
      </c>
      <c r="BA449" s="254">
        <f t="shared" si="301"/>
        <v>1.1866666666666573E-3</v>
      </c>
      <c r="BB449" s="270">
        <f t="shared" si="278"/>
        <v>1.6915476148584572E-3</v>
      </c>
      <c r="BC449" s="253">
        <f t="shared" si="302"/>
        <v>8.1333333333333192E-4</v>
      </c>
      <c r="BD449" s="255">
        <f t="shared" si="290"/>
        <v>8.1333333333333188E-2</v>
      </c>
      <c r="BI449" s="248"/>
      <c r="BX449" s="351" t="e">
        <f>((((IF($T$5=0,$T$6,$T$5)))/(12*$T$19))+(((3*$T$15)/(2*IF($T$5=0,$T$6,$T$5)*$U$5*$T$19))*'IN-OUT'!$F$14))*'Burland damage classification'!CB449</f>
        <v>#DIV/0!</v>
      </c>
      <c r="BY449" s="352">
        <f>(1+(((IF($T$5=0,$T$6^2,$T$5^2))*$U$5)/(18*$T$15))*('IN-OUT'!$F$14^(-1)))*CC449</f>
        <v>6.5625198412398538E-4</v>
      </c>
      <c r="BZ449" s="254" t="e">
        <f t="shared" si="281"/>
        <v>#DIV/0!</v>
      </c>
      <c r="CA449" s="254" t="e">
        <f t="shared" si="293"/>
        <v>#DIV/0!</v>
      </c>
      <c r="CB449" s="254">
        <f t="shared" si="305"/>
        <v>1.8666666666666839E-4</v>
      </c>
      <c r="CC449" s="253">
        <f t="shared" si="310"/>
        <v>6.5625198412398538E-4</v>
      </c>
      <c r="CD449" s="253">
        <f t="shared" si="306"/>
        <v>8.1333333333333192E-4</v>
      </c>
      <c r="CE449" s="255">
        <f t="shared" si="294"/>
        <v>8.1333333333333188E-2</v>
      </c>
      <c r="CG449" s="351" t="e">
        <f>((((IF($T$5=0,$T$6,$T$5)))/(12*$T$19))+(((3*$T$15)/(2*IF($T$5=0,$T$6,$T$5)*$U$5*$T$19))*'IN-OUT'!$F$14))*'Burland damage classification'!CK449</f>
        <v>#DIV/0!</v>
      </c>
      <c r="CH449" s="352">
        <f>(1+(((IF($T$5=0,$T$6^2,$T$5^2))*$U$5)/(18*$T$15))*('IN-OUT'!$F$14^(-1)))*CL449</f>
        <v>1.6915476148584572E-3</v>
      </c>
      <c r="CI449" s="254" t="e">
        <f t="shared" si="283"/>
        <v>#DIV/0!</v>
      </c>
      <c r="CJ449" s="254" t="e">
        <f t="shared" si="295"/>
        <v>#DIV/0!</v>
      </c>
      <c r="CK449" s="254">
        <f t="shared" si="307"/>
        <v>1.1866666666666573E-3</v>
      </c>
      <c r="CL449" s="270">
        <f t="shared" si="284"/>
        <v>1.6915476148584572E-3</v>
      </c>
      <c r="CM449" s="253">
        <f t="shared" si="308"/>
        <v>8.1333333333333192E-4</v>
      </c>
      <c r="CN449" s="255">
        <f t="shared" si="296"/>
        <v>8.1333333333333188E-2</v>
      </c>
    </row>
    <row r="450" spans="40:92">
      <c r="AN450" s="258">
        <f>(((IF($S$5&lt;&gt;0,$S$5,IF($S$6&lt;&gt;0,$S$6,IF($S$7&lt;&gt;0,$S$7,0))))/(12*$S$19))+(((3*$S$15)/(2*(IF($S$5&lt;&gt;0,$S$5,IF($S$6&lt;&gt;0,$S$6,IF($S$7&lt;&gt;0,$S$7,0))))*$U$5*$S$19))*'IN-OUT'!$F$14))*'Burland damage classification'!AR450</f>
        <v>1.578500910938773E-3</v>
      </c>
      <c r="AO450" s="353">
        <f>(1+(((IF($S$5&lt;&gt;0,$S$5^2,IF($S$6&lt;&gt;0,$S$6^2,IF($S$7&lt;&gt;0,$S$7^2))))*$U$5)/(18*$S$15))*('IN-OUT'!$F$14^(-1)))*AS450</f>
        <v>6.5716803582056252E-4</v>
      </c>
      <c r="AP450" s="254">
        <f t="shared" si="275"/>
        <v>6.5716803582056252E-4</v>
      </c>
      <c r="AQ450" s="254">
        <f t="shared" si="287"/>
        <v>6.5716803582056255E-2</v>
      </c>
      <c r="AR450" s="254">
        <f t="shared" si="299"/>
        <v>1.8000000000000172E-4</v>
      </c>
      <c r="AS450" s="253">
        <f t="shared" si="309"/>
        <v>6.5268675488322958E-4</v>
      </c>
      <c r="AT450" s="253">
        <f t="shared" si="300"/>
        <v>8.1999999999999857E-4</v>
      </c>
      <c r="AU450" s="255">
        <f t="shared" si="288"/>
        <v>8.1999999999999851E-2</v>
      </c>
      <c r="AW450" s="258">
        <f>(((IF($S$5&lt;&gt;0,$S$5,IF($S$6&lt;&gt;0,$S$6,IF($S$7&lt;&gt;0,$S$7,0))))/(12*$S$19))+(((3*$S$15)/(2*(IF($S$5&lt;&gt;0,$S$5,IF($S$6&lt;&gt;0,$S$6,IF($S$7&lt;&gt;0,$S$7,0))))*$U$5*$S$19))*'IN-OUT'!$F$14))*'Burland damage classification'!BA450</f>
        <v>1.0347950416153997E-2</v>
      </c>
      <c r="AX450" s="353">
        <f>(1+(((IF($S$5&lt;&gt;0,$S$5^2,IF($S$6&lt;&gt;0,$S$6^2,IF($S$7&lt;&gt;0,$S$7^2))))*$U$5)/(18*$S$15))*('IN-OUT'!$F$14^(-1)))*BB450</f>
        <v>1.7003815834324882E-3</v>
      </c>
      <c r="AY450" s="254">
        <f t="shared" si="277"/>
        <v>1.7003815834324882E-3</v>
      </c>
      <c r="AZ450" s="254">
        <f t="shared" si="289"/>
        <v>0.17003815834324881</v>
      </c>
      <c r="BA450" s="254">
        <f t="shared" si="301"/>
        <v>1.1799999999999905E-3</v>
      </c>
      <c r="BB450" s="270">
        <f t="shared" si="278"/>
        <v>1.6887865466067645E-3</v>
      </c>
      <c r="BC450" s="253">
        <f t="shared" si="302"/>
        <v>8.1999999999999857E-4</v>
      </c>
      <c r="BD450" s="255">
        <f t="shared" si="290"/>
        <v>8.1999999999999851E-2</v>
      </c>
      <c r="BI450" s="248"/>
      <c r="BX450" s="351" t="e">
        <f>((((IF($T$5=0,$T$6,$T$5)))/(12*$T$19))+(((3*$T$15)/(2*IF($T$5=0,$T$6,$T$5)*$U$5*$T$19))*'IN-OUT'!$F$14))*'Burland damage classification'!CB450</f>
        <v>#DIV/0!</v>
      </c>
      <c r="BY450" s="352">
        <f>(1+(((IF($T$5=0,$T$6^2,$T$5^2))*$U$5)/(18*$T$15))*('IN-OUT'!$F$14^(-1)))*CC450</f>
        <v>6.5268675488322958E-4</v>
      </c>
      <c r="BZ450" s="254" t="e">
        <f t="shared" si="281"/>
        <v>#DIV/0!</v>
      </c>
      <c r="CA450" s="254" t="e">
        <f t="shared" si="293"/>
        <v>#DIV/0!</v>
      </c>
      <c r="CB450" s="254">
        <f t="shared" si="305"/>
        <v>1.8000000000000172E-4</v>
      </c>
      <c r="CC450" s="253">
        <f t="shared" si="310"/>
        <v>6.5268675488322958E-4</v>
      </c>
      <c r="CD450" s="253">
        <f t="shared" si="306"/>
        <v>8.1999999999999857E-4</v>
      </c>
      <c r="CE450" s="255">
        <f t="shared" si="294"/>
        <v>8.1999999999999851E-2</v>
      </c>
      <c r="CG450" s="351" t="e">
        <f>((((IF($T$5=0,$T$6,$T$5)))/(12*$T$19))+(((3*$T$15)/(2*IF($T$5=0,$T$6,$T$5)*$U$5*$T$19))*'IN-OUT'!$F$14))*'Burland damage classification'!CK450</f>
        <v>#DIV/0!</v>
      </c>
      <c r="CH450" s="352">
        <f>(1+(((IF($T$5=0,$T$6^2,$T$5^2))*$U$5)/(18*$T$15))*('IN-OUT'!$F$14^(-1)))*CL450</f>
        <v>1.6887865466067645E-3</v>
      </c>
      <c r="CI450" s="254" t="e">
        <f t="shared" si="283"/>
        <v>#DIV/0!</v>
      </c>
      <c r="CJ450" s="254" t="e">
        <f t="shared" si="295"/>
        <v>#DIV/0!</v>
      </c>
      <c r="CK450" s="254">
        <f t="shared" si="307"/>
        <v>1.1799999999999905E-3</v>
      </c>
      <c r="CL450" s="270">
        <f t="shared" si="284"/>
        <v>1.6887865466067645E-3</v>
      </c>
      <c r="CM450" s="253">
        <f t="shared" si="308"/>
        <v>8.1999999999999857E-4</v>
      </c>
      <c r="CN450" s="255">
        <f t="shared" si="296"/>
        <v>8.1999999999999851E-2</v>
      </c>
    </row>
    <row r="451" spans="40:92">
      <c r="AN451" s="258">
        <f>(((IF($S$5&lt;&gt;0,$S$5,IF($S$6&lt;&gt;0,$S$6,IF($S$7&lt;&gt;0,$S$7,0))))/(12*$S$19))+(((3*$S$15)/(2*(IF($S$5&lt;&gt;0,$S$5,IF($S$6&lt;&gt;0,$S$6,IF($S$7&lt;&gt;0,$S$7,0))))*$U$5*$S$19))*'IN-OUT'!$F$14))*'Burland damage classification'!AR451</f>
        <v>1.5200379142373374E-3</v>
      </c>
      <c r="AO451" s="353">
        <f>(1+(((IF($S$5&lt;&gt;0,$S$5^2,IF($S$6&lt;&gt;0,$S$6^2,IF($S$7&lt;&gt;0,$S$7^2))))*$U$5)/(18*$S$15))*('IN-OUT'!$F$14^(-1)))*AS451</f>
        <v>6.5355861170214189E-4</v>
      </c>
      <c r="AP451" s="254">
        <f t="shared" si="275"/>
        <v>6.5355861170214189E-4</v>
      </c>
      <c r="AQ451" s="254">
        <f t="shared" si="287"/>
        <v>6.5355861170214191E-2</v>
      </c>
      <c r="AR451" s="254">
        <f t="shared" si="299"/>
        <v>1.7333333333333504E-4</v>
      </c>
      <c r="AS451" s="253">
        <f t="shared" si="309"/>
        <v>6.4910194371403196E-4</v>
      </c>
      <c r="AT451" s="253">
        <f t="shared" si="300"/>
        <v>8.2666666666666522E-4</v>
      </c>
      <c r="AU451" s="255">
        <f t="shared" si="288"/>
        <v>8.2666666666666527E-2</v>
      </c>
      <c r="AW451" s="258">
        <f>(((IF($S$5&lt;&gt;0,$S$5,IF($S$6&lt;&gt;0,$S$6,IF($S$7&lt;&gt;0,$S$7,0))))/(12*$S$19))+(((3*$S$15)/(2*(IF($S$5&lt;&gt;0,$S$5,IF($S$6&lt;&gt;0,$S$6,IF($S$7&lt;&gt;0,$S$7,0))))*$U$5*$S$19))*'IN-OUT'!$F$14))*'Burland damage classification'!BA451</f>
        <v>1.0289487419452561E-2</v>
      </c>
      <c r="AX451" s="353">
        <f>(1+(((IF($S$5&lt;&gt;0,$S$5^2,IF($S$6&lt;&gt;0,$S$6^2,IF($S$7&lt;&gt;0,$S$7^2))))*$U$5)/(18*$S$15))*('IN-OUT'!$F$14^(-1)))*BB451</f>
        <v>1.6975970053366397E-3</v>
      </c>
      <c r="AY451" s="254">
        <f t="shared" si="277"/>
        <v>1.6975970053366397E-3</v>
      </c>
      <c r="AZ451" s="254">
        <f t="shared" si="289"/>
        <v>0.16975970053366396</v>
      </c>
      <c r="BA451" s="254">
        <f t="shared" si="301"/>
        <v>1.1733333333333238E-3</v>
      </c>
      <c r="BB451" s="270">
        <f t="shared" si="278"/>
        <v>1.6860209567697161E-3</v>
      </c>
      <c r="BC451" s="253">
        <f t="shared" si="302"/>
        <v>8.2666666666666522E-4</v>
      </c>
      <c r="BD451" s="255">
        <f t="shared" si="290"/>
        <v>8.2666666666666527E-2</v>
      </c>
      <c r="BI451" s="248"/>
      <c r="BX451" s="351" t="e">
        <f>((((IF($T$5=0,$T$6,$T$5)))/(12*$T$19))+(((3*$T$15)/(2*IF($T$5=0,$T$6,$T$5)*$U$5*$T$19))*'IN-OUT'!$F$14))*'Burland damage classification'!CB451</f>
        <v>#DIV/0!</v>
      </c>
      <c r="BY451" s="352">
        <f>(1+(((IF($T$5=0,$T$6^2,$T$5^2))*$U$5)/(18*$T$15))*('IN-OUT'!$F$14^(-1)))*CC451</f>
        <v>6.4910194371403196E-4</v>
      </c>
      <c r="BZ451" s="254" t="e">
        <f t="shared" si="281"/>
        <v>#DIV/0!</v>
      </c>
      <c r="CA451" s="254" t="e">
        <f t="shared" si="293"/>
        <v>#DIV/0!</v>
      </c>
      <c r="CB451" s="254">
        <f t="shared" si="305"/>
        <v>1.7333333333333504E-4</v>
      </c>
      <c r="CC451" s="253">
        <f t="shared" si="310"/>
        <v>6.4910194371403196E-4</v>
      </c>
      <c r="CD451" s="253">
        <f t="shared" si="306"/>
        <v>8.2666666666666522E-4</v>
      </c>
      <c r="CE451" s="255">
        <f t="shared" si="294"/>
        <v>8.2666666666666527E-2</v>
      </c>
      <c r="CG451" s="351" t="e">
        <f>((((IF($T$5=0,$T$6,$T$5)))/(12*$T$19))+(((3*$T$15)/(2*IF($T$5=0,$T$6,$T$5)*$U$5*$T$19))*'IN-OUT'!$F$14))*'Burland damage classification'!CK451</f>
        <v>#DIV/0!</v>
      </c>
      <c r="CH451" s="352">
        <f>(1+(((IF($T$5=0,$T$6^2,$T$5^2))*$U$5)/(18*$T$15))*('IN-OUT'!$F$14^(-1)))*CL451</f>
        <v>1.6860209567697161E-3</v>
      </c>
      <c r="CI451" s="254" t="e">
        <f t="shared" si="283"/>
        <v>#DIV/0!</v>
      </c>
      <c r="CJ451" s="254" t="e">
        <f t="shared" si="295"/>
        <v>#DIV/0!</v>
      </c>
      <c r="CK451" s="254">
        <f t="shared" si="307"/>
        <v>1.1733333333333238E-3</v>
      </c>
      <c r="CL451" s="270">
        <f t="shared" si="284"/>
        <v>1.6860209567697161E-3</v>
      </c>
      <c r="CM451" s="253">
        <f t="shared" si="308"/>
        <v>8.2666666666666522E-4</v>
      </c>
      <c r="CN451" s="255">
        <f t="shared" si="296"/>
        <v>8.2666666666666527E-2</v>
      </c>
    </row>
    <row r="452" spans="40:92">
      <c r="AN452" s="258">
        <f>(((IF($S$5&lt;&gt;0,$S$5,IF($S$6&lt;&gt;0,$S$6,IF($S$7&lt;&gt;0,$S$7,0))))/(12*$S$19))+(((3*$S$15)/(2*(IF($S$5&lt;&gt;0,$S$5,IF($S$6&lt;&gt;0,$S$6,IF($S$7&lt;&gt;0,$S$7,0))))*$U$5*$S$19))*'IN-OUT'!$F$14))*'Burland damage classification'!AR452</f>
        <v>1.4615749175359018E-3</v>
      </c>
      <c r="AO452" s="353">
        <f>(1+(((IF($S$5&lt;&gt;0,$S$5^2,IF($S$6&lt;&gt;0,$S$6^2,IF($S$7&lt;&gt;0,$S$7^2))))*$U$5)/(18*$S$15))*('IN-OUT'!$F$14^(-1)))*AS452</f>
        <v>6.4992914271927069E-4</v>
      </c>
      <c r="AP452" s="254">
        <f t="shared" si="275"/>
        <v>6.4992914271927069E-4</v>
      </c>
      <c r="AQ452" s="254">
        <f t="shared" si="287"/>
        <v>6.4992914271927063E-2</v>
      </c>
      <c r="AR452" s="254">
        <f t="shared" si="299"/>
        <v>1.6666666666666837E-4</v>
      </c>
      <c r="AS452" s="253">
        <f t="shared" si="309"/>
        <v>6.4549722436790357E-4</v>
      </c>
      <c r="AT452" s="253">
        <f t="shared" si="300"/>
        <v>8.3333333333333187E-4</v>
      </c>
      <c r="AU452" s="255">
        <f t="shared" si="288"/>
        <v>8.333333333333319E-2</v>
      </c>
      <c r="AW452" s="258">
        <f>(((IF($S$5&lt;&gt;0,$S$5,IF($S$6&lt;&gt;0,$S$6,IF($S$7&lt;&gt;0,$S$7,0))))/(12*$S$19))+(((3*$S$15)/(2*(IF($S$5&lt;&gt;0,$S$5,IF($S$6&lt;&gt;0,$S$6,IF($S$7&lt;&gt;0,$S$7,0))))*$U$5*$S$19))*'IN-OUT'!$F$14))*'Burland damage classification'!BA452</f>
        <v>1.0231024422751124E-2</v>
      </c>
      <c r="AX452" s="353">
        <f>(1+(((IF($S$5&lt;&gt;0,$S$5^2,IF($S$6&lt;&gt;0,$S$6^2,IF($S$7&lt;&gt;0,$S$7^2))))*$U$5)/(18*$S$15))*('IN-OUT'!$F$14^(-1)))*BB452</f>
        <v>1.6948078521707047E-3</v>
      </c>
      <c r="AY452" s="254">
        <f t="shared" si="277"/>
        <v>1.6948078521707047E-3</v>
      </c>
      <c r="AZ452" s="254">
        <f t="shared" si="289"/>
        <v>0.16948078521707047</v>
      </c>
      <c r="BA452" s="254">
        <f t="shared" si="301"/>
        <v>1.166666666666657E-3</v>
      </c>
      <c r="BB452" s="270">
        <f t="shared" si="278"/>
        <v>1.6832508230603469E-3</v>
      </c>
      <c r="BC452" s="253">
        <f t="shared" si="302"/>
        <v>8.3333333333333187E-4</v>
      </c>
      <c r="BD452" s="255">
        <f t="shared" si="290"/>
        <v>8.333333333333319E-2</v>
      </c>
      <c r="BI452" s="248"/>
      <c r="BX452" s="351" t="e">
        <f>((((IF($T$5=0,$T$6,$T$5)))/(12*$T$19))+(((3*$T$15)/(2*IF($T$5=0,$T$6,$T$5)*$U$5*$T$19))*'IN-OUT'!$F$14))*'Burland damage classification'!CB452</f>
        <v>#DIV/0!</v>
      </c>
      <c r="BY452" s="352">
        <f>(1+(((IF($T$5=0,$T$6^2,$T$5^2))*$U$5)/(18*$T$15))*('IN-OUT'!$F$14^(-1)))*CC452</f>
        <v>6.4549722436790357E-4</v>
      </c>
      <c r="BZ452" s="254" t="e">
        <f t="shared" si="281"/>
        <v>#DIV/0!</v>
      </c>
      <c r="CA452" s="254" t="e">
        <f t="shared" si="293"/>
        <v>#DIV/0!</v>
      </c>
      <c r="CB452" s="254">
        <f t="shared" si="305"/>
        <v>1.6666666666666837E-4</v>
      </c>
      <c r="CC452" s="253">
        <f t="shared" si="310"/>
        <v>6.4549722436790357E-4</v>
      </c>
      <c r="CD452" s="253">
        <f t="shared" si="306"/>
        <v>8.3333333333333187E-4</v>
      </c>
      <c r="CE452" s="255">
        <f t="shared" si="294"/>
        <v>8.333333333333319E-2</v>
      </c>
      <c r="CG452" s="351" t="e">
        <f>((((IF($T$5=0,$T$6,$T$5)))/(12*$T$19))+(((3*$T$15)/(2*IF($T$5=0,$T$6,$T$5)*$U$5*$T$19))*'IN-OUT'!$F$14))*'Burland damage classification'!CK452</f>
        <v>#DIV/0!</v>
      </c>
      <c r="CH452" s="352">
        <f>(1+(((IF($T$5=0,$T$6^2,$T$5^2))*$U$5)/(18*$T$15))*('IN-OUT'!$F$14^(-1)))*CL452</f>
        <v>1.6832508230603469E-3</v>
      </c>
      <c r="CI452" s="254" t="e">
        <f t="shared" si="283"/>
        <v>#DIV/0!</v>
      </c>
      <c r="CJ452" s="254" t="e">
        <f t="shared" si="295"/>
        <v>#DIV/0!</v>
      </c>
      <c r="CK452" s="254">
        <f t="shared" si="307"/>
        <v>1.166666666666657E-3</v>
      </c>
      <c r="CL452" s="270">
        <f t="shared" si="284"/>
        <v>1.6832508230603469E-3</v>
      </c>
      <c r="CM452" s="253">
        <f t="shared" si="308"/>
        <v>8.3333333333333187E-4</v>
      </c>
      <c r="CN452" s="255">
        <f t="shared" si="296"/>
        <v>8.333333333333319E-2</v>
      </c>
    </row>
    <row r="453" spans="40:92">
      <c r="AN453" s="258">
        <f>(((IF($S$5&lt;&gt;0,$S$5,IF($S$6&lt;&gt;0,$S$6,IF($S$7&lt;&gt;0,$S$7,0))))/(12*$S$19))+(((3*$S$15)/(2*(IF($S$5&lt;&gt;0,$S$5,IF($S$6&lt;&gt;0,$S$6,IF($S$7&lt;&gt;0,$S$7,0))))*$U$5*$S$19))*'IN-OUT'!$F$14))*'Burland damage classification'!AR453</f>
        <v>1.4031119208344663E-3</v>
      </c>
      <c r="AO453" s="353">
        <f>(1+(((IF($S$5&lt;&gt;0,$S$5^2,IF($S$6&lt;&gt;0,$S$6^2,IF($S$7&lt;&gt;0,$S$7^2))))*$U$5)/(18*$S$15))*('IN-OUT'!$F$14^(-1)))*AS453</f>
        <v>6.4627929115946539E-4</v>
      </c>
      <c r="AP453" s="254">
        <f t="shared" si="275"/>
        <v>6.4627929115946539E-4</v>
      </c>
      <c r="AQ453" s="254">
        <f t="shared" si="287"/>
        <v>6.4627929115946545E-2</v>
      </c>
      <c r="AR453" s="254">
        <f t="shared" si="299"/>
        <v>1.6000000000000169E-4</v>
      </c>
      <c r="AS453" s="253">
        <f t="shared" si="309"/>
        <v>6.4187226143524925E-4</v>
      </c>
      <c r="AT453" s="253">
        <f t="shared" si="300"/>
        <v>8.3999999999999852E-4</v>
      </c>
      <c r="AU453" s="255">
        <f t="shared" si="288"/>
        <v>8.3999999999999853E-2</v>
      </c>
      <c r="AW453" s="258">
        <f>(((IF($S$5&lt;&gt;0,$S$5,IF($S$6&lt;&gt;0,$S$6,IF($S$7&lt;&gt;0,$S$7,0))))/(12*$S$19))+(((3*$S$15)/(2*(IF($S$5&lt;&gt;0,$S$5,IF($S$6&lt;&gt;0,$S$6,IF($S$7&lt;&gt;0,$S$7,0))))*$U$5*$S$19))*'IN-OUT'!$F$14))*'Burland damage classification'!BA453</f>
        <v>1.0172561426049689E-2</v>
      </c>
      <c r="AX453" s="353">
        <f>(1+(((IF($S$5&lt;&gt;0,$S$5^2,IF($S$6&lt;&gt;0,$S$6^2,IF($S$7&lt;&gt;0,$S$7^2))))*$U$5)/(18*$S$15))*('IN-OUT'!$F$14^(-1)))*BB453</f>
        <v>1.6920141013097457E-3</v>
      </c>
      <c r="AY453" s="254">
        <f t="shared" si="277"/>
        <v>1.6920141013097457E-3</v>
      </c>
      <c r="AZ453" s="254">
        <f t="shared" si="289"/>
        <v>0.16920141013097456</v>
      </c>
      <c r="BA453" s="254">
        <f t="shared" si="301"/>
        <v>1.1599999999999902E-3</v>
      </c>
      <c r="BB453" s="270">
        <f t="shared" si="278"/>
        <v>1.6804761230080009E-3</v>
      </c>
      <c r="BC453" s="253">
        <f t="shared" si="302"/>
        <v>8.3999999999999852E-4</v>
      </c>
      <c r="BD453" s="255">
        <f t="shared" si="290"/>
        <v>8.3999999999999853E-2</v>
      </c>
      <c r="BI453" s="248"/>
      <c r="BX453" s="351" t="e">
        <f>((((IF($T$5=0,$T$6,$T$5)))/(12*$T$19))+(((3*$T$15)/(2*IF($T$5=0,$T$6,$T$5)*$U$5*$T$19))*'IN-OUT'!$F$14))*'Burland damage classification'!CB453</f>
        <v>#DIV/0!</v>
      </c>
      <c r="BY453" s="352">
        <f>(1+(((IF($T$5=0,$T$6^2,$T$5^2))*$U$5)/(18*$T$15))*('IN-OUT'!$F$14^(-1)))*CC453</f>
        <v>6.4187226143524925E-4</v>
      </c>
      <c r="BZ453" s="254" t="e">
        <f t="shared" si="281"/>
        <v>#DIV/0!</v>
      </c>
      <c r="CA453" s="254" t="e">
        <f t="shared" si="293"/>
        <v>#DIV/0!</v>
      </c>
      <c r="CB453" s="254">
        <f t="shared" si="305"/>
        <v>1.6000000000000169E-4</v>
      </c>
      <c r="CC453" s="253">
        <f t="shared" si="310"/>
        <v>6.4187226143524925E-4</v>
      </c>
      <c r="CD453" s="253">
        <f t="shared" si="306"/>
        <v>8.3999999999999852E-4</v>
      </c>
      <c r="CE453" s="255">
        <f t="shared" si="294"/>
        <v>8.3999999999999853E-2</v>
      </c>
      <c r="CG453" s="351" t="e">
        <f>((((IF($T$5=0,$T$6,$T$5)))/(12*$T$19))+(((3*$T$15)/(2*IF($T$5=0,$T$6,$T$5)*$U$5*$T$19))*'IN-OUT'!$F$14))*'Burland damage classification'!CK453</f>
        <v>#DIV/0!</v>
      </c>
      <c r="CH453" s="352">
        <f>(1+(((IF($T$5=0,$T$6^2,$T$5^2))*$U$5)/(18*$T$15))*('IN-OUT'!$F$14^(-1)))*CL453</f>
        <v>1.6804761230080009E-3</v>
      </c>
      <c r="CI453" s="254" t="e">
        <f t="shared" si="283"/>
        <v>#DIV/0!</v>
      </c>
      <c r="CJ453" s="254" t="e">
        <f t="shared" si="295"/>
        <v>#DIV/0!</v>
      </c>
      <c r="CK453" s="254">
        <f t="shared" si="307"/>
        <v>1.1599999999999902E-3</v>
      </c>
      <c r="CL453" s="270">
        <f t="shared" si="284"/>
        <v>1.6804761230080009E-3</v>
      </c>
      <c r="CM453" s="253">
        <f t="shared" si="308"/>
        <v>8.3999999999999852E-4</v>
      </c>
      <c r="CN453" s="255">
        <f t="shared" si="296"/>
        <v>8.3999999999999853E-2</v>
      </c>
    </row>
    <row r="454" spans="40:92">
      <c r="AN454" s="258">
        <f>(((IF($S$5&lt;&gt;0,$S$5,IF($S$6&lt;&gt;0,$S$6,IF($S$7&lt;&gt;0,$S$7,0))))/(12*$S$19))+(((3*$S$15)/(2*(IF($S$5&lt;&gt;0,$S$5,IF($S$6&lt;&gt;0,$S$6,IF($S$7&lt;&gt;0,$S$7,0))))*$U$5*$S$19))*'IN-OUT'!$F$14))*'Burland damage classification'!AR454</f>
        <v>1.3446489241330309E-3</v>
      </c>
      <c r="AO454" s="353">
        <f>(1+(((IF($S$5&lt;&gt;0,$S$5^2,IF($S$6&lt;&gt;0,$S$6^2,IF($S$7&lt;&gt;0,$S$7^2))))*$U$5)/(18*$S$15))*('IN-OUT'!$F$14^(-1)))*AS454</f>
        <v>6.4260870971949652E-4</v>
      </c>
      <c r="AP454" s="254">
        <f t="shared" si="275"/>
        <v>6.4260870971949652E-4</v>
      </c>
      <c r="AQ454" s="254">
        <f t="shared" si="287"/>
        <v>6.4260870971949657E-2</v>
      </c>
      <c r="AR454" s="254">
        <f t="shared" si="299"/>
        <v>1.5333333333333502E-4</v>
      </c>
      <c r="AS454" s="253">
        <f t="shared" si="309"/>
        <v>6.3822670998112758E-4</v>
      </c>
      <c r="AT454" s="253">
        <f t="shared" si="300"/>
        <v>8.4666666666666516E-4</v>
      </c>
      <c r="AU454" s="255">
        <f t="shared" si="288"/>
        <v>8.4666666666666515E-2</v>
      </c>
      <c r="AW454" s="258">
        <f>(((IF($S$5&lt;&gt;0,$S$5,IF($S$6&lt;&gt;0,$S$6,IF($S$7&lt;&gt;0,$S$7,0))))/(12*$S$19))+(((3*$S$15)/(2*(IF($S$5&lt;&gt;0,$S$5,IF($S$6&lt;&gt;0,$S$6,IF($S$7&lt;&gt;0,$S$7,0))))*$U$5*$S$19))*'IN-OUT'!$F$14))*'Burland damage classification'!BA454</f>
        <v>1.0114098429348252E-2</v>
      </c>
      <c r="AX454" s="353">
        <f>(1+(((IF($S$5&lt;&gt;0,$S$5^2,IF($S$6&lt;&gt;0,$S$6^2,IF($S$7&lt;&gt;0,$S$7^2))))*$U$5)/(18*$S$15))*('IN-OUT'!$F$14^(-1)))*BB454</f>
        <v>1.6892157299417314E-3</v>
      </c>
      <c r="AY454" s="254">
        <f t="shared" si="277"/>
        <v>1.6892157299417314E-3</v>
      </c>
      <c r="AZ454" s="254">
        <f t="shared" si="289"/>
        <v>0.16892157299417315</v>
      </c>
      <c r="BA454" s="254">
        <f t="shared" si="301"/>
        <v>1.1533333333333235E-3</v>
      </c>
      <c r="BB454" s="270">
        <f t="shared" si="278"/>
        <v>1.6776968339562034E-3</v>
      </c>
      <c r="BC454" s="253">
        <f t="shared" si="302"/>
        <v>8.4666666666666516E-4</v>
      </c>
      <c r="BD454" s="255">
        <f t="shared" si="290"/>
        <v>8.4666666666666515E-2</v>
      </c>
      <c r="BI454" s="248"/>
      <c r="BX454" s="351" t="e">
        <f>((((IF($T$5=0,$T$6,$T$5)))/(12*$T$19))+(((3*$T$15)/(2*IF($T$5=0,$T$6,$T$5)*$U$5*$T$19))*'IN-OUT'!$F$14))*'Burland damage classification'!CB454</f>
        <v>#DIV/0!</v>
      </c>
      <c r="BY454" s="352">
        <f>(1+(((IF($T$5=0,$T$6^2,$T$5^2))*$U$5)/(18*$T$15))*('IN-OUT'!$F$14^(-1)))*CC454</f>
        <v>6.3822670998112758E-4</v>
      </c>
      <c r="BZ454" s="254" t="e">
        <f t="shared" si="281"/>
        <v>#DIV/0!</v>
      </c>
      <c r="CA454" s="254" t="e">
        <f t="shared" si="293"/>
        <v>#DIV/0!</v>
      </c>
      <c r="CB454" s="254">
        <f t="shared" si="305"/>
        <v>1.5333333333333502E-4</v>
      </c>
      <c r="CC454" s="253">
        <f t="shared" si="310"/>
        <v>6.3822670998112758E-4</v>
      </c>
      <c r="CD454" s="253">
        <f t="shared" si="306"/>
        <v>8.4666666666666516E-4</v>
      </c>
      <c r="CE454" s="255">
        <f t="shared" si="294"/>
        <v>8.4666666666666515E-2</v>
      </c>
      <c r="CG454" s="351" t="e">
        <f>((((IF($T$5=0,$T$6,$T$5)))/(12*$T$19))+(((3*$T$15)/(2*IF($T$5=0,$T$6,$T$5)*$U$5*$T$19))*'IN-OUT'!$F$14))*'Burland damage classification'!CK454</f>
        <v>#DIV/0!</v>
      </c>
      <c r="CH454" s="352">
        <f>(1+(((IF($T$5=0,$T$6^2,$T$5^2))*$U$5)/(18*$T$15))*('IN-OUT'!$F$14^(-1)))*CL454</f>
        <v>1.6776968339562034E-3</v>
      </c>
      <c r="CI454" s="254" t="e">
        <f t="shared" si="283"/>
        <v>#DIV/0!</v>
      </c>
      <c r="CJ454" s="254" t="e">
        <f t="shared" si="295"/>
        <v>#DIV/0!</v>
      </c>
      <c r="CK454" s="254">
        <f t="shared" si="307"/>
        <v>1.1533333333333235E-3</v>
      </c>
      <c r="CL454" s="270">
        <f t="shared" si="284"/>
        <v>1.6776968339562034E-3</v>
      </c>
      <c r="CM454" s="253">
        <f t="shared" si="308"/>
        <v>8.4666666666666516E-4</v>
      </c>
      <c r="CN454" s="255">
        <f t="shared" si="296"/>
        <v>8.4666666666666515E-2</v>
      </c>
    </row>
    <row r="455" spans="40:92">
      <c r="AN455" s="258">
        <f>(((IF($S$5&lt;&gt;0,$S$5,IF($S$6&lt;&gt;0,$S$6,IF($S$7&lt;&gt;0,$S$7,0))))/(12*$S$19))+(((3*$S$15)/(2*(IF($S$5&lt;&gt;0,$S$5,IF($S$6&lt;&gt;0,$S$6,IF($S$7&lt;&gt;0,$S$7,0))))*$U$5*$S$19))*'IN-OUT'!$F$14))*'Burland damage classification'!AR455</f>
        <v>1.2861859274315953E-3</v>
      </c>
      <c r="AO455" s="353">
        <f>(1+(((IF($S$5&lt;&gt;0,$S$5^2,IF($S$6&lt;&gt;0,$S$6^2,IF($S$7&lt;&gt;0,$S$7^2))))*$U$5)/(18*$S$15))*('IN-OUT'!$F$14^(-1)))*AS455</f>
        <v>6.3891704111968342E-4</v>
      </c>
      <c r="AP455" s="254">
        <f t="shared" ref="AP455:AP477" si="311">MIN(AN455,AO455)</f>
        <v>6.3891704111968342E-4</v>
      </c>
      <c r="AQ455" s="254">
        <f t="shared" si="287"/>
        <v>6.3891704111968345E-2</v>
      </c>
      <c r="AR455" s="254">
        <f t="shared" si="299"/>
        <v>1.4666666666666834E-4</v>
      </c>
      <c r="AS455" s="253">
        <f t="shared" ref="AS455:AS477" si="312">($P$27^2-(2*0.35*$P$27*AT455))^0.5</f>
        <v>6.3456021516217654E-4</v>
      </c>
      <c r="AT455" s="253">
        <f t="shared" si="300"/>
        <v>8.5333333333333181E-4</v>
      </c>
      <c r="AU455" s="255">
        <f t="shared" si="288"/>
        <v>8.5333333333333178E-2</v>
      </c>
      <c r="AW455" s="258">
        <f>(((IF($S$5&lt;&gt;0,$S$5,IF($S$6&lt;&gt;0,$S$6,IF($S$7&lt;&gt;0,$S$7,0))))/(12*$S$19))+(((3*$S$15)/(2*(IF($S$5&lt;&gt;0,$S$5,IF($S$6&lt;&gt;0,$S$6,IF($S$7&lt;&gt;0,$S$7,0))))*$U$5*$S$19))*'IN-OUT'!$F$14))*'Burland damage classification'!BA455</f>
        <v>1.0055635432646814E-2</v>
      </c>
      <c r="AX455" s="353">
        <f>(1+(((IF($S$5&lt;&gt;0,$S$5^2,IF($S$6&lt;&gt;0,$S$6^2,IF($S$7&lt;&gt;0,$S$7^2))))*$U$5)/(18*$S$15))*('IN-OUT'!$F$14^(-1)))*BB455</f>
        <v>1.6864127150653624E-3</v>
      </c>
      <c r="AY455" s="254">
        <f t="shared" ref="AY455:AY518" si="313">MIN(AW455,AX455)</f>
        <v>1.6864127150653624E-3</v>
      </c>
      <c r="AZ455" s="254">
        <f t="shared" si="289"/>
        <v>0.16864127150653624</v>
      </c>
      <c r="BA455" s="254">
        <f t="shared" si="301"/>
        <v>1.1466666666666567E-3</v>
      </c>
      <c r="BB455" s="270">
        <f t="shared" ref="BB455:BB518" si="314">($P$28^2-(2*0.35*$P$28*BC455))^0.5</f>
        <v>1.6749129330605025E-3</v>
      </c>
      <c r="BC455" s="253">
        <f t="shared" si="302"/>
        <v>8.5333333333333181E-4</v>
      </c>
      <c r="BD455" s="255">
        <f t="shared" si="290"/>
        <v>8.5333333333333178E-2</v>
      </c>
      <c r="BI455" s="248"/>
      <c r="BX455" s="351" t="e">
        <f>((((IF($T$5=0,$T$6,$T$5)))/(12*$T$19))+(((3*$T$15)/(2*IF($T$5=0,$T$6,$T$5)*$U$5*$T$19))*'IN-OUT'!$F$14))*'Burland damage classification'!CB455</f>
        <v>#DIV/0!</v>
      </c>
      <c r="BY455" s="352">
        <f>(1+(((IF($T$5=0,$T$6^2,$T$5^2))*$U$5)/(18*$T$15))*('IN-OUT'!$F$14^(-1)))*CC455</f>
        <v>6.3456021516217654E-4</v>
      </c>
      <c r="BZ455" s="254" t="e">
        <f t="shared" ref="BZ455:BZ477" si="315">MIN(BX455,BY455)</f>
        <v>#DIV/0!</v>
      </c>
      <c r="CA455" s="254" t="e">
        <f t="shared" si="293"/>
        <v>#DIV/0!</v>
      </c>
      <c r="CB455" s="254">
        <f t="shared" si="305"/>
        <v>1.4666666666666834E-4</v>
      </c>
      <c r="CC455" s="253">
        <f t="shared" ref="CC455:CC477" si="316">($P$27^2-(2*0.35*$P$27*CD455))^0.5</f>
        <v>6.3456021516217654E-4</v>
      </c>
      <c r="CD455" s="253">
        <f t="shared" si="306"/>
        <v>8.5333333333333181E-4</v>
      </c>
      <c r="CE455" s="255">
        <f t="shared" si="294"/>
        <v>8.5333333333333178E-2</v>
      </c>
      <c r="CG455" s="351" t="e">
        <f>((((IF($T$5=0,$T$6,$T$5)))/(12*$T$19))+(((3*$T$15)/(2*IF($T$5=0,$T$6,$T$5)*$U$5*$T$19))*'IN-OUT'!$F$14))*'Burland damage classification'!CK455</f>
        <v>#DIV/0!</v>
      </c>
      <c r="CH455" s="352">
        <f>(1+(((IF($T$5=0,$T$6^2,$T$5^2))*$U$5)/(18*$T$15))*('IN-OUT'!$F$14^(-1)))*CL455</f>
        <v>1.6749129330605025E-3</v>
      </c>
      <c r="CI455" s="254" t="e">
        <f t="shared" ref="CI455:CI518" si="317">MIN(CG455,CH455)</f>
        <v>#DIV/0!</v>
      </c>
      <c r="CJ455" s="254" t="e">
        <f t="shared" si="295"/>
        <v>#DIV/0!</v>
      </c>
      <c r="CK455" s="254">
        <f t="shared" si="307"/>
        <v>1.1466666666666567E-3</v>
      </c>
      <c r="CL455" s="270">
        <f t="shared" ref="CL455:CL518" si="318">($P$28^2-(2*0.35*$P$28*CM455))^0.5</f>
        <v>1.6749129330605025E-3</v>
      </c>
      <c r="CM455" s="253">
        <f t="shared" si="308"/>
        <v>8.5333333333333181E-4</v>
      </c>
      <c r="CN455" s="255">
        <f t="shared" si="296"/>
        <v>8.5333333333333178E-2</v>
      </c>
    </row>
    <row r="456" spans="40:92">
      <c r="AN456" s="258">
        <f>(((IF($S$5&lt;&gt;0,$S$5,IF($S$6&lt;&gt;0,$S$6,IF($S$7&lt;&gt;0,$S$7,0))))/(12*$S$19))+(((3*$S$15)/(2*(IF($S$5&lt;&gt;0,$S$5,IF($S$6&lt;&gt;0,$S$6,IF($S$7&lt;&gt;0,$S$7,0))))*$U$5*$S$19))*'IN-OUT'!$F$14))*'Burland damage classification'!AR456</f>
        <v>1.2277229307301597E-3</v>
      </c>
      <c r="AO456" s="353">
        <f>(1+(((IF($S$5&lt;&gt;0,$S$5^2,IF($S$6&lt;&gt;0,$S$6^2,IF($S$7&lt;&gt;0,$S$7^2))))*$U$5)/(18*$S$15))*('IN-OUT'!$F$14^(-1)))*AS456</f>
        <v>6.3520391769801457E-4</v>
      </c>
      <c r="AP456" s="254">
        <f t="shared" si="311"/>
        <v>6.3520391769801457E-4</v>
      </c>
      <c r="AQ456" s="254">
        <f t="shared" ref="AQ456:AQ477" si="319">AP456*100</f>
        <v>6.3520391769801454E-2</v>
      </c>
      <c r="AR456" s="254">
        <f t="shared" si="299"/>
        <v>1.4000000000000167E-4</v>
      </c>
      <c r="AS456" s="253">
        <f t="shared" si="312"/>
        <v>6.3087241182350096E-4</v>
      </c>
      <c r="AT456" s="253">
        <f t="shared" si="300"/>
        <v>8.5999999999999846E-4</v>
      </c>
      <c r="AU456" s="255">
        <f t="shared" ref="AU456:AU477" si="320">AT456*100</f>
        <v>8.599999999999984E-2</v>
      </c>
      <c r="AW456" s="258">
        <f>(((IF($S$5&lt;&gt;0,$S$5,IF($S$6&lt;&gt;0,$S$6,IF($S$7&lt;&gt;0,$S$7,0))))/(12*$S$19))+(((3*$S$15)/(2*(IF($S$5&lt;&gt;0,$S$5,IF($S$6&lt;&gt;0,$S$6,IF($S$7&lt;&gt;0,$S$7,0))))*$U$5*$S$19))*'IN-OUT'!$F$14))*'Burland damage classification'!BA456</f>
        <v>9.9971724359453791E-3</v>
      </c>
      <c r="AX456" s="353">
        <f>(1+(((IF($S$5&lt;&gt;0,$S$5^2,IF($S$6&lt;&gt;0,$S$6^2,IF($S$7&lt;&gt;0,$S$7^2))))*$U$5)/(18*$S$15))*('IN-OUT'!$F$14^(-1)))*BB456</f>
        <v>1.6836050334878654E-3</v>
      </c>
      <c r="AY456" s="254">
        <f t="shared" si="313"/>
        <v>1.6836050334878654E-3</v>
      </c>
      <c r="AZ456" s="254">
        <f t="shared" ref="AZ456:AZ519" si="321">AY456*100</f>
        <v>0.16836050334878655</v>
      </c>
      <c r="BA456" s="254">
        <f t="shared" si="301"/>
        <v>1.13999999999999E-3</v>
      </c>
      <c r="BB456" s="270">
        <f t="shared" si="314"/>
        <v>1.6721243972862791E-3</v>
      </c>
      <c r="BC456" s="253">
        <f t="shared" si="302"/>
        <v>8.5999999999999846E-4</v>
      </c>
      <c r="BD456" s="255">
        <f t="shared" ref="BD456:BD519" si="322">BC456*100</f>
        <v>8.599999999999984E-2</v>
      </c>
      <c r="BI456" s="248"/>
      <c r="BX456" s="351" t="e">
        <f>((((IF($T$5=0,$T$6,$T$5)))/(12*$T$19))+(((3*$T$15)/(2*IF($T$5=0,$T$6,$T$5)*$U$5*$T$19))*'IN-OUT'!$F$14))*'Burland damage classification'!CB456</f>
        <v>#DIV/0!</v>
      </c>
      <c r="BY456" s="352">
        <f>(1+(((IF($T$5=0,$T$6^2,$T$5^2))*$U$5)/(18*$T$15))*('IN-OUT'!$F$14^(-1)))*CC456</f>
        <v>6.3087241182350096E-4</v>
      </c>
      <c r="BZ456" s="254" t="e">
        <f t="shared" si="315"/>
        <v>#DIV/0!</v>
      </c>
      <c r="CA456" s="254" t="e">
        <f t="shared" ref="CA456:CA477" si="323">BZ456*100</f>
        <v>#DIV/0!</v>
      </c>
      <c r="CB456" s="254">
        <f t="shared" si="305"/>
        <v>1.4000000000000167E-4</v>
      </c>
      <c r="CC456" s="253">
        <f t="shared" si="316"/>
        <v>6.3087241182350096E-4</v>
      </c>
      <c r="CD456" s="253">
        <f t="shared" si="306"/>
        <v>8.5999999999999846E-4</v>
      </c>
      <c r="CE456" s="255">
        <f t="shared" ref="CE456:CE477" si="324">CD456*100</f>
        <v>8.599999999999984E-2</v>
      </c>
      <c r="CG456" s="351" t="e">
        <f>((((IF($T$5=0,$T$6,$T$5)))/(12*$T$19))+(((3*$T$15)/(2*IF($T$5=0,$T$6,$T$5)*$U$5*$T$19))*'IN-OUT'!$F$14))*'Burland damage classification'!CK456</f>
        <v>#DIV/0!</v>
      </c>
      <c r="CH456" s="352">
        <f>(1+(((IF($T$5=0,$T$6^2,$T$5^2))*$U$5)/(18*$T$15))*('IN-OUT'!$F$14^(-1)))*CL456</f>
        <v>1.6721243972862791E-3</v>
      </c>
      <c r="CI456" s="254" t="e">
        <f t="shared" si="317"/>
        <v>#DIV/0!</v>
      </c>
      <c r="CJ456" s="254" t="e">
        <f t="shared" ref="CJ456:CJ519" si="325">CI456*100</f>
        <v>#DIV/0!</v>
      </c>
      <c r="CK456" s="254">
        <f t="shared" si="307"/>
        <v>1.13999999999999E-3</v>
      </c>
      <c r="CL456" s="270">
        <f t="shared" si="318"/>
        <v>1.6721243972862791E-3</v>
      </c>
      <c r="CM456" s="253">
        <f t="shared" si="308"/>
        <v>8.5999999999999846E-4</v>
      </c>
      <c r="CN456" s="255">
        <f t="shared" ref="CN456:CN519" si="326">CM456*100</f>
        <v>8.599999999999984E-2</v>
      </c>
    </row>
    <row r="457" spans="40:92">
      <c r="AN457" s="258">
        <f>(((IF($S$5&lt;&gt;0,$S$5,IF($S$6&lt;&gt;0,$S$6,IF($S$7&lt;&gt;0,$S$7,0))))/(12*$S$19))+(((3*$S$15)/(2*(IF($S$5&lt;&gt;0,$S$5,IF($S$6&lt;&gt;0,$S$6,IF($S$7&lt;&gt;0,$S$7,0))))*$U$5*$S$19))*'IN-OUT'!$F$14))*'Burland damage classification'!AR457</f>
        <v>1.1692599340287241E-3</v>
      </c>
      <c r="AO457" s="353">
        <f>(1+(((IF($S$5&lt;&gt;0,$S$5^2,IF($S$6&lt;&gt;0,$S$6^2,IF($S$7&lt;&gt;0,$S$7^2))))*$U$5)/(18*$S$15))*('IN-OUT'!$F$14^(-1)))*AS457</f>
        <v>6.3146896098278732E-4</v>
      </c>
      <c r="AP457" s="254">
        <f t="shared" si="311"/>
        <v>6.3146896098278732E-4</v>
      </c>
      <c r="AQ457" s="254">
        <f t="shared" si="319"/>
        <v>6.3146896098278726E-2</v>
      </c>
      <c r="AR457" s="254">
        <f t="shared" ref="AR457:AR477" si="327">AR456-($P$27/150)</f>
        <v>1.3333333333333499E-4</v>
      </c>
      <c r="AS457" s="253">
        <f t="shared" si="312"/>
        <v>6.2716292407422676E-4</v>
      </c>
      <c r="AT457" s="253">
        <f t="shared" ref="AT457:AT477" si="328">AT456+($P$27/150)</f>
        <v>8.6666666666666511E-4</v>
      </c>
      <c r="AU457" s="255">
        <f t="shared" si="320"/>
        <v>8.6666666666666517E-2</v>
      </c>
      <c r="AW457" s="258">
        <f>(((IF($S$5&lt;&gt;0,$S$5,IF($S$6&lt;&gt;0,$S$6,IF($S$7&lt;&gt;0,$S$7,0))))/(12*$S$19))+(((3*$S$15)/(2*(IF($S$5&lt;&gt;0,$S$5,IF($S$6&lt;&gt;0,$S$6,IF($S$7&lt;&gt;0,$S$7,0))))*$U$5*$S$19))*'IN-OUT'!$F$14))*'Burland damage classification'!BA457</f>
        <v>9.938709439243942E-3</v>
      </c>
      <c r="AX457" s="353">
        <f>(1+(((IF($S$5&lt;&gt;0,$S$5^2,IF($S$6&lt;&gt;0,$S$6^2,IF($S$7&lt;&gt;0,$S$7^2))))*$U$5)/(18*$S$15))*('IN-OUT'!$F$14^(-1)))*BB457</f>
        <v>1.6807926618227565E-3</v>
      </c>
      <c r="AY457" s="254">
        <f t="shared" si="313"/>
        <v>1.6807926618227565E-3</v>
      </c>
      <c r="AZ457" s="254">
        <f t="shared" si="321"/>
        <v>0.16807926618227564</v>
      </c>
      <c r="BA457" s="254">
        <f t="shared" ref="BA457:BA520" si="329">BA456-($P$28/300)</f>
        <v>1.1333333333333232E-3</v>
      </c>
      <c r="BB457" s="270">
        <f t="shared" si="314"/>
        <v>1.6693312034065226E-3</v>
      </c>
      <c r="BC457" s="253">
        <f t="shared" ref="BC457:BC520" si="330">BC456+($P$28/300)</f>
        <v>8.6666666666666511E-4</v>
      </c>
      <c r="BD457" s="255">
        <f t="shared" si="322"/>
        <v>8.6666666666666517E-2</v>
      </c>
      <c r="BI457" s="248"/>
      <c r="BX457" s="351" t="e">
        <f>((((IF($T$5=0,$T$6,$T$5)))/(12*$T$19))+(((3*$T$15)/(2*IF($T$5=0,$T$6,$T$5)*$U$5*$T$19))*'IN-OUT'!$F$14))*'Burland damage classification'!CB457</f>
        <v>#DIV/0!</v>
      </c>
      <c r="BY457" s="352">
        <f>(1+(((IF($T$5=0,$T$6^2,$T$5^2))*$U$5)/(18*$T$15))*('IN-OUT'!$F$14^(-1)))*CC457</f>
        <v>6.2716292407422676E-4</v>
      </c>
      <c r="BZ457" s="254" t="e">
        <f t="shared" si="315"/>
        <v>#DIV/0!</v>
      </c>
      <c r="CA457" s="254" t="e">
        <f t="shared" si="323"/>
        <v>#DIV/0!</v>
      </c>
      <c r="CB457" s="254">
        <f t="shared" ref="CB457:CB477" si="331">CB456-($P$27/150)</f>
        <v>1.3333333333333499E-4</v>
      </c>
      <c r="CC457" s="253">
        <f t="shared" si="316"/>
        <v>6.2716292407422676E-4</v>
      </c>
      <c r="CD457" s="253">
        <f t="shared" ref="CD457:CD477" si="332">CD456+($P$27/150)</f>
        <v>8.6666666666666511E-4</v>
      </c>
      <c r="CE457" s="255">
        <f t="shared" si="324"/>
        <v>8.6666666666666517E-2</v>
      </c>
      <c r="CG457" s="351" t="e">
        <f>((((IF($T$5=0,$T$6,$T$5)))/(12*$T$19))+(((3*$T$15)/(2*IF($T$5=0,$T$6,$T$5)*$U$5*$T$19))*'IN-OUT'!$F$14))*'Burland damage classification'!CK457</f>
        <v>#DIV/0!</v>
      </c>
      <c r="CH457" s="352">
        <f>(1+(((IF($T$5=0,$T$6^2,$T$5^2))*$U$5)/(18*$T$15))*('IN-OUT'!$F$14^(-1)))*CL457</f>
        <v>1.6693312034065226E-3</v>
      </c>
      <c r="CI457" s="254" t="e">
        <f t="shared" si="317"/>
        <v>#DIV/0!</v>
      </c>
      <c r="CJ457" s="254" t="e">
        <f t="shared" si="325"/>
        <v>#DIV/0!</v>
      </c>
      <c r="CK457" s="254">
        <f t="shared" ref="CK457:CK520" si="333">CK456-($P$28/300)</f>
        <v>1.1333333333333232E-3</v>
      </c>
      <c r="CL457" s="270">
        <f t="shared" si="318"/>
        <v>1.6693312034065226E-3</v>
      </c>
      <c r="CM457" s="253">
        <f t="shared" ref="CM457:CM520" si="334">CM456+($P$28/300)</f>
        <v>8.6666666666666511E-4</v>
      </c>
      <c r="CN457" s="255">
        <f t="shared" si="326"/>
        <v>8.6666666666666517E-2</v>
      </c>
    </row>
    <row r="458" spans="40:92">
      <c r="AN458" s="258">
        <f>(((IF($S$5&lt;&gt;0,$S$5,IF($S$6&lt;&gt;0,$S$6,IF($S$7&lt;&gt;0,$S$7,0))))/(12*$S$19))+(((3*$S$15)/(2*(IF($S$5&lt;&gt;0,$S$5,IF($S$6&lt;&gt;0,$S$6,IF($S$7&lt;&gt;0,$S$7,0))))*$U$5*$S$19))*'IN-OUT'!$F$14))*'Burland damage classification'!AR458</f>
        <v>1.1107969373272885E-3</v>
      </c>
      <c r="AO458" s="353">
        <f>(1+(((IF($S$5&lt;&gt;0,$S$5^2,IF($S$6&lt;&gt;0,$S$6^2,IF($S$7&lt;&gt;0,$S$7^2))))*$U$5)/(18*$S$15))*('IN-OUT'!$F$14^(-1)))*AS458</f>
        <v>6.2771178124235974E-4</v>
      </c>
      <c r="AP458" s="254">
        <f t="shared" si="311"/>
        <v>6.2771178124235974E-4</v>
      </c>
      <c r="AQ458" s="254">
        <f t="shared" si="319"/>
        <v>6.277117812423598E-2</v>
      </c>
      <c r="AR458" s="254">
        <f t="shared" si="327"/>
        <v>1.2666666666666832E-4</v>
      </c>
      <c r="AS458" s="253">
        <f t="shared" si="312"/>
        <v>6.234313648403228E-4</v>
      </c>
      <c r="AT458" s="253">
        <f t="shared" si="328"/>
        <v>8.7333333333333176E-4</v>
      </c>
      <c r="AU458" s="255">
        <f t="shared" si="320"/>
        <v>8.733333333333318E-2</v>
      </c>
      <c r="AW458" s="258">
        <f>(((IF($S$5&lt;&gt;0,$S$5,IF($S$6&lt;&gt;0,$S$6,IF($S$7&lt;&gt;0,$S$7,0))))/(12*$S$19))+(((3*$S$15)/(2*(IF($S$5&lt;&gt;0,$S$5,IF($S$6&lt;&gt;0,$S$6,IF($S$7&lt;&gt;0,$S$7,0))))*$U$5*$S$19))*'IN-OUT'!$F$14))*'Burland damage classification'!BA458</f>
        <v>9.8802464425425066E-3</v>
      </c>
      <c r="AX458" s="353">
        <f>(1+(((IF($S$5&lt;&gt;0,$S$5^2,IF($S$6&lt;&gt;0,$S$6^2,IF($S$7&lt;&gt;0,$S$7^2))))*$U$5)/(18*$S$15))*('IN-OUT'!$F$14^(-1)))*BB458</f>
        <v>1.6779755764875651E-3</v>
      </c>
      <c r="AY458" s="254">
        <f t="shared" si="313"/>
        <v>1.6779755764875651E-3</v>
      </c>
      <c r="AZ458" s="254">
        <f t="shared" si="321"/>
        <v>0.16779755764875651</v>
      </c>
      <c r="BA458" s="254">
        <f t="shared" si="329"/>
        <v>1.1266666666666565E-3</v>
      </c>
      <c r="BB458" s="270">
        <f t="shared" si="314"/>
        <v>1.6665333279995739E-3</v>
      </c>
      <c r="BC458" s="253">
        <f t="shared" si="330"/>
        <v>8.7333333333333176E-4</v>
      </c>
      <c r="BD458" s="255">
        <f t="shared" si="322"/>
        <v>8.733333333333318E-2</v>
      </c>
      <c r="BI458" s="248"/>
      <c r="BX458" s="351" t="e">
        <f>((((IF($T$5=0,$T$6,$T$5)))/(12*$T$19))+(((3*$T$15)/(2*IF($T$5=0,$T$6,$T$5)*$U$5*$T$19))*'IN-OUT'!$F$14))*'Burland damage classification'!CB458</f>
        <v>#DIV/0!</v>
      </c>
      <c r="BY458" s="352">
        <f>(1+(((IF($T$5=0,$T$6^2,$T$5^2))*$U$5)/(18*$T$15))*('IN-OUT'!$F$14^(-1)))*CC458</f>
        <v>6.234313648403228E-4</v>
      </c>
      <c r="BZ458" s="254" t="e">
        <f t="shared" si="315"/>
        <v>#DIV/0!</v>
      </c>
      <c r="CA458" s="254" t="e">
        <f t="shared" si="323"/>
        <v>#DIV/0!</v>
      </c>
      <c r="CB458" s="254">
        <f t="shared" si="331"/>
        <v>1.2666666666666832E-4</v>
      </c>
      <c r="CC458" s="253">
        <f t="shared" si="316"/>
        <v>6.234313648403228E-4</v>
      </c>
      <c r="CD458" s="253">
        <f t="shared" si="332"/>
        <v>8.7333333333333176E-4</v>
      </c>
      <c r="CE458" s="255">
        <f t="shared" si="324"/>
        <v>8.733333333333318E-2</v>
      </c>
      <c r="CG458" s="351" t="e">
        <f>((((IF($T$5=0,$T$6,$T$5)))/(12*$T$19))+(((3*$T$15)/(2*IF($T$5=0,$T$6,$T$5)*$U$5*$T$19))*'IN-OUT'!$F$14))*'Burland damage classification'!CK458</f>
        <v>#DIV/0!</v>
      </c>
      <c r="CH458" s="352">
        <f>(1+(((IF($T$5=0,$T$6^2,$T$5^2))*$U$5)/(18*$T$15))*('IN-OUT'!$F$14^(-1)))*CL458</f>
        <v>1.6665333279995739E-3</v>
      </c>
      <c r="CI458" s="254" t="e">
        <f t="shared" si="317"/>
        <v>#DIV/0!</v>
      </c>
      <c r="CJ458" s="254" t="e">
        <f t="shared" si="325"/>
        <v>#DIV/0!</v>
      </c>
      <c r="CK458" s="254">
        <f t="shared" si="333"/>
        <v>1.1266666666666565E-3</v>
      </c>
      <c r="CL458" s="270">
        <f t="shared" si="318"/>
        <v>1.6665333279995739E-3</v>
      </c>
      <c r="CM458" s="253">
        <f t="shared" si="334"/>
        <v>8.7333333333333176E-4</v>
      </c>
      <c r="CN458" s="255">
        <f t="shared" si="326"/>
        <v>8.733333333333318E-2</v>
      </c>
    </row>
    <row r="459" spans="40:92">
      <c r="AN459" s="258">
        <f>(((IF($S$5&lt;&gt;0,$S$5,IF($S$6&lt;&gt;0,$S$6,IF($S$7&lt;&gt;0,$S$7,0))))/(12*$S$19))+(((3*$S$15)/(2*(IF($S$5&lt;&gt;0,$S$5,IF($S$6&lt;&gt;0,$S$6,IF($S$7&lt;&gt;0,$S$7,0))))*$U$5*$S$19))*'IN-OUT'!$F$14))*'Burland damage classification'!AR459</f>
        <v>1.0523339406258532E-3</v>
      </c>
      <c r="AO459" s="353">
        <f>(1+(((IF($S$5&lt;&gt;0,$S$5^2,IF($S$6&lt;&gt;0,$S$6^2,IF($S$7&lt;&gt;0,$S$7^2))))*$U$5)/(18*$S$15))*('IN-OUT'!$F$14^(-1)))*AS459</f>
        <v>6.2393197701050005E-4</v>
      </c>
      <c r="AP459" s="254">
        <f t="shared" si="311"/>
        <v>6.2393197701050005E-4</v>
      </c>
      <c r="AQ459" s="254">
        <f t="shared" si="319"/>
        <v>6.2393197701050007E-2</v>
      </c>
      <c r="AR459" s="254">
        <f t="shared" si="327"/>
        <v>1.2000000000000166E-4</v>
      </c>
      <c r="AS459" s="253">
        <f t="shared" si="312"/>
        <v>6.1967733539318762E-4</v>
      </c>
      <c r="AT459" s="253">
        <f t="shared" si="328"/>
        <v>8.7999999999999841E-4</v>
      </c>
      <c r="AU459" s="255">
        <f t="shared" si="320"/>
        <v>8.7999999999999842E-2</v>
      </c>
      <c r="AW459" s="258">
        <f>(((IF($S$5&lt;&gt;0,$S$5,IF($S$6&lt;&gt;0,$S$6,IF($S$7&lt;&gt;0,$S$7,0))))/(12*$S$19))+(((3*$S$15)/(2*(IF($S$5&lt;&gt;0,$S$5,IF($S$6&lt;&gt;0,$S$6,IF($S$7&lt;&gt;0,$S$7,0))))*$U$5*$S$19))*'IN-OUT'!$F$14))*'Burland damage classification'!BA459</f>
        <v>9.8217834458410695E-3</v>
      </c>
      <c r="AX459" s="353">
        <f>(1+(((IF($S$5&lt;&gt;0,$S$5^2,IF($S$6&lt;&gt;0,$S$6^2,IF($S$7&lt;&gt;0,$S$7^2))))*$U$5)/(18*$S$15))*('IN-OUT'!$F$14^(-1)))*BB459</f>
        <v>1.6751537537015302E-3</v>
      </c>
      <c r="AY459" s="254">
        <f t="shared" si="313"/>
        <v>1.6751537537015302E-3</v>
      </c>
      <c r="AZ459" s="254">
        <f t="shared" si="321"/>
        <v>0.16751537537015301</v>
      </c>
      <c r="BA459" s="254">
        <f t="shared" si="329"/>
        <v>1.1199999999999897E-3</v>
      </c>
      <c r="BB459" s="270">
        <f t="shared" si="314"/>
        <v>1.6637307474468344E-3</v>
      </c>
      <c r="BC459" s="253">
        <f t="shared" si="330"/>
        <v>8.7999999999999841E-4</v>
      </c>
      <c r="BD459" s="255">
        <f t="shared" si="322"/>
        <v>8.7999999999999842E-2</v>
      </c>
      <c r="BI459" s="248"/>
      <c r="BX459" s="351" t="e">
        <f>((((IF($T$5=0,$T$6,$T$5)))/(12*$T$19))+(((3*$T$15)/(2*IF($T$5=0,$T$6,$T$5)*$U$5*$T$19))*'IN-OUT'!$F$14))*'Burland damage classification'!CB459</f>
        <v>#DIV/0!</v>
      </c>
      <c r="BY459" s="352">
        <f>(1+(((IF($T$5=0,$T$6^2,$T$5^2))*$U$5)/(18*$T$15))*('IN-OUT'!$F$14^(-1)))*CC459</f>
        <v>6.1967733539318762E-4</v>
      </c>
      <c r="BZ459" s="254" t="e">
        <f t="shared" si="315"/>
        <v>#DIV/0!</v>
      </c>
      <c r="CA459" s="254" t="e">
        <f t="shared" si="323"/>
        <v>#DIV/0!</v>
      </c>
      <c r="CB459" s="254">
        <f t="shared" si="331"/>
        <v>1.2000000000000166E-4</v>
      </c>
      <c r="CC459" s="253">
        <f t="shared" si="316"/>
        <v>6.1967733539318762E-4</v>
      </c>
      <c r="CD459" s="253">
        <f t="shared" si="332"/>
        <v>8.7999999999999841E-4</v>
      </c>
      <c r="CE459" s="255">
        <f t="shared" si="324"/>
        <v>8.7999999999999842E-2</v>
      </c>
      <c r="CG459" s="351" t="e">
        <f>((((IF($T$5=0,$T$6,$T$5)))/(12*$T$19))+(((3*$T$15)/(2*IF($T$5=0,$T$6,$T$5)*$U$5*$T$19))*'IN-OUT'!$F$14))*'Burland damage classification'!CK459</f>
        <v>#DIV/0!</v>
      </c>
      <c r="CH459" s="352">
        <f>(1+(((IF($T$5=0,$T$6^2,$T$5^2))*$U$5)/(18*$T$15))*('IN-OUT'!$F$14^(-1)))*CL459</f>
        <v>1.6637307474468344E-3</v>
      </c>
      <c r="CI459" s="254" t="e">
        <f t="shared" si="317"/>
        <v>#DIV/0!</v>
      </c>
      <c r="CJ459" s="254" t="e">
        <f t="shared" si="325"/>
        <v>#DIV/0!</v>
      </c>
      <c r="CK459" s="254">
        <f t="shared" si="333"/>
        <v>1.1199999999999897E-3</v>
      </c>
      <c r="CL459" s="270">
        <f t="shared" si="318"/>
        <v>1.6637307474468344E-3</v>
      </c>
      <c r="CM459" s="253">
        <f t="shared" si="334"/>
        <v>8.7999999999999841E-4</v>
      </c>
      <c r="CN459" s="255">
        <f t="shared" si="326"/>
        <v>8.7999999999999842E-2</v>
      </c>
    </row>
    <row r="460" spans="40:92">
      <c r="AN460" s="258">
        <f>(((IF($S$5&lt;&gt;0,$S$5,IF($S$6&lt;&gt;0,$S$6,IF($S$7&lt;&gt;0,$S$7,0))))/(12*$S$19))+(((3*$S$15)/(2*(IF($S$5&lt;&gt;0,$S$5,IF($S$6&lt;&gt;0,$S$6,IF($S$7&lt;&gt;0,$S$7,0))))*$U$5*$S$19))*'IN-OUT'!$F$14))*'Burland damage classification'!AR460</f>
        <v>9.9387094392441779E-4</v>
      </c>
      <c r="AO460" s="353">
        <f>(1+(((IF($S$5&lt;&gt;0,$S$5^2,IF($S$6&lt;&gt;0,$S$6^2,IF($S$7&lt;&gt;0,$S$7^2))))*$U$5)/(18*$S$15))*('IN-OUT'!$F$14^(-1)))*AS460</f>
        <v>6.2012913458569738E-4</v>
      </c>
      <c r="AP460" s="254">
        <f t="shared" si="311"/>
        <v>6.2012913458569738E-4</v>
      </c>
      <c r="AQ460" s="254">
        <f t="shared" si="319"/>
        <v>6.2012913458569741E-2</v>
      </c>
      <c r="AR460" s="254">
        <f t="shared" si="327"/>
        <v>1.1333333333333499E-4</v>
      </c>
      <c r="AS460" s="253">
        <f t="shared" si="312"/>
        <v>6.1590042485237361E-4</v>
      </c>
      <c r="AT460" s="253">
        <f t="shared" si="328"/>
        <v>8.8666666666666505E-4</v>
      </c>
      <c r="AU460" s="255">
        <f t="shared" si="320"/>
        <v>8.8666666666666505E-2</v>
      </c>
      <c r="AW460" s="258">
        <f>(((IF($S$5&lt;&gt;0,$S$5,IF($S$6&lt;&gt;0,$S$6,IF($S$7&lt;&gt;0,$S$7,0))))/(12*$S$19))+(((3*$S$15)/(2*(IF($S$5&lt;&gt;0,$S$5,IF($S$6&lt;&gt;0,$S$6,IF($S$7&lt;&gt;0,$S$7,0))))*$U$5*$S$19))*'IN-OUT'!$F$14))*'Burland damage classification'!BA460</f>
        <v>9.7633204491396341E-3</v>
      </c>
      <c r="AX460" s="353">
        <f>(1+(((IF($S$5&lt;&gt;0,$S$5^2,IF($S$6&lt;&gt;0,$S$6^2,IF($S$7&lt;&gt;0,$S$7^2))))*$U$5)/(18*$S$15))*('IN-OUT'!$F$14^(-1)))*BB460</f>
        <v>1.6723271694832553E-3</v>
      </c>
      <c r="AY460" s="254">
        <f t="shared" si="313"/>
        <v>1.6723271694832553E-3</v>
      </c>
      <c r="AZ460" s="254">
        <f t="shared" si="321"/>
        <v>0.16723271694832553</v>
      </c>
      <c r="BA460" s="254">
        <f t="shared" si="329"/>
        <v>1.113333333333323E-3</v>
      </c>
      <c r="BB460" s="270">
        <f t="shared" si="314"/>
        <v>1.660923437930439E-3</v>
      </c>
      <c r="BC460" s="253">
        <f t="shared" si="330"/>
        <v>8.8666666666666505E-4</v>
      </c>
      <c r="BD460" s="255">
        <f t="shared" si="322"/>
        <v>8.8666666666666505E-2</v>
      </c>
      <c r="BI460" s="248"/>
      <c r="BX460" s="351" t="e">
        <f>((((IF($T$5=0,$T$6,$T$5)))/(12*$T$19))+(((3*$T$15)/(2*IF($T$5=0,$T$6,$T$5)*$U$5*$T$19))*'IN-OUT'!$F$14))*'Burland damage classification'!CB460</f>
        <v>#DIV/0!</v>
      </c>
      <c r="BY460" s="352">
        <f>(1+(((IF($T$5=0,$T$6^2,$T$5^2))*$U$5)/(18*$T$15))*('IN-OUT'!$F$14^(-1)))*CC460</f>
        <v>6.1590042485237361E-4</v>
      </c>
      <c r="BZ460" s="254" t="e">
        <f t="shared" si="315"/>
        <v>#DIV/0!</v>
      </c>
      <c r="CA460" s="254" t="e">
        <f t="shared" si="323"/>
        <v>#DIV/0!</v>
      </c>
      <c r="CB460" s="254">
        <f t="shared" si="331"/>
        <v>1.1333333333333499E-4</v>
      </c>
      <c r="CC460" s="253">
        <f t="shared" si="316"/>
        <v>6.1590042485237361E-4</v>
      </c>
      <c r="CD460" s="253">
        <f t="shared" si="332"/>
        <v>8.8666666666666505E-4</v>
      </c>
      <c r="CE460" s="255">
        <f t="shared" si="324"/>
        <v>8.8666666666666505E-2</v>
      </c>
      <c r="CG460" s="351" t="e">
        <f>((((IF($T$5=0,$T$6,$T$5)))/(12*$T$19))+(((3*$T$15)/(2*IF($T$5=0,$T$6,$T$5)*$U$5*$T$19))*'IN-OUT'!$F$14))*'Burland damage classification'!CK460</f>
        <v>#DIV/0!</v>
      </c>
      <c r="CH460" s="352">
        <f>(1+(((IF($T$5=0,$T$6^2,$T$5^2))*$U$5)/(18*$T$15))*('IN-OUT'!$F$14^(-1)))*CL460</f>
        <v>1.660923437930439E-3</v>
      </c>
      <c r="CI460" s="254" t="e">
        <f t="shared" si="317"/>
        <v>#DIV/0!</v>
      </c>
      <c r="CJ460" s="254" t="e">
        <f t="shared" si="325"/>
        <v>#DIV/0!</v>
      </c>
      <c r="CK460" s="254">
        <f t="shared" si="333"/>
        <v>1.113333333333323E-3</v>
      </c>
      <c r="CL460" s="270">
        <f t="shared" si="318"/>
        <v>1.660923437930439E-3</v>
      </c>
      <c r="CM460" s="253">
        <f t="shared" si="334"/>
        <v>8.8666666666666505E-4</v>
      </c>
      <c r="CN460" s="255">
        <f t="shared" si="326"/>
        <v>8.8666666666666505E-2</v>
      </c>
    </row>
    <row r="461" spans="40:92">
      <c r="AN461" s="258">
        <f>(((IF($S$5&lt;&gt;0,$S$5,IF($S$6&lt;&gt;0,$S$6,IF($S$7&lt;&gt;0,$S$7,0))))/(12*$S$19))+(((3*$S$15)/(2*(IF($S$5&lt;&gt;0,$S$5,IF($S$6&lt;&gt;0,$S$6,IF($S$7&lt;&gt;0,$S$7,0))))*$U$5*$S$19))*'IN-OUT'!$F$14))*'Burland damage classification'!AR461</f>
        <v>9.3540794722298231E-4</v>
      </c>
      <c r="AO461" s="353">
        <f>(1+(((IF($S$5&lt;&gt;0,$S$5^2,IF($S$6&lt;&gt;0,$S$6^2,IF($S$7&lt;&gt;0,$S$7^2))))*$U$5)/(18*$S$15))*('IN-OUT'!$F$14^(-1)))*AS461</f>
        <v>6.163028275026661E-4</v>
      </c>
      <c r="AP461" s="254">
        <f t="shared" si="311"/>
        <v>6.163028275026661E-4</v>
      </c>
      <c r="AQ461" s="254">
        <f t="shared" si="319"/>
        <v>6.1630282750266607E-2</v>
      </c>
      <c r="AR461" s="254">
        <f t="shared" si="327"/>
        <v>1.0666666666666833E-4</v>
      </c>
      <c r="AS461" s="253">
        <f t="shared" si="312"/>
        <v>6.1210020966069578E-4</v>
      </c>
      <c r="AT461" s="253">
        <f t="shared" si="328"/>
        <v>8.933333333333317E-4</v>
      </c>
      <c r="AU461" s="255">
        <f t="shared" si="320"/>
        <v>8.9333333333333168E-2</v>
      </c>
      <c r="AW461" s="258">
        <f>(((IF($S$5&lt;&gt;0,$S$5,IF($S$6&lt;&gt;0,$S$6,IF($S$7&lt;&gt;0,$S$7,0))))/(12*$S$19))+(((3*$S$15)/(2*(IF($S$5&lt;&gt;0,$S$5,IF($S$6&lt;&gt;0,$S$6,IF($S$7&lt;&gt;0,$S$7,0))))*$U$5*$S$19))*'IN-OUT'!$F$14))*'Burland damage classification'!BA461</f>
        <v>9.704857452438197E-3</v>
      </c>
      <c r="AX461" s="353">
        <f>(1+(((IF($S$5&lt;&gt;0,$S$5^2,IF($S$6&lt;&gt;0,$S$6^2,IF($S$7&lt;&gt;0,$S$7^2))))*$U$5)/(18*$S$15))*('IN-OUT'!$F$14^(-1)))*BB461</f>
        <v>1.6694957996483328E-3</v>
      </c>
      <c r="AY461" s="254">
        <f t="shared" si="313"/>
        <v>1.6694957996483328E-3</v>
      </c>
      <c r="AZ461" s="254">
        <f t="shared" si="321"/>
        <v>0.16694957996483328</v>
      </c>
      <c r="BA461" s="254">
        <f t="shared" si="329"/>
        <v>1.1066666666666562E-3</v>
      </c>
      <c r="BB461" s="270">
        <f t="shared" si="314"/>
        <v>1.6581113754308952E-3</v>
      </c>
      <c r="BC461" s="253">
        <f t="shared" si="330"/>
        <v>8.933333333333317E-4</v>
      </c>
      <c r="BD461" s="255">
        <f t="shared" si="322"/>
        <v>8.9333333333333168E-2</v>
      </c>
      <c r="BI461" s="248"/>
      <c r="BX461" s="351" t="e">
        <f>((((IF($T$5=0,$T$6,$T$5)))/(12*$T$19))+(((3*$T$15)/(2*IF($T$5=0,$T$6,$T$5)*$U$5*$T$19))*'IN-OUT'!$F$14))*'Burland damage classification'!CB461</f>
        <v>#DIV/0!</v>
      </c>
      <c r="BY461" s="352">
        <f>(1+(((IF($T$5=0,$T$6^2,$T$5^2))*$U$5)/(18*$T$15))*('IN-OUT'!$F$14^(-1)))*CC461</f>
        <v>6.1210020966069578E-4</v>
      </c>
      <c r="BZ461" s="254" t="e">
        <f t="shared" si="315"/>
        <v>#DIV/0!</v>
      </c>
      <c r="CA461" s="254" t="e">
        <f t="shared" si="323"/>
        <v>#DIV/0!</v>
      </c>
      <c r="CB461" s="254">
        <f t="shared" si="331"/>
        <v>1.0666666666666833E-4</v>
      </c>
      <c r="CC461" s="253">
        <f t="shared" si="316"/>
        <v>6.1210020966069578E-4</v>
      </c>
      <c r="CD461" s="253">
        <f t="shared" si="332"/>
        <v>8.933333333333317E-4</v>
      </c>
      <c r="CE461" s="255">
        <f t="shared" si="324"/>
        <v>8.9333333333333168E-2</v>
      </c>
      <c r="CG461" s="351" t="e">
        <f>((((IF($T$5=0,$T$6,$T$5)))/(12*$T$19))+(((3*$T$15)/(2*IF($T$5=0,$T$6,$T$5)*$U$5*$T$19))*'IN-OUT'!$F$14))*'Burland damage classification'!CK461</f>
        <v>#DIV/0!</v>
      </c>
      <c r="CH461" s="352">
        <f>(1+(((IF($T$5=0,$T$6^2,$T$5^2))*$U$5)/(18*$T$15))*('IN-OUT'!$F$14^(-1)))*CL461</f>
        <v>1.6581113754308952E-3</v>
      </c>
      <c r="CI461" s="254" t="e">
        <f t="shared" si="317"/>
        <v>#DIV/0!</v>
      </c>
      <c r="CJ461" s="254" t="e">
        <f t="shared" si="325"/>
        <v>#DIV/0!</v>
      </c>
      <c r="CK461" s="254">
        <f t="shared" si="333"/>
        <v>1.1066666666666562E-3</v>
      </c>
      <c r="CL461" s="270">
        <f t="shared" si="318"/>
        <v>1.6581113754308952E-3</v>
      </c>
      <c r="CM461" s="253">
        <f t="shared" si="334"/>
        <v>8.933333333333317E-4</v>
      </c>
      <c r="CN461" s="255">
        <f t="shared" si="326"/>
        <v>8.9333333333333168E-2</v>
      </c>
    </row>
    <row r="462" spans="40:92">
      <c r="AN462" s="258">
        <f>(((IF($S$5&lt;&gt;0,$S$5,IF($S$6&lt;&gt;0,$S$6,IF($S$7&lt;&gt;0,$S$7,0))))/(12*$S$19))+(((3*$S$15)/(2*(IF($S$5&lt;&gt;0,$S$5,IF($S$6&lt;&gt;0,$S$6,IF($S$7&lt;&gt;0,$S$7,0))))*$U$5*$S$19))*'IN-OUT'!$F$14))*'Burland damage classification'!AR462</f>
        <v>8.7694495052154683E-4</v>
      </c>
      <c r="AO462" s="353">
        <f>(1+(((IF($S$5&lt;&gt;0,$S$5^2,IF($S$6&lt;&gt;0,$S$6^2,IF($S$7&lt;&gt;0,$S$7^2))))*$U$5)/(18*$S$15))*('IN-OUT'!$F$14^(-1)))*AS462</f>
        <v>6.1245261597413084E-4</v>
      </c>
      <c r="AP462" s="254">
        <f t="shared" si="311"/>
        <v>6.1245261597413084E-4</v>
      </c>
      <c r="AQ462" s="254">
        <f t="shared" si="319"/>
        <v>6.1245261597413087E-2</v>
      </c>
      <c r="AR462" s="254">
        <f t="shared" si="327"/>
        <v>1.0000000000000167E-4</v>
      </c>
      <c r="AS462" s="253">
        <f t="shared" si="312"/>
        <v>6.0827625302982294E-4</v>
      </c>
      <c r="AT462" s="253">
        <f t="shared" si="328"/>
        <v>8.9999999999999835E-4</v>
      </c>
      <c r="AU462" s="255">
        <f t="shared" si="320"/>
        <v>8.999999999999983E-2</v>
      </c>
      <c r="AW462" s="258">
        <f>(((IF($S$5&lt;&gt;0,$S$5,IF($S$6&lt;&gt;0,$S$6,IF($S$7&lt;&gt;0,$S$7,0))))/(12*$S$19))+(((3*$S$15)/(2*(IF($S$5&lt;&gt;0,$S$5,IF($S$6&lt;&gt;0,$S$6,IF($S$7&lt;&gt;0,$S$7,0))))*$U$5*$S$19))*'IN-OUT'!$F$14))*'Burland damage classification'!BA462</f>
        <v>9.6463944557367617E-3</v>
      </c>
      <c r="AX462" s="353">
        <f>(1+(((IF($S$5&lt;&gt;0,$S$5^2,IF($S$6&lt;&gt;0,$S$6^2,IF($S$7&lt;&gt;0,$S$7^2))))*$U$5)/(18*$S$15))*('IN-OUT'!$F$14^(-1)))*BB462</f>
        <v>1.6666596198069289E-3</v>
      </c>
      <c r="AY462" s="254">
        <f t="shared" si="313"/>
        <v>1.6666596198069289E-3</v>
      </c>
      <c r="AZ462" s="254">
        <f t="shared" si="321"/>
        <v>0.16666596198069289</v>
      </c>
      <c r="BA462" s="254">
        <f t="shared" si="329"/>
        <v>1.0999999999999894E-3</v>
      </c>
      <c r="BB462" s="270">
        <f t="shared" si="314"/>
        <v>1.6552945357246856E-3</v>
      </c>
      <c r="BC462" s="253">
        <f t="shared" si="330"/>
        <v>8.9999999999999835E-4</v>
      </c>
      <c r="BD462" s="255">
        <f t="shared" si="322"/>
        <v>8.999999999999983E-2</v>
      </c>
      <c r="BI462" s="248"/>
      <c r="BX462" s="351" t="e">
        <f>((((IF($T$5=0,$T$6,$T$5)))/(12*$T$19))+(((3*$T$15)/(2*IF($T$5=0,$T$6,$T$5)*$U$5*$T$19))*'IN-OUT'!$F$14))*'Burland damage classification'!CB462</f>
        <v>#DIV/0!</v>
      </c>
      <c r="BY462" s="352">
        <f>(1+(((IF($T$5=0,$T$6^2,$T$5^2))*$U$5)/(18*$T$15))*('IN-OUT'!$F$14^(-1)))*CC462</f>
        <v>6.0827625302982294E-4</v>
      </c>
      <c r="BZ462" s="254" t="e">
        <f t="shared" si="315"/>
        <v>#DIV/0!</v>
      </c>
      <c r="CA462" s="254" t="e">
        <f t="shared" si="323"/>
        <v>#DIV/0!</v>
      </c>
      <c r="CB462" s="254">
        <f t="shared" si="331"/>
        <v>1.0000000000000167E-4</v>
      </c>
      <c r="CC462" s="253">
        <f t="shared" si="316"/>
        <v>6.0827625302982294E-4</v>
      </c>
      <c r="CD462" s="253">
        <f t="shared" si="332"/>
        <v>8.9999999999999835E-4</v>
      </c>
      <c r="CE462" s="255">
        <f t="shared" si="324"/>
        <v>8.999999999999983E-2</v>
      </c>
      <c r="CG462" s="351" t="e">
        <f>((((IF($T$5=0,$T$6,$T$5)))/(12*$T$19))+(((3*$T$15)/(2*IF($T$5=0,$T$6,$T$5)*$U$5*$T$19))*'IN-OUT'!$F$14))*'Burland damage classification'!CK462</f>
        <v>#DIV/0!</v>
      </c>
      <c r="CH462" s="352">
        <f>(1+(((IF($T$5=0,$T$6^2,$T$5^2))*$U$5)/(18*$T$15))*('IN-OUT'!$F$14^(-1)))*CL462</f>
        <v>1.6552945357246856E-3</v>
      </c>
      <c r="CI462" s="254" t="e">
        <f t="shared" si="317"/>
        <v>#DIV/0!</v>
      </c>
      <c r="CJ462" s="254" t="e">
        <f t="shared" si="325"/>
        <v>#DIV/0!</v>
      </c>
      <c r="CK462" s="254">
        <f t="shared" si="333"/>
        <v>1.0999999999999894E-3</v>
      </c>
      <c r="CL462" s="270">
        <f t="shared" si="318"/>
        <v>1.6552945357246856E-3</v>
      </c>
      <c r="CM462" s="253">
        <f t="shared" si="334"/>
        <v>8.9999999999999835E-4</v>
      </c>
      <c r="CN462" s="255">
        <f t="shared" si="326"/>
        <v>8.999999999999983E-2</v>
      </c>
    </row>
    <row r="463" spans="40:92">
      <c r="AN463" s="258">
        <f>(((IF($S$5&lt;&gt;0,$S$5,IF($S$6&lt;&gt;0,$S$6,IF($S$7&lt;&gt;0,$S$7,0))))/(12*$S$19))+(((3*$S$15)/(2*(IF($S$5&lt;&gt;0,$S$5,IF($S$6&lt;&gt;0,$S$6,IF($S$7&lt;&gt;0,$S$7,0))))*$U$5*$S$19))*'IN-OUT'!$F$14))*'Burland damage classification'!AR463</f>
        <v>8.1848195382011146E-4</v>
      </c>
      <c r="AO463" s="353">
        <f>(1+(((IF($S$5&lt;&gt;0,$S$5^2,IF($S$6&lt;&gt;0,$S$6^2,IF($S$7&lt;&gt;0,$S$7^2))))*$U$5)/(18*$S$15))*('IN-OUT'!$F$14^(-1)))*AS463</f>
        <v>6.085780463008267E-4</v>
      </c>
      <c r="AP463" s="254">
        <f t="shared" si="311"/>
        <v>6.085780463008267E-4</v>
      </c>
      <c r="AQ463" s="254">
        <f t="shared" si="319"/>
        <v>6.0857804630082668E-2</v>
      </c>
      <c r="AR463" s="254">
        <f t="shared" si="327"/>
        <v>9.333333333333501E-5</v>
      </c>
      <c r="AS463" s="253">
        <f t="shared" si="312"/>
        <v>6.0442810435430163E-4</v>
      </c>
      <c r="AT463" s="253">
        <f t="shared" si="328"/>
        <v>9.06666666666665E-4</v>
      </c>
      <c r="AU463" s="255">
        <f t="shared" si="320"/>
        <v>9.0666666666666507E-2</v>
      </c>
      <c r="AW463" s="258">
        <f>(((IF($S$5&lt;&gt;0,$S$5,IF($S$6&lt;&gt;0,$S$6,IF($S$7&lt;&gt;0,$S$7,0))))/(12*$S$19))+(((3*$S$15)/(2*(IF($S$5&lt;&gt;0,$S$5,IF($S$6&lt;&gt;0,$S$6,IF($S$7&lt;&gt;0,$S$7,0))))*$U$5*$S$19))*'IN-OUT'!$F$14))*'Burland damage classification'!BA463</f>
        <v>9.5879314590353246E-3</v>
      </c>
      <c r="AX463" s="353">
        <f>(1+(((IF($S$5&lt;&gt;0,$S$5^2,IF($S$6&lt;&gt;0,$S$6^2,IF($S$7&lt;&gt;0,$S$7^2))))*$U$5)/(18*$S$15))*('IN-OUT'!$F$14^(-1)))*BB463</f>
        <v>1.6638186053613317E-3</v>
      </c>
      <c r="AY463" s="254">
        <f t="shared" si="313"/>
        <v>1.6638186053613317E-3</v>
      </c>
      <c r="AZ463" s="254">
        <f t="shared" si="321"/>
        <v>0.16638186053613316</v>
      </c>
      <c r="BA463" s="254">
        <f t="shared" si="329"/>
        <v>1.0933333333333227E-3</v>
      </c>
      <c r="BB463" s="270">
        <f t="shared" si="314"/>
        <v>1.6524728943818319E-3</v>
      </c>
      <c r="BC463" s="253">
        <f t="shared" si="330"/>
        <v>9.06666666666665E-4</v>
      </c>
      <c r="BD463" s="255">
        <f t="shared" si="322"/>
        <v>9.0666666666666507E-2</v>
      </c>
      <c r="BI463" s="248"/>
      <c r="BX463" s="351" t="e">
        <f>((((IF($T$5=0,$T$6,$T$5)))/(12*$T$19))+(((3*$T$15)/(2*IF($T$5=0,$T$6,$T$5)*$U$5*$T$19))*'IN-OUT'!$F$14))*'Burland damage classification'!CB463</f>
        <v>#DIV/0!</v>
      </c>
      <c r="BY463" s="352">
        <f>(1+(((IF($T$5=0,$T$6^2,$T$5^2))*$U$5)/(18*$T$15))*('IN-OUT'!$F$14^(-1)))*CC463</f>
        <v>6.0442810435430163E-4</v>
      </c>
      <c r="BZ463" s="254" t="e">
        <f t="shared" si="315"/>
        <v>#DIV/0!</v>
      </c>
      <c r="CA463" s="254" t="e">
        <f t="shared" si="323"/>
        <v>#DIV/0!</v>
      </c>
      <c r="CB463" s="254">
        <f t="shared" si="331"/>
        <v>9.333333333333501E-5</v>
      </c>
      <c r="CC463" s="253">
        <f t="shared" si="316"/>
        <v>6.0442810435430163E-4</v>
      </c>
      <c r="CD463" s="253">
        <f t="shared" si="332"/>
        <v>9.06666666666665E-4</v>
      </c>
      <c r="CE463" s="255">
        <f t="shared" si="324"/>
        <v>9.0666666666666507E-2</v>
      </c>
      <c r="CG463" s="351" t="e">
        <f>((((IF($T$5=0,$T$6,$T$5)))/(12*$T$19))+(((3*$T$15)/(2*IF($T$5=0,$T$6,$T$5)*$U$5*$T$19))*'IN-OUT'!$F$14))*'Burland damage classification'!CK463</f>
        <v>#DIV/0!</v>
      </c>
      <c r="CH463" s="352">
        <f>(1+(((IF($T$5=0,$T$6^2,$T$5^2))*$U$5)/(18*$T$15))*('IN-OUT'!$F$14^(-1)))*CL463</f>
        <v>1.6524728943818319E-3</v>
      </c>
      <c r="CI463" s="254" t="e">
        <f t="shared" si="317"/>
        <v>#DIV/0!</v>
      </c>
      <c r="CJ463" s="254" t="e">
        <f t="shared" si="325"/>
        <v>#DIV/0!</v>
      </c>
      <c r="CK463" s="254">
        <f t="shared" si="333"/>
        <v>1.0933333333333227E-3</v>
      </c>
      <c r="CL463" s="270">
        <f t="shared" si="318"/>
        <v>1.6524728943818319E-3</v>
      </c>
      <c r="CM463" s="253">
        <f t="shared" si="334"/>
        <v>9.06666666666665E-4</v>
      </c>
      <c r="CN463" s="255">
        <f t="shared" si="326"/>
        <v>9.0666666666666507E-2</v>
      </c>
    </row>
    <row r="464" spans="40:92">
      <c r="AN464" s="258">
        <f>(((IF($S$5&lt;&gt;0,$S$5,IF($S$6&lt;&gt;0,$S$6,IF($S$7&lt;&gt;0,$S$7,0))))/(12*$S$19))+(((3*$S$15)/(2*(IF($S$5&lt;&gt;0,$S$5,IF($S$6&lt;&gt;0,$S$6,IF($S$7&lt;&gt;0,$S$7,0))))*$U$5*$S$19))*'IN-OUT'!$F$14))*'Burland damage classification'!AR464</f>
        <v>7.6001895711867598E-4</v>
      </c>
      <c r="AO464" s="353">
        <f>(1+(((IF($S$5&lt;&gt;0,$S$5^2,IF($S$6&lt;&gt;0,$S$6^2,IF($S$7&lt;&gt;0,$S$7^2))))*$U$5)/(18*$S$15))*('IN-OUT'!$F$14^(-1)))*AS464</f>
        <v>6.0467865024747326E-4</v>
      </c>
      <c r="AP464" s="254">
        <f t="shared" si="311"/>
        <v>6.0467865024747326E-4</v>
      </c>
      <c r="AQ464" s="254">
        <f t="shared" si="319"/>
        <v>6.0467865024747325E-2</v>
      </c>
      <c r="AR464" s="254">
        <f t="shared" si="327"/>
        <v>8.6666666666668349E-5</v>
      </c>
      <c r="AS464" s="253">
        <f t="shared" si="312"/>
        <v>6.0055529859178488E-4</v>
      </c>
      <c r="AT464" s="253">
        <f t="shared" si="328"/>
        <v>9.1333333333333165E-4</v>
      </c>
      <c r="AU464" s="255">
        <f t="shared" si="320"/>
        <v>9.1333333333333169E-2</v>
      </c>
      <c r="AW464" s="258">
        <f>(((IF($S$5&lt;&gt;0,$S$5,IF($S$6&lt;&gt;0,$S$6,IF($S$7&lt;&gt;0,$S$7,0))))/(12*$S$19))+(((3*$S$15)/(2*(IF($S$5&lt;&gt;0,$S$5,IF($S$6&lt;&gt;0,$S$6,IF($S$7&lt;&gt;0,$S$7,0))))*$U$5*$S$19))*'IN-OUT'!$F$14))*'Burland damage classification'!BA464</f>
        <v>9.5294684623338892E-3</v>
      </c>
      <c r="AX464" s="353">
        <f>(1+(((IF($S$5&lt;&gt;0,$S$5^2,IF($S$6&lt;&gt;0,$S$6^2,IF($S$7&lt;&gt;0,$S$7^2))))*$U$5)/(18*$S$15))*('IN-OUT'!$F$14^(-1)))*BB464</f>
        <v>1.6609727315034634E-3</v>
      </c>
      <c r="AY464" s="254">
        <f t="shared" si="313"/>
        <v>1.6609727315034634E-3</v>
      </c>
      <c r="AZ464" s="254">
        <f t="shared" si="321"/>
        <v>0.16609727315034634</v>
      </c>
      <c r="BA464" s="254">
        <f t="shared" si="329"/>
        <v>1.0866666666666559E-3</v>
      </c>
      <c r="BB464" s="270">
        <f t="shared" si="314"/>
        <v>1.6496464267634248E-3</v>
      </c>
      <c r="BC464" s="253">
        <f t="shared" si="330"/>
        <v>9.1333333333333165E-4</v>
      </c>
      <c r="BD464" s="255">
        <f t="shared" si="322"/>
        <v>9.1333333333333169E-2</v>
      </c>
      <c r="BI464" s="248"/>
      <c r="BX464" s="351" t="e">
        <f>((((IF($T$5=0,$T$6,$T$5)))/(12*$T$19))+(((3*$T$15)/(2*IF($T$5=0,$T$6,$T$5)*$U$5*$T$19))*'IN-OUT'!$F$14))*'Burland damage classification'!CB464</f>
        <v>#DIV/0!</v>
      </c>
      <c r="BY464" s="352">
        <f>(1+(((IF($T$5=0,$T$6^2,$T$5^2))*$U$5)/(18*$T$15))*('IN-OUT'!$F$14^(-1)))*CC464</f>
        <v>6.0055529859178488E-4</v>
      </c>
      <c r="BZ464" s="254" t="e">
        <f t="shared" si="315"/>
        <v>#DIV/0!</v>
      </c>
      <c r="CA464" s="254" t="e">
        <f t="shared" si="323"/>
        <v>#DIV/0!</v>
      </c>
      <c r="CB464" s="254">
        <f t="shared" si="331"/>
        <v>8.6666666666668349E-5</v>
      </c>
      <c r="CC464" s="253">
        <f t="shared" si="316"/>
        <v>6.0055529859178488E-4</v>
      </c>
      <c r="CD464" s="253">
        <f t="shared" si="332"/>
        <v>9.1333333333333165E-4</v>
      </c>
      <c r="CE464" s="255">
        <f t="shared" si="324"/>
        <v>9.1333333333333169E-2</v>
      </c>
      <c r="CG464" s="351" t="e">
        <f>((((IF($T$5=0,$T$6,$T$5)))/(12*$T$19))+(((3*$T$15)/(2*IF($T$5=0,$T$6,$T$5)*$U$5*$T$19))*'IN-OUT'!$F$14))*'Burland damage classification'!CK464</f>
        <v>#DIV/0!</v>
      </c>
      <c r="CH464" s="352">
        <f>(1+(((IF($T$5=0,$T$6^2,$T$5^2))*$U$5)/(18*$T$15))*('IN-OUT'!$F$14^(-1)))*CL464</f>
        <v>1.6496464267634248E-3</v>
      </c>
      <c r="CI464" s="254" t="e">
        <f t="shared" si="317"/>
        <v>#DIV/0!</v>
      </c>
      <c r="CJ464" s="254" t="e">
        <f t="shared" si="325"/>
        <v>#DIV/0!</v>
      </c>
      <c r="CK464" s="254">
        <f t="shared" si="333"/>
        <v>1.0866666666666559E-3</v>
      </c>
      <c r="CL464" s="270">
        <f t="shared" si="318"/>
        <v>1.6496464267634248E-3</v>
      </c>
      <c r="CM464" s="253">
        <f t="shared" si="334"/>
        <v>9.1333333333333165E-4</v>
      </c>
      <c r="CN464" s="255">
        <f t="shared" si="326"/>
        <v>9.1333333333333169E-2</v>
      </c>
    </row>
    <row r="465" spans="40:92">
      <c r="AN465" s="258">
        <f>(((IF($S$5&lt;&gt;0,$S$5,IF($S$6&lt;&gt;0,$S$6,IF($S$7&lt;&gt;0,$S$7,0))))/(12*$S$19))+(((3*$S$15)/(2*(IF($S$5&lt;&gt;0,$S$5,IF($S$6&lt;&gt;0,$S$6,IF($S$7&lt;&gt;0,$S$7,0))))*$U$5*$S$19))*'IN-OUT'!$F$14))*'Burland damage classification'!AR465</f>
        <v>7.015559604172405E-4</v>
      </c>
      <c r="AO465" s="353">
        <f>(1+(((IF($S$5&lt;&gt;0,$S$5^2,IF($S$6&lt;&gt;0,$S$6^2,IF($S$7&lt;&gt;0,$S$7^2))))*$U$5)/(18*$S$15))*('IN-OUT'!$F$14^(-1)))*AS465</f>
        <v>6.0075394438229121E-4</v>
      </c>
      <c r="AP465" s="254">
        <f t="shared" si="311"/>
        <v>6.0075394438229121E-4</v>
      </c>
      <c r="AQ465" s="254">
        <f t="shared" si="319"/>
        <v>6.0075394438229124E-2</v>
      </c>
      <c r="AR465" s="254">
        <f t="shared" si="327"/>
        <v>8.0000000000001687E-5</v>
      </c>
      <c r="AS465" s="253">
        <f t="shared" si="312"/>
        <v>5.9665735560705281E-4</v>
      </c>
      <c r="AT465" s="253">
        <f t="shared" si="328"/>
        <v>9.1999999999999829E-4</v>
      </c>
      <c r="AU465" s="255">
        <f t="shared" si="320"/>
        <v>9.1999999999999832E-2</v>
      </c>
      <c r="AW465" s="258">
        <f>(((IF($S$5&lt;&gt;0,$S$5,IF($S$6&lt;&gt;0,$S$6,IF($S$7&lt;&gt;0,$S$7,0))))/(12*$S$19))+(((3*$S$15)/(2*(IF($S$5&lt;&gt;0,$S$5,IF($S$6&lt;&gt;0,$S$6,IF($S$7&lt;&gt;0,$S$7,0))))*$U$5*$S$19))*'IN-OUT'!$F$14))*'Burland damage classification'!BA465</f>
        <v>9.4710054656324521E-3</v>
      </c>
      <c r="AX465" s="353">
        <f>(1+(((IF($S$5&lt;&gt;0,$S$5^2,IF($S$6&lt;&gt;0,$S$6^2,IF($S$7&lt;&gt;0,$S$7^2))))*$U$5)/(18*$S$15))*('IN-OUT'!$F$14^(-1)))*BB465</f>
        <v>1.6581219732123528E-3</v>
      </c>
      <c r="AY465" s="254">
        <f t="shared" si="313"/>
        <v>1.6581219732123528E-3</v>
      </c>
      <c r="AZ465" s="254">
        <f t="shared" si="321"/>
        <v>0.16581219732123528</v>
      </c>
      <c r="BA465" s="254">
        <f t="shared" si="329"/>
        <v>1.0799999999999892E-3</v>
      </c>
      <c r="BB465" s="270">
        <f t="shared" si="314"/>
        <v>1.6468151080191128E-3</v>
      </c>
      <c r="BC465" s="253">
        <f t="shared" si="330"/>
        <v>9.1999999999999829E-4</v>
      </c>
      <c r="BD465" s="255">
        <f t="shared" si="322"/>
        <v>9.1999999999999832E-2</v>
      </c>
      <c r="BI465" s="248"/>
      <c r="BX465" s="351" t="e">
        <f>((((IF($T$5=0,$T$6,$T$5)))/(12*$T$19))+(((3*$T$15)/(2*IF($T$5=0,$T$6,$T$5)*$U$5*$T$19))*'IN-OUT'!$F$14))*'Burland damage classification'!CB465</f>
        <v>#DIV/0!</v>
      </c>
      <c r="BY465" s="352">
        <f>(1+(((IF($T$5=0,$T$6^2,$T$5^2))*$U$5)/(18*$T$15))*('IN-OUT'!$F$14^(-1)))*CC465</f>
        <v>5.9665735560705281E-4</v>
      </c>
      <c r="BZ465" s="254" t="e">
        <f t="shared" si="315"/>
        <v>#DIV/0!</v>
      </c>
      <c r="CA465" s="254" t="e">
        <f t="shared" si="323"/>
        <v>#DIV/0!</v>
      </c>
      <c r="CB465" s="254">
        <f t="shared" si="331"/>
        <v>8.0000000000001687E-5</v>
      </c>
      <c r="CC465" s="253">
        <f t="shared" si="316"/>
        <v>5.9665735560705281E-4</v>
      </c>
      <c r="CD465" s="253">
        <f t="shared" si="332"/>
        <v>9.1999999999999829E-4</v>
      </c>
      <c r="CE465" s="255">
        <f t="shared" si="324"/>
        <v>9.1999999999999832E-2</v>
      </c>
      <c r="CG465" s="351" t="e">
        <f>((((IF($T$5=0,$T$6,$T$5)))/(12*$T$19))+(((3*$T$15)/(2*IF($T$5=0,$T$6,$T$5)*$U$5*$T$19))*'IN-OUT'!$F$14))*'Burland damage classification'!CK465</f>
        <v>#DIV/0!</v>
      </c>
      <c r="CH465" s="352">
        <f>(1+(((IF($T$5=0,$T$6^2,$T$5^2))*$U$5)/(18*$T$15))*('IN-OUT'!$F$14^(-1)))*CL465</f>
        <v>1.6468151080191128E-3</v>
      </c>
      <c r="CI465" s="254" t="e">
        <f t="shared" si="317"/>
        <v>#DIV/0!</v>
      </c>
      <c r="CJ465" s="254" t="e">
        <f t="shared" si="325"/>
        <v>#DIV/0!</v>
      </c>
      <c r="CK465" s="254">
        <f t="shared" si="333"/>
        <v>1.0799999999999892E-3</v>
      </c>
      <c r="CL465" s="270">
        <f t="shared" si="318"/>
        <v>1.6468151080191128E-3</v>
      </c>
      <c r="CM465" s="253">
        <f t="shared" si="334"/>
        <v>9.1999999999999829E-4</v>
      </c>
      <c r="CN465" s="255">
        <f t="shared" si="326"/>
        <v>9.1999999999999832E-2</v>
      </c>
    </row>
    <row r="466" spans="40:92">
      <c r="AN466" s="258">
        <f>(((IF($S$5&lt;&gt;0,$S$5,IF($S$6&lt;&gt;0,$S$6,IF($S$7&lt;&gt;0,$S$7,0))))/(12*$S$19))+(((3*$S$15)/(2*(IF($S$5&lt;&gt;0,$S$5,IF($S$6&lt;&gt;0,$S$6,IF($S$7&lt;&gt;0,$S$7,0))))*$U$5*$S$19))*'IN-OUT'!$F$14))*'Burland damage classification'!AR466</f>
        <v>6.4309296371580513E-4</v>
      </c>
      <c r="AO466" s="353">
        <f>(1+(((IF($S$5&lt;&gt;0,$S$5^2,IF($S$6&lt;&gt;0,$S$6^2,IF($S$7&lt;&gt;0,$S$7^2))))*$U$5)/(18*$S$15))*('IN-OUT'!$F$14^(-1)))*AS466</f>
        <v>5.9680342937742578E-4</v>
      </c>
      <c r="AP466" s="254">
        <f t="shared" si="311"/>
        <v>5.9680342937742578E-4</v>
      </c>
      <c r="AQ466" s="254">
        <f t="shared" si="319"/>
        <v>5.9680342937742575E-2</v>
      </c>
      <c r="AR466" s="254">
        <f t="shared" si="327"/>
        <v>7.3333333333335025E-5</v>
      </c>
      <c r="AS466" s="253">
        <f t="shared" si="312"/>
        <v>5.9273377947720719E-4</v>
      </c>
      <c r="AT466" s="253">
        <f t="shared" si="328"/>
        <v>9.2666666666666494E-4</v>
      </c>
      <c r="AU466" s="255">
        <f t="shared" si="320"/>
        <v>9.2666666666666495E-2</v>
      </c>
      <c r="AW466" s="258">
        <f>(((IF($S$5&lt;&gt;0,$S$5,IF($S$6&lt;&gt;0,$S$6,IF($S$7&lt;&gt;0,$S$7,0))))/(12*$S$19))+(((3*$S$15)/(2*(IF($S$5&lt;&gt;0,$S$5,IF($S$6&lt;&gt;0,$S$6,IF($S$7&lt;&gt;0,$S$7,0))))*$U$5*$S$19))*'IN-OUT'!$F$14))*'Burland damage classification'!BA466</f>
        <v>9.4125424689310167E-3</v>
      </c>
      <c r="AX466" s="353">
        <f>(1+(((IF($S$5&lt;&gt;0,$S$5^2,IF($S$6&lt;&gt;0,$S$6^2,IF($S$7&lt;&gt;0,$S$7^2))))*$U$5)/(18*$S$15))*('IN-OUT'!$F$14^(-1)))*BB466</f>
        <v>1.6552663052515678E-3</v>
      </c>
      <c r="AY466" s="254">
        <f t="shared" si="313"/>
        <v>1.6552663052515678E-3</v>
      </c>
      <c r="AZ466" s="254">
        <f t="shared" si="321"/>
        <v>0.16552663052515679</v>
      </c>
      <c r="BA466" s="254">
        <f t="shared" si="329"/>
        <v>1.0733333333333224E-3</v>
      </c>
      <c r="BB466" s="270">
        <f t="shared" si="314"/>
        <v>1.6439789130845532E-3</v>
      </c>
      <c r="BC466" s="253">
        <f t="shared" si="330"/>
        <v>9.2666666666666494E-4</v>
      </c>
      <c r="BD466" s="255">
        <f t="shared" si="322"/>
        <v>9.2666666666666495E-2</v>
      </c>
      <c r="BI466" s="248"/>
      <c r="BX466" s="351" t="e">
        <f>((((IF($T$5=0,$T$6,$T$5)))/(12*$T$19))+(((3*$T$15)/(2*IF($T$5=0,$T$6,$T$5)*$U$5*$T$19))*'IN-OUT'!$F$14))*'Burland damage classification'!CB466</f>
        <v>#DIV/0!</v>
      </c>
      <c r="BY466" s="352">
        <f>(1+(((IF($T$5=0,$T$6^2,$T$5^2))*$U$5)/(18*$T$15))*('IN-OUT'!$F$14^(-1)))*CC466</f>
        <v>5.9273377947720719E-4</v>
      </c>
      <c r="BZ466" s="254" t="e">
        <f t="shared" si="315"/>
        <v>#DIV/0!</v>
      </c>
      <c r="CA466" s="254" t="e">
        <f t="shared" si="323"/>
        <v>#DIV/0!</v>
      </c>
      <c r="CB466" s="254">
        <f t="shared" si="331"/>
        <v>7.3333333333335025E-5</v>
      </c>
      <c r="CC466" s="253">
        <f t="shared" si="316"/>
        <v>5.9273377947720719E-4</v>
      </c>
      <c r="CD466" s="253">
        <f t="shared" si="332"/>
        <v>9.2666666666666494E-4</v>
      </c>
      <c r="CE466" s="255">
        <f t="shared" si="324"/>
        <v>9.2666666666666495E-2</v>
      </c>
      <c r="CG466" s="351" t="e">
        <f>((((IF($T$5=0,$T$6,$T$5)))/(12*$T$19))+(((3*$T$15)/(2*IF($T$5=0,$T$6,$T$5)*$U$5*$T$19))*'IN-OUT'!$F$14))*'Burland damage classification'!CK466</f>
        <v>#DIV/0!</v>
      </c>
      <c r="CH466" s="352">
        <f>(1+(((IF($T$5=0,$T$6^2,$T$5^2))*$U$5)/(18*$T$15))*('IN-OUT'!$F$14^(-1)))*CL466</f>
        <v>1.6439789130845532E-3</v>
      </c>
      <c r="CI466" s="254" t="e">
        <f t="shared" si="317"/>
        <v>#DIV/0!</v>
      </c>
      <c r="CJ466" s="254" t="e">
        <f t="shared" si="325"/>
        <v>#DIV/0!</v>
      </c>
      <c r="CK466" s="254">
        <f t="shared" si="333"/>
        <v>1.0733333333333224E-3</v>
      </c>
      <c r="CL466" s="270">
        <f t="shared" si="318"/>
        <v>1.6439789130845532E-3</v>
      </c>
      <c r="CM466" s="253">
        <f t="shared" si="334"/>
        <v>9.2666666666666494E-4</v>
      </c>
      <c r="CN466" s="255">
        <f t="shared" si="326"/>
        <v>9.2666666666666495E-2</v>
      </c>
    </row>
    <row r="467" spans="40:92">
      <c r="AN467" s="258">
        <f>(((IF($S$5&lt;&gt;0,$S$5,IF($S$6&lt;&gt;0,$S$6,IF($S$7&lt;&gt;0,$S$7,0))))/(12*$S$19))+(((3*$S$15)/(2*(IF($S$5&lt;&gt;0,$S$5,IF($S$6&lt;&gt;0,$S$6,IF($S$7&lt;&gt;0,$S$7,0))))*$U$5*$S$19))*'IN-OUT'!$F$14))*'Burland damage classification'!AR467</f>
        <v>5.8462996701436965E-4</v>
      </c>
      <c r="AO467" s="353">
        <f>(1+(((IF($S$5&lt;&gt;0,$S$5^2,IF($S$6&lt;&gt;0,$S$6^2,IF($S$7&lt;&gt;0,$S$7^2))))*$U$5)/(18*$S$15))*('IN-OUT'!$F$14^(-1)))*AS467</f>
        <v>5.9282658926741055E-4</v>
      </c>
      <c r="AP467" s="254">
        <f t="shared" si="311"/>
        <v>5.8462996701436965E-4</v>
      </c>
      <c r="AQ467" s="254">
        <f t="shared" si="319"/>
        <v>5.8462996701436967E-2</v>
      </c>
      <c r="AR467" s="254">
        <f t="shared" si="327"/>
        <v>6.6666666666668364E-5</v>
      </c>
      <c r="AS467" s="253">
        <f t="shared" si="312"/>
        <v>5.8878405775519079E-4</v>
      </c>
      <c r="AT467" s="253">
        <f t="shared" si="328"/>
        <v>9.3333333333333159E-4</v>
      </c>
      <c r="AU467" s="255">
        <f t="shared" si="320"/>
        <v>9.3333333333333157E-2</v>
      </c>
      <c r="AW467" s="258">
        <f>(((IF($S$5&lt;&gt;0,$S$5,IF($S$6&lt;&gt;0,$S$6,IF($S$7&lt;&gt;0,$S$7,0))))/(12*$S$19))+(((3*$S$15)/(2*(IF($S$5&lt;&gt;0,$S$5,IF($S$6&lt;&gt;0,$S$6,IF($S$7&lt;&gt;0,$S$7,0))))*$U$5*$S$19))*'IN-OUT'!$F$14))*'Burland damage classification'!BA467</f>
        <v>9.3540794722295796E-3</v>
      </c>
      <c r="AX467" s="353">
        <f>(1+(((IF($S$5&lt;&gt;0,$S$5^2,IF($S$6&lt;&gt;0,$S$6^2,IF($S$7&lt;&gt;0,$S$7^2))))*$U$5)/(18*$S$15))*('IN-OUT'!$F$14^(-1)))*BB467</f>
        <v>1.6524057021666098E-3</v>
      </c>
      <c r="AY467" s="254">
        <f t="shared" si="313"/>
        <v>1.6524057021666098E-3</v>
      </c>
      <c r="AZ467" s="254">
        <f t="shared" si="321"/>
        <v>0.16524057021666097</v>
      </c>
      <c r="BA467" s="254">
        <f t="shared" si="329"/>
        <v>1.0666666666666557E-3</v>
      </c>
      <c r="BB467" s="270">
        <f t="shared" si="314"/>
        <v>1.6411378166788235E-3</v>
      </c>
      <c r="BC467" s="253">
        <f t="shared" si="330"/>
        <v>9.3333333333333159E-4</v>
      </c>
      <c r="BD467" s="255">
        <f t="shared" si="322"/>
        <v>9.3333333333333157E-2</v>
      </c>
      <c r="BI467" s="248"/>
      <c r="BX467" s="351" t="e">
        <f>((((IF($T$5=0,$T$6,$T$5)))/(12*$T$19))+(((3*$T$15)/(2*IF($T$5=0,$T$6,$T$5)*$U$5*$T$19))*'IN-OUT'!$F$14))*'Burland damage classification'!CB467</f>
        <v>#DIV/0!</v>
      </c>
      <c r="BY467" s="352">
        <f>(1+(((IF($T$5=0,$T$6^2,$T$5^2))*$U$5)/(18*$T$15))*('IN-OUT'!$F$14^(-1)))*CC467</f>
        <v>5.8878405775519079E-4</v>
      </c>
      <c r="BZ467" s="254" t="e">
        <f t="shared" si="315"/>
        <v>#DIV/0!</v>
      </c>
      <c r="CA467" s="254" t="e">
        <f t="shared" si="323"/>
        <v>#DIV/0!</v>
      </c>
      <c r="CB467" s="254">
        <f t="shared" si="331"/>
        <v>6.6666666666668364E-5</v>
      </c>
      <c r="CC467" s="253">
        <f t="shared" si="316"/>
        <v>5.8878405775519079E-4</v>
      </c>
      <c r="CD467" s="253">
        <f t="shared" si="332"/>
        <v>9.3333333333333159E-4</v>
      </c>
      <c r="CE467" s="255">
        <f t="shared" si="324"/>
        <v>9.3333333333333157E-2</v>
      </c>
      <c r="CG467" s="351" t="e">
        <f>((((IF($T$5=0,$T$6,$T$5)))/(12*$T$19))+(((3*$T$15)/(2*IF($T$5=0,$T$6,$T$5)*$U$5*$T$19))*'IN-OUT'!$F$14))*'Burland damage classification'!CK467</f>
        <v>#DIV/0!</v>
      </c>
      <c r="CH467" s="352">
        <f>(1+(((IF($T$5=0,$T$6^2,$T$5^2))*$U$5)/(18*$T$15))*('IN-OUT'!$F$14^(-1)))*CL467</f>
        <v>1.6411378166788235E-3</v>
      </c>
      <c r="CI467" s="254" t="e">
        <f t="shared" si="317"/>
        <v>#DIV/0!</v>
      </c>
      <c r="CJ467" s="254" t="e">
        <f t="shared" si="325"/>
        <v>#DIV/0!</v>
      </c>
      <c r="CK467" s="254">
        <f t="shared" si="333"/>
        <v>1.0666666666666557E-3</v>
      </c>
      <c r="CL467" s="270">
        <f t="shared" si="318"/>
        <v>1.6411378166788235E-3</v>
      </c>
      <c r="CM467" s="253">
        <f t="shared" si="334"/>
        <v>9.3333333333333159E-4</v>
      </c>
      <c r="CN467" s="255">
        <f t="shared" si="326"/>
        <v>9.3333333333333157E-2</v>
      </c>
    </row>
    <row r="468" spans="40:92">
      <c r="AN468" s="258">
        <f>(((IF($S$5&lt;&gt;0,$S$5,IF($S$6&lt;&gt;0,$S$6,IF($S$7&lt;&gt;0,$S$7,0))))/(12*$S$19))+(((3*$S$15)/(2*(IF($S$5&lt;&gt;0,$S$5,IF($S$6&lt;&gt;0,$S$6,IF($S$7&lt;&gt;0,$S$7,0))))*$U$5*$S$19))*'IN-OUT'!$F$14))*'Burland damage classification'!AR468</f>
        <v>5.2616697031293417E-4</v>
      </c>
      <c r="AO468" s="353">
        <f>(1+(((IF($S$5&lt;&gt;0,$S$5^2,IF($S$6&lt;&gt;0,$S$6^2,IF($S$7&lt;&gt;0,$S$7^2))))*$U$5)/(18*$S$15))*('IN-OUT'!$F$14^(-1)))*AS468</f>
        <v>5.8882289066255415E-4</v>
      </c>
      <c r="AP468" s="254">
        <f t="shared" si="311"/>
        <v>5.2616697031293417E-4</v>
      </c>
      <c r="AQ468" s="254">
        <f t="shared" si="319"/>
        <v>5.2616697031293416E-2</v>
      </c>
      <c r="AR468" s="254">
        <f t="shared" si="327"/>
        <v>6.0000000000001696E-5</v>
      </c>
      <c r="AS468" s="253">
        <f t="shared" si="312"/>
        <v>5.8480766068853894E-4</v>
      </c>
      <c r="AT468" s="253">
        <f t="shared" si="328"/>
        <v>9.3999999999999824E-4</v>
      </c>
      <c r="AU468" s="255">
        <f t="shared" si="320"/>
        <v>9.399999999999982E-2</v>
      </c>
      <c r="AW468" s="258">
        <f>(((IF($S$5&lt;&gt;0,$S$5,IF($S$6&lt;&gt;0,$S$6,IF($S$7&lt;&gt;0,$S$7,0))))/(12*$S$19))+(((3*$S$15)/(2*(IF($S$5&lt;&gt;0,$S$5,IF($S$6&lt;&gt;0,$S$6,IF($S$7&lt;&gt;0,$S$7,0))))*$U$5*$S$19))*'IN-OUT'!$F$14))*'Burland damage classification'!BA468</f>
        <v>9.2956164755281442E-3</v>
      </c>
      <c r="AX468" s="353">
        <f>(1+(((IF($S$5&lt;&gt;0,$S$5^2,IF($S$6&lt;&gt;0,$S$6^2,IF($S$7&lt;&gt;0,$S$7^2))))*$U$5)/(18*$S$15))*('IN-OUT'!$F$14^(-1)))*BB468</f>
        <v>1.649540138282266E-3</v>
      </c>
      <c r="AY468" s="254">
        <f t="shared" si="313"/>
        <v>1.649540138282266E-3</v>
      </c>
      <c r="AZ468" s="254">
        <f t="shared" si="321"/>
        <v>0.16495401382822661</v>
      </c>
      <c r="BA468" s="254">
        <f t="shared" si="329"/>
        <v>1.0599999999999889E-3</v>
      </c>
      <c r="BB468" s="270">
        <f t="shared" si="314"/>
        <v>1.6382917933017924E-3</v>
      </c>
      <c r="BC468" s="253">
        <f t="shared" si="330"/>
        <v>9.3999999999999824E-4</v>
      </c>
      <c r="BD468" s="255">
        <f t="shared" si="322"/>
        <v>9.399999999999982E-2</v>
      </c>
      <c r="BI468" s="248"/>
      <c r="BX468" s="351" t="e">
        <f>((((IF($T$5=0,$T$6,$T$5)))/(12*$T$19))+(((3*$T$15)/(2*IF($T$5=0,$T$6,$T$5)*$U$5*$T$19))*'IN-OUT'!$F$14))*'Burland damage classification'!CB468</f>
        <v>#DIV/0!</v>
      </c>
      <c r="BY468" s="352">
        <f>(1+(((IF($T$5=0,$T$6^2,$T$5^2))*$U$5)/(18*$T$15))*('IN-OUT'!$F$14^(-1)))*CC468</f>
        <v>5.8480766068853894E-4</v>
      </c>
      <c r="BZ468" s="254" t="e">
        <f t="shared" si="315"/>
        <v>#DIV/0!</v>
      </c>
      <c r="CA468" s="254" t="e">
        <f t="shared" si="323"/>
        <v>#DIV/0!</v>
      </c>
      <c r="CB468" s="254">
        <f t="shared" si="331"/>
        <v>6.0000000000001696E-5</v>
      </c>
      <c r="CC468" s="253">
        <f t="shared" si="316"/>
        <v>5.8480766068853894E-4</v>
      </c>
      <c r="CD468" s="253">
        <f t="shared" si="332"/>
        <v>9.3999999999999824E-4</v>
      </c>
      <c r="CE468" s="255">
        <f t="shared" si="324"/>
        <v>9.399999999999982E-2</v>
      </c>
      <c r="CG468" s="351" t="e">
        <f>((((IF($T$5=0,$T$6,$T$5)))/(12*$T$19))+(((3*$T$15)/(2*IF($T$5=0,$T$6,$T$5)*$U$5*$T$19))*'IN-OUT'!$F$14))*'Burland damage classification'!CK468</f>
        <v>#DIV/0!</v>
      </c>
      <c r="CH468" s="352">
        <f>(1+(((IF($T$5=0,$T$6^2,$T$5^2))*$U$5)/(18*$T$15))*('IN-OUT'!$F$14^(-1)))*CL468</f>
        <v>1.6382917933017924E-3</v>
      </c>
      <c r="CI468" s="254" t="e">
        <f t="shared" si="317"/>
        <v>#DIV/0!</v>
      </c>
      <c r="CJ468" s="254" t="e">
        <f t="shared" si="325"/>
        <v>#DIV/0!</v>
      </c>
      <c r="CK468" s="254">
        <f t="shared" si="333"/>
        <v>1.0599999999999889E-3</v>
      </c>
      <c r="CL468" s="270">
        <f t="shared" si="318"/>
        <v>1.6382917933017924E-3</v>
      </c>
      <c r="CM468" s="253">
        <f t="shared" si="334"/>
        <v>9.3999999999999824E-4</v>
      </c>
      <c r="CN468" s="255">
        <f t="shared" si="326"/>
        <v>9.399999999999982E-2</v>
      </c>
    </row>
    <row r="469" spans="40:92">
      <c r="AN469" s="258">
        <f>(((IF($S$5&lt;&gt;0,$S$5,IF($S$6&lt;&gt;0,$S$6,IF($S$7&lt;&gt;0,$S$7,0))))/(12*$S$19))+(((3*$S$15)/(2*(IF($S$5&lt;&gt;0,$S$5,IF($S$6&lt;&gt;0,$S$6,IF($S$7&lt;&gt;0,$S$7,0))))*$U$5*$S$19))*'IN-OUT'!$F$14))*'Burland damage classification'!AR469</f>
        <v>4.6770397361149869E-4</v>
      </c>
      <c r="AO469" s="353">
        <f>(1+(((IF($S$5&lt;&gt;0,$S$5^2,IF($S$6&lt;&gt;0,$S$6^2,IF($S$7&lt;&gt;0,$S$7^2))))*$U$5)/(18*$S$15))*('IN-OUT'!$F$14^(-1)))*AS469</f>
        <v>5.8479178191385439E-4</v>
      </c>
      <c r="AP469" s="254">
        <f t="shared" si="311"/>
        <v>4.6770397361149869E-4</v>
      </c>
      <c r="AQ469" s="254">
        <f t="shared" si="319"/>
        <v>4.6770397361149872E-2</v>
      </c>
      <c r="AR469" s="254">
        <f t="shared" si="327"/>
        <v>5.3333333333335027E-5</v>
      </c>
      <c r="AS469" s="253">
        <f t="shared" si="312"/>
        <v>5.8080404038998777E-4</v>
      </c>
      <c r="AT469" s="253">
        <f t="shared" si="328"/>
        <v>9.4666666666666489E-4</v>
      </c>
      <c r="AU469" s="255">
        <f t="shared" si="320"/>
        <v>9.4666666666666482E-2</v>
      </c>
      <c r="AW469" s="258">
        <f>(((IF($S$5&lt;&gt;0,$S$5,IF($S$6&lt;&gt;0,$S$6,IF($S$7&lt;&gt;0,$S$7,0))))/(12*$S$19))+(((3*$S$15)/(2*(IF($S$5&lt;&gt;0,$S$5,IF($S$6&lt;&gt;0,$S$6,IF($S$7&lt;&gt;0,$S$7,0))))*$U$5*$S$19))*'IN-OUT'!$F$14))*'Burland damage classification'!BA469</f>
        <v>9.2371534788267071E-3</v>
      </c>
      <c r="AX469" s="353">
        <f>(1+(((IF($S$5&lt;&gt;0,$S$5^2,IF($S$6&lt;&gt;0,$S$6^2,IF($S$7&lt;&gt;0,$S$7^2))))*$U$5)/(18*$S$15))*('IN-OUT'!$F$14^(-1)))*BB469</f>
        <v>1.6466695876999208E-3</v>
      </c>
      <c r="AY469" s="254">
        <f t="shared" si="313"/>
        <v>1.6466695876999208E-3</v>
      </c>
      <c r="AZ469" s="254">
        <f t="shared" si="321"/>
        <v>0.16466695876999207</v>
      </c>
      <c r="BA469" s="254">
        <f t="shared" si="329"/>
        <v>1.0533333333333221E-3</v>
      </c>
      <c r="BB469" s="270">
        <f t="shared" si="314"/>
        <v>1.6354408172314489E-3</v>
      </c>
      <c r="BC469" s="253">
        <f t="shared" si="330"/>
        <v>9.4666666666666489E-4</v>
      </c>
      <c r="BD469" s="255">
        <f t="shared" si="322"/>
        <v>9.4666666666666482E-2</v>
      </c>
      <c r="BI469" s="248"/>
      <c r="BX469" s="351" t="e">
        <f>((((IF($T$5=0,$T$6,$T$5)))/(12*$T$19))+(((3*$T$15)/(2*IF($T$5=0,$T$6,$T$5)*$U$5*$T$19))*'IN-OUT'!$F$14))*'Burland damage classification'!CB469</f>
        <v>#DIV/0!</v>
      </c>
      <c r="BY469" s="352">
        <f>(1+(((IF($T$5=0,$T$6^2,$T$5^2))*$U$5)/(18*$T$15))*('IN-OUT'!$F$14^(-1)))*CC469</f>
        <v>5.8080404038998777E-4</v>
      </c>
      <c r="BZ469" s="254" t="e">
        <f t="shared" si="315"/>
        <v>#DIV/0!</v>
      </c>
      <c r="CA469" s="254" t="e">
        <f t="shared" si="323"/>
        <v>#DIV/0!</v>
      </c>
      <c r="CB469" s="254">
        <f t="shared" si="331"/>
        <v>5.3333333333335027E-5</v>
      </c>
      <c r="CC469" s="253">
        <f t="shared" si="316"/>
        <v>5.8080404038998777E-4</v>
      </c>
      <c r="CD469" s="253">
        <f t="shared" si="332"/>
        <v>9.4666666666666489E-4</v>
      </c>
      <c r="CE469" s="255">
        <f t="shared" si="324"/>
        <v>9.4666666666666482E-2</v>
      </c>
      <c r="CG469" s="351" t="e">
        <f>((((IF($T$5=0,$T$6,$T$5)))/(12*$T$19))+(((3*$T$15)/(2*IF($T$5=0,$T$6,$T$5)*$U$5*$T$19))*'IN-OUT'!$F$14))*'Burland damage classification'!CK469</f>
        <v>#DIV/0!</v>
      </c>
      <c r="CH469" s="352">
        <f>(1+(((IF($T$5=0,$T$6^2,$T$5^2))*$U$5)/(18*$T$15))*('IN-OUT'!$F$14^(-1)))*CL469</f>
        <v>1.6354408172314489E-3</v>
      </c>
      <c r="CI469" s="254" t="e">
        <f t="shared" si="317"/>
        <v>#DIV/0!</v>
      </c>
      <c r="CJ469" s="254" t="e">
        <f t="shared" si="325"/>
        <v>#DIV/0!</v>
      </c>
      <c r="CK469" s="254">
        <f t="shared" si="333"/>
        <v>1.0533333333333221E-3</v>
      </c>
      <c r="CL469" s="270">
        <f t="shared" si="318"/>
        <v>1.6354408172314489E-3</v>
      </c>
      <c r="CM469" s="253">
        <f t="shared" si="334"/>
        <v>9.4666666666666489E-4</v>
      </c>
      <c r="CN469" s="255">
        <f t="shared" si="326"/>
        <v>9.4666666666666482E-2</v>
      </c>
    </row>
    <row r="470" spans="40:92">
      <c r="AN470" s="258">
        <f>(((IF($S$5&lt;&gt;0,$S$5,IF($S$6&lt;&gt;0,$S$6,IF($S$7&lt;&gt;0,$S$7,0))))/(12*$S$19))+(((3*$S$15)/(2*(IF($S$5&lt;&gt;0,$S$5,IF($S$6&lt;&gt;0,$S$6,IF($S$7&lt;&gt;0,$S$7,0))))*$U$5*$S$19))*'IN-OUT'!$F$14))*'Burland damage classification'!AR470</f>
        <v>4.0924097691006321E-4</v>
      </c>
      <c r="AO470" s="353">
        <f>(1+(((IF($S$5&lt;&gt;0,$S$5^2,IF($S$6&lt;&gt;0,$S$6^2,IF($S$7&lt;&gt;0,$S$7^2))))*$U$5)/(18*$S$15))*('IN-OUT'!$F$14^(-1)))*AS470</f>
        <v>5.8073269222573998E-4</v>
      </c>
      <c r="AP470" s="254">
        <f t="shared" si="311"/>
        <v>4.0924097691006321E-4</v>
      </c>
      <c r="AQ470" s="254">
        <f t="shared" si="319"/>
        <v>4.0924097691006321E-2</v>
      </c>
      <c r="AR470" s="254">
        <f t="shared" si="327"/>
        <v>4.6666666666668359E-5</v>
      </c>
      <c r="AS470" s="253">
        <f t="shared" si="312"/>
        <v>5.7677262995626611E-4</v>
      </c>
      <c r="AT470" s="253">
        <f t="shared" si="328"/>
        <v>9.5333333333333153E-4</v>
      </c>
      <c r="AU470" s="255">
        <f t="shared" si="320"/>
        <v>9.5333333333333159E-2</v>
      </c>
      <c r="AW470" s="258">
        <f>(((IF($S$5&lt;&gt;0,$S$5,IF($S$6&lt;&gt;0,$S$6,IF($S$7&lt;&gt;0,$S$7,0))))/(12*$S$19))+(((3*$S$15)/(2*(IF($S$5&lt;&gt;0,$S$5,IF($S$6&lt;&gt;0,$S$6,IF($S$7&lt;&gt;0,$S$7,0))))*$U$5*$S$19))*'IN-OUT'!$F$14))*'Burland damage classification'!BA470</f>
        <v>9.1786904821252718E-3</v>
      </c>
      <c r="AX470" s="353">
        <f>(1+(((IF($S$5&lt;&gt;0,$S$5^2,IF($S$6&lt;&gt;0,$S$6^2,IF($S$7&lt;&gt;0,$S$7^2))))*$U$5)/(18*$S$15))*('IN-OUT'!$F$14^(-1)))*BB470</f>
        <v>1.6437940242948251E-3</v>
      </c>
      <c r="AY470" s="254">
        <f t="shared" si="313"/>
        <v>1.6437940242948251E-3</v>
      </c>
      <c r="AZ470" s="254">
        <f t="shared" si="321"/>
        <v>0.16437940242948251</v>
      </c>
      <c r="BA470" s="254">
        <f t="shared" si="329"/>
        <v>1.0466666666666554E-3</v>
      </c>
      <c r="BB470" s="270">
        <f t="shared" si="314"/>
        <v>1.6325848625211908E-3</v>
      </c>
      <c r="BC470" s="253">
        <f t="shared" si="330"/>
        <v>9.5333333333333153E-4</v>
      </c>
      <c r="BD470" s="255">
        <f t="shared" si="322"/>
        <v>9.5333333333333159E-2</v>
      </c>
      <c r="BI470" s="248"/>
      <c r="BX470" s="351" t="e">
        <f>((((IF($T$5=0,$T$6,$T$5)))/(12*$T$19))+(((3*$T$15)/(2*IF($T$5=0,$T$6,$T$5)*$U$5*$T$19))*'IN-OUT'!$F$14))*'Burland damage classification'!CB470</f>
        <v>#DIV/0!</v>
      </c>
      <c r="BY470" s="352">
        <f>(1+(((IF($T$5=0,$T$6^2,$T$5^2))*$U$5)/(18*$T$15))*('IN-OUT'!$F$14^(-1)))*CC470</f>
        <v>5.7677262995626611E-4</v>
      </c>
      <c r="BZ470" s="254" t="e">
        <f t="shared" si="315"/>
        <v>#DIV/0!</v>
      </c>
      <c r="CA470" s="254" t="e">
        <f t="shared" si="323"/>
        <v>#DIV/0!</v>
      </c>
      <c r="CB470" s="254">
        <f t="shared" si="331"/>
        <v>4.6666666666668359E-5</v>
      </c>
      <c r="CC470" s="253">
        <f t="shared" si="316"/>
        <v>5.7677262995626611E-4</v>
      </c>
      <c r="CD470" s="253">
        <f t="shared" si="332"/>
        <v>9.5333333333333153E-4</v>
      </c>
      <c r="CE470" s="255">
        <f t="shared" si="324"/>
        <v>9.5333333333333159E-2</v>
      </c>
      <c r="CG470" s="351" t="e">
        <f>((((IF($T$5=0,$T$6,$T$5)))/(12*$T$19))+(((3*$T$15)/(2*IF($T$5=0,$T$6,$T$5)*$U$5*$T$19))*'IN-OUT'!$F$14))*'Burland damage classification'!CK470</f>
        <v>#DIV/0!</v>
      </c>
      <c r="CH470" s="352">
        <f>(1+(((IF($T$5=0,$T$6^2,$T$5^2))*$U$5)/(18*$T$15))*('IN-OUT'!$F$14^(-1)))*CL470</f>
        <v>1.6325848625211908E-3</v>
      </c>
      <c r="CI470" s="254" t="e">
        <f t="shared" si="317"/>
        <v>#DIV/0!</v>
      </c>
      <c r="CJ470" s="254" t="e">
        <f t="shared" si="325"/>
        <v>#DIV/0!</v>
      </c>
      <c r="CK470" s="254">
        <f t="shared" si="333"/>
        <v>1.0466666666666554E-3</v>
      </c>
      <c r="CL470" s="270">
        <f t="shared" si="318"/>
        <v>1.6325848625211908E-3</v>
      </c>
      <c r="CM470" s="253">
        <f t="shared" si="334"/>
        <v>9.5333333333333153E-4</v>
      </c>
      <c r="CN470" s="255">
        <f t="shared" si="326"/>
        <v>9.5333333333333159E-2</v>
      </c>
    </row>
    <row r="471" spans="40:92">
      <c r="AN471" s="258">
        <f>(((IF($S$5&lt;&gt;0,$S$5,IF($S$6&lt;&gt;0,$S$6,IF($S$7&lt;&gt;0,$S$7,0))))/(12*$S$19))+(((3*$S$15)/(2*(IF($S$5&lt;&gt;0,$S$5,IF($S$6&lt;&gt;0,$S$6,IF($S$7&lt;&gt;0,$S$7,0))))*$U$5*$S$19))*'IN-OUT'!$F$14))*'Burland damage classification'!AR471</f>
        <v>3.5077798020862768E-4</v>
      </c>
      <c r="AO471" s="353">
        <f>(1+(((IF($S$5&lt;&gt;0,$S$5^2,IF($S$6&lt;&gt;0,$S$6^2,IF($S$7&lt;&gt;0,$S$7^2))))*$U$5)/(18*$S$15))*('IN-OUT'!$F$14^(-1)))*AS471</f>
        <v>5.7664503071259618E-4</v>
      </c>
      <c r="AP471" s="254">
        <f t="shared" si="311"/>
        <v>3.5077798020862768E-4</v>
      </c>
      <c r="AQ471" s="254">
        <f t="shared" si="319"/>
        <v>3.507779802086277E-2</v>
      </c>
      <c r="AR471" s="254">
        <f t="shared" si="327"/>
        <v>4.0000000000001691E-5</v>
      </c>
      <c r="AS471" s="253">
        <f t="shared" si="312"/>
        <v>5.7271284253105519E-4</v>
      </c>
      <c r="AT471" s="253">
        <f t="shared" si="328"/>
        <v>9.5999999999999818E-4</v>
      </c>
      <c r="AU471" s="255">
        <f t="shared" si="320"/>
        <v>9.5999999999999822E-2</v>
      </c>
      <c r="AW471" s="258">
        <f>(((IF($S$5&lt;&gt;0,$S$5,IF($S$6&lt;&gt;0,$S$6,IF($S$7&lt;&gt;0,$S$7,0))))/(12*$S$19))+(((3*$S$15)/(2*(IF($S$5&lt;&gt;0,$S$5,IF($S$6&lt;&gt;0,$S$6,IF($S$7&lt;&gt;0,$S$7,0))))*$U$5*$S$19))*'IN-OUT'!$F$14))*'Burland damage classification'!BA471</f>
        <v>9.1202274854238347E-3</v>
      </c>
      <c r="AX471" s="353">
        <f>(1+(((IF($S$5&lt;&gt;0,$S$5^2,IF($S$6&lt;&gt;0,$S$6^2,IF($S$7&lt;&gt;0,$S$7^2))))*$U$5)/(18*$S$15))*('IN-OUT'!$F$14^(-1)))*BB471</f>
        <v>1.6409134217133233E-3</v>
      </c>
      <c r="AY471" s="254">
        <f t="shared" si="313"/>
        <v>1.6409134217133233E-3</v>
      </c>
      <c r="AZ471" s="254">
        <f t="shared" si="321"/>
        <v>0.16409134217133234</v>
      </c>
      <c r="BA471" s="254">
        <f t="shared" si="329"/>
        <v>1.0399999999999886E-3</v>
      </c>
      <c r="BB471" s="270">
        <f t="shared" si="314"/>
        <v>1.6297239029970697E-3</v>
      </c>
      <c r="BC471" s="253">
        <f t="shared" si="330"/>
        <v>9.5999999999999818E-4</v>
      </c>
      <c r="BD471" s="255">
        <f t="shared" si="322"/>
        <v>9.5999999999999822E-2</v>
      </c>
      <c r="BI471" s="248"/>
      <c r="BX471" s="351" t="e">
        <f>((((IF($T$5=0,$T$6,$T$5)))/(12*$T$19))+(((3*$T$15)/(2*IF($T$5=0,$T$6,$T$5)*$U$5*$T$19))*'IN-OUT'!$F$14))*'Burland damage classification'!CB471</f>
        <v>#DIV/0!</v>
      </c>
      <c r="BY471" s="352">
        <f>(1+(((IF($T$5=0,$T$6^2,$T$5^2))*$U$5)/(18*$T$15))*('IN-OUT'!$F$14^(-1)))*CC471</f>
        <v>5.7271284253105519E-4</v>
      </c>
      <c r="BZ471" s="254" t="e">
        <f t="shared" si="315"/>
        <v>#DIV/0!</v>
      </c>
      <c r="CA471" s="254" t="e">
        <f t="shared" si="323"/>
        <v>#DIV/0!</v>
      </c>
      <c r="CB471" s="254">
        <f t="shared" si="331"/>
        <v>4.0000000000001691E-5</v>
      </c>
      <c r="CC471" s="253">
        <f t="shared" si="316"/>
        <v>5.7271284253105519E-4</v>
      </c>
      <c r="CD471" s="253">
        <f t="shared" si="332"/>
        <v>9.5999999999999818E-4</v>
      </c>
      <c r="CE471" s="255">
        <f t="shared" si="324"/>
        <v>9.5999999999999822E-2</v>
      </c>
      <c r="CG471" s="351" t="e">
        <f>((((IF($T$5=0,$T$6,$T$5)))/(12*$T$19))+(((3*$T$15)/(2*IF($T$5=0,$T$6,$T$5)*$U$5*$T$19))*'IN-OUT'!$F$14))*'Burland damage classification'!CK471</f>
        <v>#DIV/0!</v>
      </c>
      <c r="CH471" s="352">
        <f>(1+(((IF($T$5=0,$T$6^2,$T$5^2))*$U$5)/(18*$T$15))*('IN-OUT'!$F$14^(-1)))*CL471</f>
        <v>1.6297239029970697E-3</v>
      </c>
      <c r="CI471" s="254" t="e">
        <f t="shared" si="317"/>
        <v>#DIV/0!</v>
      </c>
      <c r="CJ471" s="254" t="e">
        <f t="shared" si="325"/>
        <v>#DIV/0!</v>
      </c>
      <c r="CK471" s="254">
        <f t="shared" si="333"/>
        <v>1.0399999999999886E-3</v>
      </c>
      <c r="CL471" s="270">
        <f t="shared" si="318"/>
        <v>1.6297239029970697E-3</v>
      </c>
      <c r="CM471" s="253">
        <f t="shared" si="334"/>
        <v>9.5999999999999818E-4</v>
      </c>
      <c r="CN471" s="255">
        <f t="shared" si="326"/>
        <v>9.5999999999999822E-2</v>
      </c>
    </row>
    <row r="472" spans="40:92">
      <c r="AN472" s="258">
        <f>(((IF($S$5&lt;&gt;0,$S$5,IF($S$6&lt;&gt;0,$S$6,IF($S$7&lt;&gt;0,$S$7,0))))/(12*$S$19))+(((3*$S$15)/(2*(IF($S$5&lt;&gt;0,$S$5,IF($S$6&lt;&gt;0,$S$6,IF($S$7&lt;&gt;0,$S$7,0))))*$U$5*$S$19))*'IN-OUT'!$F$14))*'Burland damage classification'!AR472</f>
        <v>2.923149835071922E-4</v>
      </c>
      <c r="AO472" s="353">
        <f>(1+(((IF($S$5&lt;&gt;0,$S$5^2,IF($S$6&lt;&gt;0,$S$6^2,IF($S$7&lt;&gt;0,$S$7^2))))*$U$5)/(18*$S$15))*('IN-OUT'!$F$14^(-1)))*AS472</f>
        <v>5.7252818539466337E-4</v>
      </c>
      <c r="AP472" s="254">
        <f t="shared" si="311"/>
        <v>2.923149835071922E-4</v>
      </c>
      <c r="AQ472" s="254">
        <f t="shared" si="319"/>
        <v>2.9231498350719219E-2</v>
      </c>
      <c r="AR472" s="254">
        <f t="shared" si="327"/>
        <v>3.3333333333335022E-5</v>
      </c>
      <c r="AS472" s="253">
        <f t="shared" si="312"/>
        <v>5.6862407030773381E-4</v>
      </c>
      <c r="AT472" s="253">
        <f t="shared" si="328"/>
        <v>9.6666666666666483E-4</v>
      </c>
      <c r="AU472" s="255">
        <f t="shared" si="320"/>
        <v>9.6666666666666484E-2</v>
      </c>
      <c r="AW472" s="258">
        <f>(((IF($S$5&lt;&gt;0,$S$5,IF($S$6&lt;&gt;0,$S$6,IF($S$7&lt;&gt;0,$S$7,0))))/(12*$S$19))+(((3*$S$15)/(2*(IF($S$5&lt;&gt;0,$S$5,IF($S$6&lt;&gt;0,$S$6,IF($S$7&lt;&gt;0,$S$7,0))))*$U$5*$S$19))*'IN-OUT'!$F$14))*'Burland damage classification'!BA472</f>
        <v>9.0617644887223993E-3</v>
      </c>
      <c r="AX472" s="353">
        <f>(1+(((IF($S$5&lt;&gt;0,$S$5^2,IF($S$6&lt;&gt;0,$S$6^2,IF($S$7&lt;&gt;0,$S$7^2))))*$U$5)/(18*$S$15))*('IN-OUT'!$F$14^(-1)))*BB472</f>
        <v>1.6380277533700326E-3</v>
      </c>
      <c r="AY472" s="254">
        <f t="shared" si="313"/>
        <v>1.6380277533700326E-3</v>
      </c>
      <c r="AZ472" s="254">
        <f t="shared" si="321"/>
        <v>0.16380277533700327</v>
      </c>
      <c r="BA472" s="254">
        <f t="shared" si="329"/>
        <v>1.0333333333333219E-3</v>
      </c>
      <c r="BB472" s="270">
        <f t="shared" si="314"/>
        <v>1.6268579122549914E-3</v>
      </c>
      <c r="BC472" s="253">
        <f t="shared" si="330"/>
        <v>9.6666666666666483E-4</v>
      </c>
      <c r="BD472" s="255">
        <f t="shared" si="322"/>
        <v>9.6666666666666484E-2</v>
      </c>
      <c r="BI472" s="248"/>
      <c r="BX472" s="351" t="e">
        <f>((((IF($T$5=0,$T$6,$T$5)))/(12*$T$19))+(((3*$T$15)/(2*IF($T$5=0,$T$6,$T$5)*$U$5*$T$19))*'IN-OUT'!$F$14))*'Burland damage classification'!CB472</f>
        <v>#DIV/0!</v>
      </c>
      <c r="BY472" s="352">
        <f>(1+(((IF($T$5=0,$T$6^2,$T$5^2))*$U$5)/(18*$T$15))*('IN-OUT'!$F$14^(-1)))*CC472</f>
        <v>5.6862407030773381E-4</v>
      </c>
      <c r="BZ472" s="254" t="e">
        <f t="shared" si="315"/>
        <v>#DIV/0!</v>
      </c>
      <c r="CA472" s="254" t="e">
        <f t="shared" si="323"/>
        <v>#DIV/0!</v>
      </c>
      <c r="CB472" s="254">
        <f t="shared" si="331"/>
        <v>3.3333333333335022E-5</v>
      </c>
      <c r="CC472" s="253">
        <f t="shared" si="316"/>
        <v>5.6862407030773381E-4</v>
      </c>
      <c r="CD472" s="253">
        <f t="shared" si="332"/>
        <v>9.6666666666666483E-4</v>
      </c>
      <c r="CE472" s="255">
        <f t="shared" si="324"/>
        <v>9.6666666666666484E-2</v>
      </c>
      <c r="CG472" s="351" t="e">
        <f>((((IF($T$5=0,$T$6,$T$5)))/(12*$T$19))+(((3*$T$15)/(2*IF($T$5=0,$T$6,$T$5)*$U$5*$T$19))*'IN-OUT'!$F$14))*'Burland damage classification'!CK472</f>
        <v>#DIV/0!</v>
      </c>
      <c r="CH472" s="352">
        <f>(1+(((IF($T$5=0,$T$6^2,$T$5^2))*$U$5)/(18*$T$15))*('IN-OUT'!$F$14^(-1)))*CL472</f>
        <v>1.6268579122549914E-3</v>
      </c>
      <c r="CI472" s="254" t="e">
        <f t="shared" si="317"/>
        <v>#DIV/0!</v>
      </c>
      <c r="CJ472" s="254" t="e">
        <f t="shared" si="325"/>
        <v>#DIV/0!</v>
      </c>
      <c r="CK472" s="254">
        <f t="shared" si="333"/>
        <v>1.0333333333333219E-3</v>
      </c>
      <c r="CL472" s="270">
        <f t="shared" si="318"/>
        <v>1.6268579122549914E-3</v>
      </c>
      <c r="CM472" s="253">
        <f t="shared" si="334"/>
        <v>9.6666666666666483E-4</v>
      </c>
      <c r="CN472" s="255">
        <f t="shared" si="326"/>
        <v>9.6666666666666484E-2</v>
      </c>
    </row>
    <row r="473" spans="40:92">
      <c r="AN473" s="258">
        <f>(((IF($S$5&lt;&gt;0,$S$5,IF($S$6&lt;&gt;0,$S$6,IF($S$7&lt;&gt;0,$S$7,0))))/(12*$S$19))+(((3*$S$15)/(2*(IF($S$5&lt;&gt;0,$S$5,IF($S$6&lt;&gt;0,$S$6,IF($S$7&lt;&gt;0,$S$7,0))))*$U$5*$S$19))*'IN-OUT'!$F$14))*'Burland damage classification'!AR473</f>
        <v>2.3385198680575672E-4</v>
      </c>
      <c r="AO473" s="353">
        <f>(1+(((IF($S$5&lt;&gt;0,$S$5^2,IF($S$6&lt;&gt;0,$S$6^2,IF($S$7&lt;&gt;0,$S$7^2))))*$U$5)/(18*$S$15))*('IN-OUT'!$F$14^(-1)))*AS473</f>
        <v>5.6838152212847399E-4</v>
      </c>
      <c r="AP473" s="254">
        <f t="shared" si="311"/>
        <v>2.3385198680575672E-4</v>
      </c>
      <c r="AQ473" s="254">
        <f t="shared" si="319"/>
        <v>2.3385198680575672E-2</v>
      </c>
      <c r="AR473" s="254">
        <f t="shared" si="327"/>
        <v>2.6666666666668354E-5</v>
      </c>
      <c r="AS473" s="253">
        <f t="shared" si="312"/>
        <v>5.6450568346710906E-4</v>
      </c>
      <c r="AT473" s="253">
        <f t="shared" si="328"/>
        <v>9.7333333333333148E-4</v>
      </c>
      <c r="AU473" s="255">
        <f t="shared" si="320"/>
        <v>9.7333333333333147E-2</v>
      </c>
      <c r="AW473" s="258">
        <f>(((IF($S$5&lt;&gt;0,$S$5,IF($S$6&lt;&gt;0,$S$6,IF($S$7&lt;&gt;0,$S$7,0))))/(12*$S$19))+(((3*$S$15)/(2*(IF($S$5&lt;&gt;0,$S$5,IF($S$6&lt;&gt;0,$S$6,IF($S$7&lt;&gt;0,$S$7,0))))*$U$5*$S$19))*'IN-OUT'!$F$14))*'Burland damage classification'!BA473</f>
        <v>9.0033014920209622E-3</v>
      </c>
      <c r="AX473" s="353">
        <f>(1+(((IF($S$5&lt;&gt;0,$S$5^2,IF($S$6&lt;&gt;0,$S$6^2,IF($S$7&lt;&gt;0,$S$7^2))))*$U$5)/(18*$S$15))*('IN-OUT'!$F$14^(-1)))*BB473</f>
        <v>1.6351369924449838E-3</v>
      </c>
      <c r="AY473" s="254">
        <f t="shared" si="313"/>
        <v>1.6351369924449838E-3</v>
      </c>
      <c r="AZ473" s="254">
        <f t="shared" si="321"/>
        <v>0.16351369924449838</v>
      </c>
      <c r="BA473" s="254">
        <f t="shared" si="329"/>
        <v>1.0266666666666551E-3</v>
      </c>
      <c r="BB473" s="270">
        <f t="shared" si="314"/>
        <v>1.6239868636578733E-3</v>
      </c>
      <c r="BC473" s="253">
        <f t="shared" si="330"/>
        <v>9.7333333333333148E-4</v>
      </c>
      <c r="BD473" s="255">
        <f t="shared" si="322"/>
        <v>9.7333333333333147E-2</v>
      </c>
      <c r="BI473" s="248"/>
      <c r="BX473" s="351" t="e">
        <f>((((IF($T$5=0,$T$6,$T$5)))/(12*$T$19))+(((3*$T$15)/(2*IF($T$5=0,$T$6,$T$5)*$U$5*$T$19))*'IN-OUT'!$F$14))*'Burland damage classification'!CB473</f>
        <v>#DIV/0!</v>
      </c>
      <c r="BY473" s="352">
        <f>(1+(((IF($T$5=0,$T$6^2,$T$5^2))*$U$5)/(18*$T$15))*('IN-OUT'!$F$14^(-1)))*CC473</f>
        <v>5.6450568346710906E-4</v>
      </c>
      <c r="BZ473" s="254" t="e">
        <f t="shared" si="315"/>
        <v>#DIV/0!</v>
      </c>
      <c r="CA473" s="254" t="e">
        <f t="shared" si="323"/>
        <v>#DIV/0!</v>
      </c>
      <c r="CB473" s="254">
        <f t="shared" si="331"/>
        <v>2.6666666666668354E-5</v>
      </c>
      <c r="CC473" s="253">
        <f t="shared" si="316"/>
        <v>5.6450568346710906E-4</v>
      </c>
      <c r="CD473" s="253">
        <f t="shared" si="332"/>
        <v>9.7333333333333148E-4</v>
      </c>
      <c r="CE473" s="255">
        <f t="shared" si="324"/>
        <v>9.7333333333333147E-2</v>
      </c>
      <c r="CG473" s="351" t="e">
        <f>((((IF($T$5=0,$T$6,$T$5)))/(12*$T$19))+(((3*$T$15)/(2*IF($T$5=0,$T$6,$T$5)*$U$5*$T$19))*'IN-OUT'!$F$14))*'Burland damage classification'!CK473</f>
        <v>#DIV/0!</v>
      </c>
      <c r="CH473" s="352">
        <f>(1+(((IF($T$5=0,$T$6^2,$T$5^2))*$U$5)/(18*$T$15))*('IN-OUT'!$F$14^(-1)))*CL473</f>
        <v>1.6239868636578733E-3</v>
      </c>
      <c r="CI473" s="254" t="e">
        <f t="shared" si="317"/>
        <v>#DIV/0!</v>
      </c>
      <c r="CJ473" s="254" t="e">
        <f t="shared" si="325"/>
        <v>#DIV/0!</v>
      </c>
      <c r="CK473" s="254">
        <f t="shared" si="333"/>
        <v>1.0266666666666551E-3</v>
      </c>
      <c r="CL473" s="270">
        <f t="shared" si="318"/>
        <v>1.6239868636578733E-3</v>
      </c>
      <c r="CM473" s="253">
        <f t="shared" si="334"/>
        <v>9.7333333333333148E-4</v>
      </c>
      <c r="CN473" s="255">
        <f t="shared" si="326"/>
        <v>9.7333333333333147E-2</v>
      </c>
    </row>
    <row r="474" spans="40:92">
      <c r="AN474" s="258">
        <f>(((IF($S$5&lt;&gt;0,$S$5,IF($S$6&lt;&gt;0,$S$6,IF($S$7&lt;&gt;0,$S$7,0))))/(12*$S$19))+(((3*$S$15)/(2*(IF($S$5&lt;&gt;0,$S$5,IF($S$6&lt;&gt;0,$S$6,IF($S$7&lt;&gt;0,$S$7,0))))*$U$5*$S$19))*'IN-OUT'!$F$14))*'Burland damage classification'!AR474</f>
        <v>1.7538899010432121E-4</v>
      </c>
      <c r="AO474" s="353">
        <f>(1+(((IF($S$5&lt;&gt;0,$S$5^2,IF($S$6&lt;&gt;0,$S$6^2,IF($S$7&lt;&gt;0,$S$7^2))))*$U$5)/(18*$S$15))*('IN-OUT'!$F$14^(-1)))*AS474</f>
        <v>5.6420438346653783E-4</v>
      </c>
      <c r="AP474" s="254">
        <f t="shared" si="311"/>
        <v>1.7538899010432121E-4</v>
      </c>
      <c r="AQ474" s="254">
        <f t="shared" si="319"/>
        <v>1.7538899010432121E-2</v>
      </c>
      <c r="AR474" s="254">
        <f t="shared" si="327"/>
        <v>2.0000000000001686E-5</v>
      </c>
      <c r="AS474" s="253">
        <f t="shared" si="312"/>
        <v>5.6035702904487711E-4</v>
      </c>
      <c r="AT474" s="253">
        <f t="shared" si="328"/>
        <v>9.7999999999999823E-4</v>
      </c>
      <c r="AU474" s="255">
        <f t="shared" si="320"/>
        <v>9.7999999999999823E-2</v>
      </c>
      <c r="AW474" s="258">
        <f>(((IF($S$5&lt;&gt;0,$S$5,IF($S$6&lt;&gt;0,$S$6,IF($S$7&lt;&gt;0,$S$7,0))))/(12*$S$19))+(((3*$S$15)/(2*(IF($S$5&lt;&gt;0,$S$5,IF($S$6&lt;&gt;0,$S$6,IF($S$7&lt;&gt;0,$S$7,0))))*$U$5*$S$19))*'IN-OUT'!$F$14))*'Burland damage classification'!BA474</f>
        <v>8.9448384953195268E-3</v>
      </c>
      <c r="AX474" s="353">
        <f>(1+(((IF($S$5&lt;&gt;0,$S$5^2,IF($S$6&lt;&gt;0,$S$6^2,IF($S$7&lt;&gt;0,$S$7^2))))*$U$5)/(18*$S$15))*('IN-OUT'!$F$14^(-1)))*BB474</f>
        <v>1.63224111188071E-3</v>
      </c>
      <c r="AY474" s="254">
        <f t="shared" si="313"/>
        <v>1.63224111188071E-3</v>
      </c>
      <c r="AZ474" s="254">
        <f t="shared" si="321"/>
        <v>0.16322411118807101</v>
      </c>
      <c r="BA474" s="254">
        <f t="shared" si="329"/>
        <v>1.0199999999999884E-3</v>
      </c>
      <c r="BB474" s="270">
        <f t="shared" si="314"/>
        <v>1.6211107303327563E-3</v>
      </c>
      <c r="BC474" s="253">
        <f t="shared" si="330"/>
        <v>9.7999999999999823E-4</v>
      </c>
      <c r="BD474" s="255">
        <f t="shared" si="322"/>
        <v>9.7999999999999823E-2</v>
      </c>
      <c r="BI474" s="248"/>
      <c r="BX474" s="351" t="e">
        <f>((((IF($T$5=0,$T$6,$T$5)))/(12*$T$19))+(((3*$T$15)/(2*IF($T$5=0,$T$6,$T$5)*$U$5*$T$19))*'IN-OUT'!$F$14))*'Burland damage classification'!CB474</f>
        <v>#DIV/0!</v>
      </c>
      <c r="BY474" s="352">
        <f>(1+(((IF($T$5=0,$T$6^2,$T$5^2))*$U$5)/(18*$T$15))*('IN-OUT'!$F$14^(-1)))*CC474</f>
        <v>5.6035702904487711E-4</v>
      </c>
      <c r="BZ474" s="254" t="e">
        <f t="shared" si="315"/>
        <v>#DIV/0!</v>
      </c>
      <c r="CA474" s="254" t="e">
        <f t="shared" si="323"/>
        <v>#DIV/0!</v>
      </c>
      <c r="CB474" s="254">
        <f t="shared" si="331"/>
        <v>2.0000000000001686E-5</v>
      </c>
      <c r="CC474" s="253">
        <f t="shared" si="316"/>
        <v>5.6035702904487711E-4</v>
      </c>
      <c r="CD474" s="253">
        <f t="shared" si="332"/>
        <v>9.7999999999999823E-4</v>
      </c>
      <c r="CE474" s="255">
        <f t="shared" si="324"/>
        <v>9.7999999999999823E-2</v>
      </c>
      <c r="CG474" s="351" t="e">
        <f>((((IF($T$5=0,$T$6,$T$5)))/(12*$T$19))+(((3*$T$15)/(2*IF($T$5=0,$T$6,$T$5)*$U$5*$T$19))*'IN-OUT'!$F$14))*'Burland damage classification'!CK474</f>
        <v>#DIV/0!</v>
      </c>
      <c r="CH474" s="352">
        <f>(1+(((IF($T$5=0,$T$6^2,$T$5^2))*$U$5)/(18*$T$15))*('IN-OUT'!$F$14^(-1)))*CL474</f>
        <v>1.6211107303327563E-3</v>
      </c>
      <c r="CI474" s="254" t="e">
        <f t="shared" si="317"/>
        <v>#DIV/0!</v>
      </c>
      <c r="CJ474" s="254" t="e">
        <f t="shared" si="325"/>
        <v>#DIV/0!</v>
      </c>
      <c r="CK474" s="254">
        <f t="shared" si="333"/>
        <v>1.0199999999999884E-3</v>
      </c>
      <c r="CL474" s="270">
        <f t="shared" si="318"/>
        <v>1.6211107303327563E-3</v>
      </c>
      <c r="CM474" s="253">
        <f t="shared" si="334"/>
        <v>9.7999999999999823E-4</v>
      </c>
      <c r="CN474" s="255">
        <f t="shared" si="326"/>
        <v>9.7999999999999823E-2</v>
      </c>
    </row>
    <row r="475" spans="40:92">
      <c r="AN475" s="258">
        <f>(((IF($S$5&lt;&gt;0,$S$5,IF($S$6&lt;&gt;0,$S$6,IF($S$7&lt;&gt;0,$S$7,0))))/(12*$S$19))+(((3*$S$15)/(2*(IF($S$5&lt;&gt;0,$S$5,IF($S$6&lt;&gt;0,$S$6,IF($S$7&lt;&gt;0,$S$7,0))))*$U$5*$S$19))*'IN-OUT'!$F$14))*'Burland damage classification'!AR475</f>
        <v>1.1692599340288575E-4</v>
      </c>
      <c r="AO475" s="353">
        <f>(1+(((IF($S$5&lt;&gt;0,$S$5^2,IF($S$6&lt;&gt;0,$S$6^2,IF($S$7&lt;&gt;0,$S$7^2))))*$U$5)/(18*$S$15))*('IN-OUT'!$F$14^(-1)))*AS475</f>
        <v>5.5999608744046676E-4</v>
      </c>
      <c r="AP475" s="254">
        <f t="shared" si="311"/>
        <v>1.1692599340288575E-4</v>
      </c>
      <c r="AQ475" s="254">
        <f t="shared" si="319"/>
        <v>1.1692599340288575E-2</v>
      </c>
      <c r="AR475" s="254">
        <f t="shared" si="327"/>
        <v>1.3333333333335019E-5</v>
      </c>
      <c r="AS475" s="253">
        <f t="shared" si="312"/>
        <v>5.5617742972304668E-4</v>
      </c>
      <c r="AT475" s="253">
        <f t="shared" si="328"/>
        <v>9.8666666666666499E-4</v>
      </c>
      <c r="AU475" s="255">
        <f t="shared" si="320"/>
        <v>9.86666666666665E-2</v>
      </c>
      <c r="AW475" s="258">
        <f>(((IF($S$5&lt;&gt;0,$S$5,IF($S$6&lt;&gt;0,$S$6,IF($S$7&lt;&gt;0,$S$7,0))))/(12*$S$19))+(((3*$S$15)/(2*(IF($S$5&lt;&gt;0,$S$5,IF($S$6&lt;&gt;0,$S$6,IF($S$7&lt;&gt;0,$S$7,0))))*$U$5*$S$19))*'IN-OUT'!$F$14))*'Burland damage classification'!BA475</f>
        <v>8.8863754986180897E-3</v>
      </c>
      <c r="AX475" s="353">
        <f>(1+(((IF($S$5&lt;&gt;0,$S$5^2,IF($S$6&lt;&gt;0,$S$6^2,IF($S$7&lt;&gt;0,$S$7^2))))*$U$5)/(18*$S$15))*('IN-OUT'!$F$14^(-1)))*BB475</f>
        <v>1.6293400843792945E-3</v>
      </c>
      <c r="AY475" s="254">
        <f t="shared" si="313"/>
        <v>1.6293400843792945E-3</v>
      </c>
      <c r="AZ475" s="254">
        <f t="shared" si="321"/>
        <v>0.16293400843792946</v>
      </c>
      <c r="BA475" s="254">
        <f t="shared" si="329"/>
        <v>1.0133333333333216E-3</v>
      </c>
      <c r="BB475" s="270">
        <f t="shared" si="314"/>
        <v>1.61822948516787E-3</v>
      </c>
      <c r="BC475" s="253">
        <f t="shared" si="330"/>
        <v>9.8666666666666499E-4</v>
      </c>
      <c r="BD475" s="255">
        <f t="shared" si="322"/>
        <v>9.86666666666665E-2</v>
      </c>
      <c r="BI475" s="248"/>
      <c r="BX475" s="351" t="e">
        <f>((((IF($T$5=0,$T$6,$T$5)))/(12*$T$19))+(((3*$T$15)/(2*IF($T$5=0,$T$6,$T$5)*$U$5*$T$19))*'IN-OUT'!$F$14))*'Burland damage classification'!CB475</f>
        <v>#DIV/0!</v>
      </c>
      <c r="BY475" s="352">
        <f>(1+(((IF($T$5=0,$T$6^2,$T$5^2))*$U$5)/(18*$T$15))*('IN-OUT'!$F$14^(-1)))*CC475</f>
        <v>5.5617742972304668E-4</v>
      </c>
      <c r="BZ475" s="254" t="e">
        <f t="shared" si="315"/>
        <v>#DIV/0!</v>
      </c>
      <c r="CA475" s="254" t="e">
        <f t="shared" si="323"/>
        <v>#DIV/0!</v>
      </c>
      <c r="CB475" s="254">
        <f t="shared" si="331"/>
        <v>1.3333333333335019E-5</v>
      </c>
      <c r="CC475" s="253">
        <f t="shared" si="316"/>
        <v>5.5617742972304668E-4</v>
      </c>
      <c r="CD475" s="253">
        <f t="shared" si="332"/>
        <v>9.8666666666666499E-4</v>
      </c>
      <c r="CE475" s="255">
        <f t="shared" si="324"/>
        <v>9.86666666666665E-2</v>
      </c>
      <c r="CG475" s="351" t="e">
        <f>((((IF($T$5=0,$T$6,$T$5)))/(12*$T$19))+(((3*$T$15)/(2*IF($T$5=0,$T$6,$T$5)*$U$5*$T$19))*'IN-OUT'!$F$14))*'Burland damage classification'!CK475</f>
        <v>#DIV/0!</v>
      </c>
      <c r="CH475" s="352">
        <f>(1+(((IF($T$5=0,$T$6^2,$T$5^2))*$U$5)/(18*$T$15))*('IN-OUT'!$F$14^(-1)))*CL475</f>
        <v>1.61822948516787E-3</v>
      </c>
      <c r="CI475" s="254" t="e">
        <f t="shared" si="317"/>
        <v>#DIV/0!</v>
      </c>
      <c r="CJ475" s="254" t="e">
        <f t="shared" si="325"/>
        <v>#DIV/0!</v>
      </c>
      <c r="CK475" s="254">
        <f t="shared" si="333"/>
        <v>1.0133333333333216E-3</v>
      </c>
      <c r="CL475" s="270">
        <f t="shared" si="318"/>
        <v>1.61822948516787E-3</v>
      </c>
      <c r="CM475" s="253">
        <f t="shared" si="334"/>
        <v>9.8666666666666499E-4</v>
      </c>
      <c r="CN475" s="255">
        <f t="shared" si="326"/>
        <v>9.86666666666665E-2</v>
      </c>
    </row>
    <row r="476" spans="40:92">
      <c r="AN476" s="258">
        <f>(((IF($S$5&lt;&gt;0,$S$5,IF($S$6&lt;&gt;0,$S$6,IF($S$7&lt;&gt;0,$S$7,0))))/(12*$S$19))+(((3*$S$15)/(2*(IF($S$5&lt;&gt;0,$S$5,IF($S$6&lt;&gt;0,$S$6,IF($S$7&lt;&gt;0,$S$7,0))))*$U$5*$S$19))*'IN-OUT'!$F$14))*'Burland damage classification'!AR476</f>
        <v>5.8462996701450259E-5</v>
      </c>
      <c r="AO476" s="353">
        <f>(1+(((IF($S$5&lt;&gt;0,$S$5^2,IF($S$6&lt;&gt;0,$S$6^2,IF($S$7&lt;&gt;0,$S$7^2))))*$U$5)/(18*$S$15))*('IN-OUT'!$F$14^(-1)))*AS476</f>
        <v>5.5575592626116532E-4</v>
      </c>
      <c r="AP476" s="254">
        <f t="shared" si="311"/>
        <v>5.8462996701450259E-5</v>
      </c>
      <c r="AQ476" s="254">
        <f t="shared" si="319"/>
        <v>5.8462996701450255E-3</v>
      </c>
      <c r="AR476" s="254">
        <f t="shared" si="327"/>
        <v>6.6666666666683522E-6</v>
      </c>
      <c r="AS476" s="253">
        <f t="shared" si="312"/>
        <v>5.5196618253899193E-4</v>
      </c>
      <c r="AT476" s="253">
        <f t="shared" si="328"/>
        <v>9.9333333333333175E-4</v>
      </c>
      <c r="AU476" s="255">
        <f t="shared" si="320"/>
        <v>9.9333333333333176E-2</v>
      </c>
      <c r="AW476" s="258">
        <f>(((IF($S$5&lt;&gt;0,$S$5,IF($S$6&lt;&gt;0,$S$6,IF($S$7&lt;&gt;0,$S$7,0))))/(12*$S$19))+(((3*$S$15)/(2*(IF($S$5&lt;&gt;0,$S$5,IF($S$6&lt;&gt;0,$S$6,IF($S$7&lt;&gt;0,$S$7,0))))*$U$5*$S$19))*'IN-OUT'!$F$14))*'Burland damage classification'!BA476</f>
        <v>8.8279125019166543E-3</v>
      </c>
      <c r="AX476" s="353">
        <f>(1+(((IF($S$5&lt;&gt;0,$S$5^2,IF($S$6&lt;&gt;0,$S$6^2,IF($S$7&lt;&gt;0,$S$7^2))))*$U$5)/(18*$S$15))*('IN-OUT'!$F$14^(-1)))*BB476</f>
        <v>1.6264338823993665E-3</v>
      </c>
      <c r="AY476" s="254">
        <f t="shared" si="313"/>
        <v>1.6264338823993665E-3</v>
      </c>
      <c r="AZ476" s="254">
        <f t="shared" si="321"/>
        <v>0.16264338823993665</v>
      </c>
      <c r="BA476" s="254">
        <f t="shared" si="329"/>
        <v>1.0066666666666549E-3</v>
      </c>
      <c r="BB476" s="270">
        <f t="shared" si="314"/>
        <v>1.6153431008096501E-3</v>
      </c>
      <c r="BC476" s="253">
        <f t="shared" si="330"/>
        <v>9.9333333333333175E-4</v>
      </c>
      <c r="BD476" s="255">
        <f t="shared" si="322"/>
        <v>9.9333333333333176E-2</v>
      </c>
      <c r="BI476" s="248"/>
      <c r="BX476" s="351" t="e">
        <f>((((IF($T$5=0,$T$6,$T$5)))/(12*$T$19))+(((3*$T$15)/(2*IF($T$5=0,$T$6,$T$5)*$U$5*$T$19))*'IN-OUT'!$F$14))*'Burland damage classification'!CB476</f>
        <v>#DIV/0!</v>
      </c>
      <c r="BY476" s="352">
        <f>(1+(((IF($T$5=0,$T$6^2,$T$5^2))*$U$5)/(18*$T$15))*('IN-OUT'!$F$14^(-1)))*CC476</f>
        <v>5.5196618253899193E-4</v>
      </c>
      <c r="BZ476" s="254" t="e">
        <f t="shared" si="315"/>
        <v>#DIV/0!</v>
      </c>
      <c r="CA476" s="254" t="e">
        <f t="shared" si="323"/>
        <v>#DIV/0!</v>
      </c>
      <c r="CB476" s="254">
        <f t="shared" si="331"/>
        <v>6.6666666666683522E-6</v>
      </c>
      <c r="CC476" s="253">
        <f t="shared" si="316"/>
        <v>5.5196618253899193E-4</v>
      </c>
      <c r="CD476" s="253">
        <f t="shared" si="332"/>
        <v>9.9333333333333175E-4</v>
      </c>
      <c r="CE476" s="255">
        <f t="shared" si="324"/>
        <v>9.9333333333333176E-2</v>
      </c>
      <c r="CG476" s="351" t="e">
        <f>((((IF($T$5=0,$T$6,$T$5)))/(12*$T$19))+(((3*$T$15)/(2*IF($T$5=0,$T$6,$T$5)*$U$5*$T$19))*'IN-OUT'!$F$14))*'Burland damage classification'!CK476</f>
        <v>#DIV/0!</v>
      </c>
      <c r="CH476" s="352">
        <f>(1+(((IF($T$5=0,$T$6^2,$T$5^2))*$U$5)/(18*$T$15))*('IN-OUT'!$F$14^(-1)))*CL476</f>
        <v>1.6153431008096501E-3</v>
      </c>
      <c r="CI476" s="254" t="e">
        <f t="shared" si="317"/>
        <v>#DIV/0!</v>
      </c>
      <c r="CJ476" s="254" t="e">
        <f t="shared" si="325"/>
        <v>#DIV/0!</v>
      </c>
      <c r="CK476" s="254">
        <f t="shared" si="333"/>
        <v>1.0066666666666549E-3</v>
      </c>
      <c r="CL476" s="270">
        <f t="shared" si="318"/>
        <v>1.6153431008096501E-3</v>
      </c>
      <c r="CM476" s="253">
        <f t="shared" si="334"/>
        <v>9.9333333333333175E-4</v>
      </c>
      <c r="CN476" s="255">
        <f t="shared" si="326"/>
        <v>9.9333333333333176E-2</v>
      </c>
    </row>
    <row r="477" spans="40:92" ht="13.8" thickBot="1">
      <c r="AN477" s="258">
        <f>(((IF($S$5&lt;&gt;0,$S$5,IF($S$6&lt;&gt;0,$S$6,IF($S$7&lt;&gt;0,$S$7,0))))/(12*$S$19))+(((3*$S$15)/(2*(IF($S$5&lt;&gt;0,$S$5,IF($S$6&lt;&gt;0,$S$6,IF($S$7&lt;&gt;0,$S$7,0))))*$U$5*$S$19))*'IN-OUT'!$F$14))*'Burland damage classification'!AR477</f>
        <v>1.4781745193798596E-17</v>
      </c>
      <c r="AO477" s="353">
        <f>(1+(((IF($S$5&lt;&gt;0,$S$5^2,IF($S$6&lt;&gt;0,$S$6^2,IF($S$7&lt;&gt;0,$S$7^2))))*$U$5)/(18*$S$15))*('IN-OUT'!$F$14^(-1)))*AS477</f>
        <v>5.5148316492906722E-4</v>
      </c>
      <c r="AP477" s="259">
        <f t="shared" si="311"/>
        <v>1.4781745193798596E-17</v>
      </c>
      <c r="AQ477" s="259">
        <f t="shared" si="319"/>
        <v>1.4781745193798596E-15</v>
      </c>
      <c r="AR477" s="254">
        <f t="shared" si="327"/>
        <v>1.6855955650360577E-18</v>
      </c>
      <c r="AS477" s="260">
        <f t="shared" si="312"/>
        <v>5.4772255750516708E-4</v>
      </c>
      <c r="AT477" s="253">
        <f t="shared" si="328"/>
        <v>9.999999999999985E-4</v>
      </c>
      <c r="AU477" s="261">
        <f t="shared" si="320"/>
        <v>9.9999999999999853E-2</v>
      </c>
      <c r="AW477" s="258">
        <f>(((IF($S$5&lt;&gt;0,$S$5,IF($S$6&lt;&gt;0,$S$6,IF($S$7&lt;&gt;0,$S$7,0))))/(12*$S$19))+(((3*$S$15)/(2*(IF($S$5&lt;&gt;0,$S$5,IF($S$6&lt;&gt;0,$S$6,IF($S$7&lt;&gt;0,$S$7,0))))*$U$5*$S$19))*'IN-OUT'!$F$14))*'Burland damage classification'!BA477</f>
        <v>8.7694495052152172E-3</v>
      </c>
      <c r="AX477" s="353">
        <f>(1+(((IF($S$5&lt;&gt;0,$S$5^2,IF($S$6&lt;&gt;0,$S$6^2,IF($S$7&lt;&gt;0,$S$7^2))))*$U$5)/(18*$S$15))*('IN-OUT'!$F$14^(-1)))*BB477</f>
        <v>1.6235224781530515E-3</v>
      </c>
      <c r="AY477" s="254">
        <f t="shared" si="313"/>
        <v>1.6235224781530515E-3</v>
      </c>
      <c r="AZ477" s="254">
        <f t="shared" si="321"/>
        <v>0.16235224781530516</v>
      </c>
      <c r="BA477" s="254">
        <f t="shared" si="329"/>
        <v>9.9999999999998809E-4</v>
      </c>
      <c r="BB477" s="270">
        <f t="shared" si="314"/>
        <v>1.6124515496597105E-3</v>
      </c>
      <c r="BC477" s="253">
        <f t="shared" si="330"/>
        <v>9.999999999999985E-4</v>
      </c>
      <c r="BD477" s="255">
        <f t="shared" si="322"/>
        <v>9.9999999999999853E-2</v>
      </c>
      <c r="BI477" s="248"/>
      <c r="BX477" s="351" t="e">
        <f>((((IF($T$5=0,$T$6,$T$5)))/(12*$T$19))+(((3*$T$15)/(2*IF($T$5=0,$T$6,$T$5)*$U$5*$T$19))*'IN-OUT'!$F$14))*'Burland damage classification'!CB477</f>
        <v>#DIV/0!</v>
      </c>
      <c r="BY477" s="352">
        <f>(1+(((IF($T$5=0,$T$6^2,$T$5^2))*$U$5)/(18*$T$15))*('IN-OUT'!$F$14^(-1)))*CC477</f>
        <v>5.4772255750516708E-4</v>
      </c>
      <c r="BZ477" s="259" t="e">
        <f t="shared" si="315"/>
        <v>#DIV/0!</v>
      </c>
      <c r="CA477" s="259" t="e">
        <f t="shared" si="323"/>
        <v>#DIV/0!</v>
      </c>
      <c r="CB477" s="254">
        <f t="shared" si="331"/>
        <v>1.6855955650360577E-18</v>
      </c>
      <c r="CC477" s="260">
        <f t="shared" si="316"/>
        <v>5.4772255750516708E-4</v>
      </c>
      <c r="CD477" s="253">
        <f t="shared" si="332"/>
        <v>9.999999999999985E-4</v>
      </c>
      <c r="CE477" s="261">
        <f t="shared" si="324"/>
        <v>9.9999999999999853E-2</v>
      </c>
      <c r="CG477" s="351" t="e">
        <f>((((IF($T$5=0,$T$6,$T$5)))/(12*$T$19))+(((3*$T$15)/(2*IF($T$5=0,$T$6,$T$5)*$U$5*$T$19))*'IN-OUT'!$F$14))*'Burland damage classification'!CK477</f>
        <v>#DIV/0!</v>
      </c>
      <c r="CH477" s="352">
        <f>(1+(((IF($T$5=0,$T$6^2,$T$5^2))*$U$5)/(18*$T$15))*('IN-OUT'!$F$14^(-1)))*CL477</f>
        <v>1.6124515496597105E-3</v>
      </c>
      <c r="CI477" s="254" t="e">
        <f t="shared" si="317"/>
        <v>#DIV/0!</v>
      </c>
      <c r="CJ477" s="254" t="e">
        <f t="shared" si="325"/>
        <v>#DIV/0!</v>
      </c>
      <c r="CK477" s="254">
        <f t="shared" si="333"/>
        <v>9.9999999999998809E-4</v>
      </c>
      <c r="CL477" s="270">
        <f t="shared" si="318"/>
        <v>1.6124515496597105E-3</v>
      </c>
      <c r="CM477" s="253">
        <f t="shared" si="334"/>
        <v>9.999999999999985E-4</v>
      </c>
      <c r="CN477" s="255">
        <f t="shared" si="326"/>
        <v>9.9999999999999853E-2</v>
      </c>
    </row>
    <row r="478" spans="40:92">
      <c r="AS478" s="254"/>
      <c r="AW478" s="258">
        <f>(((IF($S$5&lt;&gt;0,$S$5,IF($S$6&lt;&gt;0,$S$6,IF($S$7&lt;&gt;0,$S$7,0))))/(12*$S$19))+(((3*$S$15)/(2*(IF($S$5&lt;&gt;0,$S$5,IF($S$6&lt;&gt;0,$S$6,IF($S$7&lt;&gt;0,$S$7,0))))*$U$5*$S$19))*'IN-OUT'!$F$14))*'Burland damage classification'!BA478</f>
        <v>8.7109865085137819E-3</v>
      </c>
      <c r="AX478" s="353">
        <f>(1+(((IF($S$5&lt;&gt;0,$S$5^2,IF($S$6&lt;&gt;0,$S$6^2,IF($S$7&lt;&gt;0,$S$7^2))))*$U$5)/(18*$S$15))*('IN-OUT'!$F$14^(-1)))*BB478</f>
        <v>1.6206058436028718E-3</v>
      </c>
      <c r="AY478" s="254">
        <f t="shared" si="313"/>
        <v>1.6206058436028718E-3</v>
      </c>
      <c r="AZ478" s="254">
        <f t="shared" si="321"/>
        <v>0.16206058436028717</v>
      </c>
      <c r="BA478" s="254">
        <f t="shared" si="329"/>
        <v>9.9333333333332134E-4</v>
      </c>
      <c r="BB478" s="270">
        <f t="shared" si="314"/>
        <v>1.6095548038717628E-3</v>
      </c>
      <c r="BC478" s="253">
        <f t="shared" si="330"/>
        <v>1.0066666666666653E-3</v>
      </c>
      <c r="BD478" s="255">
        <f t="shared" si="322"/>
        <v>0.10066666666666653</v>
      </c>
      <c r="BI478" s="248"/>
      <c r="CC478" s="254"/>
      <c r="CG478" s="351" t="e">
        <f>((((IF($T$5=0,$T$6,$T$5)))/(12*$T$19))+(((3*$T$15)/(2*IF($T$5=0,$T$6,$T$5)*$U$5*$T$19))*'IN-OUT'!$F$14))*'Burland damage classification'!CK478</f>
        <v>#DIV/0!</v>
      </c>
      <c r="CH478" s="352">
        <f>(1+(((IF($T$5=0,$T$6^2,$T$5^2))*$U$5)/(18*$T$15))*('IN-OUT'!$F$14^(-1)))*CL478</f>
        <v>1.6095548038717628E-3</v>
      </c>
      <c r="CI478" s="254" t="e">
        <f t="shared" si="317"/>
        <v>#DIV/0!</v>
      </c>
      <c r="CJ478" s="254" t="e">
        <f t="shared" si="325"/>
        <v>#DIV/0!</v>
      </c>
      <c r="CK478" s="254">
        <f t="shared" si="333"/>
        <v>9.9333333333332134E-4</v>
      </c>
      <c r="CL478" s="270">
        <f t="shared" si="318"/>
        <v>1.6095548038717628E-3</v>
      </c>
      <c r="CM478" s="253">
        <f t="shared" si="334"/>
        <v>1.0066666666666653E-3</v>
      </c>
      <c r="CN478" s="255">
        <f t="shared" si="326"/>
        <v>0.10066666666666653</v>
      </c>
    </row>
    <row r="479" spans="40:92">
      <c r="AS479" s="254"/>
      <c r="AW479" s="258">
        <f>(((IF($S$5&lt;&gt;0,$S$5,IF($S$6&lt;&gt;0,$S$6,IF($S$7&lt;&gt;0,$S$7,0))))/(12*$S$19))+(((3*$S$15)/(2*(IF($S$5&lt;&gt;0,$S$5,IF($S$6&lt;&gt;0,$S$6,IF($S$7&lt;&gt;0,$S$7,0))))*$U$5*$S$19))*'IN-OUT'!$F$14))*'Burland damage classification'!BA479</f>
        <v>8.6525235118123447E-3</v>
      </c>
      <c r="AX479" s="353">
        <f>(1+(((IF($S$5&lt;&gt;0,$S$5^2,IF($S$6&lt;&gt;0,$S$6^2,IF($S$7&lt;&gt;0,$S$7^2))))*$U$5)/(18*$S$15))*('IN-OUT'!$F$14^(-1)))*BB479</f>
        <v>1.617683950458595E-3</v>
      </c>
      <c r="AY479" s="254">
        <f t="shared" si="313"/>
        <v>1.617683950458595E-3</v>
      </c>
      <c r="AZ479" s="254">
        <f t="shared" si="321"/>
        <v>0.16176839504585949</v>
      </c>
      <c r="BA479" s="254">
        <f t="shared" si="329"/>
        <v>9.8666666666665458E-4</v>
      </c>
      <c r="BB479" s="270">
        <f t="shared" si="314"/>
        <v>1.6066528353484879E-3</v>
      </c>
      <c r="BC479" s="253">
        <f t="shared" si="330"/>
        <v>1.013333333333332E-3</v>
      </c>
      <c r="BD479" s="255">
        <f t="shared" si="322"/>
        <v>0.10133333333333321</v>
      </c>
      <c r="BI479" s="248"/>
      <c r="CC479" s="254"/>
      <c r="CG479" s="351" t="e">
        <f>((((IF($T$5=0,$T$6,$T$5)))/(12*$T$19))+(((3*$T$15)/(2*IF($T$5=0,$T$6,$T$5)*$U$5*$T$19))*'IN-OUT'!$F$14))*'Burland damage classification'!CK479</f>
        <v>#DIV/0!</v>
      </c>
      <c r="CH479" s="352">
        <f>(1+(((IF($T$5=0,$T$6^2,$T$5^2))*$U$5)/(18*$T$15))*('IN-OUT'!$F$14^(-1)))*CL479</f>
        <v>1.6066528353484879E-3</v>
      </c>
      <c r="CI479" s="254" t="e">
        <f t="shared" si="317"/>
        <v>#DIV/0!</v>
      </c>
      <c r="CJ479" s="254" t="e">
        <f t="shared" si="325"/>
        <v>#DIV/0!</v>
      </c>
      <c r="CK479" s="254">
        <f t="shared" si="333"/>
        <v>9.8666666666665458E-4</v>
      </c>
      <c r="CL479" s="270">
        <f t="shared" si="318"/>
        <v>1.6066528353484879E-3</v>
      </c>
      <c r="CM479" s="253">
        <f t="shared" si="334"/>
        <v>1.013333333333332E-3</v>
      </c>
      <c r="CN479" s="255">
        <f t="shared" si="326"/>
        <v>0.10133333333333321</v>
      </c>
    </row>
    <row r="480" spans="40:92">
      <c r="AS480" s="254"/>
      <c r="AW480" s="258">
        <f>(((IF($S$5&lt;&gt;0,$S$5,IF($S$6&lt;&gt;0,$S$6,IF($S$7&lt;&gt;0,$S$7,0))))/(12*$S$19))+(((3*$S$15)/(2*(IF($S$5&lt;&gt;0,$S$5,IF($S$6&lt;&gt;0,$S$6,IF($S$7&lt;&gt;0,$S$7,0))))*$U$5*$S$19))*'IN-OUT'!$F$14))*'Burland damage classification'!BA480</f>
        <v>8.5940605151109094E-3</v>
      </c>
      <c r="AX480" s="353">
        <f>(1+(((IF($S$5&lt;&gt;0,$S$5^2,IF($S$6&lt;&gt;0,$S$6^2,IF($S$7&lt;&gt;0,$S$7^2))))*$U$5)/(18*$S$15))*('IN-OUT'!$F$14^(-1)))*BB480</f>
        <v>1.6147567701740332E-3</v>
      </c>
      <c r="AY480" s="254">
        <f t="shared" si="313"/>
        <v>1.6147567701740332E-3</v>
      </c>
      <c r="AZ480" s="254">
        <f t="shared" si="321"/>
        <v>0.16147567701740331</v>
      </c>
      <c r="BA480" s="254">
        <f t="shared" si="329"/>
        <v>9.7999999999998783E-4</v>
      </c>
      <c r="BB480" s="270">
        <f t="shared" si="314"/>
        <v>1.603745615738357E-3</v>
      </c>
      <c r="BC480" s="253">
        <f t="shared" si="330"/>
        <v>1.0199999999999988E-3</v>
      </c>
      <c r="BD480" s="255">
        <f t="shared" si="322"/>
        <v>0.10199999999999988</v>
      </c>
      <c r="BI480" s="248"/>
      <c r="CC480" s="254"/>
      <c r="CG480" s="351" t="e">
        <f>((((IF($T$5=0,$T$6,$T$5)))/(12*$T$19))+(((3*$T$15)/(2*IF($T$5=0,$T$6,$T$5)*$U$5*$T$19))*'IN-OUT'!$F$14))*'Burland damage classification'!CK480</f>
        <v>#DIV/0!</v>
      </c>
      <c r="CH480" s="352">
        <f>(1+(((IF($T$5=0,$T$6^2,$T$5^2))*$U$5)/(18*$T$15))*('IN-OUT'!$F$14^(-1)))*CL480</f>
        <v>1.603745615738357E-3</v>
      </c>
      <c r="CI480" s="254" t="e">
        <f t="shared" si="317"/>
        <v>#DIV/0!</v>
      </c>
      <c r="CJ480" s="254" t="e">
        <f t="shared" si="325"/>
        <v>#DIV/0!</v>
      </c>
      <c r="CK480" s="254">
        <f t="shared" si="333"/>
        <v>9.7999999999998783E-4</v>
      </c>
      <c r="CL480" s="270">
        <f t="shared" si="318"/>
        <v>1.603745615738357E-3</v>
      </c>
      <c r="CM480" s="253">
        <f t="shared" si="334"/>
        <v>1.0199999999999988E-3</v>
      </c>
      <c r="CN480" s="255">
        <f t="shared" si="326"/>
        <v>0.10199999999999988</v>
      </c>
    </row>
    <row r="481" spans="45:92">
      <c r="AS481" s="254"/>
      <c r="AW481" s="258">
        <f>(((IF($S$5&lt;&gt;0,$S$5,IF($S$6&lt;&gt;0,$S$6,IF($S$7&lt;&gt;0,$S$7,0))))/(12*$S$19))+(((3*$S$15)/(2*(IF($S$5&lt;&gt;0,$S$5,IF($S$6&lt;&gt;0,$S$6,IF($S$7&lt;&gt;0,$S$7,0))))*$U$5*$S$19))*'IN-OUT'!$F$14))*'Burland damage classification'!BA481</f>
        <v>8.535597518409474E-3</v>
      </c>
      <c r="AX481" s="353">
        <f>(1+(((IF($S$5&lt;&gt;0,$S$5^2,IF($S$6&lt;&gt;0,$S$6^2,IF($S$7&lt;&gt;0,$S$7^2))))*$U$5)/(18*$S$15))*('IN-OUT'!$F$14^(-1)))*BB481</f>
        <v>1.6118242739437899E-3</v>
      </c>
      <c r="AY481" s="254">
        <f t="shared" si="313"/>
        <v>1.6118242739437899E-3</v>
      </c>
      <c r="AZ481" s="254">
        <f t="shared" si="321"/>
        <v>0.16118242739437899</v>
      </c>
      <c r="BA481" s="254">
        <f t="shared" si="329"/>
        <v>9.7333333333332118E-4</v>
      </c>
      <c r="BB481" s="270">
        <f t="shared" si="314"/>
        <v>1.6008331164323996E-3</v>
      </c>
      <c r="BC481" s="253">
        <f t="shared" si="330"/>
        <v>1.0266666666666655E-3</v>
      </c>
      <c r="BD481" s="255">
        <f t="shared" si="322"/>
        <v>0.10266666666666656</v>
      </c>
      <c r="BI481" s="248"/>
      <c r="CC481" s="254"/>
      <c r="CG481" s="351" t="e">
        <f>((((IF($T$5=0,$T$6,$T$5)))/(12*$T$19))+(((3*$T$15)/(2*IF($T$5=0,$T$6,$T$5)*$U$5*$T$19))*'IN-OUT'!$F$14))*'Burland damage classification'!CK481</f>
        <v>#DIV/0!</v>
      </c>
      <c r="CH481" s="352">
        <f>(1+(((IF($T$5=0,$T$6^2,$T$5^2))*$U$5)/(18*$T$15))*('IN-OUT'!$F$14^(-1)))*CL481</f>
        <v>1.6008331164323996E-3</v>
      </c>
      <c r="CI481" s="254" t="e">
        <f t="shared" si="317"/>
        <v>#DIV/0!</v>
      </c>
      <c r="CJ481" s="254" t="e">
        <f t="shared" si="325"/>
        <v>#DIV/0!</v>
      </c>
      <c r="CK481" s="254">
        <f t="shared" si="333"/>
        <v>9.7333333333332118E-4</v>
      </c>
      <c r="CL481" s="270">
        <f t="shared" si="318"/>
        <v>1.6008331164323996E-3</v>
      </c>
      <c r="CM481" s="253">
        <f t="shared" si="334"/>
        <v>1.0266666666666655E-3</v>
      </c>
      <c r="CN481" s="255">
        <f t="shared" si="326"/>
        <v>0.10266666666666656</v>
      </c>
    </row>
    <row r="482" spans="45:92">
      <c r="AS482" s="254"/>
      <c r="AW482" s="258">
        <f>(((IF($S$5&lt;&gt;0,$S$5,IF($S$6&lt;&gt;0,$S$6,IF($S$7&lt;&gt;0,$S$7,0))))/(12*$S$19))+(((3*$S$15)/(2*(IF($S$5&lt;&gt;0,$S$5,IF($S$6&lt;&gt;0,$S$6,IF($S$7&lt;&gt;0,$S$7,0))))*$U$5*$S$19))*'IN-OUT'!$F$14))*'Burland damage classification'!BA482</f>
        <v>8.4771345217080386E-3</v>
      </c>
      <c r="AX482" s="353">
        <f>(1+(((IF($S$5&lt;&gt;0,$S$5^2,IF($S$6&lt;&gt;0,$S$6^2,IF($S$7&lt;&gt;0,$S$7^2))))*$U$5)/(18*$S$15))*('IN-OUT'!$F$14^(-1)))*BB482</f>
        <v>1.6088864326999513E-3</v>
      </c>
      <c r="AY482" s="254">
        <f t="shared" si="313"/>
        <v>1.6088864326999513E-3</v>
      </c>
      <c r="AZ482" s="254">
        <f t="shared" si="321"/>
        <v>0.16088864326999514</v>
      </c>
      <c r="BA482" s="254">
        <f t="shared" si="329"/>
        <v>9.6666666666665453E-4</v>
      </c>
      <c r="BB482" s="270">
        <f t="shared" si="314"/>
        <v>1.5979153085609182E-3</v>
      </c>
      <c r="BC482" s="253">
        <f t="shared" si="330"/>
        <v>1.0333333333333323E-3</v>
      </c>
      <c r="BD482" s="255">
        <f t="shared" si="322"/>
        <v>0.10333333333333322</v>
      </c>
      <c r="BI482" s="248"/>
      <c r="CC482" s="254"/>
      <c r="CG482" s="351" t="e">
        <f>((((IF($T$5=0,$T$6,$T$5)))/(12*$T$19))+(((3*$T$15)/(2*IF($T$5=0,$T$6,$T$5)*$U$5*$T$19))*'IN-OUT'!$F$14))*'Burland damage classification'!CK482</f>
        <v>#DIV/0!</v>
      </c>
      <c r="CH482" s="352">
        <f>(1+(((IF($T$5=0,$T$6^2,$T$5^2))*$U$5)/(18*$T$15))*('IN-OUT'!$F$14^(-1)))*CL482</f>
        <v>1.5979153085609182E-3</v>
      </c>
      <c r="CI482" s="254" t="e">
        <f t="shared" si="317"/>
        <v>#DIV/0!</v>
      </c>
      <c r="CJ482" s="254" t="e">
        <f t="shared" si="325"/>
        <v>#DIV/0!</v>
      </c>
      <c r="CK482" s="254">
        <f t="shared" si="333"/>
        <v>9.6666666666665453E-4</v>
      </c>
      <c r="CL482" s="270">
        <f t="shared" si="318"/>
        <v>1.5979153085609182E-3</v>
      </c>
      <c r="CM482" s="253">
        <f t="shared" si="334"/>
        <v>1.0333333333333323E-3</v>
      </c>
      <c r="CN482" s="255">
        <f t="shared" si="326"/>
        <v>0.10333333333333322</v>
      </c>
    </row>
    <row r="483" spans="45:92">
      <c r="AS483" s="254"/>
      <c r="AW483" s="258">
        <f>(((IF($S$5&lt;&gt;0,$S$5,IF($S$6&lt;&gt;0,$S$6,IF($S$7&lt;&gt;0,$S$7,0))))/(12*$S$19))+(((3*$S$15)/(2*(IF($S$5&lt;&gt;0,$S$5,IF($S$6&lt;&gt;0,$S$6,IF($S$7&lt;&gt;0,$S$7,0))))*$U$5*$S$19))*'IN-OUT'!$F$14))*'Burland damage classification'!BA483</f>
        <v>8.4186715250066033E-3</v>
      </c>
      <c r="AX483" s="353">
        <f>(1+(((IF($S$5&lt;&gt;0,$S$5^2,IF($S$6&lt;&gt;0,$S$6^2,IF($S$7&lt;&gt;0,$S$7^2))))*$U$5)/(18*$S$15))*('IN-OUT'!$F$14^(-1)))*BB483</f>
        <v>1.605943217108726E-3</v>
      </c>
      <c r="AY483" s="254">
        <f t="shared" si="313"/>
        <v>1.605943217108726E-3</v>
      </c>
      <c r="AZ483" s="254">
        <f t="shared" si="321"/>
        <v>0.1605943217108726</v>
      </c>
      <c r="BA483" s="254">
        <f t="shared" si="329"/>
        <v>9.5999999999998788E-4</v>
      </c>
      <c r="BB483" s="270">
        <f t="shared" si="314"/>
        <v>1.5949921629901513E-3</v>
      </c>
      <c r="BC483" s="253">
        <f t="shared" si="330"/>
        <v>1.039999999999999E-3</v>
      </c>
      <c r="BD483" s="255">
        <f t="shared" si="322"/>
        <v>0.1039999999999999</v>
      </c>
      <c r="BI483" s="248"/>
      <c r="CC483" s="254"/>
      <c r="CG483" s="351" t="e">
        <f>((((IF($T$5=0,$T$6,$T$5)))/(12*$T$19))+(((3*$T$15)/(2*IF($T$5=0,$T$6,$T$5)*$U$5*$T$19))*'IN-OUT'!$F$14))*'Burland damage classification'!CK483</f>
        <v>#DIV/0!</v>
      </c>
      <c r="CH483" s="352">
        <f>(1+(((IF($T$5=0,$T$6^2,$T$5^2))*$U$5)/(18*$T$15))*('IN-OUT'!$F$14^(-1)))*CL483</f>
        <v>1.5949921629901513E-3</v>
      </c>
      <c r="CI483" s="254" t="e">
        <f t="shared" si="317"/>
        <v>#DIV/0!</v>
      </c>
      <c r="CJ483" s="254" t="e">
        <f t="shared" si="325"/>
        <v>#DIV/0!</v>
      </c>
      <c r="CK483" s="254">
        <f t="shared" si="333"/>
        <v>9.5999999999998788E-4</v>
      </c>
      <c r="CL483" s="270">
        <f t="shared" si="318"/>
        <v>1.5949921629901513E-3</v>
      </c>
      <c r="CM483" s="253">
        <f t="shared" si="334"/>
        <v>1.039999999999999E-3</v>
      </c>
      <c r="CN483" s="255">
        <f t="shared" si="326"/>
        <v>0.1039999999999999</v>
      </c>
    </row>
    <row r="484" spans="45:92">
      <c r="AS484" s="254"/>
      <c r="AW484" s="258">
        <f>(((IF($S$5&lt;&gt;0,$S$5,IF($S$6&lt;&gt;0,$S$6,IF($S$7&lt;&gt;0,$S$7,0))))/(12*$S$19))+(((3*$S$15)/(2*(IF($S$5&lt;&gt;0,$S$5,IF($S$6&lt;&gt;0,$S$6,IF($S$7&lt;&gt;0,$S$7,0))))*$U$5*$S$19))*'IN-OUT'!$F$14))*'Burland damage classification'!BA484</f>
        <v>8.3602085283051679E-3</v>
      </c>
      <c r="AX484" s="353">
        <f>(1+(((IF($S$5&lt;&gt;0,$S$5^2,IF($S$6&lt;&gt;0,$S$6^2,IF($S$7&lt;&gt;0,$S$7^2))))*$U$5)/(18*$S$15))*('IN-OUT'!$F$14^(-1)))*BB484</f>
        <v>1.6029945975670271E-3</v>
      </c>
      <c r="AY484" s="254">
        <f t="shared" si="313"/>
        <v>1.6029945975670271E-3</v>
      </c>
      <c r="AZ484" s="254">
        <f t="shared" si="321"/>
        <v>0.16029945975670271</v>
      </c>
      <c r="BA484" s="254">
        <f t="shared" si="329"/>
        <v>9.5333333333332123E-4</v>
      </c>
      <c r="BB484" s="270">
        <f t="shared" si="314"/>
        <v>1.5920636503188772E-3</v>
      </c>
      <c r="BC484" s="253">
        <f t="shared" si="330"/>
        <v>1.0466666666666658E-3</v>
      </c>
      <c r="BD484" s="255">
        <f t="shared" si="322"/>
        <v>0.10466666666666657</v>
      </c>
      <c r="BI484" s="248"/>
      <c r="CC484" s="254"/>
      <c r="CG484" s="351" t="e">
        <f>((((IF($T$5=0,$T$6,$T$5)))/(12*$T$19))+(((3*$T$15)/(2*IF($T$5=0,$T$6,$T$5)*$U$5*$T$19))*'IN-OUT'!$F$14))*'Burland damage classification'!CK484</f>
        <v>#DIV/0!</v>
      </c>
      <c r="CH484" s="352">
        <f>(1+(((IF($T$5=0,$T$6^2,$T$5^2))*$U$5)/(18*$T$15))*('IN-OUT'!$F$14^(-1)))*CL484</f>
        <v>1.5920636503188772E-3</v>
      </c>
      <c r="CI484" s="254" t="e">
        <f t="shared" si="317"/>
        <v>#DIV/0!</v>
      </c>
      <c r="CJ484" s="254" t="e">
        <f t="shared" si="325"/>
        <v>#DIV/0!</v>
      </c>
      <c r="CK484" s="254">
        <f t="shared" si="333"/>
        <v>9.5333333333332123E-4</v>
      </c>
      <c r="CL484" s="270">
        <f t="shared" si="318"/>
        <v>1.5920636503188772E-3</v>
      </c>
      <c r="CM484" s="253">
        <f t="shared" si="334"/>
        <v>1.0466666666666658E-3</v>
      </c>
      <c r="CN484" s="255">
        <f t="shared" si="326"/>
        <v>0.10466666666666657</v>
      </c>
    </row>
    <row r="485" spans="45:92">
      <c r="AS485" s="254"/>
      <c r="AW485" s="258">
        <f>(((IF($S$5&lt;&gt;0,$S$5,IF($S$6&lt;&gt;0,$S$6,IF($S$7&lt;&gt;0,$S$7,0))))/(12*$S$19))+(((3*$S$15)/(2*(IF($S$5&lt;&gt;0,$S$5,IF($S$6&lt;&gt;0,$S$6,IF($S$7&lt;&gt;0,$S$7,0))))*$U$5*$S$19))*'IN-OUT'!$F$14))*'Burland damage classification'!BA485</f>
        <v>8.3017455316037325E-3</v>
      </c>
      <c r="AX485" s="353">
        <f>(1+(((IF($S$5&lt;&gt;0,$S$5^2,IF($S$6&lt;&gt;0,$S$6^2,IF($S$7&lt;&gt;0,$S$7^2))))*$U$5)/(18*$S$15))*('IN-OUT'!$F$14^(-1)))*BB485</f>
        <v>1.6000405441989978E-3</v>
      </c>
      <c r="AY485" s="254">
        <f t="shared" si="313"/>
        <v>1.6000405441989978E-3</v>
      </c>
      <c r="AZ485" s="254">
        <f t="shared" si="321"/>
        <v>0.16000405441989979</v>
      </c>
      <c r="BA485" s="254">
        <f t="shared" si="329"/>
        <v>9.4666666666665459E-4</v>
      </c>
      <c r="BB485" s="270">
        <f t="shared" si="314"/>
        <v>1.5891297408749654E-3</v>
      </c>
      <c r="BC485" s="253">
        <f t="shared" si="330"/>
        <v>1.0533333333333326E-3</v>
      </c>
      <c r="BD485" s="255">
        <f t="shared" si="322"/>
        <v>0.10533333333333325</v>
      </c>
      <c r="BI485" s="248"/>
      <c r="CC485" s="254"/>
      <c r="CG485" s="351" t="e">
        <f>((((IF($T$5=0,$T$6,$T$5)))/(12*$T$19))+(((3*$T$15)/(2*IF($T$5=0,$T$6,$T$5)*$U$5*$T$19))*'IN-OUT'!$F$14))*'Burland damage classification'!CK485</f>
        <v>#DIV/0!</v>
      </c>
      <c r="CH485" s="352">
        <f>(1+(((IF($T$5=0,$T$6^2,$T$5^2))*$U$5)/(18*$T$15))*('IN-OUT'!$F$14^(-1)))*CL485</f>
        <v>1.5891297408749654E-3</v>
      </c>
      <c r="CI485" s="254" t="e">
        <f t="shared" si="317"/>
        <v>#DIV/0!</v>
      </c>
      <c r="CJ485" s="254" t="e">
        <f t="shared" si="325"/>
        <v>#DIV/0!</v>
      </c>
      <c r="CK485" s="254">
        <f t="shared" si="333"/>
        <v>9.4666666666665459E-4</v>
      </c>
      <c r="CL485" s="270">
        <f t="shared" si="318"/>
        <v>1.5891297408749654E-3</v>
      </c>
      <c r="CM485" s="253">
        <f t="shared" si="334"/>
        <v>1.0533333333333326E-3</v>
      </c>
      <c r="CN485" s="255">
        <f t="shared" si="326"/>
        <v>0.10533333333333325</v>
      </c>
    </row>
    <row r="486" spans="45:92">
      <c r="AS486" s="254"/>
      <c r="AW486" s="258">
        <f>(((IF($S$5&lt;&gt;0,$S$5,IF($S$6&lt;&gt;0,$S$6,IF($S$7&lt;&gt;0,$S$7,0))))/(12*$S$19))+(((3*$S$15)/(2*(IF($S$5&lt;&gt;0,$S$5,IF($S$6&lt;&gt;0,$S$6,IF($S$7&lt;&gt;0,$S$7,0))))*$U$5*$S$19))*'IN-OUT'!$F$14))*'Burland damage classification'!BA486</f>
        <v>8.2432825349022971E-3</v>
      </c>
      <c r="AX486" s="353">
        <f>(1+(((IF($S$5&lt;&gt;0,$S$5^2,IF($S$6&lt;&gt;0,$S$6^2,IF($S$7&lt;&gt;0,$S$7^2))))*$U$5)/(18*$S$15))*('IN-OUT'!$F$14^(-1)))*BB486</f>
        <v>1.5970810268524809E-3</v>
      </c>
      <c r="AY486" s="254">
        <f t="shared" si="313"/>
        <v>1.5970810268524809E-3</v>
      </c>
      <c r="AZ486" s="254">
        <f t="shared" si="321"/>
        <v>0.1597081026852481</v>
      </c>
      <c r="BA486" s="254">
        <f t="shared" si="329"/>
        <v>9.3999999999998794E-4</v>
      </c>
      <c r="BB486" s="270">
        <f t="shared" si="314"/>
        <v>1.5861904047118685E-3</v>
      </c>
      <c r="BC486" s="253">
        <f t="shared" si="330"/>
        <v>1.0599999999999993E-3</v>
      </c>
      <c r="BD486" s="255">
        <f t="shared" si="322"/>
        <v>0.10599999999999993</v>
      </c>
      <c r="BI486" s="248"/>
      <c r="CC486" s="254"/>
      <c r="CG486" s="351" t="e">
        <f>((((IF($T$5=0,$T$6,$T$5)))/(12*$T$19))+(((3*$T$15)/(2*IF($T$5=0,$T$6,$T$5)*$U$5*$T$19))*'IN-OUT'!$F$14))*'Burland damage classification'!CK486</f>
        <v>#DIV/0!</v>
      </c>
      <c r="CH486" s="352">
        <f>(1+(((IF($T$5=0,$T$6^2,$T$5^2))*$U$5)/(18*$T$15))*('IN-OUT'!$F$14^(-1)))*CL486</f>
        <v>1.5861904047118685E-3</v>
      </c>
      <c r="CI486" s="254" t="e">
        <f t="shared" si="317"/>
        <v>#DIV/0!</v>
      </c>
      <c r="CJ486" s="254" t="e">
        <f t="shared" si="325"/>
        <v>#DIV/0!</v>
      </c>
      <c r="CK486" s="254">
        <f t="shared" si="333"/>
        <v>9.3999999999998794E-4</v>
      </c>
      <c r="CL486" s="270">
        <f t="shared" si="318"/>
        <v>1.5861904047118685E-3</v>
      </c>
      <c r="CM486" s="253">
        <f t="shared" si="334"/>
        <v>1.0599999999999993E-3</v>
      </c>
      <c r="CN486" s="255">
        <f t="shared" si="326"/>
        <v>0.10599999999999993</v>
      </c>
    </row>
    <row r="487" spans="45:92">
      <c r="AS487" s="254"/>
      <c r="AW487" s="258">
        <f>(((IF($S$5&lt;&gt;0,$S$5,IF($S$6&lt;&gt;0,$S$6,IF($S$7&lt;&gt;0,$S$7,0))))/(12*$S$19))+(((3*$S$15)/(2*(IF($S$5&lt;&gt;0,$S$5,IF($S$6&lt;&gt;0,$S$6,IF($S$7&lt;&gt;0,$S$7,0))))*$U$5*$S$19))*'IN-OUT'!$F$14))*'Burland damage classification'!BA487</f>
        <v>8.1848195382008618E-3</v>
      </c>
      <c r="AX487" s="353">
        <f>(1+(((IF($S$5&lt;&gt;0,$S$5^2,IF($S$6&lt;&gt;0,$S$6^2,IF($S$7&lt;&gt;0,$S$7^2))))*$U$5)/(18*$S$15))*('IN-OUT'!$F$14^(-1)))*BB487</f>
        <v>1.5941160150954273E-3</v>
      </c>
      <c r="AY487" s="254">
        <f t="shared" si="313"/>
        <v>1.5941160150954273E-3</v>
      </c>
      <c r="AZ487" s="254">
        <f t="shared" si="321"/>
        <v>0.15941160150954273</v>
      </c>
      <c r="BA487" s="254">
        <f t="shared" si="329"/>
        <v>9.3333333333332129E-4</v>
      </c>
      <c r="BB487" s="270">
        <f t="shared" si="314"/>
        <v>1.5832456116050559E-3</v>
      </c>
      <c r="BC487" s="253">
        <f t="shared" si="330"/>
        <v>1.0666666666666661E-3</v>
      </c>
      <c r="BD487" s="255">
        <f t="shared" si="322"/>
        <v>0.1066666666666666</v>
      </c>
      <c r="BI487" s="248"/>
      <c r="CC487" s="254"/>
      <c r="CG487" s="351" t="e">
        <f>((((IF($T$5=0,$T$6,$T$5)))/(12*$T$19))+(((3*$T$15)/(2*IF($T$5=0,$T$6,$T$5)*$U$5*$T$19))*'IN-OUT'!$F$14))*'Burland damage classification'!CK487</f>
        <v>#DIV/0!</v>
      </c>
      <c r="CH487" s="352">
        <f>(1+(((IF($T$5=0,$T$6^2,$T$5^2))*$U$5)/(18*$T$15))*('IN-OUT'!$F$14^(-1)))*CL487</f>
        <v>1.5832456116050559E-3</v>
      </c>
      <c r="CI487" s="254" t="e">
        <f t="shared" si="317"/>
        <v>#DIV/0!</v>
      </c>
      <c r="CJ487" s="254" t="e">
        <f t="shared" si="325"/>
        <v>#DIV/0!</v>
      </c>
      <c r="CK487" s="254">
        <f t="shared" si="333"/>
        <v>9.3333333333332129E-4</v>
      </c>
      <c r="CL487" s="270">
        <f t="shared" si="318"/>
        <v>1.5832456116050559E-3</v>
      </c>
      <c r="CM487" s="253">
        <f t="shared" si="334"/>
        <v>1.0666666666666661E-3</v>
      </c>
      <c r="CN487" s="255">
        <f t="shared" si="326"/>
        <v>0.1066666666666666</v>
      </c>
    </row>
    <row r="488" spans="45:92">
      <c r="AS488" s="254"/>
      <c r="AW488" s="258">
        <f>(((IF($S$5&lt;&gt;0,$S$5,IF($S$6&lt;&gt;0,$S$6,IF($S$7&lt;&gt;0,$S$7,0))))/(12*$S$19))+(((3*$S$15)/(2*(IF($S$5&lt;&gt;0,$S$5,IF($S$6&lt;&gt;0,$S$6,IF($S$7&lt;&gt;0,$S$7,0))))*$U$5*$S$19))*'IN-OUT'!$F$14))*'Burland damage classification'!BA488</f>
        <v>8.1263565414994264E-3</v>
      </c>
      <c r="AX488" s="353">
        <f>(1+(((IF($S$5&lt;&gt;0,$S$5^2,IF($S$6&lt;&gt;0,$S$6^2,IF($S$7&lt;&gt;0,$S$7^2))))*$U$5)/(18*$S$15))*('IN-OUT'!$F$14^(-1)))*BB488</f>
        <v>1.5911454782122452E-3</v>
      </c>
      <c r="AY488" s="254">
        <f t="shared" si="313"/>
        <v>1.5911454782122452E-3</v>
      </c>
      <c r="AZ488" s="254">
        <f t="shared" si="321"/>
        <v>0.15911454782122453</v>
      </c>
      <c r="BA488" s="254">
        <f t="shared" si="329"/>
        <v>9.2666666666665464E-4</v>
      </c>
      <c r="BB488" s="270">
        <f t="shared" si="314"/>
        <v>1.5802953310483879E-3</v>
      </c>
      <c r="BC488" s="253">
        <f t="shared" si="330"/>
        <v>1.0733333333333328E-3</v>
      </c>
      <c r="BD488" s="255">
        <f t="shared" si="322"/>
        <v>0.10733333333333328</v>
      </c>
      <c r="BI488" s="248"/>
      <c r="CC488" s="254"/>
      <c r="CG488" s="351" t="e">
        <f>((((IF($T$5=0,$T$6,$T$5)))/(12*$T$19))+(((3*$T$15)/(2*IF($T$5=0,$T$6,$T$5)*$U$5*$T$19))*'IN-OUT'!$F$14))*'Burland damage classification'!CK488</f>
        <v>#DIV/0!</v>
      </c>
      <c r="CH488" s="352">
        <f>(1+(((IF($T$5=0,$T$6^2,$T$5^2))*$U$5)/(18*$T$15))*('IN-OUT'!$F$14^(-1)))*CL488</f>
        <v>1.5802953310483879E-3</v>
      </c>
      <c r="CI488" s="254" t="e">
        <f t="shared" si="317"/>
        <v>#DIV/0!</v>
      </c>
      <c r="CJ488" s="254" t="e">
        <f t="shared" si="325"/>
        <v>#DIV/0!</v>
      </c>
      <c r="CK488" s="254">
        <f t="shared" si="333"/>
        <v>9.2666666666665464E-4</v>
      </c>
      <c r="CL488" s="270">
        <f t="shared" si="318"/>
        <v>1.5802953310483879E-3</v>
      </c>
      <c r="CM488" s="253">
        <f t="shared" si="334"/>
        <v>1.0733333333333328E-3</v>
      </c>
      <c r="CN488" s="255">
        <f t="shared" si="326"/>
        <v>0.10733333333333328</v>
      </c>
    </row>
    <row r="489" spans="45:92">
      <c r="AS489" s="254"/>
      <c r="AW489" s="258">
        <f>(((IF($S$5&lt;&gt;0,$S$5,IF($S$6&lt;&gt;0,$S$6,IF($S$7&lt;&gt;0,$S$7,0))))/(12*$S$19))+(((3*$S$15)/(2*(IF($S$5&lt;&gt;0,$S$5,IF($S$6&lt;&gt;0,$S$6,IF($S$7&lt;&gt;0,$S$7,0))))*$U$5*$S$19))*'IN-OUT'!$F$14))*'Burland damage classification'!BA489</f>
        <v>8.067893544797991E-3</v>
      </c>
      <c r="AX489" s="353">
        <f>(1+(((IF($S$5&lt;&gt;0,$S$5^2,IF($S$6&lt;&gt;0,$S$6^2,IF($S$7&lt;&gt;0,$S$7^2))))*$U$5)/(18*$S$15))*('IN-OUT'!$F$14^(-1)))*BB489</f>
        <v>1.5881693852000875E-3</v>
      </c>
      <c r="AY489" s="254">
        <f t="shared" si="313"/>
        <v>1.5881693852000875E-3</v>
      </c>
      <c r="AZ489" s="254">
        <f t="shared" si="321"/>
        <v>0.15881693852000875</v>
      </c>
      <c r="BA489" s="254">
        <f t="shared" si="329"/>
        <v>9.1999999999998799E-4</v>
      </c>
      <c r="BB489" s="270">
        <f t="shared" si="314"/>
        <v>1.5773395322504285E-3</v>
      </c>
      <c r="BC489" s="253">
        <f t="shared" si="330"/>
        <v>1.0799999999999996E-3</v>
      </c>
      <c r="BD489" s="255">
        <f t="shared" si="322"/>
        <v>0.10799999999999996</v>
      </c>
      <c r="BI489" s="248"/>
      <c r="CC489" s="254"/>
      <c r="CG489" s="351" t="e">
        <f>((((IF($T$5=0,$T$6,$T$5)))/(12*$T$19))+(((3*$T$15)/(2*IF($T$5=0,$T$6,$T$5)*$U$5*$T$19))*'IN-OUT'!$F$14))*'Burland damage classification'!CK489</f>
        <v>#DIV/0!</v>
      </c>
      <c r="CH489" s="352">
        <f>(1+(((IF($T$5=0,$T$6^2,$T$5^2))*$U$5)/(18*$T$15))*('IN-OUT'!$F$14^(-1)))*CL489</f>
        <v>1.5773395322504285E-3</v>
      </c>
      <c r="CI489" s="254" t="e">
        <f t="shared" si="317"/>
        <v>#DIV/0!</v>
      </c>
      <c r="CJ489" s="254" t="e">
        <f t="shared" si="325"/>
        <v>#DIV/0!</v>
      </c>
      <c r="CK489" s="254">
        <f t="shared" si="333"/>
        <v>9.1999999999998799E-4</v>
      </c>
      <c r="CL489" s="270">
        <f t="shared" si="318"/>
        <v>1.5773395322504285E-3</v>
      </c>
      <c r="CM489" s="253">
        <f t="shared" si="334"/>
        <v>1.0799999999999996E-3</v>
      </c>
      <c r="CN489" s="255">
        <f t="shared" si="326"/>
        <v>0.10799999999999996</v>
      </c>
    </row>
    <row r="490" spans="45:92">
      <c r="AS490" s="254"/>
      <c r="AW490" s="258">
        <f>(((IF($S$5&lt;&gt;0,$S$5,IF($S$6&lt;&gt;0,$S$6,IF($S$7&lt;&gt;0,$S$7,0))))/(12*$S$19))+(((3*$S$15)/(2*(IF($S$5&lt;&gt;0,$S$5,IF($S$6&lt;&gt;0,$S$6,IF($S$7&lt;&gt;0,$S$7,0))))*$U$5*$S$19))*'IN-OUT'!$F$14))*'Burland damage classification'!BA490</f>
        <v>8.0094305480965557E-3</v>
      </c>
      <c r="AX490" s="353">
        <f>(1+(((IF($S$5&lt;&gt;0,$S$5^2,IF($S$6&lt;&gt;0,$S$6^2,IF($S$7&lt;&gt;0,$S$7^2))))*$U$5)/(18*$S$15))*('IN-OUT'!$F$14^(-1)))*BB490</f>
        <v>1.5851877047650775E-3</v>
      </c>
      <c r="AY490" s="254">
        <f t="shared" si="313"/>
        <v>1.5851877047650775E-3</v>
      </c>
      <c r="AZ490" s="254">
        <f t="shared" si="321"/>
        <v>0.15851877047650775</v>
      </c>
      <c r="BA490" s="254">
        <f t="shared" si="329"/>
        <v>9.1333333333332135E-4</v>
      </c>
      <c r="BB490" s="270">
        <f t="shared" si="314"/>
        <v>1.5743781841306959E-3</v>
      </c>
      <c r="BC490" s="253">
        <f t="shared" si="330"/>
        <v>1.0866666666666663E-3</v>
      </c>
      <c r="BD490" s="255">
        <f t="shared" si="322"/>
        <v>0.10866666666666663</v>
      </c>
      <c r="BI490" s="248"/>
      <c r="CC490" s="254"/>
      <c r="CG490" s="351" t="e">
        <f>((((IF($T$5=0,$T$6,$T$5)))/(12*$T$19))+(((3*$T$15)/(2*IF($T$5=0,$T$6,$T$5)*$U$5*$T$19))*'IN-OUT'!$F$14))*'Burland damage classification'!CK490</f>
        <v>#DIV/0!</v>
      </c>
      <c r="CH490" s="352">
        <f>(1+(((IF($T$5=0,$T$6^2,$T$5^2))*$U$5)/(18*$T$15))*('IN-OUT'!$F$14^(-1)))*CL490</f>
        <v>1.5743781841306959E-3</v>
      </c>
      <c r="CI490" s="254" t="e">
        <f t="shared" si="317"/>
        <v>#DIV/0!</v>
      </c>
      <c r="CJ490" s="254" t="e">
        <f t="shared" si="325"/>
        <v>#DIV/0!</v>
      </c>
      <c r="CK490" s="254">
        <f t="shared" si="333"/>
        <v>9.1333333333332135E-4</v>
      </c>
      <c r="CL490" s="270">
        <f t="shared" si="318"/>
        <v>1.5743781841306959E-3</v>
      </c>
      <c r="CM490" s="253">
        <f t="shared" si="334"/>
        <v>1.0866666666666663E-3</v>
      </c>
      <c r="CN490" s="255">
        <f t="shared" si="326"/>
        <v>0.10866666666666663</v>
      </c>
    </row>
    <row r="491" spans="45:92">
      <c r="AS491" s="254"/>
      <c r="AW491" s="258">
        <f>(((IF($S$5&lt;&gt;0,$S$5,IF($S$6&lt;&gt;0,$S$6,IF($S$7&lt;&gt;0,$S$7,0))))/(12*$S$19))+(((3*$S$15)/(2*(IF($S$5&lt;&gt;0,$S$5,IF($S$6&lt;&gt;0,$S$6,IF($S$7&lt;&gt;0,$S$7,0))))*$U$5*$S$19))*'IN-OUT'!$F$14))*'Burland damage classification'!BA491</f>
        <v>7.9509675513951203E-3</v>
      </c>
      <c r="AX491" s="353">
        <f>(1+(((IF($S$5&lt;&gt;0,$S$5^2,IF($S$6&lt;&gt;0,$S$6^2,IF($S$7&lt;&gt;0,$S$7^2))))*$U$5)/(18*$S$15))*('IN-OUT'!$F$14^(-1)))*BB491</f>
        <v>1.5822004053184678E-3</v>
      </c>
      <c r="AY491" s="254">
        <f t="shared" si="313"/>
        <v>1.5822004053184678E-3</v>
      </c>
      <c r="AZ491" s="254">
        <f t="shared" si="321"/>
        <v>0.15822004053184677</v>
      </c>
      <c r="BA491" s="254">
        <f t="shared" si="329"/>
        <v>9.066666666666547E-4</v>
      </c>
      <c r="BB491" s="270">
        <f t="shared" si="314"/>
        <v>1.5714112553158494E-3</v>
      </c>
      <c r="BC491" s="253">
        <f t="shared" si="330"/>
        <v>1.0933333333333331E-3</v>
      </c>
      <c r="BD491" s="255">
        <f t="shared" si="322"/>
        <v>0.10933333333333331</v>
      </c>
      <c r="BI491" s="248"/>
      <c r="CC491" s="254"/>
      <c r="CG491" s="351" t="e">
        <f>((((IF($T$5=0,$T$6,$T$5)))/(12*$T$19))+(((3*$T$15)/(2*IF($T$5=0,$T$6,$T$5)*$U$5*$T$19))*'IN-OUT'!$F$14))*'Burland damage classification'!CK491</f>
        <v>#DIV/0!</v>
      </c>
      <c r="CH491" s="352">
        <f>(1+(((IF($T$5=0,$T$6^2,$T$5^2))*$U$5)/(18*$T$15))*('IN-OUT'!$F$14^(-1)))*CL491</f>
        <v>1.5714112553158494E-3</v>
      </c>
      <c r="CI491" s="254" t="e">
        <f t="shared" si="317"/>
        <v>#DIV/0!</v>
      </c>
      <c r="CJ491" s="254" t="e">
        <f t="shared" si="325"/>
        <v>#DIV/0!</v>
      </c>
      <c r="CK491" s="254">
        <f t="shared" si="333"/>
        <v>9.066666666666547E-4</v>
      </c>
      <c r="CL491" s="270">
        <f t="shared" si="318"/>
        <v>1.5714112553158494E-3</v>
      </c>
      <c r="CM491" s="253">
        <f t="shared" si="334"/>
        <v>1.0933333333333331E-3</v>
      </c>
      <c r="CN491" s="255">
        <f t="shared" si="326"/>
        <v>0.10933333333333331</v>
      </c>
    </row>
    <row r="492" spans="45:92">
      <c r="AS492" s="254"/>
      <c r="AW492" s="258">
        <f>(((IF($S$5&lt;&gt;0,$S$5,IF($S$6&lt;&gt;0,$S$6,IF($S$7&lt;&gt;0,$S$7,0))))/(12*$S$19))+(((3*$S$15)/(2*(IF($S$5&lt;&gt;0,$S$5,IF($S$6&lt;&gt;0,$S$6,IF($S$7&lt;&gt;0,$S$7,0))))*$U$5*$S$19))*'IN-OUT'!$F$14))*'Burland damage classification'!BA492</f>
        <v>7.8925045546936849E-3</v>
      </c>
      <c r="AX492" s="353">
        <f>(1+(((IF($S$5&lt;&gt;0,$S$5^2,IF($S$6&lt;&gt;0,$S$6^2,IF($S$7&lt;&gt;0,$S$7^2))))*$U$5)/(18*$S$15))*('IN-OUT'!$F$14^(-1)))*BB492</f>
        <v>1.5792074549727383E-3</v>
      </c>
      <c r="AY492" s="254">
        <f t="shared" si="313"/>
        <v>1.5792074549727383E-3</v>
      </c>
      <c r="AZ492" s="254">
        <f t="shared" si="321"/>
        <v>0.15792074549727383</v>
      </c>
      <c r="BA492" s="254">
        <f t="shared" si="329"/>
        <v>8.9999999999998805E-4</v>
      </c>
      <c r="BB492" s="270">
        <f t="shared" si="314"/>
        <v>1.5684387141358122E-3</v>
      </c>
      <c r="BC492" s="253">
        <f t="shared" si="330"/>
        <v>1.0999999999999998E-3</v>
      </c>
      <c r="BD492" s="255">
        <f t="shared" si="322"/>
        <v>0.10999999999999999</v>
      </c>
      <c r="BI492" s="248"/>
      <c r="CC492" s="254"/>
      <c r="CG492" s="351" t="e">
        <f>((((IF($T$5=0,$T$6,$T$5)))/(12*$T$19))+(((3*$T$15)/(2*IF($T$5=0,$T$6,$T$5)*$U$5*$T$19))*'IN-OUT'!$F$14))*'Burland damage classification'!CK492</f>
        <v>#DIV/0!</v>
      </c>
      <c r="CH492" s="352">
        <f>(1+(((IF($T$5=0,$T$6^2,$T$5^2))*$U$5)/(18*$T$15))*('IN-OUT'!$F$14^(-1)))*CL492</f>
        <v>1.5684387141358122E-3</v>
      </c>
      <c r="CI492" s="254" t="e">
        <f t="shared" si="317"/>
        <v>#DIV/0!</v>
      </c>
      <c r="CJ492" s="254" t="e">
        <f t="shared" si="325"/>
        <v>#DIV/0!</v>
      </c>
      <c r="CK492" s="254">
        <f t="shared" si="333"/>
        <v>8.9999999999998805E-4</v>
      </c>
      <c r="CL492" s="270">
        <f t="shared" si="318"/>
        <v>1.5684387141358122E-3</v>
      </c>
      <c r="CM492" s="253">
        <f t="shared" si="334"/>
        <v>1.0999999999999998E-3</v>
      </c>
      <c r="CN492" s="255">
        <f t="shared" si="326"/>
        <v>0.10999999999999999</v>
      </c>
    </row>
    <row r="493" spans="45:92">
      <c r="AS493" s="254"/>
      <c r="AW493" s="258">
        <f>(((IF($S$5&lt;&gt;0,$S$5,IF($S$6&lt;&gt;0,$S$6,IF($S$7&lt;&gt;0,$S$7,0))))/(12*$S$19))+(((3*$S$15)/(2*(IF($S$5&lt;&gt;0,$S$5,IF($S$6&lt;&gt;0,$S$6,IF($S$7&lt;&gt;0,$S$7,0))))*$U$5*$S$19))*'IN-OUT'!$F$14))*'Burland damage classification'!BA493</f>
        <v>7.8340415579922495E-3</v>
      </c>
      <c r="AX493" s="353">
        <f>(1+(((IF($S$5&lt;&gt;0,$S$5^2,IF($S$6&lt;&gt;0,$S$6^2,IF($S$7&lt;&gt;0,$S$7^2))))*$U$5)/(18*$S$15))*('IN-OUT'!$F$14^(-1)))*BB493</f>
        <v>1.5762088215376235E-3</v>
      </c>
      <c r="AY493" s="254">
        <f t="shared" si="313"/>
        <v>1.5762088215376235E-3</v>
      </c>
      <c r="AZ493" s="254">
        <f t="shared" si="321"/>
        <v>0.15762088215376235</v>
      </c>
      <c r="BA493" s="254">
        <f t="shared" si="329"/>
        <v>8.933333333333214E-4</v>
      </c>
      <c r="BB493" s="270">
        <f t="shared" si="314"/>
        <v>1.5654605286198266E-3</v>
      </c>
      <c r="BC493" s="253">
        <f t="shared" si="330"/>
        <v>1.1066666666666666E-3</v>
      </c>
      <c r="BD493" s="255">
        <f t="shared" si="322"/>
        <v>0.11066666666666666</v>
      </c>
      <c r="BI493" s="248"/>
      <c r="CC493" s="254"/>
      <c r="CG493" s="351" t="e">
        <f>((((IF($T$5=0,$T$6,$T$5)))/(12*$T$19))+(((3*$T$15)/(2*IF($T$5=0,$T$6,$T$5)*$U$5*$T$19))*'IN-OUT'!$F$14))*'Burland damage classification'!CK493</f>
        <v>#DIV/0!</v>
      </c>
      <c r="CH493" s="352">
        <f>(1+(((IF($T$5=0,$T$6^2,$T$5^2))*$U$5)/(18*$T$15))*('IN-OUT'!$F$14^(-1)))*CL493</f>
        <v>1.5654605286198266E-3</v>
      </c>
      <c r="CI493" s="254" t="e">
        <f t="shared" si="317"/>
        <v>#DIV/0!</v>
      </c>
      <c r="CJ493" s="254" t="e">
        <f t="shared" si="325"/>
        <v>#DIV/0!</v>
      </c>
      <c r="CK493" s="254">
        <f t="shared" si="333"/>
        <v>8.933333333333214E-4</v>
      </c>
      <c r="CL493" s="270">
        <f t="shared" si="318"/>
        <v>1.5654605286198266E-3</v>
      </c>
      <c r="CM493" s="253">
        <f t="shared" si="334"/>
        <v>1.1066666666666666E-3</v>
      </c>
      <c r="CN493" s="255">
        <f t="shared" si="326"/>
        <v>0.11066666666666666</v>
      </c>
    </row>
    <row r="494" spans="45:92">
      <c r="AS494" s="254"/>
      <c r="AW494" s="258">
        <f>(((IF($S$5&lt;&gt;0,$S$5,IF($S$6&lt;&gt;0,$S$6,IF($S$7&lt;&gt;0,$S$7,0))))/(12*$S$19))+(((3*$S$15)/(2*(IF($S$5&lt;&gt;0,$S$5,IF($S$6&lt;&gt;0,$S$6,IF($S$7&lt;&gt;0,$S$7,0))))*$U$5*$S$19))*'IN-OUT'!$F$14))*'Burland damage classification'!BA494</f>
        <v>7.7755785612908142E-3</v>
      </c>
      <c r="AX494" s="353">
        <f>(1+(((IF($S$5&lt;&gt;0,$S$5^2,IF($S$6&lt;&gt;0,$S$6^2,IF($S$7&lt;&gt;0,$S$7^2))))*$U$5)/(18*$S$15))*('IN-OUT'!$F$14^(-1)))*BB494</f>
        <v>1.5732044725160724E-3</v>
      </c>
      <c r="AY494" s="254">
        <f t="shared" si="313"/>
        <v>1.5732044725160724E-3</v>
      </c>
      <c r="AZ494" s="254">
        <f t="shared" si="321"/>
        <v>0.15732044725160724</v>
      </c>
      <c r="BA494" s="254">
        <f t="shared" si="329"/>
        <v>8.8666666666665475E-4</v>
      </c>
      <c r="BB494" s="270">
        <f t="shared" si="314"/>
        <v>1.5624766664924419E-3</v>
      </c>
      <c r="BC494" s="253">
        <f t="shared" si="330"/>
        <v>1.1133333333333334E-3</v>
      </c>
      <c r="BD494" s="255">
        <f t="shared" si="322"/>
        <v>0.11133333333333334</v>
      </c>
      <c r="BI494" s="248"/>
      <c r="CC494" s="254"/>
      <c r="CG494" s="351" t="e">
        <f>((((IF($T$5=0,$T$6,$T$5)))/(12*$T$19))+(((3*$T$15)/(2*IF($T$5=0,$T$6,$T$5)*$U$5*$T$19))*'IN-OUT'!$F$14))*'Burland damage classification'!CK494</f>
        <v>#DIV/0!</v>
      </c>
      <c r="CH494" s="352">
        <f>(1+(((IF($T$5=0,$T$6^2,$T$5^2))*$U$5)/(18*$T$15))*('IN-OUT'!$F$14^(-1)))*CL494</f>
        <v>1.5624766664924419E-3</v>
      </c>
      <c r="CI494" s="254" t="e">
        <f t="shared" si="317"/>
        <v>#DIV/0!</v>
      </c>
      <c r="CJ494" s="254" t="e">
        <f t="shared" si="325"/>
        <v>#DIV/0!</v>
      </c>
      <c r="CK494" s="254">
        <f t="shared" si="333"/>
        <v>8.8666666666665475E-4</v>
      </c>
      <c r="CL494" s="270">
        <f t="shared" si="318"/>
        <v>1.5624766664924419E-3</v>
      </c>
      <c r="CM494" s="253">
        <f t="shared" si="334"/>
        <v>1.1133333333333334E-3</v>
      </c>
      <c r="CN494" s="255">
        <f t="shared" si="326"/>
        <v>0.11133333333333334</v>
      </c>
    </row>
    <row r="495" spans="45:92">
      <c r="AW495" s="258">
        <f>(((IF($S$5&lt;&gt;0,$S$5,IF($S$6&lt;&gt;0,$S$6,IF($S$7&lt;&gt;0,$S$7,0))))/(12*$S$19))+(((3*$S$15)/(2*(IF($S$5&lt;&gt;0,$S$5,IF($S$6&lt;&gt;0,$S$6,IF($S$7&lt;&gt;0,$S$7,0))))*$U$5*$S$19))*'IN-OUT'!$F$14))*'Burland damage classification'!BA495</f>
        <v>7.7171155645893788E-3</v>
      </c>
      <c r="AX495" s="353">
        <f>(1+(((IF($S$5&lt;&gt;0,$S$5^2,IF($S$6&lt;&gt;0,$S$6^2,IF($S$7&lt;&gt;0,$S$7^2))))*$U$5)/(18*$S$15))*('IN-OUT'!$F$14^(-1)))*BB495</f>
        <v>1.5701943751001413E-3</v>
      </c>
      <c r="AY495" s="254">
        <f t="shared" si="313"/>
        <v>1.5701943751001413E-3</v>
      </c>
      <c r="AZ495" s="254">
        <f t="shared" si="321"/>
        <v>0.15701943751001413</v>
      </c>
      <c r="BA495" s="254">
        <f t="shared" si="329"/>
        <v>8.7999999999998811E-4</v>
      </c>
      <c r="BB495" s="270">
        <f t="shared" si="314"/>
        <v>1.5594870951694342E-3</v>
      </c>
      <c r="BC495" s="253">
        <f t="shared" si="330"/>
        <v>1.1200000000000001E-3</v>
      </c>
      <c r="BD495" s="255">
        <f t="shared" si="322"/>
        <v>0.11200000000000002</v>
      </c>
      <c r="BI495" s="248"/>
      <c r="CG495" s="351" t="e">
        <f>((((IF($T$5=0,$T$6,$T$5)))/(12*$T$19))+(((3*$T$15)/(2*IF($T$5=0,$T$6,$T$5)*$U$5*$T$19))*'IN-OUT'!$F$14))*'Burland damage classification'!CK495</f>
        <v>#DIV/0!</v>
      </c>
      <c r="CH495" s="352">
        <f>(1+(((IF($T$5=0,$T$6^2,$T$5^2))*$U$5)/(18*$T$15))*('IN-OUT'!$F$14^(-1)))*CL495</f>
        <v>1.5594870951694342E-3</v>
      </c>
      <c r="CI495" s="254" t="e">
        <f t="shared" si="317"/>
        <v>#DIV/0!</v>
      </c>
      <c r="CJ495" s="254" t="e">
        <f t="shared" si="325"/>
        <v>#DIV/0!</v>
      </c>
      <c r="CK495" s="254">
        <f t="shared" si="333"/>
        <v>8.7999999999998811E-4</v>
      </c>
      <c r="CL495" s="270">
        <f t="shared" si="318"/>
        <v>1.5594870951694342E-3</v>
      </c>
      <c r="CM495" s="253">
        <f t="shared" si="334"/>
        <v>1.1200000000000001E-3</v>
      </c>
      <c r="CN495" s="255">
        <f t="shared" si="326"/>
        <v>0.11200000000000002</v>
      </c>
    </row>
    <row r="496" spans="45:92">
      <c r="AW496" s="258">
        <f>(((IF($S$5&lt;&gt;0,$S$5,IF($S$6&lt;&gt;0,$S$6,IF($S$7&lt;&gt;0,$S$7,0))))/(12*$S$19))+(((3*$S$15)/(2*(IF($S$5&lt;&gt;0,$S$5,IF($S$6&lt;&gt;0,$S$6,IF($S$7&lt;&gt;0,$S$7,0))))*$U$5*$S$19))*'IN-OUT'!$F$14))*'Burland damage classification'!BA496</f>
        <v>7.6586525678879434E-3</v>
      </c>
      <c r="AX496" s="353">
        <f>(1+(((IF($S$5&lt;&gt;0,$S$5^2,IF($S$6&lt;&gt;0,$S$6^2,IF($S$7&lt;&gt;0,$S$7^2))))*$U$5)/(18*$S$15))*('IN-OUT'!$F$14^(-1)))*BB496</f>
        <v>1.5671784961668127E-3</v>
      </c>
      <c r="AY496" s="254">
        <f t="shared" si="313"/>
        <v>1.5671784961668127E-3</v>
      </c>
      <c r="AZ496" s="254">
        <f t="shared" si="321"/>
        <v>0.15671784961668128</v>
      </c>
      <c r="BA496" s="254">
        <f t="shared" si="329"/>
        <v>8.7333333333332146E-4</v>
      </c>
      <c r="BB496" s="270">
        <f t="shared" si="314"/>
        <v>1.5564917817536546E-3</v>
      </c>
      <c r="BC496" s="253">
        <f t="shared" si="330"/>
        <v>1.1266666666666669E-3</v>
      </c>
      <c r="BD496" s="255">
        <f t="shared" si="322"/>
        <v>0.11266666666666669</v>
      </c>
      <c r="BI496" s="248"/>
      <c r="CG496" s="351" t="e">
        <f>((((IF($T$5=0,$T$6,$T$5)))/(12*$T$19))+(((3*$T$15)/(2*IF($T$5=0,$T$6,$T$5)*$U$5*$T$19))*'IN-OUT'!$F$14))*'Burland damage classification'!CK496</f>
        <v>#DIV/0!</v>
      </c>
      <c r="CH496" s="352">
        <f>(1+(((IF($T$5=0,$T$6^2,$T$5^2))*$U$5)/(18*$T$15))*('IN-OUT'!$F$14^(-1)))*CL496</f>
        <v>1.5564917817536546E-3</v>
      </c>
      <c r="CI496" s="254" t="e">
        <f t="shared" si="317"/>
        <v>#DIV/0!</v>
      </c>
      <c r="CJ496" s="254" t="e">
        <f t="shared" si="325"/>
        <v>#DIV/0!</v>
      </c>
      <c r="CK496" s="254">
        <f t="shared" si="333"/>
        <v>8.7333333333332146E-4</v>
      </c>
      <c r="CL496" s="270">
        <f t="shared" si="318"/>
        <v>1.5564917817536546E-3</v>
      </c>
      <c r="CM496" s="253">
        <f t="shared" si="334"/>
        <v>1.1266666666666669E-3</v>
      </c>
      <c r="CN496" s="255">
        <f t="shared" si="326"/>
        <v>0.11266666666666669</v>
      </c>
    </row>
    <row r="497" spans="49:92">
      <c r="AW497" s="258">
        <f>(((IF($S$5&lt;&gt;0,$S$5,IF($S$6&lt;&gt;0,$S$6,IF($S$7&lt;&gt;0,$S$7,0))))/(12*$S$19))+(((3*$S$15)/(2*(IF($S$5&lt;&gt;0,$S$5,IF($S$6&lt;&gt;0,$S$6,IF($S$7&lt;&gt;0,$S$7,0))))*$U$5*$S$19))*'IN-OUT'!$F$14))*'Burland damage classification'!BA497</f>
        <v>7.6001895711865081E-3</v>
      </c>
      <c r="AX497" s="353">
        <f>(1+(((IF($S$5&lt;&gt;0,$S$5^2,IF($S$6&lt;&gt;0,$S$6^2,IF($S$7&lt;&gt;0,$S$7^2))))*$U$5)/(18*$S$15))*('IN-OUT'!$F$14^(-1)))*BB497</f>
        <v>1.5641568022737437E-3</v>
      </c>
      <c r="AY497" s="254">
        <f t="shared" si="313"/>
        <v>1.5641568022737437E-3</v>
      </c>
      <c r="AZ497" s="254">
        <f t="shared" si="321"/>
        <v>0.15641568022737437</v>
      </c>
      <c r="BA497" s="254">
        <f t="shared" si="329"/>
        <v>8.6666666666665481E-4</v>
      </c>
      <c r="BB497" s="270">
        <f t="shared" si="314"/>
        <v>1.5534906930308057E-3</v>
      </c>
      <c r="BC497" s="253">
        <f t="shared" si="330"/>
        <v>1.1333333333333336E-3</v>
      </c>
      <c r="BD497" s="255">
        <f t="shared" si="322"/>
        <v>0.11333333333333337</v>
      </c>
      <c r="BI497" s="248"/>
      <c r="CG497" s="351" t="e">
        <f>((((IF($T$5=0,$T$6,$T$5)))/(12*$T$19))+(((3*$T$15)/(2*IF($T$5=0,$T$6,$T$5)*$U$5*$T$19))*'IN-OUT'!$F$14))*'Burland damage classification'!CK497</f>
        <v>#DIV/0!</v>
      </c>
      <c r="CH497" s="352">
        <f>(1+(((IF($T$5=0,$T$6^2,$T$5^2))*$U$5)/(18*$T$15))*('IN-OUT'!$F$14^(-1)))*CL497</f>
        <v>1.5534906930308057E-3</v>
      </c>
      <c r="CI497" s="254" t="e">
        <f t="shared" si="317"/>
        <v>#DIV/0!</v>
      </c>
      <c r="CJ497" s="254" t="e">
        <f t="shared" si="325"/>
        <v>#DIV/0!</v>
      </c>
      <c r="CK497" s="254">
        <f t="shared" si="333"/>
        <v>8.6666666666665481E-4</v>
      </c>
      <c r="CL497" s="270">
        <f t="shared" si="318"/>
        <v>1.5534906930308057E-3</v>
      </c>
      <c r="CM497" s="253">
        <f t="shared" si="334"/>
        <v>1.1333333333333336E-3</v>
      </c>
      <c r="CN497" s="255">
        <f t="shared" si="326"/>
        <v>0.11333333333333337</v>
      </c>
    </row>
    <row r="498" spans="49:92">
      <c r="AW498" s="258">
        <f>(((IF($S$5&lt;&gt;0,$S$5,IF($S$6&lt;&gt;0,$S$6,IF($S$7&lt;&gt;0,$S$7,0))))/(12*$S$19))+(((3*$S$15)/(2*(IF($S$5&lt;&gt;0,$S$5,IF($S$6&lt;&gt;0,$S$6,IF($S$7&lt;&gt;0,$S$7,0))))*$U$5*$S$19))*'IN-OUT'!$F$14))*'Burland damage classification'!BA498</f>
        <v>7.5417265744850727E-3</v>
      </c>
      <c r="AX498" s="353">
        <f>(1+(((IF($S$5&lt;&gt;0,$S$5^2,IF($S$6&lt;&gt;0,$S$6^2,IF($S$7&lt;&gt;0,$S$7^2))))*$U$5)/(18*$S$15))*('IN-OUT'!$F$14^(-1)))*BB498</f>
        <v>1.5611292596549374E-3</v>
      </c>
      <c r="AY498" s="254">
        <f t="shared" si="313"/>
        <v>1.5611292596549374E-3</v>
      </c>
      <c r="AZ498" s="254">
        <f t="shared" si="321"/>
        <v>0.15611292596549373</v>
      </c>
      <c r="BA498" s="254">
        <f t="shared" si="329"/>
        <v>8.5999999999998816E-4</v>
      </c>
      <c r="BB498" s="270">
        <f t="shared" si="314"/>
        <v>1.5504837954651443E-3</v>
      </c>
      <c r="BC498" s="253">
        <f t="shared" si="330"/>
        <v>1.1400000000000004E-3</v>
      </c>
      <c r="BD498" s="255">
        <f t="shared" si="322"/>
        <v>0.11400000000000005</v>
      </c>
      <c r="BI498" s="248"/>
      <c r="CG498" s="351" t="e">
        <f>((((IF($T$5=0,$T$6,$T$5)))/(12*$T$19))+(((3*$T$15)/(2*IF($T$5=0,$T$6,$T$5)*$U$5*$T$19))*'IN-OUT'!$F$14))*'Burland damage classification'!CK498</f>
        <v>#DIV/0!</v>
      </c>
      <c r="CH498" s="352">
        <f>(1+(((IF($T$5=0,$T$6^2,$T$5^2))*$U$5)/(18*$T$15))*('IN-OUT'!$F$14^(-1)))*CL498</f>
        <v>1.5504837954651443E-3</v>
      </c>
      <c r="CI498" s="254" t="e">
        <f t="shared" si="317"/>
        <v>#DIV/0!</v>
      </c>
      <c r="CJ498" s="254" t="e">
        <f t="shared" si="325"/>
        <v>#DIV/0!</v>
      </c>
      <c r="CK498" s="254">
        <f t="shared" si="333"/>
        <v>8.5999999999998816E-4</v>
      </c>
      <c r="CL498" s="270">
        <f t="shared" si="318"/>
        <v>1.5504837954651443E-3</v>
      </c>
      <c r="CM498" s="253">
        <f t="shared" si="334"/>
        <v>1.1400000000000004E-3</v>
      </c>
      <c r="CN498" s="255">
        <f t="shared" si="326"/>
        <v>0.11400000000000005</v>
      </c>
    </row>
    <row r="499" spans="49:92">
      <c r="AW499" s="258">
        <f>(((IF($S$5&lt;&gt;0,$S$5,IF($S$6&lt;&gt;0,$S$6,IF($S$7&lt;&gt;0,$S$7,0))))/(12*$S$19))+(((3*$S$15)/(2*(IF($S$5&lt;&gt;0,$S$5,IF($S$6&lt;&gt;0,$S$6,IF($S$7&lt;&gt;0,$S$7,0))))*$U$5*$S$19))*'IN-OUT'!$F$14))*'Burland damage classification'!BA499</f>
        <v>7.4832635777836373E-3</v>
      </c>
      <c r="AX499" s="353">
        <f>(1+(((IF($S$5&lt;&gt;0,$S$5^2,IF($S$6&lt;&gt;0,$S$6^2,IF($S$7&lt;&gt;0,$S$7^2))))*$U$5)/(18*$S$15))*('IN-OUT'!$F$14^(-1)))*BB499</f>
        <v>1.5580958342163434E-3</v>
      </c>
      <c r="AY499" s="254">
        <f t="shared" si="313"/>
        <v>1.5580958342163434E-3</v>
      </c>
      <c r="AZ499" s="254">
        <f t="shared" si="321"/>
        <v>0.15580958342163434</v>
      </c>
      <c r="BA499" s="254">
        <f t="shared" si="329"/>
        <v>8.5333333333332151E-4</v>
      </c>
      <c r="BB499" s="270">
        <f t="shared" si="314"/>
        <v>1.5474710551951097E-3</v>
      </c>
      <c r="BC499" s="253">
        <f t="shared" si="330"/>
        <v>1.1466666666666671E-3</v>
      </c>
      <c r="BD499" s="255">
        <f t="shared" si="322"/>
        <v>0.11466666666666671</v>
      </c>
      <c r="BI499" s="248"/>
      <c r="CG499" s="351" t="e">
        <f>((((IF($T$5=0,$T$6,$T$5)))/(12*$T$19))+(((3*$T$15)/(2*IF($T$5=0,$T$6,$T$5)*$U$5*$T$19))*'IN-OUT'!$F$14))*'Burland damage classification'!CK499</f>
        <v>#DIV/0!</v>
      </c>
      <c r="CH499" s="352">
        <f>(1+(((IF($T$5=0,$T$6^2,$T$5^2))*$U$5)/(18*$T$15))*('IN-OUT'!$F$14^(-1)))*CL499</f>
        <v>1.5474710551951097E-3</v>
      </c>
      <c r="CI499" s="254" t="e">
        <f t="shared" si="317"/>
        <v>#DIV/0!</v>
      </c>
      <c r="CJ499" s="254" t="e">
        <f t="shared" si="325"/>
        <v>#DIV/0!</v>
      </c>
      <c r="CK499" s="254">
        <f t="shared" si="333"/>
        <v>8.5333333333332151E-4</v>
      </c>
      <c r="CL499" s="270">
        <f t="shared" si="318"/>
        <v>1.5474710551951097E-3</v>
      </c>
      <c r="CM499" s="253">
        <f t="shared" si="334"/>
        <v>1.1466666666666671E-3</v>
      </c>
      <c r="CN499" s="255">
        <f t="shared" si="326"/>
        <v>0.11466666666666671</v>
      </c>
    </row>
    <row r="500" spans="49:92">
      <c r="AW500" s="258">
        <f>(((IF($S$5&lt;&gt;0,$S$5,IF($S$6&lt;&gt;0,$S$6,IF($S$7&lt;&gt;0,$S$7,0))))/(12*$S$19))+(((3*$S$15)/(2*(IF($S$5&lt;&gt;0,$S$5,IF($S$6&lt;&gt;0,$S$6,IF($S$7&lt;&gt;0,$S$7,0))))*$U$5*$S$19))*'IN-OUT'!$F$14))*'Burland damage classification'!BA500</f>
        <v>7.424800581082202E-3</v>
      </c>
      <c r="AX500" s="353">
        <f>(1+(((IF($S$5&lt;&gt;0,$S$5^2,IF($S$6&lt;&gt;0,$S$6^2,IF($S$7&lt;&gt;0,$S$7^2))))*$U$5)/(18*$S$15))*('IN-OUT'!$F$14^(-1)))*BB500</f>
        <v>1.5550564915313759E-3</v>
      </c>
      <c r="AY500" s="254">
        <f t="shared" si="313"/>
        <v>1.5550564915313759E-3</v>
      </c>
      <c r="AZ500" s="254">
        <f t="shared" si="321"/>
        <v>0.15550564915313758</v>
      </c>
      <c r="BA500" s="254">
        <f t="shared" si="329"/>
        <v>8.4666666666665487E-4</v>
      </c>
      <c r="BB500" s="270">
        <f t="shared" si="314"/>
        <v>1.5444524380288738E-3</v>
      </c>
      <c r="BC500" s="253">
        <f t="shared" si="330"/>
        <v>1.1533333333333339E-3</v>
      </c>
      <c r="BD500" s="255">
        <f t="shared" si="322"/>
        <v>0.11533333333333338</v>
      </c>
      <c r="BI500" s="248"/>
      <c r="CG500" s="351" t="e">
        <f>((((IF($T$5=0,$T$6,$T$5)))/(12*$T$19))+(((3*$T$15)/(2*IF($T$5=0,$T$6,$T$5)*$U$5*$T$19))*'IN-OUT'!$F$14))*'Burland damage classification'!CK500</f>
        <v>#DIV/0!</v>
      </c>
      <c r="CH500" s="352">
        <f>(1+(((IF($T$5=0,$T$6^2,$T$5^2))*$U$5)/(18*$T$15))*('IN-OUT'!$F$14^(-1)))*CL500</f>
        <v>1.5444524380288738E-3</v>
      </c>
      <c r="CI500" s="254" t="e">
        <f t="shared" si="317"/>
        <v>#DIV/0!</v>
      </c>
      <c r="CJ500" s="254" t="e">
        <f t="shared" si="325"/>
        <v>#DIV/0!</v>
      </c>
      <c r="CK500" s="254">
        <f t="shared" si="333"/>
        <v>8.4666666666665487E-4</v>
      </c>
      <c r="CL500" s="270">
        <f t="shared" si="318"/>
        <v>1.5444524380288738E-3</v>
      </c>
      <c r="CM500" s="253">
        <f t="shared" si="334"/>
        <v>1.1533333333333339E-3</v>
      </c>
      <c r="CN500" s="255">
        <f t="shared" si="326"/>
        <v>0.11533333333333338</v>
      </c>
    </row>
    <row r="501" spans="49:92">
      <c r="AW501" s="258">
        <f>(((IF($S$5&lt;&gt;0,$S$5,IF($S$6&lt;&gt;0,$S$6,IF($S$7&lt;&gt;0,$S$7,0))))/(12*$S$19))+(((3*$S$15)/(2*(IF($S$5&lt;&gt;0,$S$5,IF($S$6&lt;&gt;0,$S$6,IF($S$7&lt;&gt;0,$S$7,0))))*$U$5*$S$19))*'IN-OUT'!$F$14))*'Burland damage classification'!BA501</f>
        <v>7.3663375843807674E-3</v>
      </c>
      <c r="AX501" s="353">
        <f>(1+(((IF($S$5&lt;&gt;0,$S$5^2,IF($S$6&lt;&gt;0,$S$6^2,IF($S$7&lt;&gt;0,$S$7^2))))*$U$5)/(18*$S$15))*('IN-OUT'!$F$14^(-1)))*BB501</f>
        <v>1.5520111968363572E-3</v>
      </c>
      <c r="AY501" s="254">
        <f t="shared" si="313"/>
        <v>1.5520111968363572E-3</v>
      </c>
      <c r="AZ501" s="254">
        <f t="shared" si="321"/>
        <v>0.15520111968363573</v>
      </c>
      <c r="BA501" s="254">
        <f t="shared" si="329"/>
        <v>8.3999999999998822E-4</v>
      </c>
      <c r="BB501" s="270">
        <f t="shared" si="314"/>
        <v>1.5414279094398151E-3</v>
      </c>
      <c r="BC501" s="253">
        <f t="shared" si="330"/>
        <v>1.1600000000000007E-3</v>
      </c>
      <c r="BD501" s="255">
        <f t="shared" si="322"/>
        <v>0.11600000000000006</v>
      </c>
      <c r="BI501" s="248"/>
      <c r="CG501" s="351" t="e">
        <f>((((IF($T$5=0,$T$6,$T$5)))/(12*$T$19))+(((3*$T$15)/(2*IF($T$5=0,$T$6,$T$5)*$U$5*$T$19))*'IN-OUT'!$F$14))*'Burland damage classification'!CK501</f>
        <v>#DIV/0!</v>
      </c>
      <c r="CH501" s="352">
        <f>(1+(((IF($T$5=0,$T$6^2,$T$5^2))*$U$5)/(18*$T$15))*('IN-OUT'!$F$14^(-1)))*CL501</f>
        <v>1.5414279094398151E-3</v>
      </c>
      <c r="CI501" s="254" t="e">
        <f t="shared" si="317"/>
        <v>#DIV/0!</v>
      </c>
      <c r="CJ501" s="254" t="e">
        <f t="shared" si="325"/>
        <v>#DIV/0!</v>
      </c>
      <c r="CK501" s="254">
        <f t="shared" si="333"/>
        <v>8.3999999999998822E-4</v>
      </c>
      <c r="CL501" s="270">
        <f t="shared" si="318"/>
        <v>1.5414279094398151E-3</v>
      </c>
      <c r="CM501" s="253">
        <f t="shared" si="334"/>
        <v>1.1600000000000007E-3</v>
      </c>
      <c r="CN501" s="255">
        <f t="shared" si="326"/>
        <v>0.11600000000000006</v>
      </c>
    </row>
    <row r="502" spans="49:92">
      <c r="AW502" s="258">
        <f>(((IF($S$5&lt;&gt;0,$S$5,IF($S$6&lt;&gt;0,$S$6,IF($S$7&lt;&gt;0,$S$7,0))))/(12*$S$19))+(((3*$S$15)/(2*(IF($S$5&lt;&gt;0,$S$5,IF($S$6&lt;&gt;0,$S$6,IF($S$7&lt;&gt;0,$S$7,0))))*$U$5*$S$19))*'IN-OUT'!$F$14))*'Burland damage classification'!BA502</f>
        <v>7.3078745876793321E-3</v>
      </c>
      <c r="AX502" s="353">
        <f>(1+(((IF($S$5&lt;&gt;0,$S$5^2,IF($S$6&lt;&gt;0,$S$6^2,IF($S$7&lt;&gt;0,$S$7^2))))*$U$5)/(18*$S$15))*('IN-OUT'!$F$14^(-1)))*BB502</f>
        <v>1.548959915025877E-3</v>
      </c>
      <c r="AY502" s="254">
        <f t="shared" si="313"/>
        <v>1.548959915025877E-3</v>
      </c>
      <c r="AZ502" s="254">
        <f t="shared" si="321"/>
        <v>0.1548959915025877</v>
      </c>
      <c r="BA502" s="254">
        <f t="shared" si="329"/>
        <v>8.3333333333332157E-4</v>
      </c>
      <c r="BB502" s="270">
        <f t="shared" si="314"/>
        <v>1.5383974345619098E-3</v>
      </c>
      <c r="BC502" s="253">
        <f t="shared" si="330"/>
        <v>1.1666666666666674E-3</v>
      </c>
      <c r="BD502" s="255">
        <f t="shared" si="322"/>
        <v>0.11666666666666674</v>
      </c>
      <c r="BI502" s="248"/>
      <c r="CG502" s="351" t="e">
        <f>((((IF($T$5=0,$T$6,$T$5)))/(12*$T$19))+(((3*$T$15)/(2*IF($T$5=0,$T$6,$T$5)*$U$5*$T$19))*'IN-OUT'!$F$14))*'Burland damage classification'!CK502</f>
        <v>#DIV/0!</v>
      </c>
      <c r="CH502" s="352">
        <f>(1+(((IF($T$5=0,$T$6^2,$T$5^2))*$U$5)/(18*$T$15))*('IN-OUT'!$F$14^(-1)))*CL502</f>
        <v>1.5383974345619098E-3</v>
      </c>
      <c r="CI502" s="254" t="e">
        <f t="shared" si="317"/>
        <v>#DIV/0!</v>
      </c>
      <c r="CJ502" s="254" t="e">
        <f t="shared" si="325"/>
        <v>#DIV/0!</v>
      </c>
      <c r="CK502" s="254">
        <f t="shared" si="333"/>
        <v>8.3333333333332157E-4</v>
      </c>
      <c r="CL502" s="270">
        <f t="shared" si="318"/>
        <v>1.5383974345619098E-3</v>
      </c>
      <c r="CM502" s="253">
        <f t="shared" si="334"/>
        <v>1.1666666666666674E-3</v>
      </c>
      <c r="CN502" s="255">
        <f t="shared" si="326"/>
        <v>0.11666666666666674</v>
      </c>
    </row>
    <row r="503" spans="49:92">
      <c r="AW503" s="258">
        <f>(((IF($S$5&lt;&gt;0,$S$5,IF($S$6&lt;&gt;0,$S$6,IF($S$7&lt;&gt;0,$S$7,0))))/(12*$S$19))+(((3*$S$15)/(2*(IF($S$5&lt;&gt;0,$S$5,IF($S$6&lt;&gt;0,$S$6,IF($S$7&lt;&gt;0,$S$7,0))))*$U$5*$S$19))*'IN-OUT'!$F$14))*'Burland damage classification'!BA503</f>
        <v>7.2494115909778967E-3</v>
      </c>
      <c r="AX503" s="353">
        <f>(1+(((IF($S$5&lt;&gt;0,$S$5^2,IF($S$6&lt;&gt;0,$S$6^2,IF($S$7&lt;&gt;0,$S$7^2))))*$U$5)/(18*$S$15))*('IN-OUT'!$F$14^(-1)))*BB503</f>
        <v>1.545902610648071E-3</v>
      </c>
      <c r="AY503" s="254">
        <f t="shared" si="313"/>
        <v>1.545902610648071E-3</v>
      </c>
      <c r="AZ503" s="254">
        <f t="shared" si="321"/>
        <v>0.15459026106480711</v>
      </c>
      <c r="BA503" s="254">
        <f t="shared" si="329"/>
        <v>8.2666666666665492E-4</v>
      </c>
      <c r="BB503" s="270">
        <f t="shared" si="314"/>
        <v>1.5353609781850429E-3</v>
      </c>
      <c r="BC503" s="253">
        <f t="shared" si="330"/>
        <v>1.1733333333333342E-3</v>
      </c>
      <c r="BD503" s="255">
        <f t="shared" si="322"/>
        <v>0.11733333333333341</v>
      </c>
      <c r="BI503" s="248"/>
      <c r="CG503" s="351" t="e">
        <f>((((IF($T$5=0,$T$6,$T$5)))/(12*$T$19))+(((3*$T$15)/(2*IF($T$5=0,$T$6,$T$5)*$U$5*$T$19))*'IN-OUT'!$F$14))*'Burland damage classification'!CK503</f>
        <v>#DIV/0!</v>
      </c>
      <c r="CH503" s="352">
        <f>(1+(((IF($T$5=0,$T$6^2,$T$5^2))*$U$5)/(18*$T$15))*('IN-OUT'!$F$14^(-1)))*CL503</f>
        <v>1.5353609781850429E-3</v>
      </c>
      <c r="CI503" s="254" t="e">
        <f t="shared" si="317"/>
        <v>#DIV/0!</v>
      </c>
      <c r="CJ503" s="254" t="e">
        <f t="shared" si="325"/>
        <v>#DIV/0!</v>
      </c>
      <c r="CK503" s="254">
        <f t="shared" si="333"/>
        <v>8.2666666666665492E-4</v>
      </c>
      <c r="CL503" s="270">
        <f t="shared" si="318"/>
        <v>1.5353609781850429E-3</v>
      </c>
      <c r="CM503" s="253">
        <f t="shared" si="334"/>
        <v>1.1733333333333342E-3</v>
      </c>
      <c r="CN503" s="255">
        <f t="shared" si="326"/>
        <v>0.11733333333333341</v>
      </c>
    </row>
    <row r="504" spans="49:92">
      <c r="AW504" s="258">
        <f>(((IF($S$5&lt;&gt;0,$S$5,IF($S$6&lt;&gt;0,$S$6,IF($S$7&lt;&gt;0,$S$7,0))))/(12*$S$19))+(((3*$S$15)/(2*(IF($S$5&lt;&gt;0,$S$5,IF($S$6&lt;&gt;0,$S$6,IF($S$7&lt;&gt;0,$S$7,0))))*$U$5*$S$19))*'IN-OUT'!$F$14))*'Burland damage classification'!BA504</f>
        <v>7.1909485942764613E-3</v>
      </c>
      <c r="AX504" s="353">
        <f>(1+(((IF($S$5&lt;&gt;0,$S$5^2,IF($S$6&lt;&gt;0,$S$6^2,IF($S$7&lt;&gt;0,$S$7^2))))*$U$5)/(18*$S$15))*('IN-OUT'!$F$14^(-1)))*BB504</f>
        <v>1.5428392478998166E-3</v>
      </c>
      <c r="AY504" s="254">
        <f t="shared" si="313"/>
        <v>1.5428392478998166E-3</v>
      </c>
      <c r="AZ504" s="254">
        <f t="shared" si="321"/>
        <v>0.15428392478998165</v>
      </c>
      <c r="BA504" s="254">
        <f t="shared" si="329"/>
        <v>8.1999999999998827E-4</v>
      </c>
      <c r="BB504" s="270">
        <f t="shared" si="314"/>
        <v>1.5323185047502359E-3</v>
      </c>
      <c r="BC504" s="253">
        <f t="shared" si="330"/>
        <v>1.1800000000000009E-3</v>
      </c>
      <c r="BD504" s="255">
        <f t="shared" si="322"/>
        <v>0.11800000000000009</v>
      </c>
      <c r="BI504" s="248"/>
      <c r="CG504" s="351" t="e">
        <f>((((IF($T$5=0,$T$6,$T$5)))/(12*$T$19))+(((3*$T$15)/(2*IF($T$5=0,$T$6,$T$5)*$U$5*$T$19))*'IN-OUT'!$F$14))*'Burland damage classification'!CK504</f>
        <v>#DIV/0!</v>
      </c>
      <c r="CH504" s="352">
        <f>(1+(((IF($T$5=0,$T$6^2,$T$5^2))*$U$5)/(18*$T$15))*('IN-OUT'!$F$14^(-1)))*CL504</f>
        <v>1.5323185047502359E-3</v>
      </c>
      <c r="CI504" s="254" t="e">
        <f t="shared" si="317"/>
        <v>#DIV/0!</v>
      </c>
      <c r="CJ504" s="254" t="e">
        <f t="shared" si="325"/>
        <v>#DIV/0!</v>
      </c>
      <c r="CK504" s="254">
        <f t="shared" si="333"/>
        <v>8.1999999999998827E-4</v>
      </c>
      <c r="CL504" s="270">
        <f t="shared" si="318"/>
        <v>1.5323185047502359E-3</v>
      </c>
      <c r="CM504" s="253">
        <f t="shared" si="334"/>
        <v>1.1800000000000009E-3</v>
      </c>
      <c r="CN504" s="255">
        <f t="shared" si="326"/>
        <v>0.11800000000000009</v>
      </c>
    </row>
    <row r="505" spans="49:92">
      <c r="AW505" s="258">
        <f>(((IF($S$5&lt;&gt;0,$S$5,IF($S$6&lt;&gt;0,$S$6,IF($S$7&lt;&gt;0,$S$7,0))))/(12*$S$19))+(((3*$S$15)/(2*(IF($S$5&lt;&gt;0,$S$5,IF($S$6&lt;&gt;0,$S$6,IF($S$7&lt;&gt;0,$S$7,0))))*$U$5*$S$19))*'IN-OUT'!$F$14))*'Burland damage classification'!BA505</f>
        <v>7.132485597575026E-3</v>
      </c>
      <c r="AX505" s="353">
        <f>(1+(((IF($S$5&lt;&gt;0,$S$5^2,IF($S$6&lt;&gt;0,$S$6^2,IF($S$7&lt;&gt;0,$S$7^2))))*$U$5)/(18*$S$15))*('IN-OUT'!$F$14^(-1)))*BB505</f>
        <v>1.5397697906218387E-3</v>
      </c>
      <c r="AY505" s="254">
        <f t="shared" si="313"/>
        <v>1.5397697906218387E-3</v>
      </c>
      <c r="AZ505" s="254">
        <f t="shared" si="321"/>
        <v>0.15397697906218388</v>
      </c>
      <c r="BA505" s="254">
        <f t="shared" si="329"/>
        <v>8.1333333333332162E-4</v>
      </c>
      <c r="BB505" s="270">
        <f t="shared" si="314"/>
        <v>1.5292699783447869E-3</v>
      </c>
      <c r="BC505" s="253">
        <f t="shared" si="330"/>
        <v>1.1866666666666677E-3</v>
      </c>
      <c r="BD505" s="255">
        <f t="shared" si="322"/>
        <v>0.11866666666666677</v>
      </c>
      <c r="BI505" s="248"/>
      <c r="CG505" s="351" t="e">
        <f>((((IF($T$5=0,$T$6,$T$5)))/(12*$T$19))+(((3*$T$15)/(2*IF($T$5=0,$T$6,$T$5)*$U$5*$T$19))*'IN-OUT'!$F$14))*'Burland damage classification'!CK505</f>
        <v>#DIV/0!</v>
      </c>
      <c r="CH505" s="352">
        <f>(1+(((IF($T$5=0,$T$6^2,$T$5^2))*$U$5)/(18*$T$15))*('IN-OUT'!$F$14^(-1)))*CL505</f>
        <v>1.5292699783447869E-3</v>
      </c>
      <c r="CI505" s="254" t="e">
        <f t="shared" si="317"/>
        <v>#DIV/0!</v>
      </c>
      <c r="CJ505" s="254" t="e">
        <f t="shared" si="325"/>
        <v>#DIV/0!</v>
      </c>
      <c r="CK505" s="254">
        <f t="shared" si="333"/>
        <v>8.1333333333332162E-4</v>
      </c>
      <c r="CL505" s="270">
        <f t="shared" si="318"/>
        <v>1.5292699783447869E-3</v>
      </c>
      <c r="CM505" s="253">
        <f t="shared" si="334"/>
        <v>1.1866666666666677E-3</v>
      </c>
      <c r="CN505" s="255">
        <f t="shared" si="326"/>
        <v>0.11866666666666677</v>
      </c>
    </row>
    <row r="506" spans="49:92">
      <c r="AW506" s="258">
        <f>(((IF($S$5&lt;&gt;0,$S$5,IF($S$6&lt;&gt;0,$S$6,IF($S$7&lt;&gt;0,$S$7,0))))/(12*$S$19))+(((3*$S$15)/(2*(IF($S$5&lt;&gt;0,$S$5,IF($S$6&lt;&gt;0,$S$6,IF($S$7&lt;&gt;0,$S$7,0))))*$U$5*$S$19))*'IN-OUT'!$F$14))*'Burland damage classification'!BA506</f>
        <v>7.0740226008735906E-3</v>
      </c>
      <c r="AX506" s="353">
        <f>(1+(((IF($S$5&lt;&gt;0,$S$5^2,IF($S$6&lt;&gt;0,$S$6^2,IF($S$7&lt;&gt;0,$S$7^2))))*$U$5)/(18*$S$15))*('IN-OUT'!$F$14^(-1)))*BB506</f>
        <v>1.5366942022937327E-3</v>
      </c>
      <c r="AY506" s="254">
        <f t="shared" si="313"/>
        <v>1.5366942022937327E-3</v>
      </c>
      <c r="AZ506" s="254">
        <f t="shared" si="321"/>
        <v>0.15366942022937327</v>
      </c>
      <c r="BA506" s="254">
        <f t="shared" si="329"/>
        <v>8.0666666666665498E-4</v>
      </c>
      <c r="BB506" s="270">
        <f t="shared" si="314"/>
        <v>1.5262153626973264E-3</v>
      </c>
      <c r="BC506" s="253">
        <f t="shared" si="330"/>
        <v>1.1933333333333344E-3</v>
      </c>
      <c r="BD506" s="255">
        <f t="shared" si="322"/>
        <v>0.11933333333333344</v>
      </c>
      <c r="BI506" s="248"/>
      <c r="CG506" s="351" t="e">
        <f>((((IF($T$5=0,$T$6,$T$5)))/(12*$T$19))+(((3*$T$15)/(2*IF($T$5=0,$T$6,$T$5)*$U$5*$T$19))*'IN-OUT'!$F$14))*'Burland damage classification'!CK506</f>
        <v>#DIV/0!</v>
      </c>
      <c r="CH506" s="352">
        <f>(1+(((IF($T$5=0,$T$6^2,$T$5^2))*$U$5)/(18*$T$15))*('IN-OUT'!$F$14^(-1)))*CL506</f>
        <v>1.5262153626973264E-3</v>
      </c>
      <c r="CI506" s="254" t="e">
        <f t="shared" si="317"/>
        <v>#DIV/0!</v>
      </c>
      <c r="CJ506" s="254" t="e">
        <f t="shared" si="325"/>
        <v>#DIV/0!</v>
      </c>
      <c r="CK506" s="254">
        <f t="shared" si="333"/>
        <v>8.0666666666665498E-4</v>
      </c>
      <c r="CL506" s="270">
        <f t="shared" si="318"/>
        <v>1.5262153626973264E-3</v>
      </c>
      <c r="CM506" s="253">
        <f t="shared" si="334"/>
        <v>1.1933333333333344E-3</v>
      </c>
      <c r="CN506" s="255">
        <f t="shared" si="326"/>
        <v>0.11933333333333344</v>
      </c>
    </row>
    <row r="507" spans="49:92">
      <c r="AW507" s="258">
        <f>(((IF($S$5&lt;&gt;0,$S$5,IF($S$6&lt;&gt;0,$S$6,IF($S$7&lt;&gt;0,$S$7,0))))/(12*$S$19))+(((3*$S$15)/(2*(IF($S$5&lt;&gt;0,$S$5,IF($S$6&lt;&gt;0,$S$6,IF($S$7&lt;&gt;0,$S$7,0))))*$U$5*$S$19))*'IN-OUT'!$F$14))*'Burland damage classification'!BA507</f>
        <v>7.0155596041721552E-3</v>
      </c>
      <c r="AX507" s="353">
        <f>(1+(((IF($S$5&lt;&gt;0,$S$5^2,IF($S$6&lt;&gt;0,$S$6^2,IF($S$7&lt;&gt;0,$S$7^2))))*$U$5)/(18*$S$15))*('IN-OUT'!$F$14^(-1)))*BB507</f>
        <v>1.5336124460288919E-3</v>
      </c>
      <c r="AY507" s="254">
        <f t="shared" si="313"/>
        <v>1.5336124460288919E-3</v>
      </c>
      <c r="AZ507" s="254">
        <f t="shared" si="321"/>
        <v>0.15336124460288919</v>
      </c>
      <c r="BA507" s="254">
        <f t="shared" si="329"/>
        <v>7.9999999999998833E-4</v>
      </c>
      <c r="BB507" s="270">
        <f t="shared" si="314"/>
        <v>1.5231546211727811E-3</v>
      </c>
      <c r="BC507" s="253">
        <f t="shared" si="330"/>
        <v>1.2000000000000012E-3</v>
      </c>
      <c r="BD507" s="255">
        <f t="shared" si="322"/>
        <v>0.12000000000000012</v>
      </c>
      <c r="BI507" s="248"/>
      <c r="CG507" s="351" t="e">
        <f>((((IF($T$5=0,$T$6,$T$5)))/(12*$T$19))+(((3*$T$15)/(2*IF($T$5=0,$T$6,$T$5)*$U$5*$T$19))*'IN-OUT'!$F$14))*'Burland damage classification'!CK507</f>
        <v>#DIV/0!</v>
      </c>
      <c r="CH507" s="352">
        <f>(1+(((IF($T$5=0,$T$6^2,$T$5^2))*$U$5)/(18*$T$15))*('IN-OUT'!$F$14^(-1)))*CL507</f>
        <v>1.5231546211727811E-3</v>
      </c>
      <c r="CI507" s="254" t="e">
        <f t="shared" si="317"/>
        <v>#DIV/0!</v>
      </c>
      <c r="CJ507" s="254" t="e">
        <f t="shared" si="325"/>
        <v>#DIV/0!</v>
      </c>
      <c r="CK507" s="254">
        <f t="shared" si="333"/>
        <v>7.9999999999998833E-4</v>
      </c>
      <c r="CL507" s="270">
        <f t="shared" si="318"/>
        <v>1.5231546211727811E-3</v>
      </c>
      <c r="CM507" s="253">
        <f t="shared" si="334"/>
        <v>1.2000000000000012E-3</v>
      </c>
      <c r="CN507" s="255">
        <f t="shared" si="326"/>
        <v>0.12000000000000012</v>
      </c>
    </row>
    <row r="508" spans="49:92">
      <c r="AW508" s="258">
        <f>(((IF($S$5&lt;&gt;0,$S$5,IF($S$6&lt;&gt;0,$S$6,IF($S$7&lt;&gt;0,$S$7,0))))/(12*$S$19))+(((3*$S$15)/(2*(IF($S$5&lt;&gt;0,$S$5,IF($S$6&lt;&gt;0,$S$6,IF($S$7&lt;&gt;0,$S$7,0))))*$U$5*$S$19))*'IN-OUT'!$F$14))*'Burland damage classification'!BA508</f>
        <v>6.9570966074707198E-3</v>
      </c>
      <c r="AX508" s="353">
        <f>(1+(((IF($S$5&lt;&gt;0,$S$5^2,IF($S$6&lt;&gt;0,$S$6^2,IF($S$7&lt;&gt;0,$S$7^2))))*$U$5)/(18*$S$15))*('IN-OUT'!$F$14^(-1)))*BB508</f>
        <v>1.5305244845693487E-3</v>
      </c>
      <c r="AY508" s="254">
        <f t="shared" si="313"/>
        <v>1.5305244845693487E-3</v>
      </c>
      <c r="AZ508" s="254">
        <f t="shared" si="321"/>
        <v>0.15305244845693489</v>
      </c>
      <c r="BA508" s="254">
        <f t="shared" si="329"/>
        <v>7.9333333333332168E-4</v>
      </c>
      <c r="BB508" s="270">
        <f t="shared" si="314"/>
        <v>1.5200877167672478E-3</v>
      </c>
      <c r="BC508" s="253">
        <f t="shared" si="330"/>
        <v>1.206666666666668E-3</v>
      </c>
      <c r="BD508" s="255">
        <f t="shared" si="322"/>
        <v>0.1206666666666668</v>
      </c>
      <c r="BI508" s="248"/>
      <c r="CG508" s="351" t="e">
        <f>((((IF($T$5=0,$T$6,$T$5)))/(12*$T$19))+(((3*$T$15)/(2*IF($T$5=0,$T$6,$T$5)*$U$5*$T$19))*'IN-OUT'!$F$14))*'Burland damage classification'!CK508</f>
        <v>#DIV/0!</v>
      </c>
      <c r="CH508" s="352">
        <f>(1+(((IF($T$5=0,$T$6^2,$T$5^2))*$U$5)/(18*$T$15))*('IN-OUT'!$F$14^(-1)))*CL508</f>
        <v>1.5200877167672478E-3</v>
      </c>
      <c r="CI508" s="254" t="e">
        <f t="shared" si="317"/>
        <v>#DIV/0!</v>
      </c>
      <c r="CJ508" s="254" t="e">
        <f t="shared" si="325"/>
        <v>#DIV/0!</v>
      </c>
      <c r="CK508" s="254">
        <f t="shared" si="333"/>
        <v>7.9333333333332168E-4</v>
      </c>
      <c r="CL508" s="270">
        <f t="shared" si="318"/>
        <v>1.5200877167672478E-3</v>
      </c>
      <c r="CM508" s="253">
        <f t="shared" si="334"/>
        <v>1.206666666666668E-3</v>
      </c>
      <c r="CN508" s="255">
        <f t="shared" si="326"/>
        <v>0.1206666666666668</v>
      </c>
    </row>
    <row r="509" spans="49:92">
      <c r="AW509" s="258">
        <f>(((IF($S$5&lt;&gt;0,$S$5,IF($S$6&lt;&gt;0,$S$6,IF($S$7&lt;&gt;0,$S$7,0))))/(12*$S$19))+(((3*$S$15)/(2*(IF($S$5&lt;&gt;0,$S$5,IF($S$6&lt;&gt;0,$S$6,IF($S$7&lt;&gt;0,$S$7,0))))*$U$5*$S$19))*'IN-OUT'!$F$14))*'Burland damage classification'!BA509</f>
        <v>6.8986336107692845E-3</v>
      </c>
      <c r="AX509" s="353">
        <f>(1+(((IF($S$5&lt;&gt;0,$S$5^2,IF($S$6&lt;&gt;0,$S$6^2,IF($S$7&lt;&gt;0,$S$7^2))))*$U$5)/(18*$S$15))*('IN-OUT'!$F$14^(-1)))*BB509</f>
        <v>1.5274302802805175E-3</v>
      </c>
      <c r="AY509" s="254">
        <f t="shared" si="313"/>
        <v>1.5274302802805175E-3</v>
      </c>
      <c r="AZ509" s="254">
        <f t="shared" si="321"/>
        <v>0.15274302802805176</v>
      </c>
      <c r="BA509" s="254">
        <f t="shared" si="329"/>
        <v>7.8666666666665503E-4</v>
      </c>
      <c r="BB509" s="270">
        <f t="shared" si="314"/>
        <v>1.5170146121027744E-3</v>
      </c>
      <c r="BC509" s="253">
        <f t="shared" si="330"/>
        <v>1.2133333333333347E-3</v>
      </c>
      <c r="BD509" s="255">
        <f t="shared" si="322"/>
        <v>0.12133333333333347</v>
      </c>
      <c r="BI509" s="248"/>
      <c r="CG509" s="351" t="e">
        <f>((((IF($T$5=0,$T$6,$T$5)))/(12*$T$19))+(((3*$T$15)/(2*IF($T$5=0,$T$6,$T$5)*$U$5*$T$19))*'IN-OUT'!$F$14))*'Burland damage classification'!CK509</f>
        <v>#DIV/0!</v>
      </c>
      <c r="CH509" s="352">
        <f>(1+(((IF($T$5=0,$T$6^2,$T$5^2))*$U$5)/(18*$T$15))*('IN-OUT'!$F$14^(-1)))*CL509</f>
        <v>1.5170146121027744E-3</v>
      </c>
      <c r="CI509" s="254" t="e">
        <f t="shared" si="317"/>
        <v>#DIV/0!</v>
      </c>
      <c r="CJ509" s="254" t="e">
        <f t="shared" si="325"/>
        <v>#DIV/0!</v>
      </c>
      <c r="CK509" s="254">
        <f t="shared" si="333"/>
        <v>7.8666666666665503E-4</v>
      </c>
      <c r="CL509" s="270">
        <f t="shared" si="318"/>
        <v>1.5170146121027744E-3</v>
      </c>
      <c r="CM509" s="253">
        <f t="shared" si="334"/>
        <v>1.2133333333333347E-3</v>
      </c>
      <c r="CN509" s="255">
        <f t="shared" si="326"/>
        <v>0.12133333333333347</v>
      </c>
    </row>
    <row r="510" spans="49:92">
      <c r="AW510" s="258">
        <f>(((IF($S$5&lt;&gt;0,$S$5,IF($S$6&lt;&gt;0,$S$6,IF($S$7&lt;&gt;0,$S$7,0))))/(12*$S$19))+(((3*$S$15)/(2*(IF($S$5&lt;&gt;0,$S$5,IF($S$6&lt;&gt;0,$S$6,IF($S$7&lt;&gt;0,$S$7,0))))*$U$5*$S$19))*'IN-OUT'!$F$14))*'Burland damage classification'!BA510</f>
        <v>6.8401706140678491E-3</v>
      </c>
      <c r="AX510" s="353">
        <f>(1+(((IF($S$5&lt;&gt;0,$S$5^2,IF($S$6&lt;&gt;0,$S$6^2,IF($S$7&lt;&gt;0,$S$7^2))))*$U$5)/(18*$S$15))*('IN-OUT'!$F$14^(-1)))*BB510</f>
        <v>1.524329795145844E-3</v>
      </c>
      <c r="AY510" s="254">
        <f t="shared" si="313"/>
        <v>1.524329795145844E-3</v>
      </c>
      <c r="AZ510" s="254">
        <f t="shared" si="321"/>
        <v>0.1524329795145844</v>
      </c>
      <c r="BA510" s="254">
        <f t="shared" si="329"/>
        <v>7.7999999999998838E-4</v>
      </c>
      <c r="BB510" s="270">
        <f t="shared" si="314"/>
        <v>1.5139352694220442E-3</v>
      </c>
      <c r="BC510" s="253">
        <f t="shared" si="330"/>
        <v>1.2200000000000015E-3</v>
      </c>
      <c r="BD510" s="255">
        <f t="shared" si="322"/>
        <v>0.12200000000000015</v>
      </c>
      <c r="BI510" s="248"/>
      <c r="CG510" s="351" t="e">
        <f>((((IF($T$5=0,$T$6,$T$5)))/(12*$T$19))+(((3*$T$15)/(2*IF($T$5=0,$T$6,$T$5)*$U$5*$T$19))*'IN-OUT'!$F$14))*'Burland damage classification'!CK510</f>
        <v>#DIV/0!</v>
      </c>
      <c r="CH510" s="352">
        <f>(1+(((IF($T$5=0,$T$6^2,$T$5^2))*$U$5)/(18*$T$15))*('IN-OUT'!$F$14^(-1)))*CL510</f>
        <v>1.5139352694220442E-3</v>
      </c>
      <c r="CI510" s="254" t="e">
        <f t="shared" si="317"/>
        <v>#DIV/0!</v>
      </c>
      <c r="CJ510" s="254" t="e">
        <f t="shared" si="325"/>
        <v>#DIV/0!</v>
      </c>
      <c r="CK510" s="254">
        <f t="shared" si="333"/>
        <v>7.7999999999998838E-4</v>
      </c>
      <c r="CL510" s="270">
        <f t="shared" si="318"/>
        <v>1.5139352694220442E-3</v>
      </c>
      <c r="CM510" s="253">
        <f t="shared" si="334"/>
        <v>1.2200000000000015E-3</v>
      </c>
      <c r="CN510" s="255">
        <f t="shared" si="326"/>
        <v>0.12200000000000015</v>
      </c>
    </row>
    <row r="511" spans="49:92">
      <c r="AW511" s="258">
        <f>(((IF($S$5&lt;&gt;0,$S$5,IF($S$6&lt;&gt;0,$S$6,IF($S$7&lt;&gt;0,$S$7,0))))/(12*$S$19))+(((3*$S$15)/(2*(IF($S$5&lt;&gt;0,$S$5,IF($S$6&lt;&gt;0,$S$6,IF($S$7&lt;&gt;0,$S$7,0))))*$U$5*$S$19))*'IN-OUT'!$F$14))*'Burland damage classification'!BA511</f>
        <v>6.7817076173664137E-3</v>
      </c>
      <c r="AX511" s="353">
        <f>(1+(((IF($S$5&lt;&gt;0,$S$5^2,IF($S$6&lt;&gt;0,$S$6^2,IF($S$7&lt;&gt;0,$S$7^2))))*$U$5)/(18*$S$15))*('IN-OUT'!$F$14^(-1)))*BB511</f>
        <v>1.5212229907613545E-3</v>
      </c>
      <c r="AY511" s="254">
        <f t="shared" si="313"/>
        <v>1.5212229907613545E-3</v>
      </c>
      <c r="AZ511" s="254">
        <f t="shared" si="321"/>
        <v>0.15212229907613545</v>
      </c>
      <c r="BA511" s="254">
        <f t="shared" si="329"/>
        <v>7.7333333333332174E-4</v>
      </c>
      <c r="BB511" s="270">
        <f t="shared" si="314"/>
        <v>1.5108496505829639E-3</v>
      </c>
      <c r="BC511" s="253">
        <f t="shared" si="330"/>
        <v>1.2266666666666682E-3</v>
      </c>
      <c r="BD511" s="255">
        <f t="shared" si="322"/>
        <v>0.12266666666666683</v>
      </c>
      <c r="BI511" s="248"/>
      <c r="CG511" s="351" t="e">
        <f>((((IF($T$5=0,$T$6,$T$5)))/(12*$T$19))+(((3*$T$15)/(2*IF($T$5=0,$T$6,$T$5)*$U$5*$T$19))*'IN-OUT'!$F$14))*'Burland damage classification'!CK511</f>
        <v>#DIV/0!</v>
      </c>
      <c r="CH511" s="352">
        <f>(1+(((IF($T$5=0,$T$6^2,$T$5^2))*$U$5)/(18*$T$15))*('IN-OUT'!$F$14^(-1)))*CL511</f>
        <v>1.5108496505829639E-3</v>
      </c>
      <c r="CI511" s="254" t="e">
        <f t="shared" si="317"/>
        <v>#DIV/0!</v>
      </c>
      <c r="CJ511" s="254" t="e">
        <f t="shared" si="325"/>
        <v>#DIV/0!</v>
      </c>
      <c r="CK511" s="254">
        <f t="shared" si="333"/>
        <v>7.7333333333332174E-4</v>
      </c>
      <c r="CL511" s="270">
        <f t="shared" si="318"/>
        <v>1.5108496505829639E-3</v>
      </c>
      <c r="CM511" s="253">
        <f t="shared" si="334"/>
        <v>1.2266666666666682E-3</v>
      </c>
      <c r="CN511" s="255">
        <f t="shared" si="326"/>
        <v>0.12266666666666683</v>
      </c>
    </row>
    <row r="512" spans="49:92">
      <c r="AW512" s="258">
        <f>(((IF($S$5&lt;&gt;0,$S$5,IF($S$6&lt;&gt;0,$S$6,IF($S$7&lt;&gt;0,$S$7,0))))/(12*$S$19))+(((3*$S$15)/(2*(IF($S$5&lt;&gt;0,$S$5,IF($S$6&lt;&gt;0,$S$6,IF($S$7&lt;&gt;0,$S$7,0))))*$U$5*$S$19))*'IN-OUT'!$F$14))*'Burland damage classification'!BA512</f>
        <v>6.7232446206649784E-3</v>
      </c>
      <c r="AX512" s="353">
        <f>(1+(((IF($S$5&lt;&gt;0,$S$5^2,IF($S$6&lt;&gt;0,$S$6^2,IF($S$7&lt;&gt;0,$S$7^2))))*$U$5)/(18*$S$15))*('IN-OUT'!$F$14^(-1)))*BB512</f>
        <v>1.5181098283301082E-3</v>
      </c>
      <c r="AY512" s="254">
        <f t="shared" si="313"/>
        <v>1.5181098283301082E-3</v>
      </c>
      <c r="AZ512" s="254">
        <f t="shared" si="321"/>
        <v>0.15181098283301081</v>
      </c>
      <c r="BA512" s="254">
        <f t="shared" si="329"/>
        <v>7.6666666666665509E-4</v>
      </c>
      <c r="BB512" s="270">
        <f t="shared" si="314"/>
        <v>1.5077577170531514E-3</v>
      </c>
      <c r="BC512" s="253">
        <f t="shared" si="330"/>
        <v>1.233333333333335E-3</v>
      </c>
      <c r="BD512" s="255">
        <f t="shared" si="322"/>
        <v>0.1233333333333335</v>
      </c>
      <c r="BI512" s="248"/>
      <c r="CG512" s="351" t="e">
        <f>((((IF($T$5=0,$T$6,$T$5)))/(12*$T$19))+(((3*$T$15)/(2*IF($T$5=0,$T$6,$T$5)*$U$5*$T$19))*'IN-OUT'!$F$14))*'Burland damage classification'!CK512</f>
        <v>#DIV/0!</v>
      </c>
      <c r="CH512" s="352">
        <f>(1+(((IF($T$5=0,$T$6^2,$T$5^2))*$U$5)/(18*$T$15))*('IN-OUT'!$F$14^(-1)))*CL512</f>
        <v>1.5077577170531514E-3</v>
      </c>
      <c r="CI512" s="254" t="e">
        <f t="shared" si="317"/>
        <v>#DIV/0!</v>
      </c>
      <c r="CJ512" s="254" t="e">
        <f t="shared" si="325"/>
        <v>#DIV/0!</v>
      </c>
      <c r="CK512" s="254">
        <f t="shared" si="333"/>
        <v>7.6666666666665509E-4</v>
      </c>
      <c r="CL512" s="270">
        <f t="shared" si="318"/>
        <v>1.5077577170531514E-3</v>
      </c>
      <c r="CM512" s="253">
        <f t="shared" si="334"/>
        <v>1.233333333333335E-3</v>
      </c>
      <c r="CN512" s="255">
        <f t="shared" si="326"/>
        <v>0.1233333333333335</v>
      </c>
    </row>
    <row r="513" spans="49:92">
      <c r="AW513" s="258">
        <f>(((IF($S$5&lt;&gt;0,$S$5,IF($S$6&lt;&gt;0,$S$6,IF($S$7&lt;&gt;0,$S$7,0))))/(12*$S$19))+(((3*$S$15)/(2*(IF($S$5&lt;&gt;0,$S$5,IF($S$6&lt;&gt;0,$S$6,IF($S$7&lt;&gt;0,$S$7,0))))*$U$5*$S$19))*'IN-OUT'!$F$14))*'Burland damage classification'!BA513</f>
        <v>6.664781623963543E-3</v>
      </c>
      <c r="AX513" s="353">
        <f>(1+(((IF($S$5&lt;&gt;0,$S$5^2,IF($S$6&lt;&gt;0,$S$6^2,IF($S$7&lt;&gt;0,$S$7^2))))*$U$5)/(18*$S$15))*('IN-OUT'!$F$14^(-1)))*BB513</f>
        <v>1.5149902686565416E-3</v>
      </c>
      <c r="AY513" s="254">
        <f t="shared" si="313"/>
        <v>1.5149902686565416E-3</v>
      </c>
      <c r="AZ513" s="254">
        <f t="shared" si="321"/>
        <v>0.15149902686565417</v>
      </c>
      <c r="BA513" s="254">
        <f t="shared" si="329"/>
        <v>7.5999999999998844E-4</v>
      </c>
      <c r="BB513" s="270">
        <f t="shared" si="314"/>
        <v>1.5046594299043213E-3</v>
      </c>
      <c r="BC513" s="253">
        <f t="shared" si="330"/>
        <v>1.2400000000000017E-3</v>
      </c>
      <c r="BD513" s="255">
        <f t="shared" si="322"/>
        <v>0.12400000000000018</v>
      </c>
      <c r="BI513" s="248"/>
      <c r="CG513" s="351" t="e">
        <f>((((IF($T$5=0,$T$6,$T$5)))/(12*$T$19))+(((3*$T$15)/(2*IF($T$5=0,$T$6,$T$5)*$U$5*$T$19))*'IN-OUT'!$F$14))*'Burland damage classification'!CK513</f>
        <v>#DIV/0!</v>
      </c>
      <c r="CH513" s="352">
        <f>(1+(((IF($T$5=0,$T$6^2,$T$5^2))*$U$5)/(18*$T$15))*('IN-OUT'!$F$14^(-1)))*CL513</f>
        <v>1.5046594299043213E-3</v>
      </c>
      <c r="CI513" s="254" t="e">
        <f t="shared" si="317"/>
        <v>#DIV/0!</v>
      </c>
      <c r="CJ513" s="254" t="e">
        <f t="shared" si="325"/>
        <v>#DIV/0!</v>
      </c>
      <c r="CK513" s="254">
        <f t="shared" si="333"/>
        <v>7.5999999999998844E-4</v>
      </c>
      <c r="CL513" s="270">
        <f t="shared" si="318"/>
        <v>1.5046594299043213E-3</v>
      </c>
      <c r="CM513" s="253">
        <f t="shared" si="334"/>
        <v>1.2400000000000017E-3</v>
      </c>
      <c r="CN513" s="255">
        <f t="shared" si="326"/>
        <v>0.12400000000000018</v>
      </c>
    </row>
    <row r="514" spans="49:92">
      <c r="AW514" s="258">
        <f>(((IF($S$5&lt;&gt;0,$S$5,IF($S$6&lt;&gt;0,$S$6,IF($S$7&lt;&gt;0,$S$7,0))))/(12*$S$19))+(((3*$S$15)/(2*(IF($S$5&lt;&gt;0,$S$5,IF($S$6&lt;&gt;0,$S$6,IF($S$7&lt;&gt;0,$S$7,0))))*$U$5*$S$19))*'IN-OUT'!$F$14))*'Burland damage classification'!BA514</f>
        <v>6.6063186272621076E-3</v>
      </c>
      <c r="AX514" s="353">
        <f>(1+(((IF($S$5&lt;&gt;0,$S$5^2,IF($S$6&lt;&gt;0,$S$6^2,IF($S$7&lt;&gt;0,$S$7^2))))*$U$5)/(18*$S$15))*('IN-OUT'!$F$14^(-1)))*BB514</f>
        <v>1.5118642721407135E-3</v>
      </c>
      <c r="AY514" s="254">
        <f t="shared" si="313"/>
        <v>1.5118642721407135E-3</v>
      </c>
      <c r="AZ514" s="254">
        <f t="shared" si="321"/>
        <v>0.15118642721407136</v>
      </c>
      <c r="BA514" s="254">
        <f t="shared" si="329"/>
        <v>7.5333333333332179E-4</v>
      </c>
      <c r="BB514" s="270">
        <f t="shared" si="314"/>
        <v>1.5015547498065675E-3</v>
      </c>
      <c r="BC514" s="253">
        <f t="shared" si="330"/>
        <v>1.2466666666666685E-3</v>
      </c>
      <c r="BD514" s="255">
        <f t="shared" si="322"/>
        <v>0.12466666666666684</v>
      </c>
      <c r="BI514" s="248"/>
      <c r="CG514" s="351" t="e">
        <f>((((IF($T$5=0,$T$6,$T$5)))/(12*$T$19))+(((3*$T$15)/(2*IF($T$5=0,$T$6,$T$5)*$U$5*$T$19))*'IN-OUT'!$F$14))*'Burland damage classification'!CK514</f>
        <v>#DIV/0!</v>
      </c>
      <c r="CH514" s="352">
        <f>(1+(((IF($T$5=0,$T$6^2,$T$5^2))*$U$5)/(18*$T$15))*('IN-OUT'!$F$14^(-1)))*CL514</f>
        <v>1.5015547498065675E-3</v>
      </c>
      <c r="CI514" s="254" t="e">
        <f t="shared" si="317"/>
        <v>#DIV/0!</v>
      </c>
      <c r="CJ514" s="254" t="e">
        <f t="shared" si="325"/>
        <v>#DIV/0!</v>
      </c>
      <c r="CK514" s="254">
        <f t="shared" si="333"/>
        <v>7.5333333333332179E-4</v>
      </c>
      <c r="CL514" s="270">
        <f t="shared" si="318"/>
        <v>1.5015547498065675E-3</v>
      </c>
      <c r="CM514" s="253">
        <f t="shared" si="334"/>
        <v>1.2466666666666685E-3</v>
      </c>
      <c r="CN514" s="255">
        <f t="shared" si="326"/>
        <v>0.12466666666666684</v>
      </c>
    </row>
    <row r="515" spans="49:92">
      <c r="AW515" s="258">
        <f>(((IF($S$5&lt;&gt;0,$S$5,IF($S$6&lt;&gt;0,$S$6,IF($S$7&lt;&gt;0,$S$7,0))))/(12*$S$19))+(((3*$S$15)/(2*(IF($S$5&lt;&gt;0,$S$5,IF($S$6&lt;&gt;0,$S$6,IF($S$7&lt;&gt;0,$S$7,0))))*$U$5*$S$19))*'IN-OUT'!$F$14))*'Burland damage classification'!BA515</f>
        <v>6.5478556305606722E-3</v>
      </c>
      <c r="AX515" s="353">
        <f>(1+(((IF($S$5&lt;&gt;0,$S$5^2,IF($S$6&lt;&gt;0,$S$6^2,IF($S$7&lt;&gt;0,$S$7^2))))*$U$5)/(18*$S$15))*('IN-OUT'!$F$14^(-1)))*BB515</f>
        <v>1.508731798772439E-3</v>
      </c>
      <c r="AY515" s="254">
        <f t="shared" si="313"/>
        <v>1.508731798772439E-3</v>
      </c>
      <c r="AZ515" s="254">
        <f t="shared" si="321"/>
        <v>0.15087317987724388</v>
      </c>
      <c r="BA515" s="254">
        <f t="shared" si="329"/>
        <v>7.4666666666665514E-4</v>
      </c>
      <c r="BB515" s="270">
        <f t="shared" si="314"/>
        <v>1.4984436370225375E-3</v>
      </c>
      <c r="BC515" s="253">
        <f t="shared" si="330"/>
        <v>1.2533333333333352E-3</v>
      </c>
      <c r="BD515" s="255">
        <f t="shared" si="322"/>
        <v>0.12533333333333352</v>
      </c>
      <c r="BI515" s="248"/>
      <c r="CG515" s="351" t="e">
        <f>((((IF($T$5=0,$T$6,$T$5)))/(12*$T$19))+(((3*$T$15)/(2*IF($T$5=0,$T$6,$T$5)*$U$5*$T$19))*'IN-OUT'!$F$14))*'Burland damage classification'!CK515</f>
        <v>#DIV/0!</v>
      </c>
      <c r="CH515" s="352">
        <f>(1+(((IF($T$5=0,$T$6^2,$T$5^2))*$U$5)/(18*$T$15))*('IN-OUT'!$F$14^(-1)))*CL515</f>
        <v>1.4984436370225375E-3</v>
      </c>
      <c r="CI515" s="254" t="e">
        <f t="shared" si="317"/>
        <v>#DIV/0!</v>
      </c>
      <c r="CJ515" s="254" t="e">
        <f t="shared" si="325"/>
        <v>#DIV/0!</v>
      </c>
      <c r="CK515" s="254">
        <f t="shared" si="333"/>
        <v>7.4666666666665514E-4</v>
      </c>
      <c r="CL515" s="270">
        <f t="shared" si="318"/>
        <v>1.4984436370225375E-3</v>
      </c>
      <c r="CM515" s="253">
        <f t="shared" si="334"/>
        <v>1.2533333333333352E-3</v>
      </c>
      <c r="CN515" s="255">
        <f t="shared" si="326"/>
        <v>0.12533333333333352</v>
      </c>
    </row>
    <row r="516" spans="49:92">
      <c r="AW516" s="258">
        <f>(((IF($S$5&lt;&gt;0,$S$5,IF($S$6&lt;&gt;0,$S$6,IF($S$7&lt;&gt;0,$S$7,0))))/(12*$S$19))+(((3*$S$15)/(2*(IF($S$5&lt;&gt;0,$S$5,IF($S$6&lt;&gt;0,$S$6,IF($S$7&lt;&gt;0,$S$7,0))))*$U$5*$S$19))*'IN-OUT'!$F$14))*'Burland damage classification'!BA516</f>
        <v>6.4893926338592369E-3</v>
      </c>
      <c r="AX516" s="353">
        <f>(1+(((IF($S$5&lt;&gt;0,$S$5^2,IF($S$6&lt;&gt;0,$S$6^2,IF($S$7&lt;&gt;0,$S$7^2))))*$U$5)/(18*$S$15))*('IN-OUT'!$F$14^(-1)))*BB516</f>
        <v>1.5055928081253143E-3</v>
      </c>
      <c r="AY516" s="254">
        <f t="shared" si="313"/>
        <v>1.5055928081253143E-3</v>
      </c>
      <c r="AZ516" s="254">
        <f t="shared" si="321"/>
        <v>0.15055928081253142</v>
      </c>
      <c r="BA516" s="254">
        <f t="shared" si="329"/>
        <v>7.399999999999885E-4</v>
      </c>
      <c r="BB516" s="270">
        <f t="shared" si="314"/>
        <v>1.4953260514014985E-3</v>
      </c>
      <c r="BC516" s="253">
        <f t="shared" si="330"/>
        <v>1.260000000000002E-3</v>
      </c>
      <c r="BD516" s="255">
        <f t="shared" si="322"/>
        <v>0.1260000000000002</v>
      </c>
      <c r="BI516" s="248"/>
      <c r="CG516" s="351" t="e">
        <f>((((IF($T$5=0,$T$6,$T$5)))/(12*$T$19))+(((3*$T$15)/(2*IF($T$5=0,$T$6,$T$5)*$U$5*$T$19))*'IN-OUT'!$F$14))*'Burland damage classification'!CK516</f>
        <v>#DIV/0!</v>
      </c>
      <c r="CH516" s="352">
        <f>(1+(((IF($T$5=0,$T$6^2,$T$5^2))*$U$5)/(18*$T$15))*('IN-OUT'!$F$14^(-1)))*CL516</f>
        <v>1.4953260514014985E-3</v>
      </c>
      <c r="CI516" s="254" t="e">
        <f t="shared" si="317"/>
        <v>#DIV/0!</v>
      </c>
      <c r="CJ516" s="254" t="e">
        <f t="shared" si="325"/>
        <v>#DIV/0!</v>
      </c>
      <c r="CK516" s="254">
        <f t="shared" si="333"/>
        <v>7.399999999999885E-4</v>
      </c>
      <c r="CL516" s="270">
        <f t="shared" si="318"/>
        <v>1.4953260514014985E-3</v>
      </c>
      <c r="CM516" s="253">
        <f t="shared" si="334"/>
        <v>1.260000000000002E-3</v>
      </c>
      <c r="CN516" s="255">
        <f t="shared" si="326"/>
        <v>0.1260000000000002</v>
      </c>
    </row>
    <row r="517" spans="49:92">
      <c r="AW517" s="258">
        <f>(((IF($S$5&lt;&gt;0,$S$5,IF($S$6&lt;&gt;0,$S$6,IF($S$7&lt;&gt;0,$S$7,0))))/(12*$S$19))+(((3*$S$15)/(2*(IF($S$5&lt;&gt;0,$S$5,IF($S$6&lt;&gt;0,$S$6,IF($S$7&lt;&gt;0,$S$7,0))))*$U$5*$S$19))*'IN-OUT'!$F$14))*'Burland damage classification'!BA517</f>
        <v>6.4309296371578024E-3</v>
      </c>
      <c r="AX517" s="353">
        <f>(1+(((IF($S$5&lt;&gt;0,$S$5^2,IF($S$6&lt;&gt;0,$S$6^2,IF($S$7&lt;&gt;0,$S$7^2))))*$U$5)/(18*$S$15))*('IN-OUT'!$F$14^(-1)))*BB517</f>
        <v>1.50244725935063E-3</v>
      </c>
      <c r="AY517" s="254">
        <f t="shared" si="313"/>
        <v>1.50244725935063E-3</v>
      </c>
      <c r="AZ517" s="254">
        <f t="shared" si="321"/>
        <v>0.15024472593506299</v>
      </c>
      <c r="BA517" s="254">
        <f t="shared" si="329"/>
        <v>7.3333333333332185E-4</v>
      </c>
      <c r="BB517" s="270">
        <f t="shared" si="314"/>
        <v>1.4922019523732916E-3</v>
      </c>
      <c r="BC517" s="253">
        <f t="shared" si="330"/>
        <v>1.2666666666666688E-3</v>
      </c>
      <c r="BD517" s="255">
        <f t="shared" si="322"/>
        <v>0.12666666666666687</v>
      </c>
      <c r="BI517" s="248"/>
      <c r="CG517" s="351" t="e">
        <f>((((IF($T$5=0,$T$6,$T$5)))/(12*$T$19))+(((3*$T$15)/(2*IF($T$5=0,$T$6,$T$5)*$U$5*$T$19))*'IN-OUT'!$F$14))*'Burland damage classification'!CK517</f>
        <v>#DIV/0!</v>
      </c>
      <c r="CH517" s="352">
        <f>(1+(((IF($T$5=0,$T$6^2,$T$5^2))*$U$5)/(18*$T$15))*('IN-OUT'!$F$14^(-1)))*CL517</f>
        <v>1.4922019523732916E-3</v>
      </c>
      <c r="CI517" s="254" t="e">
        <f t="shared" si="317"/>
        <v>#DIV/0!</v>
      </c>
      <c r="CJ517" s="254" t="e">
        <f t="shared" si="325"/>
        <v>#DIV/0!</v>
      </c>
      <c r="CK517" s="254">
        <f t="shared" si="333"/>
        <v>7.3333333333332185E-4</v>
      </c>
      <c r="CL517" s="270">
        <f t="shared" si="318"/>
        <v>1.4922019523732916E-3</v>
      </c>
      <c r="CM517" s="253">
        <f t="shared" si="334"/>
        <v>1.2666666666666688E-3</v>
      </c>
      <c r="CN517" s="255">
        <f t="shared" si="326"/>
        <v>0.12666666666666687</v>
      </c>
    </row>
    <row r="518" spans="49:92">
      <c r="AW518" s="258">
        <f>(((IF($S$5&lt;&gt;0,$S$5,IF($S$6&lt;&gt;0,$S$6,IF($S$7&lt;&gt;0,$S$7,0))))/(12*$S$19))+(((3*$S$15)/(2*(IF($S$5&lt;&gt;0,$S$5,IF($S$6&lt;&gt;0,$S$6,IF($S$7&lt;&gt;0,$S$7,0))))*$U$5*$S$19))*'IN-OUT'!$F$14))*'Burland damage classification'!BA518</f>
        <v>6.372466640456367E-3</v>
      </c>
      <c r="AX518" s="353">
        <f>(1+(((IF($S$5&lt;&gt;0,$S$5^2,IF($S$6&lt;&gt;0,$S$6^2,IF($S$7&lt;&gt;0,$S$7^2))))*$U$5)/(18*$S$15))*('IN-OUT'!$F$14^(-1)))*BB518</f>
        <v>1.4992951111711694E-3</v>
      </c>
      <c r="AY518" s="254">
        <f t="shared" si="313"/>
        <v>1.4992951111711694E-3</v>
      </c>
      <c r="AZ518" s="254">
        <f t="shared" si="321"/>
        <v>0.14992951111711694</v>
      </c>
      <c r="BA518" s="254">
        <f t="shared" si="329"/>
        <v>7.266666666666552E-4</v>
      </c>
      <c r="BB518" s="270">
        <f t="shared" si="314"/>
        <v>1.4890712989421729E-3</v>
      </c>
      <c r="BC518" s="253">
        <f t="shared" si="330"/>
        <v>1.2733333333333355E-3</v>
      </c>
      <c r="BD518" s="255">
        <f t="shared" si="322"/>
        <v>0.12733333333333355</v>
      </c>
      <c r="BI518" s="248"/>
      <c r="CG518" s="351" t="e">
        <f>((((IF($T$5=0,$T$6,$T$5)))/(12*$T$19))+(((3*$T$15)/(2*IF($T$5=0,$T$6,$T$5)*$U$5*$T$19))*'IN-OUT'!$F$14))*'Burland damage classification'!CK518</f>
        <v>#DIV/0!</v>
      </c>
      <c r="CH518" s="352">
        <f>(1+(((IF($T$5=0,$T$6^2,$T$5^2))*$U$5)/(18*$T$15))*('IN-OUT'!$F$14^(-1)))*CL518</f>
        <v>1.4890712989421729E-3</v>
      </c>
      <c r="CI518" s="254" t="e">
        <f t="shared" si="317"/>
        <v>#DIV/0!</v>
      </c>
      <c r="CJ518" s="254" t="e">
        <f t="shared" si="325"/>
        <v>#DIV/0!</v>
      </c>
      <c r="CK518" s="254">
        <f t="shared" si="333"/>
        <v>7.266666666666552E-4</v>
      </c>
      <c r="CL518" s="270">
        <f t="shared" si="318"/>
        <v>1.4890712989421729E-3</v>
      </c>
      <c r="CM518" s="253">
        <f t="shared" si="334"/>
        <v>1.2733333333333355E-3</v>
      </c>
      <c r="CN518" s="255">
        <f t="shared" si="326"/>
        <v>0.12733333333333355</v>
      </c>
    </row>
    <row r="519" spans="49:92">
      <c r="AW519" s="258">
        <f>(((IF($S$5&lt;&gt;0,$S$5,IF($S$6&lt;&gt;0,$S$6,IF($S$7&lt;&gt;0,$S$7,0))))/(12*$S$19))+(((3*$S$15)/(2*(IF($S$5&lt;&gt;0,$S$5,IF($S$6&lt;&gt;0,$S$6,IF($S$7&lt;&gt;0,$S$7,0))))*$U$5*$S$19))*'IN-OUT'!$F$14))*'Burland damage classification'!BA519</f>
        <v>6.3140036437549316E-3</v>
      </c>
      <c r="AX519" s="353">
        <f>(1+(((IF($S$5&lt;&gt;0,$S$5^2,IF($S$6&lt;&gt;0,$S$6^2,IF($S$7&lt;&gt;0,$S$7^2))))*$U$5)/(18*$S$15))*('IN-OUT'!$F$14^(-1)))*BB519</f>
        <v>1.4961363218748882E-3</v>
      </c>
      <c r="AY519" s="254">
        <f t="shared" ref="AY519:AY582" si="335">MIN(AW519,AX519)</f>
        <v>1.4961363218748882E-3</v>
      </c>
      <c r="AZ519" s="254">
        <f t="shared" si="321"/>
        <v>0.14961363218748883</v>
      </c>
      <c r="BA519" s="254">
        <f t="shared" si="329"/>
        <v>7.1999999999998855E-4</v>
      </c>
      <c r="BB519" s="270">
        <f t="shared" ref="BB519:BB582" si="336">($P$28^2-(2*0.35*$P$28*BC519))^0.5</f>
        <v>1.4859340496805357E-3</v>
      </c>
      <c r="BC519" s="253">
        <f t="shared" si="330"/>
        <v>1.2800000000000023E-3</v>
      </c>
      <c r="BD519" s="255">
        <f t="shared" si="322"/>
        <v>0.12800000000000022</v>
      </c>
      <c r="BI519" s="248"/>
      <c r="CG519" s="351" t="e">
        <f>((((IF($T$5=0,$T$6,$T$5)))/(12*$T$19))+(((3*$T$15)/(2*IF($T$5=0,$T$6,$T$5)*$U$5*$T$19))*'IN-OUT'!$F$14))*'Burland damage classification'!CK519</f>
        <v>#DIV/0!</v>
      </c>
      <c r="CH519" s="352">
        <f>(1+(((IF($T$5=0,$T$6^2,$T$5^2))*$U$5)/(18*$T$15))*('IN-OUT'!$F$14^(-1)))*CL519</f>
        <v>1.4859340496805357E-3</v>
      </c>
      <c r="CI519" s="254" t="e">
        <f t="shared" ref="CI519:CI582" si="337">MIN(CG519,CH519)</f>
        <v>#DIV/0!</v>
      </c>
      <c r="CJ519" s="254" t="e">
        <f t="shared" si="325"/>
        <v>#DIV/0!</v>
      </c>
      <c r="CK519" s="254">
        <f t="shared" si="333"/>
        <v>7.1999999999998855E-4</v>
      </c>
      <c r="CL519" s="270">
        <f t="shared" ref="CL519:CL582" si="338">($P$28^2-(2*0.35*$P$28*CM519))^0.5</f>
        <v>1.4859340496805357E-3</v>
      </c>
      <c r="CM519" s="253">
        <f t="shared" si="334"/>
        <v>1.2800000000000023E-3</v>
      </c>
      <c r="CN519" s="255">
        <f t="shared" si="326"/>
        <v>0.12800000000000022</v>
      </c>
    </row>
    <row r="520" spans="49:92">
      <c r="AW520" s="258">
        <f>(((IF($S$5&lt;&gt;0,$S$5,IF($S$6&lt;&gt;0,$S$6,IF($S$7&lt;&gt;0,$S$7,0))))/(12*$S$19))+(((3*$S$15)/(2*(IF($S$5&lt;&gt;0,$S$5,IF($S$6&lt;&gt;0,$S$6,IF($S$7&lt;&gt;0,$S$7,0))))*$U$5*$S$19))*'IN-OUT'!$F$14))*'Burland damage classification'!BA520</f>
        <v>6.2555406470534963E-3</v>
      </c>
      <c r="AX520" s="353">
        <f>(1+(((IF($S$5&lt;&gt;0,$S$5^2,IF($S$6&lt;&gt;0,$S$6^2,IF($S$7&lt;&gt;0,$S$7^2))))*$U$5)/(18*$S$15))*('IN-OUT'!$F$14^(-1)))*BB520</f>
        <v>1.492970849308475E-3</v>
      </c>
      <c r="AY520" s="254">
        <f t="shared" si="335"/>
        <v>1.492970849308475E-3</v>
      </c>
      <c r="AZ520" s="254">
        <f t="shared" ref="AZ520:AZ583" si="339">AY520*100</f>
        <v>0.14929708493084751</v>
      </c>
      <c r="BA520" s="254">
        <f t="shared" si="329"/>
        <v>7.133333333333219E-4</v>
      </c>
      <c r="BB520" s="270">
        <f t="shared" si="336"/>
        <v>1.4827901627225153E-3</v>
      </c>
      <c r="BC520" s="253">
        <f t="shared" si="330"/>
        <v>1.286666666666669E-3</v>
      </c>
      <c r="BD520" s="255">
        <f t="shared" ref="BD520:BD583" si="340">BC520*100</f>
        <v>0.1286666666666669</v>
      </c>
      <c r="BI520" s="248"/>
      <c r="CG520" s="351" t="e">
        <f>((((IF($T$5=0,$T$6,$T$5)))/(12*$T$19))+(((3*$T$15)/(2*IF($T$5=0,$T$6,$T$5)*$U$5*$T$19))*'IN-OUT'!$F$14))*'Burland damage classification'!CK520</f>
        <v>#DIV/0!</v>
      </c>
      <c r="CH520" s="352">
        <f>(1+(((IF($T$5=0,$T$6^2,$T$5^2))*$U$5)/(18*$T$15))*('IN-OUT'!$F$14^(-1)))*CL520</f>
        <v>1.4827901627225153E-3</v>
      </c>
      <c r="CI520" s="254" t="e">
        <f t="shared" si="337"/>
        <v>#DIV/0!</v>
      </c>
      <c r="CJ520" s="254" t="e">
        <f t="shared" ref="CJ520:CJ583" si="341">CI520*100</f>
        <v>#DIV/0!</v>
      </c>
      <c r="CK520" s="254">
        <f t="shared" si="333"/>
        <v>7.133333333333219E-4</v>
      </c>
      <c r="CL520" s="270">
        <f t="shared" si="338"/>
        <v>1.4827901627225153E-3</v>
      </c>
      <c r="CM520" s="253">
        <f t="shared" si="334"/>
        <v>1.286666666666669E-3</v>
      </c>
      <c r="CN520" s="255">
        <f t="shared" ref="CN520:CN583" si="342">CM520*100</f>
        <v>0.1286666666666669</v>
      </c>
    </row>
    <row r="521" spans="49:92">
      <c r="AW521" s="258">
        <f>(((IF($S$5&lt;&gt;0,$S$5,IF($S$6&lt;&gt;0,$S$6,IF($S$7&lt;&gt;0,$S$7,0))))/(12*$S$19))+(((3*$S$15)/(2*(IF($S$5&lt;&gt;0,$S$5,IF($S$6&lt;&gt;0,$S$6,IF($S$7&lt;&gt;0,$S$7,0))))*$U$5*$S$19))*'IN-OUT'!$F$14))*'Burland damage classification'!BA521</f>
        <v>6.1970776503520609E-3</v>
      </c>
      <c r="AX521" s="353">
        <f>(1+(((IF($S$5&lt;&gt;0,$S$5^2,IF($S$6&lt;&gt;0,$S$6^2,IF($S$7&lt;&gt;0,$S$7^2))))*$U$5)/(18*$S$15))*('IN-OUT'!$F$14^(-1)))*BB521</f>
        <v>1.4897986508707875E-3</v>
      </c>
      <c r="AY521" s="254">
        <f t="shared" si="335"/>
        <v>1.4897986508707875E-3</v>
      </c>
      <c r="AZ521" s="254">
        <f t="shared" si="339"/>
        <v>0.14897986508707875</v>
      </c>
      <c r="BA521" s="254">
        <f t="shared" ref="BA521:BA584" si="343">BA520-($P$28/300)</f>
        <v>7.0666666666665526E-4</v>
      </c>
      <c r="BB521" s="270">
        <f t="shared" si="336"/>
        <v>1.4796395957574701E-3</v>
      </c>
      <c r="BC521" s="253">
        <f t="shared" ref="BC521:BC584" si="344">BC520+($P$28/300)</f>
        <v>1.2933333333333358E-3</v>
      </c>
      <c r="BD521" s="255">
        <f t="shared" si="340"/>
        <v>0.12933333333333358</v>
      </c>
      <c r="BI521" s="248"/>
      <c r="CG521" s="351" t="e">
        <f>((((IF($T$5=0,$T$6,$T$5)))/(12*$T$19))+(((3*$T$15)/(2*IF($T$5=0,$T$6,$T$5)*$U$5*$T$19))*'IN-OUT'!$F$14))*'Burland damage classification'!CK521</f>
        <v>#DIV/0!</v>
      </c>
      <c r="CH521" s="352">
        <f>(1+(((IF($T$5=0,$T$6^2,$T$5^2))*$U$5)/(18*$T$15))*('IN-OUT'!$F$14^(-1)))*CL521</f>
        <v>1.4796395957574701E-3</v>
      </c>
      <c r="CI521" s="254" t="e">
        <f t="shared" si="337"/>
        <v>#DIV/0!</v>
      </c>
      <c r="CJ521" s="254" t="e">
        <f t="shared" si="341"/>
        <v>#DIV/0!</v>
      </c>
      <c r="CK521" s="254">
        <f t="shared" ref="CK521:CK584" si="345">CK520-($P$28/300)</f>
        <v>7.0666666666665526E-4</v>
      </c>
      <c r="CL521" s="270">
        <f t="shared" si="338"/>
        <v>1.4796395957574701E-3</v>
      </c>
      <c r="CM521" s="253">
        <f t="shared" ref="CM521:CM584" si="346">CM520+($P$28/300)</f>
        <v>1.2933333333333358E-3</v>
      </c>
      <c r="CN521" s="255">
        <f t="shared" si="342"/>
        <v>0.12933333333333358</v>
      </c>
    </row>
    <row r="522" spans="49:92">
      <c r="AW522" s="258">
        <f>(((IF($S$5&lt;&gt;0,$S$5,IF($S$6&lt;&gt;0,$S$6,IF($S$7&lt;&gt;0,$S$7,0))))/(12*$S$19))+(((3*$S$15)/(2*(IF($S$5&lt;&gt;0,$S$5,IF($S$6&lt;&gt;0,$S$6,IF($S$7&lt;&gt;0,$S$7,0))))*$U$5*$S$19))*'IN-OUT'!$F$14))*'Burland damage classification'!BA522</f>
        <v>6.1386146536506255E-3</v>
      </c>
      <c r="AX522" s="353">
        <f>(1+(((IF($S$5&lt;&gt;0,$S$5^2,IF($S$6&lt;&gt;0,$S$6^2,IF($S$7&lt;&gt;0,$S$7^2))))*$U$5)/(18*$S$15))*('IN-OUT'!$F$14^(-1)))*BB522</f>
        <v>1.4866196835061644E-3</v>
      </c>
      <c r="AY522" s="254">
        <f t="shared" si="335"/>
        <v>1.4866196835061644E-3</v>
      </c>
      <c r="AZ522" s="254">
        <f t="shared" si="339"/>
        <v>0.14866196835061643</v>
      </c>
      <c r="BA522" s="254">
        <f t="shared" si="343"/>
        <v>6.9999999999998861E-4</v>
      </c>
      <c r="BB522" s="270">
        <f t="shared" si="336"/>
        <v>1.4764823060233387E-3</v>
      </c>
      <c r="BC522" s="253">
        <f t="shared" si="344"/>
        <v>1.3000000000000025E-3</v>
      </c>
      <c r="BD522" s="255">
        <f t="shared" si="340"/>
        <v>0.13000000000000025</v>
      </c>
      <c r="BI522" s="248"/>
      <c r="CG522" s="351" t="e">
        <f>((((IF($T$5=0,$T$6,$T$5)))/(12*$T$19))+(((3*$T$15)/(2*IF($T$5=0,$T$6,$T$5)*$U$5*$T$19))*'IN-OUT'!$F$14))*'Burland damage classification'!CK522</f>
        <v>#DIV/0!</v>
      </c>
      <c r="CH522" s="352">
        <f>(1+(((IF($T$5=0,$T$6^2,$T$5^2))*$U$5)/(18*$T$15))*('IN-OUT'!$F$14^(-1)))*CL522</f>
        <v>1.4764823060233387E-3</v>
      </c>
      <c r="CI522" s="254" t="e">
        <f t="shared" si="337"/>
        <v>#DIV/0!</v>
      </c>
      <c r="CJ522" s="254" t="e">
        <f t="shared" si="341"/>
        <v>#DIV/0!</v>
      </c>
      <c r="CK522" s="254">
        <f t="shared" si="345"/>
        <v>6.9999999999998861E-4</v>
      </c>
      <c r="CL522" s="270">
        <f t="shared" si="338"/>
        <v>1.4764823060233387E-3</v>
      </c>
      <c r="CM522" s="253">
        <f t="shared" si="346"/>
        <v>1.3000000000000025E-3</v>
      </c>
      <c r="CN522" s="255">
        <f t="shared" si="342"/>
        <v>0.13000000000000025</v>
      </c>
    </row>
    <row r="523" spans="49:92">
      <c r="AW523" s="258">
        <f>(((IF($S$5&lt;&gt;0,$S$5,IF($S$6&lt;&gt;0,$S$6,IF($S$7&lt;&gt;0,$S$7,0))))/(12*$S$19))+(((3*$S$15)/(2*(IF($S$5&lt;&gt;0,$S$5,IF($S$6&lt;&gt;0,$S$6,IF($S$7&lt;&gt;0,$S$7,0))))*$U$5*$S$19))*'IN-OUT'!$F$14))*'Burland damage classification'!BA523</f>
        <v>6.0801516569491901E-3</v>
      </c>
      <c r="AX523" s="353">
        <f>(1+(((IF($S$5&lt;&gt;0,$S$5^2,IF($S$6&lt;&gt;0,$S$6^2,IF($S$7&lt;&gt;0,$S$7^2))))*$U$5)/(18*$S$15))*('IN-OUT'!$F$14^(-1)))*BB523</f>
        <v>1.483433903697606E-3</v>
      </c>
      <c r="AY523" s="254">
        <f t="shared" si="335"/>
        <v>1.483433903697606E-3</v>
      </c>
      <c r="AZ523" s="254">
        <f t="shared" si="339"/>
        <v>0.1483433903697606</v>
      </c>
      <c r="BA523" s="254">
        <f t="shared" si="343"/>
        <v>6.9333333333332196E-4</v>
      </c>
      <c r="BB523" s="270">
        <f t="shared" si="336"/>
        <v>1.4733182502998674E-3</v>
      </c>
      <c r="BC523" s="253">
        <f t="shared" si="344"/>
        <v>1.3066666666666693E-3</v>
      </c>
      <c r="BD523" s="255">
        <f t="shared" si="340"/>
        <v>0.13066666666666693</v>
      </c>
      <c r="BI523" s="248"/>
      <c r="CG523" s="351" t="e">
        <f>((((IF($T$5=0,$T$6,$T$5)))/(12*$T$19))+(((3*$T$15)/(2*IF($T$5=0,$T$6,$T$5)*$U$5*$T$19))*'IN-OUT'!$F$14))*'Burland damage classification'!CK523</f>
        <v>#DIV/0!</v>
      </c>
      <c r="CH523" s="352">
        <f>(1+(((IF($T$5=0,$T$6^2,$T$5^2))*$U$5)/(18*$T$15))*('IN-OUT'!$F$14^(-1)))*CL523</f>
        <v>1.4733182502998674E-3</v>
      </c>
      <c r="CI523" s="254" t="e">
        <f t="shared" si="337"/>
        <v>#DIV/0!</v>
      </c>
      <c r="CJ523" s="254" t="e">
        <f t="shared" si="341"/>
        <v>#DIV/0!</v>
      </c>
      <c r="CK523" s="254">
        <f t="shared" si="345"/>
        <v>6.9333333333332196E-4</v>
      </c>
      <c r="CL523" s="270">
        <f t="shared" si="338"/>
        <v>1.4733182502998674E-3</v>
      </c>
      <c r="CM523" s="253">
        <f t="shared" si="346"/>
        <v>1.3066666666666693E-3</v>
      </c>
      <c r="CN523" s="255">
        <f t="shared" si="342"/>
        <v>0.13066666666666693</v>
      </c>
    </row>
    <row r="524" spans="49:92">
      <c r="AW524" s="258">
        <f>(((IF($S$5&lt;&gt;0,$S$5,IF($S$6&lt;&gt;0,$S$6,IF($S$7&lt;&gt;0,$S$7,0))))/(12*$S$19))+(((3*$S$15)/(2*(IF($S$5&lt;&gt;0,$S$5,IF($S$6&lt;&gt;0,$S$6,IF($S$7&lt;&gt;0,$S$7,0))))*$U$5*$S$19))*'IN-OUT'!$F$14))*'Burland damage classification'!BA524</f>
        <v>6.0216886602477548E-3</v>
      </c>
      <c r="AX524" s="353">
        <f>(1+(((IF($S$5&lt;&gt;0,$S$5^2,IF($S$6&lt;&gt;0,$S$6^2,IF($S$7&lt;&gt;0,$S$7^2))))*$U$5)/(18*$S$15))*('IN-OUT'!$F$14^(-1)))*BB524</f>
        <v>1.4802412674598247E-3</v>
      </c>
      <c r="AY524" s="254">
        <f t="shared" si="335"/>
        <v>1.4802412674598247E-3</v>
      </c>
      <c r="AZ524" s="254">
        <f t="shared" si="339"/>
        <v>0.14802412674598248</v>
      </c>
      <c r="BA524" s="254">
        <f t="shared" si="343"/>
        <v>6.8666666666665531E-4</v>
      </c>
      <c r="BB524" s="270">
        <f t="shared" si="336"/>
        <v>1.4701473849017075E-3</v>
      </c>
      <c r="BC524" s="253">
        <f t="shared" si="344"/>
        <v>1.3133333333333361E-3</v>
      </c>
      <c r="BD524" s="255">
        <f t="shared" si="340"/>
        <v>0.13133333333333361</v>
      </c>
      <c r="BI524" s="248"/>
      <c r="CG524" s="351" t="e">
        <f>((((IF($T$5=0,$T$6,$T$5)))/(12*$T$19))+(((3*$T$15)/(2*IF($T$5=0,$T$6,$T$5)*$U$5*$T$19))*'IN-OUT'!$F$14))*'Burland damage classification'!CK524</f>
        <v>#DIV/0!</v>
      </c>
      <c r="CH524" s="352">
        <f>(1+(((IF($T$5=0,$T$6^2,$T$5^2))*$U$5)/(18*$T$15))*('IN-OUT'!$F$14^(-1)))*CL524</f>
        <v>1.4701473849017075E-3</v>
      </c>
      <c r="CI524" s="254" t="e">
        <f t="shared" si="337"/>
        <v>#DIV/0!</v>
      </c>
      <c r="CJ524" s="254" t="e">
        <f t="shared" si="341"/>
        <v>#DIV/0!</v>
      </c>
      <c r="CK524" s="254">
        <f t="shared" si="345"/>
        <v>6.8666666666665531E-4</v>
      </c>
      <c r="CL524" s="270">
        <f t="shared" si="338"/>
        <v>1.4701473849017075E-3</v>
      </c>
      <c r="CM524" s="253">
        <f t="shared" si="346"/>
        <v>1.3133333333333361E-3</v>
      </c>
      <c r="CN524" s="255">
        <f t="shared" si="342"/>
        <v>0.13133333333333361</v>
      </c>
    </row>
    <row r="525" spans="49:92">
      <c r="AW525" s="258">
        <f>(((IF($S$5&lt;&gt;0,$S$5,IF($S$6&lt;&gt;0,$S$6,IF($S$7&lt;&gt;0,$S$7,0))))/(12*$S$19))+(((3*$S$15)/(2*(IF($S$5&lt;&gt;0,$S$5,IF($S$6&lt;&gt;0,$S$6,IF($S$7&lt;&gt;0,$S$7,0))))*$U$5*$S$19))*'IN-OUT'!$F$14))*'Burland damage classification'!BA525</f>
        <v>5.9632256635463194E-3</v>
      </c>
      <c r="AX525" s="353">
        <f>(1+(((IF($S$5&lt;&gt;0,$S$5^2,IF($S$6&lt;&gt;0,$S$6^2,IF($S$7&lt;&gt;0,$S$7^2))))*$U$5)/(18*$S$15))*('IN-OUT'!$F$14^(-1)))*BB525</f>
        <v>1.4770417303321588E-3</v>
      </c>
      <c r="AY525" s="254">
        <f t="shared" si="335"/>
        <v>1.4770417303321588E-3</v>
      </c>
      <c r="AZ525" s="254">
        <f t="shared" si="339"/>
        <v>0.14770417303321587</v>
      </c>
      <c r="BA525" s="254">
        <f t="shared" si="343"/>
        <v>6.7999999999998866E-4</v>
      </c>
      <c r="BB525" s="270">
        <f t="shared" si="336"/>
        <v>1.4669696656713783E-3</v>
      </c>
      <c r="BC525" s="253">
        <f t="shared" si="344"/>
        <v>1.3200000000000028E-3</v>
      </c>
      <c r="BD525" s="255">
        <f t="shared" si="340"/>
        <v>0.13200000000000028</v>
      </c>
      <c r="BI525" s="248"/>
      <c r="CG525" s="351" t="e">
        <f>((((IF($T$5=0,$T$6,$T$5)))/(12*$T$19))+(((3*$T$15)/(2*IF($T$5=0,$T$6,$T$5)*$U$5*$T$19))*'IN-OUT'!$F$14))*'Burland damage classification'!CK525</f>
        <v>#DIV/0!</v>
      </c>
      <c r="CH525" s="352">
        <f>(1+(((IF($T$5=0,$T$6^2,$T$5^2))*$U$5)/(18*$T$15))*('IN-OUT'!$F$14^(-1)))*CL525</f>
        <v>1.4669696656713783E-3</v>
      </c>
      <c r="CI525" s="254" t="e">
        <f t="shared" si="337"/>
        <v>#DIV/0!</v>
      </c>
      <c r="CJ525" s="254" t="e">
        <f t="shared" si="341"/>
        <v>#DIV/0!</v>
      </c>
      <c r="CK525" s="254">
        <f t="shared" si="345"/>
        <v>6.7999999999998866E-4</v>
      </c>
      <c r="CL525" s="270">
        <f t="shared" si="338"/>
        <v>1.4669696656713783E-3</v>
      </c>
      <c r="CM525" s="253">
        <f t="shared" si="346"/>
        <v>1.3200000000000028E-3</v>
      </c>
      <c r="CN525" s="255">
        <f t="shared" si="342"/>
        <v>0.13200000000000028</v>
      </c>
    </row>
    <row r="526" spans="49:92">
      <c r="AW526" s="258">
        <f>(((IF($S$5&lt;&gt;0,$S$5,IF($S$6&lt;&gt;0,$S$6,IF($S$7&lt;&gt;0,$S$7,0))))/(12*$S$19))+(((3*$S$15)/(2*(IF($S$5&lt;&gt;0,$S$5,IF($S$6&lt;&gt;0,$S$6,IF($S$7&lt;&gt;0,$S$7,0))))*$U$5*$S$19))*'IN-OUT'!$F$14))*'Burland damage classification'!BA526</f>
        <v>5.904762666844884E-3</v>
      </c>
      <c r="AX526" s="353">
        <f>(1+(((IF($S$5&lt;&gt;0,$S$5^2,IF($S$6&lt;&gt;0,$S$6^2,IF($S$7&lt;&gt;0,$S$7^2))))*$U$5)/(18*$S$15))*('IN-OUT'!$F$14^(-1)))*BB526</f>
        <v>1.4738352473713497E-3</v>
      </c>
      <c r="AY526" s="254">
        <f t="shared" si="335"/>
        <v>1.4738352473713497E-3</v>
      </c>
      <c r="AZ526" s="254">
        <f t="shared" si="339"/>
        <v>0.14738352473713498</v>
      </c>
      <c r="BA526" s="254">
        <f t="shared" si="343"/>
        <v>6.7333333333332202E-4</v>
      </c>
      <c r="BB526" s="270">
        <f t="shared" si="336"/>
        <v>1.4637850479720929E-3</v>
      </c>
      <c r="BC526" s="253">
        <f t="shared" si="344"/>
        <v>1.3266666666666696E-3</v>
      </c>
      <c r="BD526" s="255">
        <f t="shared" si="340"/>
        <v>0.13266666666666696</v>
      </c>
      <c r="BI526" s="248"/>
      <c r="CG526" s="351" t="e">
        <f>((((IF($T$5=0,$T$6,$T$5)))/(12*$T$19))+(((3*$T$15)/(2*IF($T$5=0,$T$6,$T$5)*$U$5*$T$19))*'IN-OUT'!$F$14))*'Burland damage classification'!CK526</f>
        <v>#DIV/0!</v>
      </c>
      <c r="CH526" s="352">
        <f>(1+(((IF($T$5=0,$T$6^2,$T$5^2))*$U$5)/(18*$T$15))*('IN-OUT'!$F$14^(-1)))*CL526</f>
        <v>1.4637850479720929E-3</v>
      </c>
      <c r="CI526" s="254" t="e">
        <f t="shared" si="337"/>
        <v>#DIV/0!</v>
      </c>
      <c r="CJ526" s="254" t="e">
        <f t="shared" si="341"/>
        <v>#DIV/0!</v>
      </c>
      <c r="CK526" s="254">
        <f t="shared" si="345"/>
        <v>6.7333333333332202E-4</v>
      </c>
      <c r="CL526" s="270">
        <f t="shared" si="338"/>
        <v>1.4637850479720929E-3</v>
      </c>
      <c r="CM526" s="253">
        <f t="shared" si="346"/>
        <v>1.3266666666666696E-3</v>
      </c>
      <c r="CN526" s="255">
        <f t="shared" si="342"/>
        <v>0.13266666666666696</v>
      </c>
    </row>
    <row r="527" spans="49:92">
      <c r="AW527" s="258">
        <f>(((IF($S$5&lt;&gt;0,$S$5,IF($S$6&lt;&gt;0,$S$6,IF($S$7&lt;&gt;0,$S$7,0))))/(12*$S$19))+(((3*$S$15)/(2*(IF($S$5&lt;&gt;0,$S$5,IF($S$6&lt;&gt;0,$S$6,IF($S$7&lt;&gt;0,$S$7,0))))*$U$5*$S$19))*'IN-OUT'!$F$14))*'Burland damage classification'!BA527</f>
        <v>5.8462996701434487E-3</v>
      </c>
      <c r="AX527" s="353">
        <f>(1+(((IF($S$5&lt;&gt;0,$S$5^2,IF($S$6&lt;&gt;0,$S$6^2,IF($S$7&lt;&gt;0,$S$7^2))))*$U$5)/(18*$S$15))*('IN-OUT'!$F$14^(-1)))*BB527</f>
        <v>1.4706217731441751E-3</v>
      </c>
      <c r="AY527" s="254">
        <f t="shared" si="335"/>
        <v>1.4706217731441751E-3</v>
      </c>
      <c r="AZ527" s="254">
        <f t="shared" si="339"/>
        <v>0.14706217731441751</v>
      </c>
      <c r="BA527" s="254">
        <f t="shared" si="343"/>
        <v>6.6666666666665537E-4</v>
      </c>
      <c r="BB527" s="270">
        <f t="shared" si="336"/>
        <v>1.4605934866804414E-3</v>
      </c>
      <c r="BC527" s="253">
        <f t="shared" si="344"/>
        <v>1.3333333333333363E-3</v>
      </c>
      <c r="BD527" s="255">
        <f t="shared" si="340"/>
        <v>0.13333333333333364</v>
      </c>
      <c r="BI527" s="248"/>
      <c r="CG527" s="351" t="e">
        <f>((((IF($T$5=0,$T$6,$T$5)))/(12*$T$19))+(((3*$T$15)/(2*IF($T$5=0,$T$6,$T$5)*$U$5*$T$19))*'IN-OUT'!$F$14))*'Burland damage classification'!CK527</f>
        <v>#DIV/0!</v>
      </c>
      <c r="CH527" s="352">
        <f>(1+(((IF($T$5=0,$T$6^2,$T$5^2))*$U$5)/(18*$T$15))*('IN-OUT'!$F$14^(-1)))*CL527</f>
        <v>1.4605934866804414E-3</v>
      </c>
      <c r="CI527" s="254" t="e">
        <f t="shared" si="337"/>
        <v>#DIV/0!</v>
      </c>
      <c r="CJ527" s="254" t="e">
        <f t="shared" si="341"/>
        <v>#DIV/0!</v>
      </c>
      <c r="CK527" s="254">
        <f t="shared" si="345"/>
        <v>6.6666666666665537E-4</v>
      </c>
      <c r="CL527" s="270">
        <f t="shared" si="338"/>
        <v>1.4605934866804414E-3</v>
      </c>
      <c r="CM527" s="253">
        <f t="shared" si="346"/>
        <v>1.3333333333333363E-3</v>
      </c>
      <c r="CN527" s="255">
        <f t="shared" si="342"/>
        <v>0.13333333333333364</v>
      </c>
    </row>
    <row r="528" spans="49:92">
      <c r="AW528" s="258">
        <f>(((IF($S$5&lt;&gt;0,$S$5,IF($S$6&lt;&gt;0,$S$6,IF($S$7&lt;&gt;0,$S$7,0))))/(12*$S$19))+(((3*$S$15)/(2*(IF($S$5&lt;&gt;0,$S$5,IF($S$6&lt;&gt;0,$S$6,IF($S$7&lt;&gt;0,$S$7,0))))*$U$5*$S$19))*'IN-OUT'!$F$14))*'Burland damage classification'!BA528</f>
        <v>5.7878366734420133E-3</v>
      </c>
      <c r="AX528" s="353">
        <f>(1+(((IF($S$5&lt;&gt;0,$S$5^2,IF($S$6&lt;&gt;0,$S$6^2,IF($S$7&lt;&gt;0,$S$7^2))))*$U$5)/(18*$S$15))*('IN-OUT'!$F$14^(-1)))*BB528</f>
        <v>1.4674012617199384E-3</v>
      </c>
      <c r="AY528" s="254">
        <f t="shared" si="335"/>
        <v>1.4674012617199384E-3</v>
      </c>
      <c r="AZ528" s="254">
        <f t="shared" si="339"/>
        <v>0.14674012617199383</v>
      </c>
      <c r="BA528" s="254">
        <f t="shared" si="343"/>
        <v>6.5999999999998872E-4</v>
      </c>
      <c r="BB528" s="270">
        <f t="shared" si="336"/>
        <v>1.4573949361789326E-3</v>
      </c>
      <c r="BC528" s="253">
        <f t="shared" si="344"/>
        <v>1.3400000000000031E-3</v>
      </c>
      <c r="BD528" s="255">
        <f t="shared" si="340"/>
        <v>0.13400000000000031</v>
      </c>
      <c r="BI528" s="248"/>
      <c r="CG528" s="351" t="e">
        <f>((((IF($T$5=0,$T$6,$T$5)))/(12*$T$19))+(((3*$T$15)/(2*IF($T$5=0,$T$6,$T$5)*$U$5*$T$19))*'IN-OUT'!$F$14))*'Burland damage classification'!CK528</f>
        <v>#DIV/0!</v>
      </c>
      <c r="CH528" s="352">
        <f>(1+(((IF($T$5=0,$T$6^2,$T$5^2))*$U$5)/(18*$T$15))*('IN-OUT'!$F$14^(-1)))*CL528</f>
        <v>1.4573949361789326E-3</v>
      </c>
      <c r="CI528" s="254" t="e">
        <f t="shared" si="337"/>
        <v>#DIV/0!</v>
      </c>
      <c r="CJ528" s="254" t="e">
        <f t="shared" si="341"/>
        <v>#DIV/0!</v>
      </c>
      <c r="CK528" s="254">
        <f t="shared" si="345"/>
        <v>6.5999999999998872E-4</v>
      </c>
      <c r="CL528" s="270">
        <f t="shared" si="338"/>
        <v>1.4573949361789326E-3</v>
      </c>
      <c r="CM528" s="253">
        <f t="shared" si="346"/>
        <v>1.3400000000000031E-3</v>
      </c>
      <c r="CN528" s="255">
        <f t="shared" si="342"/>
        <v>0.13400000000000031</v>
      </c>
    </row>
    <row r="529" spans="49:92">
      <c r="AW529" s="258">
        <f>(((IF($S$5&lt;&gt;0,$S$5,IF($S$6&lt;&gt;0,$S$6,IF($S$7&lt;&gt;0,$S$7,0))))/(12*$S$19))+(((3*$S$15)/(2*(IF($S$5&lt;&gt;0,$S$5,IF($S$6&lt;&gt;0,$S$6,IF($S$7&lt;&gt;0,$S$7,0))))*$U$5*$S$19))*'IN-OUT'!$F$14))*'Burland damage classification'!BA529</f>
        <v>5.7293736767405779E-3</v>
      </c>
      <c r="AX529" s="353">
        <f>(1+(((IF($S$5&lt;&gt;0,$S$5^2,IF($S$6&lt;&gt;0,$S$6^2,IF($S$7&lt;&gt;0,$S$7^2))))*$U$5)/(18*$S$15))*('IN-OUT'!$F$14^(-1)))*BB529</f>
        <v>1.4641736666628098E-3</v>
      </c>
      <c r="AY529" s="254">
        <f t="shared" si="335"/>
        <v>1.4641736666628098E-3</v>
      </c>
      <c r="AZ529" s="254">
        <f t="shared" si="339"/>
        <v>0.146417366666281</v>
      </c>
      <c r="BA529" s="254">
        <f t="shared" si="343"/>
        <v>6.5333333333332207E-4</v>
      </c>
      <c r="BB529" s="270">
        <f t="shared" si="336"/>
        <v>1.4541893503483862E-3</v>
      </c>
      <c r="BC529" s="253">
        <f t="shared" si="344"/>
        <v>1.3466666666666698E-3</v>
      </c>
      <c r="BD529" s="255">
        <f t="shared" si="340"/>
        <v>0.13466666666666699</v>
      </c>
      <c r="BI529" s="248"/>
      <c r="CG529" s="351" t="e">
        <f>((((IF($T$5=0,$T$6,$T$5)))/(12*$T$19))+(((3*$T$15)/(2*IF($T$5=0,$T$6,$T$5)*$U$5*$T$19))*'IN-OUT'!$F$14))*'Burland damage classification'!CK529</f>
        <v>#DIV/0!</v>
      </c>
      <c r="CH529" s="352">
        <f>(1+(((IF($T$5=0,$T$6^2,$T$5^2))*$U$5)/(18*$T$15))*('IN-OUT'!$F$14^(-1)))*CL529</f>
        <v>1.4541893503483862E-3</v>
      </c>
      <c r="CI529" s="254" t="e">
        <f t="shared" si="337"/>
        <v>#DIV/0!</v>
      </c>
      <c r="CJ529" s="254" t="e">
        <f t="shared" si="341"/>
        <v>#DIV/0!</v>
      </c>
      <c r="CK529" s="254">
        <f t="shared" si="345"/>
        <v>6.5333333333332207E-4</v>
      </c>
      <c r="CL529" s="270">
        <f t="shared" si="338"/>
        <v>1.4541893503483862E-3</v>
      </c>
      <c r="CM529" s="253">
        <f t="shared" si="346"/>
        <v>1.3466666666666698E-3</v>
      </c>
      <c r="CN529" s="255">
        <f t="shared" si="342"/>
        <v>0.13466666666666699</v>
      </c>
    </row>
    <row r="530" spans="49:92">
      <c r="AW530" s="258">
        <f>(((IF($S$5&lt;&gt;0,$S$5,IF($S$6&lt;&gt;0,$S$6,IF($S$7&lt;&gt;0,$S$7,0))))/(12*$S$19))+(((3*$S$15)/(2*(IF($S$5&lt;&gt;0,$S$5,IF($S$6&lt;&gt;0,$S$6,IF($S$7&lt;&gt;0,$S$7,0))))*$U$5*$S$19))*'IN-OUT'!$F$14))*'Burland damage classification'!BA530</f>
        <v>5.6709106800391425E-3</v>
      </c>
      <c r="AX530" s="353">
        <f>(1+(((IF($S$5&lt;&gt;0,$S$5^2,IF($S$6&lt;&gt;0,$S$6^2,IF($S$7&lt;&gt;0,$S$7^2))))*$U$5)/(18*$S$15))*('IN-OUT'!$F$14^(-1)))*BB530</f>
        <v>1.4609389410240139E-3</v>
      </c>
      <c r="AY530" s="254">
        <f t="shared" si="335"/>
        <v>1.4609389410240139E-3</v>
      </c>
      <c r="AZ530" s="254">
        <f t="shared" si="339"/>
        <v>0.14609389410240139</v>
      </c>
      <c r="BA530" s="254">
        <f t="shared" si="343"/>
        <v>6.4666666666665542E-4</v>
      </c>
      <c r="BB530" s="270">
        <f t="shared" si="336"/>
        <v>1.4509766825601741E-3</v>
      </c>
      <c r="BC530" s="253">
        <f t="shared" si="344"/>
        <v>1.3533333333333366E-3</v>
      </c>
      <c r="BD530" s="255">
        <f t="shared" si="340"/>
        <v>0.13533333333333367</v>
      </c>
      <c r="BI530" s="248"/>
      <c r="CG530" s="351" t="e">
        <f>((((IF($T$5=0,$T$6,$T$5)))/(12*$T$19))+(((3*$T$15)/(2*IF($T$5=0,$T$6,$T$5)*$U$5*$T$19))*'IN-OUT'!$F$14))*'Burland damage classification'!CK530</f>
        <v>#DIV/0!</v>
      </c>
      <c r="CH530" s="352">
        <f>(1+(((IF($T$5=0,$T$6^2,$T$5^2))*$U$5)/(18*$T$15))*('IN-OUT'!$F$14^(-1)))*CL530</f>
        <v>1.4509766825601741E-3</v>
      </c>
      <c r="CI530" s="254" t="e">
        <f t="shared" si="337"/>
        <v>#DIV/0!</v>
      </c>
      <c r="CJ530" s="254" t="e">
        <f t="shared" si="341"/>
        <v>#DIV/0!</v>
      </c>
      <c r="CK530" s="254">
        <f t="shared" si="345"/>
        <v>6.4666666666665542E-4</v>
      </c>
      <c r="CL530" s="270">
        <f t="shared" si="338"/>
        <v>1.4509766825601741E-3</v>
      </c>
      <c r="CM530" s="253">
        <f t="shared" si="346"/>
        <v>1.3533333333333366E-3</v>
      </c>
      <c r="CN530" s="255">
        <f t="shared" si="342"/>
        <v>0.13533333333333367</v>
      </c>
    </row>
    <row r="531" spans="49:92">
      <c r="AW531" s="258">
        <f>(((IF($S$5&lt;&gt;0,$S$5,IF($S$6&lt;&gt;0,$S$6,IF($S$7&lt;&gt;0,$S$7,0))))/(12*$S$19))+(((3*$S$15)/(2*(IF($S$5&lt;&gt;0,$S$5,IF($S$6&lt;&gt;0,$S$6,IF($S$7&lt;&gt;0,$S$7,0))))*$U$5*$S$19))*'IN-OUT'!$F$14))*'Burland damage classification'!BA531</f>
        <v>5.6124476833377072E-3</v>
      </c>
      <c r="AX531" s="353">
        <f>(1+(((IF($S$5&lt;&gt;0,$S$5^2,IF($S$6&lt;&gt;0,$S$6^2,IF($S$7&lt;&gt;0,$S$7^2))))*$U$5)/(18*$S$15))*('IN-OUT'!$F$14^(-1)))*BB531</f>
        <v>1.4576970373338615E-3</v>
      </c>
      <c r="AY531" s="254">
        <f t="shared" si="335"/>
        <v>1.4576970373338615E-3</v>
      </c>
      <c r="AZ531" s="254">
        <f t="shared" si="339"/>
        <v>0.14576970373338616</v>
      </c>
      <c r="BA531" s="254">
        <f t="shared" si="343"/>
        <v>6.3999999999998878E-4</v>
      </c>
      <c r="BB531" s="270">
        <f t="shared" si="336"/>
        <v>1.4477568856683068E-3</v>
      </c>
      <c r="BC531" s="253">
        <f t="shared" si="344"/>
        <v>1.3600000000000034E-3</v>
      </c>
      <c r="BD531" s="255">
        <f t="shared" si="340"/>
        <v>0.13600000000000034</v>
      </c>
      <c r="BI531" s="248"/>
      <c r="CG531" s="351" t="e">
        <f>((((IF($T$5=0,$T$6,$T$5)))/(12*$T$19))+(((3*$T$15)/(2*IF($T$5=0,$T$6,$T$5)*$U$5*$T$19))*'IN-OUT'!$F$14))*'Burland damage classification'!CK531</f>
        <v>#DIV/0!</v>
      </c>
      <c r="CH531" s="352">
        <f>(1+(((IF($T$5=0,$T$6^2,$T$5^2))*$U$5)/(18*$T$15))*('IN-OUT'!$F$14^(-1)))*CL531</f>
        <v>1.4477568856683068E-3</v>
      </c>
      <c r="CI531" s="254" t="e">
        <f t="shared" si="337"/>
        <v>#DIV/0!</v>
      </c>
      <c r="CJ531" s="254" t="e">
        <f t="shared" si="341"/>
        <v>#DIV/0!</v>
      </c>
      <c r="CK531" s="254">
        <f t="shared" si="345"/>
        <v>6.3999999999998878E-4</v>
      </c>
      <c r="CL531" s="270">
        <f t="shared" si="338"/>
        <v>1.4477568856683068E-3</v>
      </c>
      <c r="CM531" s="253">
        <f t="shared" si="346"/>
        <v>1.3600000000000034E-3</v>
      </c>
      <c r="CN531" s="255">
        <f t="shared" si="342"/>
        <v>0.13600000000000034</v>
      </c>
    </row>
    <row r="532" spans="49:92">
      <c r="AW532" s="258">
        <f>(((IF($S$5&lt;&gt;0,$S$5,IF($S$6&lt;&gt;0,$S$6,IF($S$7&lt;&gt;0,$S$7,0))))/(12*$S$19))+(((3*$S$15)/(2*(IF($S$5&lt;&gt;0,$S$5,IF($S$6&lt;&gt;0,$S$6,IF($S$7&lt;&gt;0,$S$7,0))))*$U$5*$S$19))*'IN-OUT'!$F$14))*'Burland damage classification'!BA532</f>
        <v>5.5539846866362727E-3</v>
      </c>
      <c r="AX532" s="353">
        <f>(1+(((IF($S$5&lt;&gt;0,$S$5^2,IF($S$6&lt;&gt;0,$S$6^2,IF($S$7&lt;&gt;0,$S$7^2))))*$U$5)/(18*$S$15))*('IN-OUT'!$F$14^(-1)))*BB532</f>
        <v>1.4544479075936226E-3</v>
      </c>
      <c r="AY532" s="254">
        <f t="shared" si="335"/>
        <v>1.4544479075936226E-3</v>
      </c>
      <c r="AZ532" s="254">
        <f t="shared" si="339"/>
        <v>0.14544479075936226</v>
      </c>
      <c r="BA532" s="254">
        <f t="shared" si="343"/>
        <v>6.3333333333332213E-4</v>
      </c>
      <c r="BB532" s="270">
        <f t="shared" si="336"/>
        <v>1.4445299120013618E-3</v>
      </c>
      <c r="BC532" s="253">
        <f t="shared" si="344"/>
        <v>1.3666666666666701E-3</v>
      </c>
      <c r="BD532" s="255">
        <f t="shared" si="340"/>
        <v>0.13666666666666702</v>
      </c>
      <c r="BI532" s="248"/>
      <c r="CG532" s="351" t="e">
        <f>((((IF($T$5=0,$T$6,$T$5)))/(12*$T$19))+(((3*$T$15)/(2*IF($T$5=0,$T$6,$T$5)*$U$5*$T$19))*'IN-OUT'!$F$14))*'Burland damage classification'!CK532</f>
        <v>#DIV/0!</v>
      </c>
      <c r="CH532" s="352">
        <f>(1+(((IF($T$5=0,$T$6^2,$T$5^2))*$U$5)/(18*$T$15))*('IN-OUT'!$F$14^(-1)))*CL532</f>
        <v>1.4445299120013618E-3</v>
      </c>
      <c r="CI532" s="254" t="e">
        <f t="shared" si="337"/>
        <v>#DIV/0!</v>
      </c>
      <c r="CJ532" s="254" t="e">
        <f t="shared" si="341"/>
        <v>#DIV/0!</v>
      </c>
      <c r="CK532" s="254">
        <f t="shared" si="345"/>
        <v>6.3333333333332213E-4</v>
      </c>
      <c r="CL532" s="270">
        <f t="shared" si="338"/>
        <v>1.4445299120013618E-3</v>
      </c>
      <c r="CM532" s="253">
        <f t="shared" si="346"/>
        <v>1.3666666666666701E-3</v>
      </c>
      <c r="CN532" s="255">
        <f t="shared" si="342"/>
        <v>0.13666666666666702</v>
      </c>
    </row>
    <row r="533" spans="49:92">
      <c r="AW533" s="258">
        <f>(((IF($S$5&lt;&gt;0,$S$5,IF($S$6&lt;&gt;0,$S$6,IF($S$7&lt;&gt;0,$S$7,0))))/(12*$S$19))+(((3*$S$15)/(2*(IF($S$5&lt;&gt;0,$S$5,IF($S$6&lt;&gt;0,$S$6,IF($S$7&lt;&gt;0,$S$7,0))))*$U$5*$S$19))*'IN-OUT'!$F$14))*'Burland damage classification'!BA533</f>
        <v>5.4955216899348373E-3</v>
      </c>
      <c r="AX533" s="353">
        <f>(1+(((IF($S$5&lt;&gt;0,$S$5^2,IF($S$6&lt;&gt;0,$S$6^2,IF($S$7&lt;&gt;0,$S$7^2))))*$U$5)/(18*$S$15))*('IN-OUT'!$F$14^(-1)))*BB533</f>
        <v>1.4511915032672349E-3</v>
      </c>
      <c r="AY533" s="254">
        <f t="shared" si="335"/>
        <v>1.4511915032672349E-3</v>
      </c>
      <c r="AZ533" s="254">
        <f t="shared" si="339"/>
        <v>0.14511915032672348</v>
      </c>
      <c r="BA533" s="254">
        <f t="shared" si="343"/>
        <v>6.2666666666665548E-4</v>
      </c>
      <c r="BB533" s="270">
        <f t="shared" si="336"/>
        <v>1.4412957133542472E-3</v>
      </c>
      <c r="BC533" s="253">
        <f t="shared" si="344"/>
        <v>1.3733333333333369E-3</v>
      </c>
      <c r="BD533" s="255">
        <f t="shared" si="340"/>
        <v>0.1373333333333337</v>
      </c>
      <c r="BI533" s="248"/>
      <c r="CG533" s="351" t="e">
        <f>((((IF($T$5=0,$T$6,$T$5)))/(12*$T$19))+(((3*$T$15)/(2*IF($T$5=0,$T$6,$T$5)*$U$5*$T$19))*'IN-OUT'!$F$14))*'Burland damage classification'!CK533</f>
        <v>#DIV/0!</v>
      </c>
      <c r="CH533" s="352">
        <f>(1+(((IF($T$5=0,$T$6^2,$T$5^2))*$U$5)/(18*$T$15))*('IN-OUT'!$F$14^(-1)))*CL533</f>
        <v>1.4412957133542472E-3</v>
      </c>
      <c r="CI533" s="254" t="e">
        <f t="shared" si="337"/>
        <v>#DIV/0!</v>
      </c>
      <c r="CJ533" s="254" t="e">
        <f t="shared" si="341"/>
        <v>#DIV/0!</v>
      </c>
      <c r="CK533" s="254">
        <f t="shared" si="345"/>
        <v>6.2666666666665548E-4</v>
      </c>
      <c r="CL533" s="270">
        <f t="shared" si="338"/>
        <v>1.4412957133542472E-3</v>
      </c>
      <c r="CM533" s="253">
        <f t="shared" si="346"/>
        <v>1.3733333333333369E-3</v>
      </c>
      <c r="CN533" s="255">
        <f t="shared" si="342"/>
        <v>0.1373333333333337</v>
      </c>
    </row>
    <row r="534" spans="49:92">
      <c r="AW534" s="258">
        <f>(((IF($S$5&lt;&gt;0,$S$5,IF($S$6&lt;&gt;0,$S$6,IF($S$7&lt;&gt;0,$S$7,0))))/(12*$S$19))+(((3*$S$15)/(2*(IF($S$5&lt;&gt;0,$S$5,IF($S$6&lt;&gt;0,$S$6,IF($S$7&lt;&gt;0,$S$7,0))))*$U$5*$S$19))*'IN-OUT'!$F$14))*'Burland damage classification'!BA534</f>
        <v>5.4370586932334019E-3</v>
      </c>
      <c r="AX534" s="353">
        <f>(1+(((IF($S$5&lt;&gt;0,$S$5^2,IF($S$6&lt;&gt;0,$S$6^2,IF($S$7&lt;&gt;0,$S$7^2))))*$U$5)/(18*$S$15))*('IN-OUT'!$F$14^(-1)))*BB534</f>
        <v>1.4479277752728436E-3</v>
      </c>
      <c r="AY534" s="254">
        <f t="shared" si="335"/>
        <v>1.4479277752728436E-3</v>
      </c>
      <c r="AZ534" s="254">
        <f t="shared" si="339"/>
        <v>0.14479277752728437</v>
      </c>
      <c r="BA534" s="254">
        <f t="shared" si="343"/>
        <v>6.1999999999998883E-4</v>
      </c>
      <c r="BB534" s="270">
        <f t="shared" si="336"/>
        <v>1.4380542409798021E-3</v>
      </c>
      <c r="BC534" s="253">
        <f t="shared" si="344"/>
        <v>1.3800000000000036E-3</v>
      </c>
      <c r="BD534" s="255">
        <f t="shared" si="340"/>
        <v>0.13800000000000037</v>
      </c>
      <c r="BI534" s="248"/>
      <c r="CG534" s="351" t="e">
        <f>((((IF($T$5=0,$T$6,$T$5)))/(12*$T$19))+(((3*$T$15)/(2*IF($T$5=0,$T$6,$T$5)*$U$5*$T$19))*'IN-OUT'!$F$14))*'Burland damage classification'!CK534</f>
        <v>#DIV/0!</v>
      </c>
      <c r="CH534" s="352">
        <f>(1+(((IF($T$5=0,$T$6^2,$T$5^2))*$U$5)/(18*$T$15))*('IN-OUT'!$F$14^(-1)))*CL534</f>
        <v>1.4380542409798021E-3</v>
      </c>
      <c r="CI534" s="254" t="e">
        <f t="shared" si="337"/>
        <v>#DIV/0!</v>
      </c>
      <c r="CJ534" s="254" t="e">
        <f t="shared" si="341"/>
        <v>#DIV/0!</v>
      </c>
      <c r="CK534" s="254">
        <f t="shared" si="345"/>
        <v>6.1999999999998883E-4</v>
      </c>
      <c r="CL534" s="270">
        <f t="shared" si="338"/>
        <v>1.4380542409798021E-3</v>
      </c>
      <c r="CM534" s="253">
        <f t="shared" si="346"/>
        <v>1.3800000000000036E-3</v>
      </c>
      <c r="CN534" s="255">
        <f t="shared" si="342"/>
        <v>0.13800000000000037</v>
      </c>
    </row>
    <row r="535" spans="49:92">
      <c r="AW535" s="258">
        <f>(((IF($S$5&lt;&gt;0,$S$5,IF($S$6&lt;&gt;0,$S$6,IF($S$7&lt;&gt;0,$S$7,0))))/(12*$S$19))+(((3*$S$15)/(2*(IF($S$5&lt;&gt;0,$S$5,IF($S$6&lt;&gt;0,$S$6,IF($S$7&lt;&gt;0,$S$7,0))))*$U$5*$S$19))*'IN-OUT'!$F$14))*'Burland damage classification'!BA535</f>
        <v>5.3785956965319666E-3</v>
      </c>
      <c r="AX535" s="353">
        <f>(1+(((IF($S$5&lt;&gt;0,$S$5^2,IF($S$6&lt;&gt;0,$S$6^2,IF($S$7&lt;&gt;0,$S$7^2))))*$U$5)/(18*$S$15))*('IN-OUT'!$F$14^(-1)))*BB535</f>
        <v>1.4446566739741717E-3</v>
      </c>
      <c r="AY535" s="254">
        <f t="shared" si="335"/>
        <v>1.4446566739741717E-3</v>
      </c>
      <c r="AZ535" s="254">
        <f t="shared" si="339"/>
        <v>0.14446566739741717</v>
      </c>
      <c r="BA535" s="254">
        <f t="shared" si="343"/>
        <v>6.1333333333332218E-4</v>
      </c>
      <c r="BB535" s="270">
        <f t="shared" si="336"/>
        <v>1.4348054455802226E-3</v>
      </c>
      <c r="BC535" s="253">
        <f t="shared" si="344"/>
        <v>1.3866666666666704E-3</v>
      </c>
      <c r="BD535" s="255">
        <f t="shared" si="340"/>
        <v>0.13866666666666705</v>
      </c>
      <c r="BI535" s="248"/>
      <c r="CG535" s="351" t="e">
        <f>((((IF($T$5=0,$T$6,$T$5)))/(12*$T$19))+(((3*$T$15)/(2*IF($T$5=0,$T$6,$T$5)*$U$5*$T$19))*'IN-OUT'!$F$14))*'Burland damage classification'!CK535</f>
        <v>#DIV/0!</v>
      </c>
      <c r="CH535" s="352">
        <f>(1+(((IF($T$5=0,$T$6^2,$T$5^2))*$U$5)/(18*$T$15))*('IN-OUT'!$F$14^(-1)))*CL535</f>
        <v>1.4348054455802226E-3</v>
      </c>
      <c r="CI535" s="254" t="e">
        <f t="shared" si="337"/>
        <v>#DIV/0!</v>
      </c>
      <c r="CJ535" s="254" t="e">
        <f t="shared" si="341"/>
        <v>#DIV/0!</v>
      </c>
      <c r="CK535" s="254">
        <f t="shared" si="345"/>
        <v>6.1333333333332218E-4</v>
      </c>
      <c r="CL535" s="270">
        <f t="shared" si="338"/>
        <v>1.4348054455802226E-3</v>
      </c>
      <c r="CM535" s="253">
        <f t="shared" si="346"/>
        <v>1.3866666666666704E-3</v>
      </c>
      <c r="CN535" s="255">
        <f t="shared" si="342"/>
        <v>0.13866666666666705</v>
      </c>
    </row>
    <row r="536" spans="49:92">
      <c r="AW536" s="258">
        <f>(((IF($S$5&lt;&gt;0,$S$5,IF($S$6&lt;&gt;0,$S$6,IF($S$7&lt;&gt;0,$S$7,0))))/(12*$S$19))+(((3*$S$15)/(2*(IF($S$5&lt;&gt;0,$S$5,IF($S$6&lt;&gt;0,$S$6,IF($S$7&lt;&gt;0,$S$7,0))))*$U$5*$S$19))*'IN-OUT'!$F$14))*'Burland damage classification'!BA536</f>
        <v>5.3201326998305312E-3</v>
      </c>
      <c r="AX536" s="353">
        <f>(1+(((IF($S$5&lt;&gt;0,$S$5^2,IF($S$6&lt;&gt;0,$S$6^2,IF($S$7&lt;&gt;0,$S$7^2))))*$U$5)/(18*$S$15))*('IN-OUT'!$F$14^(-1)))*BB536</f>
        <v>1.4413781491717107E-3</v>
      </c>
      <c r="AY536" s="254">
        <f t="shared" si="335"/>
        <v>1.4413781491717107E-3</v>
      </c>
      <c r="AZ536" s="254">
        <f t="shared" si="339"/>
        <v>0.14413781491717106</v>
      </c>
      <c r="BA536" s="254">
        <f t="shared" si="343"/>
        <v>6.0666666666665554E-4</v>
      </c>
      <c r="BB536" s="270">
        <f t="shared" si="336"/>
        <v>1.431549277298315E-3</v>
      </c>
      <c r="BC536" s="253">
        <f t="shared" si="344"/>
        <v>1.3933333333333371E-3</v>
      </c>
      <c r="BD536" s="255">
        <f t="shared" si="340"/>
        <v>0.13933333333333373</v>
      </c>
      <c r="BI536" s="248"/>
      <c r="CG536" s="351" t="e">
        <f>((((IF($T$5=0,$T$6,$T$5)))/(12*$T$19))+(((3*$T$15)/(2*IF($T$5=0,$T$6,$T$5)*$U$5*$T$19))*'IN-OUT'!$F$14))*'Burland damage classification'!CK536</f>
        <v>#DIV/0!</v>
      </c>
      <c r="CH536" s="352">
        <f>(1+(((IF($T$5=0,$T$6^2,$T$5^2))*$U$5)/(18*$T$15))*('IN-OUT'!$F$14^(-1)))*CL536</f>
        <v>1.431549277298315E-3</v>
      </c>
      <c r="CI536" s="254" t="e">
        <f t="shared" si="337"/>
        <v>#DIV/0!</v>
      </c>
      <c r="CJ536" s="254" t="e">
        <f t="shared" si="341"/>
        <v>#DIV/0!</v>
      </c>
      <c r="CK536" s="254">
        <f t="shared" si="345"/>
        <v>6.0666666666665554E-4</v>
      </c>
      <c r="CL536" s="270">
        <f t="shared" si="338"/>
        <v>1.431549277298315E-3</v>
      </c>
      <c r="CM536" s="253">
        <f t="shared" si="346"/>
        <v>1.3933333333333371E-3</v>
      </c>
      <c r="CN536" s="255">
        <f t="shared" si="342"/>
        <v>0.13933333333333373</v>
      </c>
    </row>
    <row r="537" spans="49:92">
      <c r="AW537" s="258">
        <f>(((IF($S$5&lt;&gt;0,$S$5,IF($S$6&lt;&gt;0,$S$6,IF($S$7&lt;&gt;0,$S$7,0))))/(12*$S$19))+(((3*$S$15)/(2*(IF($S$5&lt;&gt;0,$S$5,IF($S$6&lt;&gt;0,$S$6,IF($S$7&lt;&gt;0,$S$7,0))))*$U$5*$S$19))*'IN-OUT'!$F$14))*'Burland damage classification'!BA537</f>
        <v>5.2616697031290958E-3</v>
      </c>
      <c r="AX537" s="353">
        <f>(1+(((IF($S$5&lt;&gt;0,$S$5^2,IF($S$6&lt;&gt;0,$S$6^2,IF($S$7&lt;&gt;0,$S$7^2))))*$U$5)/(18*$S$15))*('IN-OUT'!$F$14^(-1)))*BB537</f>
        <v>1.4380921500937332E-3</v>
      </c>
      <c r="AY537" s="254">
        <f t="shared" si="335"/>
        <v>1.4380921500937332E-3</v>
      </c>
      <c r="AZ537" s="254">
        <f t="shared" si="339"/>
        <v>0.14380921500937333</v>
      </c>
      <c r="BA537" s="254">
        <f t="shared" si="343"/>
        <v>5.9999999999998889E-4</v>
      </c>
      <c r="BB537" s="270">
        <f t="shared" si="336"/>
        <v>1.4282856857085681E-3</v>
      </c>
      <c r="BC537" s="253">
        <f t="shared" si="344"/>
        <v>1.4000000000000039E-3</v>
      </c>
      <c r="BD537" s="255">
        <f t="shared" si="340"/>
        <v>0.1400000000000004</v>
      </c>
      <c r="BI537" s="248"/>
      <c r="CG537" s="351" t="e">
        <f>((((IF($T$5=0,$T$6,$T$5)))/(12*$T$19))+(((3*$T$15)/(2*IF($T$5=0,$T$6,$T$5)*$U$5*$T$19))*'IN-OUT'!$F$14))*'Burland damage classification'!CK537</f>
        <v>#DIV/0!</v>
      </c>
      <c r="CH537" s="352">
        <f>(1+(((IF($T$5=0,$T$6^2,$T$5^2))*$U$5)/(18*$T$15))*('IN-OUT'!$F$14^(-1)))*CL537</f>
        <v>1.4282856857085681E-3</v>
      </c>
      <c r="CI537" s="254" t="e">
        <f t="shared" si="337"/>
        <v>#DIV/0!</v>
      </c>
      <c r="CJ537" s="254" t="e">
        <f t="shared" si="341"/>
        <v>#DIV/0!</v>
      </c>
      <c r="CK537" s="254">
        <f t="shared" si="345"/>
        <v>5.9999999999998889E-4</v>
      </c>
      <c r="CL537" s="270">
        <f t="shared" si="338"/>
        <v>1.4282856857085681E-3</v>
      </c>
      <c r="CM537" s="253">
        <f t="shared" si="346"/>
        <v>1.4000000000000039E-3</v>
      </c>
      <c r="CN537" s="255">
        <f t="shared" si="342"/>
        <v>0.1400000000000004</v>
      </c>
    </row>
    <row r="538" spans="49:92">
      <c r="AW538" s="258">
        <f>(((IF($S$5&lt;&gt;0,$S$5,IF($S$6&lt;&gt;0,$S$6,IF($S$7&lt;&gt;0,$S$7,0))))/(12*$S$19))+(((3*$S$15)/(2*(IF($S$5&lt;&gt;0,$S$5,IF($S$6&lt;&gt;0,$S$6,IF($S$7&lt;&gt;0,$S$7,0))))*$U$5*$S$19))*'IN-OUT'!$F$14))*'Burland damage classification'!BA538</f>
        <v>5.2032067064276604E-3</v>
      </c>
      <c r="AX538" s="353">
        <f>(1+(((IF($S$5&lt;&gt;0,$S$5^2,IF($S$6&lt;&gt;0,$S$6^2,IF($S$7&lt;&gt;0,$S$7^2))))*$U$5)/(18*$S$15))*('IN-OUT'!$F$14^(-1)))*BB538</f>
        <v>1.434798625387119E-3</v>
      </c>
      <c r="AY538" s="254">
        <f t="shared" si="335"/>
        <v>1.434798625387119E-3</v>
      </c>
      <c r="AZ538" s="254">
        <f t="shared" si="339"/>
        <v>0.14347986253871189</v>
      </c>
      <c r="BA538" s="254">
        <f t="shared" si="343"/>
        <v>5.9333333333332224E-4</v>
      </c>
      <c r="BB538" s="270">
        <f t="shared" si="336"/>
        <v>1.4250146198080428E-3</v>
      </c>
      <c r="BC538" s="253">
        <f t="shared" si="344"/>
        <v>1.4066666666666706E-3</v>
      </c>
      <c r="BD538" s="255">
        <f t="shared" si="340"/>
        <v>0.14066666666666705</v>
      </c>
      <c r="BI538" s="248"/>
      <c r="CG538" s="351" t="e">
        <f>((((IF($T$5=0,$T$6,$T$5)))/(12*$T$19))+(((3*$T$15)/(2*IF($T$5=0,$T$6,$T$5)*$U$5*$T$19))*'IN-OUT'!$F$14))*'Burland damage classification'!CK538</f>
        <v>#DIV/0!</v>
      </c>
      <c r="CH538" s="352">
        <f>(1+(((IF($T$5=0,$T$6^2,$T$5^2))*$U$5)/(18*$T$15))*('IN-OUT'!$F$14^(-1)))*CL538</f>
        <v>1.4250146198080428E-3</v>
      </c>
      <c r="CI538" s="254" t="e">
        <f t="shared" si="337"/>
        <v>#DIV/0!</v>
      </c>
      <c r="CJ538" s="254" t="e">
        <f t="shared" si="341"/>
        <v>#DIV/0!</v>
      </c>
      <c r="CK538" s="254">
        <f t="shared" si="345"/>
        <v>5.9333333333332224E-4</v>
      </c>
      <c r="CL538" s="270">
        <f t="shared" si="338"/>
        <v>1.4250146198080428E-3</v>
      </c>
      <c r="CM538" s="253">
        <f t="shared" si="346"/>
        <v>1.4066666666666706E-3</v>
      </c>
      <c r="CN538" s="255">
        <f t="shared" si="342"/>
        <v>0.14066666666666705</v>
      </c>
    </row>
    <row r="539" spans="49:92">
      <c r="AW539" s="258">
        <f>(((IF($S$5&lt;&gt;0,$S$5,IF($S$6&lt;&gt;0,$S$6,IF($S$7&lt;&gt;0,$S$7,0))))/(12*$S$19))+(((3*$S$15)/(2*(IF($S$5&lt;&gt;0,$S$5,IF($S$6&lt;&gt;0,$S$6,IF($S$7&lt;&gt;0,$S$7,0))))*$U$5*$S$19))*'IN-OUT'!$F$14))*'Burland damage classification'!BA539</f>
        <v>5.1447437097262251E-3</v>
      </c>
      <c r="AX539" s="353">
        <f>(1+(((IF($S$5&lt;&gt;0,$S$5^2,IF($S$6&lt;&gt;0,$S$6^2,IF($S$7&lt;&gt;0,$S$7^2))))*$U$5)/(18*$S$15))*('IN-OUT'!$F$14^(-1)))*BB539</f>
        <v>1.4314975231079919E-3</v>
      </c>
      <c r="AY539" s="254">
        <f t="shared" si="335"/>
        <v>1.4314975231079919E-3</v>
      </c>
      <c r="AZ539" s="254">
        <f t="shared" si="339"/>
        <v>0.14314975231079918</v>
      </c>
      <c r="BA539" s="254">
        <f t="shared" si="343"/>
        <v>5.8666666666665559E-4</v>
      </c>
      <c r="BB539" s="270">
        <f t="shared" si="336"/>
        <v>1.4217360280070726E-3</v>
      </c>
      <c r="BC539" s="253">
        <f t="shared" si="344"/>
        <v>1.4133333333333374E-3</v>
      </c>
      <c r="BD539" s="255">
        <f t="shared" si="340"/>
        <v>0.14133333333333373</v>
      </c>
      <c r="BI539" s="248"/>
      <c r="CG539" s="351" t="e">
        <f>((((IF($T$5=0,$T$6,$T$5)))/(12*$T$19))+(((3*$T$15)/(2*IF($T$5=0,$T$6,$T$5)*$U$5*$T$19))*'IN-OUT'!$F$14))*'Burland damage classification'!CK539</f>
        <v>#DIV/0!</v>
      </c>
      <c r="CH539" s="352">
        <f>(1+(((IF($T$5=0,$T$6^2,$T$5^2))*$U$5)/(18*$T$15))*('IN-OUT'!$F$14^(-1)))*CL539</f>
        <v>1.4217360280070726E-3</v>
      </c>
      <c r="CI539" s="254" t="e">
        <f t="shared" si="337"/>
        <v>#DIV/0!</v>
      </c>
      <c r="CJ539" s="254" t="e">
        <f t="shared" si="341"/>
        <v>#DIV/0!</v>
      </c>
      <c r="CK539" s="254">
        <f t="shared" si="345"/>
        <v>5.8666666666665559E-4</v>
      </c>
      <c r="CL539" s="270">
        <f t="shared" si="338"/>
        <v>1.4217360280070726E-3</v>
      </c>
      <c r="CM539" s="253">
        <f t="shared" si="346"/>
        <v>1.4133333333333374E-3</v>
      </c>
      <c r="CN539" s="255">
        <f t="shared" si="342"/>
        <v>0.14133333333333373</v>
      </c>
    </row>
    <row r="540" spans="49:92">
      <c r="AW540" s="258">
        <f>(((IF($S$5&lt;&gt;0,$S$5,IF($S$6&lt;&gt;0,$S$6,IF($S$7&lt;&gt;0,$S$7,0))))/(12*$S$19))+(((3*$S$15)/(2*(IF($S$5&lt;&gt;0,$S$5,IF($S$6&lt;&gt;0,$S$6,IF($S$7&lt;&gt;0,$S$7,0))))*$U$5*$S$19))*'IN-OUT'!$F$14))*'Burland damage classification'!BA540</f>
        <v>5.0862807130247897E-3</v>
      </c>
      <c r="AX540" s="353">
        <f>(1+(((IF($S$5&lt;&gt;0,$S$5^2,IF($S$6&lt;&gt;0,$S$6^2,IF($S$7&lt;&gt;0,$S$7^2))))*$U$5)/(18*$S$15))*('IN-OUT'!$F$14^(-1)))*BB540</f>
        <v>1.4281887907121613E-3</v>
      </c>
      <c r="AY540" s="254">
        <f t="shared" si="335"/>
        <v>1.4281887907121613E-3</v>
      </c>
      <c r="AZ540" s="254">
        <f t="shared" si="339"/>
        <v>0.14281887907121613</v>
      </c>
      <c r="BA540" s="254">
        <f t="shared" si="343"/>
        <v>5.7999999999998894E-4</v>
      </c>
      <c r="BB540" s="270">
        <f t="shared" si="336"/>
        <v>1.4184498581197695E-3</v>
      </c>
      <c r="BC540" s="253">
        <f t="shared" si="344"/>
        <v>1.4200000000000042E-3</v>
      </c>
      <c r="BD540" s="255">
        <f t="shared" si="340"/>
        <v>0.1420000000000004</v>
      </c>
      <c r="BI540" s="248"/>
      <c r="CG540" s="351" t="e">
        <f>((((IF($T$5=0,$T$6,$T$5)))/(12*$T$19))+(((3*$T$15)/(2*IF($T$5=0,$T$6,$T$5)*$U$5*$T$19))*'IN-OUT'!$F$14))*'Burland damage classification'!CK540</f>
        <v>#DIV/0!</v>
      </c>
      <c r="CH540" s="352">
        <f>(1+(((IF($T$5=0,$T$6^2,$T$5^2))*$U$5)/(18*$T$15))*('IN-OUT'!$F$14^(-1)))*CL540</f>
        <v>1.4184498581197695E-3</v>
      </c>
      <c r="CI540" s="254" t="e">
        <f t="shared" si="337"/>
        <v>#DIV/0!</v>
      </c>
      <c r="CJ540" s="254" t="e">
        <f t="shared" si="341"/>
        <v>#DIV/0!</v>
      </c>
      <c r="CK540" s="254">
        <f t="shared" si="345"/>
        <v>5.7999999999998894E-4</v>
      </c>
      <c r="CL540" s="270">
        <f t="shared" si="338"/>
        <v>1.4184498581197695E-3</v>
      </c>
      <c r="CM540" s="253">
        <f t="shared" si="346"/>
        <v>1.4200000000000042E-3</v>
      </c>
      <c r="CN540" s="255">
        <f t="shared" si="342"/>
        <v>0.1420000000000004</v>
      </c>
    </row>
    <row r="541" spans="49:92">
      <c r="AW541" s="258">
        <f>(((IF($S$5&lt;&gt;0,$S$5,IF($S$6&lt;&gt;0,$S$6,IF($S$7&lt;&gt;0,$S$7,0))))/(12*$S$19))+(((3*$S$15)/(2*(IF($S$5&lt;&gt;0,$S$5,IF($S$6&lt;&gt;0,$S$6,IF($S$7&lt;&gt;0,$S$7,0))))*$U$5*$S$19))*'IN-OUT'!$F$14))*'Burland damage classification'!BA541</f>
        <v>5.0278177163233543E-3</v>
      </c>
      <c r="AX541" s="353">
        <f>(1+(((IF($S$5&lt;&gt;0,$S$5^2,IF($S$6&lt;&gt;0,$S$6^2,IF($S$7&lt;&gt;0,$S$7^2))))*$U$5)/(18*$S$15))*('IN-OUT'!$F$14^(-1)))*BB541</f>
        <v>1.4248723750453637E-3</v>
      </c>
      <c r="AY541" s="254">
        <f t="shared" si="335"/>
        <v>1.4248723750453637E-3</v>
      </c>
      <c r="AZ541" s="254">
        <f t="shared" si="339"/>
        <v>0.14248723750453637</v>
      </c>
      <c r="BA541" s="254">
        <f t="shared" si="343"/>
        <v>5.733333333333223E-4</v>
      </c>
      <c r="BB541" s="270">
        <f t="shared" si="336"/>
        <v>1.4151560573543332E-3</v>
      </c>
      <c r="BC541" s="253">
        <f t="shared" si="344"/>
        <v>1.4266666666666709E-3</v>
      </c>
      <c r="BD541" s="255">
        <f t="shared" si="340"/>
        <v>0.14266666666666708</v>
      </c>
      <c r="BI541" s="248"/>
      <c r="CG541" s="351" t="e">
        <f>((((IF($T$5=0,$T$6,$T$5)))/(12*$T$19))+(((3*$T$15)/(2*IF($T$5=0,$T$6,$T$5)*$U$5*$T$19))*'IN-OUT'!$F$14))*'Burland damage classification'!CK541</f>
        <v>#DIV/0!</v>
      </c>
      <c r="CH541" s="352">
        <f>(1+(((IF($T$5=0,$T$6^2,$T$5^2))*$U$5)/(18*$T$15))*('IN-OUT'!$F$14^(-1)))*CL541</f>
        <v>1.4151560573543332E-3</v>
      </c>
      <c r="CI541" s="254" t="e">
        <f t="shared" si="337"/>
        <v>#DIV/0!</v>
      </c>
      <c r="CJ541" s="254" t="e">
        <f t="shared" si="341"/>
        <v>#DIV/0!</v>
      </c>
      <c r="CK541" s="254">
        <f t="shared" si="345"/>
        <v>5.733333333333223E-4</v>
      </c>
      <c r="CL541" s="270">
        <f t="shared" si="338"/>
        <v>1.4151560573543332E-3</v>
      </c>
      <c r="CM541" s="253">
        <f t="shared" si="346"/>
        <v>1.4266666666666709E-3</v>
      </c>
      <c r="CN541" s="255">
        <f t="shared" si="342"/>
        <v>0.14266666666666708</v>
      </c>
    </row>
    <row r="542" spans="49:92">
      <c r="AW542" s="258">
        <f>(((IF($S$5&lt;&gt;0,$S$5,IF($S$6&lt;&gt;0,$S$6,IF($S$7&lt;&gt;0,$S$7,0))))/(12*$S$19))+(((3*$S$15)/(2*(IF($S$5&lt;&gt;0,$S$5,IF($S$6&lt;&gt;0,$S$6,IF($S$7&lt;&gt;0,$S$7,0))))*$U$5*$S$19))*'IN-OUT'!$F$14))*'Burland damage classification'!BA542</f>
        <v>4.969354719621919E-3</v>
      </c>
      <c r="AX542" s="353">
        <f>(1+(((IF($S$5&lt;&gt;0,$S$5^2,IF($S$6&lt;&gt;0,$S$6^2,IF($S$7&lt;&gt;0,$S$7^2))))*$U$5)/(18*$S$15))*('IN-OUT'!$F$14^(-1)))*BB542</f>
        <v>1.4215482223332999E-3</v>
      </c>
      <c r="AY542" s="254">
        <f t="shared" si="335"/>
        <v>1.4215482223332999E-3</v>
      </c>
      <c r="AZ542" s="254">
        <f t="shared" si="339"/>
        <v>0.14215482223332998</v>
      </c>
      <c r="BA542" s="254">
        <f t="shared" si="343"/>
        <v>5.6666666666665565E-4</v>
      </c>
      <c r="BB542" s="270">
        <f t="shared" si="336"/>
        <v>1.4118545723031558E-3</v>
      </c>
      <c r="BC542" s="253">
        <f t="shared" si="344"/>
        <v>1.4333333333333377E-3</v>
      </c>
      <c r="BD542" s="255">
        <f t="shared" si="340"/>
        <v>0.14333333333333376</v>
      </c>
      <c r="BI542" s="248"/>
      <c r="CG542" s="351" t="e">
        <f>((((IF($T$5=0,$T$6,$T$5)))/(12*$T$19))+(((3*$T$15)/(2*IF($T$5=0,$T$6,$T$5)*$U$5*$T$19))*'IN-OUT'!$F$14))*'Burland damage classification'!CK542</f>
        <v>#DIV/0!</v>
      </c>
      <c r="CH542" s="352">
        <f>(1+(((IF($T$5=0,$T$6^2,$T$5^2))*$U$5)/(18*$T$15))*('IN-OUT'!$F$14^(-1)))*CL542</f>
        <v>1.4118545723031558E-3</v>
      </c>
      <c r="CI542" s="254" t="e">
        <f t="shared" si="337"/>
        <v>#DIV/0!</v>
      </c>
      <c r="CJ542" s="254" t="e">
        <f t="shared" si="341"/>
        <v>#DIV/0!</v>
      </c>
      <c r="CK542" s="254">
        <f t="shared" si="345"/>
        <v>5.6666666666665565E-4</v>
      </c>
      <c r="CL542" s="270">
        <f t="shared" si="338"/>
        <v>1.4118545723031558E-3</v>
      </c>
      <c r="CM542" s="253">
        <f t="shared" si="346"/>
        <v>1.4333333333333377E-3</v>
      </c>
      <c r="CN542" s="255">
        <f t="shared" si="342"/>
        <v>0.14333333333333376</v>
      </c>
    </row>
    <row r="543" spans="49:92">
      <c r="AW543" s="258">
        <f>(((IF($S$5&lt;&gt;0,$S$5,IF($S$6&lt;&gt;0,$S$6,IF($S$7&lt;&gt;0,$S$7,0))))/(12*$S$19))+(((3*$S$15)/(2*(IF($S$5&lt;&gt;0,$S$5,IF($S$6&lt;&gt;0,$S$6,IF($S$7&lt;&gt;0,$S$7,0))))*$U$5*$S$19))*'IN-OUT'!$F$14))*'Burland damage classification'!BA543</f>
        <v>4.9108917229204836E-3</v>
      </c>
      <c r="AX543" s="353">
        <f>(1+(((IF($S$5&lt;&gt;0,$S$5^2,IF($S$6&lt;&gt;0,$S$6^2,IF($S$7&lt;&gt;0,$S$7^2))))*$U$5)/(18*$S$15))*('IN-OUT'!$F$14^(-1)))*BB543</f>
        <v>1.4182162781714626E-3</v>
      </c>
      <c r="AY543" s="254">
        <f t="shared" si="335"/>
        <v>1.4182162781714626E-3</v>
      </c>
      <c r="AZ543" s="254">
        <f t="shared" si="339"/>
        <v>0.14182162781714625</v>
      </c>
      <c r="BA543" s="254">
        <f t="shared" si="343"/>
        <v>5.59999999999989E-4</v>
      </c>
      <c r="BB543" s="270">
        <f t="shared" si="336"/>
        <v>1.4085453489327184E-3</v>
      </c>
      <c r="BC543" s="253">
        <f t="shared" si="344"/>
        <v>1.4400000000000044E-3</v>
      </c>
      <c r="BD543" s="255">
        <f t="shared" si="340"/>
        <v>0.14400000000000043</v>
      </c>
      <c r="BI543" s="248"/>
      <c r="CG543" s="351" t="e">
        <f>((((IF($T$5=0,$T$6,$T$5)))/(12*$T$19))+(((3*$T$15)/(2*IF($T$5=0,$T$6,$T$5)*$U$5*$T$19))*'IN-OUT'!$F$14))*'Burland damage classification'!CK543</f>
        <v>#DIV/0!</v>
      </c>
      <c r="CH543" s="352">
        <f>(1+(((IF($T$5=0,$T$6^2,$T$5^2))*$U$5)/(18*$T$15))*('IN-OUT'!$F$14^(-1)))*CL543</f>
        <v>1.4085453489327184E-3</v>
      </c>
      <c r="CI543" s="254" t="e">
        <f t="shared" si="337"/>
        <v>#DIV/0!</v>
      </c>
      <c r="CJ543" s="254" t="e">
        <f t="shared" si="341"/>
        <v>#DIV/0!</v>
      </c>
      <c r="CK543" s="254">
        <f t="shared" si="345"/>
        <v>5.59999999999989E-4</v>
      </c>
      <c r="CL543" s="270">
        <f t="shared" si="338"/>
        <v>1.4085453489327184E-3</v>
      </c>
      <c r="CM543" s="253">
        <f t="shared" si="346"/>
        <v>1.4400000000000044E-3</v>
      </c>
      <c r="CN543" s="255">
        <f t="shared" si="342"/>
        <v>0.14400000000000043</v>
      </c>
    </row>
    <row r="544" spans="49:92">
      <c r="AW544" s="258">
        <f>(((IF($S$5&lt;&gt;0,$S$5,IF($S$6&lt;&gt;0,$S$6,IF($S$7&lt;&gt;0,$S$7,0))))/(12*$S$19))+(((3*$S$15)/(2*(IF($S$5&lt;&gt;0,$S$5,IF($S$6&lt;&gt;0,$S$6,IF($S$7&lt;&gt;0,$S$7,0))))*$U$5*$S$19))*'IN-OUT'!$F$14))*'Burland damage classification'!BA544</f>
        <v>4.8524287262190482E-3</v>
      </c>
      <c r="AX544" s="353">
        <f>(1+(((IF($S$5&lt;&gt;0,$S$5^2,IF($S$6&lt;&gt;0,$S$6^2,IF($S$7&lt;&gt;0,$S$7^2))))*$U$5)/(18*$S$15))*('IN-OUT'!$F$14^(-1)))*BB544</f>
        <v>1.4148764875147458E-3</v>
      </c>
      <c r="AY544" s="254">
        <f t="shared" si="335"/>
        <v>1.4148764875147458E-3</v>
      </c>
      <c r="AZ544" s="254">
        <f t="shared" si="339"/>
        <v>0.14148764875147457</v>
      </c>
      <c r="BA544" s="254">
        <f t="shared" si="343"/>
        <v>5.5333333333332235E-4</v>
      </c>
      <c r="BB544" s="270">
        <f t="shared" si="336"/>
        <v>1.4052283325732726E-3</v>
      </c>
      <c r="BC544" s="253">
        <f t="shared" si="344"/>
        <v>1.4466666666666712E-3</v>
      </c>
      <c r="BD544" s="255">
        <f t="shared" si="340"/>
        <v>0.14466666666666711</v>
      </c>
      <c r="BI544" s="248"/>
      <c r="CG544" s="351" t="e">
        <f>((((IF($T$5=0,$T$6,$T$5)))/(12*$T$19))+(((3*$T$15)/(2*IF($T$5=0,$T$6,$T$5)*$U$5*$T$19))*'IN-OUT'!$F$14))*'Burland damage classification'!CK544</f>
        <v>#DIV/0!</v>
      </c>
      <c r="CH544" s="352">
        <f>(1+(((IF($T$5=0,$T$6^2,$T$5^2))*$U$5)/(18*$T$15))*('IN-OUT'!$F$14^(-1)))*CL544</f>
        <v>1.4052283325732726E-3</v>
      </c>
      <c r="CI544" s="254" t="e">
        <f t="shared" si="337"/>
        <v>#DIV/0!</v>
      </c>
      <c r="CJ544" s="254" t="e">
        <f t="shared" si="341"/>
        <v>#DIV/0!</v>
      </c>
      <c r="CK544" s="254">
        <f t="shared" si="345"/>
        <v>5.5333333333332235E-4</v>
      </c>
      <c r="CL544" s="270">
        <f t="shared" si="338"/>
        <v>1.4052283325732726E-3</v>
      </c>
      <c r="CM544" s="253">
        <f t="shared" si="346"/>
        <v>1.4466666666666712E-3</v>
      </c>
      <c r="CN544" s="255">
        <f t="shared" si="342"/>
        <v>0.14466666666666711</v>
      </c>
    </row>
    <row r="545" spans="49:92">
      <c r="AW545" s="258">
        <f>(((IF($S$5&lt;&gt;0,$S$5,IF($S$6&lt;&gt;0,$S$6,IF($S$7&lt;&gt;0,$S$7,0))))/(12*$S$19))+(((3*$S$15)/(2*(IF($S$5&lt;&gt;0,$S$5,IF($S$6&lt;&gt;0,$S$6,IF($S$7&lt;&gt;0,$S$7,0))))*$U$5*$S$19))*'IN-OUT'!$F$14))*'Burland damage classification'!BA545</f>
        <v>4.7939657295176128E-3</v>
      </c>
      <c r="AX545" s="353">
        <f>(1+(((IF($S$5&lt;&gt;0,$S$5^2,IF($S$6&lt;&gt;0,$S$6^2,IF($S$7&lt;&gt;0,$S$7^2))))*$U$5)/(18*$S$15))*('IN-OUT'!$F$14^(-1)))*BB545</f>
        <v>1.4115287946668375E-3</v>
      </c>
      <c r="AY545" s="254">
        <f t="shared" si="335"/>
        <v>1.4115287946668375E-3</v>
      </c>
      <c r="AZ545" s="254">
        <f t="shared" si="339"/>
        <v>0.14115287946668376</v>
      </c>
      <c r="BA545" s="254">
        <f t="shared" si="343"/>
        <v>5.466666666666557E-4</v>
      </c>
      <c r="BB545" s="270">
        <f t="shared" si="336"/>
        <v>1.4019034679083032E-3</v>
      </c>
      <c r="BC545" s="253">
        <f t="shared" si="344"/>
        <v>1.4533333333333379E-3</v>
      </c>
      <c r="BD545" s="255">
        <f t="shared" si="340"/>
        <v>0.14533333333333379</v>
      </c>
      <c r="BI545" s="248"/>
      <c r="CG545" s="351" t="e">
        <f>((((IF($T$5=0,$T$6,$T$5)))/(12*$T$19))+(((3*$T$15)/(2*IF($T$5=0,$T$6,$T$5)*$U$5*$T$19))*'IN-OUT'!$F$14))*'Burland damage classification'!CK545</f>
        <v>#DIV/0!</v>
      </c>
      <c r="CH545" s="352">
        <f>(1+(((IF($T$5=0,$T$6^2,$T$5^2))*$U$5)/(18*$T$15))*('IN-OUT'!$F$14^(-1)))*CL545</f>
        <v>1.4019034679083032E-3</v>
      </c>
      <c r="CI545" s="254" t="e">
        <f t="shared" si="337"/>
        <v>#DIV/0!</v>
      </c>
      <c r="CJ545" s="254" t="e">
        <f t="shared" si="341"/>
        <v>#DIV/0!</v>
      </c>
      <c r="CK545" s="254">
        <f t="shared" si="345"/>
        <v>5.466666666666557E-4</v>
      </c>
      <c r="CL545" s="270">
        <f t="shared" si="338"/>
        <v>1.4019034679083032E-3</v>
      </c>
      <c r="CM545" s="253">
        <f t="shared" si="346"/>
        <v>1.4533333333333379E-3</v>
      </c>
      <c r="CN545" s="255">
        <f t="shared" si="342"/>
        <v>0.14533333333333379</v>
      </c>
    </row>
    <row r="546" spans="49:92">
      <c r="AW546" s="258">
        <f>(((IF($S$5&lt;&gt;0,$S$5,IF($S$6&lt;&gt;0,$S$6,IF($S$7&lt;&gt;0,$S$7,0))))/(12*$S$19))+(((3*$S$15)/(2*(IF($S$5&lt;&gt;0,$S$5,IF($S$6&lt;&gt;0,$S$6,IF($S$7&lt;&gt;0,$S$7,0))))*$U$5*$S$19))*'IN-OUT'!$F$14))*'Burland damage classification'!BA546</f>
        <v>4.7355027328161775E-3</v>
      </c>
      <c r="AX546" s="353">
        <f>(1+(((IF($S$5&lt;&gt;0,$S$5^2,IF($S$6&lt;&gt;0,$S$6^2,IF($S$7&lt;&gt;0,$S$7^2))))*$U$5)/(18*$S$15))*('IN-OUT'!$F$14^(-1)))*BB546</f>
        <v>1.4081731432693796E-3</v>
      </c>
      <c r="AY546" s="254">
        <f t="shared" si="335"/>
        <v>1.4081731432693796E-3</v>
      </c>
      <c r="AZ546" s="254">
        <f t="shared" si="339"/>
        <v>0.14081731432693798</v>
      </c>
      <c r="BA546" s="254">
        <f t="shared" si="343"/>
        <v>5.3999999999998906E-4</v>
      </c>
      <c r="BB546" s="270">
        <f t="shared" si="336"/>
        <v>1.3985706989637647E-3</v>
      </c>
      <c r="BC546" s="253">
        <f t="shared" si="344"/>
        <v>1.4600000000000047E-3</v>
      </c>
      <c r="BD546" s="255">
        <f t="shared" si="340"/>
        <v>0.14600000000000046</v>
      </c>
      <c r="BI546" s="248"/>
      <c r="CG546" s="351" t="e">
        <f>((((IF($T$5=0,$T$6,$T$5)))/(12*$T$19))+(((3*$T$15)/(2*IF($T$5=0,$T$6,$T$5)*$U$5*$T$19))*'IN-OUT'!$F$14))*'Burland damage classification'!CK546</f>
        <v>#DIV/0!</v>
      </c>
      <c r="CH546" s="352">
        <f>(1+(((IF($T$5=0,$T$6^2,$T$5^2))*$U$5)/(18*$T$15))*('IN-OUT'!$F$14^(-1)))*CL546</f>
        <v>1.3985706989637647E-3</v>
      </c>
      <c r="CI546" s="254" t="e">
        <f t="shared" si="337"/>
        <v>#DIV/0!</v>
      </c>
      <c r="CJ546" s="254" t="e">
        <f t="shared" si="341"/>
        <v>#DIV/0!</v>
      </c>
      <c r="CK546" s="254">
        <f t="shared" si="345"/>
        <v>5.3999999999998906E-4</v>
      </c>
      <c r="CL546" s="270">
        <f t="shared" si="338"/>
        <v>1.3985706989637647E-3</v>
      </c>
      <c r="CM546" s="253">
        <f t="shared" si="346"/>
        <v>1.4600000000000047E-3</v>
      </c>
      <c r="CN546" s="255">
        <f t="shared" si="342"/>
        <v>0.14600000000000046</v>
      </c>
    </row>
    <row r="547" spans="49:92">
      <c r="AW547" s="258">
        <f>(((IF($S$5&lt;&gt;0,$S$5,IF($S$6&lt;&gt;0,$S$6,IF($S$7&lt;&gt;0,$S$7,0))))/(12*$S$19))+(((3*$S$15)/(2*(IF($S$5&lt;&gt;0,$S$5,IF($S$6&lt;&gt;0,$S$6,IF($S$7&lt;&gt;0,$S$7,0))))*$U$5*$S$19))*'IN-OUT'!$F$14))*'Burland damage classification'!BA547</f>
        <v>4.6770397361147421E-3</v>
      </c>
      <c r="AX547" s="353">
        <f>(1+(((IF($S$5&lt;&gt;0,$S$5^2,IF($S$6&lt;&gt;0,$S$6^2,IF($S$7&lt;&gt;0,$S$7^2))))*$U$5)/(18*$S$15))*('IN-OUT'!$F$14^(-1)))*BB547</f>
        <v>1.4048094762909007E-3</v>
      </c>
      <c r="AY547" s="254">
        <f t="shared" si="335"/>
        <v>1.4048094762909007E-3</v>
      </c>
      <c r="AZ547" s="254">
        <f t="shared" si="339"/>
        <v>0.14048094762909008</v>
      </c>
      <c r="BA547" s="254">
        <f t="shared" si="343"/>
        <v>5.3333333333332241E-4</v>
      </c>
      <c r="BB547" s="270">
        <f t="shared" si="336"/>
        <v>1.3952299690970875E-3</v>
      </c>
      <c r="BC547" s="253">
        <f t="shared" si="344"/>
        <v>1.4666666666666715E-3</v>
      </c>
      <c r="BD547" s="255">
        <f t="shared" si="340"/>
        <v>0.14666666666666714</v>
      </c>
      <c r="BI547" s="248"/>
      <c r="CG547" s="351" t="e">
        <f>((((IF($T$5=0,$T$6,$T$5)))/(12*$T$19))+(((3*$T$15)/(2*IF($T$5=0,$T$6,$T$5)*$U$5*$T$19))*'IN-OUT'!$F$14))*'Burland damage classification'!CK547</f>
        <v>#DIV/0!</v>
      </c>
      <c r="CH547" s="352">
        <f>(1+(((IF($T$5=0,$T$6^2,$T$5^2))*$U$5)/(18*$T$15))*('IN-OUT'!$F$14^(-1)))*CL547</f>
        <v>1.3952299690970875E-3</v>
      </c>
      <c r="CI547" s="254" t="e">
        <f t="shared" si="337"/>
        <v>#DIV/0!</v>
      </c>
      <c r="CJ547" s="254" t="e">
        <f t="shared" si="341"/>
        <v>#DIV/0!</v>
      </c>
      <c r="CK547" s="254">
        <f t="shared" si="345"/>
        <v>5.3333333333332241E-4</v>
      </c>
      <c r="CL547" s="270">
        <f t="shared" si="338"/>
        <v>1.3952299690970875E-3</v>
      </c>
      <c r="CM547" s="253">
        <f t="shared" si="346"/>
        <v>1.4666666666666715E-3</v>
      </c>
      <c r="CN547" s="255">
        <f t="shared" si="342"/>
        <v>0.14666666666666714</v>
      </c>
    </row>
    <row r="548" spans="49:92">
      <c r="AW548" s="258">
        <f>(((IF($S$5&lt;&gt;0,$S$5,IF($S$6&lt;&gt;0,$S$6,IF($S$7&lt;&gt;0,$S$7,0))))/(12*$S$19))+(((3*$S$15)/(2*(IF($S$5&lt;&gt;0,$S$5,IF($S$6&lt;&gt;0,$S$6,IF($S$7&lt;&gt;0,$S$7,0))))*$U$5*$S$19))*'IN-OUT'!$F$14))*'Burland damage classification'!BA548</f>
        <v>4.6185767394133076E-3</v>
      </c>
      <c r="AX548" s="353">
        <f>(1+(((IF($S$5&lt;&gt;0,$S$5^2,IF($S$6&lt;&gt;0,$S$6^2,IF($S$7&lt;&gt;0,$S$7^2))))*$U$5)/(18*$S$15))*('IN-OUT'!$F$14^(-1)))*BB548</f>
        <v>1.401437736015505E-3</v>
      </c>
      <c r="AY548" s="254">
        <f t="shared" si="335"/>
        <v>1.401437736015505E-3</v>
      </c>
      <c r="AZ548" s="254">
        <f t="shared" si="339"/>
        <v>0.1401437736015505</v>
      </c>
      <c r="BA548" s="254">
        <f t="shared" si="343"/>
        <v>5.2666666666665576E-4</v>
      </c>
      <c r="BB548" s="270">
        <f t="shared" si="336"/>
        <v>1.3918812209859454E-3</v>
      </c>
      <c r="BC548" s="253">
        <f t="shared" si="344"/>
        <v>1.4733333333333382E-3</v>
      </c>
      <c r="BD548" s="255">
        <f t="shared" si="340"/>
        <v>0.14733333333333382</v>
      </c>
      <c r="BI548" s="248"/>
      <c r="CG548" s="351" t="e">
        <f>((((IF($T$5=0,$T$6,$T$5)))/(12*$T$19))+(((3*$T$15)/(2*IF($T$5=0,$T$6,$T$5)*$U$5*$T$19))*'IN-OUT'!$F$14))*'Burland damage classification'!CK548</f>
        <v>#DIV/0!</v>
      </c>
      <c r="CH548" s="352">
        <f>(1+(((IF($T$5=0,$T$6^2,$T$5^2))*$U$5)/(18*$T$15))*('IN-OUT'!$F$14^(-1)))*CL548</f>
        <v>1.3918812209859454E-3</v>
      </c>
      <c r="CI548" s="254" t="e">
        <f t="shared" si="337"/>
        <v>#DIV/0!</v>
      </c>
      <c r="CJ548" s="254" t="e">
        <f t="shared" si="341"/>
        <v>#DIV/0!</v>
      </c>
      <c r="CK548" s="254">
        <f t="shared" si="345"/>
        <v>5.2666666666665576E-4</v>
      </c>
      <c r="CL548" s="270">
        <f t="shared" si="338"/>
        <v>1.3918812209859454E-3</v>
      </c>
      <c r="CM548" s="253">
        <f t="shared" si="346"/>
        <v>1.4733333333333382E-3</v>
      </c>
      <c r="CN548" s="255">
        <f t="shared" si="342"/>
        <v>0.14733333333333382</v>
      </c>
    </row>
    <row r="549" spans="49:92">
      <c r="AW549" s="258">
        <f>(((IF($S$5&lt;&gt;0,$S$5,IF($S$6&lt;&gt;0,$S$6,IF($S$7&lt;&gt;0,$S$7,0))))/(12*$S$19))+(((3*$S$15)/(2*(IF($S$5&lt;&gt;0,$S$5,IF($S$6&lt;&gt;0,$S$6,IF($S$7&lt;&gt;0,$S$7,0))))*$U$5*$S$19))*'IN-OUT'!$F$14))*'Burland damage classification'!BA549</f>
        <v>4.5601137427118722E-3</v>
      </c>
      <c r="AX549" s="353">
        <f>(1+(((IF($S$5&lt;&gt;0,$S$5^2,IF($S$6&lt;&gt;0,$S$6^2,IF($S$7&lt;&gt;0,$S$7^2))))*$U$5)/(18*$S$15))*('IN-OUT'!$F$14^(-1)))*BB549</f>
        <v>1.398057864031319E-3</v>
      </c>
      <c r="AY549" s="254">
        <f t="shared" si="335"/>
        <v>1.398057864031319E-3</v>
      </c>
      <c r="AZ549" s="254">
        <f t="shared" si="339"/>
        <v>0.1398057864031319</v>
      </c>
      <c r="BA549" s="254">
        <f t="shared" si="343"/>
        <v>5.1999999999998911E-4</v>
      </c>
      <c r="BB549" s="270">
        <f t="shared" si="336"/>
        <v>1.3885243966167799E-3</v>
      </c>
      <c r="BC549" s="253">
        <f t="shared" si="344"/>
        <v>1.480000000000005E-3</v>
      </c>
      <c r="BD549" s="255">
        <f t="shared" si="340"/>
        <v>0.14800000000000049</v>
      </c>
      <c r="BI549" s="248"/>
      <c r="CG549" s="351" t="e">
        <f>((((IF($T$5=0,$T$6,$T$5)))/(12*$T$19))+(((3*$T$15)/(2*IF($T$5=0,$T$6,$T$5)*$U$5*$T$19))*'IN-OUT'!$F$14))*'Burland damage classification'!CK549</f>
        <v>#DIV/0!</v>
      </c>
      <c r="CH549" s="352">
        <f>(1+(((IF($T$5=0,$T$6^2,$T$5^2))*$U$5)/(18*$T$15))*('IN-OUT'!$F$14^(-1)))*CL549</f>
        <v>1.3885243966167799E-3</v>
      </c>
      <c r="CI549" s="254" t="e">
        <f t="shared" si="337"/>
        <v>#DIV/0!</v>
      </c>
      <c r="CJ549" s="254" t="e">
        <f t="shared" si="341"/>
        <v>#DIV/0!</v>
      </c>
      <c r="CK549" s="254">
        <f t="shared" si="345"/>
        <v>5.1999999999998911E-4</v>
      </c>
      <c r="CL549" s="270">
        <f t="shared" si="338"/>
        <v>1.3885243966167799E-3</v>
      </c>
      <c r="CM549" s="253">
        <f t="shared" si="346"/>
        <v>1.480000000000005E-3</v>
      </c>
      <c r="CN549" s="255">
        <f t="shared" si="342"/>
        <v>0.14800000000000049</v>
      </c>
    </row>
    <row r="550" spans="49:92">
      <c r="AW550" s="258">
        <f>(((IF($S$5&lt;&gt;0,$S$5,IF($S$6&lt;&gt;0,$S$6,IF($S$7&lt;&gt;0,$S$7,0))))/(12*$S$19))+(((3*$S$15)/(2*(IF($S$5&lt;&gt;0,$S$5,IF($S$6&lt;&gt;0,$S$6,IF($S$7&lt;&gt;0,$S$7,0))))*$U$5*$S$19))*'IN-OUT'!$F$14))*'Burland damage classification'!BA550</f>
        <v>4.5016507460104369E-3</v>
      </c>
      <c r="AX550" s="353">
        <f>(1+(((IF($S$5&lt;&gt;0,$S$5^2,IF($S$6&lt;&gt;0,$S$6^2,IF($S$7&lt;&gt;0,$S$7^2))))*$U$5)/(18*$S$15))*('IN-OUT'!$F$14^(-1)))*BB550</f>
        <v>1.3946698012186841E-3</v>
      </c>
      <c r="AY550" s="254">
        <f t="shared" si="335"/>
        <v>1.3946698012186841E-3</v>
      </c>
      <c r="AZ550" s="254">
        <f t="shared" si="339"/>
        <v>0.13946698012186842</v>
      </c>
      <c r="BA550" s="254">
        <f t="shared" si="343"/>
        <v>5.1333333333332246E-4</v>
      </c>
      <c r="BB550" s="270">
        <f t="shared" si="336"/>
        <v>1.385159437273074E-3</v>
      </c>
      <c r="BC550" s="253">
        <f t="shared" si="344"/>
        <v>1.4866666666666717E-3</v>
      </c>
      <c r="BD550" s="255">
        <f t="shared" si="340"/>
        <v>0.14866666666666717</v>
      </c>
      <c r="BI550" s="248"/>
      <c r="CG550" s="351" t="e">
        <f>((((IF($T$5=0,$T$6,$T$5)))/(12*$T$19))+(((3*$T$15)/(2*IF($T$5=0,$T$6,$T$5)*$U$5*$T$19))*'IN-OUT'!$F$14))*'Burland damage classification'!CK550</f>
        <v>#DIV/0!</v>
      </c>
      <c r="CH550" s="352">
        <f>(1+(((IF($T$5=0,$T$6^2,$T$5^2))*$U$5)/(18*$T$15))*('IN-OUT'!$F$14^(-1)))*CL550</f>
        <v>1.385159437273074E-3</v>
      </c>
      <c r="CI550" s="254" t="e">
        <f t="shared" si="337"/>
        <v>#DIV/0!</v>
      </c>
      <c r="CJ550" s="254" t="e">
        <f t="shared" si="341"/>
        <v>#DIV/0!</v>
      </c>
      <c r="CK550" s="254">
        <f t="shared" si="345"/>
        <v>5.1333333333332246E-4</v>
      </c>
      <c r="CL550" s="270">
        <f t="shared" si="338"/>
        <v>1.385159437273074E-3</v>
      </c>
      <c r="CM550" s="253">
        <f t="shared" si="346"/>
        <v>1.4866666666666717E-3</v>
      </c>
      <c r="CN550" s="255">
        <f t="shared" si="342"/>
        <v>0.14866666666666717</v>
      </c>
    </row>
    <row r="551" spans="49:92">
      <c r="AW551" s="258">
        <f>(((IF($S$5&lt;&gt;0,$S$5,IF($S$6&lt;&gt;0,$S$6,IF($S$7&lt;&gt;0,$S$7,0))))/(12*$S$19))+(((3*$S$15)/(2*(IF($S$5&lt;&gt;0,$S$5,IF($S$6&lt;&gt;0,$S$6,IF($S$7&lt;&gt;0,$S$7,0))))*$U$5*$S$19))*'IN-OUT'!$F$14))*'Burland damage classification'!BA551</f>
        <v>4.4431877493090015E-3</v>
      </c>
      <c r="AX551" s="353">
        <f>(1+(((IF($S$5&lt;&gt;0,$S$5^2,IF($S$6&lt;&gt;0,$S$6^2,IF($S$7&lt;&gt;0,$S$7^2))))*$U$5)/(18*$S$15))*('IN-OUT'!$F$14^(-1)))*BB551</f>
        <v>1.3912734877380916E-3</v>
      </c>
      <c r="AY551" s="254">
        <f t="shared" si="335"/>
        <v>1.3912734877380916E-3</v>
      </c>
      <c r="AZ551" s="254">
        <f t="shared" si="339"/>
        <v>0.13912734877380917</v>
      </c>
      <c r="BA551" s="254">
        <f t="shared" si="343"/>
        <v>5.0666666666665582E-4</v>
      </c>
      <c r="BB551" s="270">
        <f t="shared" si="336"/>
        <v>1.3817862835233696E-3</v>
      </c>
      <c r="BC551" s="253">
        <f t="shared" si="344"/>
        <v>1.4933333333333385E-3</v>
      </c>
      <c r="BD551" s="255">
        <f t="shared" si="340"/>
        <v>0.14933333333333385</v>
      </c>
      <c r="BI551" s="248"/>
      <c r="CG551" s="351" t="e">
        <f>((((IF($T$5=0,$T$6,$T$5)))/(12*$T$19))+(((3*$T$15)/(2*IF($T$5=0,$T$6,$T$5)*$U$5*$T$19))*'IN-OUT'!$F$14))*'Burland damage classification'!CK551</f>
        <v>#DIV/0!</v>
      </c>
      <c r="CH551" s="352">
        <f>(1+(((IF($T$5=0,$T$6^2,$T$5^2))*$U$5)/(18*$T$15))*('IN-OUT'!$F$14^(-1)))*CL551</f>
        <v>1.3817862835233696E-3</v>
      </c>
      <c r="CI551" s="254" t="e">
        <f t="shared" si="337"/>
        <v>#DIV/0!</v>
      </c>
      <c r="CJ551" s="254" t="e">
        <f t="shared" si="341"/>
        <v>#DIV/0!</v>
      </c>
      <c r="CK551" s="254">
        <f t="shared" si="345"/>
        <v>5.0666666666665582E-4</v>
      </c>
      <c r="CL551" s="270">
        <f t="shared" si="338"/>
        <v>1.3817862835233696E-3</v>
      </c>
      <c r="CM551" s="253">
        <f t="shared" si="346"/>
        <v>1.4933333333333385E-3</v>
      </c>
      <c r="CN551" s="255">
        <f t="shared" si="342"/>
        <v>0.14933333333333385</v>
      </c>
    </row>
    <row r="552" spans="49:92">
      <c r="AW552" s="258">
        <f>(((IF($S$5&lt;&gt;0,$S$5,IF($S$6&lt;&gt;0,$S$6,IF($S$7&lt;&gt;0,$S$7,0))))/(12*$S$19))+(((3*$S$15)/(2*(IF($S$5&lt;&gt;0,$S$5,IF($S$6&lt;&gt;0,$S$6,IF($S$7&lt;&gt;0,$S$7,0))))*$U$5*$S$19))*'IN-OUT'!$F$14))*'Burland damage classification'!BA552</f>
        <v>4.3847247526075661E-3</v>
      </c>
      <c r="AX552" s="353">
        <f>(1+(((IF($S$5&lt;&gt;0,$S$5^2,IF($S$6&lt;&gt;0,$S$6^2,IF($S$7&lt;&gt;0,$S$7^2))))*$U$5)/(18*$S$15))*('IN-OUT'!$F$14^(-1)))*BB552</f>
        <v>1.3878688630178514E-3</v>
      </c>
      <c r="AY552" s="254">
        <f t="shared" si="335"/>
        <v>1.3878688630178514E-3</v>
      </c>
      <c r="AZ552" s="254">
        <f t="shared" si="339"/>
        <v>0.13878688630178515</v>
      </c>
      <c r="BA552" s="254">
        <f t="shared" si="343"/>
        <v>4.9999999999998917E-4</v>
      </c>
      <c r="BB552" s="270">
        <f t="shared" si="336"/>
        <v>1.3784048752090194E-3</v>
      </c>
      <c r="BC552" s="253">
        <f t="shared" si="344"/>
        <v>1.5000000000000052E-3</v>
      </c>
      <c r="BD552" s="255">
        <f t="shared" si="340"/>
        <v>0.15000000000000052</v>
      </c>
      <c r="BI552" s="248"/>
      <c r="CG552" s="351" t="e">
        <f>((((IF($T$5=0,$T$6,$T$5)))/(12*$T$19))+(((3*$T$15)/(2*IF($T$5=0,$T$6,$T$5)*$U$5*$T$19))*'IN-OUT'!$F$14))*'Burland damage classification'!CK552</f>
        <v>#DIV/0!</v>
      </c>
      <c r="CH552" s="352">
        <f>(1+(((IF($T$5=0,$T$6^2,$T$5^2))*$U$5)/(18*$T$15))*('IN-OUT'!$F$14^(-1)))*CL552</f>
        <v>1.3784048752090194E-3</v>
      </c>
      <c r="CI552" s="254" t="e">
        <f t="shared" si="337"/>
        <v>#DIV/0!</v>
      </c>
      <c r="CJ552" s="254" t="e">
        <f t="shared" si="341"/>
        <v>#DIV/0!</v>
      </c>
      <c r="CK552" s="254">
        <f t="shared" si="345"/>
        <v>4.9999999999998917E-4</v>
      </c>
      <c r="CL552" s="270">
        <f t="shared" si="338"/>
        <v>1.3784048752090194E-3</v>
      </c>
      <c r="CM552" s="253">
        <f t="shared" si="346"/>
        <v>1.5000000000000052E-3</v>
      </c>
      <c r="CN552" s="255">
        <f t="shared" si="342"/>
        <v>0.15000000000000052</v>
      </c>
    </row>
    <row r="553" spans="49:92">
      <c r="AW553" s="258">
        <f>(((IF($S$5&lt;&gt;0,$S$5,IF($S$6&lt;&gt;0,$S$6,IF($S$7&lt;&gt;0,$S$7,0))))/(12*$S$19))+(((3*$S$15)/(2*(IF($S$5&lt;&gt;0,$S$5,IF($S$6&lt;&gt;0,$S$6,IF($S$7&lt;&gt;0,$S$7,0))))*$U$5*$S$19))*'IN-OUT'!$F$14))*'Burland damage classification'!BA553</f>
        <v>4.3262617559061307E-3</v>
      </c>
      <c r="AX553" s="353">
        <f>(1+(((IF($S$5&lt;&gt;0,$S$5^2,IF($S$6&lt;&gt;0,$S$6^2,IF($S$7&lt;&gt;0,$S$7^2))))*$U$5)/(18*$S$15))*('IN-OUT'!$F$14^(-1)))*BB553</f>
        <v>1.3844558657414882E-3</v>
      </c>
      <c r="AY553" s="254">
        <f t="shared" si="335"/>
        <v>1.3844558657414882E-3</v>
      </c>
      <c r="AZ553" s="254">
        <f t="shared" si="339"/>
        <v>0.13844558657414882</v>
      </c>
      <c r="BA553" s="254">
        <f t="shared" si="343"/>
        <v>4.9333333333332252E-4</v>
      </c>
      <c r="BB553" s="270">
        <f t="shared" si="336"/>
        <v>1.3750151514316702E-3</v>
      </c>
      <c r="BC553" s="253">
        <f t="shared" si="344"/>
        <v>1.506666666666672E-3</v>
      </c>
      <c r="BD553" s="255">
        <f t="shared" si="340"/>
        <v>0.1506666666666672</v>
      </c>
      <c r="BI553" s="248"/>
      <c r="CG553" s="351" t="e">
        <f>((((IF($T$5=0,$T$6,$T$5)))/(12*$T$19))+(((3*$T$15)/(2*IF($T$5=0,$T$6,$T$5)*$U$5*$T$19))*'IN-OUT'!$F$14))*'Burland damage classification'!CK553</f>
        <v>#DIV/0!</v>
      </c>
      <c r="CH553" s="352">
        <f>(1+(((IF($T$5=0,$T$6^2,$T$5^2))*$U$5)/(18*$T$15))*('IN-OUT'!$F$14^(-1)))*CL553</f>
        <v>1.3750151514316702E-3</v>
      </c>
      <c r="CI553" s="254" t="e">
        <f t="shared" si="337"/>
        <v>#DIV/0!</v>
      </c>
      <c r="CJ553" s="254" t="e">
        <f t="shared" si="341"/>
        <v>#DIV/0!</v>
      </c>
      <c r="CK553" s="254">
        <f t="shared" si="345"/>
        <v>4.9333333333332252E-4</v>
      </c>
      <c r="CL553" s="270">
        <f t="shared" si="338"/>
        <v>1.3750151514316702E-3</v>
      </c>
      <c r="CM553" s="253">
        <f t="shared" si="346"/>
        <v>1.506666666666672E-3</v>
      </c>
      <c r="CN553" s="255">
        <f t="shared" si="342"/>
        <v>0.1506666666666672</v>
      </c>
    </row>
    <row r="554" spans="49:92">
      <c r="AW554" s="258">
        <f>(((IF($S$5&lt;&gt;0,$S$5,IF($S$6&lt;&gt;0,$S$6,IF($S$7&lt;&gt;0,$S$7,0))))/(12*$S$19))+(((3*$S$15)/(2*(IF($S$5&lt;&gt;0,$S$5,IF($S$6&lt;&gt;0,$S$6,IF($S$7&lt;&gt;0,$S$7,0))))*$U$5*$S$19))*'IN-OUT'!$F$14))*'Burland damage classification'!BA554</f>
        <v>4.2677987592046954E-3</v>
      </c>
      <c r="AX554" s="353">
        <f>(1+(((IF($S$5&lt;&gt;0,$S$5^2,IF($S$6&lt;&gt;0,$S$6^2,IF($S$7&lt;&gt;0,$S$7^2))))*$U$5)/(18*$S$15))*('IN-OUT'!$F$14^(-1)))*BB554</f>
        <v>1.3810344338348567E-3</v>
      </c>
      <c r="AY554" s="254">
        <f t="shared" si="335"/>
        <v>1.3810344338348567E-3</v>
      </c>
      <c r="AZ554" s="254">
        <f t="shared" si="339"/>
        <v>0.13810344338348568</v>
      </c>
      <c r="BA554" s="254">
        <f t="shared" si="343"/>
        <v>4.8666666666665587E-4</v>
      </c>
      <c r="BB554" s="270">
        <f t="shared" si="336"/>
        <v>1.3716170505404654E-3</v>
      </c>
      <c r="BC554" s="253">
        <f t="shared" si="344"/>
        <v>1.5133333333333387E-3</v>
      </c>
      <c r="BD554" s="255">
        <f t="shared" si="340"/>
        <v>0.15133333333333387</v>
      </c>
      <c r="BI554" s="248"/>
      <c r="CG554" s="351" t="e">
        <f>((((IF($T$5=0,$T$6,$T$5)))/(12*$T$19))+(((3*$T$15)/(2*IF($T$5=0,$T$6,$T$5)*$U$5*$T$19))*'IN-OUT'!$F$14))*'Burland damage classification'!CK554</f>
        <v>#DIV/0!</v>
      </c>
      <c r="CH554" s="352">
        <f>(1+(((IF($T$5=0,$T$6^2,$T$5^2))*$U$5)/(18*$T$15))*('IN-OUT'!$F$14^(-1)))*CL554</f>
        <v>1.3716170505404654E-3</v>
      </c>
      <c r="CI554" s="254" t="e">
        <f t="shared" si="337"/>
        <v>#DIV/0!</v>
      </c>
      <c r="CJ554" s="254" t="e">
        <f t="shared" si="341"/>
        <v>#DIV/0!</v>
      </c>
      <c r="CK554" s="254">
        <f t="shared" si="345"/>
        <v>4.8666666666665587E-4</v>
      </c>
      <c r="CL554" s="270">
        <f t="shared" si="338"/>
        <v>1.3716170505404654E-3</v>
      </c>
      <c r="CM554" s="253">
        <f t="shared" si="346"/>
        <v>1.5133333333333387E-3</v>
      </c>
      <c r="CN554" s="255">
        <f t="shared" si="342"/>
        <v>0.15133333333333387</v>
      </c>
    </row>
    <row r="555" spans="49:92">
      <c r="AW555" s="258">
        <f>(((IF($S$5&lt;&gt;0,$S$5,IF($S$6&lt;&gt;0,$S$6,IF($S$7&lt;&gt;0,$S$7,0))))/(12*$S$19))+(((3*$S$15)/(2*(IF($S$5&lt;&gt;0,$S$5,IF($S$6&lt;&gt;0,$S$6,IF($S$7&lt;&gt;0,$S$7,0))))*$U$5*$S$19))*'IN-OUT'!$F$14))*'Burland damage classification'!BA555</f>
        <v>4.20933576250326E-3</v>
      </c>
      <c r="AX555" s="353">
        <f>(1+(((IF($S$5&lt;&gt;0,$S$5^2,IF($S$6&lt;&gt;0,$S$6^2,IF($S$7&lt;&gt;0,$S$7^2))))*$U$5)/(18*$S$15))*('IN-OUT'!$F$14^(-1)))*BB555</f>
        <v>1.37760450445297E-3</v>
      </c>
      <c r="AY555" s="254">
        <f t="shared" si="335"/>
        <v>1.37760450445297E-3</v>
      </c>
      <c r="AZ555" s="254">
        <f t="shared" si="339"/>
        <v>0.137760450445297</v>
      </c>
      <c r="BA555" s="254">
        <f t="shared" si="343"/>
        <v>4.7999999999998922E-4</v>
      </c>
      <c r="BB555" s="270">
        <f t="shared" si="336"/>
        <v>1.3682105101189626E-3</v>
      </c>
      <c r="BC555" s="253">
        <f t="shared" si="344"/>
        <v>1.5200000000000055E-3</v>
      </c>
      <c r="BD555" s="255">
        <f t="shared" si="340"/>
        <v>0.15200000000000055</v>
      </c>
      <c r="BI555" s="248"/>
      <c r="CG555" s="351" t="e">
        <f>((((IF($T$5=0,$T$6,$T$5)))/(12*$T$19))+(((3*$T$15)/(2*IF($T$5=0,$T$6,$T$5)*$U$5*$T$19))*'IN-OUT'!$F$14))*'Burland damage classification'!CK555</f>
        <v>#DIV/0!</v>
      </c>
      <c r="CH555" s="352">
        <f>(1+(((IF($T$5=0,$T$6^2,$T$5^2))*$U$5)/(18*$T$15))*('IN-OUT'!$F$14^(-1)))*CL555</f>
        <v>1.3682105101189626E-3</v>
      </c>
      <c r="CI555" s="254" t="e">
        <f t="shared" si="337"/>
        <v>#DIV/0!</v>
      </c>
      <c r="CJ555" s="254" t="e">
        <f t="shared" si="341"/>
        <v>#DIV/0!</v>
      </c>
      <c r="CK555" s="254">
        <f t="shared" si="345"/>
        <v>4.7999999999998922E-4</v>
      </c>
      <c r="CL555" s="270">
        <f t="shared" si="338"/>
        <v>1.3682105101189626E-3</v>
      </c>
      <c r="CM555" s="253">
        <f t="shared" si="346"/>
        <v>1.5200000000000055E-3</v>
      </c>
      <c r="CN555" s="255">
        <f t="shared" si="342"/>
        <v>0.15200000000000055</v>
      </c>
    </row>
    <row r="556" spans="49:92">
      <c r="AW556" s="258">
        <f>(((IF($S$5&lt;&gt;0,$S$5,IF($S$6&lt;&gt;0,$S$6,IF($S$7&lt;&gt;0,$S$7,0))))/(12*$S$19))+(((3*$S$15)/(2*(IF($S$5&lt;&gt;0,$S$5,IF($S$6&lt;&gt;0,$S$6,IF($S$7&lt;&gt;0,$S$7,0))))*$U$5*$S$19))*'IN-OUT'!$F$14))*'Burland damage classification'!BA556</f>
        <v>4.1508727658018246E-3</v>
      </c>
      <c r="AX556" s="353">
        <f>(1+(((IF($S$5&lt;&gt;0,$S$5^2,IF($S$6&lt;&gt;0,$S$6^2,IF($S$7&lt;&gt;0,$S$7^2))))*$U$5)/(18*$S$15))*('IN-OUT'!$F$14^(-1)))*BB556</f>
        <v>1.3741660139665304E-3</v>
      </c>
      <c r="AY556" s="254">
        <f t="shared" si="335"/>
        <v>1.3741660139665304E-3</v>
      </c>
      <c r="AZ556" s="254">
        <f t="shared" si="339"/>
        <v>0.13741660139665304</v>
      </c>
      <c r="BA556" s="254">
        <f t="shared" si="343"/>
        <v>4.7333333333332258E-4</v>
      </c>
      <c r="BB556" s="270">
        <f t="shared" si="336"/>
        <v>1.3647954669717577E-3</v>
      </c>
      <c r="BC556" s="253">
        <f t="shared" si="344"/>
        <v>1.5266666666666723E-3</v>
      </c>
      <c r="BD556" s="255">
        <f t="shared" si="340"/>
        <v>0.15266666666666723</v>
      </c>
      <c r="BI556" s="248"/>
      <c r="CG556" s="351" t="e">
        <f>((((IF($T$5=0,$T$6,$T$5)))/(12*$T$19))+(((3*$T$15)/(2*IF($T$5=0,$T$6,$T$5)*$U$5*$T$19))*'IN-OUT'!$F$14))*'Burland damage classification'!CK556</f>
        <v>#DIV/0!</v>
      </c>
      <c r="CH556" s="352">
        <f>(1+(((IF($T$5=0,$T$6^2,$T$5^2))*$U$5)/(18*$T$15))*('IN-OUT'!$F$14^(-1)))*CL556</f>
        <v>1.3647954669717577E-3</v>
      </c>
      <c r="CI556" s="254" t="e">
        <f t="shared" si="337"/>
        <v>#DIV/0!</v>
      </c>
      <c r="CJ556" s="254" t="e">
        <f t="shared" si="341"/>
        <v>#DIV/0!</v>
      </c>
      <c r="CK556" s="254">
        <f t="shared" si="345"/>
        <v>4.7333333333332258E-4</v>
      </c>
      <c r="CL556" s="270">
        <f t="shared" si="338"/>
        <v>1.3647954669717577E-3</v>
      </c>
      <c r="CM556" s="253">
        <f t="shared" si="346"/>
        <v>1.5266666666666723E-3</v>
      </c>
      <c r="CN556" s="255">
        <f t="shared" si="342"/>
        <v>0.15266666666666723</v>
      </c>
    </row>
    <row r="557" spans="49:92">
      <c r="AW557" s="258">
        <f>(((IF($S$5&lt;&gt;0,$S$5,IF($S$6&lt;&gt;0,$S$6,IF($S$7&lt;&gt;0,$S$7,0))))/(12*$S$19))+(((3*$S$15)/(2*(IF($S$5&lt;&gt;0,$S$5,IF($S$6&lt;&gt;0,$S$6,IF($S$7&lt;&gt;0,$S$7,0))))*$U$5*$S$19))*'IN-OUT'!$F$14))*'Burland damage classification'!BA557</f>
        <v>4.0924097691003893E-3</v>
      </c>
      <c r="AX557" s="353">
        <f>(1+(((IF($S$5&lt;&gt;0,$S$5^2,IF($S$6&lt;&gt;0,$S$6^2,IF($S$7&lt;&gt;0,$S$7^2))))*$U$5)/(18*$S$15))*('IN-OUT'!$F$14^(-1)))*BB557</f>
        <v>1.370718897948158E-3</v>
      </c>
      <c r="AY557" s="254">
        <f t="shared" si="335"/>
        <v>1.370718897948158E-3</v>
      </c>
      <c r="AZ557" s="254">
        <f t="shared" si="339"/>
        <v>0.1370718897948158</v>
      </c>
      <c r="BA557" s="254">
        <f t="shared" si="343"/>
        <v>4.6666666666665593E-4</v>
      </c>
      <c r="BB557" s="270">
        <f t="shared" si="336"/>
        <v>1.361371857110806E-3</v>
      </c>
      <c r="BC557" s="253">
        <f t="shared" si="344"/>
        <v>1.533333333333339E-3</v>
      </c>
      <c r="BD557" s="255">
        <f t="shared" si="340"/>
        <v>0.1533333333333339</v>
      </c>
      <c r="BI557" s="248"/>
      <c r="CG557" s="351" t="e">
        <f>((((IF($T$5=0,$T$6,$T$5)))/(12*$T$19))+(((3*$T$15)/(2*IF($T$5=0,$T$6,$T$5)*$U$5*$T$19))*'IN-OUT'!$F$14))*'Burland damage classification'!CK557</f>
        <v>#DIV/0!</v>
      </c>
      <c r="CH557" s="352">
        <f>(1+(((IF($T$5=0,$T$6^2,$T$5^2))*$U$5)/(18*$T$15))*('IN-OUT'!$F$14^(-1)))*CL557</f>
        <v>1.361371857110806E-3</v>
      </c>
      <c r="CI557" s="254" t="e">
        <f t="shared" si="337"/>
        <v>#DIV/0!</v>
      </c>
      <c r="CJ557" s="254" t="e">
        <f t="shared" si="341"/>
        <v>#DIV/0!</v>
      </c>
      <c r="CK557" s="254">
        <f t="shared" si="345"/>
        <v>4.6666666666665593E-4</v>
      </c>
      <c r="CL557" s="270">
        <f t="shared" si="338"/>
        <v>1.361371857110806E-3</v>
      </c>
      <c r="CM557" s="253">
        <f t="shared" si="346"/>
        <v>1.533333333333339E-3</v>
      </c>
      <c r="CN557" s="255">
        <f t="shared" si="342"/>
        <v>0.1533333333333339</v>
      </c>
    </row>
    <row r="558" spans="49:92">
      <c r="AW558" s="258">
        <f>(((IF($S$5&lt;&gt;0,$S$5,IF($S$6&lt;&gt;0,$S$6,IF($S$7&lt;&gt;0,$S$7,0))))/(12*$S$19))+(((3*$S$15)/(2*(IF($S$5&lt;&gt;0,$S$5,IF($S$6&lt;&gt;0,$S$6,IF($S$7&lt;&gt;0,$S$7,0))))*$U$5*$S$19))*'IN-OUT'!$F$14))*'Burland damage classification'!BA558</f>
        <v>4.0339467723989539E-3</v>
      </c>
      <c r="AX558" s="353">
        <f>(1+(((IF($S$5&lt;&gt;0,$S$5^2,IF($S$6&lt;&gt;0,$S$6^2,IF($S$7&lt;&gt;0,$S$7^2))))*$U$5)/(18*$S$15))*('IN-OUT'!$F$14^(-1)))*BB558</f>
        <v>1.3672630911583047E-3</v>
      </c>
      <c r="AY558" s="254">
        <f t="shared" si="335"/>
        <v>1.3672630911583047E-3</v>
      </c>
      <c r="AZ558" s="254">
        <f t="shared" si="339"/>
        <v>0.13672630911583047</v>
      </c>
      <c r="BA558" s="254">
        <f t="shared" si="343"/>
        <v>4.5999999999998928E-4</v>
      </c>
      <c r="BB558" s="270">
        <f t="shared" si="336"/>
        <v>1.3579396157414334E-3</v>
      </c>
      <c r="BC558" s="253">
        <f t="shared" si="344"/>
        <v>1.5400000000000058E-3</v>
      </c>
      <c r="BD558" s="255">
        <f t="shared" si="340"/>
        <v>0.15400000000000058</v>
      </c>
      <c r="BI558" s="248"/>
      <c r="CG558" s="351" t="e">
        <f>((((IF($T$5=0,$T$6,$T$5)))/(12*$T$19))+(((3*$T$15)/(2*IF($T$5=0,$T$6,$T$5)*$U$5*$T$19))*'IN-OUT'!$F$14))*'Burland damage classification'!CK558</f>
        <v>#DIV/0!</v>
      </c>
      <c r="CH558" s="352">
        <f>(1+(((IF($T$5=0,$T$6^2,$T$5^2))*$U$5)/(18*$T$15))*('IN-OUT'!$F$14^(-1)))*CL558</f>
        <v>1.3579396157414334E-3</v>
      </c>
      <c r="CI558" s="254" t="e">
        <f t="shared" si="337"/>
        <v>#DIV/0!</v>
      </c>
      <c r="CJ558" s="254" t="e">
        <f t="shared" si="341"/>
        <v>#DIV/0!</v>
      </c>
      <c r="CK558" s="254">
        <f t="shared" si="345"/>
        <v>4.5999999999998928E-4</v>
      </c>
      <c r="CL558" s="270">
        <f t="shared" si="338"/>
        <v>1.3579396157414334E-3</v>
      </c>
      <c r="CM558" s="253">
        <f t="shared" si="346"/>
        <v>1.5400000000000058E-3</v>
      </c>
      <c r="CN558" s="255">
        <f t="shared" si="342"/>
        <v>0.15400000000000058</v>
      </c>
    </row>
    <row r="559" spans="49:92">
      <c r="AW559" s="258">
        <f>(((IF($S$5&lt;&gt;0,$S$5,IF($S$6&lt;&gt;0,$S$6,IF($S$7&lt;&gt;0,$S$7,0))))/(12*$S$19))+(((3*$S$15)/(2*(IF($S$5&lt;&gt;0,$S$5,IF($S$6&lt;&gt;0,$S$6,IF($S$7&lt;&gt;0,$S$7,0))))*$U$5*$S$19))*'IN-OUT'!$F$14))*'Burland damage classification'!BA559</f>
        <v>3.9754837756975185E-3</v>
      </c>
      <c r="AX559" s="353">
        <f>(1+(((IF($S$5&lt;&gt;0,$S$5^2,IF($S$6&lt;&gt;0,$S$6^2,IF($S$7&lt;&gt;0,$S$7^2))))*$U$5)/(18*$S$15))*('IN-OUT'!$F$14^(-1)))*BB559</f>
        <v>1.3637985275308491E-3</v>
      </c>
      <c r="AY559" s="254">
        <f t="shared" si="335"/>
        <v>1.3637985275308491E-3</v>
      </c>
      <c r="AZ559" s="254">
        <f t="shared" si="339"/>
        <v>0.13637985275308492</v>
      </c>
      <c r="BA559" s="254">
        <f t="shared" si="343"/>
        <v>4.5333333333332263E-4</v>
      </c>
      <c r="BB559" s="270">
        <f t="shared" si="336"/>
        <v>1.3544986772480283E-3</v>
      </c>
      <c r="BC559" s="253">
        <f t="shared" si="344"/>
        <v>1.5466666666666725E-3</v>
      </c>
      <c r="BD559" s="255">
        <f t="shared" si="340"/>
        <v>0.15466666666666726</v>
      </c>
      <c r="BI559" s="248"/>
      <c r="CG559" s="351" t="e">
        <f>((((IF($T$5=0,$T$6,$T$5)))/(12*$T$19))+(((3*$T$15)/(2*IF($T$5=0,$T$6,$T$5)*$U$5*$T$19))*'IN-OUT'!$F$14))*'Burland damage classification'!CK559</f>
        <v>#DIV/0!</v>
      </c>
      <c r="CH559" s="352">
        <f>(1+(((IF($T$5=0,$T$6^2,$T$5^2))*$U$5)/(18*$T$15))*('IN-OUT'!$F$14^(-1)))*CL559</f>
        <v>1.3544986772480283E-3</v>
      </c>
      <c r="CI559" s="254" t="e">
        <f t="shared" si="337"/>
        <v>#DIV/0!</v>
      </c>
      <c r="CJ559" s="254" t="e">
        <f t="shared" si="341"/>
        <v>#DIV/0!</v>
      </c>
      <c r="CK559" s="254">
        <f t="shared" si="345"/>
        <v>4.5333333333332263E-4</v>
      </c>
      <c r="CL559" s="270">
        <f t="shared" si="338"/>
        <v>1.3544986772480283E-3</v>
      </c>
      <c r="CM559" s="253">
        <f t="shared" si="346"/>
        <v>1.5466666666666725E-3</v>
      </c>
      <c r="CN559" s="255">
        <f t="shared" si="342"/>
        <v>0.15466666666666726</v>
      </c>
    </row>
    <row r="560" spans="49:92">
      <c r="AW560" s="258">
        <f>(((IF($S$5&lt;&gt;0,$S$5,IF($S$6&lt;&gt;0,$S$6,IF($S$7&lt;&gt;0,$S$7,0))))/(12*$S$19))+(((3*$S$15)/(2*(IF($S$5&lt;&gt;0,$S$5,IF($S$6&lt;&gt;0,$S$6,IF($S$7&lt;&gt;0,$S$7,0))))*$U$5*$S$19))*'IN-OUT'!$F$14))*'Burland damage classification'!BA560</f>
        <v>3.9170207789960831E-3</v>
      </c>
      <c r="AX560" s="353">
        <f>(1+(((IF($S$5&lt;&gt;0,$S$5^2,IF($S$6&lt;&gt;0,$S$6^2,IF($S$7&lt;&gt;0,$S$7^2))))*$U$5)/(18*$S$15))*('IN-OUT'!$F$14^(-1)))*BB560</f>
        <v>1.3603251401583601E-3</v>
      </c>
      <c r="AY560" s="254">
        <f t="shared" si="335"/>
        <v>1.3603251401583601E-3</v>
      </c>
      <c r="AZ560" s="254">
        <f t="shared" si="339"/>
        <v>0.13603251401583602</v>
      </c>
      <c r="BA560" s="254">
        <f t="shared" si="343"/>
        <v>4.4666666666665598E-4</v>
      </c>
      <c r="BB560" s="270">
        <f t="shared" si="336"/>
        <v>1.3510489751794065E-3</v>
      </c>
      <c r="BC560" s="253">
        <f t="shared" si="344"/>
        <v>1.5533333333333393E-3</v>
      </c>
      <c r="BD560" s="255">
        <f t="shared" si="340"/>
        <v>0.15533333333333393</v>
      </c>
      <c r="BI560" s="248"/>
      <c r="CG560" s="351" t="e">
        <f>((((IF($T$5=0,$T$6,$T$5)))/(12*$T$19))+(((3*$T$15)/(2*IF($T$5=0,$T$6,$T$5)*$U$5*$T$19))*'IN-OUT'!$F$14))*'Burland damage classification'!CK560</f>
        <v>#DIV/0!</v>
      </c>
      <c r="CH560" s="352">
        <f>(1+(((IF($T$5=0,$T$6^2,$T$5^2))*$U$5)/(18*$T$15))*('IN-OUT'!$F$14^(-1)))*CL560</f>
        <v>1.3510489751794065E-3</v>
      </c>
      <c r="CI560" s="254" t="e">
        <f t="shared" si="337"/>
        <v>#DIV/0!</v>
      </c>
      <c r="CJ560" s="254" t="e">
        <f t="shared" si="341"/>
        <v>#DIV/0!</v>
      </c>
      <c r="CK560" s="254">
        <f t="shared" si="345"/>
        <v>4.4666666666665598E-4</v>
      </c>
      <c r="CL560" s="270">
        <f t="shared" si="338"/>
        <v>1.3510489751794065E-3</v>
      </c>
      <c r="CM560" s="253">
        <f t="shared" si="346"/>
        <v>1.5533333333333393E-3</v>
      </c>
      <c r="CN560" s="255">
        <f t="shared" si="342"/>
        <v>0.15533333333333393</v>
      </c>
    </row>
    <row r="561" spans="49:92">
      <c r="AW561" s="258">
        <f>(((IF($S$5&lt;&gt;0,$S$5,IF($S$6&lt;&gt;0,$S$6,IF($S$7&lt;&gt;0,$S$7,0))))/(12*$S$19))+(((3*$S$15)/(2*(IF($S$5&lt;&gt;0,$S$5,IF($S$6&lt;&gt;0,$S$6,IF($S$7&lt;&gt;0,$S$7,0))))*$U$5*$S$19))*'IN-OUT'!$F$14))*'Burland damage classification'!BA561</f>
        <v>3.8585577822946482E-3</v>
      </c>
      <c r="AX561" s="353">
        <f>(1+(((IF($S$5&lt;&gt;0,$S$5^2,IF($S$6&lt;&gt;0,$S$6^2,IF($S$7&lt;&gt;0,$S$7^2))))*$U$5)/(18*$S$15))*('IN-OUT'!$F$14^(-1)))*BB561</f>
        <v>1.3568428612770207E-3</v>
      </c>
      <c r="AY561" s="254">
        <f t="shared" si="335"/>
        <v>1.3568428612770207E-3</v>
      </c>
      <c r="AZ561" s="254">
        <f t="shared" si="339"/>
        <v>0.13568428612770206</v>
      </c>
      <c r="BA561" s="254">
        <f t="shared" si="343"/>
        <v>4.3999999999998934E-4</v>
      </c>
      <c r="BB561" s="270">
        <f t="shared" si="336"/>
        <v>1.3475904422338382E-3</v>
      </c>
      <c r="BC561" s="253">
        <f t="shared" si="344"/>
        <v>1.560000000000006E-3</v>
      </c>
      <c r="BD561" s="255">
        <f t="shared" si="340"/>
        <v>0.15600000000000061</v>
      </c>
      <c r="BI561" s="248"/>
      <c r="CG561" s="351" t="e">
        <f>((((IF($T$5=0,$T$6,$T$5)))/(12*$T$19))+(((3*$T$15)/(2*IF($T$5=0,$T$6,$T$5)*$U$5*$T$19))*'IN-OUT'!$F$14))*'Burland damage classification'!CK561</f>
        <v>#DIV/0!</v>
      </c>
      <c r="CH561" s="352">
        <f>(1+(((IF($T$5=0,$T$6^2,$T$5^2))*$U$5)/(18*$T$15))*('IN-OUT'!$F$14^(-1)))*CL561</f>
        <v>1.3475904422338382E-3</v>
      </c>
      <c r="CI561" s="254" t="e">
        <f t="shared" si="337"/>
        <v>#DIV/0!</v>
      </c>
      <c r="CJ561" s="254" t="e">
        <f t="shared" si="341"/>
        <v>#DIV/0!</v>
      </c>
      <c r="CK561" s="254">
        <f t="shared" si="345"/>
        <v>4.3999999999998934E-4</v>
      </c>
      <c r="CL561" s="270">
        <f t="shared" si="338"/>
        <v>1.3475904422338382E-3</v>
      </c>
      <c r="CM561" s="253">
        <f t="shared" si="346"/>
        <v>1.560000000000006E-3</v>
      </c>
      <c r="CN561" s="255">
        <f t="shared" si="342"/>
        <v>0.15600000000000061</v>
      </c>
    </row>
    <row r="562" spans="49:92">
      <c r="AW562" s="258">
        <f>(((IF($S$5&lt;&gt;0,$S$5,IF($S$6&lt;&gt;0,$S$6,IF($S$7&lt;&gt;0,$S$7,0))))/(12*$S$19))+(((3*$S$15)/(2*(IF($S$5&lt;&gt;0,$S$5,IF($S$6&lt;&gt;0,$S$6,IF($S$7&lt;&gt;0,$S$7,0))))*$U$5*$S$19))*'IN-OUT'!$F$14))*'Burland damage classification'!BA562</f>
        <v>3.8000947855932128E-3</v>
      </c>
      <c r="AX562" s="353">
        <f>(1+(((IF($S$5&lt;&gt;0,$S$5^2,IF($S$6&lt;&gt;0,$S$6^2,IF($S$7&lt;&gt;0,$S$7^2))))*$U$5)/(18*$S$15))*('IN-OUT'!$F$14^(-1)))*BB562</f>
        <v>1.3533516222512026E-3</v>
      </c>
      <c r="AY562" s="254">
        <f t="shared" si="335"/>
        <v>1.3533516222512026E-3</v>
      </c>
      <c r="AZ562" s="254">
        <f t="shared" si="339"/>
        <v>0.13533516222512026</v>
      </c>
      <c r="BA562" s="254">
        <f t="shared" si="343"/>
        <v>4.3333333333332269E-4</v>
      </c>
      <c r="BB562" s="270">
        <f t="shared" si="336"/>
        <v>1.3441230102437269E-3</v>
      </c>
      <c r="BC562" s="253">
        <f t="shared" si="344"/>
        <v>1.5666666666666728E-3</v>
      </c>
      <c r="BD562" s="255">
        <f t="shared" si="340"/>
        <v>0.15666666666666729</v>
      </c>
      <c r="BI562" s="248"/>
      <c r="CG562" s="351" t="e">
        <f>((((IF($T$5=0,$T$6,$T$5)))/(12*$T$19))+(((3*$T$15)/(2*IF($T$5=0,$T$6,$T$5)*$U$5*$T$19))*'IN-OUT'!$F$14))*'Burland damage classification'!CK562</f>
        <v>#DIV/0!</v>
      </c>
      <c r="CH562" s="352">
        <f>(1+(((IF($T$5=0,$T$6^2,$T$5^2))*$U$5)/(18*$T$15))*('IN-OUT'!$F$14^(-1)))*CL562</f>
        <v>1.3441230102437269E-3</v>
      </c>
      <c r="CI562" s="254" t="e">
        <f t="shared" si="337"/>
        <v>#DIV/0!</v>
      </c>
      <c r="CJ562" s="254" t="e">
        <f t="shared" si="341"/>
        <v>#DIV/0!</v>
      </c>
      <c r="CK562" s="254">
        <f t="shared" si="345"/>
        <v>4.3333333333332269E-4</v>
      </c>
      <c r="CL562" s="270">
        <f t="shared" si="338"/>
        <v>1.3441230102437269E-3</v>
      </c>
      <c r="CM562" s="253">
        <f t="shared" si="346"/>
        <v>1.5666666666666728E-3</v>
      </c>
      <c r="CN562" s="255">
        <f t="shared" si="342"/>
        <v>0.15666666666666729</v>
      </c>
    </row>
    <row r="563" spans="49:92">
      <c r="AW563" s="258">
        <f>(((IF($S$5&lt;&gt;0,$S$5,IF($S$6&lt;&gt;0,$S$6,IF($S$7&lt;&gt;0,$S$7,0))))/(12*$S$19))+(((3*$S$15)/(2*(IF($S$5&lt;&gt;0,$S$5,IF($S$6&lt;&gt;0,$S$6,IF($S$7&lt;&gt;0,$S$7,0))))*$U$5*$S$19))*'IN-OUT'!$F$14))*'Burland damage classification'!BA563</f>
        <v>3.7416317888917775E-3</v>
      </c>
      <c r="AX563" s="353">
        <f>(1+(((IF($S$5&lt;&gt;0,$S$5^2,IF($S$6&lt;&gt;0,$S$6^2,IF($S$7&lt;&gt;0,$S$7^2))))*$U$5)/(18*$S$15))*('IN-OUT'!$F$14^(-1)))*BB563</f>
        <v>1.3498513535576842E-3</v>
      </c>
      <c r="AY563" s="254">
        <f t="shared" si="335"/>
        <v>1.3498513535576842E-3</v>
      </c>
      <c r="AZ563" s="254">
        <f t="shared" si="339"/>
        <v>0.13498513535576842</v>
      </c>
      <c r="BA563" s="254">
        <f t="shared" si="343"/>
        <v>4.2666666666665604E-4</v>
      </c>
      <c r="BB563" s="270">
        <f t="shared" si="336"/>
        <v>1.340646610159935E-3</v>
      </c>
      <c r="BC563" s="253">
        <f t="shared" si="344"/>
        <v>1.5733333333333396E-3</v>
      </c>
      <c r="BD563" s="255">
        <f t="shared" si="340"/>
        <v>0.15733333333333396</v>
      </c>
      <c r="BI563" s="248"/>
      <c r="CG563" s="351" t="e">
        <f>((((IF($T$5=0,$T$6,$T$5)))/(12*$T$19))+(((3*$T$15)/(2*IF($T$5=0,$T$6,$T$5)*$U$5*$T$19))*'IN-OUT'!$F$14))*'Burland damage classification'!CK563</f>
        <v>#DIV/0!</v>
      </c>
      <c r="CH563" s="352">
        <f>(1+(((IF($T$5=0,$T$6^2,$T$5^2))*$U$5)/(18*$T$15))*('IN-OUT'!$F$14^(-1)))*CL563</f>
        <v>1.340646610159935E-3</v>
      </c>
      <c r="CI563" s="254" t="e">
        <f t="shared" si="337"/>
        <v>#DIV/0!</v>
      </c>
      <c r="CJ563" s="254" t="e">
        <f t="shared" si="341"/>
        <v>#DIV/0!</v>
      </c>
      <c r="CK563" s="254">
        <f t="shared" si="345"/>
        <v>4.2666666666665604E-4</v>
      </c>
      <c r="CL563" s="270">
        <f t="shared" si="338"/>
        <v>1.340646610159935E-3</v>
      </c>
      <c r="CM563" s="253">
        <f t="shared" si="346"/>
        <v>1.5733333333333396E-3</v>
      </c>
      <c r="CN563" s="255">
        <f t="shared" si="342"/>
        <v>0.15733333333333396</v>
      </c>
    </row>
    <row r="564" spans="49:92">
      <c r="AW564" s="258">
        <f>(((IF($S$5&lt;&gt;0,$S$5,IF($S$6&lt;&gt;0,$S$6,IF($S$7&lt;&gt;0,$S$7,0))))/(12*$S$19))+(((3*$S$15)/(2*(IF($S$5&lt;&gt;0,$S$5,IF($S$6&lt;&gt;0,$S$6,IF($S$7&lt;&gt;0,$S$7,0))))*$U$5*$S$19))*'IN-OUT'!$F$14))*'Burland damage classification'!BA564</f>
        <v>3.6831687921903421E-3</v>
      </c>
      <c r="AX564" s="353">
        <f>(1+(((IF($S$5&lt;&gt;0,$S$5^2,IF($S$6&lt;&gt;0,$S$6^2,IF($S$7&lt;&gt;0,$S$7^2))))*$U$5)/(18*$S$15))*('IN-OUT'!$F$14^(-1)))*BB564</f>
        <v>1.3463419847694947E-3</v>
      </c>
      <c r="AY564" s="254">
        <f t="shared" si="335"/>
        <v>1.3463419847694947E-3</v>
      </c>
      <c r="AZ564" s="254">
        <f t="shared" si="339"/>
        <v>0.13463419847694946</v>
      </c>
      <c r="BA564" s="254">
        <f t="shared" si="343"/>
        <v>4.1999999999998939E-4</v>
      </c>
      <c r="BB564" s="270">
        <f t="shared" si="336"/>
        <v>1.3371611720357391E-3</v>
      </c>
      <c r="BC564" s="253">
        <f t="shared" si="344"/>
        <v>1.5800000000000063E-3</v>
      </c>
      <c r="BD564" s="255">
        <f t="shared" si="340"/>
        <v>0.15800000000000064</v>
      </c>
      <c r="BI564" s="248"/>
      <c r="CG564" s="351" t="e">
        <f>((((IF($T$5=0,$T$6,$T$5)))/(12*$T$19))+(((3*$T$15)/(2*IF($T$5=0,$T$6,$T$5)*$U$5*$T$19))*'IN-OUT'!$F$14))*'Burland damage classification'!CK564</f>
        <v>#DIV/0!</v>
      </c>
      <c r="CH564" s="352">
        <f>(1+(((IF($T$5=0,$T$6^2,$T$5^2))*$U$5)/(18*$T$15))*('IN-OUT'!$F$14^(-1)))*CL564</f>
        <v>1.3371611720357391E-3</v>
      </c>
      <c r="CI564" s="254" t="e">
        <f t="shared" si="337"/>
        <v>#DIV/0!</v>
      </c>
      <c r="CJ564" s="254" t="e">
        <f t="shared" si="341"/>
        <v>#DIV/0!</v>
      </c>
      <c r="CK564" s="254">
        <f t="shared" si="345"/>
        <v>4.1999999999998939E-4</v>
      </c>
      <c r="CL564" s="270">
        <f t="shared" si="338"/>
        <v>1.3371611720357391E-3</v>
      </c>
      <c r="CM564" s="253">
        <f t="shared" si="346"/>
        <v>1.5800000000000063E-3</v>
      </c>
      <c r="CN564" s="255">
        <f t="shared" si="342"/>
        <v>0.15800000000000064</v>
      </c>
    </row>
    <row r="565" spans="49:92">
      <c r="AW565" s="258">
        <f>(((IF($S$5&lt;&gt;0,$S$5,IF($S$6&lt;&gt;0,$S$6,IF($S$7&lt;&gt;0,$S$7,0))))/(12*$S$19))+(((3*$S$15)/(2*(IF($S$5&lt;&gt;0,$S$5,IF($S$6&lt;&gt;0,$S$6,IF($S$7&lt;&gt;0,$S$7,0))))*$U$5*$S$19))*'IN-OUT'!$F$14))*'Burland damage classification'!BA565</f>
        <v>3.6247057954889067E-3</v>
      </c>
      <c r="AX565" s="353">
        <f>(1+(((IF($S$5&lt;&gt;0,$S$5^2,IF($S$6&lt;&gt;0,$S$6^2,IF($S$7&lt;&gt;0,$S$7^2))))*$U$5)/(18*$S$15))*('IN-OUT'!$F$14^(-1)))*BB565</f>
        <v>1.3428234445393825E-3</v>
      </c>
      <c r="AY565" s="254">
        <f t="shared" si="335"/>
        <v>1.3428234445393825E-3</v>
      </c>
      <c r="AZ565" s="254">
        <f t="shared" si="339"/>
        <v>0.13428234445393825</v>
      </c>
      <c r="BA565" s="254">
        <f t="shared" si="343"/>
        <v>4.1333333333332274E-4</v>
      </c>
      <c r="BB565" s="270">
        <f t="shared" si="336"/>
        <v>1.33366662501041E-3</v>
      </c>
      <c r="BC565" s="253">
        <f t="shared" si="344"/>
        <v>1.5866666666666731E-3</v>
      </c>
      <c r="BD565" s="255">
        <f t="shared" si="340"/>
        <v>0.15866666666666732</v>
      </c>
      <c r="BI565" s="248"/>
      <c r="CG565" s="351" t="e">
        <f>((((IF($T$5=0,$T$6,$T$5)))/(12*$T$19))+(((3*$T$15)/(2*IF($T$5=0,$T$6,$T$5)*$U$5*$T$19))*'IN-OUT'!$F$14))*'Burland damage classification'!CK565</f>
        <v>#DIV/0!</v>
      </c>
      <c r="CH565" s="352">
        <f>(1+(((IF($T$5=0,$T$6^2,$T$5^2))*$U$5)/(18*$T$15))*('IN-OUT'!$F$14^(-1)))*CL565</f>
        <v>1.33366662501041E-3</v>
      </c>
      <c r="CI565" s="254" t="e">
        <f t="shared" si="337"/>
        <v>#DIV/0!</v>
      </c>
      <c r="CJ565" s="254" t="e">
        <f t="shared" si="341"/>
        <v>#DIV/0!</v>
      </c>
      <c r="CK565" s="254">
        <f t="shared" si="345"/>
        <v>4.1333333333332274E-4</v>
      </c>
      <c r="CL565" s="270">
        <f t="shared" si="338"/>
        <v>1.33366662501041E-3</v>
      </c>
      <c r="CM565" s="253">
        <f t="shared" si="346"/>
        <v>1.5866666666666731E-3</v>
      </c>
      <c r="CN565" s="255">
        <f t="shared" si="342"/>
        <v>0.15866666666666732</v>
      </c>
    </row>
    <row r="566" spans="49:92">
      <c r="AW566" s="258">
        <f>(((IF($S$5&lt;&gt;0,$S$5,IF($S$6&lt;&gt;0,$S$6,IF($S$7&lt;&gt;0,$S$7,0))))/(12*$S$19))+(((3*$S$15)/(2*(IF($S$5&lt;&gt;0,$S$5,IF($S$6&lt;&gt;0,$S$6,IF($S$7&lt;&gt;0,$S$7,0))))*$U$5*$S$19))*'IN-OUT'!$F$14))*'Burland damage classification'!BA566</f>
        <v>3.5662427987874713E-3</v>
      </c>
      <c r="AX566" s="353">
        <f>(1+(((IF($S$5&lt;&gt;0,$S$5^2,IF($S$6&lt;&gt;0,$S$6^2,IF($S$7&lt;&gt;0,$S$7^2))))*$U$5)/(18*$S$15))*('IN-OUT'!$F$14^(-1)))*BB566</f>
        <v>1.3392956605828906E-3</v>
      </c>
      <c r="AY566" s="254">
        <f t="shared" si="335"/>
        <v>1.3392956605828906E-3</v>
      </c>
      <c r="AZ566" s="254">
        <f t="shared" si="339"/>
        <v>0.13392956605828907</v>
      </c>
      <c r="BA566" s="254">
        <f t="shared" si="343"/>
        <v>4.066666666666561E-4</v>
      </c>
      <c r="BB566" s="270">
        <f t="shared" si="336"/>
        <v>1.3301628972924046E-3</v>
      </c>
      <c r="BC566" s="253">
        <f t="shared" si="344"/>
        <v>1.5933333333333398E-3</v>
      </c>
      <c r="BD566" s="255">
        <f t="shared" si="340"/>
        <v>0.15933333333333399</v>
      </c>
      <c r="BI566" s="248"/>
      <c r="CG566" s="351" t="e">
        <f>((((IF($T$5=0,$T$6,$T$5)))/(12*$T$19))+(((3*$T$15)/(2*IF($T$5=0,$T$6,$T$5)*$U$5*$T$19))*'IN-OUT'!$F$14))*'Burland damage classification'!CK566</f>
        <v>#DIV/0!</v>
      </c>
      <c r="CH566" s="352">
        <f>(1+(((IF($T$5=0,$T$6^2,$T$5^2))*$U$5)/(18*$T$15))*('IN-OUT'!$F$14^(-1)))*CL566</f>
        <v>1.3301628972924046E-3</v>
      </c>
      <c r="CI566" s="254" t="e">
        <f t="shared" si="337"/>
        <v>#DIV/0!</v>
      </c>
      <c r="CJ566" s="254" t="e">
        <f t="shared" si="341"/>
        <v>#DIV/0!</v>
      </c>
      <c r="CK566" s="254">
        <f t="shared" si="345"/>
        <v>4.066666666666561E-4</v>
      </c>
      <c r="CL566" s="270">
        <f t="shared" si="338"/>
        <v>1.3301628972924046E-3</v>
      </c>
      <c r="CM566" s="253">
        <f t="shared" si="346"/>
        <v>1.5933333333333398E-3</v>
      </c>
      <c r="CN566" s="255">
        <f t="shared" si="342"/>
        <v>0.15933333333333399</v>
      </c>
    </row>
    <row r="567" spans="49:92">
      <c r="AW567" s="258">
        <f>(((IF($S$5&lt;&gt;0,$S$5,IF($S$6&lt;&gt;0,$S$6,IF($S$7&lt;&gt;0,$S$7,0))))/(12*$S$19))+(((3*$S$15)/(2*(IF($S$5&lt;&gt;0,$S$5,IF($S$6&lt;&gt;0,$S$6,IF($S$7&lt;&gt;0,$S$7,0))))*$U$5*$S$19))*'IN-OUT'!$F$14))*'Burland damage classification'!BA567</f>
        <v>3.5077798020860364E-3</v>
      </c>
      <c r="AX567" s="353">
        <f>(1+(((IF($S$5&lt;&gt;0,$S$5^2,IF($S$6&lt;&gt;0,$S$6^2,IF($S$7&lt;&gt;0,$S$7^2))))*$U$5)/(18*$S$15))*('IN-OUT'!$F$14^(-1)))*BB567</f>
        <v>1.3357585596610309E-3</v>
      </c>
      <c r="AY567" s="254">
        <f t="shared" si="335"/>
        <v>1.3357585596610309E-3</v>
      </c>
      <c r="AZ567" s="254">
        <f t="shared" si="339"/>
        <v>0.13357585596610308</v>
      </c>
      <c r="BA567" s="254">
        <f t="shared" si="343"/>
        <v>3.9999999999998945E-4</v>
      </c>
      <c r="BB567" s="270">
        <f t="shared" si="336"/>
        <v>1.3266499161421566E-3</v>
      </c>
      <c r="BC567" s="253">
        <f t="shared" si="344"/>
        <v>1.6000000000000066E-3</v>
      </c>
      <c r="BD567" s="255">
        <f t="shared" si="340"/>
        <v>0.16000000000000067</v>
      </c>
      <c r="BI567" s="248"/>
      <c r="CG567" s="351" t="e">
        <f>((((IF($T$5=0,$T$6,$T$5)))/(12*$T$19))+(((3*$T$15)/(2*IF($T$5=0,$T$6,$T$5)*$U$5*$T$19))*'IN-OUT'!$F$14))*'Burland damage classification'!CK567</f>
        <v>#DIV/0!</v>
      </c>
      <c r="CH567" s="352">
        <f>(1+(((IF($T$5=0,$T$6^2,$T$5^2))*$U$5)/(18*$T$15))*('IN-OUT'!$F$14^(-1)))*CL567</f>
        <v>1.3266499161421566E-3</v>
      </c>
      <c r="CI567" s="254" t="e">
        <f t="shared" si="337"/>
        <v>#DIV/0!</v>
      </c>
      <c r="CJ567" s="254" t="e">
        <f t="shared" si="341"/>
        <v>#DIV/0!</v>
      </c>
      <c r="CK567" s="254">
        <f t="shared" si="345"/>
        <v>3.9999999999998945E-4</v>
      </c>
      <c r="CL567" s="270">
        <f t="shared" si="338"/>
        <v>1.3266499161421566E-3</v>
      </c>
      <c r="CM567" s="253">
        <f t="shared" si="346"/>
        <v>1.6000000000000066E-3</v>
      </c>
      <c r="CN567" s="255">
        <f t="shared" si="342"/>
        <v>0.16000000000000067</v>
      </c>
    </row>
    <row r="568" spans="49:92">
      <c r="AW568" s="258">
        <f>(((IF($S$5&lt;&gt;0,$S$5,IF($S$6&lt;&gt;0,$S$6,IF($S$7&lt;&gt;0,$S$7,0))))/(12*$S$19))+(((3*$S$15)/(2*(IF($S$5&lt;&gt;0,$S$5,IF($S$6&lt;&gt;0,$S$6,IF($S$7&lt;&gt;0,$S$7,0))))*$U$5*$S$19))*'IN-OUT'!$F$14))*'Burland damage classification'!BA568</f>
        <v>3.449316805384601E-3</v>
      </c>
      <c r="AX568" s="353">
        <f>(1+(((IF($S$5&lt;&gt;0,$S$5^2,IF($S$6&lt;&gt;0,$S$6^2,IF($S$7&lt;&gt;0,$S$7^2))))*$U$5)/(18*$S$15))*('IN-OUT'!$F$14^(-1)))*BB568</f>
        <v>1.3322120675625412E-3</v>
      </c>
      <c r="AY568" s="254">
        <f t="shared" si="335"/>
        <v>1.3322120675625412E-3</v>
      </c>
      <c r="AZ568" s="254">
        <f t="shared" si="339"/>
        <v>0.13322120675625412</v>
      </c>
      <c r="BA568" s="254">
        <f t="shared" si="343"/>
        <v>3.933333333333228E-4</v>
      </c>
      <c r="BB568" s="270">
        <f t="shared" si="336"/>
        <v>1.3231276078544568E-3</v>
      </c>
      <c r="BC568" s="253">
        <f t="shared" si="344"/>
        <v>1.6066666666666733E-3</v>
      </c>
      <c r="BD568" s="255">
        <f t="shared" si="340"/>
        <v>0.16066666666666735</v>
      </c>
      <c r="BI568" s="248"/>
      <c r="CG568" s="351" t="e">
        <f>((((IF($T$5=0,$T$6,$T$5)))/(12*$T$19))+(((3*$T$15)/(2*IF($T$5=0,$T$6,$T$5)*$U$5*$T$19))*'IN-OUT'!$F$14))*'Burland damage classification'!CK568</f>
        <v>#DIV/0!</v>
      </c>
      <c r="CH568" s="352">
        <f>(1+(((IF($T$5=0,$T$6^2,$T$5^2))*$U$5)/(18*$T$15))*('IN-OUT'!$F$14^(-1)))*CL568</f>
        <v>1.3231276078544568E-3</v>
      </c>
      <c r="CI568" s="254" t="e">
        <f t="shared" si="337"/>
        <v>#DIV/0!</v>
      </c>
      <c r="CJ568" s="254" t="e">
        <f t="shared" si="341"/>
        <v>#DIV/0!</v>
      </c>
      <c r="CK568" s="254">
        <f t="shared" si="345"/>
        <v>3.933333333333228E-4</v>
      </c>
      <c r="CL568" s="270">
        <f t="shared" si="338"/>
        <v>1.3231276078544568E-3</v>
      </c>
      <c r="CM568" s="253">
        <f t="shared" si="346"/>
        <v>1.6066666666666733E-3</v>
      </c>
      <c r="CN568" s="255">
        <f t="shared" si="342"/>
        <v>0.16066666666666735</v>
      </c>
    </row>
    <row r="569" spans="49:92">
      <c r="AW569" s="258">
        <f>(((IF($S$5&lt;&gt;0,$S$5,IF($S$6&lt;&gt;0,$S$6,IF($S$7&lt;&gt;0,$S$7,0))))/(12*$S$19))+(((3*$S$15)/(2*(IF($S$5&lt;&gt;0,$S$5,IF($S$6&lt;&gt;0,$S$6,IF($S$7&lt;&gt;0,$S$7,0))))*$U$5*$S$19))*'IN-OUT'!$F$14))*'Burland damage classification'!BA569</f>
        <v>3.3908538086831657E-3</v>
      </c>
      <c r="AX569" s="353">
        <f>(1+(((IF($S$5&lt;&gt;0,$S$5^2,IF($S$6&lt;&gt;0,$S$6^2,IF($S$7&lt;&gt;0,$S$7^2))))*$U$5)/(18*$S$15))*('IN-OUT'!$F$14^(-1)))*BB569</f>
        <v>1.3286561090857223E-3</v>
      </c>
      <c r="AY569" s="254">
        <f t="shared" si="335"/>
        <v>1.3286561090857223E-3</v>
      </c>
      <c r="AZ569" s="254">
        <f t="shared" si="339"/>
        <v>0.13286561090857224</v>
      </c>
      <c r="BA569" s="254">
        <f t="shared" si="343"/>
        <v>3.8666666666665615E-4</v>
      </c>
      <c r="BB569" s="270">
        <f t="shared" si="336"/>
        <v>1.319595897740412E-3</v>
      </c>
      <c r="BC569" s="253">
        <f t="shared" si="344"/>
        <v>1.6133333333333401E-3</v>
      </c>
      <c r="BD569" s="255">
        <f t="shared" si="340"/>
        <v>0.16133333333333402</v>
      </c>
      <c r="BI569" s="248"/>
      <c r="CG569" s="351" t="e">
        <f>((((IF($T$5=0,$T$6,$T$5)))/(12*$T$19))+(((3*$T$15)/(2*IF($T$5=0,$T$6,$T$5)*$U$5*$T$19))*'IN-OUT'!$F$14))*'Burland damage classification'!CK569</f>
        <v>#DIV/0!</v>
      </c>
      <c r="CH569" s="352">
        <f>(1+(((IF($T$5=0,$T$6^2,$T$5^2))*$U$5)/(18*$T$15))*('IN-OUT'!$F$14^(-1)))*CL569</f>
        <v>1.319595897740412E-3</v>
      </c>
      <c r="CI569" s="254" t="e">
        <f t="shared" si="337"/>
        <v>#DIV/0!</v>
      </c>
      <c r="CJ569" s="254" t="e">
        <f t="shared" si="341"/>
        <v>#DIV/0!</v>
      </c>
      <c r="CK569" s="254">
        <f t="shared" si="345"/>
        <v>3.8666666666665615E-4</v>
      </c>
      <c r="CL569" s="270">
        <f t="shared" si="338"/>
        <v>1.319595897740412E-3</v>
      </c>
      <c r="CM569" s="253">
        <f t="shared" si="346"/>
        <v>1.6133333333333401E-3</v>
      </c>
      <c r="CN569" s="255">
        <f t="shared" si="342"/>
        <v>0.16133333333333402</v>
      </c>
    </row>
    <row r="570" spans="49:92">
      <c r="AW570" s="258">
        <f>(((IF($S$5&lt;&gt;0,$S$5,IF($S$6&lt;&gt;0,$S$6,IF($S$7&lt;&gt;0,$S$7,0))))/(12*$S$19))+(((3*$S$15)/(2*(IF($S$5&lt;&gt;0,$S$5,IF($S$6&lt;&gt;0,$S$6,IF($S$7&lt;&gt;0,$S$7,0))))*$U$5*$S$19))*'IN-OUT'!$F$14))*'Burland damage classification'!BA570</f>
        <v>3.3323908119817303E-3</v>
      </c>
      <c r="AX570" s="353">
        <f>(1+(((IF($S$5&lt;&gt;0,$S$5^2,IF($S$6&lt;&gt;0,$S$6^2,IF($S$7&lt;&gt;0,$S$7^2))))*$U$5)/(18*$S$15))*('IN-OUT'!$F$14^(-1)))*BB570</f>
        <v>1.3250906080198293E-3</v>
      </c>
      <c r="AY570" s="254">
        <f t="shared" si="335"/>
        <v>1.3250906080198293E-3</v>
      </c>
      <c r="AZ570" s="254">
        <f t="shared" si="339"/>
        <v>0.13250906080198294</v>
      </c>
      <c r="BA570" s="254">
        <f t="shared" si="343"/>
        <v>3.799999999999895E-4</v>
      </c>
      <c r="BB570" s="270">
        <f t="shared" si="336"/>
        <v>1.3160547101089643E-3</v>
      </c>
      <c r="BC570" s="253">
        <f t="shared" si="344"/>
        <v>1.6200000000000069E-3</v>
      </c>
      <c r="BD570" s="255">
        <f t="shared" si="340"/>
        <v>0.1620000000000007</v>
      </c>
      <c r="BI570" s="248"/>
      <c r="CG570" s="351" t="e">
        <f>((((IF($T$5=0,$T$6,$T$5)))/(12*$T$19))+(((3*$T$15)/(2*IF($T$5=0,$T$6,$T$5)*$U$5*$T$19))*'IN-OUT'!$F$14))*'Burland damage classification'!CK570</f>
        <v>#DIV/0!</v>
      </c>
      <c r="CH570" s="352">
        <f>(1+(((IF($T$5=0,$T$6^2,$T$5^2))*$U$5)/(18*$T$15))*('IN-OUT'!$F$14^(-1)))*CL570</f>
        <v>1.3160547101089643E-3</v>
      </c>
      <c r="CI570" s="254" t="e">
        <f t="shared" si="337"/>
        <v>#DIV/0!</v>
      </c>
      <c r="CJ570" s="254" t="e">
        <f t="shared" si="341"/>
        <v>#DIV/0!</v>
      </c>
      <c r="CK570" s="254">
        <f t="shared" si="345"/>
        <v>3.799999999999895E-4</v>
      </c>
      <c r="CL570" s="270">
        <f t="shared" si="338"/>
        <v>1.3160547101089643E-3</v>
      </c>
      <c r="CM570" s="253">
        <f t="shared" si="346"/>
        <v>1.6200000000000069E-3</v>
      </c>
      <c r="CN570" s="255">
        <f t="shared" si="342"/>
        <v>0.1620000000000007</v>
      </c>
    </row>
    <row r="571" spans="49:92">
      <c r="AW571" s="258">
        <f>(((IF($S$5&lt;&gt;0,$S$5,IF($S$6&lt;&gt;0,$S$6,IF($S$7&lt;&gt;0,$S$7,0))))/(12*$S$19))+(((3*$S$15)/(2*(IF($S$5&lt;&gt;0,$S$5,IF($S$6&lt;&gt;0,$S$6,IF($S$7&lt;&gt;0,$S$7,0))))*$U$5*$S$19))*'IN-OUT'!$F$14))*'Burland damage classification'!BA571</f>
        <v>3.2739278152802949E-3</v>
      </c>
      <c r="AX571" s="353">
        <f>(1+(((IF($S$5&lt;&gt;0,$S$5^2,IF($S$6&lt;&gt;0,$S$6^2,IF($S$7&lt;&gt;0,$S$7^2))))*$U$5)/(18*$S$15))*('IN-OUT'!$F$14^(-1)))*BB571</f>
        <v>1.3215154871260158E-3</v>
      </c>
      <c r="AY571" s="254">
        <f t="shared" si="335"/>
        <v>1.3215154871260158E-3</v>
      </c>
      <c r="AZ571" s="254">
        <f t="shared" si="339"/>
        <v>0.1321515487126016</v>
      </c>
      <c r="BA571" s="254">
        <f t="shared" si="343"/>
        <v>3.7333333333332286E-4</v>
      </c>
      <c r="BB571" s="270">
        <f t="shared" si="336"/>
        <v>1.3125039682479658E-3</v>
      </c>
      <c r="BC571" s="253">
        <f t="shared" si="344"/>
        <v>1.6266666666666736E-3</v>
      </c>
      <c r="BD571" s="255">
        <f t="shared" si="340"/>
        <v>0.16266666666666735</v>
      </c>
      <c r="BI571" s="248"/>
      <c r="CG571" s="351" t="e">
        <f>((((IF($T$5=0,$T$6,$T$5)))/(12*$T$19))+(((3*$T$15)/(2*IF($T$5=0,$T$6,$T$5)*$U$5*$T$19))*'IN-OUT'!$F$14))*'Burland damage classification'!CK571</f>
        <v>#DIV/0!</v>
      </c>
      <c r="CH571" s="352">
        <f>(1+(((IF($T$5=0,$T$6^2,$T$5^2))*$U$5)/(18*$T$15))*('IN-OUT'!$F$14^(-1)))*CL571</f>
        <v>1.3125039682479658E-3</v>
      </c>
      <c r="CI571" s="254" t="e">
        <f t="shared" si="337"/>
        <v>#DIV/0!</v>
      </c>
      <c r="CJ571" s="254" t="e">
        <f t="shared" si="341"/>
        <v>#DIV/0!</v>
      </c>
      <c r="CK571" s="254">
        <f t="shared" si="345"/>
        <v>3.7333333333332286E-4</v>
      </c>
      <c r="CL571" s="270">
        <f t="shared" si="338"/>
        <v>1.3125039682479658E-3</v>
      </c>
      <c r="CM571" s="253">
        <f t="shared" si="346"/>
        <v>1.6266666666666736E-3</v>
      </c>
      <c r="CN571" s="255">
        <f t="shared" si="342"/>
        <v>0.16266666666666735</v>
      </c>
    </row>
    <row r="572" spans="49:92">
      <c r="AW572" s="258">
        <f>(((IF($S$5&lt;&gt;0,$S$5,IF($S$6&lt;&gt;0,$S$6,IF($S$7&lt;&gt;0,$S$7,0))))/(12*$S$19))+(((3*$S$15)/(2*(IF($S$5&lt;&gt;0,$S$5,IF($S$6&lt;&gt;0,$S$6,IF($S$7&lt;&gt;0,$S$7,0))))*$U$5*$S$19))*'IN-OUT'!$F$14))*'Burland damage classification'!BA572</f>
        <v>3.2154648185788596E-3</v>
      </c>
      <c r="AX572" s="353">
        <f>(1+(((IF($S$5&lt;&gt;0,$S$5^2,IF($S$6&lt;&gt;0,$S$6^2,IF($S$7&lt;&gt;0,$S$7^2))))*$U$5)/(18*$S$15))*('IN-OUT'!$F$14^(-1)))*BB572</f>
        <v>1.3179306681178114E-3</v>
      </c>
      <c r="AY572" s="254">
        <f t="shared" si="335"/>
        <v>1.3179306681178114E-3</v>
      </c>
      <c r="AZ572" s="254">
        <f t="shared" si="339"/>
        <v>0.13179306681178116</v>
      </c>
      <c r="BA572" s="254">
        <f t="shared" si="343"/>
        <v>3.6666666666665621E-4</v>
      </c>
      <c r="BB572" s="270">
        <f t="shared" si="336"/>
        <v>1.308943594404787E-3</v>
      </c>
      <c r="BC572" s="253">
        <f t="shared" si="344"/>
        <v>1.6333333333333404E-3</v>
      </c>
      <c r="BD572" s="255">
        <f t="shared" si="340"/>
        <v>0.16333333333333402</v>
      </c>
      <c r="BI572" s="248"/>
      <c r="CG572" s="351" t="e">
        <f>((((IF($T$5=0,$T$6,$T$5)))/(12*$T$19))+(((3*$T$15)/(2*IF($T$5=0,$T$6,$T$5)*$U$5*$T$19))*'IN-OUT'!$F$14))*'Burland damage classification'!CK572</f>
        <v>#DIV/0!</v>
      </c>
      <c r="CH572" s="352">
        <f>(1+(((IF($T$5=0,$T$6^2,$T$5^2))*$U$5)/(18*$T$15))*('IN-OUT'!$F$14^(-1)))*CL572</f>
        <v>1.308943594404787E-3</v>
      </c>
      <c r="CI572" s="254" t="e">
        <f t="shared" si="337"/>
        <v>#DIV/0!</v>
      </c>
      <c r="CJ572" s="254" t="e">
        <f t="shared" si="341"/>
        <v>#DIV/0!</v>
      </c>
      <c r="CK572" s="254">
        <f t="shared" si="345"/>
        <v>3.6666666666665621E-4</v>
      </c>
      <c r="CL572" s="270">
        <f t="shared" si="338"/>
        <v>1.308943594404787E-3</v>
      </c>
      <c r="CM572" s="253">
        <f t="shared" si="346"/>
        <v>1.6333333333333404E-3</v>
      </c>
      <c r="CN572" s="255">
        <f t="shared" si="342"/>
        <v>0.16333333333333402</v>
      </c>
    </row>
    <row r="573" spans="49:92">
      <c r="AW573" s="258">
        <f>(((IF($S$5&lt;&gt;0,$S$5,IF($S$6&lt;&gt;0,$S$6,IF($S$7&lt;&gt;0,$S$7,0))))/(12*$S$19))+(((3*$S$15)/(2*(IF($S$5&lt;&gt;0,$S$5,IF($S$6&lt;&gt;0,$S$6,IF($S$7&lt;&gt;0,$S$7,0))))*$U$5*$S$19))*'IN-OUT'!$F$14))*'Burland damage classification'!BA573</f>
        <v>3.1570018218774242E-3</v>
      </c>
      <c r="AX573" s="353">
        <f>(1+(((IF($S$5&lt;&gt;0,$S$5^2,IF($S$6&lt;&gt;0,$S$6^2,IF($S$7&lt;&gt;0,$S$7^2))))*$U$5)/(18*$S$15))*('IN-OUT'!$F$14^(-1)))*BB573</f>
        <v>1.3143360716411196E-3</v>
      </c>
      <c r="AY573" s="254">
        <f t="shared" si="335"/>
        <v>1.3143360716411196E-3</v>
      </c>
      <c r="AZ573" s="254">
        <f t="shared" si="339"/>
        <v>0.13143360716411195</v>
      </c>
      <c r="BA573" s="254">
        <f t="shared" si="343"/>
        <v>3.5999999999998956E-4</v>
      </c>
      <c r="BB573" s="270">
        <f t="shared" si="336"/>
        <v>1.3053735097664537E-3</v>
      </c>
      <c r="BC573" s="253">
        <f t="shared" si="344"/>
        <v>1.6400000000000071E-3</v>
      </c>
      <c r="BD573" s="255">
        <f t="shared" si="340"/>
        <v>0.1640000000000007</v>
      </c>
      <c r="BI573" s="248"/>
      <c r="CG573" s="351" t="e">
        <f>((((IF($T$5=0,$T$6,$T$5)))/(12*$T$19))+(((3*$T$15)/(2*IF($T$5=0,$T$6,$T$5)*$U$5*$T$19))*'IN-OUT'!$F$14))*'Burland damage classification'!CK573</f>
        <v>#DIV/0!</v>
      </c>
      <c r="CH573" s="352">
        <f>(1+(((IF($T$5=0,$T$6^2,$T$5^2))*$U$5)/(18*$T$15))*('IN-OUT'!$F$14^(-1)))*CL573</f>
        <v>1.3053735097664537E-3</v>
      </c>
      <c r="CI573" s="254" t="e">
        <f t="shared" si="337"/>
        <v>#DIV/0!</v>
      </c>
      <c r="CJ573" s="254" t="e">
        <f t="shared" si="341"/>
        <v>#DIV/0!</v>
      </c>
      <c r="CK573" s="254">
        <f t="shared" si="345"/>
        <v>3.5999999999998956E-4</v>
      </c>
      <c r="CL573" s="270">
        <f t="shared" si="338"/>
        <v>1.3053735097664537E-3</v>
      </c>
      <c r="CM573" s="253">
        <f t="shared" si="346"/>
        <v>1.6400000000000071E-3</v>
      </c>
      <c r="CN573" s="255">
        <f t="shared" si="342"/>
        <v>0.1640000000000007</v>
      </c>
    </row>
    <row r="574" spans="49:92">
      <c r="AW574" s="258">
        <f>(((IF($S$5&lt;&gt;0,$S$5,IF($S$6&lt;&gt;0,$S$6,IF($S$7&lt;&gt;0,$S$7,0))))/(12*$S$19))+(((3*$S$15)/(2*(IF($S$5&lt;&gt;0,$S$5,IF($S$6&lt;&gt;0,$S$6,IF($S$7&lt;&gt;0,$S$7,0))))*$U$5*$S$19))*'IN-OUT'!$F$14))*'Burland damage classification'!BA574</f>
        <v>3.0985388251759888E-3</v>
      </c>
      <c r="AX574" s="353">
        <f>(1+(((IF($S$5&lt;&gt;0,$S$5^2,IF($S$6&lt;&gt;0,$S$6^2,IF($S$7&lt;&gt;0,$S$7^2))))*$U$5)/(18*$S$15))*('IN-OUT'!$F$14^(-1)))*BB574</f>
        <v>1.3107316172537231E-3</v>
      </c>
      <c r="AY574" s="254">
        <f t="shared" si="335"/>
        <v>1.3107316172537231E-3</v>
      </c>
      <c r="AZ574" s="254">
        <f t="shared" si="339"/>
        <v>0.13107316172537231</v>
      </c>
      <c r="BA574" s="254">
        <f t="shared" si="343"/>
        <v>3.5333333333332291E-4</v>
      </c>
      <c r="BB574" s="270">
        <f t="shared" si="336"/>
        <v>1.3017936344392903E-3</v>
      </c>
      <c r="BC574" s="253">
        <f t="shared" si="344"/>
        <v>1.6466666666666739E-3</v>
      </c>
      <c r="BD574" s="255">
        <f t="shared" si="340"/>
        <v>0.16466666666666738</v>
      </c>
      <c r="BI574" s="248"/>
      <c r="CG574" s="351" t="e">
        <f>((((IF($T$5=0,$T$6,$T$5)))/(12*$T$19))+(((3*$T$15)/(2*IF($T$5=0,$T$6,$T$5)*$U$5*$T$19))*'IN-OUT'!$F$14))*'Burland damage classification'!CK574</f>
        <v>#DIV/0!</v>
      </c>
      <c r="CH574" s="352">
        <f>(1+(((IF($T$5=0,$T$6^2,$T$5^2))*$U$5)/(18*$T$15))*('IN-OUT'!$F$14^(-1)))*CL574</f>
        <v>1.3017936344392903E-3</v>
      </c>
      <c r="CI574" s="254" t="e">
        <f t="shared" si="337"/>
        <v>#DIV/0!</v>
      </c>
      <c r="CJ574" s="254" t="e">
        <f t="shared" si="341"/>
        <v>#DIV/0!</v>
      </c>
      <c r="CK574" s="254">
        <f t="shared" si="345"/>
        <v>3.5333333333332291E-4</v>
      </c>
      <c r="CL574" s="270">
        <f t="shared" si="338"/>
        <v>1.3017936344392903E-3</v>
      </c>
      <c r="CM574" s="253">
        <f t="shared" si="346"/>
        <v>1.6466666666666739E-3</v>
      </c>
      <c r="CN574" s="255">
        <f t="shared" si="342"/>
        <v>0.16466666666666738</v>
      </c>
    </row>
    <row r="575" spans="49:92">
      <c r="AW575" s="258">
        <f>(((IF($S$5&lt;&gt;0,$S$5,IF($S$6&lt;&gt;0,$S$6,IF($S$7&lt;&gt;0,$S$7,0))))/(12*$S$19))+(((3*$S$15)/(2*(IF($S$5&lt;&gt;0,$S$5,IF($S$6&lt;&gt;0,$S$6,IF($S$7&lt;&gt;0,$S$7,0))))*$U$5*$S$19))*'IN-OUT'!$F$14))*'Burland damage classification'!BA575</f>
        <v>3.0400758284745539E-3</v>
      </c>
      <c r="AX575" s="353">
        <f>(1+(((IF($S$5&lt;&gt;0,$S$5^2,IF($S$6&lt;&gt;0,$S$6^2,IF($S$7&lt;&gt;0,$S$7^2))))*$U$5)/(18*$S$15))*('IN-OUT'!$F$14^(-1)))*BB575</f>
        <v>1.3071172234042784E-3</v>
      </c>
      <c r="AY575" s="254">
        <f t="shared" si="335"/>
        <v>1.3071172234042784E-3</v>
      </c>
      <c r="AZ575" s="254">
        <f t="shared" si="339"/>
        <v>0.13071172234042783</v>
      </c>
      <c r="BA575" s="254">
        <f t="shared" si="343"/>
        <v>3.4666666666665626E-4</v>
      </c>
      <c r="BB575" s="270">
        <f t="shared" si="336"/>
        <v>1.2982038874280585E-3</v>
      </c>
      <c r="BC575" s="253">
        <f t="shared" si="344"/>
        <v>1.6533333333333406E-3</v>
      </c>
      <c r="BD575" s="255">
        <f t="shared" si="340"/>
        <v>0.16533333333333405</v>
      </c>
      <c r="BI575" s="248"/>
      <c r="CG575" s="351" t="e">
        <f>((((IF($T$5=0,$T$6,$T$5)))/(12*$T$19))+(((3*$T$15)/(2*IF($T$5=0,$T$6,$T$5)*$U$5*$T$19))*'IN-OUT'!$F$14))*'Burland damage classification'!CK575</f>
        <v>#DIV/0!</v>
      </c>
      <c r="CH575" s="352">
        <f>(1+(((IF($T$5=0,$T$6^2,$T$5^2))*$U$5)/(18*$T$15))*('IN-OUT'!$F$14^(-1)))*CL575</f>
        <v>1.2982038874280585E-3</v>
      </c>
      <c r="CI575" s="254" t="e">
        <f t="shared" si="337"/>
        <v>#DIV/0!</v>
      </c>
      <c r="CJ575" s="254" t="e">
        <f t="shared" si="341"/>
        <v>#DIV/0!</v>
      </c>
      <c r="CK575" s="254">
        <f t="shared" si="345"/>
        <v>3.4666666666665626E-4</v>
      </c>
      <c r="CL575" s="270">
        <f t="shared" si="338"/>
        <v>1.2982038874280585E-3</v>
      </c>
      <c r="CM575" s="253">
        <f t="shared" si="346"/>
        <v>1.6533333333333406E-3</v>
      </c>
      <c r="CN575" s="255">
        <f t="shared" si="342"/>
        <v>0.16533333333333405</v>
      </c>
    </row>
    <row r="576" spans="49:92">
      <c r="AW576" s="258">
        <f>(((IF($S$5&lt;&gt;0,$S$5,IF($S$6&lt;&gt;0,$S$6,IF($S$7&lt;&gt;0,$S$7,0))))/(12*$S$19))+(((3*$S$15)/(2*(IF($S$5&lt;&gt;0,$S$5,IF($S$6&lt;&gt;0,$S$6,IF($S$7&lt;&gt;0,$S$7,0))))*$U$5*$S$19))*'IN-OUT'!$F$14))*'Burland damage classification'!BA576</f>
        <v>2.9816128317731185E-3</v>
      </c>
      <c r="AX576" s="353">
        <f>(1+(((IF($S$5&lt;&gt;0,$S$5^2,IF($S$6&lt;&gt;0,$S$6^2,IF($S$7&lt;&gt;0,$S$7^2))))*$U$5)/(18*$S$15))*('IN-OUT'!$F$14^(-1)))*BB576</f>
        <v>1.3034928074107889E-3</v>
      </c>
      <c r="AY576" s="254">
        <f t="shared" si="335"/>
        <v>1.3034928074107889E-3</v>
      </c>
      <c r="AZ576" s="254">
        <f t="shared" si="339"/>
        <v>0.13034928074107888</v>
      </c>
      <c r="BA576" s="254">
        <f t="shared" si="343"/>
        <v>3.3999999999998962E-4</v>
      </c>
      <c r="BB576" s="270">
        <f t="shared" si="336"/>
        <v>1.2946041866145766E-3</v>
      </c>
      <c r="BC576" s="253">
        <f t="shared" si="344"/>
        <v>1.6600000000000074E-3</v>
      </c>
      <c r="BD576" s="255">
        <f t="shared" si="340"/>
        <v>0.16600000000000073</v>
      </c>
      <c r="BI576" s="248"/>
      <c r="CG576" s="351" t="e">
        <f>((((IF($T$5=0,$T$6,$T$5)))/(12*$T$19))+(((3*$T$15)/(2*IF($T$5=0,$T$6,$T$5)*$U$5*$T$19))*'IN-OUT'!$F$14))*'Burland damage classification'!CK576</f>
        <v>#DIV/0!</v>
      </c>
      <c r="CH576" s="352">
        <f>(1+(((IF($T$5=0,$T$6^2,$T$5^2))*$U$5)/(18*$T$15))*('IN-OUT'!$F$14^(-1)))*CL576</f>
        <v>1.2946041866145766E-3</v>
      </c>
      <c r="CI576" s="254" t="e">
        <f t="shared" si="337"/>
        <v>#DIV/0!</v>
      </c>
      <c r="CJ576" s="254" t="e">
        <f t="shared" si="341"/>
        <v>#DIV/0!</v>
      </c>
      <c r="CK576" s="254">
        <f t="shared" si="345"/>
        <v>3.3999999999998962E-4</v>
      </c>
      <c r="CL576" s="270">
        <f t="shared" si="338"/>
        <v>1.2946041866145766E-3</v>
      </c>
      <c r="CM576" s="253">
        <f t="shared" si="346"/>
        <v>1.6600000000000074E-3</v>
      </c>
      <c r="CN576" s="255">
        <f t="shared" si="342"/>
        <v>0.16600000000000073</v>
      </c>
    </row>
    <row r="577" spans="49:92">
      <c r="AW577" s="258">
        <f>(((IF($S$5&lt;&gt;0,$S$5,IF($S$6&lt;&gt;0,$S$6,IF($S$7&lt;&gt;0,$S$7,0))))/(12*$S$19))+(((3*$S$15)/(2*(IF($S$5&lt;&gt;0,$S$5,IF($S$6&lt;&gt;0,$S$6,IF($S$7&lt;&gt;0,$S$7,0))))*$U$5*$S$19))*'IN-OUT'!$F$14))*'Burland damage classification'!BA577</f>
        <v>2.9231498350716831E-3</v>
      </c>
      <c r="AX577" s="353">
        <f>(1+(((IF($S$5&lt;&gt;0,$S$5^2,IF($S$6&lt;&gt;0,$S$6^2,IF($S$7&lt;&gt;0,$S$7^2))))*$U$5)/(18*$S$15))*('IN-OUT'!$F$14^(-1)))*BB577</f>
        <v>1.2998582854385357E-3</v>
      </c>
      <c r="AY577" s="254">
        <f t="shared" si="335"/>
        <v>1.2998582854385357E-3</v>
      </c>
      <c r="AZ577" s="254">
        <f t="shared" si="339"/>
        <v>0.12998582854385357</v>
      </c>
      <c r="BA577" s="254">
        <f t="shared" si="343"/>
        <v>3.3333333333332297E-4</v>
      </c>
      <c r="BB577" s="270">
        <f t="shared" si="336"/>
        <v>1.2909944487358015E-3</v>
      </c>
      <c r="BC577" s="253">
        <f t="shared" si="344"/>
        <v>1.6666666666666741E-3</v>
      </c>
      <c r="BD577" s="255">
        <f t="shared" si="340"/>
        <v>0.16666666666666741</v>
      </c>
      <c r="BI577" s="248"/>
      <c r="CG577" s="351" t="e">
        <f>((((IF($T$5=0,$T$6,$T$5)))/(12*$T$19))+(((3*$T$15)/(2*IF($T$5=0,$T$6,$T$5)*$U$5*$T$19))*'IN-OUT'!$F$14))*'Burland damage classification'!CK577</f>
        <v>#DIV/0!</v>
      </c>
      <c r="CH577" s="352">
        <f>(1+(((IF($T$5=0,$T$6^2,$T$5^2))*$U$5)/(18*$T$15))*('IN-OUT'!$F$14^(-1)))*CL577</f>
        <v>1.2909944487358015E-3</v>
      </c>
      <c r="CI577" s="254" t="e">
        <f t="shared" si="337"/>
        <v>#DIV/0!</v>
      </c>
      <c r="CJ577" s="254" t="e">
        <f t="shared" si="341"/>
        <v>#DIV/0!</v>
      </c>
      <c r="CK577" s="254">
        <f t="shared" si="345"/>
        <v>3.3333333333332297E-4</v>
      </c>
      <c r="CL577" s="270">
        <f t="shared" si="338"/>
        <v>1.2909944487358015E-3</v>
      </c>
      <c r="CM577" s="253">
        <f t="shared" si="346"/>
        <v>1.6666666666666741E-3</v>
      </c>
      <c r="CN577" s="255">
        <f t="shared" si="342"/>
        <v>0.16666666666666741</v>
      </c>
    </row>
    <row r="578" spans="49:92">
      <c r="AW578" s="258">
        <f>(((IF($S$5&lt;&gt;0,$S$5,IF($S$6&lt;&gt;0,$S$6,IF($S$7&lt;&gt;0,$S$7,0))))/(12*$S$19))+(((3*$S$15)/(2*(IF($S$5&lt;&gt;0,$S$5,IF($S$6&lt;&gt;0,$S$6,IF($S$7&lt;&gt;0,$S$7,0))))*$U$5*$S$19))*'IN-OUT'!$F$14))*'Burland damage classification'!BA578</f>
        <v>2.8646868383702478E-3</v>
      </c>
      <c r="AX578" s="353">
        <f>(1+(((IF($S$5&lt;&gt;0,$S$5^2,IF($S$6&lt;&gt;0,$S$6^2,IF($S$7&lt;&gt;0,$S$7^2))))*$U$5)/(18*$S$15))*('IN-OUT'!$F$14^(-1)))*BB578</f>
        <v>1.2962135724774522E-3</v>
      </c>
      <c r="AY578" s="254">
        <f t="shared" si="335"/>
        <v>1.2962135724774522E-3</v>
      </c>
      <c r="AZ578" s="254">
        <f t="shared" si="339"/>
        <v>0.12962135724774523</v>
      </c>
      <c r="BA578" s="254">
        <f t="shared" si="343"/>
        <v>3.2666666666665632E-4</v>
      </c>
      <c r="BB578" s="270">
        <f t="shared" si="336"/>
        <v>1.287374589361357E-3</v>
      </c>
      <c r="BC578" s="253">
        <f t="shared" si="344"/>
        <v>1.6733333333333409E-3</v>
      </c>
      <c r="BD578" s="255">
        <f t="shared" si="340"/>
        <v>0.16733333333333408</v>
      </c>
      <c r="BI578" s="248"/>
      <c r="CG578" s="351" t="e">
        <f>((((IF($T$5=0,$T$6,$T$5)))/(12*$T$19))+(((3*$T$15)/(2*IF($T$5=0,$T$6,$T$5)*$U$5*$T$19))*'IN-OUT'!$F$14))*'Burland damage classification'!CK578</f>
        <v>#DIV/0!</v>
      </c>
      <c r="CH578" s="352">
        <f>(1+(((IF($T$5=0,$T$6^2,$T$5^2))*$U$5)/(18*$T$15))*('IN-OUT'!$F$14^(-1)))*CL578</f>
        <v>1.287374589361357E-3</v>
      </c>
      <c r="CI578" s="254" t="e">
        <f t="shared" si="337"/>
        <v>#DIV/0!</v>
      </c>
      <c r="CJ578" s="254" t="e">
        <f t="shared" si="341"/>
        <v>#DIV/0!</v>
      </c>
      <c r="CK578" s="254">
        <f t="shared" si="345"/>
        <v>3.2666666666665632E-4</v>
      </c>
      <c r="CL578" s="270">
        <f t="shared" si="338"/>
        <v>1.287374589361357E-3</v>
      </c>
      <c r="CM578" s="253">
        <f t="shared" si="346"/>
        <v>1.6733333333333409E-3</v>
      </c>
      <c r="CN578" s="255">
        <f t="shared" si="342"/>
        <v>0.16733333333333408</v>
      </c>
    </row>
    <row r="579" spans="49:92">
      <c r="AW579" s="258">
        <f>(((IF($S$5&lt;&gt;0,$S$5,IF($S$6&lt;&gt;0,$S$6,IF($S$7&lt;&gt;0,$S$7,0))))/(12*$S$19))+(((3*$S$15)/(2*(IF($S$5&lt;&gt;0,$S$5,IF($S$6&lt;&gt;0,$S$6,IF($S$7&lt;&gt;0,$S$7,0))))*$U$5*$S$19))*'IN-OUT'!$F$14))*'Burland damage classification'!BA579</f>
        <v>2.8062238416688124E-3</v>
      </c>
      <c r="AX579" s="353">
        <f>(1+(((IF($S$5&lt;&gt;0,$S$5^2,IF($S$6&lt;&gt;0,$S$6^2,IF($S$7&lt;&gt;0,$S$7^2))))*$U$5)/(18*$S$15))*('IN-OUT'!$F$14^(-1)))*BB579</f>
        <v>1.2925585823189251E-3</v>
      </c>
      <c r="AY579" s="254">
        <f t="shared" si="335"/>
        <v>1.2925585823189251E-3</v>
      </c>
      <c r="AZ579" s="254">
        <f t="shared" si="339"/>
        <v>0.12925585823189251</v>
      </c>
      <c r="BA579" s="254">
        <f t="shared" si="343"/>
        <v>3.1999999999998967E-4</v>
      </c>
      <c r="BB579" s="270">
        <f t="shared" si="336"/>
        <v>1.2837445228704929E-3</v>
      </c>
      <c r="BC579" s="253">
        <f t="shared" si="344"/>
        <v>1.6800000000000077E-3</v>
      </c>
      <c r="BD579" s="255">
        <f t="shared" si="340"/>
        <v>0.16800000000000076</v>
      </c>
      <c r="BI579" s="248"/>
      <c r="CG579" s="351" t="e">
        <f>((((IF($T$5=0,$T$6,$T$5)))/(12*$T$19))+(((3*$T$15)/(2*IF($T$5=0,$T$6,$T$5)*$U$5*$T$19))*'IN-OUT'!$F$14))*'Burland damage classification'!CK579</f>
        <v>#DIV/0!</v>
      </c>
      <c r="CH579" s="352">
        <f>(1+(((IF($T$5=0,$T$6^2,$T$5^2))*$U$5)/(18*$T$15))*('IN-OUT'!$F$14^(-1)))*CL579</f>
        <v>1.2837445228704929E-3</v>
      </c>
      <c r="CI579" s="254" t="e">
        <f t="shared" si="337"/>
        <v>#DIV/0!</v>
      </c>
      <c r="CJ579" s="254" t="e">
        <f t="shared" si="341"/>
        <v>#DIV/0!</v>
      </c>
      <c r="CK579" s="254">
        <f t="shared" si="345"/>
        <v>3.1999999999998967E-4</v>
      </c>
      <c r="CL579" s="270">
        <f t="shared" si="338"/>
        <v>1.2837445228704929E-3</v>
      </c>
      <c r="CM579" s="253">
        <f t="shared" si="346"/>
        <v>1.6800000000000077E-3</v>
      </c>
      <c r="CN579" s="255">
        <f t="shared" si="342"/>
        <v>0.16800000000000076</v>
      </c>
    </row>
    <row r="580" spans="49:92">
      <c r="AW580" s="258">
        <f>(((IF($S$5&lt;&gt;0,$S$5,IF($S$6&lt;&gt;0,$S$6,IF($S$7&lt;&gt;0,$S$7,0))))/(12*$S$19))+(((3*$S$15)/(2*(IF($S$5&lt;&gt;0,$S$5,IF($S$6&lt;&gt;0,$S$6,IF($S$7&lt;&gt;0,$S$7,0))))*$U$5*$S$19))*'IN-OUT'!$F$14))*'Burland damage classification'!BA580</f>
        <v>2.747760844967377E-3</v>
      </c>
      <c r="AX580" s="353">
        <f>(1+(((IF($S$5&lt;&gt;0,$S$5^2,IF($S$6&lt;&gt;0,$S$6^2,IF($S$7&lt;&gt;0,$S$7^2))))*$U$5)/(18*$S$15))*('IN-OUT'!$F$14^(-1)))*BB580</f>
        <v>1.2888932275320014E-3</v>
      </c>
      <c r="AY580" s="254">
        <f t="shared" si="335"/>
        <v>1.2888932275320014E-3</v>
      </c>
      <c r="AZ580" s="254">
        <f t="shared" si="339"/>
        <v>0.12888932275320014</v>
      </c>
      <c r="BA580" s="254">
        <f t="shared" si="343"/>
        <v>3.1333333333332302E-4</v>
      </c>
      <c r="BB580" s="270">
        <f t="shared" si="336"/>
        <v>1.2801041624284548E-3</v>
      </c>
      <c r="BC580" s="253">
        <f t="shared" si="344"/>
        <v>1.6866666666666744E-3</v>
      </c>
      <c r="BD580" s="255">
        <f t="shared" si="340"/>
        <v>0.16866666666666744</v>
      </c>
      <c r="BI580" s="248"/>
      <c r="CG580" s="351" t="e">
        <f>((((IF($T$5=0,$T$6,$T$5)))/(12*$T$19))+(((3*$T$15)/(2*IF($T$5=0,$T$6,$T$5)*$U$5*$T$19))*'IN-OUT'!$F$14))*'Burland damage classification'!CK580</f>
        <v>#DIV/0!</v>
      </c>
      <c r="CH580" s="352">
        <f>(1+(((IF($T$5=0,$T$6^2,$T$5^2))*$U$5)/(18*$T$15))*('IN-OUT'!$F$14^(-1)))*CL580</f>
        <v>1.2801041624284548E-3</v>
      </c>
      <c r="CI580" s="254" t="e">
        <f t="shared" si="337"/>
        <v>#DIV/0!</v>
      </c>
      <c r="CJ580" s="254" t="e">
        <f t="shared" si="341"/>
        <v>#DIV/0!</v>
      </c>
      <c r="CK580" s="254">
        <f t="shared" si="345"/>
        <v>3.1333333333332302E-4</v>
      </c>
      <c r="CL580" s="270">
        <f t="shared" si="338"/>
        <v>1.2801041624284548E-3</v>
      </c>
      <c r="CM580" s="253">
        <f t="shared" si="346"/>
        <v>1.6866666666666744E-3</v>
      </c>
      <c r="CN580" s="255">
        <f t="shared" si="342"/>
        <v>0.16866666666666744</v>
      </c>
    </row>
    <row r="581" spans="49:92">
      <c r="AW581" s="258">
        <f>(((IF($S$5&lt;&gt;0,$S$5,IF($S$6&lt;&gt;0,$S$6,IF($S$7&lt;&gt;0,$S$7,0))))/(12*$S$19))+(((3*$S$15)/(2*(IF($S$5&lt;&gt;0,$S$5,IF($S$6&lt;&gt;0,$S$6,IF($S$7&lt;&gt;0,$S$7,0))))*$U$5*$S$19))*'IN-OUT'!$F$14))*'Burland damage classification'!BA581</f>
        <v>2.6892978482659416E-3</v>
      </c>
      <c r="AX581" s="353">
        <f>(1+(((IF($S$5&lt;&gt;0,$S$5^2,IF($S$6&lt;&gt;0,$S$6^2,IF($S$7&lt;&gt;0,$S$7^2))))*$U$5)/(18*$S$15))*('IN-OUT'!$F$14^(-1)))*BB581</f>
        <v>1.285217419438987E-3</v>
      </c>
      <c r="AY581" s="254">
        <f t="shared" si="335"/>
        <v>1.285217419438987E-3</v>
      </c>
      <c r="AZ581" s="254">
        <f t="shared" si="339"/>
        <v>0.1285217419438987</v>
      </c>
      <c r="BA581" s="254">
        <f t="shared" si="343"/>
        <v>3.0666666666665638E-4</v>
      </c>
      <c r="BB581" s="270">
        <f t="shared" si="336"/>
        <v>1.2764534199622493E-3</v>
      </c>
      <c r="BC581" s="253">
        <f t="shared" si="344"/>
        <v>1.6933333333333412E-3</v>
      </c>
      <c r="BD581" s="255">
        <f t="shared" si="340"/>
        <v>0.16933333333333411</v>
      </c>
      <c r="BI581" s="248"/>
      <c r="CG581" s="351" t="e">
        <f>((((IF($T$5=0,$T$6,$T$5)))/(12*$T$19))+(((3*$T$15)/(2*IF($T$5=0,$T$6,$T$5)*$U$5*$T$19))*'IN-OUT'!$F$14))*'Burland damage classification'!CK581</f>
        <v>#DIV/0!</v>
      </c>
      <c r="CH581" s="352">
        <f>(1+(((IF($T$5=0,$T$6^2,$T$5^2))*$U$5)/(18*$T$15))*('IN-OUT'!$F$14^(-1)))*CL581</f>
        <v>1.2764534199622493E-3</v>
      </c>
      <c r="CI581" s="254" t="e">
        <f t="shared" si="337"/>
        <v>#DIV/0!</v>
      </c>
      <c r="CJ581" s="254" t="e">
        <f t="shared" si="341"/>
        <v>#DIV/0!</v>
      </c>
      <c r="CK581" s="254">
        <f t="shared" si="345"/>
        <v>3.0666666666665638E-4</v>
      </c>
      <c r="CL581" s="270">
        <f t="shared" si="338"/>
        <v>1.2764534199622493E-3</v>
      </c>
      <c r="CM581" s="253">
        <f t="shared" si="346"/>
        <v>1.6933333333333412E-3</v>
      </c>
      <c r="CN581" s="255">
        <f t="shared" si="342"/>
        <v>0.16933333333333411</v>
      </c>
    </row>
    <row r="582" spans="49:92">
      <c r="AW582" s="258">
        <f>(((IF($S$5&lt;&gt;0,$S$5,IF($S$6&lt;&gt;0,$S$6,IF($S$7&lt;&gt;0,$S$7,0))))/(12*$S$19))+(((3*$S$15)/(2*(IF($S$5&lt;&gt;0,$S$5,IF($S$6&lt;&gt;0,$S$6,IF($S$7&lt;&gt;0,$S$7,0))))*$U$5*$S$19))*'IN-OUT'!$F$14))*'Burland damage classification'!BA582</f>
        <v>2.6308348515645063E-3</v>
      </c>
      <c r="AX582" s="353">
        <f>(1+(((IF($S$5&lt;&gt;0,$S$5^2,IF($S$6&lt;&gt;0,$S$6^2,IF($S$7&lt;&gt;0,$S$7^2))))*$U$5)/(18*$S$15))*('IN-OUT'!$F$14^(-1)))*BB582</f>
        <v>1.2815310680904146E-3</v>
      </c>
      <c r="AY582" s="254">
        <f t="shared" si="335"/>
        <v>1.2815310680904146E-3</v>
      </c>
      <c r="AZ582" s="254">
        <f t="shared" si="339"/>
        <v>0.12815310680904146</v>
      </c>
      <c r="BA582" s="254">
        <f t="shared" si="343"/>
        <v>2.9999999999998973E-4</v>
      </c>
      <c r="BB582" s="270">
        <f t="shared" si="336"/>
        <v>1.2727922061357812E-3</v>
      </c>
      <c r="BC582" s="253">
        <f t="shared" si="344"/>
        <v>1.7000000000000079E-3</v>
      </c>
      <c r="BD582" s="255">
        <f t="shared" si="340"/>
        <v>0.17000000000000079</v>
      </c>
      <c r="BI582" s="248"/>
      <c r="CG582" s="351" t="e">
        <f>((((IF($T$5=0,$T$6,$T$5)))/(12*$T$19))+(((3*$T$15)/(2*IF($T$5=0,$T$6,$T$5)*$U$5*$T$19))*'IN-OUT'!$F$14))*'Burland damage classification'!CK582</f>
        <v>#DIV/0!</v>
      </c>
      <c r="CH582" s="352">
        <f>(1+(((IF($T$5=0,$T$6^2,$T$5^2))*$U$5)/(18*$T$15))*('IN-OUT'!$F$14^(-1)))*CL582</f>
        <v>1.2727922061357812E-3</v>
      </c>
      <c r="CI582" s="254" t="e">
        <f t="shared" si="337"/>
        <v>#DIV/0!</v>
      </c>
      <c r="CJ582" s="254" t="e">
        <f t="shared" si="341"/>
        <v>#DIV/0!</v>
      </c>
      <c r="CK582" s="254">
        <f t="shared" si="345"/>
        <v>2.9999999999998973E-4</v>
      </c>
      <c r="CL582" s="270">
        <f t="shared" si="338"/>
        <v>1.2727922061357812E-3</v>
      </c>
      <c r="CM582" s="253">
        <f t="shared" si="346"/>
        <v>1.7000000000000079E-3</v>
      </c>
      <c r="CN582" s="255">
        <f t="shared" si="342"/>
        <v>0.17000000000000079</v>
      </c>
    </row>
    <row r="583" spans="49:92">
      <c r="AW583" s="258">
        <f>(((IF($S$5&lt;&gt;0,$S$5,IF($S$6&lt;&gt;0,$S$6,IF($S$7&lt;&gt;0,$S$7,0))))/(12*$S$19))+(((3*$S$15)/(2*(IF($S$5&lt;&gt;0,$S$5,IF($S$6&lt;&gt;0,$S$6,IF($S$7&lt;&gt;0,$S$7,0))))*$U$5*$S$19))*'IN-OUT'!$F$14))*'Burland damage classification'!BA583</f>
        <v>2.5723718548630713E-3</v>
      </c>
      <c r="AX583" s="353">
        <f>(1+(((IF($S$5&lt;&gt;0,$S$5^2,IF($S$6&lt;&gt;0,$S$6^2,IF($S$7&lt;&gt;0,$S$7^2))))*$U$5)/(18*$S$15))*('IN-OUT'!$F$14^(-1)))*BB583</f>
        <v>1.2778340822393605E-3</v>
      </c>
      <c r="AY583" s="254">
        <f t="shared" ref="AY583:AY627" si="347">MIN(AW583,AX583)</f>
        <v>1.2778340822393605E-3</v>
      </c>
      <c r="AZ583" s="254">
        <f t="shared" si="339"/>
        <v>0.12778340822393605</v>
      </c>
      <c r="BA583" s="254">
        <f t="shared" si="343"/>
        <v>2.9333333333332308E-4</v>
      </c>
      <c r="BB583" s="270">
        <f t="shared" ref="BB583:BB627" si="348">($P$28^2-(2*0.35*$P$28*BC583))^0.5</f>
        <v>1.2691204303243468E-3</v>
      </c>
      <c r="BC583" s="253">
        <f t="shared" si="344"/>
        <v>1.7066666666666747E-3</v>
      </c>
      <c r="BD583" s="255">
        <f t="shared" si="340"/>
        <v>0.17066666666666747</v>
      </c>
      <c r="BI583" s="248"/>
      <c r="CG583" s="351" t="e">
        <f>((((IF($T$5=0,$T$6,$T$5)))/(12*$T$19))+(((3*$T$15)/(2*IF($T$5=0,$T$6,$T$5)*$U$5*$T$19))*'IN-OUT'!$F$14))*'Burland damage classification'!CK583</f>
        <v>#DIV/0!</v>
      </c>
      <c r="CH583" s="352">
        <f>(1+(((IF($T$5=0,$T$6^2,$T$5^2))*$U$5)/(18*$T$15))*('IN-OUT'!$F$14^(-1)))*CL583</f>
        <v>1.2691204303243468E-3</v>
      </c>
      <c r="CI583" s="254" t="e">
        <f t="shared" ref="CI583:CI627" si="349">MIN(CG583,CH583)</f>
        <v>#DIV/0!</v>
      </c>
      <c r="CJ583" s="254" t="e">
        <f t="shared" si="341"/>
        <v>#DIV/0!</v>
      </c>
      <c r="CK583" s="254">
        <f t="shared" si="345"/>
        <v>2.9333333333332308E-4</v>
      </c>
      <c r="CL583" s="270">
        <f t="shared" ref="CL583:CL627" si="350">($P$28^2-(2*0.35*$P$28*CM583))^0.5</f>
        <v>1.2691204303243468E-3</v>
      </c>
      <c r="CM583" s="253">
        <f t="shared" si="346"/>
        <v>1.7066666666666747E-3</v>
      </c>
      <c r="CN583" s="255">
        <f t="shared" si="342"/>
        <v>0.17066666666666747</v>
      </c>
    </row>
    <row r="584" spans="49:92">
      <c r="AW584" s="258">
        <f>(((IF($S$5&lt;&gt;0,$S$5,IF($S$6&lt;&gt;0,$S$6,IF($S$7&lt;&gt;0,$S$7,0))))/(12*$S$19))+(((3*$S$15)/(2*(IF($S$5&lt;&gt;0,$S$5,IF($S$6&lt;&gt;0,$S$6,IF($S$7&lt;&gt;0,$S$7,0))))*$U$5*$S$19))*'IN-OUT'!$F$14))*'Burland damage classification'!BA584</f>
        <v>2.513908858161636E-3</v>
      </c>
      <c r="AX584" s="353">
        <f>(1+(((IF($S$5&lt;&gt;0,$S$5^2,IF($S$6&lt;&gt;0,$S$6^2,IF($S$7&lt;&gt;0,$S$7^2))))*$U$5)/(18*$S$15))*('IN-OUT'!$F$14^(-1)))*BB584</f>
        <v>1.2741263693150922E-3</v>
      </c>
      <c r="AY584" s="254">
        <f t="shared" si="347"/>
        <v>1.2741263693150922E-3</v>
      </c>
      <c r="AZ584" s="254">
        <f t="shared" ref="AZ584:AZ627" si="351">AY584*100</f>
        <v>0.12741263693150923</v>
      </c>
      <c r="BA584" s="254">
        <f t="shared" si="343"/>
        <v>2.8666666666665643E-4</v>
      </c>
      <c r="BB584" s="270">
        <f t="shared" si="348"/>
        <v>1.2654380005884609E-3</v>
      </c>
      <c r="BC584" s="253">
        <f t="shared" si="344"/>
        <v>1.7133333333333414E-3</v>
      </c>
      <c r="BD584" s="255">
        <f t="shared" ref="BD584:BD627" si="352">BC584*100</f>
        <v>0.17133333333333414</v>
      </c>
      <c r="BI584" s="248"/>
      <c r="CG584" s="351" t="e">
        <f>((((IF($T$5=0,$T$6,$T$5)))/(12*$T$19))+(((3*$T$15)/(2*IF($T$5=0,$T$6,$T$5)*$U$5*$T$19))*'IN-OUT'!$F$14))*'Burland damage classification'!CK584</f>
        <v>#DIV/0!</v>
      </c>
      <c r="CH584" s="352">
        <f>(1+(((IF($T$5=0,$T$6^2,$T$5^2))*$U$5)/(18*$T$15))*('IN-OUT'!$F$14^(-1)))*CL584</f>
        <v>1.2654380005884609E-3</v>
      </c>
      <c r="CI584" s="254" t="e">
        <f t="shared" si="349"/>
        <v>#DIV/0!</v>
      </c>
      <c r="CJ584" s="254" t="e">
        <f t="shared" ref="CJ584:CJ627" si="353">CI584*100</f>
        <v>#DIV/0!</v>
      </c>
      <c r="CK584" s="254">
        <f t="shared" si="345"/>
        <v>2.8666666666665643E-4</v>
      </c>
      <c r="CL584" s="270">
        <f t="shared" si="350"/>
        <v>1.2654380005884609E-3</v>
      </c>
      <c r="CM584" s="253">
        <f t="shared" si="346"/>
        <v>1.7133333333333414E-3</v>
      </c>
      <c r="CN584" s="255">
        <f t="shared" ref="CN584:CN627" si="354">CM584*100</f>
        <v>0.17133333333333414</v>
      </c>
    </row>
    <row r="585" spans="49:92">
      <c r="AW585" s="258">
        <f>(((IF($S$5&lt;&gt;0,$S$5,IF($S$6&lt;&gt;0,$S$6,IF($S$7&lt;&gt;0,$S$7,0))))/(12*$S$19))+(((3*$S$15)/(2*(IF($S$5&lt;&gt;0,$S$5,IF($S$6&lt;&gt;0,$S$6,IF($S$7&lt;&gt;0,$S$7,0))))*$U$5*$S$19))*'IN-OUT'!$F$14))*'Burland damage classification'!BA585</f>
        <v>2.4554458614602006E-3</v>
      </c>
      <c r="AX585" s="353">
        <f>(1+(((IF($S$5&lt;&gt;0,$S$5^2,IF($S$6&lt;&gt;0,$S$6^2,IF($S$7&lt;&gt;0,$S$7^2))))*$U$5)/(18*$S$15))*('IN-OUT'!$F$14^(-1)))*BB585</f>
        <v>1.2704078353960228E-3</v>
      </c>
      <c r="AY585" s="254">
        <f t="shared" si="347"/>
        <v>1.2704078353960228E-3</v>
      </c>
      <c r="AZ585" s="254">
        <f t="shared" si="351"/>
        <v>0.1270407835396023</v>
      </c>
      <c r="BA585" s="254">
        <f t="shared" ref="BA585:BA627" si="355">BA584-($P$28/300)</f>
        <v>2.7999999999998978E-4</v>
      </c>
      <c r="BB585" s="270">
        <f t="shared" si="348"/>
        <v>1.2617448236469956E-3</v>
      </c>
      <c r="BC585" s="253">
        <f t="shared" ref="BC585:BC627" si="356">BC584+($P$28/300)</f>
        <v>1.7200000000000082E-3</v>
      </c>
      <c r="BD585" s="255">
        <f t="shared" si="352"/>
        <v>0.17200000000000082</v>
      </c>
      <c r="BI585" s="248"/>
      <c r="CG585" s="351" t="e">
        <f>((((IF($T$5=0,$T$6,$T$5)))/(12*$T$19))+(((3*$T$15)/(2*IF($T$5=0,$T$6,$T$5)*$U$5*$T$19))*'IN-OUT'!$F$14))*'Burland damage classification'!CK585</f>
        <v>#DIV/0!</v>
      </c>
      <c r="CH585" s="352">
        <f>(1+(((IF($T$5=0,$T$6^2,$T$5^2))*$U$5)/(18*$T$15))*('IN-OUT'!$F$14^(-1)))*CL585</f>
        <v>1.2617448236469956E-3</v>
      </c>
      <c r="CI585" s="254" t="e">
        <f t="shared" si="349"/>
        <v>#DIV/0!</v>
      </c>
      <c r="CJ585" s="254" t="e">
        <f t="shared" si="353"/>
        <v>#DIV/0!</v>
      </c>
      <c r="CK585" s="254">
        <f t="shared" ref="CK585:CK627" si="357">CK584-($P$28/300)</f>
        <v>2.7999999999998978E-4</v>
      </c>
      <c r="CL585" s="270">
        <f t="shared" si="350"/>
        <v>1.2617448236469956E-3</v>
      </c>
      <c r="CM585" s="253">
        <f t="shared" ref="CM585:CM627" si="358">CM584+($P$28/300)</f>
        <v>1.7200000000000082E-3</v>
      </c>
      <c r="CN585" s="255">
        <f t="shared" si="354"/>
        <v>0.17200000000000082</v>
      </c>
    </row>
    <row r="586" spans="49:92">
      <c r="AW586" s="258">
        <f>(((IF($S$5&lt;&gt;0,$S$5,IF($S$6&lt;&gt;0,$S$6,IF($S$7&lt;&gt;0,$S$7,0))))/(12*$S$19))+(((3*$S$15)/(2*(IF($S$5&lt;&gt;0,$S$5,IF($S$6&lt;&gt;0,$S$6,IF($S$7&lt;&gt;0,$S$7,0))))*$U$5*$S$19))*'IN-OUT'!$F$14))*'Burland damage classification'!BA586</f>
        <v>2.3969828647587652E-3</v>
      </c>
      <c r="AX586" s="353">
        <f>(1+(((IF($S$5&lt;&gt;0,$S$5^2,IF($S$6&lt;&gt;0,$S$6^2,IF($S$7&lt;&gt;0,$S$7^2))))*$U$5)/(18*$S$15))*('IN-OUT'!$F$14^(-1)))*BB586</f>
        <v>1.2666783851819521E-3</v>
      </c>
      <c r="AY586" s="254">
        <f t="shared" si="347"/>
        <v>1.2666783851819521E-3</v>
      </c>
      <c r="AZ586" s="254">
        <f t="shared" si="351"/>
        <v>0.12666783851819521</v>
      </c>
      <c r="BA586" s="254">
        <f t="shared" si="355"/>
        <v>2.7333333333332314E-4</v>
      </c>
      <c r="BB586" s="270">
        <f t="shared" si="348"/>
        <v>1.2580408048496101E-3</v>
      </c>
      <c r="BC586" s="253">
        <f t="shared" si="356"/>
        <v>1.726666666666675E-3</v>
      </c>
      <c r="BD586" s="255">
        <f t="shared" si="352"/>
        <v>0.1726666666666675</v>
      </c>
      <c r="BI586" s="248"/>
      <c r="CG586" s="351" t="e">
        <f>((((IF($T$5=0,$T$6,$T$5)))/(12*$T$19))+(((3*$T$15)/(2*IF($T$5=0,$T$6,$T$5)*$U$5*$T$19))*'IN-OUT'!$F$14))*'Burland damage classification'!CK586</f>
        <v>#DIV/0!</v>
      </c>
      <c r="CH586" s="352">
        <f>(1+(((IF($T$5=0,$T$6^2,$T$5^2))*$U$5)/(18*$T$15))*('IN-OUT'!$F$14^(-1)))*CL586</f>
        <v>1.2580408048496101E-3</v>
      </c>
      <c r="CI586" s="254" t="e">
        <f t="shared" si="349"/>
        <v>#DIV/0!</v>
      </c>
      <c r="CJ586" s="254" t="e">
        <f t="shared" si="353"/>
        <v>#DIV/0!</v>
      </c>
      <c r="CK586" s="254">
        <f t="shared" si="357"/>
        <v>2.7333333333332314E-4</v>
      </c>
      <c r="CL586" s="270">
        <f t="shared" si="350"/>
        <v>1.2580408048496101E-3</v>
      </c>
      <c r="CM586" s="253">
        <f t="shared" si="358"/>
        <v>1.726666666666675E-3</v>
      </c>
      <c r="CN586" s="255">
        <f t="shared" si="354"/>
        <v>0.1726666666666675</v>
      </c>
    </row>
    <row r="587" spans="49:92">
      <c r="AW587" s="258">
        <f>(((IF($S$5&lt;&gt;0,$S$5,IF($S$6&lt;&gt;0,$S$6,IF($S$7&lt;&gt;0,$S$7,0))))/(12*$S$19))+(((3*$S$15)/(2*(IF($S$5&lt;&gt;0,$S$5,IF($S$6&lt;&gt;0,$S$6,IF($S$7&lt;&gt;0,$S$7,0))))*$U$5*$S$19))*'IN-OUT'!$F$14))*'Burland damage classification'!BA587</f>
        <v>2.3385198680573299E-3</v>
      </c>
      <c r="AX587" s="353">
        <f>(1+(((IF($S$5&lt;&gt;0,$S$5^2,IF($S$6&lt;&gt;0,$S$6^2,IF($S$7&lt;&gt;0,$S$7^2))))*$U$5)/(18*$S$15))*('IN-OUT'!$F$14^(-1)))*BB587</f>
        <v>1.2629379219655683E-3</v>
      </c>
      <c r="AY587" s="254">
        <f t="shared" si="347"/>
        <v>1.2629379219655683E-3</v>
      </c>
      <c r="AZ587" s="254">
        <f t="shared" si="351"/>
        <v>0.12629379219655684</v>
      </c>
      <c r="BA587" s="254">
        <f t="shared" si="355"/>
        <v>2.6666666666665649E-4</v>
      </c>
      <c r="BB587" s="270">
        <f t="shared" si="348"/>
        <v>1.2543258481484472E-3</v>
      </c>
      <c r="BC587" s="253">
        <f t="shared" si="356"/>
        <v>1.7333333333333417E-3</v>
      </c>
      <c r="BD587" s="255">
        <f t="shared" si="352"/>
        <v>0.17333333333333417</v>
      </c>
      <c r="BI587" s="248"/>
      <c r="CG587" s="351" t="e">
        <f>((((IF($T$5=0,$T$6,$T$5)))/(12*$T$19))+(((3*$T$15)/(2*IF($T$5=0,$T$6,$T$5)*$U$5*$T$19))*'IN-OUT'!$F$14))*'Burland damage classification'!CK587</f>
        <v>#DIV/0!</v>
      </c>
      <c r="CH587" s="352">
        <f>(1+(((IF($T$5=0,$T$6^2,$T$5^2))*$U$5)/(18*$T$15))*('IN-OUT'!$F$14^(-1)))*CL587</f>
        <v>1.2543258481484472E-3</v>
      </c>
      <c r="CI587" s="254" t="e">
        <f t="shared" si="349"/>
        <v>#DIV/0!</v>
      </c>
      <c r="CJ587" s="254" t="e">
        <f t="shared" si="353"/>
        <v>#DIV/0!</v>
      </c>
      <c r="CK587" s="254">
        <f t="shared" si="357"/>
        <v>2.6666666666665649E-4</v>
      </c>
      <c r="CL587" s="270">
        <f t="shared" si="350"/>
        <v>1.2543258481484472E-3</v>
      </c>
      <c r="CM587" s="253">
        <f t="shared" si="358"/>
        <v>1.7333333333333417E-3</v>
      </c>
      <c r="CN587" s="255">
        <f t="shared" si="354"/>
        <v>0.17333333333333417</v>
      </c>
    </row>
    <row r="588" spans="49:92">
      <c r="AW588" s="258">
        <f>(((IF($S$5&lt;&gt;0,$S$5,IF($S$6&lt;&gt;0,$S$6,IF($S$7&lt;&gt;0,$S$7,0))))/(12*$S$19))+(((3*$S$15)/(2*(IF($S$5&lt;&gt;0,$S$5,IF($S$6&lt;&gt;0,$S$6,IF($S$7&lt;&gt;0,$S$7,0))))*$U$5*$S$19))*'IN-OUT'!$F$14))*'Burland damage classification'!BA588</f>
        <v>2.2800568713558945E-3</v>
      </c>
      <c r="AX588" s="353">
        <f>(1+(((IF($S$5&lt;&gt;0,$S$5^2,IF($S$6&lt;&gt;0,$S$6^2,IF($S$7&lt;&gt;0,$S$7^2))))*$U$5)/(18*$S$15))*('IN-OUT'!$F$14^(-1)))*BB588</f>
        <v>1.2591863476031884E-3</v>
      </c>
      <c r="AY588" s="254">
        <f t="shared" si="347"/>
        <v>1.2591863476031884E-3</v>
      </c>
      <c r="AZ588" s="254">
        <f t="shared" si="351"/>
        <v>0.12591863476031884</v>
      </c>
      <c r="BA588" s="254">
        <f t="shared" si="355"/>
        <v>2.5999999999998984E-4</v>
      </c>
      <c r="BB588" s="270">
        <f t="shared" si="348"/>
        <v>1.2505998560690737E-3</v>
      </c>
      <c r="BC588" s="253">
        <f t="shared" si="356"/>
        <v>1.7400000000000085E-3</v>
      </c>
      <c r="BD588" s="255">
        <f t="shared" si="352"/>
        <v>0.17400000000000085</v>
      </c>
      <c r="BI588" s="248"/>
      <c r="CG588" s="351" t="e">
        <f>((((IF($T$5=0,$T$6,$T$5)))/(12*$T$19))+(((3*$T$15)/(2*IF($T$5=0,$T$6,$T$5)*$U$5*$T$19))*'IN-OUT'!$F$14))*'Burland damage classification'!CK588</f>
        <v>#DIV/0!</v>
      </c>
      <c r="CH588" s="352">
        <f>(1+(((IF($T$5=0,$T$6^2,$T$5^2))*$U$5)/(18*$T$15))*('IN-OUT'!$F$14^(-1)))*CL588</f>
        <v>1.2505998560690737E-3</v>
      </c>
      <c r="CI588" s="254" t="e">
        <f t="shared" si="349"/>
        <v>#DIV/0!</v>
      </c>
      <c r="CJ588" s="254" t="e">
        <f t="shared" si="353"/>
        <v>#DIV/0!</v>
      </c>
      <c r="CK588" s="254">
        <f t="shared" si="357"/>
        <v>2.5999999999998984E-4</v>
      </c>
      <c r="CL588" s="270">
        <f t="shared" si="350"/>
        <v>1.2505998560690737E-3</v>
      </c>
      <c r="CM588" s="253">
        <f t="shared" si="358"/>
        <v>1.7400000000000085E-3</v>
      </c>
      <c r="CN588" s="255">
        <f t="shared" si="354"/>
        <v>0.17400000000000085</v>
      </c>
    </row>
    <row r="589" spans="49:92">
      <c r="AW589" s="258">
        <f>(((IF($S$5&lt;&gt;0,$S$5,IF($S$6&lt;&gt;0,$S$6,IF($S$7&lt;&gt;0,$S$7,0))))/(12*$S$19))+(((3*$S$15)/(2*(IF($S$5&lt;&gt;0,$S$5,IF($S$6&lt;&gt;0,$S$6,IF($S$7&lt;&gt;0,$S$7,0))))*$U$5*$S$19))*'IN-OUT'!$F$14))*'Burland damage classification'!BA589</f>
        <v>2.2215938746544591E-3</v>
      </c>
      <c r="AX589" s="353">
        <f>(1+(((IF($S$5&lt;&gt;0,$S$5^2,IF($S$6&lt;&gt;0,$S$6^2,IF($S$7&lt;&gt;0,$S$7^2))))*$U$5)/(18*$S$15))*('IN-OUT'!$F$14^(-1)))*BB589</f>
        <v>1.2554235624847128E-3</v>
      </c>
      <c r="AY589" s="254">
        <f t="shared" si="347"/>
        <v>1.2554235624847128E-3</v>
      </c>
      <c r="AZ589" s="254">
        <f t="shared" si="351"/>
        <v>0.12554235624847127</v>
      </c>
      <c r="BA589" s="254">
        <f t="shared" si="355"/>
        <v>2.5333333333332319E-4</v>
      </c>
      <c r="BB589" s="270">
        <f t="shared" si="348"/>
        <v>1.2468627296806391E-3</v>
      </c>
      <c r="BC589" s="253">
        <f t="shared" si="356"/>
        <v>1.7466666666666752E-3</v>
      </c>
      <c r="BD589" s="255">
        <f t="shared" si="352"/>
        <v>0.17466666666666752</v>
      </c>
      <c r="BI589" s="248"/>
      <c r="CG589" s="351" t="e">
        <f>((((IF($T$5=0,$T$6,$T$5)))/(12*$T$19))+(((3*$T$15)/(2*IF($T$5=0,$T$6,$T$5)*$U$5*$T$19))*'IN-OUT'!$F$14))*'Burland damage classification'!CK589</f>
        <v>#DIV/0!</v>
      </c>
      <c r="CH589" s="352">
        <f>(1+(((IF($T$5=0,$T$6^2,$T$5^2))*$U$5)/(18*$T$15))*('IN-OUT'!$F$14^(-1)))*CL589</f>
        <v>1.2468627296806391E-3</v>
      </c>
      <c r="CI589" s="254" t="e">
        <f t="shared" si="349"/>
        <v>#DIV/0!</v>
      </c>
      <c r="CJ589" s="254" t="e">
        <f t="shared" si="353"/>
        <v>#DIV/0!</v>
      </c>
      <c r="CK589" s="254">
        <f t="shared" si="357"/>
        <v>2.5333333333332319E-4</v>
      </c>
      <c r="CL589" s="270">
        <f t="shared" si="350"/>
        <v>1.2468627296806391E-3</v>
      </c>
      <c r="CM589" s="253">
        <f t="shared" si="358"/>
        <v>1.7466666666666752E-3</v>
      </c>
      <c r="CN589" s="255">
        <f t="shared" si="354"/>
        <v>0.17466666666666752</v>
      </c>
    </row>
    <row r="590" spans="49:92">
      <c r="AW590" s="258">
        <f>(((IF($S$5&lt;&gt;0,$S$5,IF($S$6&lt;&gt;0,$S$6,IF($S$7&lt;&gt;0,$S$7,0))))/(12*$S$19))+(((3*$S$15)/(2*(IF($S$5&lt;&gt;0,$S$5,IF($S$6&lt;&gt;0,$S$6,IF($S$7&lt;&gt;0,$S$7,0))))*$U$5*$S$19))*'IN-OUT'!$F$14))*'Burland damage classification'!BA590</f>
        <v>2.1631308779530237E-3</v>
      </c>
      <c r="AX590" s="353">
        <f>(1+(((IF($S$5&lt;&gt;0,$S$5^2,IF($S$6&lt;&gt;0,$S$6^2,IF($S$7&lt;&gt;0,$S$7^2))))*$U$5)/(18*$S$15))*('IN-OUT'!$F$14^(-1)))*BB590</f>
        <v>1.2516494655027651E-3</v>
      </c>
      <c r="AY590" s="254">
        <f t="shared" si="347"/>
        <v>1.2516494655027651E-3</v>
      </c>
      <c r="AZ590" s="254">
        <f t="shared" si="351"/>
        <v>0.12516494655027652</v>
      </c>
      <c r="BA590" s="254">
        <f t="shared" si="355"/>
        <v>2.4666666666665654E-4</v>
      </c>
      <c r="BB590" s="270">
        <f t="shared" si="348"/>
        <v>1.2431143685652261E-3</v>
      </c>
      <c r="BC590" s="253">
        <f t="shared" si="356"/>
        <v>1.753333333333342E-3</v>
      </c>
      <c r="BD590" s="255">
        <f t="shared" si="352"/>
        <v>0.1753333333333342</v>
      </c>
      <c r="BI590" s="248"/>
      <c r="CG590" s="351" t="e">
        <f>((((IF($T$5=0,$T$6,$T$5)))/(12*$T$19))+(((3*$T$15)/(2*IF($T$5=0,$T$6,$T$5)*$U$5*$T$19))*'IN-OUT'!$F$14))*'Burland damage classification'!CK590</f>
        <v>#DIV/0!</v>
      </c>
      <c r="CH590" s="352">
        <f>(1+(((IF($T$5=0,$T$6^2,$T$5^2))*$U$5)/(18*$T$15))*('IN-OUT'!$F$14^(-1)))*CL590</f>
        <v>1.2431143685652261E-3</v>
      </c>
      <c r="CI590" s="254" t="e">
        <f t="shared" si="349"/>
        <v>#DIV/0!</v>
      </c>
      <c r="CJ590" s="254" t="e">
        <f t="shared" si="353"/>
        <v>#DIV/0!</v>
      </c>
      <c r="CK590" s="254">
        <f t="shared" si="357"/>
        <v>2.4666666666665654E-4</v>
      </c>
      <c r="CL590" s="270">
        <f t="shared" si="350"/>
        <v>1.2431143685652261E-3</v>
      </c>
      <c r="CM590" s="253">
        <f t="shared" si="358"/>
        <v>1.753333333333342E-3</v>
      </c>
      <c r="CN590" s="255">
        <f t="shared" si="354"/>
        <v>0.1753333333333342</v>
      </c>
    </row>
    <row r="591" spans="49:92">
      <c r="AW591" s="258">
        <f>(((IF($S$5&lt;&gt;0,$S$5,IF($S$6&lt;&gt;0,$S$6,IF($S$7&lt;&gt;0,$S$7,0))))/(12*$S$19))+(((3*$S$15)/(2*(IF($S$5&lt;&gt;0,$S$5,IF($S$6&lt;&gt;0,$S$6,IF($S$7&lt;&gt;0,$S$7,0))))*$U$5*$S$19))*'IN-OUT'!$F$14))*'Burland damage classification'!BA591</f>
        <v>2.1046678812515884E-3</v>
      </c>
      <c r="AX591" s="353">
        <f>(1+(((IF($S$5&lt;&gt;0,$S$5^2,IF($S$6&lt;&gt;0,$S$6^2,IF($S$7&lt;&gt;0,$S$7^2))))*$U$5)/(18*$S$15))*('IN-OUT'!$F$14^(-1)))*BB591</f>
        <v>1.2478639540209932E-3</v>
      </c>
      <c r="AY591" s="254">
        <f t="shared" si="347"/>
        <v>1.2478639540209932E-3</v>
      </c>
      <c r="AZ591" s="254">
        <f t="shared" si="351"/>
        <v>0.12478639540209932</v>
      </c>
      <c r="BA591" s="254">
        <f t="shared" si="355"/>
        <v>2.3999999999998987E-4</v>
      </c>
      <c r="BB591" s="270">
        <f t="shared" si="348"/>
        <v>1.2393546707863683E-3</v>
      </c>
      <c r="BC591" s="253">
        <f t="shared" si="356"/>
        <v>1.7600000000000087E-3</v>
      </c>
      <c r="BD591" s="255">
        <f t="shared" si="352"/>
        <v>0.17600000000000088</v>
      </c>
      <c r="BI591" s="248"/>
      <c r="CG591" s="351" t="e">
        <f>((((IF($T$5=0,$T$6,$T$5)))/(12*$T$19))+(((3*$T$15)/(2*IF($T$5=0,$T$6,$T$5)*$U$5*$T$19))*'IN-OUT'!$F$14))*'Burland damage classification'!CK591</f>
        <v>#DIV/0!</v>
      </c>
      <c r="CH591" s="352">
        <f>(1+(((IF($T$5=0,$T$6^2,$T$5^2))*$U$5)/(18*$T$15))*('IN-OUT'!$F$14^(-1)))*CL591</f>
        <v>1.2393546707863683E-3</v>
      </c>
      <c r="CI591" s="254" t="e">
        <f t="shared" si="349"/>
        <v>#DIV/0!</v>
      </c>
      <c r="CJ591" s="254" t="e">
        <f t="shared" si="353"/>
        <v>#DIV/0!</v>
      </c>
      <c r="CK591" s="254">
        <f t="shared" si="357"/>
        <v>2.3999999999998987E-4</v>
      </c>
      <c r="CL591" s="270">
        <f t="shared" si="350"/>
        <v>1.2393546707863683E-3</v>
      </c>
      <c r="CM591" s="253">
        <f t="shared" si="358"/>
        <v>1.7600000000000087E-3</v>
      </c>
      <c r="CN591" s="255">
        <f t="shared" si="354"/>
        <v>0.17600000000000088</v>
      </c>
    </row>
    <row r="592" spans="49:92">
      <c r="AW592" s="258">
        <f>(((IF($S$5&lt;&gt;0,$S$5,IF($S$6&lt;&gt;0,$S$6,IF($S$7&lt;&gt;0,$S$7,0))))/(12*$S$19))+(((3*$S$15)/(2*(IF($S$5&lt;&gt;0,$S$5,IF($S$6&lt;&gt;0,$S$6,IF($S$7&lt;&gt;0,$S$7,0))))*$U$5*$S$19))*'IN-OUT'!$F$14))*'Burland damage classification'!BA592</f>
        <v>2.046204884550153E-3</v>
      </c>
      <c r="AX592" s="353">
        <f>(1+(((IF($S$5&lt;&gt;0,$S$5^2,IF($S$6&lt;&gt;0,$S$6^2,IF($S$7&lt;&gt;0,$S$7^2))))*$U$5)/(18*$S$15))*('IN-OUT'!$F$14^(-1)))*BB592</f>
        <v>1.2440669238415018E-3</v>
      </c>
      <c r="AY592" s="254">
        <f t="shared" si="347"/>
        <v>1.2440669238415018E-3</v>
      </c>
      <c r="AZ592" s="254">
        <f t="shared" si="351"/>
        <v>0.12440669238415018</v>
      </c>
      <c r="BA592" s="254">
        <f t="shared" si="355"/>
        <v>2.3333333333332319E-4</v>
      </c>
      <c r="BB592" s="270">
        <f t="shared" si="348"/>
        <v>1.235583532856704E-3</v>
      </c>
      <c r="BC592" s="253">
        <f t="shared" si="356"/>
        <v>1.7666666666666755E-3</v>
      </c>
      <c r="BD592" s="255">
        <f t="shared" si="352"/>
        <v>0.17666666666666755</v>
      </c>
      <c r="BI592" s="248"/>
      <c r="CG592" s="351" t="e">
        <f>((((IF($T$5=0,$T$6,$T$5)))/(12*$T$19))+(((3*$T$15)/(2*IF($T$5=0,$T$6,$T$5)*$U$5*$T$19))*'IN-OUT'!$F$14))*'Burland damage classification'!CK592</f>
        <v>#DIV/0!</v>
      </c>
      <c r="CH592" s="352">
        <f>(1+(((IF($T$5=0,$T$6^2,$T$5^2))*$U$5)/(18*$T$15))*('IN-OUT'!$F$14^(-1)))*CL592</f>
        <v>1.235583532856704E-3</v>
      </c>
      <c r="CI592" s="254" t="e">
        <f t="shared" si="349"/>
        <v>#DIV/0!</v>
      </c>
      <c r="CJ592" s="254" t="e">
        <f t="shared" si="353"/>
        <v>#DIV/0!</v>
      </c>
      <c r="CK592" s="254">
        <f t="shared" si="357"/>
        <v>2.3333333333332319E-4</v>
      </c>
      <c r="CL592" s="270">
        <f t="shared" si="350"/>
        <v>1.235583532856704E-3</v>
      </c>
      <c r="CM592" s="253">
        <f t="shared" si="358"/>
        <v>1.7666666666666755E-3</v>
      </c>
      <c r="CN592" s="255">
        <f t="shared" si="354"/>
        <v>0.17666666666666755</v>
      </c>
    </row>
    <row r="593" spans="3:162">
      <c r="AW593" s="258">
        <f>(((IF($S$5&lt;&gt;0,$S$5,IF($S$6&lt;&gt;0,$S$6,IF($S$7&lt;&gt;0,$S$7,0))))/(12*$S$19))+(((3*$S$15)/(2*(IF($S$5&lt;&gt;0,$S$5,IF($S$6&lt;&gt;0,$S$6,IF($S$7&lt;&gt;0,$S$7,0))))*$U$5*$S$19))*'IN-OUT'!$F$14))*'Burland damage classification'!BA593</f>
        <v>1.9877418878487172E-3</v>
      </c>
      <c r="AX593" s="353">
        <f>(1+(((IF($S$5&lt;&gt;0,$S$5^2,IF($S$6&lt;&gt;0,$S$6^2,IF($S$7&lt;&gt;0,$S$7^2))))*$U$5)/(18*$S$15))*('IN-OUT'!$F$14^(-1)))*BB593</f>
        <v>1.240258269171388E-3</v>
      </c>
      <c r="AY593" s="254">
        <f t="shared" si="347"/>
        <v>1.240258269171388E-3</v>
      </c>
      <c r="AZ593" s="254">
        <f t="shared" si="351"/>
        <v>0.1240258269171388</v>
      </c>
      <c r="BA593" s="254">
        <f t="shared" si="355"/>
        <v>2.2666666666665652E-4</v>
      </c>
      <c r="BB593" s="270">
        <f t="shared" si="348"/>
        <v>1.2318008497047405E-3</v>
      </c>
      <c r="BC593" s="253">
        <f t="shared" si="356"/>
        <v>1.7733333333333422E-3</v>
      </c>
      <c r="BD593" s="255">
        <f t="shared" si="352"/>
        <v>0.17733333333333423</v>
      </c>
      <c r="BI593" s="248"/>
      <c r="CG593" s="351" t="e">
        <f>((((IF($T$5=0,$T$6,$T$5)))/(12*$T$19))+(((3*$T$15)/(2*IF($T$5=0,$T$6,$T$5)*$U$5*$T$19))*'IN-OUT'!$F$14))*'Burland damage classification'!CK593</f>
        <v>#DIV/0!</v>
      </c>
      <c r="CH593" s="352">
        <f>(1+(((IF($T$5=0,$T$6^2,$T$5^2))*$U$5)/(18*$T$15))*('IN-OUT'!$F$14^(-1)))*CL593</f>
        <v>1.2318008497047405E-3</v>
      </c>
      <c r="CI593" s="254" t="e">
        <f t="shared" si="349"/>
        <v>#DIV/0!</v>
      </c>
      <c r="CJ593" s="254" t="e">
        <f t="shared" si="353"/>
        <v>#DIV/0!</v>
      </c>
      <c r="CK593" s="254">
        <f t="shared" si="357"/>
        <v>2.2666666666665652E-4</v>
      </c>
      <c r="CL593" s="270">
        <f t="shared" si="350"/>
        <v>1.2318008497047405E-3</v>
      </c>
      <c r="CM593" s="253">
        <f t="shared" si="358"/>
        <v>1.7733333333333422E-3</v>
      </c>
      <c r="CN593" s="255">
        <f t="shared" si="354"/>
        <v>0.17733333333333423</v>
      </c>
    </row>
    <row r="594" spans="3:162">
      <c r="AW594" s="258">
        <f>(((IF($S$5&lt;&gt;0,$S$5,IF($S$6&lt;&gt;0,$S$6,IF($S$7&lt;&gt;0,$S$7,0))))/(12*$S$19))+(((3*$S$15)/(2*(IF($S$5&lt;&gt;0,$S$5,IF($S$6&lt;&gt;0,$S$6,IF($S$7&lt;&gt;0,$S$7,0))))*$U$5*$S$19))*'IN-OUT'!$F$14))*'Burland damage classification'!BA594</f>
        <v>1.9292788911472818E-3</v>
      </c>
      <c r="AX594" s="353">
        <f>(1+(((IF($S$5&lt;&gt;0,$S$5^2,IF($S$6&lt;&gt;0,$S$6^2,IF($S$7&lt;&gt;0,$S$7^2))))*$U$5)/(18*$S$15))*('IN-OUT'!$F$14^(-1)))*BB594</f>
        <v>1.2364378825883478E-3</v>
      </c>
      <c r="AY594" s="254">
        <f t="shared" si="347"/>
        <v>1.2364378825883478E-3</v>
      </c>
      <c r="AZ594" s="254">
        <f t="shared" si="351"/>
        <v>0.12364378825883479</v>
      </c>
      <c r="BA594" s="254">
        <f t="shared" si="355"/>
        <v>2.1999999999998984E-4</v>
      </c>
      <c r="BB594" s="270">
        <f t="shared" si="348"/>
        <v>1.2280065146406949E-3</v>
      </c>
      <c r="BC594" s="253">
        <f t="shared" si="356"/>
        <v>1.780000000000009E-3</v>
      </c>
      <c r="BD594" s="255">
        <f t="shared" si="352"/>
        <v>0.17800000000000091</v>
      </c>
      <c r="BI594" s="248"/>
      <c r="CG594" s="351" t="e">
        <f>((((IF($T$5=0,$T$6,$T$5)))/(12*$T$19))+(((3*$T$15)/(2*IF($T$5=0,$T$6,$T$5)*$U$5*$T$19))*'IN-OUT'!$F$14))*'Burland damage classification'!CK594</f>
        <v>#DIV/0!</v>
      </c>
      <c r="CH594" s="352">
        <f>(1+(((IF($T$5=0,$T$6^2,$T$5^2))*$U$5)/(18*$T$15))*('IN-OUT'!$F$14^(-1)))*CL594</f>
        <v>1.2280065146406949E-3</v>
      </c>
      <c r="CI594" s="254" t="e">
        <f t="shared" si="349"/>
        <v>#DIV/0!</v>
      </c>
      <c r="CJ594" s="254" t="e">
        <f t="shared" si="353"/>
        <v>#DIV/0!</v>
      </c>
      <c r="CK594" s="254">
        <f t="shared" si="357"/>
        <v>2.1999999999998984E-4</v>
      </c>
      <c r="CL594" s="270">
        <f t="shared" si="350"/>
        <v>1.2280065146406949E-3</v>
      </c>
      <c r="CM594" s="253">
        <f t="shared" si="358"/>
        <v>1.780000000000009E-3</v>
      </c>
      <c r="CN594" s="255">
        <f t="shared" si="354"/>
        <v>0.17800000000000091</v>
      </c>
    </row>
    <row r="595" spans="3:162">
      <c r="AW595" s="258">
        <f>(((IF($S$5&lt;&gt;0,$S$5,IF($S$6&lt;&gt;0,$S$6,IF($S$7&lt;&gt;0,$S$7,0))))/(12*$S$19))+(((3*$S$15)/(2*(IF($S$5&lt;&gt;0,$S$5,IF($S$6&lt;&gt;0,$S$6,IF($S$7&lt;&gt;0,$S$7,0))))*$U$5*$S$19))*'IN-OUT'!$F$14))*'Burland damage classification'!BA595</f>
        <v>1.8708158944458462E-3</v>
      </c>
      <c r="AX595" s="353">
        <f>(1+(((IF($S$5&lt;&gt;0,$S$5^2,IF($S$6&lt;&gt;0,$S$6^2,IF($S$7&lt;&gt;0,$S$7^2))))*$U$5)/(18*$S$15))*('IN-OUT'!$F$14^(-1)))*BB595</f>
        <v>1.2326056550053251E-3</v>
      </c>
      <c r="AY595" s="254">
        <f t="shared" si="347"/>
        <v>1.2326056550053251E-3</v>
      </c>
      <c r="AZ595" s="254">
        <f t="shared" si="351"/>
        <v>0.12326056550053251</v>
      </c>
      <c r="BA595" s="254">
        <f t="shared" si="355"/>
        <v>2.1333333333332317E-4</v>
      </c>
      <c r="BB595" s="270">
        <f t="shared" si="348"/>
        <v>1.2242004193213844E-3</v>
      </c>
      <c r="BC595" s="253">
        <f t="shared" si="356"/>
        <v>1.7866666666666758E-3</v>
      </c>
      <c r="BD595" s="255">
        <f t="shared" si="352"/>
        <v>0.17866666666666758</v>
      </c>
      <c r="BI595" s="248"/>
      <c r="CG595" s="351" t="e">
        <f>((((IF($T$5=0,$T$6,$T$5)))/(12*$T$19))+(((3*$T$15)/(2*IF($T$5=0,$T$6,$T$5)*$U$5*$T$19))*'IN-OUT'!$F$14))*'Burland damage classification'!CK595</f>
        <v>#DIV/0!</v>
      </c>
      <c r="CH595" s="352">
        <f>(1+(((IF($T$5=0,$T$6^2,$T$5^2))*$U$5)/(18*$T$15))*('IN-OUT'!$F$14^(-1)))*CL595</f>
        <v>1.2242004193213844E-3</v>
      </c>
      <c r="CI595" s="254" t="e">
        <f t="shared" si="349"/>
        <v>#DIV/0!</v>
      </c>
      <c r="CJ595" s="254" t="e">
        <f t="shared" si="353"/>
        <v>#DIV/0!</v>
      </c>
      <c r="CK595" s="254">
        <f t="shared" si="357"/>
        <v>2.1333333333332317E-4</v>
      </c>
      <c r="CL595" s="270">
        <f t="shared" si="350"/>
        <v>1.2242004193213844E-3</v>
      </c>
      <c r="CM595" s="253">
        <f t="shared" si="358"/>
        <v>1.7866666666666758E-3</v>
      </c>
      <c r="CN595" s="255">
        <f t="shared" si="354"/>
        <v>0.17866666666666758</v>
      </c>
    </row>
    <row r="596" spans="3:162">
      <c r="AW596" s="258">
        <f>(((IF($S$5&lt;&gt;0,$S$5,IF($S$6&lt;&gt;0,$S$6,IF($S$7&lt;&gt;0,$S$7,0))))/(12*$S$19))+(((3*$S$15)/(2*(IF($S$5&lt;&gt;0,$S$5,IF($S$6&lt;&gt;0,$S$6,IF($S$7&lt;&gt;0,$S$7,0))))*$U$5*$S$19))*'IN-OUT'!$F$14))*'Burland damage classification'!BA596</f>
        <v>1.8123528977444106E-3</v>
      </c>
      <c r="AX596" s="353">
        <f>(1+(((IF($S$5&lt;&gt;0,$S$5^2,IF($S$6&lt;&gt;0,$S$6^2,IF($S$7&lt;&gt;0,$S$7^2))))*$U$5)/(18*$S$15))*('IN-OUT'!$F$14^(-1)))*BB596</f>
        <v>1.2287614756341673E-3</v>
      </c>
      <c r="AY596" s="254">
        <f t="shared" si="347"/>
        <v>1.2287614756341673E-3</v>
      </c>
      <c r="AZ596" s="254">
        <f t="shared" si="351"/>
        <v>0.12287614756341673</v>
      </c>
      <c r="BA596" s="254">
        <f t="shared" si="355"/>
        <v>2.0666666666665649E-4</v>
      </c>
      <c r="BB596" s="270">
        <f t="shared" si="348"/>
        <v>1.2203824537141297E-3</v>
      </c>
      <c r="BC596" s="253">
        <f t="shared" si="356"/>
        <v>1.7933333333333425E-3</v>
      </c>
      <c r="BD596" s="255">
        <f t="shared" si="352"/>
        <v>0.17933333333333426</v>
      </c>
      <c r="BI596" s="248"/>
      <c r="CG596" s="351" t="e">
        <f>((((IF($T$5=0,$T$6,$T$5)))/(12*$T$19))+(((3*$T$15)/(2*IF($T$5=0,$T$6,$T$5)*$U$5*$T$19))*'IN-OUT'!$F$14))*'Burland damage classification'!CK596</f>
        <v>#DIV/0!</v>
      </c>
      <c r="CH596" s="352">
        <f>(1+(((IF($T$5=0,$T$6^2,$T$5^2))*$U$5)/(18*$T$15))*('IN-OUT'!$F$14^(-1)))*CL596</f>
        <v>1.2203824537141297E-3</v>
      </c>
      <c r="CI596" s="254" t="e">
        <f t="shared" si="349"/>
        <v>#DIV/0!</v>
      </c>
      <c r="CJ596" s="254" t="e">
        <f t="shared" si="353"/>
        <v>#DIV/0!</v>
      </c>
      <c r="CK596" s="254">
        <f t="shared" si="357"/>
        <v>2.0666666666665649E-4</v>
      </c>
      <c r="CL596" s="270">
        <f t="shared" si="350"/>
        <v>1.2203824537141297E-3</v>
      </c>
      <c r="CM596" s="253">
        <f t="shared" si="358"/>
        <v>1.7933333333333425E-3</v>
      </c>
      <c r="CN596" s="255">
        <f t="shared" si="354"/>
        <v>0.17933333333333426</v>
      </c>
    </row>
    <row r="597" spans="3:162">
      <c r="AW597" s="258">
        <f>(((IF($S$5&lt;&gt;0,$S$5,IF($S$6&lt;&gt;0,$S$6,IF($S$7&lt;&gt;0,$S$7,0))))/(12*$S$19))+(((3*$S$15)/(2*(IF($S$5&lt;&gt;0,$S$5,IF($S$6&lt;&gt;0,$S$6,IF($S$7&lt;&gt;0,$S$7,0))))*$U$5*$S$19))*'IN-OUT'!$F$14))*'Burland damage classification'!BA597</f>
        <v>1.7538899010429751E-3</v>
      </c>
      <c r="AX597" s="353">
        <f>(1+(((IF($S$5&lt;&gt;0,$S$5^2,IF($S$6&lt;&gt;0,$S$6^2,IF($S$7&lt;&gt;0,$S$7^2))))*$U$5)/(18*$S$15))*('IN-OUT'!$F$14^(-1)))*BB597</f>
        <v>1.2249052319482541E-3</v>
      </c>
      <c r="AY597" s="254">
        <f t="shared" si="347"/>
        <v>1.2249052319482541E-3</v>
      </c>
      <c r="AZ597" s="254">
        <f t="shared" si="351"/>
        <v>0.12249052319482541</v>
      </c>
      <c r="BA597" s="254">
        <f t="shared" si="355"/>
        <v>1.9999999999998982E-4</v>
      </c>
      <c r="BB597" s="270">
        <f t="shared" si="348"/>
        <v>1.2165525060596385E-3</v>
      </c>
      <c r="BC597" s="253">
        <f t="shared" si="356"/>
        <v>1.8000000000000093E-3</v>
      </c>
      <c r="BD597" s="255">
        <f t="shared" si="352"/>
        <v>0.18000000000000094</v>
      </c>
      <c r="BI597" s="248"/>
      <c r="CG597" s="351" t="e">
        <f>((((IF($T$5=0,$T$6,$T$5)))/(12*$T$19))+(((3*$T$15)/(2*IF($T$5=0,$T$6,$T$5)*$U$5*$T$19))*'IN-OUT'!$F$14))*'Burland damage classification'!CK597</f>
        <v>#DIV/0!</v>
      </c>
      <c r="CH597" s="352">
        <f>(1+(((IF($T$5=0,$T$6^2,$T$5^2))*$U$5)/(18*$T$15))*('IN-OUT'!$F$14^(-1)))*CL597</f>
        <v>1.2165525060596385E-3</v>
      </c>
      <c r="CI597" s="254" t="e">
        <f t="shared" si="349"/>
        <v>#DIV/0!</v>
      </c>
      <c r="CJ597" s="254" t="e">
        <f t="shared" si="353"/>
        <v>#DIV/0!</v>
      </c>
      <c r="CK597" s="254">
        <f t="shared" si="357"/>
        <v>1.9999999999998982E-4</v>
      </c>
      <c r="CL597" s="270">
        <f t="shared" si="350"/>
        <v>1.2165525060596385E-3</v>
      </c>
      <c r="CM597" s="253">
        <f t="shared" si="358"/>
        <v>1.8000000000000093E-3</v>
      </c>
      <c r="CN597" s="255">
        <f t="shared" si="354"/>
        <v>0.18000000000000094</v>
      </c>
    </row>
    <row r="598" spans="3:162">
      <c r="AW598" s="258">
        <f>(((IF($S$5&lt;&gt;0,$S$5,IF($S$6&lt;&gt;0,$S$6,IF($S$7&lt;&gt;0,$S$7,0))))/(12*$S$19))+(((3*$S$15)/(2*(IF($S$5&lt;&gt;0,$S$5,IF($S$6&lt;&gt;0,$S$6,IF($S$7&lt;&gt;0,$S$7,0))))*$U$5*$S$19))*'IN-OUT'!$F$14))*'Burland damage classification'!BA598</f>
        <v>1.6954269043415395E-3</v>
      </c>
      <c r="AX598" s="353">
        <f>(1+(((IF($S$5&lt;&gt;0,$S$5^2,IF($S$6&lt;&gt;0,$S$6^2,IF($S$7&lt;&gt;0,$S$7^2))))*$U$5)/(18*$S$15))*('IN-OUT'!$F$14^(-1)))*BB598</f>
        <v>1.2210368096440647E-3</v>
      </c>
      <c r="AY598" s="254">
        <f t="shared" si="347"/>
        <v>1.2210368096440647E-3</v>
      </c>
      <c r="AZ598" s="254">
        <f t="shared" si="351"/>
        <v>0.12210368096440646</v>
      </c>
      <c r="BA598" s="254">
        <f t="shared" si="355"/>
        <v>1.9333333333332314E-4</v>
      </c>
      <c r="BB598" s="270">
        <f t="shared" si="348"/>
        <v>1.2127104628338345E-3</v>
      </c>
      <c r="BC598" s="253">
        <f t="shared" si="356"/>
        <v>1.806666666666676E-3</v>
      </c>
      <c r="BD598" s="255">
        <f t="shared" si="352"/>
        <v>0.18066666666666761</v>
      </c>
      <c r="BI598" s="248"/>
      <c r="CG598" s="351" t="e">
        <f>((((IF($T$5=0,$T$6,$T$5)))/(12*$T$19))+(((3*$T$15)/(2*IF($T$5=0,$T$6,$T$5)*$U$5*$T$19))*'IN-OUT'!$F$14))*'Burland damage classification'!CK598</f>
        <v>#DIV/0!</v>
      </c>
      <c r="CH598" s="352">
        <f>(1+(((IF($T$5=0,$T$6^2,$T$5^2))*$U$5)/(18*$T$15))*('IN-OUT'!$F$14^(-1)))*CL598</f>
        <v>1.2127104628338345E-3</v>
      </c>
      <c r="CI598" s="254" t="e">
        <f t="shared" si="349"/>
        <v>#DIV/0!</v>
      </c>
      <c r="CJ598" s="254" t="e">
        <f t="shared" si="353"/>
        <v>#DIV/0!</v>
      </c>
      <c r="CK598" s="254">
        <f t="shared" si="357"/>
        <v>1.9333333333332314E-4</v>
      </c>
      <c r="CL598" s="270">
        <f t="shared" si="350"/>
        <v>1.2127104628338345E-3</v>
      </c>
      <c r="CM598" s="253">
        <f t="shared" si="358"/>
        <v>1.806666666666676E-3</v>
      </c>
      <c r="CN598" s="255">
        <f t="shared" si="354"/>
        <v>0.18066666666666761</v>
      </c>
    </row>
    <row r="599" spans="3:162">
      <c r="AW599" s="258">
        <f>(((IF($S$5&lt;&gt;0,$S$5,IF($S$6&lt;&gt;0,$S$6,IF($S$7&lt;&gt;0,$S$7,0))))/(12*$S$19))+(((3*$S$15)/(2*(IF($S$5&lt;&gt;0,$S$5,IF($S$6&lt;&gt;0,$S$6,IF($S$7&lt;&gt;0,$S$7,0))))*$U$5*$S$19))*'IN-OUT'!$F$14))*'Burland damage classification'!BA599</f>
        <v>1.6369639076401039E-3</v>
      </c>
      <c r="AX599" s="353">
        <f>(1+(((IF($S$5&lt;&gt;0,$S$5^2,IF($S$6&lt;&gt;0,$S$6^2,IF($S$7&lt;&gt;0,$S$7^2))))*$U$5)/(18*$S$15))*('IN-OUT'!$F$14^(-1)))*BB599</f>
        <v>1.2171560926016458E-3</v>
      </c>
      <c r="AY599" s="254">
        <f t="shared" si="347"/>
        <v>1.2171560926016458E-3</v>
      </c>
      <c r="AZ599" s="254">
        <f t="shared" si="351"/>
        <v>0.12171560926016459</v>
      </c>
      <c r="BA599" s="254">
        <f t="shared" si="355"/>
        <v>1.8666666666665647E-4</v>
      </c>
      <c r="BB599" s="270">
        <f t="shared" si="348"/>
        <v>1.2088562087085957E-3</v>
      </c>
      <c r="BC599" s="253">
        <f t="shared" si="356"/>
        <v>1.8133333333333428E-3</v>
      </c>
      <c r="BD599" s="255">
        <f t="shared" si="352"/>
        <v>0.18133333333333429</v>
      </c>
      <c r="BI599" s="248"/>
      <c r="CG599" s="351" t="e">
        <f>((((IF($T$5=0,$T$6,$T$5)))/(12*$T$19))+(((3*$T$15)/(2*IF($T$5=0,$T$6,$T$5)*$U$5*$T$19))*'IN-OUT'!$F$14))*'Burland damage classification'!CK599</f>
        <v>#DIV/0!</v>
      </c>
      <c r="CH599" s="352">
        <f>(1+(((IF($T$5=0,$T$6^2,$T$5^2))*$U$5)/(18*$T$15))*('IN-OUT'!$F$14^(-1)))*CL599</f>
        <v>1.2088562087085957E-3</v>
      </c>
      <c r="CI599" s="254" t="e">
        <f t="shared" si="349"/>
        <v>#DIV/0!</v>
      </c>
      <c r="CJ599" s="254" t="e">
        <f t="shared" si="353"/>
        <v>#DIV/0!</v>
      </c>
      <c r="CK599" s="254">
        <f t="shared" si="357"/>
        <v>1.8666666666665647E-4</v>
      </c>
      <c r="CL599" s="270">
        <f t="shared" si="350"/>
        <v>1.2088562087085957E-3</v>
      </c>
      <c r="CM599" s="253">
        <f t="shared" si="358"/>
        <v>1.8133333333333428E-3</v>
      </c>
      <c r="CN599" s="255">
        <f t="shared" si="354"/>
        <v>0.18133333333333429</v>
      </c>
    </row>
    <row r="600" spans="3:162">
      <c r="AW600" s="258">
        <f>(((IF($S$5&lt;&gt;0,$S$5,IF($S$6&lt;&gt;0,$S$6,IF($S$7&lt;&gt;0,$S$7,0))))/(12*$S$19))+(((3*$S$15)/(2*(IF($S$5&lt;&gt;0,$S$5,IF($S$6&lt;&gt;0,$S$6,IF($S$7&lt;&gt;0,$S$7,0))))*$U$5*$S$19))*'IN-OUT'!$F$14))*'Burland damage classification'!BA600</f>
        <v>1.5785009109386685E-3</v>
      </c>
      <c r="AX600" s="353">
        <f>(1+(((IF($S$5&lt;&gt;0,$S$5^2,IF($S$6&lt;&gt;0,$S$6^2,IF($S$7&lt;&gt;0,$S$7^2))))*$U$5)/(18*$S$15))*('IN-OUT'!$F$14^(-1)))*BB600</f>
        <v>1.2132629628439403E-3</v>
      </c>
      <c r="AY600" s="254">
        <f t="shared" si="347"/>
        <v>1.2132629628439403E-3</v>
      </c>
      <c r="AZ600" s="254">
        <f t="shared" si="351"/>
        <v>0.12132629628439404</v>
      </c>
      <c r="BA600" s="254">
        <f t="shared" si="355"/>
        <v>1.7999999999998979E-4</v>
      </c>
      <c r="BB600" s="270">
        <f t="shared" si="348"/>
        <v>1.20498962651136E-3</v>
      </c>
      <c r="BC600" s="253">
        <f t="shared" si="356"/>
        <v>1.8200000000000095E-3</v>
      </c>
      <c r="BD600" s="255">
        <f t="shared" si="352"/>
        <v>0.18200000000000097</v>
      </c>
      <c r="BI600" s="248"/>
      <c r="CG600" s="351" t="e">
        <f>((((IF($T$5=0,$T$6,$T$5)))/(12*$T$19))+(((3*$T$15)/(2*IF($T$5=0,$T$6,$T$5)*$U$5*$T$19))*'IN-OUT'!$F$14))*'Burland damage classification'!CK600</f>
        <v>#DIV/0!</v>
      </c>
      <c r="CH600" s="352">
        <f>(1+(((IF($T$5=0,$T$6^2,$T$5^2))*$U$5)/(18*$T$15))*('IN-OUT'!$F$14^(-1)))*CL600</f>
        <v>1.20498962651136E-3</v>
      </c>
      <c r="CI600" s="254" t="e">
        <f t="shared" si="349"/>
        <v>#DIV/0!</v>
      </c>
      <c r="CJ600" s="254" t="e">
        <f t="shared" si="353"/>
        <v>#DIV/0!</v>
      </c>
      <c r="CK600" s="254">
        <f t="shared" si="357"/>
        <v>1.7999999999998979E-4</v>
      </c>
      <c r="CL600" s="270">
        <f t="shared" si="350"/>
        <v>1.20498962651136E-3</v>
      </c>
      <c r="CM600" s="253">
        <f t="shared" si="358"/>
        <v>1.8200000000000095E-3</v>
      </c>
      <c r="CN600" s="255">
        <f t="shared" si="354"/>
        <v>0.18200000000000097</v>
      </c>
    </row>
    <row r="601" spans="3:162">
      <c r="AW601" s="258">
        <f>(((IF($S$5&lt;&gt;0,$S$5,IF($S$6&lt;&gt;0,$S$6,IF($S$7&lt;&gt;0,$S$7,0))))/(12*$S$19))+(((3*$S$15)/(2*(IF($S$5&lt;&gt;0,$S$5,IF($S$6&lt;&gt;0,$S$6,IF($S$7&lt;&gt;0,$S$7,0))))*$U$5*$S$19))*'IN-OUT'!$F$14))*'Burland damage classification'!BA601</f>
        <v>1.5200379142372329E-3</v>
      </c>
      <c r="AX601" s="353">
        <f>(1+(((IF($S$5&lt;&gt;0,$S$5^2,IF($S$6&lt;&gt;0,$S$6^2,IF($S$7&lt;&gt;0,$S$7^2))))*$U$5)/(18*$S$15))*('IN-OUT'!$F$14^(-1)))*BB601</f>
        <v>1.2093573004949389E-3</v>
      </c>
      <c r="AY601" s="254">
        <f t="shared" si="347"/>
        <v>1.2093573004949389E-3</v>
      </c>
      <c r="AZ601" s="254">
        <f t="shared" si="351"/>
        <v>0.12093573004949389</v>
      </c>
      <c r="BA601" s="254">
        <f t="shared" si="355"/>
        <v>1.7333333333332312E-4</v>
      </c>
      <c r="BB601" s="270">
        <f t="shared" si="348"/>
        <v>1.2011105971835622E-3</v>
      </c>
      <c r="BC601" s="253">
        <f t="shared" si="356"/>
        <v>1.8266666666666763E-3</v>
      </c>
      <c r="BD601" s="255">
        <f t="shared" si="352"/>
        <v>0.18266666666666764</v>
      </c>
      <c r="BI601" s="248"/>
      <c r="CG601" s="351" t="e">
        <f>((((IF($T$5=0,$T$6,$T$5)))/(12*$T$19))+(((3*$T$15)/(2*IF($T$5=0,$T$6,$T$5)*$U$5*$T$19))*'IN-OUT'!$F$14))*'Burland damage classification'!CK601</f>
        <v>#DIV/0!</v>
      </c>
      <c r="CH601" s="352">
        <f>(1+(((IF($T$5=0,$T$6^2,$T$5^2))*$U$5)/(18*$T$15))*('IN-OUT'!$F$14^(-1)))*CL601</f>
        <v>1.2011105971835622E-3</v>
      </c>
      <c r="CI601" s="254" t="e">
        <f t="shared" si="349"/>
        <v>#DIV/0!</v>
      </c>
      <c r="CJ601" s="254" t="e">
        <f t="shared" si="353"/>
        <v>#DIV/0!</v>
      </c>
      <c r="CK601" s="254">
        <f t="shared" si="357"/>
        <v>1.7333333333332312E-4</v>
      </c>
      <c r="CL601" s="270">
        <f t="shared" si="350"/>
        <v>1.2011105971835622E-3</v>
      </c>
      <c r="CM601" s="253">
        <f t="shared" si="358"/>
        <v>1.8266666666666763E-3</v>
      </c>
      <c r="CN601" s="255">
        <f t="shared" si="354"/>
        <v>0.18266666666666764</v>
      </c>
    </row>
    <row r="602" spans="3:162">
      <c r="AW602" s="258">
        <f>(((IF($S$5&lt;&gt;0,$S$5,IF($S$6&lt;&gt;0,$S$6,IF($S$7&lt;&gt;0,$S$7,0))))/(12*$S$19))+(((3*$S$15)/(2*(IF($S$5&lt;&gt;0,$S$5,IF($S$6&lt;&gt;0,$S$6,IF($S$7&lt;&gt;0,$S$7,0))))*$U$5*$S$19))*'IN-OUT'!$F$14))*'Burland damage classification'!BA602</f>
        <v>1.4615749175357973E-3</v>
      </c>
      <c r="AX602" s="353">
        <f>(1+(((IF($S$5&lt;&gt;0,$S$5^2,IF($S$6&lt;&gt;0,$S$6^2,IF($S$7&lt;&gt;0,$S$7^2))))*$U$5)/(18*$S$15))*('IN-OUT'!$F$14^(-1)))*BB602</f>
        <v>1.205438983736612E-3</v>
      </c>
      <c r="AY602" s="254">
        <f t="shared" si="347"/>
        <v>1.205438983736612E-3</v>
      </c>
      <c r="AZ602" s="254">
        <f t="shared" si="351"/>
        <v>0.1205438983736612</v>
      </c>
      <c r="BA602" s="254">
        <f t="shared" si="355"/>
        <v>1.6666666666665644E-4</v>
      </c>
      <c r="BB602" s="270">
        <f t="shared" si="348"/>
        <v>1.197218999737859E-3</v>
      </c>
      <c r="BC602" s="253">
        <f t="shared" si="356"/>
        <v>1.8333333333333431E-3</v>
      </c>
      <c r="BD602" s="255">
        <f t="shared" si="352"/>
        <v>0.18333333333333429</v>
      </c>
      <c r="BI602" s="248"/>
      <c r="CG602" s="351" t="e">
        <f>((((IF($T$5=0,$T$6,$T$5)))/(12*$T$19))+(((3*$T$15)/(2*IF($T$5=0,$T$6,$T$5)*$U$5*$T$19))*'IN-OUT'!$F$14))*'Burland damage classification'!CK602</f>
        <v>#DIV/0!</v>
      </c>
      <c r="CH602" s="352">
        <f>(1+(((IF($T$5=0,$T$6^2,$T$5^2))*$U$5)/(18*$T$15))*('IN-OUT'!$F$14^(-1)))*CL602</f>
        <v>1.197218999737859E-3</v>
      </c>
      <c r="CI602" s="254" t="e">
        <f t="shared" si="349"/>
        <v>#DIV/0!</v>
      </c>
      <c r="CJ602" s="254" t="e">
        <f t="shared" si="353"/>
        <v>#DIV/0!</v>
      </c>
      <c r="CK602" s="254">
        <f t="shared" si="357"/>
        <v>1.6666666666665644E-4</v>
      </c>
      <c r="CL602" s="270">
        <f t="shared" si="350"/>
        <v>1.197218999737859E-3</v>
      </c>
      <c r="CM602" s="253">
        <f t="shared" si="358"/>
        <v>1.8333333333333431E-3</v>
      </c>
      <c r="CN602" s="255">
        <f t="shared" si="354"/>
        <v>0.18333333333333429</v>
      </c>
    </row>
    <row r="603" spans="3:162">
      <c r="AW603" s="258">
        <f>(((IF($S$5&lt;&gt;0,$S$5,IF($S$6&lt;&gt;0,$S$6,IF($S$7&lt;&gt;0,$S$7,0))))/(12*$S$19))+(((3*$S$15)/(2*(IF($S$5&lt;&gt;0,$S$5,IF($S$6&lt;&gt;0,$S$6,IF($S$7&lt;&gt;0,$S$7,0))))*$U$5*$S$19))*'IN-OUT'!$F$14))*'Burland damage classification'!BA603</f>
        <v>1.4031119208343617E-3</v>
      </c>
      <c r="AX603" s="353">
        <f>(1+(((IF($S$5&lt;&gt;0,$S$5^2,IF($S$6&lt;&gt;0,$S$6^2,IF($S$7&lt;&gt;0,$S$7^2))))*$U$5)/(18*$S$15))*('IN-OUT'!$F$14^(-1)))*BB603</f>
        <v>1.2015078887645746E-3</v>
      </c>
      <c r="AY603" s="254">
        <f t="shared" si="347"/>
        <v>1.2015078887645746E-3</v>
      </c>
      <c r="AZ603" s="254">
        <f t="shared" si="351"/>
        <v>0.12015078887645746</v>
      </c>
      <c r="BA603" s="254">
        <f t="shared" si="355"/>
        <v>1.5999999999998977E-4</v>
      </c>
      <c r="BB603" s="270">
        <f t="shared" si="348"/>
        <v>1.193314711214098E-3</v>
      </c>
      <c r="BC603" s="253">
        <f t="shared" si="356"/>
        <v>1.8400000000000098E-3</v>
      </c>
      <c r="BD603" s="255">
        <f t="shared" si="352"/>
        <v>0.18400000000000097</v>
      </c>
      <c r="BI603" s="248"/>
      <c r="CG603" s="351" t="e">
        <f>((((IF($T$5=0,$T$6,$T$5)))/(12*$T$19))+(((3*$T$15)/(2*IF($T$5=0,$T$6,$T$5)*$U$5*$T$19))*'IN-OUT'!$F$14))*'Burland damage classification'!CK603</f>
        <v>#DIV/0!</v>
      </c>
      <c r="CH603" s="352">
        <f>(1+(((IF($T$5=0,$T$6^2,$T$5^2))*$U$5)/(18*$T$15))*('IN-OUT'!$F$14^(-1)))*CL603</f>
        <v>1.193314711214098E-3</v>
      </c>
      <c r="CI603" s="254" t="e">
        <f t="shared" si="349"/>
        <v>#DIV/0!</v>
      </c>
      <c r="CJ603" s="254" t="e">
        <f t="shared" si="353"/>
        <v>#DIV/0!</v>
      </c>
      <c r="CK603" s="254">
        <f t="shared" si="357"/>
        <v>1.5999999999998977E-4</v>
      </c>
      <c r="CL603" s="270">
        <f t="shared" si="350"/>
        <v>1.193314711214098E-3</v>
      </c>
      <c r="CM603" s="253">
        <f t="shared" si="358"/>
        <v>1.8400000000000098E-3</v>
      </c>
      <c r="CN603" s="255">
        <f t="shared" si="354"/>
        <v>0.18400000000000097</v>
      </c>
    </row>
    <row r="604" spans="3:162">
      <c r="AW604" s="258">
        <f>(((IF($S$5&lt;&gt;0,$S$5,IF($S$6&lt;&gt;0,$S$6,IF($S$7&lt;&gt;0,$S$7,0))))/(12*$S$19))+(((3*$S$15)/(2*(IF($S$5&lt;&gt;0,$S$5,IF($S$6&lt;&gt;0,$S$6,IF($S$7&lt;&gt;0,$S$7,0))))*$U$5*$S$19))*'IN-OUT'!$F$14))*'Burland damage classification'!BA604</f>
        <v>1.3446489241329262E-3</v>
      </c>
      <c r="AX604" s="353">
        <f>(1+(((IF($S$5&lt;&gt;0,$S$5^2,IF($S$6&lt;&gt;0,$S$6^2,IF($S$7&lt;&gt;0,$S$7^2))))*$U$5)/(18*$S$15))*('IN-OUT'!$F$14^(-1)))*BB604</f>
        <v>1.1975638897424453E-3</v>
      </c>
      <c r="AY604" s="254">
        <f t="shared" si="347"/>
        <v>1.1975638897424453E-3</v>
      </c>
      <c r="AZ604" s="254">
        <f t="shared" si="351"/>
        <v>0.11975638897424454</v>
      </c>
      <c r="BA604" s="254">
        <f t="shared" si="355"/>
        <v>1.5333333333332309E-4</v>
      </c>
      <c r="BB604" s="270">
        <f t="shared" si="348"/>
        <v>1.1893976066339855E-3</v>
      </c>
      <c r="BC604" s="253">
        <f t="shared" si="356"/>
        <v>1.8466666666666766E-3</v>
      </c>
      <c r="BD604" s="255">
        <f t="shared" si="352"/>
        <v>0.18466666666666764</v>
      </c>
      <c r="BI604" s="248"/>
      <c r="CG604" s="351" t="e">
        <f>((((IF($T$5=0,$T$6,$T$5)))/(12*$T$19))+(((3*$T$15)/(2*IF($T$5=0,$T$6,$T$5)*$U$5*$T$19))*'IN-OUT'!$F$14))*'Burland damage classification'!CK604</f>
        <v>#DIV/0!</v>
      </c>
      <c r="CH604" s="352">
        <f>(1+(((IF($T$5=0,$T$6^2,$T$5^2))*$U$5)/(18*$T$15))*('IN-OUT'!$F$14^(-1)))*CL604</f>
        <v>1.1893976066339855E-3</v>
      </c>
      <c r="CI604" s="254" t="e">
        <f t="shared" si="349"/>
        <v>#DIV/0!</v>
      </c>
      <c r="CJ604" s="254" t="e">
        <f t="shared" si="353"/>
        <v>#DIV/0!</v>
      </c>
      <c r="CK604" s="254">
        <f t="shared" si="357"/>
        <v>1.5333333333332309E-4</v>
      </c>
      <c r="CL604" s="270">
        <f t="shared" si="350"/>
        <v>1.1893976066339855E-3</v>
      </c>
      <c r="CM604" s="253">
        <f t="shared" si="358"/>
        <v>1.8466666666666766E-3</v>
      </c>
      <c r="CN604" s="255">
        <f t="shared" si="354"/>
        <v>0.18466666666666764</v>
      </c>
    </row>
    <row r="605" spans="3:162" s="201" customFormat="1">
      <c r="C605" s="354"/>
      <c r="D605" s="354"/>
      <c r="E605" s="354"/>
      <c r="G605" s="354"/>
      <c r="H605" s="354"/>
      <c r="I605" s="355"/>
      <c r="J605" s="355"/>
      <c r="AW605" s="258">
        <f>(((IF($S$5&lt;&gt;0,$S$5,IF($S$6&lt;&gt;0,$S$6,IF($S$7&lt;&gt;0,$S$7,0))))/(12*$S$19))+(((3*$S$15)/(2*(IF($S$5&lt;&gt;0,$S$5,IF($S$6&lt;&gt;0,$S$6,IF($S$7&lt;&gt;0,$S$7,0))))*$U$5*$S$19))*'IN-OUT'!$F$14))*'Burland damage classification'!BA605</f>
        <v>1.2861859274314906E-3</v>
      </c>
      <c r="AX605" s="353">
        <f>(1+(((IF($S$5&lt;&gt;0,$S$5^2,IF($S$6&lt;&gt;0,$S$6^2,IF($S$7&lt;&gt;0,$S$7^2))))*$U$5)/(18*$S$15))*('IN-OUT'!$F$14^(-1)))*BB605</f>
        <v>1.1936068587548438E-3</v>
      </c>
      <c r="AY605" s="358">
        <f t="shared" si="347"/>
        <v>1.1936068587548438E-3</v>
      </c>
      <c r="AZ605" s="358">
        <f t="shared" si="351"/>
        <v>0.11936068587548437</v>
      </c>
      <c r="BA605" s="254">
        <f t="shared" si="355"/>
        <v>1.4666666666665642E-4</v>
      </c>
      <c r="BB605" s="359">
        <f t="shared" si="348"/>
        <v>1.1854675589544066E-3</v>
      </c>
      <c r="BC605" s="253">
        <f t="shared" si="356"/>
        <v>1.8533333333333433E-3</v>
      </c>
      <c r="BD605" s="360">
        <f t="shared" si="352"/>
        <v>0.18533333333333432</v>
      </c>
      <c r="BI605" s="356"/>
      <c r="CG605" s="357" t="e">
        <f>((((IF($T$5=0,$T$6,$T$5)))/(12*$T$19))+(((3*$T$15)/(2*IF($T$5=0,$T$6,$T$5)*$U$5*$T$19))*'IN-OUT'!$F$14))*'Burland damage classification'!CK605</f>
        <v>#DIV/0!</v>
      </c>
      <c r="CH605" s="361">
        <f>(1+(((IF($T$5=0,$T$6^2,$T$5^2))*$U$5)/(18*$T$15))*('IN-OUT'!$F$14^(-1)))*CL605</f>
        <v>1.1854675589544066E-3</v>
      </c>
      <c r="CI605" s="358" t="e">
        <f t="shared" si="349"/>
        <v>#DIV/0!</v>
      </c>
      <c r="CJ605" s="358" t="e">
        <f t="shared" si="353"/>
        <v>#DIV/0!</v>
      </c>
      <c r="CK605" s="254">
        <f t="shared" si="357"/>
        <v>1.4666666666665642E-4</v>
      </c>
      <c r="CL605" s="359">
        <f t="shared" si="350"/>
        <v>1.1854675589544066E-3</v>
      </c>
      <c r="CM605" s="253">
        <f t="shared" si="358"/>
        <v>1.8533333333333433E-3</v>
      </c>
      <c r="CN605" s="360">
        <f t="shared" si="354"/>
        <v>0.18533333333333432</v>
      </c>
      <c r="EB605" s="354"/>
      <c r="EC605" s="354"/>
      <c r="ED605" s="354"/>
      <c r="EE605" s="354"/>
      <c r="EF605" s="354"/>
      <c r="EG605" s="354"/>
      <c r="EH605" s="354"/>
      <c r="EI605" s="354"/>
      <c r="EJ605" s="354"/>
      <c r="FD605" s="677"/>
      <c r="FE605" s="677"/>
      <c r="FF605" s="677"/>
    </row>
    <row r="606" spans="3:162">
      <c r="X606" s="262"/>
      <c r="AW606" s="258">
        <f>(((IF($S$5&lt;&gt;0,$S$5,IF($S$6&lt;&gt;0,$S$6,IF($S$7&lt;&gt;0,$S$7,0))))/(12*$S$19))+(((3*$S$15)/(2*(IF($S$5&lt;&gt;0,$S$5,IF($S$6&lt;&gt;0,$S$6,IF($S$7&lt;&gt;0,$S$7,0))))*$U$5*$S$19))*'IN-OUT'!$F$14))*'Burland damage classification'!BA606</f>
        <v>1.2277229307300552E-3</v>
      </c>
      <c r="AX606" s="353">
        <f>(1+(((IF($S$5&lt;&gt;0,$S$5^2,IF($S$6&lt;&gt;0,$S$6^2,IF($S$7&lt;&gt;0,$S$7^2))))*$U$5)/(18*$S$15))*('IN-OUT'!$F$14^(-1)))*BB606</f>
        <v>1.189636665758985E-3</v>
      </c>
      <c r="AY606" s="254">
        <f t="shared" si="347"/>
        <v>1.189636665758985E-3</v>
      </c>
      <c r="AZ606" s="254">
        <f t="shared" si="351"/>
        <v>0.11896366657589851</v>
      </c>
      <c r="BA606" s="254">
        <f t="shared" si="355"/>
        <v>1.3999999999998974E-4</v>
      </c>
      <c r="BB606" s="270">
        <f t="shared" si="348"/>
        <v>1.1815244390193484E-3</v>
      </c>
      <c r="BC606" s="253">
        <f t="shared" si="356"/>
        <v>1.8600000000000101E-3</v>
      </c>
      <c r="BD606" s="255">
        <f t="shared" si="352"/>
        <v>0.186000000000001</v>
      </c>
      <c r="BI606" s="248"/>
      <c r="CG606" s="351" t="e">
        <f>((((IF($T$5=0,$T$6,$T$5)))/(12*$T$19))+(((3*$T$15)/(2*IF($T$5=0,$T$6,$T$5)*$U$5*$T$19))*'IN-OUT'!$F$14))*'Burland damage classification'!CK606</f>
        <v>#DIV/0!</v>
      </c>
      <c r="CH606" s="352">
        <f>(1+(((IF($T$5=0,$T$6^2,$T$5^2))*$U$5)/(18*$T$15))*('IN-OUT'!$F$14^(-1)))*CL606</f>
        <v>1.1815244390193484E-3</v>
      </c>
      <c r="CI606" s="254" t="e">
        <f t="shared" si="349"/>
        <v>#DIV/0!</v>
      </c>
      <c r="CJ606" s="254" t="e">
        <f t="shared" si="353"/>
        <v>#DIV/0!</v>
      </c>
      <c r="CK606" s="254">
        <f t="shared" si="357"/>
        <v>1.3999999999998974E-4</v>
      </c>
      <c r="CL606" s="270">
        <f t="shared" si="350"/>
        <v>1.1815244390193484E-3</v>
      </c>
      <c r="CM606" s="253">
        <f t="shared" si="358"/>
        <v>1.8600000000000101E-3</v>
      </c>
      <c r="CN606" s="255">
        <f t="shared" si="354"/>
        <v>0.186000000000001</v>
      </c>
    </row>
    <row r="607" spans="3:162">
      <c r="X607" s="262"/>
      <c r="AW607" s="258">
        <f>(((IF($S$5&lt;&gt;0,$S$5,IF($S$6&lt;&gt;0,$S$6,IF($S$7&lt;&gt;0,$S$7,0))))/(12*$S$19))+(((3*$S$15)/(2*(IF($S$5&lt;&gt;0,$S$5,IF($S$6&lt;&gt;0,$S$6,IF($S$7&lt;&gt;0,$S$7,0))))*$U$5*$S$19))*'IN-OUT'!$F$14))*'Burland damage classification'!BA607</f>
        <v>1.1692599340286196E-3</v>
      </c>
      <c r="AX607" s="353">
        <f>(1+(((IF($S$5&lt;&gt;0,$S$5^2,IF($S$6&lt;&gt;0,$S$6^2,IF($S$7&lt;&gt;0,$S$7^2))))*$U$5)/(18*$S$15))*('IN-OUT'!$F$14^(-1)))*BB607</f>
        <v>1.1856531785348129E-3</v>
      </c>
      <c r="AY607" s="254">
        <f t="shared" si="347"/>
        <v>1.1692599340286196E-3</v>
      </c>
      <c r="AZ607" s="254">
        <f t="shared" si="351"/>
        <v>0.11692599340286196</v>
      </c>
      <c r="BA607" s="254">
        <f t="shared" si="355"/>
        <v>1.3333333333332307E-4</v>
      </c>
      <c r="BB607" s="270">
        <f t="shared" si="348"/>
        <v>1.1775681155103735E-3</v>
      </c>
      <c r="BC607" s="253">
        <f t="shared" si="356"/>
        <v>1.8666666666666768E-3</v>
      </c>
      <c r="BD607" s="255">
        <f t="shared" si="352"/>
        <v>0.18666666666666767</v>
      </c>
      <c r="BI607" s="248"/>
      <c r="CG607" s="351" t="e">
        <f>((((IF($T$5=0,$T$6,$T$5)))/(12*$T$19))+(((3*$T$15)/(2*IF($T$5=0,$T$6,$T$5)*$U$5*$T$19))*'IN-OUT'!$F$14))*'Burland damage classification'!CK607</f>
        <v>#DIV/0!</v>
      </c>
      <c r="CH607" s="352">
        <f>(1+(((IF($T$5=0,$T$6^2,$T$5^2))*$U$5)/(18*$T$15))*('IN-OUT'!$F$14^(-1)))*CL607</f>
        <v>1.1775681155103735E-3</v>
      </c>
      <c r="CI607" s="254" t="e">
        <f t="shared" si="349"/>
        <v>#DIV/0!</v>
      </c>
      <c r="CJ607" s="254" t="e">
        <f t="shared" si="353"/>
        <v>#DIV/0!</v>
      </c>
      <c r="CK607" s="254">
        <f t="shared" si="357"/>
        <v>1.3333333333332307E-4</v>
      </c>
      <c r="CL607" s="270">
        <f t="shared" si="350"/>
        <v>1.1775681155103735E-3</v>
      </c>
      <c r="CM607" s="253">
        <f t="shared" si="358"/>
        <v>1.8666666666666768E-3</v>
      </c>
      <c r="CN607" s="255">
        <f t="shared" si="354"/>
        <v>0.18666666666666767</v>
      </c>
    </row>
    <row r="608" spans="3:162">
      <c r="X608" s="262"/>
      <c r="AW608" s="258">
        <f>(((IF($S$5&lt;&gt;0,$S$5,IF($S$6&lt;&gt;0,$S$6,IF($S$7&lt;&gt;0,$S$7,0))))/(12*$S$19))+(((3*$S$15)/(2*(IF($S$5&lt;&gt;0,$S$5,IF($S$6&lt;&gt;0,$S$6,IF($S$7&lt;&gt;0,$S$7,0))))*$U$5*$S$19))*'IN-OUT'!$F$14))*'Burland damage classification'!BA608</f>
        <v>1.110796937327184E-3</v>
      </c>
      <c r="AX608" s="353">
        <f>(1+(((IF($S$5&lt;&gt;0,$S$5^2,IF($S$6&lt;&gt;0,$S$6^2,IF($S$7&lt;&gt;0,$S$7^2))))*$U$5)/(18*$S$15))*('IN-OUT'!$F$14^(-1)))*BB608</f>
        <v>1.18165626263362E-3</v>
      </c>
      <c r="AY608" s="254">
        <f t="shared" si="347"/>
        <v>1.110796937327184E-3</v>
      </c>
      <c r="AZ608" s="254">
        <f t="shared" si="351"/>
        <v>0.11107969373271841</v>
      </c>
      <c r="BA608" s="254">
        <f t="shared" si="355"/>
        <v>1.2666666666665639E-4</v>
      </c>
      <c r="BB608" s="270">
        <f t="shared" si="348"/>
        <v>1.1735984548955911E-3</v>
      </c>
      <c r="BC608" s="253">
        <f t="shared" si="356"/>
        <v>1.8733333333333436E-3</v>
      </c>
      <c r="BD608" s="255">
        <f t="shared" si="352"/>
        <v>0.18733333333333435</v>
      </c>
      <c r="BI608" s="248"/>
      <c r="CG608" s="351" t="e">
        <f>((((IF($T$5=0,$T$6,$T$5)))/(12*$T$19))+(((3*$T$15)/(2*IF($T$5=0,$T$6,$T$5)*$U$5*$T$19))*'IN-OUT'!$F$14))*'Burland damage classification'!CK608</f>
        <v>#DIV/0!</v>
      </c>
      <c r="CH608" s="352">
        <f>(1+(((IF($T$5=0,$T$6^2,$T$5^2))*$U$5)/(18*$T$15))*('IN-OUT'!$F$14^(-1)))*CL608</f>
        <v>1.1735984548955911E-3</v>
      </c>
      <c r="CI608" s="254" t="e">
        <f t="shared" si="349"/>
        <v>#DIV/0!</v>
      </c>
      <c r="CJ608" s="254" t="e">
        <f t="shared" si="353"/>
        <v>#DIV/0!</v>
      </c>
      <c r="CK608" s="254">
        <f t="shared" si="357"/>
        <v>1.2666666666665639E-4</v>
      </c>
      <c r="CL608" s="270">
        <f t="shared" si="350"/>
        <v>1.1735984548955911E-3</v>
      </c>
      <c r="CM608" s="253">
        <f t="shared" si="358"/>
        <v>1.8733333333333436E-3</v>
      </c>
      <c r="CN608" s="255">
        <f t="shared" si="354"/>
        <v>0.18733333333333435</v>
      </c>
    </row>
    <row r="609" spans="3:162">
      <c r="X609" s="262"/>
      <c r="AW609" s="258">
        <f>(((IF($S$5&lt;&gt;0,$S$5,IF($S$6&lt;&gt;0,$S$6,IF($S$7&lt;&gt;0,$S$7,0))))/(12*$S$19))+(((3*$S$15)/(2*(IF($S$5&lt;&gt;0,$S$5,IF($S$6&lt;&gt;0,$S$6,IF($S$7&lt;&gt;0,$S$7,0))))*$U$5*$S$19))*'IN-OUT'!$F$14))*'Burland damage classification'!BA609</f>
        <v>1.0523339406257486E-3</v>
      </c>
      <c r="AX609" s="353">
        <f>(1+(((IF($S$5&lt;&gt;0,$S$5^2,IF($S$6&lt;&gt;0,$S$6^2,IF($S$7&lt;&gt;0,$S$7^2))))*$U$5)/(18*$S$15))*('IN-OUT'!$F$14^(-1)))*BB609</f>
        <v>1.1776457813250996E-3</v>
      </c>
      <c r="AY609" s="254">
        <f t="shared" si="347"/>
        <v>1.0523339406257486E-3</v>
      </c>
      <c r="AZ609" s="254">
        <f t="shared" si="351"/>
        <v>0.10523339406257487</v>
      </c>
      <c r="BA609" s="254">
        <f t="shared" si="355"/>
        <v>1.1999999999998973E-4</v>
      </c>
      <c r="BB609" s="270">
        <f t="shared" si="348"/>
        <v>1.1696153213770694E-3</v>
      </c>
      <c r="BC609" s="253">
        <f t="shared" si="356"/>
        <v>1.8800000000000104E-3</v>
      </c>
      <c r="BD609" s="255">
        <f t="shared" si="352"/>
        <v>0.18800000000000103</v>
      </c>
      <c r="BI609" s="248"/>
      <c r="CG609" s="351" t="e">
        <f>((((IF($T$5=0,$T$6,$T$5)))/(12*$T$19))+(((3*$T$15)/(2*IF($T$5=0,$T$6,$T$5)*$U$5*$T$19))*'IN-OUT'!$F$14))*'Burland damage classification'!CK609</f>
        <v>#DIV/0!</v>
      </c>
      <c r="CH609" s="352">
        <f>(1+(((IF($T$5=0,$T$6^2,$T$5^2))*$U$5)/(18*$T$15))*('IN-OUT'!$F$14^(-1)))*CL609</f>
        <v>1.1696153213770694E-3</v>
      </c>
      <c r="CI609" s="254" t="e">
        <f t="shared" si="349"/>
        <v>#DIV/0!</v>
      </c>
      <c r="CJ609" s="254" t="e">
        <f t="shared" si="353"/>
        <v>#DIV/0!</v>
      </c>
      <c r="CK609" s="254">
        <f t="shared" si="357"/>
        <v>1.1999999999998973E-4</v>
      </c>
      <c r="CL609" s="270">
        <f t="shared" si="350"/>
        <v>1.1696153213770694E-3</v>
      </c>
      <c r="CM609" s="253">
        <f t="shared" si="358"/>
        <v>1.8800000000000104E-3</v>
      </c>
      <c r="CN609" s="255">
        <f t="shared" si="354"/>
        <v>0.18800000000000103</v>
      </c>
    </row>
    <row r="610" spans="3:162">
      <c r="X610" s="262"/>
      <c r="AW610" s="258">
        <f>(((IF($S$5&lt;&gt;0,$S$5,IF($S$6&lt;&gt;0,$S$6,IF($S$7&lt;&gt;0,$S$7,0))))/(12*$S$19))+(((3*$S$15)/(2*(IF($S$5&lt;&gt;0,$S$5,IF($S$6&lt;&gt;0,$S$6,IF($S$7&lt;&gt;0,$S$7,0))))*$U$5*$S$19))*'IN-OUT'!$F$14))*'Burland damage classification'!BA610</f>
        <v>9.9387094392431306E-4</v>
      </c>
      <c r="AX610" s="353">
        <f>(1+(((IF($S$5&lt;&gt;0,$S$5^2,IF($S$6&lt;&gt;0,$S$6^2,IF($S$7&lt;&gt;0,$S$7^2))))*$U$5)/(18*$S$15))*('IN-OUT'!$F$14^(-1)))*BB610</f>
        <v>1.1736215955427689E-3</v>
      </c>
      <c r="AY610" s="254">
        <f t="shared" si="347"/>
        <v>9.9387094392431306E-4</v>
      </c>
      <c r="AZ610" s="254">
        <f t="shared" si="351"/>
        <v>9.9387094392431305E-2</v>
      </c>
      <c r="BA610" s="254">
        <f t="shared" si="355"/>
        <v>1.1333333333332307E-4</v>
      </c>
      <c r="BB610" s="270">
        <f t="shared" si="348"/>
        <v>1.1656185768366305E-3</v>
      </c>
      <c r="BC610" s="253">
        <f t="shared" si="356"/>
        <v>1.8866666666666771E-3</v>
      </c>
      <c r="BD610" s="255">
        <f t="shared" si="352"/>
        <v>0.1886666666666677</v>
      </c>
      <c r="BI610" s="248"/>
      <c r="CG610" s="351" t="e">
        <f>((((IF($T$5=0,$T$6,$T$5)))/(12*$T$19))+(((3*$T$15)/(2*IF($T$5=0,$T$6,$T$5)*$U$5*$T$19))*'IN-OUT'!$F$14))*'Burland damage classification'!CK610</f>
        <v>#DIV/0!</v>
      </c>
      <c r="CH610" s="352">
        <f>(1+(((IF($T$5=0,$T$6^2,$T$5^2))*$U$5)/(18*$T$15))*('IN-OUT'!$F$14^(-1)))*CL610</f>
        <v>1.1656185768366305E-3</v>
      </c>
      <c r="CI610" s="254" t="e">
        <f t="shared" si="349"/>
        <v>#DIV/0!</v>
      </c>
      <c r="CJ610" s="254" t="e">
        <f t="shared" si="353"/>
        <v>#DIV/0!</v>
      </c>
      <c r="CK610" s="254">
        <f t="shared" si="357"/>
        <v>1.1333333333332307E-4</v>
      </c>
      <c r="CL610" s="270">
        <f t="shared" si="350"/>
        <v>1.1656185768366305E-3</v>
      </c>
      <c r="CM610" s="253">
        <f t="shared" si="358"/>
        <v>1.8866666666666771E-3</v>
      </c>
      <c r="CN610" s="255">
        <f t="shared" si="354"/>
        <v>0.1886666666666677</v>
      </c>
    </row>
    <row r="611" spans="3:162">
      <c r="X611" s="262"/>
      <c r="AW611" s="258">
        <f>(((IF($S$5&lt;&gt;0,$S$5,IF($S$6&lt;&gt;0,$S$6,IF($S$7&lt;&gt;0,$S$7,0))))/(12*$S$19))+(((3*$S$15)/(2*(IF($S$5&lt;&gt;0,$S$5,IF($S$6&lt;&gt;0,$S$6,IF($S$7&lt;&gt;0,$S$7,0))))*$U$5*$S$19))*'IN-OUT'!$F$14))*'Burland damage classification'!BA611</f>
        <v>9.3540794722287769E-4</v>
      </c>
      <c r="AX611" s="353">
        <f>(1+(((IF($S$5&lt;&gt;0,$S$5^2,IF($S$6&lt;&gt;0,$S$6^2,IF($S$7&lt;&gt;0,$S$7^2))))*$U$5)/(18*$S$15))*('IN-OUT'!$F$14^(-1)))*BB611</f>
        <v>1.1695835638277003E-3</v>
      </c>
      <c r="AY611" s="254">
        <f t="shared" si="347"/>
        <v>9.3540794722287769E-4</v>
      </c>
      <c r="AZ611" s="254">
        <f t="shared" si="351"/>
        <v>9.3540794722287768E-2</v>
      </c>
      <c r="BA611" s="254">
        <f t="shared" si="355"/>
        <v>1.0666666666665641E-4</v>
      </c>
      <c r="BB611" s="270">
        <f t="shared" si="348"/>
        <v>1.1616080807799671E-3</v>
      </c>
      <c r="BC611" s="253">
        <f t="shared" si="356"/>
        <v>1.8933333333333439E-3</v>
      </c>
      <c r="BD611" s="255">
        <f t="shared" si="352"/>
        <v>0.18933333333333438</v>
      </c>
      <c r="BI611" s="248"/>
      <c r="CG611" s="351" t="e">
        <f>((((IF($T$5=0,$T$6,$T$5)))/(12*$T$19))+(((3*$T$15)/(2*IF($T$5=0,$T$6,$T$5)*$U$5*$T$19))*'IN-OUT'!$F$14))*'Burland damage classification'!CK611</f>
        <v>#DIV/0!</v>
      </c>
      <c r="CH611" s="352">
        <f>(1+(((IF($T$5=0,$T$6^2,$T$5^2))*$U$5)/(18*$T$15))*('IN-OUT'!$F$14^(-1)))*CL611</f>
        <v>1.1616080807799671E-3</v>
      </c>
      <c r="CI611" s="254" t="e">
        <f t="shared" si="349"/>
        <v>#DIV/0!</v>
      </c>
      <c r="CJ611" s="254" t="e">
        <f t="shared" si="353"/>
        <v>#DIV/0!</v>
      </c>
      <c r="CK611" s="254">
        <f t="shared" si="357"/>
        <v>1.0666666666665641E-4</v>
      </c>
      <c r="CL611" s="270">
        <f t="shared" si="350"/>
        <v>1.1616080807799671E-3</v>
      </c>
      <c r="CM611" s="253">
        <f t="shared" si="358"/>
        <v>1.8933333333333439E-3</v>
      </c>
      <c r="CN611" s="255">
        <f t="shared" si="354"/>
        <v>0.18933333333333438</v>
      </c>
    </row>
    <row r="612" spans="3:162">
      <c r="X612" s="262"/>
      <c r="AW612" s="258">
        <f>(((IF($S$5&lt;&gt;0,$S$5,IF($S$6&lt;&gt;0,$S$6,IF($S$7&lt;&gt;0,$S$7,0))))/(12*$S$19))+(((3*$S$15)/(2*(IF($S$5&lt;&gt;0,$S$5,IF($S$6&lt;&gt;0,$S$6,IF($S$7&lt;&gt;0,$S$7,0))))*$U$5*$S$19))*'IN-OUT'!$F$14))*'Burland damage classification'!BA612</f>
        <v>8.7694495052144221E-4</v>
      </c>
      <c r="AX612" s="353">
        <f>(1+(((IF($S$5&lt;&gt;0,$S$5^2,IF($S$6&lt;&gt;0,$S$6^2,IF($S$7&lt;&gt;0,$S$7^2))))*$U$5)/(18*$S$15))*('IN-OUT'!$F$14^(-1)))*BB612</f>
        <v>1.1655315422705015E-3</v>
      </c>
      <c r="AY612" s="254">
        <f t="shared" si="347"/>
        <v>8.7694495052144221E-4</v>
      </c>
      <c r="AZ612" s="254">
        <f t="shared" si="351"/>
        <v>8.7694495052144217E-2</v>
      </c>
      <c r="BA612" s="254">
        <f t="shared" si="355"/>
        <v>9.9999999999989746E-5</v>
      </c>
      <c r="BB612" s="270">
        <f t="shared" si="348"/>
        <v>1.157583690279016E-3</v>
      </c>
      <c r="BC612" s="253">
        <f t="shared" si="356"/>
        <v>1.9000000000000106E-3</v>
      </c>
      <c r="BD612" s="255">
        <f t="shared" si="352"/>
        <v>0.19000000000000106</v>
      </c>
      <c r="BI612" s="248"/>
      <c r="CG612" s="351" t="e">
        <f>((((IF($T$5=0,$T$6,$T$5)))/(12*$T$19))+(((3*$T$15)/(2*IF($T$5=0,$T$6,$T$5)*$U$5*$T$19))*'IN-OUT'!$F$14))*'Burland damage classification'!CK612</f>
        <v>#DIV/0!</v>
      </c>
      <c r="CH612" s="352">
        <f>(1+(((IF($T$5=0,$T$6^2,$T$5^2))*$U$5)/(18*$T$15))*('IN-OUT'!$F$14^(-1)))*CL612</f>
        <v>1.157583690279016E-3</v>
      </c>
      <c r="CI612" s="254" t="e">
        <f t="shared" si="349"/>
        <v>#DIV/0!</v>
      </c>
      <c r="CJ612" s="254" t="e">
        <f t="shared" si="353"/>
        <v>#DIV/0!</v>
      </c>
      <c r="CK612" s="254">
        <f t="shared" si="357"/>
        <v>9.9999999999989746E-5</v>
      </c>
      <c r="CL612" s="270">
        <f t="shared" si="350"/>
        <v>1.157583690279016E-3</v>
      </c>
      <c r="CM612" s="253">
        <f t="shared" si="358"/>
        <v>1.9000000000000106E-3</v>
      </c>
      <c r="CN612" s="255">
        <f t="shared" si="354"/>
        <v>0.19000000000000106</v>
      </c>
    </row>
    <row r="613" spans="3:162">
      <c r="X613" s="262"/>
      <c r="AW613" s="258">
        <f>(((IF($S$5&lt;&gt;0,$S$5,IF($S$6&lt;&gt;0,$S$6,IF($S$7&lt;&gt;0,$S$7,0))))/(12*$S$19))+(((3*$S$15)/(2*(IF($S$5&lt;&gt;0,$S$5,IF($S$6&lt;&gt;0,$S$6,IF($S$7&lt;&gt;0,$S$7,0))))*$U$5*$S$19))*'IN-OUT'!$F$14))*'Burland damage classification'!BA613</f>
        <v>8.1848195382000684E-4</v>
      </c>
      <c r="AX613" s="353">
        <f>(1+(((IF($S$5&lt;&gt;0,$S$5^2,IF($S$6&lt;&gt;0,$S$6^2,IF($S$7&lt;&gt;0,$S$7^2))))*$U$5)/(18*$S$15))*('IN-OUT'!$F$14^(-1)))*BB613</f>
        <v>1.1614653844514713E-3</v>
      </c>
      <c r="AY613" s="254">
        <f t="shared" si="347"/>
        <v>8.1848195382000684E-4</v>
      </c>
      <c r="AZ613" s="254">
        <f t="shared" si="351"/>
        <v>8.184819538200068E-2</v>
      </c>
      <c r="BA613" s="254">
        <f t="shared" si="355"/>
        <v>9.3333333333323084E-5</v>
      </c>
      <c r="BB613" s="270">
        <f t="shared" si="348"/>
        <v>1.1535452599125235E-3</v>
      </c>
      <c r="BC613" s="253">
        <f t="shared" si="356"/>
        <v>1.9066666666666774E-3</v>
      </c>
      <c r="BD613" s="255">
        <f t="shared" si="352"/>
        <v>0.19066666666666773</v>
      </c>
      <c r="BI613" s="248"/>
      <c r="CG613" s="351" t="e">
        <f>((((IF($T$5=0,$T$6,$T$5)))/(12*$T$19))+(((3*$T$15)/(2*IF($T$5=0,$T$6,$T$5)*$U$5*$T$19))*'IN-OUT'!$F$14))*'Burland damage classification'!CK613</f>
        <v>#DIV/0!</v>
      </c>
      <c r="CH613" s="352">
        <f>(1+(((IF($T$5=0,$T$6^2,$T$5^2))*$U$5)/(18*$T$15))*('IN-OUT'!$F$14^(-1)))*CL613</f>
        <v>1.1535452599125235E-3</v>
      </c>
      <c r="CI613" s="254" t="e">
        <f t="shared" si="349"/>
        <v>#DIV/0!</v>
      </c>
      <c r="CJ613" s="254" t="e">
        <f t="shared" si="353"/>
        <v>#DIV/0!</v>
      </c>
      <c r="CK613" s="254">
        <f t="shared" si="357"/>
        <v>9.3333333333323084E-5</v>
      </c>
      <c r="CL613" s="270">
        <f t="shared" si="350"/>
        <v>1.1535452599125235E-3</v>
      </c>
      <c r="CM613" s="253">
        <f t="shared" si="358"/>
        <v>1.9066666666666774E-3</v>
      </c>
      <c r="CN613" s="255">
        <f t="shared" si="354"/>
        <v>0.19066666666666773</v>
      </c>
    </row>
    <row r="614" spans="3:162">
      <c r="X614" s="262"/>
      <c r="AW614" s="258">
        <f>(((IF($S$5&lt;&gt;0,$S$5,IF($S$6&lt;&gt;0,$S$6,IF($S$7&lt;&gt;0,$S$7,0))))/(12*$S$19))+(((3*$S$15)/(2*(IF($S$5&lt;&gt;0,$S$5,IF($S$6&lt;&gt;0,$S$6,IF($S$7&lt;&gt;0,$S$7,0))))*$U$5*$S$19))*'IN-OUT'!$F$14))*'Burland damage classification'!BA614</f>
        <v>7.6001895711857136E-4</v>
      </c>
      <c r="AX614" s="353">
        <f>(1+(((IF($S$5&lt;&gt;0,$S$5^2,IF($S$6&lt;&gt;0,$S$6^2,IF($S$7&lt;&gt;0,$S$7^2))))*$U$5)/(18*$S$15))*('IN-OUT'!$F$14^(-1)))*BB614</f>
        <v>1.1573849413788629E-3</v>
      </c>
      <c r="AY614" s="254">
        <f t="shared" si="347"/>
        <v>7.6001895711857136E-4</v>
      </c>
      <c r="AZ614" s="254">
        <f t="shared" si="351"/>
        <v>7.6001895711857143E-2</v>
      </c>
      <c r="BA614" s="254">
        <f t="shared" si="355"/>
        <v>8.6666666666656422E-5</v>
      </c>
      <c r="BB614" s="270">
        <f t="shared" si="348"/>
        <v>1.1494926417047297E-3</v>
      </c>
      <c r="BC614" s="253">
        <f t="shared" si="356"/>
        <v>1.9133333333333441E-3</v>
      </c>
      <c r="BD614" s="255">
        <f t="shared" si="352"/>
        <v>0.19133333333333441</v>
      </c>
      <c r="BI614" s="248"/>
      <c r="CG614" s="351" t="e">
        <f>((((IF($T$5=0,$T$6,$T$5)))/(12*$T$19))+(((3*$T$15)/(2*IF($T$5=0,$T$6,$T$5)*$U$5*$T$19))*'IN-OUT'!$F$14))*'Burland damage classification'!CK614</f>
        <v>#DIV/0!</v>
      </c>
      <c r="CH614" s="352">
        <f>(1+(((IF($T$5=0,$T$6^2,$T$5^2))*$U$5)/(18*$T$15))*('IN-OUT'!$F$14^(-1)))*CL614</f>
        <v>1.1494926417047297E-3</v>
      </c>
      <c r="CI614" s="254" t="e">
        <f t="shared" si="349"/>
        <v>#DIV/0!</v>
      </c>
      <c r="CJ614" s="254" t="e">
        <f t="shared" si="353"/>
        <v>#DIV/0!</v>
      </c>
      <c r="CK614" s="254">
        <f t="shared" si="357"/>
        <v>8.6666666666656422E-5</v>
      </c>
      <c r="CL614" s="270">
        <f t="shared" si="350"/>
        <v>1.1494926417047297E-3</v>
      </c>
      <c r="CM614" s="253">
        <f t="shared" si="358"/>
        <v>1.9133333333333441E-3</v>
      </c>
      <c r="CN614" s="255">
        <f t="shared" si="354"/>
        <v>0.19133333333333441</v>
      </c>
    </row>
    <row r="615" spans="3:162" s="340" customFormat="1">
      <c r="C615" s="339"/>
      <c r="D615" s="339"/>
      <c r="E615" s="339"/>
      <c r="G615" s="339"/>
      <c r="H615" s="339"/>
      <c r="I615" s="246"/>
      <c r="J615" s="246"/>
      <c r="M615"/>
      <c r="T615" s="339"/>
      <c r="U615" s="341"/>
      <c r="V615"/>
      <c r="W615"/>
      <c r="X615" s="262"/>
      <c r="Y615" s="248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 s="258">
        <f>(((IF($S$5&lt;&gt;0,$S$5,IF($S$6&lt;&gt;0,$S$6,IF($S$7&lt;&gt;0,$S$7,0))))/(12*$S$19))+(((3*$S$15)/(2*(IF($S$5&lt;&gt;0,$S$5,IF($S$6&lt;&gt;0,$S$6,IF($S$7&lt;&gt;0,$S$7,0))))*$U$5*$S$19))*'IN-OUT'!$F$14))*'Burland damage classification'!BA615</f>
        <v>7.0155596041713598E-4</v>
      </c>
      <c r="AX615" s="353">
        <f>(1+(((IF($S$5&lt;&gt;0,$S$5^2,IF($S$6&lt;&gt;0,$S$6^2,IF($S$7&lt;&gt;0,$S$7^2))))*$U$5)/(18*$S$15))*('IN-OUT'!$F$14^(-1)))*BB615</f>
        <v>1.1532900614251835E-3</v>
      </c>
      <c r="AY615" s="254">
        <f t="shared" si="347"/>
        <v>7.0155596041713598E-4</v>
      </c>
      <c r="AZ615" s="254">
        <f t="shared" si="351"/>
        <v>7.0155596041713592E-2</v>
      </c>
      <c r="BA615" s="254">
        <f t="shared" si="355"/>
        <v>7.9999999999989761E-5</v>
      </c>
      <c r="BB615" s="270">
        <f t="shared" si="348"/>
        <v>1.1454256850621015E-3</v>
      </c>
      <c r="BC615" s="253">
        <f t="shared" si="356"/>
        <v>1.9200000000000109E-3</v>
      </c>
      <c r="BD615" s="255">
        <f t="shared" si="352"/>
        <v>0.19200000000000109</v>
      </c>
      <c r="BE615"/>
      <c r="BF615"/>
      <c r="BG615"/>
      <c r="BH615"/>
      <c r="BI615" s="248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 s="351" t="e">
        <f>((((IF($T$5=0,$T$6,$T$5)))/(12*$T$19))+(((3*$T$15)/(2*IF($T$5=0,$T$6,$T$5)*$U$5*$T$19))*'IN-OUT'!$F$14))*'Burland damage classification'!CK615</f>
        <v>#DIV/0!</v>
      </c>
      <c r="CH615" s="352">
        <f>(1+(((IF($T$5=0,$T$6^2,$T$5^2))*$U$5)/(18*$T$15))*('IN-OUT'!$F$14^(-1)))*CL615</f>
        <v>1.1454256850621015E-3</v>
      </c>
      <c r="CI615" s="254" t="e">
        <f t="shared" si="349"/>
        <v>#DIV/0!</v>
      </c>
      <c r="CJ615" s="254" t="e">
        <f t="shared" si="353"/>
        <v>#DIV/0!</v>
      </c>
      <c r="CK615" s="254">
        <f t="shared" si="357"/>
        <v>7.9999999999989761E-5</v>
      </c>
      <c r="CL615" s="270">
        <f t="shared" si="350"/>
        <v>1.1454256850621015E-3</v>
      </c>
      <c r="CM615" s="253">
        <f t="shared" si="358"/>
        <v>1.9200000000000109E-3</v>
      </c>
      <c r="CN615" s="255">
        <f t="shared" si="354"/>
        <v>0.19200000000000109</v>
      </c>
      <c r="EB615" s="339"/>
      <c r="EC615" s="339"/>
      <c r="ED615" s="339"/>
      <c r="EE615" s="339"/>
      <c r="EF615" s="339"/>
      <c r="EG615" s="339"/>
      <c r="EH615" s="339"/>
      <c r="EI615" s="339"/>
      <c r="EJ615" s="339"/>
      <c r="FD615" s="347"/>
      <c r="FE615" s="347"/>
      <c r="FF615" s="347"/>
    </row>
    <row r="616" spans="3:162" s="340" customFormat="1">
      <c r="C616" s="339"/>
      <c r="D616" s="339"/>
      <c r="E616" s="339"/>
      <c r="G616" s="339"/>
      <c r="H616" s="339"/>
      <c r="I616" s="246"/>
      <c r="J616" s="246"/>
      <c r="M616"/>
      <c r="T616" s="339"/>
      <c r="U616" s="341"/>
      <c r="V616"/>
      <c r="W616"/>
      <c r="X616" s="262"/>
      <c r="Y616" s="248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 s="258">
        <f>(((IF($S$5&lt;&gt;0,$S$5,IF($S$6&lt;&gt;0,$S$6,IF($S$7&lt;&gt;0,$S$7,0))))/(12*$S$19))+(((3*$S$15)/(2*(IF($S$5&lt;&gt;0,$S$5,IF($S$6&lt;&gt;0,$S$6,IF($S$7&lt;&gt;0,$S$7,0))))*$U$5*$S$19))*'IN-OUT'!$F$14))*'Burland damage classification'!BA616</f>
        <v>6.4309296371570051E-4</v>
      </c>
      <c r="AX616" s="353">
        <f>(1+(((IF($S$5&lt;&gt;0,$S$5^2,IF($S$6&lt;&gt;0,$S$6^2,IF($S$7&lt;&gt;0,$S$7^2))))*$U$5)/(18*$S$15))*('IN-OUT'!$F$14^(-1)))*BB616</f>
        <v>1.1491805902614494E-3</v>
      </c>
      <c r="AY616" s="254">
        <f t="shared" si="347"/>
        <v>6.4309296371570051E-4</v>
      </c>
      <c r="AZ616" s="254">
        <f t="shared" si="351"/>
        <v>6.4309296371570054E-2</v>
      </c>
      <c r="BA616" s="254">
        <f t="shared" si="355"/>
        <v>7.3333333333323099E-5</v>
      </c>
      <c r="BB616" s="270">
        <f t="shared" si="348"/>
        <v>1.1413442367080367E-3</v>
      </c>
      <c r="BC616" s="253">
        <f t="shared" si="356"/>
        <v>1.9266666666666776E-3</v>
      </c>
      <c r="BD616" s="255">
        <f t="shared" si="352"/>
        <v>0.19266666666666776</v>
      </c>
      <c r="BE616"/>
      <c r="BF616"/>
      <c r="BG616"/>
      <c r="BH616"/>
      <c r="BI616" s="248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 s="351" t="e">
        <f>((((IF($T$5=0,$T$6,$T$5)))/(12*$T$19))+(((3*$T$15)/(2*IF($T$5=0,$T$6,$T$5)*$U$5*$T$19))*'IN-OUT'!$F$14))*'Burland damage classification'!CK616</f>
        <v>#DIV/0!</v>
      </c>
      <c r="CH616" s="352">
        <f>(1+(((IF($T$5=0,$T$6^2,$T$5^2))*$U$5)/(18*$T$15))*('IN-OUT'!$F$14^(-1)))*CL616</f>
        <v>1.1413442367080367E-3</v>
      </c>
      <c r="CI616" s="254" t="e">
        <f t="shared" si="349"/>
        <v>#DIV/0!</v>
      </c>
      <c r="CJ616" s="254" t="e">
        <f t="shared" si="353"/>
        <v>#DIV/0!</v>
      </c>
      <c r="CK616" s="254">
        <f t="shared" si="357"/>
        <v>7.3333333333323099E-5</v>
      </c>
      <c r="CL616" s="270">
        <f t="shared" si="350"/>
        <v>1.1413442367080367E-3</v>
      </c>
      <c r="CM616" s="253">
        <f t="shared" si="358"/>
        <v>1.9266666666666776E-3</v>
      </c>
      <c r="CN616" s="255">
        <f t="shared" si="354"/>
        <v>0.19266666666666776</v>
      </c>
      <c r="EB616" s="339"/>
      <c r="EC616" s="339"/>
      <c r="ED616" s="339"/>
      <c r="EE616" s="339"/>
      <c r="EF616" s="339"/>
      <c r="EG616" s="339"/>
      <c r="EH616" s="339"/>
      <c r="EI616" s="339"/>
      <c r="EJ616" s="339"/>
      <c r="FD616" s="347"/>
      <c r="FE616" s="347"/>
      <c r="FF616" s="347"/>
    </row>
    <row r="617" spans="3:162" s="340" customFormat="1">
      <c r="C617" s="339"/>
      <c r="D617" s="339"/>
      <c r="E617" s="339"/>
      <c r="G617" s="339"/>
      <c r="H617" s="339"/>
      <c r="I617" s="246"/>
      <c r="J617" s="246"/>
      <c r="M617"/>
      <c r="T617" s="339"/>
      <c r="U617" s="341"/>
      <c r="V617"/>
      <c r="W617"/>
      <c r="X617" s="262"/>
      <c r="Y617" s="248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 s="258">
        <f>(((IF($S$5&lt;&gt;0,$S$5,IF($S$6&lt;&gt;0,$S$6,IF($S$7&lt;&gt;0,$S$7,0))))/(12*$S$19))+(((3*$S$15)/(2*(IF($S$5&lt;&gt;0,$S$5,IF($S$6&lt;&gt;0,$S$6,IF($S$7&lt;&gt;0,$S$7,0))))*$U$5*$S$19))*'IN-OUT'!$F$14))*'Burland damage classification'!BA617</f>
        <v>5.8462996701426513E-4</v>
      </c>
      <c r="AX617" s="353">
        <f>(1+(((IF($S$5&lt;&gt;0,$S$5^2,IF($S$6&lt;&gt;0,$S$6^2,IF($S$7&lt;&gt;0,$S$7^2))))*$U$5)/(18*$S$15))*('IN-OUT'!$F$14^(-1)))*BB617</f>
        <v>1.1450563707893176E-3</v>
      </c>
      <c r="AY617" s="254">
        <f t="shared" si="347"/>
        <v>5.8462996701426513E-4</v>
      </c>
      <c r="AZ617" s="254">
        <f t="shared" si="351"/>
        <v>5.846299670142651E-2</v>
      </c>
      <c r="BA617" s="254">
        <f t="shared" si="355"/>
        <v>6.6666666666656438E-5</v>
      </c>
      <c r="BB617" s="270">
        <f t="shared" si="348"/>
        <v>1.1372481406154585E-3</v>
      </c>
      <c r="BC617" s="253">
        <f t="shared" si="356"/>
        <v>1.9333333333333444E-3</v>
      </c>
      <c r="BD617" s="255">
        <f t="shared" si="352"/>
        <v>0.19333333333333444</v>
      </c>
      <c r="BE617"/>
      <c r="BF617"/>
      <c r="BG617"/>
      <c r="BH617"/>
      <c r="BI617" s="248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 s="351" t="e">
        <f>((((IF($T$5=0,$T$6,$T$5)))/(12*$T$19))+(((3*$T$15)/(2*IF($T$5=0,$T$6,$T$5)*$U$5*$T$19))*'IN-OUT'!$F$14))*'Burland damage classification'!CK617</f>
        <v>#DIV/0!</v>
      </c>
      <c r="CH617" s="352">
        <f>(1+(((IF($T$5=0,$T$6^2,$T$5^2))*$U$5)/(18*$T$15))*('IN-OUT'!$F$14^(-1)))*CL617</f>
        <v>1.1372481406154585E-3</v>
      </c>
      <c r="CI617" s="254" t="e">
        <f t="shared" si="349"/>
        <v>#DIV/0!</v>
      </c>
      <c r="CJ617" s="254" t="e">
        <f t="shared" si="353"/>
        <v>#DIV/0!</v>
      </c>
      <c r="CK617" s="254">
        <f t="shared" si="357"/>
        <v>6.6666666666656438E-5</v>
      </c>
      <c r="CL617" s="270">
        <f t="shared" si="350"/>
        <v>1.1372481406154585E-3</v>
      </c>
      <c r="CM617" s="253">
        <f t="shared" si="358"/>
        <v>1.9333333333333444E-3</v>
      </c>
      <c r="CN617" s="255">
        <f t="shared" si="354"/>
        <v>0.19333333333333444</v>
      </c>
      <c r="EB617" s="339"/>
      <c r="EC617" s="339"/>
      <c r="ED617" s="339"/>
      <c r="EE617" s="339"/>
      <c r="EF617" s="339"/>
      <c r="EG617" s="339"/>
      <c r="EH617" s="339"/>
      <c r="EI617" s="339"/>
      <c r="EJ617" s="339"/>
      <c r="FD617" s="347"/>
      <c r="FE617" s="347"/>
      <c r="FF617" s="347"/>
    </row>
    <row r="618" spans="3:162" s="340" customFormat="1">
      <c r="C618" s="339"/>
      <c r="D618" s="339"/>
      <c r="E618" s="339"/>
      <c r="G618" s="339"/>
      <c r="H618" s="339"/>
      <c r="I618" s="246"/>
      <c r="J618" s="246"/>
      <c r="M618"/>
      <c r="T618" s="339"/>
      <c r="U618" s="341"/>
      <c r="V618"/>
      <c r="W618"/>
      <c r="X618" s="262"/>
      <c r="Y618" s="24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 s="258">
        <f>(((IF($S$5&lt;&gt;0,$S$5,IF($S$6&lt;&gt;0,$S$6,IF($S$7&lt;&gt;0,$S$7,0))))/(12*$S$19))+(((3*$S$15)/(2*(IF($S$5&lt;&gt;0,$S$5,IF($S$6&lt;&gt;0,$S$6,IF($S$7&lt;&gt;0,$S$7,0))))*$U$5*$S$19))*'IN-OUT'!$F$14))*'Burland damage classification'!BA618</f>
        <v>5.2616697031282955E-4</v>
      </c>
      <c r="AX618" s="353">
        <f>(1+(((IF($S$5&lt;&gt;0,$S$5^2,IF($S$6&lt;&gt;0,$S$6^2,IF($S$7&lt;&gt;0,$S$7^2))))*$U$5)/(18*$S$15))*('IN-OUT'!$F$14^(-1)))*BB618</f>
        <v>1.1409172430710095E-3</v>
      </c>
      <c r="AY618" s="254">
        <f t="shared" si="347"/>
        <v>5.2616697031282955E-4</v>
      </c>
      <c r="AZ618" s="254">
        <f t="shared" si="351"/>
        <v>5.2616697031282952E-2</v>
      </c>
      <c r="BA618" s="254">
        <f t="shared" si="355"/>
        <v>5.9999999999989769E-5</v>
      </c>
      <c r="BB618" s="270">
        <f t="shared" si="348"/>
        <v>1.1331372379372166E-3</v>
      </c>
      <c r="BC618" s="253">
        <f t="shared" si="356"/>
        <v>1.9400000000000112E-3</v>
      </c>
      <c r="BD618" s="255">
        <f t="shared" si="352"/>
        <v>0.19400000000000112</v>
      </c>
      <c r="BE618"/>
      <c r="BF618"/>
      <c r="BG618"/>
      <c r="BH618"/>
      <c r="BI618" s="24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 s="351" t="e">
        <f>((((IF($T$5=0,$T$6,$T$5)))/(12*$T$19))+(((3*$T$15)/(2*IF($T$5=0,$T$6,$T$5)*$U$5*$T$19))*'IN-OUT'!$F$14))*'Burland damage classification'!CK618</f>
        <v>#DIV/0!</v>
      </c>
      <c r="CH618" s="352">
        <f>(1+(((IF($T$5=0,$T$6^2,$T$5^2))*$U$5)/(18*$T$15))*('IN-OUT'!$F$14^(-1)))*CL618</f>
        <v>1.1331372379372166E-3</v>
      </c>
      <c r="CI618" s="254" t="e">
        <f t="shared" si="349"/>
        <v>#DIV/0!</v>
      </c>
      <c r="CJ618" s="254" t="e">
        <f t="shared" si="353"/>
        <v>#DIV/0!</v>
      </c>
      <c r="CK618" s="254">
        <f t="shared" si="357"/>
        <v>5.9999999999989769E-5</v>
      </c>
      <c r="CL618" s="270">
        <f t="shared" si="350"/>
        <v>1.1331372379372166E-3</v>
      </c>
      <c r="CM618" s="253">
        <f t="shared" si="358"/>
        <v>1.9400000000000112E-3</v>
      </c>
      <c r="CN618" s="255">
        <f t="shared" si="354"/>
        <v>0.19400000000000112</v>
      </c>
      <c r="EB618" s="339"/>
      <c r="EC618" s="339"/>
      <c r="ED618" s="339"/>
      <c r="EE618" s="339"/>
      <c r="EF618" s="339"/>
      <c r="EG618" s="339"/>
      <c r="EH618" s="339"/>
      <c r="EI618" s="339"/>
      <c r="EJ618" s="339"/>
      <c r="FD618" s="347"/>
      <c r="FE618" s="347"/>
      <c r="FF618" s="347"/>
    </row>
    <row r="619" spans="3:162" s="340" customFormat="1">
      <c r="C619" s="339"/>
      <c r="D619" s="339"/>
      <c r="E619" s="339"/>
      <c r="G619" s="339"/>
      <c r="H619" s="339"/>
      <c r="I619" s="246"/>
      <c r="J619" s="246"/>
      <c r="M619"/>
      <c r="T619" s="339"/>
      <c r="U619" s="341"/>
      <c r="V619"/>
      <c r="W619"/>
      <c r="X619" s="262"/>
      <c r="Y619" s="248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 s="258">
        <f>(((IF($S$5&lt;&gt;0,$S$5,IF($S$6&lt;&gt;0,$S$6,IF($S$7&lt;&gt;0,$S$7,0))))/(12*$S$19))+(((3*$S$15)/(2*(IF($S$5&lt;&gt;0,$S$5,IF($S$6&lt;&gt;0,$S$6,IF($S$7&lt;&gt;0,$S$7,0))))*$U$5*$S$19))*'IN-OUT'!$F$14))*'Burland damage classification'!BA619</f>
        <v>4.6770397361139412E-4</v>
      </c>
      <c r="AX619" s="353">
        <f>(1+(((IF($S$5&lt;&gt;0,$S$5^2,IF($S$6&lt;&gt;0,$S$6^2,IF($S$7&lt;&gt;0,$S$7^2))))*$U$5)/(18*$S$15))*('IN-OUT'!$F$14^(-1)))*BB619</f>
        <v>1.1367630442569387E-3</v>
      </c>
      <c r="AY619" s="254">
        <f t="shared" si="347"/>
        <v>4.6770397361139412E-4</v>
      </c>
      <c r="AZ619" s="254">
        <f t="shared" si="351"/>
        <v>4.6770397361139415E-2</v>
      </c>
      <c r="BA619" s="254">
        <f t="shared" si="355"/>
        <v>5.3333333333323101E-5</v>
      </c>
      <c r="BB619" s="270">
        <f t="shared" si="348"/>
        <v>1.1290113669342088E-3</v>
      </c>
      <c r="BC619" s="253">
        <f t="shared" si="356"/>
        <v>1.9466666666666779E-3</v>
      </c>
      <c r="BD619" s="255">
        <f t="shared" si="352"/>
        <v>0.19466666666666779</v>
      </c>
      <c r="BE619"/>
      <c r="BF619"/>
      <c r="BG619"/>
      <c r="BH619"/>
      <c r="BI619" s="248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 s="351" t="e">
        <f>((((IF($T$5=0,$T$6,$T$5)))/(12*$T$19))+(((3*$T$15)/(2*IF($T$5=0,$T$6,$T$5)*$U$5*$T$19))*'IN-OUT'!$F$14))*'Burland damage classification'!CK619</f>
        <v>#DIV/0!</v>
      </c>
      <c r="CH619" s="352">
        <f>(1+(((IF($T$5=0,$T$6^2,$T$5^2))*$U$5)/(18*$T$15))*('IN-OUT'!$F$14^(-1)))*CL619</f>
        <v>1.1290113669342088E-3</v>
      </c>
      <c r="CI619" s="254" t="e">
        <f t="shared" si="349"/>
        <v>#DIV/0!</v>
      </c>
      <c r="CJ619" s="254" t="e">
        <f t="shared" si="353"/>
        <v>#DIV/0!</v>
      </c>
      <c r="CK619" s="254">
        <f t="shared" si="357"/>
        <v>5.3333333333323101E-5</v>
      </c>
      <c r="CL619" s="270">
        <f t="shared" si="350"/>
        <v>1.1290113669342088E-3</v>
      </c>
      <c r="CM619" s="253">
        <f t="shared" si="358"/>
        <v>1.9466666666666779E-3</v>
      </c>
      <c r="CN619" s="255">
        <f t="shared" si="354"/>
        <v>0.19466666666666779</v>
      </c>
      <c r="EB619" s="339"/>
      <c r="EC619" s="339"/>
      <c r="ED619" s="339"/>
      <c r="EE619" s="339"/>
      <c r="EF619" s="339"/>
      <c r="EG619" s="339"/>
      <c r="EH619" s="339"/>
      <c r="EI619" s="339"/>
      <c r="EJ619" s="339"/>
      <c r="FD619" s="347"/>
      <c r="FE619" s="347"/>
      <c r="FF619" s="347"/>
    </row>
    <row r="620" spans="3:162" s="340" customFormat="1">
      <c r="C620" s="339"/>
      <c r="D620" s="339"/>
      <c r="E620" s="339"/>
      <c r="G620" s="339"/>
      <c r="H620" s="339"/>
      <c r="I620" s="246"/>
      <c r="J620" s="246"/>
      <c r="M620"/>
      <c r="T620" s="339"/>
      <c r="U620" s="341"/>
      <c r="V620"/>
      <c r="W620"/>
      <c r="X620" s="262"/>
      <c r="Y620" s="248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 s="258">
        <f>(((IF($S$5&lt;&gt;0,$S$5,IF($S$6&lt;&gt;0,$S$6,IF($S$7&lt;&gt;0,$S$7,0))))/(12*$S$19))+(((3*$S$15)/(2*(IF($S$5&lt;&gt;0,$S$5,IF($S$6&lt;&gt;0,$S$6,IF($S$7&lt;&gt;0,$S$7,0))))*$U$5*$S$19))*'IN-OUT'!$F$14))*'Burland damage classification'!BA620</f>
        <v>4.0924097690995859E-4</v>
      </c>
      <c r="AX620" s="353">
        <f>(1+(((IF($S$5&lt;&gt;0,$S$5^2,IF($S$6&lt;&gt;0,$S$6^2,IF($S$7&lt;&gt;0,$S$7^2))))*$U$5)/(18*$S$15))*('IN-OUT'!$F$14^(-1)))*BB620</f>
        <v>1.132593608510949E-3</v>
      </c>
      <c r="AY620" s="254">
        <f t="shared" si="347"/>
        <v>4.0924097690995859E-4</v>
      </c>
      <c r="AZ620" s="254">
        <f t="shared" si="351"/>
        <v>4.0924097690995857E-2</v>
      </c>
      <c r="BA620" s="254">
        <f t="shared" si="355"/>
        <v>4.6666666666656433E-5</v>
      </c>
      <c r="BB620" s="270">
        <f t="shared" si="348"/>
        <v>1.1248703629011289E-3</v>
      </c>
      <c r="BC620" s="253">
        <f t="shared" si="356"/>
        <v>1.9533333333333447E-3</v>
      </c>
      <c r="BD620" s="255">
        <f t="shared" si="352"/>
        <v>0.19533333333333447</v>
      </c>
      <c r="BE620"/>
      <c r="BF620"/>
      <c r="BG620"/>
      <c r="BH620"/>
      <c r="BI620" s="248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 s="351" t="e">
        <f>((((IF($T$5=0,$T$6,$T$5)))/(12*$T$19))+(((3*$T$15)/(2*IF($T$5=0,$T$6,$T$5)*$U$5*$T$19))*'IN-OUT'!$F$14))*'Burland damage classification'!CK620</f>
        <v>#DIV/0!</v>
      </c>
      <c r="CH620" s="352">
        <f>(1+(((IF($T$5=0,$T$6^2,$T$5^2))*$U$5)/(18*$T$15))*('IN-OUT'!$F$14^(-1)))*CL620</f>
        <v>1.1248703629011289E-3</v>
      </c>
      <c r="CI620" s="254" t="e">
        <f t="shared" si="349"/>
        <v>#DIV/0!</v>
      </c>
      <c r="CJ620" s="254" t="e">
        <f t="shared" si="353"/>
        <v>#DIV/0!</v>
      </c>
      <c r="CK620" s="254">
        <f t="shared" si="357"/>
        <v>4.6666666666656433E-5</v>
      </c>
      <c r="CL620" s="270">
        <f t="shared" si="350"/>
        <v>1.1248703629011289E-3</v>
      </c>
      <c r="CM620" s="253">
        <f t="shared" si="358"/>
        <v>1.9533333333333447E-3</v>
      </c>
      <c r="CN620" s="255">
        <f t="shared" si="354"/>
        <v>0.19533333333333447</v>
      </c>
      <c r="EB620" s="339"/>
      <c r="EC620" s="339"/>
      <c r="ED620" s="339"/>
      <c r="EE620" s="339"/>
      <c r="EF620" s="339"/>
      <c r="EG620" s="339"/>
      <c r="EH620" s="339"/>
      <c r="EI620" s="339"/>
      <c r="EJ620" s="339"/>
      <c r="FD620" s="347"/>
      <c r="FE620" s="347"/>
      <c r="FF620" s="347"/>
    </row>
    <row r="621" spans="3:162" s="340" customFormat="1">
      <c r="C621" s="339"/>
      <c r="D621" s="339"/>
      <c r="E621" s="339"/>
      <c r="G621" s="339"/>
      <c r="H621" s="339"/>
      <c r="I621" s="246"/>
      <c r="J621" s="246"/>
      <c r="M621"/>
      <c r="T621" s="339"/>
      <c r="U621" s="341"/>
      <c r="V621"/>
      <c r="W621"/>
      <c r="X621" s="262"/>
      <c r="Y621" s="248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 s="258">
        <f>(((IF($S$5&lt;&gt;0,$S$5,IF($S$6&lt;&gt;0,$S$6,IF($S$7&lt;&gt;0,$S$7,0))))/(12*$S$19))+(((3*$S$15)/(2*(IF($S$5&lt;&gt;0,$S$5,IF($S$6&lt;&gt;0,$S$6,IF($S$7&lt;&gt;0,$S$7,0))))*$U$5*$S$19))*'IN-OUT'!$F$14))*'Burland damage classification'!BA621</f>
        <v>3.5077798020852311E-4</v>
      </c>
      <c r="AX621" s="353">
        <f>(1+(((IF($S$5&lt;&gt;0,$S$5^2,IF($S$6&lt;&gt;0,$S$6^2,IF($S$7&lt;&gt;0,$S$7^2))))*$U$5)/(18*$S$15))*('IN-OUT'!$F$14^(-1)))*BB621</f>
        <v>1.1284087669330661E-3</v>
      </c>
      <c r="AY621" s="254">
        <f t="shared" si="347"/>
        <v>3.5077798020852311E-4</v>
      </c>
      <c r="AZ621" s="254">
        <f t="shared" si="351"/>
        <v>3.5077798020852313E-2</v>
      </c>
      <c r="BA621" s="254">
        <f t="shared" si="355"/>
        <v>3.9999999999989764E-5</v>
      </c>
      <c r="BB621" s="270">
        <f t="shared" si="348"/>
        <v>1.1207140580897449E-3</v>
      </c>
      <c r="BC621" s="253">
        <f t="shared" si="356"/>
        <v>1.9600000000000112E-3</v>
      </c>
      <c r="BD621" s="255">
        <f t="shared" si="352"/>
        <v>0.19600000000000112</v>
      </c>
      <c r="BE621"/>
      <c r="BF621"/>
      <c r="BG621"/>
      <c r="BH621"/>
      <c r="BI621" s="248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 s="351" t="e">
        <f>((((IF($T$5=0,$T$6,$T$5)))/(12*$T$19))+(((3*$T$15)/(2*IF($T$5=0,$T$6,$T$5)*$U$5*$T$19))*'IN-OUT'!$F$14))*'Burland damage classification'!CK621</f>
        <v>#DIV/0!</v>
      </c>
      <c r="CH621" s="352">
        <f>(1+(((IF($T$5=0,$T$6^2,$T$5^2))*$U$5)/(18*$T$15))*('IN-OUT'!$F$14^(-1)))*CL621</f>
        <v>1.1207140580897449E-3</v>
      </c>
      <c r="CI621" s="254" t="e">
        <f t="shared" si="349"/>
        <v>#DIV/0!</v>
      </c>
      <c r="CJ621" s="254" t="e">
        <f t="shared" si="353"/>
        <v>#DIV/0!</v>
      </c>
      <c r="CK621" s="254">
        <f t="shared" si="357"/>
        <v>3.9999999999989764E-5</v>
      </c>
      <c r="CL621" s="270">
        <f t="shared" si="350"/>
        <v>1.1207140580897449E-3</v>
      </c>
      <c r="CM621" s="253">
        <f t="shared" si="358"/>
        <v>1.9600000000000112E-3</v>
      </c>
      <c r="CN621" s="255">
        <f t="shared" si="354"/>
        <v>0.19600000000000112</v>
      </c>
      <c r="EB621" s="339"/>
      <c r="EC621" s="339"/>
      <c r="ED621" s="339"/>
      <c r="EE621" s="339"/>
      <c r="EF621" s="339"/>
      <c r="EG621" s="339"/>
      <c r="EH621" s="339"/>
      <c r="EI621" s="339"/>
      <c r="EJ621" s="339"/>
      <c r="FD621" s="347"/>
      <c r="FE621" s="347"/>
      <c r="FF621" s="347"/>
    </row>
    <row r="622" spans="3:162" s="340" customFormat="1">
      <c r="C622" s="339"/>
      <c r="D622" s="339"/>
      <c r="E622" s="339"/>
      <c r="G622" s="339"/>
      <c r="H622" s="339"/>
      <c r="I622" s="246"/>
      <c r="J622" s="246"/>
      <c r="M622"/>
      <c r="T622" s="339"/>
      <c r="U622" s="341"/>
      <c r="V622"/>
      <c r="W622"/>
      <c r="X622" s="262"/>
      <c r="Y622" s="248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 s="258">
        <f>(((IF($S$5&lt;&gt;0,$S$5,IF($S$6&lt;&gt;0,$S$6,IF($S$7&lt;&gt;0,$S$7,0))))/(12*$S$19))+(((3*$S$15)/(2*(IF($S$5&lt;&gt;0,$S$5,IF($S$6&lt;&gt;0,$S$6,IF($S$7&lt;&gt;0,$S$7,0))))*$U$5*$S$19))*'IN-OUT'!$F$14))*'Burland damage classification'!BA622</f>
        <v>2.9231498350708763E-4</v>
      </c>
      <c r="AX622" s="353">
        <f>(1+(((IF($S$5&lt;&gt;0,$S$5^2,IF($S$6&lt;&gt;0,$S$6^2,IF($S$7&lt;&gt;0,$S$7^2))))*$U$5)/(18*$S$15))*('IN-OUT'!$F$14^(-1)))*BB622</f>
        <v>1.1242083474796625E-3</v>
      </c>
      <c r="AY622" s="254">
        <f t="shared" si="347"/>
        <v>2.9231498350708763E-4</v>
      </c>
      <c r="AZ622" s="254">
        <f t="shared" si="351"/>
        <v>2.9231498350708762E-2</v>
      </c>
      <c r="BA622" s="254">
        <f t="shared" si="355"/>
        <v>3.3333333333323096E-5</v>
      </c>
      <c r="BB622" s="270">
        <f t="shared" si="348"/>
        <v>1.1165422816296082E-3</v>
      </c>
      <c r="BC622" s="253">
        <f t="shared" si="356"/>
        <v>1.9666666666666778E-3</v>
      </c>
      <c r="BD622" s="255">
        <f t="shared" si="352"/>
        <v>0.19666666666666777</v>
      </c>
      <c r="BE622"/>
      <c r="BF622"/>
      <c r="BG622"/>
      <c r="BH622"/>
      <c r="BI622" s="248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 s="351" t="e">
        <f>((((IF($T$5=0,$T$6,$T$5)))/(12*$T$19))+(((3*$T$15)/(2*IF($T$5=0,$T$6,$T$5)*$U$5*$T$19))*'IN-OUT'!$F$14))*'Burland damage classification'!CK622</f>
        <v>#DIV/0!</v>
      </c>
      <c r="CH622" s="352">
        <f>(1+(((IF($T$5=0,$T$6^2,$T$5^2))*$U$5)/(18*$T$15))*('IN-OUT'!$F$14^(-1)))*CL622</f>
        <v>1.1165422816296082E-3</v>
      </c>
      <c r="CI622" s="254" t="e">
        <f t="shared" si="349"/>
        <v>#DIV/0!</v>
      </c>
      <c r="CJ622" s="254" t="e">
        <f t="shared" si="353"/>
        <v>#DIV/0!</v>
      </c>
      <c r="CK622" s="254">
        <f t="shared" si="357"/>
        <v>3.3333333333323096E-5</v>
      </c>
      <c r="CL622" s="270">
        <f t="shared" si="350"/>
        <v>1.1165422816296082E-3</v>
      </c>
      <c r="CM622" s="253">
        <f t="shared" si="358"/>
        <v>1.9666666666666778E-3</v>
      </c>
      <c r="CN622" s="255">
        <f t="shared" si="354"/>
        <v>0.19666666666666777</v>
      </c>
      <c r="EB622" s="339"/>
      <c r="EC622" s="339"/>
      <c r="ED622" s="339"/>
      <c r="EE622" s="339"/>
      <c r="EF622" s="339"/>
      <c r="EG622" s="339"/>
      <c r="EH622" s="339"/>
      <c r="EI622" s="339"/>
      <c r="EJ622" s="339"/>
      <c r="FD622" s="347"/>
      <c r="FE622" s="347"/>
      <c r="FF622" s="347"/>
    </row>
    <row r="623" spans="3:162" s="340" customFormat="1">
      <c r="C623" s="339"/>
      <c r="D623" s="339"/>
      <c r="E623" s="339"/>
      <c r="G623" s="339"/>
      <c r="H623" s="339"/>
      <c r="I623" s="246"/>
      <c r="J623" s="246"/>
      <c r="M623"/>
      <c r="T623" s="339"/>
      <c r="U623" s="341"/>
      <c r="V623"/>
      <c r="W623"/>
      <c r="X623" s="262"/>
      <c r="Y623" s="248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 s="258">
        <f>(((IF($S$5&lt;&gt;0,$S$5,IF($S$6&lt;&gt;0,$S$6,IF($S$7&lt;&gt;0,$S$7,0))))/(12*$S$19))+(((3*$S$15)/(2*(IF($S$5&lt;&gt;0,$S$5,IF($S$6&lt;&gt;0,$S$6,IF($S$7&lt;&gt;0,$S$7,0))))*$U$5*$S$19))*'IN-OUT'!$F$14))*'Burland damage classification'!BA623</f>
        <v>2.3385198680565212E-4</v>
      </c>
      <c r="AX623" s="353">
        <f>(1+(((IF($S$5&lt;&gt;0,$S$5^2,IF($S$6&lt;&gt;0,$S$6^2,IF($S$7&lt;&gt;0,$S$7^2))))*$U$5)/(18*$S$15))*('IN-OUT'!$F$14^(-1)))*BB623</f>
        <v>1.1199921748809244E-3</v>
      </c>
      <c r="AY623" s="254">
        <f t="shared" si="347"/>
        <v>2.3385198680565212E-4</v>
      </c>
      <c r="AZ623" s="254">
        <f t="shared" si="351"/>
        <v>2.3385198680565211E-2</v>
      </c>
      <c r="BA623" s="254">
        <f t="shared" si="355"/>
        <v>2.6666666666656428E-5</v>
      </c>
      <c r="BB623" s="270">
        <f t="shared" si="348"/>
        <v>1.1123548594460843E-3</v>
      </c>
      <c r="BC623" s="253">
        <f t="shared" si="356"/>
        <v>1.9733333333333443E-3</v>
      </c>
      <c r="BD623" s="255">
        <f t="shared" si="352"/>
        <v>0.19733333333333442</v>
      </c>
      <c r="BE623"/>
      <c r="BF623"/>
      <c r="BG623"/>
      <c r="BH623"/>
      <c r="BI623" s="248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 s="351" t="e">
        <f>((((IF($T$5=0,$T$6,$T$5)))/(12*$T$19))+(((3*$T$15)/(2*IF($T$5=0,$T$6,$T$5)*$U$5*$T$19))*'IN-OUT'!$F$14))*'Burland damage classification'!CK623</f>
        <v>#DIV/0!</v>
      </c>
      <c r="CH623" s="352">
        <f>(1+(((IF($T$5=0,$T$6^2,$T$5^2))*$U$5)/(18*$T$15))*('IN-OUT'!$F$14^(-1)))*CL623</f>
        <v>1.1123548594460843E-3</v>
      </c>
      <c r="CI623" s="254" t="e">
        <f t="shared" si="349"/>
        <v>#DIV/0!</v>
      </c>
      <c r="CJ623" s="254" t="e">
        <f t="shared" si="353"/>
        <v>#DIV/0!</v>
      </c>
      <c r="CK623" s="254">
        <f t="shared" si="357"/>
        <v>2.6666666666656428E-5</v>
      </c>
      <c r="CL623" s="270">
        <f t="shared" si="350"/>
        <v>1.1123548594460843E-3</v>
      </c>
      <c r="CM623" s="253">
        <f t="shared" si="358"/>
        <v>1.9733333333333443E-3</v>
      </c>
      <c r="CN623" s="255">
        <f t="shared" si="354"/>
        <v>0.19733333333333442</v>
      </c>
      <c r="EB623" s="339"/>
      <c r="EC623" s="339"/>
      <c r="ED623" s="339"/>
      <c r="EE623" s="339"/>
      <c r="EF623" s="339"/>
      <c r="EG623" s="339"/>
      <c r="EH623" s="339"/>
      <c r="EI623" s="339"/>
      <c r="EJ623" s="339"/>
      <c r="FD623" s="347"/>
      <c r="FE623" s="347"/>
      <c r="FF623" s="347"/>
    </row>
    <row r="624" spans="3:162" s="340" customFormat="1">
      <c r="C624" s="339"/>
      <c r="D624" s="339"/>
      <c r="E624" s="339"/>
      <c r="G624" s="339"/>
      <c r="H624" s="339"/>
      <c r="I624" s="246"/>
      <c r="J624" s="246"/>
      <c r="M624"/>
      <c r="T624" s="339"/>
      <c r="U624" s="341"/>
      <c r="V624"/>
      <c r="W624"/>
      <c r="X624" s="262"/>
      <c r="Y624" s="248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 s="258">
        <f>(((IF($S$5&lt;&gt;0,$S$5,IF($S$6&lt;&gt;0,$S$6,IF($S$7&lt;&gt;0,$S$7,0))))/(12*$S$19))+(((3*$S$15)/(2*(IF($S$5&lt;&gt;0,$S$5,IF($S$6&lt;&gt;0,$S$6,IF($S$7&lt;&gt;0,$S$7,0))))*$U$5*$S$19))*'IN-OUT'!$F$14))*'Burland damage classification'!BA624</f>
        <v>1.7538899010421664E-4</v>
      </c>
      <c r="AX624" s="353">
        <f>(1+(((IF($S$5&lt;&gt;0,$S$5^2,IF($S$6&lt;&gt;0,$S$6^2,IF($S$7&lt;&gt;0,$S$7^2))))*$U$5)/(18*$S$15))*('IN-OUT'!$F$14^(-1)))*BB624</f>
        <v>1.1157600705555175E-3</v>
      </c>
      <c r="AY624" s="254">
        <f t="shared" si="347"/>
        <v>1.7538899010421664E-4</v>
      </c>
      <c r="AZ624" s="254">
        <f t="shared" si="351"/>
        <v>1.7538899010421664E-2</v>
      </c>
      <c r="BA624" s="254">
        <f t="shared" si="355"/>
        <v>1.9999999999989759E-5</v>
      </c>
      <c r="BB624" s="270">
        <f t="shared" si="348"/>
        <v>1.1081516141755985E-3</v>
      </c>
      <c r="BC624" s="253">
        <f t="shared" si="356"/>
        <v>1.9800000000000108E-3</v>
      </c>
      <c r="BD624" s="255">
        <f t="shared" si="352"/>
        <v>0.19800000000000109</v>
      </c>
      <c r="BE624"/>
      <c r="BF624"/>
      <c r="BG624"/>
      <c r="BH624"/>
      <c r="BI624" s="248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 s="351" t="e">
        <f>((((IF($T$5=0,$T$6,$T$5)))/(12*$T$19))+(((3*$T$15)/(2*IF($T$5=0,$T$6,$T$5)*$U$5*$T$19))*'IN-OUT'!$F$14))*'Burland damage classification'!CK624</f>
        <v>#DIV/0!</v>
      </c>
      <c r="CH624" s="352">
        <f>(1+(((IF($T$5=0,$T$6^2,$T$5^2))*$U$5)/(18*$T$15))*('IN-OUT'!$F$14^(-1)))*CL624</f>
        <v>1.1081516141755985E-3</v>
      </c>
      <c r="CI624" s="254" t="e">
        <f t="shared" si="349"/>
        <v>#DIV/0!</v>
      </c>
      <c r="CJ624" s="254" t="e">
        <f t="shared" si="353"/>
        <v>#DIV/0!</v>
      </c>
      <c r="CK624" s="254">
        <f t="shared" si="357"/>
        <v>1.9999999999989759E-5</v>
      </c>
      <c r="CL624" s="270">
        <f t="shared" si="350"/>
        <v>1.1081516141755985E-3</v>
      </c>
      <c r="CM624" s="253">
        <f t="shared" si="358"/>
        <v>1.9800000000000108E-3</v>
      </c>
      <c r="CN624" s="255">
        <f t="shared" si="354"/>
        <v>0.19800000000000109</v>
      </c>
      <c r="EB624" s="339"/>
      <c r="EC624" s="339"/>
      <c r="ED624" s="339"/>
      <c r="EE624" s="339"/>
      <c r="EF624" s="339"/>
      <c r="EG624" s="339"/>
      <c r="EH624" s="339"/>
      <c r="EI624" s="339"/>
      <c r="EJ624" s="339"/>
      <c r="FD624" s="347"/>
      <c r="FE624" s="347"/>
      <c r="FF624" s="347"/>
    </row>
    <row r="625" spans="3:162" s="340" customFormat="1">
      <c r="C625" s="339"/>
      <c r="D625" s="339"/>
      <c r="E625" s="339"/>
      <c r="G625" s="339"/>
      <c r="H625" s="339"/>
      <c r="I625" s="246"/>
      <c r="J625" s="246"/>
      <c r="M625"/>
      <c r="T625" s="339"/>
      <c r="U625" s="342"/>
      <c r="V625"/>
      <c r="W625"/>
      <c r="X625" s="262"/>
      <c r="Y625" s="248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 s="258">
        <f>(((IF($S$5&lt;&gt;0,$S$5,IF($S$6&lt;&gt;0,$S$6,IF($S$7&lt;&gt;0,$S$7,0))))/(12*$S$19))+(((3*$S$15)/(2*(IF($S$5&lt;&gt;0,$S$5,IF($S$6&lt;&gt;0,$S$6,IF($S$7&lt;&gt;0,$S$7,0))))*$U$5*$S$19))*'IN-OUT'!$F$14))*'Burland damage classification'!BA625</f>
        <v>1.1692599340278115E-4</v>
      </c>
      <c r="AX625" s="353">
        <f>(1+(((IF($S$5&lt;&gt;0,$S$5^2,IF($S$6&lt;&gt;0,$S$6^2,IF($S$7&lt;&gt;0,$S$7^2))))*$U$5)/(18*$S$15))*('IN-OUT'!$F$14^(-1)))*BB625</f>
        <v>1.1115118525223218E-3</v>
      </c>
      <c r="AY625" s="254">
        <f t="shared" si="347"/>
        <v>1.1692599340278115E-4</v>
      </c>
      <c r="AZ625" s="254">
        <f t="shared" si="351"/>
        <v>1.1692599340278114E-2</v>
      </c>
      <c r="BA625" s="254">
        <f t="shared" si="355"/>
        <v>1.3333333333323093E-5</v>
      </c>
      <c r="BB625" s="270">
        <f t="shared" si="348"/>
        <v>1.103932365077975E-3</v>
      </c>
      <c r="BC625" s="253">
        <f t="shared" si="356"/>
        <v>1.9866666666666774E-3</v>
      </c>
      <c r="BD625" s="255">
        <f t="shared" si="352"/>
        <v>0.19866666666666774</v>
      </c>
      <c r="BE625"/>
      <c r="BF625"/>
      <c r="BG625"/>
      <c r="BH625"/>
      <c r="BI625" s="248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 s="351" t="e">
        <f>((((IF($T$5=0,$T$6,$T$5)))/(12*$T$19))+(((3*$T$15)/(2*IF($T$5=0,$T$6,$T$5)*$U$5*$T$19))*'IN-OUT'!$F$14))*'Burland damage classification'!CK625</f>
        <v>#DIV/0!</v>
      </c>
      <c r="CH625" s="352">
        <f>(1+(((IF($T$5=0,$T$6^2,$T$5^2))*$U$5)/(18*$T$15))*('IN-OUT'!$F$14^(-1)))*CL625</f>
        <v>1.103932365077975E-3</v>
      </c>
      <c r="CI625" s="254" t="e">
        <f t="shared" si="349"/>
        <v>#DIV/0!</v>
      </c>
      <c r="CJ625" s="254" t="e">
        <f t="shared" si="353"/>
        <v>#DIV/0!</v>
      </c>
      <c r="CK625" s="254">
        <f t="shared" si="357"/>
        <v>1.3333333333323093E-5</v>
      </c>
      <c r="CL625" s="270">
        <f t="shared" si="350"/>
        <v>1.103932365077975E-3</v>
      </c>
      <c r="CM625" s="253">
        <f t="shared" si="358"/>
        <v>1.9866666666666774E-3</v>
      </c>
      <c r="CN625" s="255">
        <f t="shared" si="354"/>
        <v>0.19866666666666774</v>
      </c>
      <c r="EB625" s="339"/>
      <c r="EC625" s="339"/>
      <c r="ED625" s="339"/>
      <c r="EE625" s="339"/>
      <c r="EF625" s="339"/>
      <c r="EG625" s="339"/>
      <c r="EH625" s="339"/>
      <c r="EI625" s="339"/>
      <c r="EJ625" s="339"/>
      <c r="FD625" s="347"/>
      <c r="FE625" s="347"/>
      <c r="FF625" s="347"/>
    </row>
    <row r="626" spans="3:162" s="340" customFormat="1">
      <c r="C626" s="339"/>
      <c r="D626" s="339"/>
      <c r="E626" s="339"/>
      <c r="G626" s="339"/>
      <c r="H626" s="339"/>
      <c r="I626" s="246"/>
      <c r="J626" s="246"/>
      <c r="M626"/>
      <c r="T626" s="339"/>
      <c r="U626" s="342"/>
      <c r="V626"/>
      <c r="W626"/>
      <c r="X626" s="262"/>
      <c r="Y626" s="248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 s="258">
        <f>(((IF($S$5&lt;&gt;0,$S$5,IF($S$6&lt;&gt;0,$S$6,IF($S$7&lt;&gt;0,$S$7,0))))/(12*$S$19))+(((3*$S$15)/(2*(IF($S$5&lt;&gt;0,$S$5,IF($S$6&lt;&gt;0,$S$6,IF($S$7&lt;&gt;0,$S$7,0))))*$U$5*$S$19))*'IN-OUT'!$F$14))*'Burland damage classification'!BA626</f>
        <v>5.8462996701345674E-5</v>
      </c>
      <c r="AX626" s="353">
        <f>(1+(((IF($S$5&lt;&gt;0,$S$5^2,IF($S$6&lt;&gt;0,$S$6^2,IF($S$7&lt;&gt;0,$S$7^2))))*$U$5)/(18*$S$15))*('IN-OUT'!$F$14^(-1)))*BB626</f>
        <v>1.1072473353091229E-3</v>
      </c>
      <c r="AY626" s="254">
        <f t="shared" si="347"/>
        <v>5.8462996701345674E-5</v>
      </c>
      <c r="AZ626" s="254">
        <f t="shared" si="351"/>
        <v>5.8462996701345677E-3</v>
      </c>
      <c r="BA626" s="254">
        <f t="shared" si="355"/>
        <v>6.666666666656426E-6</v>
      </c>
      <c r="BB626" s="270">
        <f t="shared" si="348"/>
        <v>1.0996969279457492E-3</v>
      </c>
      <c r="BC626" s="253">
        <f t="shared" si="356"/>
        <v>1.9933333333333439E-3</v>
      </c>
      <c r="BD626" s="255">
        <f t="shared" si="352"/>
        <v>0.19933333333333439</v>
      </c>
      <c r="BE626"/>
      <c r="BF626"/>
      <c r="BG626"/>
      <c r="BH626"/>
      <c r="BI626" s="248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 s="351" t="e">
        <f>((((IF($T$5=0,$T$6,$T$5)))/(12*$T$19))+(((3*$T$15)/(2*IF($T$5=0,$T$6,$T$5)*$U$5*$T$19))*'IN-OUT'!$F$14))*'Burland damage classification'!CK626</f>
        <v>#DIV/0!</v>
      </c>
      <c r="CH626" s="352">
        <f>(1+(((IF($T$5=0,$T$6^2,$T$5^2))*$U$5)/(18*$T$15))*('IN-OUT'!$F$14^(-1)))*CL626</f>
        <v>1.0996969279457492E-3</v>
      </c>
      <c r="CI626" s="254" t="e">
        <f t="shared" si="349"/>
        <v>#DIV/0!</v>
      </c>
      <c r="CJ626" s="254" t="e">
        <f t="shared" si="353"/>
        <v>#DIV/0!</v>
      </c>
      <c r="CK626" s="254">
        <f t="shared" si="357"/>
        <v>6.666666666656426E-6</v>
      </c>
      <c r="CL626" s="270">
        <f t="shared" si="350"/>
        <v>1.0996969279457492E-3</v>
      </c>
      <c r="CM626" s="253">
        <f t="shared" si="358"/>
        <v>1.9933333333333439E-3</v>
      </c>
      <c r="CN626" s="255">
        <f t="shared" si="354"/>
        <v>0.19933333333333439</v>
      </c>
      <c r="EB626" s="339"/>
      <c r="EC626" s="339"/>
      <c r="ED626" s="339"/>
      <c r="EE626" s="339"/>
      <c r="EF626" s="339"/>
      <c r="EG626" s="339"/>
      <c r="EH626" s="339"/>
      <c r="EI626" s="339"/>
      <c r="EJ626" s="339"/>
      <c r="FD626" s="347"/>
      <c r="FE626" s="347"/>
      <c r="FF626" s="347"/>
    </row>
    <row r="627" spans="3:162" s="340" customFormat="1" ht="13.8" thickBot="1">
      <c r="C627" s="339"/>
      <c r="D627" s="339"/>
      <c r="E627" s="339"/>
      <c r="G627" s="339"/>
      <c r="H627" s="339"/>
      <c r="I627" s="246"/>
      <c r="J627" s="246"/>
      <c r="M627"/>
      <c r="T627" s="339"/>
      <c r="U627" s="341"/>
      <c r="V627"/>
      <c r="W627"/>
      <c r="X627" s="262"/>
      <c r="Y627" s="248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 s="258">
        <f>(((IF($S$5&lt;&gt;0,$S$5,IF($S$6&lt;&gt;0,$S$6,IF($S$7&lt;&gt;0,$S$7,0))))/(12*$S$19))+(((3*$S$15)/(2*(IF($S$5&lt;&gt;0,$S$5,IF($S$6&lt;&gt;0,$S$6,IF($S$7&lt;&gt;0,$S$7,0))))*$U$5*$S$19))*'IN-OUT'!$F$14))*'Burland damage classification'!BA627</f>
        <v>-8.980467306182163E-17</v>
      </c>
      <c r="AX627" s="353">
        <f>(1+(((IF($S$5&lt;&gt;0,$S$5^2,IF($S$6&lt;&gt;0,$S$6^2,IF($S$7&lt;&gt;0,$S$7^2))))*$U$5)/(18*$S$15))*('IN-OUT'!$F$14^(-1)))*BB627</f>
        <v>1.1029663298581258E-3</v>
      </c>
      <c r="AY627" s="259">
        <f t="shared" si="347"/>
        <v>-8.980467306182163E-17</v>
      </c>
      <c r="AZ627" s="259">
        <f t="shared" si="351"/>
        <v>-8.9804673061821635E-15</v>
      </c>
      <c r="BA627" s="254">
        <f t="shared" si="355"/>
        <v>-1.0240628332304491E-17</v>
      </c>
      <c r="BB627" s="273">
        <f t="shared" si="348"/>
        <v>1.0954451150103255E-3</v>
      </c>
      <c r="BC627" s="253">
        <f t="shared" si="356"/>
        <v>2.0000000000000104E-3</v>
      </c>
      <c r="BD627" s="261">
        <f t="shared" si="352"/>
        <v>0.20000000000000104</v>
      </c>
      <c r="BE627"/>
      <c r="BF627"/>
      <c r="BG627"/>
      <c r="BH627"/>
      <c r="BI627" s="248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 s="351" t="e">
        <f>((((IF($T$5=0,$T$6,$T$5)))/(12*$T$19))+(((3*$T$15)/(2*IF($T$5=0,$T$6,$T$5)*$U$5*$T$19))*'IN-OUT'!$F$14))*'Burland damage classification'!CK627</f>
        <v>#DIV/0!</v>
      </c>
      <c r="CH627" s="352">
        <f>(1+(((IF($T$5=0,$T$6^2,$T$5^2))*$U$5)/(18*$T$15))*('IN-OUT'!$F$14^(-1)))*CL627</f>
        <v>1.0954451150103255E-3</v>
      </c>
      <c r="CI627" s="259" t="e">
        <f t="shared" si="349"/>
        <v>#DIV/0!</v>
      </c>
      <c r="CJ627" s="259" t="e">
        <f t="shared" si="353"/>
        <v>#DIV/0!</v>
      </c>
      <c r="CK627" s="254">
        <f t="shared" si="357"/>
        <v>-1.0240628332304491E-17</v>
      </c>
      <c r="CL627" s="273">
        <f t="shared" si="350"/>
        <v>1.0954451150103255E-3</v>
      </c>
      <c r="CM627" s="253">
        <f t="shared" si="358"/>
        <v>2.0000000000000104E-3</v>
      </c>
      <c r="CN627" s="261">
        <f t="shared" si="354"/>
        <v>0.20000000000000104</v>
      </c>
      <c r="EB627" s="339"/>
      <c r="EC627" s="339"/>
      <c r="ED627" s="339"/>
      <c r="EE627" s="339"/>
      <c r="EF627" s="339"/>
      <c r="EG627" s="339"/>
      <c r="EH627" s="339"/>
      <c r="EI627" s="339"/>
      <c r="EJ627" s="339"/>
      <c r="FD627" s="347"/>
      <c r="FE627" s="347"/>
      <c r="FF627" s="347"/>
    </row>
    <row r="628" spans="3:162" s="340" customFormat="1">
      <c r="C628" s="339"/>
      <c r="D628" s="339"/>
      <c r="E628" s="339"/>
      <c r="G628" s="339"/>
      <c r="H628" s="339"/>
      <c r="I628" s="246"/>
      <c r="J628" s="246"/>
      <c r="M628"/>
      <c r="T628" s="339"/>
      <c r="U628" s="341"/>
      <c r="X628" s="262"/>
      <c r="Y628" s="341"/>
      <c r="EB628" s="339"/>
      <c r="EC628" s="339"/>
      <c r="ED628" s="339"/>
      <c r="EE628" s="339"/>
      <c r="EF628" s="339"/>
      <c r="EG628" s="339"/>
      <c r="EH628" s="339"/>
      <c r="EI628" s="339"/>
      <c r="EJ628" s="339"/>
      <c r="FD628" s="347"/>
      <c r="FE628" s="347"/>
      <c r="FF628" s="347"/>
    </row>
    <row r="629" spans="3:162" s="340" customFormat="1">
      <c r="C629" s="339"/>
      <c r="D629" s="339"/>
      <c r="E629" s="339"/>
      <c r="G629" s="339"/>
      <c r="H629" s="339"/>
      <c r="I629" s="246"/>
      <c r="J629" s="246"/>
      <c r="M629"/>
      <c r="T629" s="339"/>
      <c r="U629" s="341"/>
      <c r="X629" s="262"/>
      <c r="Y629" s="341"/>
      <c r="EB629" s="339"/>
      <c r="EC629" s="339"/>
      <c r="ED629" s="339"/>
      <c r="EE629" s="339"/>
      <c r="EF629" s="339"/>
      <c r="EG629" s="339"/>
      <c r="EH629" s="339"/>
      <c r="EI629" s="339"/>
      <c r="EJ629" s="339"/>
      <c r="FD629" s="347"/>
      <c r="FE629" s="347"/>
      <c r="FF629" s="347"/>
    </row>
    <row r="630" spans="3:162" s="340" customFormat="1">
      <c r="C630" s="339"/>
      <c r="D630" s="339"/>
      <c r="E630" s="339"/>
      <c r="G630" s="339"/>
      <c r="H630" s="339"/>
      <c r="I630" s="246"/>
      <c r="J630" s="246"/>
      <c r="M630"/>
      <c r="T630" s="339"/>
      <c r="U630" s="341"/>
      <c r="X630" s="262"/>
      <c r="Y630" s="341"/>
      <c r="EB630" s="339"/>
      <c r="EC630" s="339"/>
      <c r="ED630" s="339"/>
      <c r="EE630" s="339"/>
      <c r="EF630" s="339"/>
      <c r="EG630" s="339"/>
      <c r="EH630" s="339"/>
      <c r="EI630" s="339"/>
      <c r="EJ630" s="339"/>
      <c r="FD630" s="347"/>
      <c r="FE630" s="347"/>
      <c r="FF630" s="347"/>
    </row>
    <row r="631" spans="3:162" s="340" customFormat="1">
      <c r="C631" s="339"/>
      <c r="D631" s="339"/>
      <c r="E631" s="339"/>
      <c r="G631" s="339"/>
      <c r="H631" s="339"/>
      <c r="I631" s="246"/>
      <c r="J631" s="246"/>
      <c r="M631"/>
      <c r="T631" s="339"/>
      <c r="U631" s="341"/>
      <c r="X631" s="262"/>
      <c r="Y631" s="341"/>
      <c r="EB631" s="339"/>
      <c r="EC631" s="339"/>
      <c r="ED631" s="339"/>
      <c r="EE631" s="339"/>
      <c r="EF631" s="339"/>
      <c r="EG631" s="339"/>
      <c r="EH631" s="339"/>
      <c r="EI631" s="339"/>
      <c r="EJ631" s="339"/>
      <c r="FD631" s="347"/>
      <c r="FE631" s="347"/>
      <c r="FF631" s="347"/>
    </row>
    <row r="632" spans="3:162" s="340" customFormat="1">
      <c r="C632" s="339"/>
      <c r="D632" s="339"/>
      <c r="E632" s="339"/>
      <c r="G632" s="339"/>
      <c r="H632" s="339"/>
      <c r="I632" s="246"/>
      <c r="J632" s="246"/>
      <c r="M632"/>
      <c r="T632" s="339"/>
      <c r="U632" s="341"/>
      <c r="X632" s="262"/>
      <c r="Y632" s="341"/>
      <c r="EB632" s="339"/>
      <c r="EC632" s="339"/>
      <c r="ED632" s="339"/>
      <c r="EE632" s="339"/>
      <c r="EF632" s="339"/>
      <c r="EG632" s="339"/>
      <c r="EH632" s="339"/>
      <c r="EI632" s="339"/>
      <c r="EJ632" s="339"/>
      <c r="FD632" s="347"/>
      <c r="FE632" s="347"/>
      <c r="FF632" s="347"/>
    </row>
    <row r="633" spans="3:162" s="340" customFormat="1">
      <c r="C633" s="339"/>
      <c r="D633" s="339"/>
      <c r="E633" s="339"/>
      <c r="G633" s="339"/>
      <c r="H633" s="339"/>
      <c r="I633" s="246"/>
      <c r="J633" s="246"/>
      <c r="M633"/>
      <c r="T633" s="339"/>
      <c r="U633" s="341"/>
      <c r="X633" s="262"/>
      <c r="Y633" s="341"/>
      <c r="EB633" s="339"/>
      <c r="EC633" s="339"/>
      <c r="ED633" s="339"/>
      <c r="EE633" s="339"/>
      <c r="EF633" s="339"/>
      <c r="EG633" s="339"/>
      <c r="EH633" s="339"/>
      <c r="EI633" s="339"/>
      <c r="EJ633" s="339"/>
      <c r="FD633" s="347"/>
      <c r="FE633" s="347"/>
      <c r="FF633" s="347"/>
    </row>
    <row r="634" spans="3:162" s="340" customFormat="1">
      <c r="C634" s="339"/>
      <c r="D634" s="339"/>
      <c r="E634" s="339"/>
      <c r="G634" s="339"/>
      <c r="H634" s="339"/>
      <c r="I634" s="246"/>
      <c r="J634" s="246"/>
      <c r="M634"/>
      <c r="T634" s="339"/>
      <c r="U634" s="341"/>
      <c r="X634" s="262"/>
      <c r="Y634" s="341"/>
      <c r="EB634" s="339"/>
      <c r="EC634" s="339"/>
      <c r="ED634" s="339"/>
      <c r="EE634" s="339"/>
      <c r="EF634" s="339"/>
      <c r="EG634" s="339"/>
      <c r="EH634" s="339"/>
      <c r="EI634" s="339"/>
      <c r="EJ634" s="339"/>
      <c r="FD634" s="347"/>
      <c r="FE634" s="347"/>
      <c r="FF634" s="347"/>
    </row>
    <row r="635" spans="3:162" s="340" customFormat="1">
      <c r="C635" s="339"/>
      <c r="D635" s="339"/>
      <c r="E635" s="339"/>
      <c r="G635" s="339"/>
      <c r="H635" s="339"/>
      <c r="I635" s="246"/>
      <c r="J635" s="246"/>
      <c r="M635"/>
      <c r="T635" s="339"/>
      <c r="U635" s="341"/>
      <c r="X635" s="262"/>
      <c r="Y635" s="341"/>
      <c r="EB635" s="339"/>
      <c r="EC635" s="339"/>
      <c r="ED635" s="339"/>
      <c r="EE635" s="339"/>
      <c r="EF635" s="339"/>
      <c r="EG635" s="339"/>
      <c r="EH635" s="339"/>
      <c r="EI635" s="339"/>
      <c r="EJ635" s="339"/>
      <c r="FD635" s="347"/>
      <c r="FE635" s="347"/>
      <c r="FF635" s="347"/>
    </row>
    <row r="636" spans="3:162">
      <c r="X636" s="262"/>
    </row>
    <row r="637" spans="3:162">
      <c r="X637" s="262"/>
    </row>
    <row r="638" spans="3:162">
      <c r="X638" s="262"/>
    </row>
    <row r="639" spans="3:162">
      <c r="X639" s="262"/>
    </row>
    <row r="640" spans="3:162">
      <c r="X640" s="262"/>
    </row>
    <row r="641" spans="24:24">
      <c r="X641" s="262"/>
    </row>
    <row r="642" spans="24:24">
      <c r="X642" s="262"/>
    </row>
    <row r="643" spans="24:24">
      <c r="X643" s="262"/>
    </row>
    <row r="644" spans="24:24">
      <c r="X644" s="262"/>
    </row>
    <row r="645" spans="24:24">
      <c r="X645" s="262"/>
    </row>
    <row r="646" spans="24:24">
      <c r="X646" s="262"/>
    </row>
    <row r="647" spans="24:24">
      <c r="X647" s="262"/>
    </row>
    <row r="648" spans="24:24">
      <c r="X648" s="262"/>
    </row>
    <row r="649" spans="24:24">
      <c r="X649" s="262"/>
    </row>
    <row r="650" spans="24:24">
      <c r="X650" s="262"/>
    </row>
    <row r="651" spans="24:24">
      <c r="X651" s="262"/>
    </row>
    <row r="652" spans="24:24">
      <c r="X652" s="262"/>
    </row>
    <row r="653" spans="24:24">
      <c r="X653" s="262"/>
    </row>
    <row r="654" spans="24:24">
      <c r="X654" s="262"/>
    </row>
    <row r="655" spans="24:24">
      <c r="X655" s="262"/>
    </row>
    <row r="656" spans="24:24">
      <c r="X656" s="262"/>
    </row>
    <row r="657" spans="24:24">
      <c r="X657" s="262"/>
    </row>
    <row r="658" spans="24:24">
      <c r="X658" s="262"/>
    </row>
    <row r="659" spans="24:24">
      <c r="X659" s="262"/>
    </row>
    <row r="660" spans="24:24">
      <c r="X660" s="262"/>
    </row>
    <row r="661" spans="24:24">
      <c r="X661" s="262"/>
    </row>
    <row r="662" spans="24:24">
      <c r="X662" s="262"/>
    </row>
    <row r="663" spans="24:24">
      <c r="X663" s="262"/>
    </row>
    <row r="664" spans="24:24">
      <c r="X664" s="262"/>
    </row>
    <row r="665" spans="24:24">
      <c r="X665" s="262"/>
    </row>
    <row r="666" spans="24:24">
      <c r="X666" s="262"/>
    </row>
    <row r="667" spans="24:24">
      <c r="X667" s="262"/>
    </row>
    <row r="668" spans="24:24">
      <c r="X668" s="262"/>
    </row>
    <row r="669" spans="24:24">
      <c r="X669" s="262"/>
    </row>
    <row r="670" spans="24:24">
      <c r="X670" s="262"/>
    </row>
    <row r="671" spans="24:24">
      <c r="X671" s="262"/>
    </row>
    <row r="672" spans="24:24">
      <c r="X672" s="262"/>
    </row>
    <row r="673" spans="24:24">
      <c r="X673" s="262"/>
    </row>
    <row r="674" spans="24:24">
      <c r="X674" s="262"/>
    </row>
    <row r="675" spans="24:24">
      <c r="X675" s="262"/>
    </row>
    <row r="676" spans="24:24">
      <c r="X676" s="262"/>
    </row>
    <row r="677" spans="24:24">
      <c r="X677" s="262"/>
    </row>
    <row r="678" spans="24:24">
      <c r="X678" s="262"/>
    </row>
    <row r="679" spans="24:24">
      <c r="X679" s="262"/>
    </row>
    <row r="680" spans="24:24">
      <c r="X680" s="262"/>
    </row>
    <row r="681" spans="24:24">
      <c r="X681" s="262"/>
    </row>
    <row r="682" spans="24:24">
      <c r="X682" s="262"/>
    </row>
    <row r="683" spans="24:24">
      <c r="X683" s="262"/>
    </row>
    <row r="684" spans="24:24">
      <c r="X684" s="262"/>
    </row>
    <row r="685" spans="24:24">
      <c r="X685" s="262"/>
    </row>
    <row r="686" spans="24:24">
      <c r="X686" s="262"/>
    </row>
    <row r="687" spans="24:24">
      <c r="X687" s="262"/>
    </row>
    <row r="688" spans="24:24">
      <c r="X688" s="262"/>
    </row>
    <row r="689" spans="24:24">
      <c r="X689" s="262"/>
    </row>
    <row r="690" spans="24:24">
      <c r="X690" s="262"/>
    </row>
    <row r="691" spans="24:24">
      <c r="X691" s="262"/>
    </row>
    <row r="692" spans="24:24">
      <c r="X692" s="262"/>
    </row>
    <row r="693" spans="24:24">
      <c r="X693" s="262"/>
    </row>
    <row r="694" spans="24:24">
      <c r="X694" s="262"/>
    </row>
    <row r="695" spans="24:24">
      <c r="X695" s="262"/>
    </row>
    <row r="696" spans="24:24">
      <c r="X696" s="262"/>
    </row>
    <row r="697" spans="24:24">
      <c r="X697" s="262"/>
    </row>
    <row r="698" spans="24:24">
      <c r="X698" s="262"/>
    </row>
    <row r="699" spans="24:24">
      <c r="X699" s="262"/>
    </row>
    <row r="700" spans="24:24">
      <c r="X700" s="262"/>
    </row>
    <row r="701" spans="24:24">
      <c r="X701" s="262"/>
    </row>
    <row r="702" spans="24:24">
      <c r="X702" s="262"/>
    </row>
    <row r="703" spans="24:24">
      <c r="X703" s="262"/>
    </row>
    <row r="704" spans="24:24">
      <c r="X704" s="262"/>
    </row>
    <row r="705" spans="24:24">
      <c r="X705" s="262"/>
    </row>
    <row r="706" spans="24:24">
      <c r="X706" s="262"/>
    </row>
    <row r="707" spans="24:24">
      <c r="X707" s="262"/>
    </row>
    <row r="708" spans="24:24">
      <c r="X708" s="262"/>
    </row>
    <row r="709" spans="24:24">
      <c r="X709" s="262"/>
    </row>
    <row r="710" spans="24:24">
      <c r="X710" s="262"/>
    </row>
    <row r="711" spans="24:24">
      <c r="X711" s="262"/>
    </row>
    <row r="712" spans="24:24">
      <c r="X712" s="262"/>
    </row>
    <row r="713" spans="24:24">
      <c r="X713" s="262"/>
    </row>
    <row r="714" spans="24:24">
      <c r="X714" s="262"/>
    </row>
    <row r="715" spans="24:24">
      <c r="X715" s="262"/>
    </row>
    <row r="716" spans="24:24">
      <c r="X716" s="262"/>
    </row>
    <row r="717" spans="24:24">
      <c r="X717" s="262"/>
    </row>
    <row r="718" spans="24:24">
      <c r="X718" s="262"/>
    </row>
    <row r="719" spans="24:24">
      <c r="X719" s="262"/>
    </row>
    <row r="720" spans="24:24">
      <c r="X720" s="262"/>
    </row>
    <row r="721" spans="24:24">
      <c r="X721" s="262"/>
    </row>
    <row r="722" spans="24:24">
      <c r="X722" s="262"/>
    </row>
    <row r="723" spans="24:24">
      <c r="X723" s="262"/>
    </row>
    <row r="724" spans="24:24">
      <c r="X724" s="262"/>
    </row>
    <row r="725" spans="24:24">
      <c r="X725" s="262"/>
    </row>
    <row r="726" spans="24:24">
      <c r="X726" s="262"/>
    </row>
    <row r="727" spans="24:24">
      <c r="X727" s="262"/>
    </row>
    <row r="728" spans="24:24">
      <c r="X728" s="262"/>
    </row>
    <row r="729" spans="24:24">
      <c r="X729" s="262"/>
    </row>
    <row r="730" spans="24:24">
      <c r="X730" s="262"/>
    </row>
    <row r="731" spans="24:24">
      <c r="X731" s="262"/>
    </row>
    <row r="732" spans="24:24">
      <c r="X732" s="262"/>
    </row>
    <row r="733" spans="24:24">
      <c r="X733" s="262"/>
    </row>
    <row r="734" spans="24:24">
      <c r="X734" s="262"/>
    </row>
    <row r="735" spans="24:24">
      <c r="X735" s="262"/>
    </row>
    <row r="736" spans="24:24">
      <c r="X736" s="262"/>
    </row>
    <row r="737" spans="24:24">
      <c r="X737" s="262"/>
    </row>
    <row r="738" spans="24:24">
      <c r="X738" s="262"/>
    </row>
    <row r="739" spans="24:24">
      <c r="X739" s="262"/>
    </row>
    <row r="740" spans="24:24">
      <c r="X740" s="262"/>
    </row>
    <row r="741" spans="24:24">
      <c r="X741" s="262"/>
    </row>
    <row r="742" spans="24:24">
      <c r="X742" s="262"/>
    </row>
    <row r="743" spans="24:24">
      <c r="X743" s="262"/>
    </row>
    <row r="744" spans="24:24">
      <c r="X744" s="262"/>
    </row>
    <row r="745" spans="24:24">
      <c r="X745" s="262"/>
    </row>
    <row r="746" spans="24:24">
      <c r="X746" s="262"/>
    </row>
    <row r="747" spans="24:24">
      <c r="X747" s="262"/>
    </row>
    <row r="748" spans="24:24">
      <c r="X748" s="262"/>
    </row>
    <row r="749" spans="24:24">
      <c r="X749" s="262"/>
    </row>
    <row r="750" spans="24:24">
      <c r="X750" s="262"/>
    </row>
    <row r="751" spans="24:24">
      <c r="X751" s="262"/>
    </row>
    <row r="752" spans="24:24">
      <c r="X752" s="262"/>
    </row>
    <row r="753" spans="24:24">
      <c r="X753" s="262"/>
    </row>
    <row r="754" spans="24:24">
      <c r="X754" s="262"/>
    </row>
    <row r="755" spans="24:24">
      <c r="X755" s="262"/>
    </row>
    <row r="756" spans="24:24">
      <c r="X756" s="262"/>
    </row>
    <row r="757" spans="24:24">
      <c r="X757" s="262"/>
    </row>
    <row r="758" spans="24:24">
      <c r="X758" s="262"/>
    </row>
    <row r="759" spans="24:24">
      <c r="X759" s="262"/>
    </row>
    <row r="760" spans="24:24">
      <c r="X760" s="262"/>
    </row>
    <row r="761" spans="24:24">
      <c r="X761" s="262"/>
    </row>
    <row r="762" spans="24:24">
      <c r="X762" s="262"/>
    </row>
    <row r="763" spans="24:24">
      <c r="X763" s="262"/>
    </row>
    <row r="764" spans="24:24">
      <c r="X764" s="262"/>
    </row>
    <row r="765" spans="24:24">
      <c r="X765" s="262"/>
    </row>
    <row r="766" spans="24:24">
      <c r="X766" s="262"/>
    </row>
    <row r="767" spans="24:24">
      <c r="X767" s="262"/>
    </row>
    <row r="768" spans="24:24">
      <c r="X768" s="262"/>
    </row>
    <row r="769" spans="24:24">
      <c r="X769" s="262"/>
    </row>
    <row r="770" spans="24:24">
      <c r="X770" s="262"/>
    </row>
    <row r="771" spans="24:24">
      <c r="X771" s="262"/>
    </row>
    <row r="772" spans="24:24">
      <c r="X772" s="262"/>
    </row>
    <row r="773" spans="24:24">
      <c r="X773" s="262"/>
    </row>
  </sheetData>
  <mergeCells count="79">
    <mergeCell ref="EK61:EM61"/>
    <mergeCell ref="FE30:FF30"/>
    <mergeCell ref="FE79:FF79"/>
    <mergeCell ref="EA30:EA58"/>
    <mergeCell ref="EA63:EA80"/>
    <mergeCell ref="EV30:EW30"/>
    <mergeCell ref="EV41:EW41"/>
    <mergeCell ref="EV52:EW52"/>
    <mergeCell ref="EV63:EW63"/>
    <mergeCell ref="EV74:EW74"/>
    <mergeCell ref="EK39:EM39"/>
    <mergeCell ref="EB30:EB36"/>
    <mergeCell ref="EG39:EI39"/>
    <mergeCell ref="ED39:EF39"/>
    <mergeCell ref="EK72:EM72"/>
    <mergeCell ref="EK50:EM50"/>
    <mergeCell ref="EB52:EB58"/>
    <mergeCell ref="BX11:CE11"/>
    <mergeCell ref="EK28:EM28"/>
    <mergeCell ref="P13:T13"/>
    <mergeCell ref="ED28:EF28"/>
    <mergeCell ref="EG28:EI28"/>
    <mergeCell ref="AY14:AZ14"/>
    <mergeCell ref="X14:Y14"/>
    <mergeCell ref="AG14:AH14"/>
    <mergeCell ref="AP14:AQ14"/>
    <mergeCell ref="CI14:CJ14"/>
    <mergeCell ref="DA14:DB14"/>
    <mergeCell ref="EB41:EB47"/>
    <mergeCell ref="ED50:EF50"/>
    <mergeCell ref="EG50:EI50"/>
    <mergeCell ref="E2:G2"/>
    <mergeCell ref="P2:R2"/>
    <mergeCell ref="S2:T2"/>
    <mergeCell ref="DS14:DT14"/>
    <mergeCell ref="DJ14:DK14"/>
    <mergeCell ref="CG11:CN11"/>
    <mergeCell ref="CP11:CW11"/>
    <mergeCell ref="CY11:DF11"/>
    <mergeCell ref="DH11:DO11"/>
    <mergeCell ref="BF11:BM11"/>
    <mergeCell ref="DQ11:DX11"/>
    <mergeCell ref="BO11:BV11"/>
    <mergeCell ref="V11:AC11"/>
    <mergeCell ref="AW11:BD11"/>
    <mergeCell ref="AE11:AL11"/>
    <mergeCell ref="AN11:AU11"/>
    <mergeCell ref="H28:M28"/>
    <mergeCell ref="I2:J2"/>
    <mergeCell ref="L2:M2"/>
    <mergeCell ref="P17:T17"/>
    <mergeCell ref="P22:Q23"/>
    <mergeCell ref="P9:T9"/>
    <mergeCell ref="X403:Y403"/>
    <mergeCell ref="AA403:AB403"/>
    <mergeCell ref="AE322:AL322"/>
    <mergeCell ref="AN322:AU322"/>
    <mergeCell ref="X325:Y325"/>
    <mergeCell ref="AG325:AH325"/>
    <mergeCell ref="AP325:AQ325"/>
    <mergeCell ref="V322:AC322"/>
    <mergeCell ref="EG4:EI4"/>
    <mergeCell ref="EB1:EJ1"/>
    <mergeCell ref="EB3:EF3"/>
    <mergeCell ref="EG3:EJ3"/>
    <mergeCell ref="EB4:ED4"/>
    <mergeCell ref="AY325:AZ325"/>
    <mergeCell ref="CI325:CJ325"/>
    <mergeCell ref="BF322:BM322"/>
    <mergeCell ref="AW322:BD322"/>
    <mergeCell ref="BO322:BV322"/>
    <mergeCell ref="BX322:CE322"/>
    <mergeCell ref="CG322:CN322"/>
    <mergeCell ref="ED61:EF61"/>
    <mergeCell ref="EG61:EI61"/>
    <mergeCell ref="EB74:EB80"/>
    <mergeCell ref="EB63:EB69"/>
    <mergeCell ref="ED72:EF72"/>
    <mergeCell ref="EG72:EI72"/>
  </mergeCells>
  <phoneticPr fontId="5" type="noConversion"/>
  <pageMargins left="0.75" right="0.75" top="1" bottom="1" header="0.5" footer="0.5"/>
  <pageSetup paperSize="258" orientation="portrait" r:id="rId1"/>
  <headerFooter alignWithMargins="0"/>
  <ignoredErrors>
    <ignoredError sqref="I7:J7 L17:M17 I26 L18 I8" formula="1"/>
  </ignoredError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1:V204"/>
  <sheetViews>
    <sheetView zoomScale="25" zoomScaleNormal="25" workbookViewId="0">
      <selection activeCell="N53" sqref="N53"/>
    </sheetView>
  </sheetViews>
  <sheetFormatPr defaultRowHeight="13.2"/>
  <cols>
    <col min="8" max="8" width="9.109375" style="242"/>
    <col min="11" max="11" width="12.6640625" bestFit="1" customWidth="1"/>
    <col min="14" max="15" width="13.88671875" bestFit="1" customWidth="1"/>
    <col min="16" max="16" width="12.5546875" bestFit="1" customWidth="1"/>
    <col min="17" max="18" width="13.88671875" bestFit="1" customWidth="1"/>
    <col min="19" max="19" width="12.5546875" bestFit="1" customWidth="1"/>
    <col min="20" max="20" width="15" bestFit="1" customWidth="1"/>
    <col min="21" max="21" width="19.109375" bestFit="1" customWidth="1"/>
  </cols>
  <sheetData>
    <row r="1" spans="2:22">
      <c r="Q1" s="1249" t="s">
        <v>389</v>
      </c>
      <c r="R1" s="1201"/>
      <c r="S1" s="1201"/>
      <c r="T1" s="1249" t="s">
        <v>390</v>
      </c>
      <c r="U1" s="1201"/>
      <c r="V1" s="1201"/>
    </row>
    <row r="2" spans="2:22">
      <c r="E2" s="905" t="s">
        <v>385</v>
      </c>
      <c r="F2" s="905" t="s">
        <v>386</v>
      </c>
      <c r="G2" s="905" t="s">
        <v>385</v>
      </c>
      <c r="H2" s="905" t="s">
        <v>386</v>
      </c>
      <c r="N2" s="1209">
        <v>0.5</v>
      </c>
      <c r="O2" s="1209"/>
      <c r="P2" s="1209"/>
      <c r="Q2" s="1209">
        <v>2.6</v>
      </c>
      <c r="R2" s="1209"/>
      <c r="S2" s="1209"/>
      <c r="T2" s="1209">
        <v>12.5</v>
      </c>
      <c r="U2" s="1209"/>
      <c r="V2" s="1209"/>
    </row>
    <row r="3" spans="2:22" ht="13.8">
      <c r="B3" t="s">
        <v>40</v>
      </c>
      <c r="C3" t="s">
        <v>41</v>
      </c>
      <c r="D3" t="s">
        <v>28</v>
      </c>
      <c r="E3" t="s">
        <v>226</v>
      </c>
      <c r="F3" t="s">
        <v>227</v>
      </c>
      <c r="G3" t="s">
        <v>228</v>
      </c>
      <c r="H3" s="339" t="s">
        <v>229</v>
      </c>
      <c r="I3" s="242"/>
      <c r="J3" s="1248" t="s">
        <v>332</v>
      </c>
      <c r="K3" s="1209"/>
      <c r="L3" s="1209"/>
      <c r="N3" s="908" t="s">
        <v>387</v>
      </c>
      <c r="O3" s="908" t="s">
        <v>388</v>
      </c>
      <c r="P3" s="698"/>
      <c r="Q3" s="906" t="s">
        <v>387</v>
      </c>
      <c r="R3" s="906" t="s">
        <v>388</v>
      </c>
      <c r="S3" s="349"/>
      <c r="T3" s="907" t="s">
        <v>387</v>
      </c>
      <c r="U3" s="907" t="s">
        <v>388</v>
      </c>
      <c r="V3" s="699"/>
    </row>
    <row r="4" spans="2:22">
      <c r="B4">
        <v>200</v>
      </c>
      <c r="C4">
        <v>20</v>
      </c>
      <c r="D4">
        <f t="shared" ref="D4:D67" si="0">B4/C4</f>
        <v>10</v>
      </c>
      <c r="E4">
        <f t="shared" ref="E4:E67" si="1">C4^3/3</f>
        <v>2666.6666666666665</v>
      </c>
      <c r="F4">
        <f>C4^3/12</f>
        <v>666.66666666666663</v>
      </c>
      <c r="G4">
        <f t="shared" ref="G4:G67" si="2">C4</f>
        <v>20</v>
      </c>
      <c r="H4" s="339">
        <f>20/2</f>
        <v>10</v>
      </c>
      <c r="I4" s="242"/>
      <c r="J4" s="700">
        <v>0.5</v>
      </c>
      <c r="K4" s="700">
        <v>2.6</v>
      </c>
      <c r="L4" s="700">
        <v>12.5</v>
      </c>
      <c r="N4" s="262">
        <f>(B4/(12*G4))+(((3*E4)/(2*G4*B4*C4))*$J$4)</f>
        <v>0.85833333333333339</v>
      </c>
      <c r="O4" s="262">
        <f>1+(((C4*B4^2)/(18*E4))*($J$4^(-1)))</f>
        <v>34.333333333333336</v>
      </c>
      <c r="P4" s="248">
        <f t="shared" ref="P4:P35" si="3">MIN(N4:O4)</f>
        <v>0.85833333333333339</v>
      </c>
      <c r="Q4" s="262">
        <f>(B4/(12*H4))+(((3*F4)/(2*H4*B4*C4))*$K$4)</f>
        <v>1.7316666666666667</v>
      </c>
      <c r="R4" s="262">
        <f>1+(((C4*B4^2)/(18*F4))*($K$4^(-1)))</f>
        <v>26.641025641025642</v>
      </c>
      <c r="S4" s="248">
        <f t="shared" ref="S4:S35" si="4">MIN(Q4:R4)</f>
        <v>1.7316666666666667</v>
      </c>
      <c r="T4" s="262">
        <f>((B4/(12*H4))+(((3*F4)/(2*H4*B4*C4))*$L$4))</f>
        <v>1.9791666666666667</v>
      </c>
      <c r="U4" s="262">
        <f>(1+(((C4*(B4^2))/(18*F4))*($L$4^(-1))))</f>
        <v>6.3333333333333339</v>
      </c>
      <c r="V4">
        <f>MIN(T4:U4)</f>
        <v>1.9791666666666667</v>
      </c>
    </row>
    <row r="5" spans="2:22">
      <c r="B5">
        <f t="shared" ref="B5:B36" si="5">B4-1</f>
        <v>199</v>
      </c>
      <c r="C5">
        <v>20</v>
      </c>
      <c r="D5">
        <f t="shared" si="0"/>
        <v>9.9499999999999993</v>
      </c>
      <c r="E5">
        <f t="shared" si="1"/>
        <v>2666.6666666666665</v>
      </c>
      <c r="F5">
        <f t="shared" ref="F5:F68" si="6">C5^3/12</f>
        <v>666.66666666666663</v>
      </c>
      <c r="G5">
        <f t="shared" si="2"/>
        <v>20</v>
      </c>
      <c r="H5" s="339">
        <f t="shared" ref="H5:H68" si="7">20/2</f>
        <v>10</v>
      </c>
      <c r="I5" s="242"/>
      <c r="J5" s="242"/>
      <c r="K5" s="248"/>
      <c r="N5" s="262">
        <f t="shared" ref="N5:N68" si="8">(B5/(12*G5))+(((3*E5)/(2*G5*B5*C5))*$J$4)</f>
        <v>0.85429229480737023</v>
      </c>
      <c r="O5" s="262">
        <f t="shared" ref="O5:O68" si="9">1+(((C5*B5^2)/(18*E5))*($J$4^(-1)))</f>
        <v>34.000833333333333</v>
      </c>
      <c r="P5" s="248">
        <f t="shared" si="3"/>
        <v>0.85429229480737023</v>
      </c>
      <c r="Q5" s="262">
        <f t="shared" ref="Q5:Q68" si="10">(B5/(12*H5))+(((3*F5)/(2*H5*B5*C5))*$K$4)</f>
        <v>1.7236599664991625</v>
      </c>
      <c r="R5" s="262">
        <f t="shared" ref="R5:R68" si="11">1+(((C5*B5^2)/(18*F5))*($K$4^(-1)))</f>
        <v>26.385256410256407</v>
      </c>
      <c r="S5" s="248">
        <f t="shared" si="4"/>
        <v>1.7236599664991625</v>
      </c>
      <c r="T5" s="262">
        <f t="shared" ref="T5:T68" si="12">((B5/(12*H5))+(((3*F5)/(2*H5*B5*C5))*$L$4))</f>
        <v>1.9724036850921274</v>
      </c>
      <c r="U5" s="262">
        <f t="shared" ref="U5:U68" si="13">(1+(((C5*(B5^2))/(18*F5))*($L$4^(-1))))</f>
        <v>6.2801333333333336</v>
      </c>
      <c r="V5">
        <f t="shared" ref="V5:V68" si="14">MIN(T5:U5)</f>
        <v>1.9724036850921274</v>
      </c>
    </row>
    <row r="6" spans="2:22">
      <c r="B6">
        <f t="shared" si="5"/>
        <v>198</v>
      </c>
      <c r="C6">
        <v>20</v>
      </c>
      <c r="D6">
        <f t="shared" si="0"/>
        <v>9.9</v>
      </c>
      <c r="E6">
        <f t="shared" si="1"/>
        <v>2666.6666666666665</v>
      </c>
      <c r="F6">
        <f t="shared" si="6"/>
        <v>666.66666666666663</v>
      </c>
      <c r="G6">
        <f t="shared" si="2"/>
        <v>20</v>
      </c>
      <c r="H6" s="339">
        <f t="shared" si="7"/>
        <v>10</v>
      </c>
      <c r="I6" s="242"/>
      <c r="J6" s="242"/>
      <c r="K6" s="248"/>
      <c r="N6" s="262">
        <f t="shared" si="8"/>
        <v>0.85025252525252526</v>
      </c>
      <c r="O6" s="262">
        <f t="shared" si="9"/>
        <v>33.67</v>
      </c>
      <c r="P6" s="248">
        <f t="shared" si="3"/>
        <v>0.85025252525252526</v>
      </c>
      <c r="Q6" s="262">
        <f t="shared" si="10"/>
        <v>1.7156565656565657</v>
      </c>
      <c r="R6" s="262">
        <f t="shared" si="11"/>
        <v>26.130769230769229</v>
      </c>
      <c r="S6" s="248">
        <f t="shared" si="4"/>
        <v>1.7156565656565657</v>
      </c>
      <c r="T6" s="262">
        <f t="shared" si="12"/>
        <v>1.9656565656565657</v>
      </c>
      <c r="U6" s="262">
        <f t="shared" si="13"/>
        <v>6.2272000000000007</v>
      </c>
      <c r="V6">
        <f t="shared" si="14"/>
        <v>1.9656565656565657</v>
      </c>
    </row>
    <row r="7" spans="2:22">
      <c r="B7">
        <f t="shared" si="5"/>
        <v>197</v>
      </c>
      <c r="C7">
        <v>20</v>
      </c>
      <c r="D7">
        <f t="shared" si="0"/>
        <v>9.85</v>
      </c>
      <c r="E7">
        <f t="shared" si="1"/>
        <v>2666.6666666666665</v>
      </c>
      <c r="F7">
        <f t="shared" si="6"/>
        <v>666.66666666666663</v>
      </c>
      <c r="G7">
        <f t="shared" si="2"/>
        <v>20</v>
      </c>
      <c r="H7" s="339">
        <f t="shared" si="7"/>
        <v>10</v>
      </c>
      <c r="I7" s="242"/>
      <c r="J7" s="242"/>
      <c r="K7" s="248"/>
      <c r="N7" s="262">
        <f t="shared" si="8"/>
        <v>0.84621404399323175</v>
      </c>
      <c r="O7" s="262">
        <f t="shared" si="9"/>
        <v>33.340833333333336</v>
      </c>
      <c r="P7" s="248">
        <f t="shared" si="3"/>
        <v>0.84621404399323175</v>
      </c>
      <c r="Q7" s="262">
        <f t="shared" si="10"/>
        <v>1.7076565143824027</v>
      </c>
      <c r="R7" s="262">
        <f t="shared" si="11"/>
        <v>25.877564102564101</v>
      </c>
      <c r="S7" s="248">
        <f t="shared" si="4"/>
        <v>1.7076565143824027</v>
      </c>
      <c r="T7" s="262">
        <f t="shared" si="12"/>
        <v>1.9589255499153975</v>
      </c>
      <c r="U7" s="262">
        <f t="shared" si="13"/>
        <v>6.1745333333333337</v>
      </c>
      <c r="V7">
        <f t="shared" si="14"/>
        <v>1.9589255499153975</v>
      </c>
    </row>
    <row r="8" spans="2:22">
      <c r="B8">
        <f t="shared" si="5"/>
        <v>196</v>
      </c>
      <c r="C8">
        <v>20</v>
      </c>
      <c r="D8">
        <f t="shared" si="0"/>
        <v>9.8000000000000007</v>
      </c>
      <c r="E8">
        <f t="shared" si="1"/>
        <v>2666.6666666666665</v>
      </c>
      <c r="F8">
        <f t="shared" si="6"/>
        <v>666.66666666666663</v>
      </c>
      <c r="G8">
        <f t="shared" si="2"/>
        <v>20</v>
      </c>
      <c r="H8" s="339">
        <f t="shared" si="7"/>
        <v>10</v>
      </c>
      <c r="I8" s="242"/>
      <c r="J8" s="242"/>
      <c r="K8" s="248"/>
      <c r="N8" s="262">
        <f t="shared" si="8"/>
        <v>0.84217687074829928</v>
      </c>
      <c r="O8" s="262">
        <f t="shared" si="9"/>
        <v>33.013333333333335</v>
      </c>
      <c r="P8" s="248">
        <f t="shared" si="3"/>
        <v>0.84217687074829928</v>
      </c>
      <c r="Q8" s="262">
        <f t="shared" si="10"/>
        <v>1.6996598639455782</v>
      </c>
      <c r="R8" s="262">
        <f t="shared" si="11"/>
        <v>25.625641025641023</v>
      </c>
      <c r="S8" s="248">
        <f t="shared" si="4"/>
        <v>1.6996598639455782</v>
      </c>
      <c r="T8" s="262">
        <f t="shared" si="12"/>
        <v>1.9522108843537413</v>
      </c>
      <c r="U8" s="262">
        <f t="shared" si="13"/>
        <v>6.1221333333333341</v>
      </c>
      <c r="V8">
        <f t="shared" si="14"/>
        <v>1.9522108843537413</v>
      </c>
    </row>
    <row r="9" spans="2:22">
      <c r="B9">
        <f t="shared" si="5"/>
        <v>195</v>
      </c>
      <c r="C9">
        <v>20</v>
      </c>
      <c r="D9">
        <f t="shared" si="0"/>
        <v>9.75</v>
      </c>
      <c r="E9">
        <f t="shared" si="1"/>
        <v>2666.6666666666665</v>
      </c>
      <c r="F9">
        <f t="shared" si="6"/>
        <v>666.66666666666663</v>
      </c>
      <c r="G9">
        <f t="shared" si="2"/>
        <v>20</v>
      </c>
      <c r="H9" s="339">
        <f t="shared" si="7"/>
        <v>10</v>
      </c>
      <c r="I9" s="242"/>
      <c r="J9" s="242"/>
      <c r="K9" s="248"/>
      <c r="N9" s="262">
        <f t="shared" si="8"/>
        <v>0.83814102564102566</v>
      </c>
      <c r="O9" s="262">
        <f t="shared" si="9"/>
        <v>32.6875</v>
      </c>
      <c r="P9" s="248">
        <f t="shared" si="3"/>
        <v>0.83814102564102566</v>
      </c>
      <c r="Q9" s="262">
        <f t="shared" si="10"/>
        <v>1.6916666666666667</v>
      </c>
      <c r="R9" s="262">
        <f t="shared" si="11"/>
        <v>25.374999999999996</v>
      </c>
      <c r="S9" s="248">
        <f t="shared" si="4"/>
        <v>1.6916666666666667</v>
      </c>
      <c r="T9" s="262">
        <f t="shared" si="12"/>
        <v>1.9455128205128205</v>
      </c>
      <c r="U9" s="262">
        <f t="shared" si="13"/>
        <v>6.07</v>
      </c>
      <c r="V9">
        <f t="shared" si="14"/>
        <v>1.9455128205128205</v>
      </c>
    </row>
    <row r="10" spans="2:22">
      <c r="B10">
        <f t="shared" si="5"/>
        <v>194</v>
      </c>
      <c r="C10">
        <v>20</v>
      </c>
      <c r="D10">
        <f t="shared" si="0"/>
        <v>9.6999999999999993</v>
      </c>
      <c r="E10">
        <f t="shared" si="1"/>
        <v>2666.6666666666665</v>
      </c>
      <c r="F10">
        <f t="shared" si="6"/>
        <v>666.66666666666663</v>
      </c>
      <c r="G10">
        <f t="shared" si="2"/>
        <v>20</v>
      </c>
      <c r="H10" s="339">
        <f t="shared" si="7"/>
        <v>10</v>
      </c>
      <c r="I10" s="242"/>
      <c r="J10" s="242"/>
      <c r="K10" s="248"/>
      <c r="N10" s="262">
        <f t="shared" si="8"/>
        <v>0.83410652920962203</v>
      </c>
      <c r="O10" s="262">
        <f t="shared" si="9"/>
        <v>32.36333333333333</v>
      </c>
      <c r="P10" s="248">
        <f t="shared" si="3"/>
        <v>0.83410652920962203</v>
      </c>
      <c r="Q10" s="262">
        <f t="shared" si="10"/>
        <v>1.6836769759450172</v>
      </c>
      <c r="R10" s="262">
        <f t="shared" si="11"/>
        <v>25.125641025641023</v>
      </c>
      <c r="S10" s="248">
        <f t="shared" si="4"/>
        <v>1.6836769759450172</v>
      </c>
      <c r="T10" s="262">
        <f t="shared" si="12"/>
        <v>1.9388316151202749</v>
      </c>
      <c r="U10" s="262">
        <f t="shared" si="13"/>
        <v>6.0181333333333331</v>
      </c>
      <c r="V10">
        <f t="shared" si="14"/>
        <v>1.9388316151202749</v>
      </c>
    </row>
    <row r="11" spans="2:22">
      <c r="B11">
        <f t="shared" si="5"/>
        <v>193</v>
      </c>
      <c r="C11">
        <v>20</v>
      </c>
      <c r="D11">
        <f t="shared" si="0"/>
        <v>9.65</v>
      </c>
      <c r="E11">
        <f t="shared" si="1"/>
        <v>2666.6666666666665</v>
      </c>
      <c r="F11">
        <f t="shared" si="6"/>
        <v>666.66666666666663</v>
      </c>
      <c r="G11">
        <f t="shared" si="2"/>
        <v>20</v>
      </c>
      <c r="H11" s="339">
        <f t="shared" si="7"/>
        <v>10</v>
      </c>
      <c r="I11" s="242"/>
      <c r="J11" s="242"/>
      <c r="K11" s="248"/>
      <c r="N11" s="262">
        <f t="shared" si="8"/>
        <v>0.83007340241796201</v>
      </c>
      <c r="O11" s="262">
        <f t="shared" si="9"/>
        <v>32.040833333333332</v>
      </c>
      <c r="P11" s="248">
        <f t="shared" si="3"/>
        <v>0.83007340241796201</v>
      </c>
      <c r="Q11" s="262">
        <f t="shared" si="10"/>
        <v>1.6756908462867013</v>
      </c>
      <c r="R11" s="262">
        <f t="shared" si="11"/>
        <v>24.877564102564101</v>
      </c>
      <c r="S11" s="248">
        <f t="shared" si="4"/>
        <v>1.6756908462867013</v>
      </c>
      <c r="T11" s="262">
        <f t="shared" si="12"/>
        <v>1.9321675302245251</v>
      </c>
      <c r="U11" s="262">
        <f t="shared" si="13"/>
        <v>5.9665333333333335</v>
      </c>
      <c r="V11">
        <f t="shared" si="14"/>
        <v>1.9321675302245251</v>
      </c>
    </row>
    <row r="12" spans="2:22">
      <c r="B12">
        <f t="shared" si="5"/>
        <v>192</v>
      </c>
      <c r="C12">
        <v>20</v>
      </c>
      <c r="D12">
        <f t="shared" si="0"/>
        <v>9.6</v>
      </c>
      <c r="E12">
        <f t="shared" si="1"/>
        <v>2666.6666666666665</v>
      </c>
      <c r="F12">
        <f t="shared" si="6"/>
        <v>666.66666666666663</v>
      </c>
      <c r="G12">
        <f t="shared" si="2"/>
        <v>20</v>
      </c>
      <c r="H12" s="339">
        <f t="shared" si="7"/>
        <v>10</v>
      </c>
      <c r="I12" s="242"/>
      <c r="J12" s="242"/>
      <c r="K12" s="248"/>
      <c r="N12" s="262">
        <f t="shared" si="8"/>
        <v>0.82604166666666667</v>
      </c>
      <c r="O12" s="262">
        <f t="shared" si="9"/>
        <v>31.72</v>
      </c>
      <c r="P12" s="248">
        <f t="shared" si="3"/>
        <v>0.82604166666666667</v>
      </c>
      <c r="Q12" s="262">
        <f t="shared" si="10"/>
        <v>1.6677083333333333</v>
      </c>
      <c r="R12" s="262">
        <f t="shared" si="11"/>
        <v>24.630769230769229</v>
      </c>
      <c r="S12" s="248">
        <f t="shared" si="4"/>
        <v>1.6677083333333333</v>
      </c>
      <c r="T12" s="262">
        <f t="shared" si="12"/>
        <v>1.9255208333333336</v>
      </c>
      <c r="U12" s="262">
        <f t="shared" si="13"/>
        <v>5.9151999999999996</v>
      </c>
      <c r="V12">
        <f t="shared" si="14"/>
        <v>1.9255208333333336</v>
      </c>
    </row>
    <row r="13" spans="2:22">
      <c r="B13">
        <f t="shared" si="5"/>
        <v>191</v>
      </c>
      <c r="C13">
        <v>20</v>
      </c>
      <c r="D13">
        <f t="shared" si="0"/>
        <v>9.5500000000000007</v>
      </c>
      <c r="E13">
        <f t="shared" si="1"/>
        <v>2666.6666666666665</v>
      </c>
      <c r="F13">
        <f t="shared" si="6"/>
        <v>666.66666666666663</v>
      </c>
      <c r="G13">
        <f t="shared" si="2"/>
        <v>20</v>
      </c>
      <c r="H13" s="339">
        <f t="shared" si="7"/>
        <v>10</v>
      </c>
      <c r="I13" s="242"/>
      <c r="J13" s="242"/>
      <c r="K13" s="248"/>
      <c r="N13" s="262">
        <f t="shared" si="8"/>
        <v>0.82201134380453744</v>
      </c>
      <c r="O13" s="262">
        <f t="shared" si="9"/>
        <v>31.400833333333335</v>
      </c>
      <c r="P13" s="248">
        <f t="shared" si="3"/>
        <v>0.82201134380453744</v>
      </c>
      <c r="Q13" s="262">
        <f t="shared" si="10"/>
        <v>1.6597294938917975</v>
      </c>
      <c r="R13" s="262">
        <f t="shared" si="11"/>
        <v>24.38525641025641</v>
      </c>
      <c r="S13" s="248">
        <f t="shared" si="4"/>
        <v>1.6597294938917975</v>
      </c>
      <c r="T13" s="262">
        <f t="shared" si="12"/>
        <v>1.9188917975567188</v>
      </c>
      <c r="U13" s="262">
        <f t="shared" si="13"/>
        <v>5.8641333333333341</v>
      </c>
      <c r="V13">
        <f t="shared" si="14"/>
        <v>1.9188917975567188</v>
      </c>
    </row>
    <row r="14" spans="2:22">
      <c r="B14">
        <f t="shared" si="5"/>
        <v>190</v>
      </c>
      <c r="C14">
        <v>20</v>
      </c>
      <c r="D14">
        <f t="shared" si="0"/>
        <v>9.5</v>
      </c>
      <c r="E14">
        <f t="shared" si="1"/>
        <v>2666.6666666666665</v>
      </c>
      <c r="F14">
        <f t="shared" si="6"/>
        <v>666.66666666666663</v>
      </c>
      <c r="G14">
        <f t="shared" si="2"/>
        <v>20</v>
      </c>
      <c r="H14" s="339">
        <f t="shared" si="7"/>
        <v>10</v>
      </c>
      <c r="I14" s="242"/>
      <c r="J14" s="242"/>
      <c r="K14" s="248"/>
      <c r="N14" s="262">
        <f t="shared" si="8"/>
        <v>0.81798245614035081</v>
      </c>
      <c r="O14" s="262">
        <f t="shared" si="9"/>
        <v>31.083333333333332</v>
      </c>
      <c r="P14" s="248">
        <f t="shared" si="3"/>
        <v>0.81798245614035081</v>
      </c>
      <c r="Q14" s="262">
        <f t="shared" si="10"/>
        <v>1.6517543859649122</v>
      </c>
      <c r="R14" s="262">
        <f t="shared" si="11"/>
        <v>24.141025641025639</v>
      </c>
      <c r="S14" s="248">
        <f t="shared" si="4"/>
        <v>1.6517543859649122</v>
      </c>
      <c r="T14" s="262">
        <f t="shared" si="12"/>
        <v>1.9122807017543859</v>
      </c>
      <c r="U14" s="262">
        <f t="shared" si="13"/>
        <v>5.8133333333333335</v>
      </c>
      <c r="V14">
        <f t="shared" si="14"/>
        <v>1.9122807017543859</v>
      </c>
    </row>
    <row r="15" spans="2:22">
      <c r="B15">
        <f t="shared" si="5"/>
        <v>189</v>
      </c>
      <c r="C15">
        <v>20</v>
      </c>
      <c r="D15">
        <f t="shared" si="0"/>
        <v>9.4499999999999993</v>
      </c>
      <c r="E15">
        <f t="shared" si="1"/>
        <v>2666.6666666666665</v>
      </c>
      <c r="F15">
        <f t="shared" si="6"/>
        <v>666.66666666666663</v>
      </c>
      <c r="G15">
        <f t="shared" si="2"/>
        <v>20</v>
      </c>
      <c r="H15" s="339">
        <f t="shared" si="7"/>
        <v>10</v>
      </c>
      <c r="I15" s="242"/>
      <c r="J15" s="242"/>
      <c r="K15" s="248"/>
      <c r="N15" s="262">
        <f t="shared" si="8"/>
        <v>0.81395502645502638</v>
      </c>
      <c r="O15" s="262">
        <f t="shared" si="9"/>
        <v>30.767499999999998</v>
      </c>
      <c r="P15" s="248">
        <f t="shared" si="3"/>
        <v>0.81395502645502638</v>
      </c>
      <c r="Q15" s="262">
        <f t="shared" si="10"/>
        <v>1.6437830687830688</v>
      </c>
      <c r="R15" s="262">
        <f t="shared" si="11"/>
        <v>23.898076923076921</v>
      </c>
      <c r="S15" s="248">
        <f t="shared" si="4"/>
        <v>1.6437830687830688</v>
      </c>
      <c r="T15" s="262">
        <f t="shared" si="12"/>
        <v>1.9056878306878307</v>
      </c>
      <c r="U15" s="262">
        <f t="shared" si="13"/>
        <v>5.7627999999999995</v>
      </c>
      <c r="V15">
        <f t="shared" si="14"/>
        <v>1.9056878306878307</v>
      </c>
    </row>
    <row r="16" spans="2:22">
      <c r="B16">
        <f t="shared" si="5"/>
        <v>188</v>
      </c>
      <c r="C16">
        <v>20</v>
      </c>
      <c r="D16">
        <f t="shared" si="0"/>
        <v>9.4</v>
      </c>
      <c r="E16">
        <f t="shared" si="1"/>
        <v>2666.6666666666665</v>
      </c>
      <c r="F16">
        <f t="shared" si="6"/>
        <v>666.66666666666663</v>
      </c>
      <c r="G16">
        <f t="shared" si="2"/>
        <v>20</v>
      </c>
      <c r="H16" s="339">
        <f t="shared" si="7"/>
        <v>10</v>
      </c>
      <c r="I16" s="242"/>
      <c r="J16" s="242"/>
      <c r="K16" s="248"/>
      <c r="N16" s="262">
        <f t="shared" si="8"/>
        <v>0.80992907801418434</v>
      </c>
      <c r="O16" s="262">
        <f t="shared" si="9"/>
        <v>30.453333333333333</v>
      </c>
      <c r="P16" s="248">
        <f t="shared" si="3"/>
        <v>0.80992907801418434</v>
      </c>
      <c r="Q16" s="262">
        <f t="shared" si="10"/>
        <v>1.6358156028368793</v>
      </c>
      <c r="R16" s="262">
        <f t="shared" si="11"/>
        <v>23.656410256410254</v>
      </c>
      <c r="S16" s="248">
        <f t="shared" si="4"/>
        <v>1.6358156028368793</v>
      </c>
      <c r="T16" s="262">
        <f t="shared" si="12"/>
        <v>1.8991134751773049</v>
      </c>
      <c r="U16" s="262">
        <f t="shared" si="13"/>
        <v>5.712533333333333</v>
      </c>
      <c r="V16">
        <f t="shared" si="14"/>
        <v>1.8991134751773049</v>
      </c>
    </row>
    <row r="17" spans="2:22">
      <c r="B17">
        <f t="shared" si="5"/>
        <v>187</v>
      </c>
      <c r="C17">
        <v>20</v>
      </c>
      <c r="D17">
        <f t="shared" si="0"/>
        <v>9.35</v>
      </c>
      <c r="E17">
        <f t="shared" si="1"/>
        <v>2666.6666666666665</v>
      </c>
      <c r="F17">
        <f t="shared" si="6"/>
        <v>666.66666666666663</v>
      </c>
      <c r="G17">
        <f t="shared" si="2"/>
        <v>20</v>
      </c>
      <c r="H17" s="339">
        <f t="shared" si="7"/>
        <v>10</v>
      </c>
      <c r="I17" s="242"/>
      <c r="J17" s="242"/>
      <c r="K17" s="248"/>
      <c r="N17" s="262">
        <f t="shared" si="8"/>
        <v>0.80590463458110517</v>
      </c>
      <c r="O17" s="262">
        <f t="shared" si="9"/>
        <v>30.140833333333333</v>
      </c>
      <c r="P17" s="248">
        <f t="shared" si="3"/>
        <v>0.80590463458110517</v>
      </c>
      <c r="Q17" s="262">
        <f t="shared" si="10"/>
        <v>1.6278520499108735</v>
      </c>
      <c r="R17" s="262">
        <f t="shared" si="11"/>
        <v>23.416025641025637</v>
      </c>
      <c r="S17" s="248">
        <f t="shared" si="4"/>
        <v>1.6278520499108735</v>
      </c>
      <c r="T17" s="262">
        <f t="shared" si="12"/>
        <v>1.8925579322638146</v>
      </c>
      <c r="U17" s="262">
        <f t="shared" si="13"/>
        <v>5.6625333333333332</v>
      </c>
      <c r="V17">
        <f t="shared" si="14"/>
        <v>1.8925579322638146</v>
      </c>
    </row>
    <row r="18" spans="2:22">
      <c r="B18">
        <f t="shared" si="5"/>
        <v>186</v>
      </c>
      <c r="C18">
        <v>20</v>
      </c>
      <c r="D18">
        <f t="shared" si="0"/>
        <v>9.3000000000000007</v>
      </c>
      <c r="E18">
        <f t="shared" si="1"/>
        <v>2666.6666666666665</v>
      </c>
      <c r="F18">
        <f t="shared" si="6"/>
        <v>666.66666666666663</v>
      </c>
      <c r="G18">
        <f t="shared" si="2"/>
        <v>20</v>
      </c>
      <c r="H18" s="339">
        <f t="shared" si="7"/>
        <v>10</v>
      </c>
      <c r="I18" s="242"/>
      <c r="J18" s="242"/>
      <c r="K18" s="248"/>
      <c r="N18" s="262">
        <f t="shared" si="8"/>
        <v>0.80188172043010753</v>
      </c>
      <c r="O18" s="262">
        <f t="shared" si="9"/>
        <v>29.83</v>
      </c>
      <c r="P18" s="248">
        <f t="shared" si="3"/>
        <v>0.80188172043010753</v>
      </c>
      <c r="Q18" s="262">
        <f t="shared" si="10"/>
        <v>1.6198924731182796</v>
      </c>
      <c r="R18" s="262">
        <f t="shared" si="11"/>
        <v>23.176923076923075</v>
      </c>
      <c r="S18" s="248">
        <f t="shared" si="4"/>
        <v>1.6198924731182796</v>
      </c>
      <c r="T18" s="262">
        <f t="shared" si="12"/>
        <v>1.8860215053763441</v>
      </c>
      <c r="U18" s="262">
        <f t="shared" si="13"/>
        <v>5.6128</v>
      </c>
      <c r="V18">
        <f t="shared" si="14"/>
        <v>1.8860215053763441</v>
      </c>
    </row>
    <row r="19" spans="2:22">
      <c r="B19">
        <f t="shared" si="5"/>
        <v>185</v>
      </c>
      <c r="C19">
        <v>20</v>
      </c>
      <c r="D19">
        <f t="shared" si="0"/>
        <v>9.25</v>
      </c>
      <c r="E19">
        <f t="shared" si="1"/>
        <v>2666.6666666666665</v>
      </c>
      <c r="F19">
        <f t="shared" si="6"/>
        <v>666.66666666666663</v>
      </c>
      <c r="G19">
        <f t="shared" si="2"/>
        <v>20</v>
      </c>
      <c r="H19" s="339">
        <f t="shared" si="7"/>
        <v>10</v>
      </c>
      <c r="I19" s="242"/>
      <c r="J19" s="242"/>
      <c r="K19" s="248"/>
      <c r="N19" s="262">
        <f t="shared" si="8"/>
        <v>0.79786036036036045</v>
      </c>
      <c r="O19" s="262">
        <f t="shared" si="9"/>
        <v>29.520833333333332</v>
      </c>
      <c r="P19" s="248">
        <f t="shared" si="3"/>
        <v>0.79786036036036045</v>
      </c>
      <c r="Q19" s="262">
        <f t="shared" si="10"/>
        <v>1.611936936936937</v>
      </c>
      <c r="R19" s="262">
        <f t="shared" si="11"/>
        <v>22.939102564102562</v>
      </c>
      <c r="S19" s="248">
        <f t="shared" si="4"/>
        <v>1.611936936936937</v>
      </c>
      <c r="T19" s="262">
        <f t="shared" si="12"/>
        <v>1.8795045045045047</v>
      </c>
      <c r="U19" s="262">
        <f t="shared" si="13"/>
        <v>5.5633333333333335</v>
      </c>
      <c r="V19">
        <f t="shared" si="14"/>
        <v>1.8795045045045047</v>
      </c>
    </row>
    <row r="20" spans="2:22">
      <c r="B20">
        <f t="shared" si="5"/>
        <v>184</v>
      </c>
      <c r="C20">
        <v>20</v>
      </c>
      <c r="D20">
        <f t="shared" si="0"/>
        <v>9.1999999999999993</v>
      </c>
      <c r="E20">
        <f t="shared" si="1"/>
        <v>2666.6666666666665</v>
      </c>
      <c r="F20">
        <f t="shared" si="6"/>
        <v>666.66666666666663</v>
      </c>
      <c r="G20">
        <f t="shared" si="2"/>
        <v>20</v>
      </c>
      <c r="H20" s="339">
        <f t="shared" si="7"/>
        <v>10</v>
      </c>
      <c r="I20" s="242"/>
      <c r="J20" s="242"/>
      <c r="K20" s="248"/>
      <c r="N20" s="262">
        <f t="shared" si="8"/>
        <v>0.79384057971014499</v>
      </c>
      <c r="O20" s="262">
        <f t="shared" si="9"/>
        <v>29.213333333333335</v>
      </c>
      <c r="P20" s="248">
        <f t="shared" si="3"/>
        <v>0.79384057971014499</v>
      </c>
      <c r="Q20" s="262">
        <f t="shared" si="10"/>
        <v>1.6039855072463769</v>
      </c>
      <c r="R20" s="262">
        <f t="shared" si="11"/>
        <v>22.7025641025641</v>
      </c>
      <c r="S20" s="248">
        <f t="shared" si="4"/>
        <v>1.6039855072463769</v>
      </c>
      <c r="T20" s="262">
        <f t="shared" si="12"/>
        <v>1.8730072463768117</v>
      </c>
      <c r="U20" s="262">
        <f t="shared" si="13"/>
        <v>5.5141333333333336</v>
      </c>
      <c r="V20">
        <f t="shared" si="14"/>
        <v>1.8730072463768117</v>
      </c>
    </row>
    <row r="21" spans="2:22">
      <c r="B21">
        <f t="shared" si="5"/>
        <v>183</v>
      </c>
      <c r="C21">
        <v>20</v>
      </c>
      <c r="D21">
        <f t="shared" si="0"/>
        <v>9.15</v>
      </c>
      <c r="E21">
        <f t="shared" si="1"/>
        <v>2666.6666666666665</v>
      </c>
      <c r="F21">
        <f t="shared" si="6"/>
        <v>666.66666666666663</v>
      </c>
      <c r="G21">
        <f t="shared" si="2"/>
        <v>20</v>
      </c>
      <c r="H21" s="339">
        <f t="shared" si="7"/>
        <v>10</v>
      </c>
      <c r="I21" s="242"/>
      <c r="J21" s="242"/>
      <c r="K21" s="248"/>
      <c r="N21" s="262">
        <f t="shared" si="8"/>
        <v>0.78982240437158469</v>
      </c>
      <c r="O21" s="262">
        <f t="shared" si="9"/>
        <v>28.907499999999999</v>
      </c>
      <c r="P21" s="248">
        <f t="shared" si="3"/>
        <v>0.78982240437158469</v>
      </c>
      <c r="Q21" s="262">
        <f t="shared" si="10"/>
        <v>1.5960382513661202</v>
      </c>
      <c r="R21" s="262">
        <f t="shared" si="11"/>
        <v>22.467307692307688</v>
      </c>
      <c r="S21" s="248">
        <f t="shared" si="4"/>
        <v>1.5960382513661202</v>
      </c>
      <c r="T21" s="262">
        <f t="shared" si="12"/>
        <v>1.8665300546448087</v>
      </c>
      <c r="U21" s="262">
        <f t="shared" si="13"/>
        <v>5.4652000000000003</v>
      </c>
      <c r="V21">
        <f t="shared" si="14"/>
        <v>1.8665300546448087</v>
      </c>
    </row>
    <row r="22" spans="2:22">
      <c r="B22">
        <f t="shared" si="5"/>
        <v>182</v>
      </c>
      <c r="C22">
        <v>20</v>
      </c>
      <c r="D22">
        <f t="shared" si="0"/>
        <v>9.1</v>
      </c>
      <c r="E22">
        <f t="shared" si="1"/>
        <v>2666.6666666666665</v>
      </c>
      <c r="F22">
        <f t="shared" si="6"/>
        <v>666.66666666666663</v>
      </c>
      <c r="G22">
        <f t="shared" si="2"/>
        <v>20</v>
      </c>
      <c r="H22" s="339">
        <f t="shared" si="7"/>
        <v>10</v>
      </c>
      <c r="I22" s="242"/>
      <c r="J22" s="242"/>
      <c r="K22" s="248"/>
      <c r="N22" s="262">
        <f t="shared" si="8"/>
        <v>0.78580586080586079</v>
      </c>
      <c r="O22" s="262">
        <f t="shared" si="9"/>
        <v>28.603333333333332</v>
      </c>
      <c r="P22" s="248">
        <f t="shared" si="3"/>
        <v>0.78580586080586079</v>
      </c>
      <c r="Q22" s="262">
        <f t="shared" si="10"/>
        <v>1.588095238095238</v>
      </c>
      <c r="R22" s="262">
        <f t="shared" si="11"/>
        <v>22.233333333333331</v>
      </c>
      <c r="S22" s="248">
        <f t="shared" si="4"/>
        <v>1.588095238095238</v>
      </c>
      <c r="T22" s="262">
        <f t="shared" si="12"/>
        <v>1.8600732600732601</v>
      </c>
      <c r="U22" s="262">
        <f t="shared" si="13"/>
        <v>5.4165333333333328</v>
      </c>
      <c r="V22">
        <f t="shared" si="14"/>
        <v>1.8600732600732601</v>
      </c>
    </row>
    <row r="23" spans="2:22">
      <c r="B23">
        <f t="shared" si="5"/>
        <v>181</v>
      </c>
      <c r="C23">
        <v>20</v>
      </c>
      <c r="D23">
        <f t="shared" si="0"/>
        <v>9.0500000000000007</v>
      </c>
      <c r="E23">
        <f t="shared" si="1"/>
        <v>2666.6666666666665</v>
      </c>
      <c r="F23">
        <f t="shared" si="6"/>
        <v>666.66666666666663</v>
      </c>
      <c r="G23">
        <f t="shared" si="2"/>
        <v>20</v>
      </c>
      <c r="H23" s="339">
        <f t="shared" si="7"/>
        <v>10</v>
      </c>
      <c r="I23" s="242"/>
      <c r="J23" s="242"/>
      <c r="K23" s="248"/>
      <c r="N23" s="262">
        <f t="shared" si="8"/>
        <v>0.78179097605893189</v>
      </c>
      <c r="O23" s="262">
        <f t="shared" si="9"/>
        <v>28.300833333333333</v>
      </c>
      <c r="P23" s="248">
        <f t="shared" si="3"/>
        <v>0.78179097605893189</v>
      </c>
      <c r="Q23" s="262">
        <f t="shared" si="10"/>
        <v>1.5801565377532227</v>
      </c>
      <c r="R23" s="262">
        <f t="shared" si="11"/>
        <v>22.000641025641023</v>
      </c>
      <c r="S23" s="248">
        <f t="shared" si="4"/>
        <v>1.5801565377532227</v>
      </c>
      <c r="T23" s="262">
        <f t="shared" si="12"/>
        <v>1.8536372007366482</v>
      </c>
      <c r="U23" s="262">
        <f t="shared" si="13"/>
        <v>5.3681333333333336</v>
      </c>
      <c r="V23">
        <f t="shared" si="14"/>
        <v>1.8536372007366482</v>
      </c>
    </row>
    <row r="24" spans="2:22">
      <c r="B24">
        <f t="shared" si="5"/>
        <v>180</v>
      </c>
      <c r="C24">
        <v>20</v>
      </c>
      <c r="D24">
        <f t="shared" si="0"/>
        <v>9</v>
      </c>
      <c r="E24">
        <f t="shared" si="1"/>
        <v>2666.6666666666665</v>
      </c>
      <c r="F24">
        <f t="shared" si="6"/>
        <v>666.66666666666663</v>
      </c>
      <c r="G24">
        <f t="shared" si="2"/>
        <v>20</v>
      </c>
      <c r="H24" s="339">
        <f t="shared" si="7"/>
        <v>10</v>
      </c>
      <c r="I24" s="242"/>
      <c r="J24" s="242"/>
      <c r="K24" s="248"/>
      <c r="N24" s="262">
        <f t="shared" si="8"/>
        <v>0.77777777777777779</v>
      </c>
      <c r="O24" s="262">
        <f t="shared" si="9"/>
        <v>28</v>
      </c>
      <c r="P24" s="248">
        <f t="shared" si="3"/>
        <v>0.77777777777777779</v>
      </c>
      <c r="Q24" s="262">
        <f t="shared" si="10"/>
        <v>1.5722222222222222</v>
      </c>
      <c r="R24" s="262">
        <f t="shared" si="11"/>
        <v>21.769230769230766</v>
      </c>
      <c r="S24" s="248">
        <f t="shared" si="4"/>
        <v>1.5722222222222222</v>
      </c>
      <c r="T24" s="262">
        <f t="shared" si="12"/>
        <v>1.8472222222222223</v>
      </c>
      <c r="U24" s="262">
        <f t="shared" si="13"/>
        <v>5.32</v>
      </c>
      <c r="V24">
        <f t="shared" si="14"/>
        <v>1.8472222222222223</v>
      </c>
    </row>
    <row r="25" spans="2:22">
      <c r="B25">
        <f t="shared" si="5"/>
        <v>179</v>
      </c>
      <c r="C25">
        <v>20</v>
      </c>
      <c r="D25">
        <f t="shared" si="0"/>
        <v>8.9499999999999993</v>
      </c>
      <c r="E25">
        <f t="shared" si="1"/>
        <v>2666.6666666666665</v>
      </c>
      <c r="F25">
        <f t="shared" si="6"/>
        <v>666.66666666666663</v>
      </c>
      <c r="G25">
        <f t="shared" si="2"/>
        <v>20</v>
      </c>
      <c r="H25" s="339">
        <f t="shared" si="7"/>
        <v>10</v>
      </c>
      <c r="I25" s="242"/>
      <c r="J25" s="242"/>
      <c r="K25" s="248"/>
      <c r="N25" s="262">
        <f t="shared" si="8"/>
        <v>0.77376629422718812</v>
      </c>
      <c r="O25" s="262">
        <f t="shared" si="9"/>
        <v>27.700833333333332</v>
      </c>
      <c r="P25" s="248">
        <f t="shared" si="3"/>
        <v>0.77376629422718812</v>
      </c>
      <c r="Q25" s="262">
        <f t="shared" si="10"/>
        <v>1.564292364990689</v>
      </c>
      <c r="R25" s="262">
        <f t="shared" si="11"/>
        <v>21.53910256410256</v>
      </c>
      <c r="S25" s="248">
        <f t="shared" si="4"/>
        <v>1.564292364990689</v>
      </c>
      <c r="T25" s="262">
        <f t="shared" si="12"/>
        <v>1.840828677839851</v>
      </c>
      <c r="U25" s="262">
        <f t="shared" si="13"/>
        <v>5.2721333333333336</v>
      </c>
      <c r="V25">
        <f t="shared" si="14"/>
        <v>1.840828677839851</v>
      </c>
    </row>
    <row r="26" spans="2:22">
      <c r="B26">
        <f t="shared" si="5"/>
        <v>178</v>
      </c>
      <c r="C26">
        <v>20</v>
      </c>
      <c r="D26">
        <f t="shared" si="0"/>
        <v>8.9</v>
      </c>
      <c r="E26">
        <f t="shared" si="1"/>
        <v>2666.6666666666665</v>
      </c>
      <c r="F26">
        <f t="shared" si="6"/>
        <v>666.66666666666663</v>
      </c>
      <c r="G26">
        <f t="shared" si="2"/>
        <v>20</v>
      </c>
      <c r="H26" s="339">
        <f t="shared" si="7"/>
        <v>10</v>
      </c>
      <c r="I26" s="242"/>
      <c r="J26" s="242"/>
      <c r="K26" s="248"/>
      <c r="N26" s="262">
        <f t="shared" si="8"/>
        <v>0.76975655430711609</v>
      </c>
      <c r="O26" s="262">
        <f t="shared" si="9"/>
        <v>27.403333333333332</v>
      </c>
      <c r="P26" s="248">
        <f t="shared" si="3"/>
        <v>0.76975655430711609</v>
      </c>
      <c r="Q26" s="262">
        <f t="shared" si="10"/>
        <v>1.556367041198502</v>
      </c>
      <c r="R26" s="262">
        <f t="shared" si="11"/>
        <v>21.310256410256407</v>
      </c>
      <c r="S26" s="248">
        <f t="shared" si="4"/>
        <v>1.556367041198502</v>
      </c>
      <c r="T26" s="262">
        <f t="shared" si="12"/>
        <v>1.8344569288389514</v>
      </c>
      <c r="U26" s="262">
        <f t="shared" si="13"/>
        <v>5.2245333333333335</v>
      </c>
      <c r="V26">
        <f t="shared" si="14"/>
        <v>1.8344569288389514</v>
      </c>
    </row>
    <row r="27" spans="2:22">
      <c r="B27">
        <f t="shared" si="5"/>
        <v>177</v>
      </c>
      <c r="C27">
        <v>20</v>
      </c>
      <c r="D27">
        <f t="shared" si="0"/>
        <v>8.85</v>
      </c>
      <c r="E27">
        <f t="shared" si="1"/>
        <v>2666.6666666666665</v>
      </c>
      <c r="F27">
        <f t="shared" si="6"/>
        <v>666.66666666666663</v>
      </c>
      <c r="G27">
        <f t="shared" si="2"/>
        <v>20</v>
      </c>
      <c r="H27" s="339">
        <f t="shared" si="7"/>
        <v>10</v>
      </c>
      <c r="I27" s="242"/>
      <c r="J27" s="242"/>
      <c r="K27" s="248"/>
      <c r="N27" s="262">
        <f t="shared" si="8"/>
        <v>0.76574858757062148</v>
      </c>
      <c r="O27" s="262">
        <f t="shared" si="9"/>
        <v>27.107500000000002</v>
      </c>
      <c r="P27" s="248">
        <f t="shared" si="3"/>
        <v>0.76574858757062148</v>
      </c>
      <c r="Q27" s="262">
        <f t="shared" si="10"/>
        <v>1.548446327683616</v>
      </c>
      <c r="R27" s="262">
        <f t="shared" si="11"/>
        <v>21.082692307692309</v>
      </c>
      <c r="S27" s="248">
        <f t="shared" si="4"/>
        <v>1.548446327683616</v>
      </c>
      <c r="T27" s="262">
        <f t="shared" si="12"/>
        <v>1.8281073446327685</v>
      </c>
      <c r="U27" s="262">
        <f t="shared" si="13"/>
        <v>5.1772</v>
      </c>
      <c r="V27">
        <f t="shared" si="14"/>
        <v>1.8281073446327685</v>
      </c>
    </row>
    <row r="28" spans="2:22">
      <c r="B28">
        <f t="shared" si="5"/>
        <v>176</v>
      </c>
      <c r="C28">
        <v>20</v>
      </c>
      <c r="D28">
        <f t="shared" si="0"/>
        <v>8.8000000000000007</v>
      </c>
      <c r="E28">
        <f t="shared" si="1"/>
        <v>2666.6666666666665</v>
      </c>
      <c r="F28">
        <f t="shared" si="6"/>
        <v>666.66666666666663</v>
      </c>
      <c r="G28">
        <f t="shared" si="2"/>
        <v>20</v>
      </c>
      <c r="H28" s="339">
        <f t="shared" si="7"/>
        <v>10</v>
      </c>
      <c r="I28" s="242"/>
      <c r="J28" s="242"/>
      <c r="K28" s="248"/>
      <c r="N28" s="262">
        <f t="shared" si="8"/>
        <v>0.76174242424242422</v>
      </c>
      <c r="O28" s="262">
        <f t="shared" si="9"/>
        <v>26.813333333333333</v>
      </c>
      <c r="P28" s="248">
        <f t="shared" si="3"/>
        <v>0.76174242424242422</v>
      </c>
      <c r="Q28" s="262">
        <f t="shared" si="10"/>
        <v>1.540530303030303</v>
      </c>
      <c r="R28" s="262">
        <f t="shared" si="11"/>
        <v>20.856410256410253</v>
      </c>
      <c r="S28" s="248">
        <f t="shared" si="4"/>
        <v>1.540530303030303</v>
      </c>
      <c r="T28" s="262">
        <f t="shared" si="12"/>
        <v>1.821780303030303</v>
      </c>
      <c r="U28" s="262">
        <f t="shared" si="13"/>
        <v>5.1301333333333332</v>
      </c>
      <c r="V28">
        <f t="shared" si="14"/>
        <v>1.821780303030303</v>
      </c>
    </row>
    <row r="29" spans="2:22">
      <c r="B29">
        <f t="shared" si="5"/>
        <v>175</v>
      </c>
      <c r="C29">
        <v>20</v>
      </c>
      <c r="D29">
        <f t="shared" si="0"/>
        <v>8.75</v>
      </c>
      <c r="E29">
        <f t="shared" si="1"/>
        <v>2666.6666666666665</v>
      </c>
      <c r="F29">
        <f t="shared" si="6"/>
        <v>666.66666666666663</v>
      </c>
      <c r="G29">
        <f t="shared" si="2"/>
        <v>20</v>
      </c>
      <c r="H29" s="339">
        <f t="shared" si="7"/>
        <v>10</v>
      </c>
      <c r="I29" s="242"/>
      <c r="J29" s="242"/>
      <c r="K29" s="248"/>
      <c r="N29" s="262">
        <f t="shared" si="8"/>
        <v>0.75773809523809521</v>
      </c>
      <c r="O29" s="262">
        <f t="shared" si="9"/>
        <v>26.520833333333332</v>
      </c>
      <c r="P29" s="248">
        <f t="shared" si="3"/>
        <v>0.75773809523809521</v>
      </c>
      <c r="Q29" s="262">
        <f t="shared" si="10"/>
        <v>1.5326190476190475</v>
      </c>
      <c r="R29" s="262">
        <f t="shared" si="11"/>
        <v>20.631410256410255</v>
      </c>
      <c r="S29" s="248">
        <f t="shared" si="4"/>
        <v>1.5326190476190475</v>
      </c>
      <c r="T29" s="262">
        <f t="shared" si="12"/>
        <v>1.8154761904761905</v>
      </c>
      <c r="U29" s="262">
        <f t="shared" si="13"/>
        <v>5.083333333333333</v>
      </c>
      <c r="V29">
        <f t="shared" si="14"/>
        <v>1.8154761904761905</v>
      </c>
    </row>
    <row r="30" spans="2:22">
      <c r="B30">
        <f t="shared" si="5"/>
        <v>174</v>
      </c>
      <c r="C30">
        <v>20</v>
      </c>
      <c r="D30">
        <f t="shared" si="0"/>
        <v>8.6999999999999993</v>
      </c>
      <c r="E30">
        <f t="shared" si="1"/>
        <v>2666.6666666666665</v>
      </c>
      <c r="F30">
        <f t="shared" si="6"/>
        <v>666.66666666666663</v>
      </c>
      <c r="G30">
        <f t="shared" si="2"/>
        <v>20</v>
      </c>
      <c r="H30" s="339">
        <f t="shared" si="7"/>
        <v>10</v>
      </c>
      <c r="I30" s="242"/>
      <c r="J30" s="242"/>
      <c r="K30" s="248"/>
      <c r="N30" s="262">
        <f t="shared" si="8"/>
        <v>0.75373563218390804</v>
      </c>
      <c r="O30" s="262">
        <f t="shared" si="9"/>
        <v>26.23</v>
      </c>
      <c r="P30" s="248">
        <f t="shared" si="3"/>
        <v>0.75373563218390804</v>
      </c>
      <c r="Q30" s="262">
        <f t="shared" si="10"/>
        <v>1.5247126436781608</v>
      </c>
      <c r="R30" s="262">
        <f t="shared" si="11"/>
        <v>20.407692307692308</v>
      </c>
      <c r="S30" s="248">
        <f t="shared" si="4"/>
        <v>1.5247126436781608</v>
      </c>
      <c r="T30" s="262">
        <f t="shared" si="12"/>
        <v>1.8091954022988506</v>
      </c>
      <c r="U30" s="262">
        <f t="shared" si="13"/>
        <v>5.0368000000000004</v>
      </c>
      <c r="V30">
        <f t="shared" si="14"/>
        <v>1.8091954022988506</v>
      </c>
    </row>
    <row r="31" spans="2:22">
      <c r="B31">
        <f t="shared" si="5"/>
        <v>173</v>
      </c>
      <c r="C31">
        <v>20</v>
      </c>
      <c r="D31">
        <f t="shared" si="0"/>
        <v>8.65</v>
      </c>
      <c r="E31">
        <f t="shared" si="1"/>
        <v>2666.6666666666665</v>
      </c>
      <c r="F31">
        <f t="shared" si="6"/>
        <v>666.66666666666663</v>
      </c>
      <c r="G31">
        <f t="shared" si="2"/>
        <v>20</v>
      </c>
      <c r="H31" s="339">
        <f t="shared" si="7"/>
        <v>10</v>
      </c>
      <c r="I31" s="242"/>
      <c r="J31" s="242"/>
      <c r="K31" s="248"/>
      <c r="N31" s="262">
        <f t="shared" si="8"/>
        <v>0.74973506743737961</v>
      </c>
      <c r="O31" s="262">
        <f t="shared" si="9"/>
        <v>25.940833333333334</v>
      </c>
      <c r="P31" s="248">
        <f t="shared" si="3"/>
        <v>0.74973506743737961</v>
      </c>
      <c r="Q31" s="262">
        <f t="shared" si="10"/>
        <v>1.5168111753371869</v>
      </c>
      <c r="R31" s="262">
        <f t="shared" si="11"/>
        <v>20.185256410256407</v>
      </c>
      <c r="S31" s="248">
        <f t="shared" si="4"/>
        <v>1.5168111753371869</v>
      </c>
      <c r="T31" s="262">
        <f t="shared" si="12"/>
        <v>1.8029383429672448</v>
      </c>
      <c r="U31" s="262">
        <f t="shared" si="13"/>
        <v>4.9905333333333335</v>
      </c>
      <c r="V31">
        <f t="shared" si="14"/>
        <v>1.8029383429672448</v>
      </c>
    </row>
    <row r="32" spans="2:22">
      <c r="B32">
        <f t="shared" si="5"/>
        <v>172</v>
      </c>
      <c r="C32">
        <v>20</v>
      </c>
      <c r="D32">
        <f t="shared" si="0"/>
        <v>8.6</v>
      </c>
      <c r="E32">
        <f t="shared" si="1"/>
        <v>2666.6666666666665</v>
      </c>
      <c r="F32">
        <f t="shared" si="6"/>
        <v>666.66666666666663</v>
      </c>
      <c r="G32">
        <f t="shared" si="2"/>
        <v>20</v>
      </c>
      <c r="H32" s="339">
        <f t="shared" si="7"/>
        <v>10</v>
      </c>
      <c r="I32" s="242"/>
      <c r="J32" s="242"/>
      <c r="K32" s="248"/>
      <c r="N32" s="262">
        <f t="shared" si="8"/>
        <v>0.74573643410852719</v>
      </c>
      <c r="O32" s="262">
        <f t="shared" si="9"/>
        <v>25.653333333333332</v>
      </c>
      <c r="P32" s="248">
        <f t="shared" si="3"/>
        <v>0.74573643410852719</v>
      </c>
      <c r="Q32" s="262">
        <f t="shared" si="10"/>
        <v>1.5089147286821705</v>
      </c>
      <c r="R32" s="262">
        <f t="shared" si="11"/>
        <v>19.964102564102561</v>
      </c>
      <c r="S32" s="248">
        <f t="shared" si="4"/>
        <v>1.5089147286821705</v>
      </c>
      <c r="T32" s="262">
        <f t="shared" si="12"/>
        <v>1.7967054263565891</v>
      </c>
      <c r="U32" s="262">
        <f t="shared" si="13"/>
        <v>4.9445333333333332</v>
      </c>
      <c r="V32">
        <f t="shared" si="14"/>
        <v>1.7967054263565891</v>
      </c>
    </row>
    <row r="33" spans="2:22">
      <c r="B33">
        <f t="shared" si="5"/>
        <v>171</v>
      </c>
      <c r="C33">
        <v>20</v>
      </c>
      <c r="D33">
        <f t="shared" si="0"/>
        <v>8.5500000000000007</v>
      </c>
      <c r="E33">
        <f t="shared" si="1"/>
        <v>2666.6666666666665</v>
      </c>
      <c r="F33">
        <f t="shared" si="6"/>
        <v>666.66666666666663</v>
      </c>
      <c r="G33">
        <f t="shared" si="2"/>
        <v>20</v>
      </c>
      <c r="H33" s="339">
        <f t="shared" si="7"/>
        <v>10</v>
      </c>
      <c r="I33" s="242"/>
      <c r="J33" s="242"/>
      <c r="K33" s="248"/>
      <c r="N33" s="262">
        <f t="shared" si="8"/>
        <v>0.74173976608187142</v>
      </c>
      <c r="O33" s="262">
        <f t="shared" si="9"/>
        <v>25.3675</v>
      </c>
      <c r="P33" s="248">
        <f t="shared" si="3"/>
        <v>0.74173976608187142</v>
      </c>
      <c r="Q33" s="262">
        <f t="shared" si="10"/>
        <v>1.5010233918128655</v>
      </c>
      <c r="R33" s="262">
        <f t="shared" si="11"/>
        <v>19.744230769230768</v>
      </c>
      <c r="S33" s="248">
        <f t="shared" si="4"/>
        <v>1.5010233918128655</v>
      </c>
      <c r="T33" s="262">
        <f t="shared" si="12"/>
        <v>1.7904970760233918</v>
      </c>
      <c r="U33" s="262">
        <f t="shared" si="13"/>
        <v>4.8987999999999996</v>
      </c>
      <c r="V33">
        <f t="shared" si="14"/>
        <v>1.7904970760233918</v>
      </c>
    </row>
    <row r="34" spans="2:22">
      <c r="B34">
        <f t="shared" si="5"/>
        <v>170</v>
      </c>
      <c r="C34">
        <v>20</v>
      </c>
      <c r="D34">
        <f t="shared" si="0"/>
        <v>8.5</v>
      </c>
      <c r="E34">
        <f t="shared" si="1"/>
        <v>2666.6666666666665</v>
      </c>
      <c r="F34">
        <f t="shared" si="6"/>
        <v>666.66666666666663</v>
      </c>
      <c r="G34">
        <f t="shared" si="2"/>
        <v>20</v>
      </c>
      <c r="H34" s="339">
        <f t="shared" si="7"/>
        <v>10</v>
      </c>
      <c r="I34" s="242"/>
      <c r="J34" s="242"/>
      <c r="K34" s="248"/>
      <c r="N34" s="262">
        <f t="shared" si="8"/>
        <v>0.73774509803921573</v>
      </c>
      <c r="O34" s="262">
        <f t="shared" si="9"/>
        <v>25.083333333333332</v>
      </c>
      <c r="P34" s="248">
        <f t="shared" si="3"/>
        <v>0.73774509803921573</v>
      </c>
      <c r="Q34" s="262">
        <f t="shared" si="10"/>
        <v>1.4931372549019608</v>
      </c>
      <c r="R34" s="262">
        <f t="shared" si="11"/>
        <v>19.525641025641022</v>
      </c>
      <c r="S34" s="248">
        <f t="shared" si="4"/>
        <v>1.4931372549019608</v>
      </c>
      <c r="T34" s="262">
        <f t="shared" si="12"/>
        <v>1.7843137254901962</v>
      </c>
      <c r="U34" s="262">
        <f t="shared" si="13"/>
        <v>4.8533333333333335</v>
      </c>
      <c r="V34">
        <f t="shared" si="14"/>
        <v>1.7843137254901962</v>
      </c>
    </row>
    <row r="35" spans="2:22">
      <c r="B35">
        <f t="shared" si="5"/>
        <v>169</v>
      </c>
      <c r="C35">
        <v>20</v>
      </c>
      <c r="D35">
        <f t="shared" si="0"/>
        <v>8.4499999999999993</v>
      </c>
      <c r="E35">
        <f t="shared" si="1"/>
        <v>2666.6666666666665</v>
      </c>
      <c r="F35">
        <f t="shared" si="6"/>
        <v>666.66666666666663</v>
      </c>
      <c r="G35">
        <f t="shared" si="2"/>
        <v>20</v>
      </c>
      <c r="H35" s="339">
        <f t="shared" si="7"/>
        <v>10</v>
      </c>
      <c r="I35" s="242"/>
      <c r="J35" s="242"/>
      <c r="K35" s="248"/>
      <c r="N35" s="262">
        <f t="shared" si="8"/>
        <v>0.73375246548323481</v>
      </c>
      <c r="O35" s="262">
        <f t="shared" si="9"/>
        <v>24.800833333333333</v>
      </c>
      <c r="P35" s="248">
        <f t="shared" si="3"/>
        <v>0.73375246548323481</v>
      </c>
      <c r="Q35" s="262">
        <f t="shared" si="10"/>
        <v>1.4852564102564103</v>
      </c>
      <c r="R35" s="262">
        <f t="shared" si="11"/>
        <v>19.30833333333333</v>
      </c>
      <c r="S35" s="248">
        <f t="shared" si="4"/>
        <v>1.4852564102564103</v>
      </c>
      <c r="T35" s="262">
        <f t="shared" si="12"/>
        <v>1.778155818540434</v>
      </c>
      <c r="U35" s="262">
        <f t="shared" si="13"/>
        <v>4.808133333333334</v>
      </c>
      <c r="V35">
        <f t="shared" si="14"/>
        <v>1.778155818540434</v>
      </c>
    </row>
    <row r="36" spans="2:22">
      <c r="B36">
        <f t="shared" si="5"/>
        <v>168</v>
      </c>
      <c r="C36">
        <v>20</v>
      </c>
      <c r="D36">
        <f t="shared" si="0"/>
        <v>8.4</v>
      </c>
      <c r="E36">
        <f t="shared" si="1"/>
        <v>2666.6666666666665</v>
      </c>
      <c r="F36">
        <f t="shared" si="6"/>
        <v>666.66666666666663</v>
      </c>
      <c r="G36">
        <f t="shared" si="2"/>
        <v>20</v>
      </c>
      <c r="H36" s="339">
        <f t="shared" si="7"/>
        <v>10</v>
      </c>
      <c r="I36" s="242"/>
      <c r="J36" s="242"/>
      <c r="K36" s="248"/>
      <c r="N36" s="262">
        <f t="shared" si="8"/>
        <v>0.72976190476190472</v>
      </c>
      <c r="O36" s="262">
        <f t="shared" si="9"/>
        <v>24.52</v>
      </c>
      <c r="P36" s="248">
        <f t="shared" ref="P36:P67" si="15">MIN(N36:O36)</f>
        <v>0.72976190476190472</v>
      </c>
      <c r="Q36" s="262">
        <f t="shared" si="10"/>
        <v>1.4773809523809522</v>
      </c>
      <c r="R36" s="262">
        <f t="shared" si="11"/>
        <v>19.092307692307692</v>
      </c>
      <c r="S36" s="248">
        <f t="shared" ref="S36:S67" si="16">MIN(Q36:R36)</f>
        <v>1.4773809523809522</v>
      </c>
      <c r="T36" s="262">
        <f t="shared" si="12"/>
        <v>1.7720238095238094</v>
      </c>
      <c r="U36" s="262">
        <f t="shared" si="13"/>
        <v>4.7631999999999994</v>
      </c>
      <c r="V36">
        <f t="shared" si="14"/>
        <v>1.7720238095238094</v>
      </c>
    </row>
    <row r="37" spans="2:22">
      <c r="B37">
        <f t="shared" ref="B37:B68" si="17">B36-1</f>
        <v>167</v>
      </c>
      <c r="C37">
        <v>20</v>
      </c>
      <c r="D37">
        <f t="shared" si="0"/>
        <v>8.35</v>
      </c>
      <c r="E37">
        <f t="shared" si="1"/>
        <v>2666.6666666666665</v>
      </c>
      <c r="F37">
        <f t="shared" si="6"/>
        <v>666.66666666666663</v>
      </c>
      <c r="G37">
        <f t="shared" si="2"/>
        <v>20</v>
      </c>
      <c r="H37" s="339">
        <f t="shared" si="7"/>
        <v>10</v>
      </c>
      <c r="I37" s="242"/>
      <c r="J37" s="242"/>
      <c r="K37" s="248"/>
      <c r="N37" s="262">
        <f t="shared" si="8"/>
        <v>0.72577345309381236</v>
      </c>
      <c r="O37" s="262">
        <f t="shared" si="9"/>
        <v>24.240833333333335</v>
      </c>
      <c r="P37" s="248">
        <f t="shared" si="15"/>
        <v>0.72577345309381236</v>
      </c>
      <c r="Q37" s="262">
        <f t="shared" si="10"/>
        <v>1.4695109780439122</v>
      </c>
      <c r="R37" s="262">
        <f t="shared" si="11"/>
        <v>18.877564102564101</v>
      </c>
      <c r="S37" s="248">
        <f t="shared" si="16"/>
        <v>1.4695109780439122</v>
      </c>
      <c r="T37" s="262">
        <f t="shared" si="12"/>
        <v>1.7659181636726546</v>
      </c>
      <c r="U37" s="262">
        <f t="shared" si="13"/>
        <v>4.7185333333333332</v>
      </c>
      <c r="V37">
        <f t="shared" si="14"/>
        <v>1.7659181636726546</v>
      </c>
    </row>
    <row r="38" spans="2:22">
      <c r="B38">
        <f t="shared" si="17"/>
        <v>166</v>
      </c>
      <c r="C38">
        <v>20</v>
      </c>
      <c r="D38">
        <f t="shared" si="0"/>
        <v>8.3000000000000007</v>
      </c>
      <c r="E38">
        <f t="shared" si="1"/>
        <v>2666.6666666666665</v>
      </c>
      <c r="F38">
        <f t="shared" si="6"/>
        <v>666.66666666666663</v>
      </c>
      <c r="G38">
        <f t="shared" si="2"/>
        <v>20</v>
      </c>
      <c r="H38" s="339">
        <f t="shared" si="7"/>
        <v>10</v>
      </c>
      <c r="I38" s="242"/>
      <c r="J38" s="242"/>
      <c r="K38" s="248"/>
      <c r="N38" s="262">
        <f t="shared" si="8"/>
        <v>0.72178714859437754</v>
      </c>
      <c r="O38" s="262">
        <f t="shared" si="9"/>
        <v>23.963333333333335</v>
      </c>
      <c r="P38" s="248">
        <f t="shared" si="15"/>
        <v>0.72178714859437754</v>
      </c>
      <c r="Q38" s="262">
        <f t="shared" si="10"/>
        <v>1.4616465863453816</v>
      </c>
      <c r="R38" s="262">
        <f t="shared" si="11"/>
        <v>18.664102564102564</v>
      </c>
      <c r="S38" s="248">
        <f t="shared" si="16"/>
        <v>1.4616465863453816</v>
      </c>
      <c r="T38" s="262">
        <f t="shared" si="12"/>
        <v>1.7598393574297189</v>
      </c>
      <c r="U38" s="262">
        <f t="shared" si="13"/>
        <v>4.6741333333333337</v>
      </c>
      <c r="V38">
        <f t="shared" si="14"/>
        <v>1.7598393574297189</v>
      </c>
    </row>
    <row r="39" spans="2:22">
      <c r="B39">
        <f t="shared" si="17"/>
        <v>165</v>
      </c>
      <c r="C39">
        <v>20</v>
      </c>
      <c r="D39">
        <f t="shared" si="0"/>
        <v>8.25</v>
      </c>
      <c r="E39">
        <f t="shared" si="1"/>
        <v>2666.6666666666665</v>
      </c>
      <c r="F39">
        <f t="shared" si="6"/>
        <v>666.66666666666663</v>
      </c>
      <c r="G39">
        <f t="shared" si="2"/>
        <v>20</v>
      </c>
      <c r="H39" s="339">
        <f t="shared" si="7"/>
        <v>10</v>
      </c>
      <c r="I39" s="242"/>
      <c r="J39" s="242"/>
      <c r="K39" s="248"/>
      <c r="N39" s="262">
        <f t="shared" si="8"/>
        <v>0.71780303030303028</v>
      </c>
      <c r="O39" s="262">
        <f t="shared" si="9"/>
        <v>23.6875</v>
      </c>
      <c r="P39" s="248">
        <f t="shared" si="15"/>
        <v>0.71780303030303028</v>
      </c>
      <c r="Q39" s="262">
        <f t="shared" si="10"/>
        <v>1.4537878787878789</v>
      </c>
      <c r="R39" s="262">
        <f t="shared" si="11"/>
        <v>18.451923076923077</v>
      </c>
      <c r="S39" s="248">
        <f t="shared" si="16"/>
        <v>1.4537878787878789</v>
      </c>
      <c r="T39" s="262">
        <f t="shared" si="12"/>
        <v>1.7537878787878789</v>
      </c>
      <c r="U39" s="262">
        <f t="shared" si="13"/>
        <v>4.63</v>
      </c>
      <c r="V39">
        <f t="shared" si="14"/>
        <v>1.7537878787878789</v>
      </c>
    </row>
    <row r="40" spans="2:22">
      <c r="B40">
        <f t="shared" si="17"/>
        <v>164</v>
      </c>
      <c r="C40">
        <v>20</v>
      </c>
      <c r="D40">
        <f t="shared" si="0"/>
        <v>8.1999999999999993</v>
      </c>
      <c r="E40">
        <f t="shared" si="1"/>
        <v>2666.6666666666665</v>
      </c>
      <c r="F40">
        <f t="shared" si="6"/>
        <v>666.66666666666663</v>
      </c>
      <c r="G40">
        <f t="shared" si="2"/>
        <v>20</v>
      </c>
      <c r="H40" s="339">
        <f t="shared" si="7"/>
        <v>10</v>
      </c>
      <c r="I40" s="242"/>
      <c r="J40" s="242"/>
      <c r="K40" s="248"/>
      <c r="N40" s="262">
        <f t="shared" si="8"/>
        <v>0.71382113821138216</v>
      </c>
      <c r="O40" s="262">
        <f t="shared" si="9"/>
        <v>23.413333333333334</v>
      </c>
      <c r="P40" s="248">
        <f t="shared" si="15"/>
        <v>0.71382113821138216</v>
      </c>
      <c r="Q40" s="262">
        <f t="shared" si="10"/>
        <v>1.4459349593495936</v>
      </c>
      <c r="R40" s="262">
        <f t="shared" si="11"/>
        <v>18.24102564102564</v>
      </c>
      <c r="S40" s="248">
        <f t="shared" si="16"/>
        <v>1.4459349593495936</v>
      </c>
      <c r="T40" s="262">
        <f t="shared" si="12"/>
        <v>1.7477642276422765</v>
      </c>
      <c r="U40" s="262">
        <f t="shared" si="13"/>
        <v>4.5861333333333336</v>
      </c>
      <c r="V40">
        <f t="shared" si="14"/>
        <v>1.7477642276422765</v>
      </c>
    </row>
    <row r="41" spans="2:22">
      <c r="B41">
        <f t="shared" si="17"/>
        <v>163</v>
      </c>
      <c r="C41">
        <v>20</v>
      </c>
      <c r="D41">
        <f t="shared" si="0"/>
        <v>8.15</v>
      </c>
      <c r="E41">
        <f t="shared" si="1"/>
        <v>2666.6666666666665</v>
      </c>
      <c r="F41">
        <f t="shared" si="6"/>
        <v>666.66666666666663</v>
      </c>
      <c r="G41">
        <f t="shared" si="2"/>
        <v>20</v>
      </c>
      <c r="H41" s="339">
        <f t="shared" si="7"/>
        <v>10</v>
      </c>
      <c r="I41" s="242"/>
      <c r="J41" s="242"/>
      <c r="K41" s="248"/>
      <c r="N41" s="262">
        <f t="shared" si="8"/>
        <v>0.70984151329243361</v>
      </c>
      <c r="O41" s="262">
        <f t="shared" si="9"/>
        <v>23.140833333333333</v>
      </c>
      <c r="P41" s="248">
        <f t="shared" si="15"/>
        <v>0.70984151329243361</v>
      </c>
      <c r="Q41" s="262">
        <f t="shared" si="10"/>
        <v>1.4380879345603272</v>
      </c>
      <c r="R41" s="262">
        <f t="shared" si="11"/>
        <v>18.031410256410254</v>
      </c>
      <c r="S41" s="248">
        <f t="shared" si="16"/>
        <v>1.4380879345603272</v>
      </c>
      <c r="T41" s="262">
        <f t="shared" si="12"/>
        <v>1.7417689161554193</v>
      </c>
      <c r="U41" s="262">
        <f t="shared" si="13"/>
        <v>4.5425333333333331</v>
      </c>
      <c r="V41">
        <f t="shared" si="14"/>
        <v>1.7417689161554193</v>
      </c>
    </row>
    <row r="42" spans="2:22">
      <c r="B42">
        <f t="shared" si="17"/>
        <v>162</v>
      </c>
      <c r="C42">
        <v>20</v>
      </c>
      <c r="D42">
        <f t="shared" si="0"/>
        <v>8.1</v>
      </c>
      <c r="E42">
        <f t="shared" si="1"/>
        <v>2666.6666666666665</v>
      </c>
      <c r="F42">
        <f t="shared" si="6"/>
        <v>666.66666666666663</v>
      </c>
      <c r="G42">
        <f t="shared" si="2"/>
        <v>20</v>
      </c>
      <c r="H42" s="339">
        <f t="shared" si="7"/>
        <v>10</v>
      </c>
      <c r="I42" s="242"/>
      <c r="J42" s="242"/>
      <c r="K42" s="248"/>
      <c r="N42" s="262">
        <f t="shared" si="8"/>
        <v>0.70586419753086427</v>
      </c>
      <c r="O42" s="262">
        <f t="shared" si="9"/>
        <v>22.87</v>
      </c>
      <c r="P42" s="248">
        <f t="shared" si="15"/>
        <v>0.70586419753086427</v>
      </c>
      <c r="Q42" s="262">
        <f t="shared" si="10"/>
        <v>1.4302469135802469</v>
      </c>
      <c r="R42" s="262">
        <f t="shared" si="11"/>
        <v>17.823076923076922</v>
      </c>
      <c r="S42" s="248">
        <f t="shared" si="16"/>
        <v>1.4302469135802469</v>
      </c>
      <c r="T42" s="262">
        <f t="shared" si="12"/>
        <v>1.7358024691358025</v>
      </c>
      <c r="U42" s="262">
        <f t="shared" si="13"/>
        <v>4.4992000000000001</v>
      </c>
      <c r="V42">
        <f t="shared" si="14"/>
        <v>1.7358024691358025</v>
      </c>
    </row>
    <row r="43" spans="2:22">
      <c r="B43">
        <f t="shared" si="17"/>
        <v>161</v>
      </c>
      <c r="C43">
        <v>20</v>
      </c>
      <c r="D43">
        <f t="shared" si="0"/>
        <v>8.0500000000000007</v>
      </c>
      <c r="E43">
        <f t="shared" si="1"/>
        <v>2666.6666666666665</v>
      </c>
      <c r="F43">
        <f t="shared" si="6"/>
        <v>666.66666666666663</v>
      </c>
      <c r="G43">
        <f t="shared" si="2"/>
        <v>20</v>
      </c>
      <c r="H43" s="339">
        <f t="shared" si="7"/>
        <v>10</v>
      </c>
      <c r="I43" s="242"/>
      <c r="J43" s="242"/>
      <c r="K43" s="248"/>
      <c r="N43" s="262">
        <f t="shared" si="8"/>
        <v>0.70188923395445124</v>
      </c>
      <c r="O43" s="262">
        <f t="shared" si="9"/>
        <v>22.600833333333334</v>
      </c>
      <c r="P43" s="248">
        <f t="shared" si="15"/>
        <v>0.70188923395445124</v>
      </c>
      <c r="Q43" s="262">
        <f t="shared" si="10"/>
        <v>1.4224120082815734</v>
      </c>
      <c r="R43" s="262">
        <f t="shared" si="11"/>
        <v>17.61602564102564</v>
      </c>
      <c r="S43" s="248">
        <f t="shared" si="16"/>
        <v>1.4224120082815734</v>
      </c>
      <c r="T43" s="262">
        <f t="shared" si="12"/>
        <v>1.7298654244306417</v>
      </c>
      <c r="U43" s="262">
        <f t="shared" si="13"/>
        <v>4.4561333333333337</v>
      </c>
      <c r="V43">
        <f t="shared" si="14"/>
        <v>1.7298654244306417</v>
      </c>
    </row>
    <row r="44" spans="2:22">
      <c r="B44">
        <f t="shared" si="17"/>
        <v>160</v>
      </c>
      <c r="C44">
        <v>20</v>
      </c>
      <c r="D44">
        <f t="shared" si="0"/>
        <v>8</v>
      </c>
      <c r="E44">
        <f t="shared" si="1"/>
        <v>2666.6666666666665</v>
      </c>
      <c r="F44">
        <f t="shared" si="6"/>
        <v>666.66666666666663</v>
      </c>
      <c r="G44">
        <f t="shared" si="2"/>
        <v>20</v>
      </c>
      <c r="H44" s="339">
        <f t="shared" si="7"/>
        <v>10</v>
      </c>
      <c r="I44" s="242"/>
      <c r="J44" s="242"/>
      <c r="K44" s="248"/>
      <c r="N44" s="262">
        <f t="shared" si="8"/>
        <v>0.69791666666666663</v>
      </c>
      <c r="O44" s="262">
        <f t="shared" si="9"/>
        <v>22.333333333333332</v>
      </c>
      <c r="P44" s="248">
        <f t="shared" si="15"/>
        <v>0.69791666666666663</v>
      </c>
      <c r="Q44" s="262">
        <f t="shared" si="10"/>
        <v>1.4145833333333333</v>
      </c>
      <c r="R44" s="262">
        <f t="shared" si="11"/>
        <v>17.410256410256409</v>
      </c>
      <c r="S44" s="248">
        <f t="shared" si="16"/>
        <v>1.4145833333333333</v>
      </c>
      <c r="T44" s="262">
        <f t="shared" si="12"/>
        <v>1.7239583333333333</v>
      </c>
      <c r="U44" s="262">
        <f t="shared" si="13"/>
        <v>4.4133333333333331</v>
      </c>
      <c r="V44">
        <f t="shared" si="14"/>
        <v>1.7239583333333333</v>
      </c>
    </row>
    <row r="45" spans="2:22">
      <c r="B45">
        <f t="shared" si="17"/>
        <v>159</v>
      </c>
      <c r="C45">
        <v>20</v>
      </c>
      <c r="D45">
        <f t="shared" si="0"/>
        <v>7.95</v>
      </c>
      <c r="E45">
        <f t="shared" si="1"/>
        <v>2666.6666666666665</v>
      </c>
      <c r="F45">
        <f t="shared" si="6"/>
        <v>666.66666666666663</v>
      </c>
      <c r="G45">
        <f t="shared" si="2"/>
        <v>20</v>
      </c>
      <c r="H45" s="339">
        <f t="shared" si="7"/>
        <v>10</v>
      </c>
      <c r="I45" s="242"/>
      <c r="J45" s="242"/>
      <c r="K45" s="248"/>
      <c r="N45" s="262">
        <f t="shared" si="8"/>
        <v>0.69394654088050312</v>
      </c>
      <c r="O45" s="262">
        <f t="shared" si="9"/>
        <v>22.067499999999999</v>
      </c>
      <c r="P45" s="248">
        <f t="shared" si="15"/>
        <v>0.69394654088050312</v>
      </c>
      <c r="Q45" s="262">
        <f t="shared" si="10"/>
        <v>1.4067610062893081</v>
      </c>
      <c r="R45" s="262">
        <f t="shared" si="11"/>
        <v>17.205769230769228</v>
      </c>
      <c r="S45" s="248">
        <f t="shared" si="16"/>
        <v>1.4067610062893081</v>
      </c>
      <c r="T45" s="262">
        <f t="shared" si="12"/>
        <v>1.7180817610062893</v>
      </c>
      <c r="U45" s="262">
        <f t="shared" si="13"/>
        <v>4.3708</v>
      </c>
      <c r="V45">
        <f t="shared" si="14"/>
        <v>1.7180817610062893</v>
      </c>
    </row>
    <row r="46" spans="2:22">
      <c r="B46">
        <f t="shared" si="17"/>
        <v>158</v>
      </c>
      <c r="C46">
        <v>20</v>
      </c>
      <c r="D46">
        <f t="shared" si="0"/>
        <v>7.9</v>
      </c>
      <c r="E46">
        <f t="shared" si="1"/>
        <v>2666.6666666666665</v>
      </c>
      <c r="F46">
        <f t="shared" si="6"/>
        <v>666.66666666666663</v>
      </c>
      <c r="G46">
        <f t="shared" si="2"/>
        <v>20</v>
      </c>
      <c r="H46" s="339">
        <f t="shared" si="7"/>
        <v>10</v>
      </c>
      <c r="I46" s="242"/>
      <c r="J46" s="242"/>
      <c r="K46" s="248"/>
      <c r="N46" s="262">
        <f t="shared" si="8"/>
        <v>0.68997890295358655</v>
      </c>
      <c r="O46" s="262">
        <f t="shared" si="9"/>
        <v>21.803333333333335</v>
      </c>
      <c r="P46" s="248">
        <f t="shared" si="15"/>
        <v>0.68997890295358655</v>
      </c>
      <c r="Q46" s="262">
        <f t="shared" si="10"/>
        <v>1.3989451476793249</v>
      </c>
      <c r="R46" s="262">
        <f t="shared" si="11"/>
        <v>17.002564102564101</v>
      </c>
      <c r="S46" s="248">
        <f t="shared" si="16"/>
        <v>1.3989451476793249</v>
      </c>
      <c r="T46" s="262">
        <f t="shared" si="12"/>
        <v>1.7122362869198313</v>
      </c>
      <c r="U46" s="262">
        <f t="shared" si="13"/>
        <v>4.3285333333333336</v>
      </c>
      <c r="V46">
        <f t="shared" si="14"/>
        <v>1.7122362869198313</v>
      </c>
    </row>
    <row r="47" spans="2:22">
      <c r="B47">
        <f t="shared" si="17"/>
        <v>157</v>
      </c>
      <c r="C47">
        <v>20</v>
      </c>
      <c r="D47">
        <f t="shared" si="0"/>
        <v>7.85</v>
      </c>
      <c r="E47">
        <f t="shared" si="1"/>
        <v>2666.6666666666665</v>
      </c>
      <c r="F47">
        <f t="shared" si="6"/>
        <v>666.66666666666663</v>
      </c>
      <c r="G47">
        <f t="shared" si="2"/>
        <v>20</v>
      </c>
      <c r="H47" s="339">
        <f t="shared" si="7"/>
        <v>10</v>
      </c>
      <c r="I47" s="242"/>
      <c r="J47" s="242"/>
      <c r="K47" s="248"/>
      <c r="N47" s="262">
        <f t="shared" si="8"/>
        <v>0.68601380042462845</v>
      </c>
      <c r="O47" s="262">
        <f t="shared" si="9"/>
        <v>21.540833333333332</v>
      </c>
      <c r="P47" s="248">
        <f t="shared" si="15"/>
        <v>0.68601380042462845</v>
      </c>
      <c r="Q47" s="262">
        <f t="shared" si="10"/>
        <v>1.391135881104034</v>
      </c>
      <c r="R47" s="262">
        <f t="shared" si="11"/>
        <v>16.800641025641021</v>
      </c>
      <c r="S47" s="248">
        <f t="shared" si="16"/>
        <v>1.391135881104034</v>
      </c>
      <c r="T47" s="262">
        <f t="shared" si="12"/>
        <v>1.7064225053078557</v>
      </c>
      <c r="U47" s="262">
        <f t="shared" si="13"/>
        <v>4.2865333333333329</v>
      </c>
      <c r="V47">
        <f t="shared" si="14"/>
        <v>1.7064225053078557</v>
      </c>
    </row>
    <row r="48" spans="2:22">
      <c r="B48">
        <f t="shared" si="17"/>
        <v>156</v>
      </c>
      <c r="C48">
        <v>20</v>
      </c>
      <c r="D48">
        <f t="shared" si="0"/>
        <v>7.8</v>
      </c>
      <c r="E48">
        <f t="shared" si="1"/>
        <v>2666.6666666666665</v>
      </c>
      <c r="F48">
        <f t="shared" si="6"/>
        <v>666.66666666666663</v>
      </c>
      <c r="G48">
        <f t="shared" si="2"/>
        <v>20</v>
      </c>
      <c r="H48" s="339">
        <f t="shared" si="7"/>
        <v>10</v>
      </c>
      <c r="I48" s="242"/>
      <c r="J48" s="242"/>
      <c r="K48" s="248"/>
      <c r="N48" s="262">
        <f t="shared" si="8"/>
        <v>0.68205128205128207</v>
      </c>
      <c r="O48" s="262">
        <f t="shared" si="9"/>
        <v>21.28</v>
      </c>
      <c r="P48" s="248">
        <f t="shared" si="15"/>
        <v>0.68205128205128207</v>
      </c>
      <c r="Q48" s="262">
        <f t="shared" si="10"/>
        <v>1.3833333333333333</v>
      </c>
      <c r="R48" s="262">
        <f t="shared" si="11"/>
        <v>16.600000000000001</v>
      </c>
      <c r="S48" s="248">
        <f t="shared" si="16"/>
        <v>1.3833333333333333</v>
      </c>
      <c r="T48" s="262">
        <f t="shared" si="12"/>
        <v>1.7006410256410256</v>
      </c>
      <c r="U48" s="262">
        <f t="shared" si="13"/>
        <v>4.2447999999999997</v>
      </c>
      <c r="V48">
        <f t="shared" si="14"/>
        <v>1.7006410256410256</v>
      </c>
    </row>
    <row r="49" spans="2:22">
      <c r="B49">
        <f t="shared" si="17"/>
        <v>155</v>
      </c>
      <c r="C49">
        <v>20</v>
      </c>
      <c r="D49">
        <f t="shared" si="0"/>
        <v>7.75</v>
      </c>
      <c r="E49">
        <f t="shared" si="1"/>
        <v>2666.6666666666665</v>
      </c>
      <c r="F49">
        <f t="shared" si="6"/>
        <v>666.66666666666663</v>
      </c>
      <c r="G49">
        <f t="shared" si="2"/>
        <v>20</v>
      </c>
      <c r="H49" s="339">
        <f t="shared" si="7"/>
        <v>10</v>
      </c>
      <c r="I49" s="242"/>
      <c r="J49" s="242"/>
      <c r="K49" s="248"/>
      <c r="N49" s="262">
        <f t="shared" si="8"/>
        <v>0.67809139784946237</v>
      </c>
      <c r="O49" s="262">
        <f t="shared" si="9"/>
        <v>21.020833333333332</v>
      </c>
      <c r="P49" s="248">
        <f t="shared" si="15"/>
        <v>0.67809139784946237</v>
      </c>
      <c r="Q49" s="262">
        <f t="shared" si="10"/>
        <v>1.3755376344086023</v>
      </c>
      <c r="R49" s="262">
        <f t="shared" si="11"/>
        <v>16.400641025641022</v>
      </c>
      <c r="S49" s="248">
        <f t="shared" si="16"/>
        <v>1.3755376344086023</v>
      </c>
      <c r="T49" s="262">
        <f t="shared" si="12"/>
        <v>1.6948924731182795</v>
      </c>
      <c r="U49" s="262">
        <f t="shared" si="13"/>
        <v>4.2033333333333331</v>
      </c>
      <c r="V49">
        <f t="shared" si="14"/>
        <v>1.6948924731182795</v>
      </c>
    </row>
    <row r="50" spans="2:22">
      <c r="B50">
        <f t="shared" si="17"/>
        <v>154</v>
      </c>
      <c r="C50">
        <v>20</v>
      </c>
      <c r="D50">
        <f t="shared" si="0"/>
        <v>7.7</v>
      </c>
      <c r="E50">
        <f t="shared" si="1"/>
        <v>2666.6666666666665</v>
      </c>
      <c r="F50">
        <f t="shared" si="6"/>
        <v>666.66666666666663</v>
      </c>
      <c r="G50">
        <f t="shared" si="2"/>
        <v>20</v>
      </c>
      <c r="H50" s="339">
        <f t="shared" si="7"/>
        <v>10</v>
      </c>
      <c r="I50" s="242"/>
      <c r="J50" s="242"/>
      <c r="K50" s="248"/>
      <c r="N50" s="262">
        <f t="shared" si="8"/>
        <v>0.67413419913419914</v>
      </c>
      <c r="O50" s="262">
        <f t="shared" si="9"/>
        <v>20.763333333333332</v>
      </c>
      <c r="P50" s="248">
        <f t="shared" si="15"/>
        <v>0.67413419913419914</v>
      </c>
      <c r="Q50" s="262">
        <f t="shared" si="10"/>
        <v>1.3677489177489179</v>
      </c>
      <c r="R50" s="262">
        <f t="shared" si="11"/>
        <v>16.2025641025641</v>
      </c>
      <c r="S50" s="248">
        <f t="shared" si="16"/>
        <v>1.3677489177489179</v>
      </c>
      <c r="T50" s="262">
        <f t="shared" si="12"/>
        <v>1.6891774891774891</v>
      </c>
      <c r="U50" s="262">
        <f t="shared" si="13"/>
        <v>4.1621333333333332</v>
      </c>
      <c r="V50">
        <f t="shared" si="14"/>
        <v>1.6891774891774891</v>
      </c>
    </row>
    <row r="51" spans="2:22">
      <c r="B51">
        <f t="shared" si="17"/>
        <v>153</v>
      </c>
      <c r="C51">
        <v>20</v>
      </c>
      <c r="D51">
        <f t="shared" si="0"/>
        <v>7.65</v>
      </c>
      <c r="E51">
        <f t="shared" si="1"/>
        <v>2666.6666666666665</v>
      </c>
      <c r="F51">
        <f t="shared" si="6"/>
        <v>666.66666666666663</v>
      </c>
      <c r="G51">
        <f t="shared" si="2"/>
        <v>20</v>
      </c>
      <c r="H51" s="339">
        <f t="shared" si="7"/>
        <v>10</v>
      </c>
      <c r="I51" s="242"/>
      <c r="J51" s="242"/>
      <c r="K51" s="248"/>
      <c r="N51" s="262">
        <f t="shared" si="8"/>
        <v>0.67017973856209145</v>
      </c>
      <c r="O51" s="262">
        <f t="shared" si="9"/>
        <v>20.5075</v>
      </c>
      <c r="P51" s="248">
        <f t="shared" si="15"/>
        <v>0.67017973856209145</v>
      </c>
      <c r="Q51" s="262">
        <f t="shared" si="10"/>
        <v>1.3599673202614377</v>
      </c>
      <c r="R51" s="262">
        <f t="shared" si="11"/>
        <v>16.005769230769232</v>
      </c>
      <c r="S51" s="248">
        <f t="shared" si="16"/>
        <v>1.3599673202614377</v>
      </c>
      <c r="T51" s="262">
        <f t="shared" si="12"/>
        <v>1.6834967320261438</v>
      </c>
      <c r="U51" s="262">
        <f t="shared" si="13"/>
        <v>4.1212</v>
      </c>
      <c r="V51">
        <f t="shared" si="14"/>
        <v>1.6834967320261438</v>
      </c>
    </row>
    <row r="52" spans="2:22">
      <c r="B52">
        <f t="shared" si="17"/>
        <v>152</v>
      </c>
      <c r="C52">
        <v>20</v>
      </c>
      <c r="D52">
        <f t="shared" si="0"/>
        <v>7.6</v>
      </c>
      <c r="E52">
        <f t="shared" si="1"/>
        <v>2666.6666666666665</v>
      </c>
      <c r="F52">
        <f t="shared" si="6"/>
        <v>666.66666666666663</v>
      </c>
      <c r="G52">
        <f t="shared" si="2"/>
        <v>20</v>
      </c>
      <c r="H52" s="339">
        <f t="shared" si="7"/>
        <v>10</v>
      </c>
      <c r="I52" s="242"/>
      <c r="J52" s="242"/>
      <c r="K52" s="248"/>
      <c r="N52" s="262">
        <f t="shared" si="8"/>
        <v>0.66622807017543861</v>
      </c>
      <c r="O52" s="262">
        <f t="shared" si="9"/>
        <v>20.253333333333334</v>
      </c>
      <c r="P52" s="248">
        <f t="shared" si="15"/>
        <v>0.66622807017543861</v>
      </c>
      <c r="Q52" s="262">
        <f t="shared" si="10"/>
        <v>1.3521929824561403</v>
      </c>
      <c r="R52" s="262">
        <f t="shared" si="11"/>
        <v>15.810256410256409</v>
      </c>
      <c r="S52" s="248">
        <f t="shared" si="16"/>
        <v>1.3521929824561403</v>
      </c>
      <c r="T52" s="262">
        <f t="shared" si="12"/>
        <v>1.6778508771929823</v>
      </c>
      <c r="U52" s="262">
        <f t="shared" si="13"/>
        <v>4.0805333333333333</v>
      </c>
      <c r="V52">
        <f t="shared" si="14"/>
        <v>1.6778508771929823</v>
      </c>
    </row>
    <row r="53" spans="2:22">
      <c r="B53">
        <f t="shared" si="17"/>
        <v>151</v>
      </c>
      <c r="C53">
        <v>20</v>
      </c>
      <c r="D53">
        <f t="shared" si="0"/>
        <v>7.55</v>
      </c>
      <c r="E53">
        <f t="shared" si="1"/>
        <v>2666.6666666666665</v>
      </c>
      <c r="F53">
        <f t="shared" si="6"/>
        <v>666.66666666666663</v>
      </c>
      <c r="G53">
        <f t="shared" si="2"/>
        <v>20</v>
      </c>
      <c r="H53" s="339">
        <f t="shared" si="7"/>
        <v>10</v>
      </c>
      <c r="I53" s="242"/>
      <c r="J53" s="242"/>
      <c r="K53" s="248"/>
      <c r="N53" s="262">
        <f t="shared" si="8"/>
        <v>0.66227924944812355</v>
      </c>
      <c r="O53" s="262">
        <f t="shared" si="9"/>
        <v>20.000833333333333</v>
      </c>
      <c r="P53" s="248">
        <f t="shared" si="15"/>
        <v>0.66227924944812355</v>
      </c>
      <c r="Q53" s="262">
        <f t="shared" si="10"/>
        <v>1.3444260485651214</v>
      </c>
      <c r="R53" s="262">
        <f t="shared" si="11"/>
        <v>15.616025641025638</v>
      </c>
      <c r="S53" s="248">
        <f t="shared" si="16"/>
        <v>1.3444260485651214</v>
      </c>
      <c r="T53" s="262">
        <f t="shared" si="12"/>
        <v>1.6722406181015452</v>
      </c>
      <c r="U53" s="262">
        <f t="shared" si="13"/>
        <v>4.0401333333333334</v>
      </c>
      <c r="V53">
        <f t="shared" si="14"/>
        <v>1.6722406181015452</v>
      </c>
    </row>
    <row r="54" spans="2:22">
      <c r="B54">
        <f t="shared" si="17"/>
        <v>150</v>
      </c>
      <c r="C54">
        <v>20</v>
      </c>
      <c r="D54">
        <f t="shared" si="0"/>
        <v>7.5</v>
      </c>
      <c r="E54">
        <f t="shared" si="1"/>
        <v>2666.6666666666665</v>
      </c>
      <c r="F54">
        <f t="shared" si="6"/>
        <v>666.66666666666663</v>
      </c>
      <c r="G54">
        <f t="shared" si="2"/>
        <v>20</v>
      </c>
      <c r="H54" s="339">
        <f t="shared" si="7"/>
        <v>10</v>
      </c>
      <c r="I54" s="242"/>
      <c r="J54" s="242"/>
      <c r="K54" s="248"/>
      <c r="N54" s="262">
        <f t="shared" si="8"/>
        <v>0.65833333333333333</v>
      </c>
      <c r="O54" s="262">
        <f t="shared" si="9"/>
        <v>19.75</v>
      </c>
      <c r="P54" s="248">
        <f t="shared" si="15"/>
        <v>0.65833333333333333</v>
      </c>
      <c r="Q54" s="262">
        <f t="shared" si="10"/>
        <v>1.3366666666666667</v>
      </c>
      <c r="R54" s="262">
        <f t="shared" si="11"/>
        <v>15.423076923076922</v>
      </c>
      <c r="S54" s="248">
        <f t="shared" si="16"/>
        <v>1.3366666666666667</v>
      </c>
      <c r="T54" s="262">
        <f t="shared" si="12"/>
        <v>1.6666666666666667</v>
      </c>
      <c r="U54" s="262">
        <f t="shared" si="13"/>
        <v>4</v>
      </c>
      <c r="V54">
        <f t="shared" si="14"/>
        <v>1.6666666666666667</v>
      </c>
    </row>
    <row r="55" spans="2:22">
      <c r="B55">
        <f t="shared" si="17"/>
        <v>149</v>
      </c>
      <c r="C55">
        <v>20</v>
      </c>
      <c r="D55">
        <f t="shared" si="0"/>
        <v>7.45</v>
      </c>
      <c r="E55">
        <f t="shared" si="1"/>
        <v>2666.6666666666665</v>
      </c>
      <c r="F55">
        <f t="shared" si="6"/>
        <v>666.66666666666663</v>
      </c>
      <c r="G55">
        <f t="shared" si="2"/>
        <v>20</v>
      </c>
      <c r="H55" s="339">
        <f t="shared" si="7"/>
        <v>10</v>
      </c>
      <c r="I55" s="242"/>
      <c r="J55" s="242"/>
      <c r="K55" s="248"/>
      <c r="N55" s="262">
        <f t="shared" si="8"/>
        <v>0.65439038031319907</v>
      </c>
      <c r="O55" s="262">
        <f t="shared" si="9"/>
        <v>19.500833333333333</v>
      </c>
      <c r="P55" s="248">
        <f t="shared" si="15"/>
        <v>0.65439038031319907</v>
      </c>
      <c r="Q55" s="262">
        <f t="shared" si="10"/>
        <v>1.3289149888143177</v>
      </c>
      <c r="R55" s="262">
        <f t="shared" si="11"/>
        <v>15.231410256410255</v>
      </c>
      <c r="S55" s="248">
        <f t="shared" si="16"/>
        <v>1.3289149888143177</v>
      </c>
      <c r="T55" s="262">
        <f t="shared" si="12"/>
        <v>1.661129753914989</v>
      </c>
      <c r="U55" s="262">
        <f t="shared" si="13"/>
        <v>3.9601333333333333</v>
      </c>
      <c r="V55">
        <f t="shared" si="14"/>
        <v>1.661129753914989</v>
      </c>
    </row>
    <row r="56" spans="2:22">
      <c r="B56">
        <f t="shared" si="17"/>
        <v>148</v>
      </c>
      <c r="C56">
        <v>20</v>
      </c>
      <c r="D56">
        <f t="shared" si="0"/>
        <v>7.4</v>
      </c>
      <c r="E56">
        <f t="shared" si="1"/>
        <v>2666.6666666666665</v>
      </c>
      <c r="F56">
        <f t="shared" si="6"/>
        <v>666.66666666666663</v>
      </c>
      <c r="G56">
        <f t="shared" si="2"/>
        <v>20</v>
      </c>
      <c r="H56" s="339">
        <f t="shared" si="7"/>
        <v>10</v>
      </c>
      <c r="I56" s="242"/>
      <c r="J56" s="242"/>
      <c r="K56" s="248"/>
      <c r="N56" s="262">
        <f t="shared" si="8"/>
        <v>0.65045045045045047</v>
      </c>
      <c r="O56" s="262">
        <f t="shared" si="9"/>
        <v>19.253333333333334</v>
      </c>
      <c r="P56" s="248">
        <f t="shared" si="15"/>
        <v>0.65045045045045047</v>
      </c>
      <c r="Q56" s="262">
        <f t="shared" si="10"/>
        <v>1.3211711711711713</v>
      </c>
      <c r="R56" s="262">
        <f t="shared" si="11"/>
        <v>15.041025641025641</v>
      </c>
      <c r="S56" s="248">
        <f t="shared" si="16"/>
        <v>1.3211711711711713</v>
      </c>
      <c r="T56" s="262">
        <f t="shared" si="12"/>
        <v>1.6556306306306308</v>
      </c>
      <c r="U56" s="262">
        <f t="shared" si="13"/>
        <v>3.9205333333333336</v>
      </c>
      <c r="V56">
        <f t="shared" si="14"/>
        <v>1.6556306306306308</v>
      </c>
    </row>
    <row r="57" spans="2:22">
      <c r="B57">
        <f t="shared" si="17"/>
        <v>147</v>
      </c>
      <c r="C57">
        <v>20</v>
      </c>
      <c r="D57">
        <f t="shared" si="0"/>
        <v>7.35</v>
      </c>
      <c r="E57">
        <f t="shared" si="1"/>
        <v>2666.6666666666665</v>
      </c>
      <c r="F57">
        <f t="shared" si="6"/>
        <v>666.66666666666663</v>
      </c>
      <c r="G57">
        <f t="shared" si="2"/>
        <v>20</v>
      </c>
      <c r="H57" s="339">
        <f t="shared" si="7"/>
        <v>10</v>
      </c>
      <c r="I57" s="242"/>
      <c r="J57" s="242"/>
      <c r="K57" s="248"/>
      <c r="N57" s="262">
        <f t="shared" si="8"/>
        <v>0.64651360544217695</v>
      </c>
      <c r="O57" s="262">
        <f t="shared" si="9"/>
        <v>19.0075</v>
      </c>
      <c r="P57" s="248">
        <f t="shared" si="15"/>
        <v>0.64651360544217695</v>
      </c>
      <c r="Q57" s="262">
        <f t="shared" si="10"/>
        <v>1.3134353741496601</v>
      </c>
      <c r="R57" s="262">
        <f t="shared" si="11"/>
        <v>14.851923076923075</v>
      </c>
      <c r="S57" s="248">
        <f t="shared" si="16"/>
        <v>1.3134353741496601</v>
      </c>
      <c r="T57" s="262">
        <f t="shared" si="12"/>
        <v>1.6501700680272111</v>
      </c>
      <c r="U57" s="262">
        <f t="shared" si="13"/>
        <v>3.8812000000000002</v>
      </c>
      <c r="V57">
        <f t="shared" si="14"/>
        <v>1.6501700680272111</v>
      </c>
    </row>
    <row r="58" spans="2:22">
      <c r="B58">
        <f t="shared" si="17"/>
        <v>146</v>
      </c>
      <c r="C58">
        <v>20</v>
      </c>
      <c r="D58">
        <f t="shared" si="0"/>
        <v>7.3</v>
      </c>
      <c r="E58">
        <f t="shared" si="1"/>
        <v>2666.6666666666665</v>
      </c>
      <c r="F58">
        <f t="shared" si="6"/>
        <v>666.66666666666663</v>
      </c>
      <c r="G58">
        <f t="shared" si="2"/>
        <v>20</v>
      </c>
      <c r="H58" s="339">
        <f t="shared" si="7"/>
        <v>10</v>
      </c>
      <c r="I58" s="242"/>
      <c r="J58" s="242"/>
      <c r="K58" s="248"/>
      <c r="N58" s="262">
        <f t="shared" si="8"/>
        <v>0.64257990867579906</v>
      </c>
      <c r="O58" s="262">
        <f t="shared" si="9"/>
        <v>18.763333333333332</v>
      </c>
      <c r="P58" s="248">
        <f t="shared" si="15"/>
        <v>0.64257990867579906</v>
      </c>
      <c r="Q58" s="262">
        <f t="shared" si="10"/>
        <v>1.3057077625570774</v>
      </c>
      <c r="R58" s="262">
        <f t="shared" si="11"/>
        <v>14.664102564102562</v>
      </c>
      <c r="S58" s="248">
        <f t="shared" si="16"/>
        <v>1.3057077625570774</v>
      </c>
      <c r="T58" s="262">
        <f t="shared" si="12"/>
        <v>1.6447488584474885</v>
      </c>
      <c r="U58" s="262">
        <f t="shared" si="13"/>
        <v>3.842133333333333</v>
      </c>
      <c r="V58">
        <f t="shared" si="14"/>
        <v>1.6447488584474885</v>
      </c>
    </row>
    <row r="59" spans="2:22">
      <c r="B59">
        <f t="shared" si="17"/>
        <v>145</v>
      </c>
      <c r="C59">
        <v>20</v>
      </c>
      <c r="D59">
        <f t="shared" si="0"/>
        <v>7.25</v>
      </c>
      <c r="E59">
        <f t="shared" si="1"/>
        <v>2666.6666666666665</v>
      </c>
      <c r="F59">
        <f t="shared" si="6"/>
        <v>666.66666666666663</v>
      </c>
      <c r="G59">
        <f t="shared" si="2"/>
        <v>20</v>
      </c>
      <c r="H59" s="339">
        <f t="shared" si="7"/>
        <v>10</v>
      </c>
      <c r="I59" s="242"/>
      <c r="J59" s="242"/>
      <c r="K59" s="248"/>
      <c r="N59" s="262">
        <f t="shared" si="8"/>
        <v>0.63864942528735624</v>
      </c>
      <c r="O59" s="262">
        <f t="shared" si="9"/>
        <v>18.520833333333332</v>
      </c>
      <c r="P59" s="248">
        <f t="shared" si="15"/>
        <v>0.63864942528735624</v>
      </c>
      <c r="Q59" s="262">
        <f t="shared" si="10"/>
        <v>1.2979885057471263</v>
      </c>
      <c r="R59" s="262">
        <f t="shared" si="11"/>
        <v>14.4775641025641</v>
      </c>
      <c r="S59" s="248">
        <f t="shared" si="16"/>
        <v>1.2979885057471263</v>
      </c>
      <c r="T59" s="262">
        <f t="shared" si="12"/>
        <v>1.639367816091954</v>
      </c>
      <c r="U59" s="262">
        <f t="shared" si="13"/>
        <v>3.8033333333333332</v>
      </c>
      <c r="V59">
        <f t="shared" si="14"/>
        <v>1.639367816091954</v>
      </c>
    </row>
    <row r="60" spans="2:22">
      <c r="B60">
        <f t="shared" si="17"/>
        <v>144</v>
      </c>
      <c r="C60">
        <v>20</v>
      </c>
      <c r="D60">
        <f t="shared" si="0"/>
        <v>7.2</v>
      </c>
      <c r="E60">
        <f t="shared" si="1"/>
        <v>2666.6666666666665</v>
      </c>
      <c r="F60">
        <f t="shared" si="6"/>
        <v>666.66666666666663</v>
      </c>
      <c r="G60">
        <f t="shared" si="2"/>
        <v>20</v>
      </c>
      <c r="H60" s="339">
        <f t="shared" si="7"/>
        <v>10</v>
      </c>
      <c r="I60" s="242"/>
      <c r="J60" s="242"/>
      <c r="K60" s="248"/>
      <c r="N60" s="262">
        <f t="shared" si="8"/>
        <v>0.63472222222222219</v>
      </c>
      <c r="O60" s="262">
        <f t="shared" si="9"/>
        <v>18.28</v>
      </c>
      <c r="P60" s="248">
        <f t="shared" si="15"/>
        <v>0.63472222222222219</v>
      </c>
      <c r="Q60" s="262">
        <f t="shared" si="10"/>
        <v>1.2902777777777779</v>
      </c>
      <c r="R60" s="262">
        <f t="shared" si="11"/>
        <v>14.292307692307691</v>
      </c>
      <c r="S60" s="248">
        <f t="shared" si="16"/>
        <v>1.2902777777777779</v>
      </c>
      <c r="T60" s="262">
        <f t="shared" si="12"/>
        <v>1.6340277777777779</v>
      </c>
      <c r="U60" s="262">
        <f t="shared" si="13"/>
        <v>3.7648000000000001</v>
      </c>
      <c r="V60">
        <f t="shared" si="14"/>
        <v>1.6340277777777779</v>
      </c>
    </row>
    <row r="61" spans="2:22">
      <c r="B61">
        <f t="shared" si="17"/>
        <v>143</v>
      </c>
      <c r="C61">
        <v>20</v>
      </c>
      <c r="D61">
        <f t="shared" si="0"/>
        <v>7.15</v>
      </c>
      <c r="E61">
        <f t="shared" si="1"/>
        <v>2666.6666666666665</v>
      </c>
      <c r="F61">
        <f t="shared" si="6"/>
        <v>666.66666666666663</v>
      </c>
      <c r="G61">
        <f t="shared" si="2"/>
        <v>20</v>
      </c>
      <c r="H61" s="339">
        <f t="shared" si="7"/>
        <v>10</v>
      </c>
      <c r="I61" s="242"/>
      <c r="J61" s="242"/>
      <c r="K61" s="248"/>
      <c r="N61" s="262">
        <f t="shared" si="8"/>
        <v>0.63079836829836833</v>
      </c>
      <c r="O61" s="262">
        <f t="shared" si="9"/>
        <v>18.040833333333332</v>
      </c>
      <c r="P61" s="248">
        <f t="shared" si="15"/>
        <v>0.63079836829836833</v>
      </c>
      <c r="Q61" s="262">
        <f t="shared" si="10"/>
        <v>1.2825757575757575</v>
      </c>
      <c r="R61" s="262">
        <f t="shared" si="11"/>
        <v>14.108333333333331</v>
      </c>
      <c r="S61" s="248">
        <f t="shared" si="16"/>
        <v>1.2825757575757575</v>
      </c>
      <c r="T61" s="262">
        <f t="shared" si="12"/>
        <v>1.6287296037296037</v>
      </c>
      <c r="U61" s="262">
        <f t="shared" si="13"/>
        <v>3.7265333333333333</v>
      </c>
      <c r="V61">
        <f t="shared" si="14"/>
        <v>1.6287296037296037</v>
      </c>
    </row>
    <row r="62" spans="2:22">
      <c r="B62">
        <f t="shared" si="17"/>
        <v>142</v>
      </c>
      <c r="C62">
        <v>20</v>
      </c>
      <c r="D62">
        <f t="shared" si="0"/>
        <v>7.1</v>
      </c>
      <c r="E62">
        <f t="shared" si="1"/>
        <v>2666.6666666666665</v>
      </c>
      <c r="F62">
        <f t="shared" si="6"/>
        <v>666.66666666666663</v>
      </c>
      <c r="G62">
        <f t="shared" si="2"/>
        <v>20</v>
      </c>
      <c r="H62" s="339">
        <f t="shared" si="7"/>
        <v>10</v>
      </c>
      <c r="I62" s="242"/>
      <c r="J62" s="242"/>
      <c r="K62" s="248"/>
      <c r="N62" s="262">
        <f t="shared" si="8"/>
        <v>0.62687793427230043</v>
      </c>
      <c r="O62" s="262">
        <f t="shared" si="9"/>
        <v>17.803333333333335</v>
      </c>
      <c r="P62" s="248">
        <f t="shared" si="15"/>
        <v>0.62687793427230043</v>
      </c>
      <c r="Q62" s="262">
        <f t="shared" si="10"/>
        <v>1.2748826291079813</v>
      </c>
      <c r="R62" s="262">
        <f t="shared" si="11"/>
        <v>13.925641025641026</v>
      </c>
      <c r="S62" s="248">
        <f t="shared" si="16"/>
        <v>1.2748826291079813</v>
      </c>
      <c r="T62" s="262">
        <f t="shared" si="12"/>
        <v>1.6234741784037559</v>
      </c>
      <c r="U62" s="262">
        <f t="shared" si="13"/>
        <v>3.6885333333333334</v>
      </c>
      <c r="V62">
        <f t="shared" si="14"/>
        <v>1.6234741784037559</v>
      </c>
    </row>
    <row r="63" spans="2:22">
      <c r="B63">
        <f t="shared" si="17"/>
        <v>141</v>
      </c>
      <c r="C63">
        <v>20</v>
      </c>
      <c r="D63">
        <f t="shared" si="0"/>
        <v>7.05</v>
      </c>
      <c r="E63">
        <f t="shared" si="1"/>
        <v>2666.6666666666665</v>
      </c>
      <c r="F63">
        <f t="shared" si="6"/>
        <v>666.66666666666663</v>
      </c>
      <c r="G63">
        <f t="shared" si="2"/>
        <v>20</v>
      </c>
      <c r="H63" s="339">
        <f t="shared" si="7"/>
        <v>10</v>
      </c>
      <c r="I63" s="242"/>
      <c r="J63" s="242"/>
      <c r="K63" s="248"/>
      <c r="N63" s="262">
        <f t="shared" si="8"/>
        <v>0.62296099290780149</v>
      </c>
      <c r="O63" s="262">
        <f t="shared" si="9"/>
        <v>17.567499999999999</v>
      </c>
      <c r="P63" s="248">
        <f t="shared" si="15"/>
        <v>0.62296099290780149</v>
      </c>
      <c r="Q63" s="262">
        <f t="shared" si="10"/>
        <v>1.2671985815602838</v>
      </c>
      <c r="R63" s="262">
        <f t="shared" si="11"/>
        <v>13.744230769230768</v>
      </c>
      <c r="S63" s="248">
        <f t="shared" si="16"/>
        <v>1.2671985815602838</v>
      </c>
      <c r="T63" s="262">
        <f t="shared" si="12"/>
        <v>1.6182624113475179</v>
      </c>
      <c r="U63" s="262">
        <f t="shared" si="13"/>
        <v>3.6507999999999998</v>
      </c>
      <c r="V63">
        <f t="shared" si="14"/>
        <v>1.6182624113475179</v>
      </c>
    </row>
    <row r="64" spans="2:22">
      <c r="B64">
        <f t="shared" si="17"/>
        <v>140</v>
      </c>
      <c r="C64">
        <v>20</v>
      </c>
      <c r="D64">
        <f t="shared" si="0"/>
        <v>7</v>
      </c>
      <c r="E64">
        <f t="shared" si="1"/>
        <v>2666.6666666666665</v>
      </c>
      <c r="F64">
        <f t="shared" si="6"/>
        <v>666.66666666666663</v>
      </c>
      <c r="G64">
        <f t="shared" si="2"/>
        <v>20</v>
      </c>
      <c r="H64" s="339">
        <f t="shared" si="7"/>
        <v>10</v>
      </c>
      <c r="I64" s="242"/>
      <c r="J64" s="242"/>
      <c r="K64" s="248"/>
      <c r="N64" s="262">
        <f t="shared" si="8"/>
        <v>0.61904761904761907</v>
      </c>
      <c r="O64" s="262">
        <f t="shared" si="9"/>
        <v>17.333333333333332</v>
      </c>
      <c r="P64" s="248">
        <f t="shared" si="15"/>
        <v>0.61904761904761907</v>
      </c>
      <c r="Q64" s="262">
        <f t="shared" si="10"/>
        <v>1.2595238095238095</v>
      </c>
      <c r="R64" s="262">
        <f t="shared" si="11"/>
        <v>13.564102564102562</v>
      </c>
      <c r="S64" s="248">
        <f t="shared" si="16"/>
        <v>1.2595238095238095</v>
      </c>
      <c r="T64" s="262">
        <f t="shared" si="12"/>
        <v>1.6130952380952381</v>
      </c>
      <c r="U64" s="262">
        <f t="shared" si="13"/>
        <v>3.6133333333333333</v>
      </c>
      <c r="V64">
        <f t="shared" si="14"/>
        <v>1.6130952380952381</v>
      </c>
    </row>
    <row r="65" spans="2:22">
      <c r="B65">
        <f t="shared" si="17"/>
        <v>139</v>
      </c>
      <c r="C65">
        <v>20</v>
      </c>
      <c r="D65">
        <f t="shared" si="0"/>
        <v>6.95</v>
      </c>
      <c r="E65">
        <f t="shared" si="1"/>
        <v>2666.6666666666665</v>
      </c>
      <c r="F65">
        <f t="shared" si="6"/>
        <v>666.66666666666663</v>
      </c>
      <c r="G65">
        <f t="shared" si="2"/>
        <v>20</v>
      </c>
      <c r="H65" s="339">
        <f t="shared" si="7"/>
        <v>10</v>
      </c>
      <c r="I65" s="242"/>
      <c r="J65" s="242"/>
      <c r="K65" s="248"/>
      <c r="N65" s="262">
        <f t="shared" si="8"/>
        <v>0.61513788968824945</v>
      </c>
      <c r="O65" s="262">
        <f t="shared" si="9"/>
        <v>17.100833333333334</v>
      </c>
      <c r="P65" s="248">
        <f t="shared" si="15"/>
        <v>0.61513788968824945</v>
      </c>
      <c r="Q65" s="262">
        <f t="shared" si="10"/>
        <v>1.2518585131894486</v>
      </c>
      <c r="R65" s="262">
        <f t="shared" si="11"/>
        <v>13.38525641025641</v>
      </c>
      <c r="S65" s="248">
        <f t="shared" si="16"/>
        <v>1.2518585131894486</v>
      </c>
      <c r="T65" s="262">
        <f t="shared" si="12"/>
        <v>1.6079736211031177</v>
      </c>
      <c r="U65" s="262">
        <f t="shared" si="13"/>
        <v>3.5761333333333334</v>
      </c>
      <c r="V65">
        <f t="shared" si="14"/>
        <v>1.6079736211031177</v>
      </c>
    </row>
    <row r="66" spans="2:22">
      <c r="B66">
        <f t="shared" si="17"/>
        <v>138</v>
      </c>
      <c r="C66">
        <v>20</v>
      </c>
      <c r="D66">
        <f t="shared" si="0"/>
        <v>6.9</v>
      </c>
      <c r="E66">
        <f t="shared" si="1"/>
        <v>2666.6666666666665</v>
      </c>
      <c r="F66">
        <f t="shared" si="6"/>
        <v>666.66666666666663</v>
      </c>
      <c r="G66">
        <f t="shared" si="2"/>
        <v>20</v>
      </c>
      <c r="H66" s="339">
        <f t="shared" si="7"/>
        <v>10</v>
      </c>
      <c r="I66" s="242"/>
      <c r="J66" s="242"/>
      <c r="K66" s="248"/>
      <c r="N66" s="262">
        <f t="shared" si="8"/>
        <v>0.61123188405797102</v>
      </c>
      <c r="O66" s="262">
        <f t="shared" si="9"/>
        <v>16.869999999999997</v>
      </c>
      <c r="P66" s="248">
        <f t="shared" si="15"/>
        <v>0.61123188405797102</v>
      </c>
      <c r="Q66" s="262">
        <f t="shared" si="10"/>
        <v>1.2442028985507245</v>
      </c>
      <c r="R66" s="262">
        <f t="shared" si="11"/>
        <v>13.207692307692305</v>
      </c>
      <c r="S66" s="248">
        <f t="shared" si="16"/>
        <v>1.2442028985507245</v>
      </c>
      <c r="T66" s="262">
        <f t="shared" si="12"/>
        <v>1.6028985507246376</v>
      </c>
      <c r="U66" s="262">
        <f t="shared" si="13"/>
        <v>3.5392000000000001</v>
      </c>
      <c r="V66">
        <f t="shared" si="14"/>
        <v>1.6028985507246376</v>
      </c>
    </row>
    <row r="67" spans="2:22">
      <c r="B67">
        <f t="shared" si="17"/>
        <v>137</v>
      </c>
      <c r="C67">
        <v>20</v>
      </c>
      <c r="D67">
        <f t="shared" si="0"/>
        <v>6.85</v>
      </c>
      <c r="E67">
        <f t="shared" si="1"/>
        <v>2666.6666666666665</v>
      </c>
      <c r="F67">
        <f t="shared" si="6"/>
        <v>666.66666666666663</v>
      </c>
      <c r="G67">
        <f t="shared" si="2"/>
        <v>20</v>
      </c>
      <c r="H67" s="339">
        <f t="shared" si="7"/>
        <v>10</v>
      </c>
      <c r="I67" s="242"/>
      <c r="J67" s="242"/>
      <c r="K67" s="248"/>
      <c r="N67" s="262">
        <f t="shared" si="8"/>
        <v>0.60732968369829676</v>
      </c>
      <c r="O67" s="262">
        <f t="shared" si="9"/>
        <v>16.640833333333333</v>
      </c>
      <c r="P67" s="248">
        <f t="shared" si="15"/>
        <v>0.60732968369829676</v>
      </c>
      <c r="Q67" s="262">
        <f t="shared" si="10"/>
        <v>1.2365571776155717</v>
      </c>
      <c r="R67" s="262">
        <f t="shared" si="11"/>
        <v>13.031410256410256</v>
      </c>
      <c r="S67" s="248">
        <f t="shared" si="16"/>
        <v>1.2365571776155717</v>
      </c>
      <c r="T67" s="262">
        <f t="shared" si="12"/>
        <v>1.5978710462287102</v>
      </c>
      <c r="U67" s="262">
        <f t="shared" si="13"/>
        <v>3.5025333333333335</v>
      </c>
      <c r="V67">
        <f t="shared" si="14"/>
        <v>1.5978710462287102</v>
      </c>
    </row>
    <row r="68" spans="2:22">
      <c r="B68">
        <f t="shared" si="17"/>
        <v>136</v>
      </c>
      <c r="C68">
        <v>20</v>
      </c>
      <c r="D68">
        <f t="shared" ref="D68:D131" si="18">B68/C68</f>
        <v>6.8</v>
      </c>
      <c r="E68">
        <f t="shared" ref="E68:E131" si="19">C68^3/3</f>
        <v>2666.6666666666665</v>
      </c>
      <c r="F68">
        <f t="shared" si="6"/>
        <v>666.66666666666663</v>
      </c>
      <c r="G68">
        <f t="shared" ref="G68:G131" si="20">C68</f>
        <v>20</v>
      </c>
      <c r="H68" s="339">
        <f t="shared" si="7"/>
        <v>10</v>
      </c>
      <c r="I68" s="242"/>
      <c r="J68" s="242"/>
      <c r="K68" s="248"/>
      <c r="N68" s="262">
        <f t="shared" si="8"/>
        <v>0.60343137254901957</v>
      </c>
      <c r="O68" s="262">
        <f t="shared" si="9"/>
        <v>16.413333333333334</v>
      </c>
      <c r="P68" s="248">
        <f t="shared" ref="P68:P99" si="21">MIN(N68:O68)</f>
        <v>0.60343137254901957</v>
      </c>
      <c r="Q68" s="262">
        <f t="shared" si="10"/>
        <v>1.2289215686274511</v>
      </c>
      <c r="R68" s="262">
        <f t="shared" si="11"/>
        <v>12.856410256410255</v>
      </c>
      <c r="S68" s="248">
        <f t="shared" ref="S68:S99" si="22">MIN(Q68:R68)</f>
        <v>1.2289215686274511</v>
      </c>
      <c r="T68" s="262">
        <f t="shared" si="12"/>
        <v>1.592892156862745</v>
      </c>
      <c r="U68" s="262">
        <f t="shared" si="13"/>
        <v>3.4661333333333335</v>
      </c>
      <c r="V68">
        <f t="shared" si="14"/>
        <v>1.592892156862745</v>
      </c>
    </row>
    <row r="69" spans="2:22">
      <c r="B69">
        <f t="shared" ref="B69:B100" si="23">B68-1</f>
        <v>135</v>
      </c>
      <c r="C69">
        <v>20</v>
      </c>
      <c r="D69">
        <f t="shared" si="18"/>
        <v>6.75</v>
      </c>
      <c r="E69">
        <f t="shared" si="19"/>
        <v>2666.6666666666665</v>
      </c>
      <c r="F69">
        <f t="shared" ref="F69:F132" si="24">C69^3/12</f>
        <v>666.66666666666663</v>
      </c>
      <c r="G69">
        <f t="shared" si="20"/>
        <v>20</v>
      </c>
      <c r="H69" s="339">
        <f t="shared" ref="H69:H132" si="25">20/2</f>
        <v>10</v>
      </c>
      <c r="I69" s="242"/>
      <c r="J69" s="242"/>
      <c r="K69" s="248"/>
      <c r="N69" s="262">
        <f t="shared" ref="N69:N132" si="26">(B69/(12*G69))+(((3*E69)/(2*G69*B69*C69))*$J$4)</f>
        <v>0.59953703703703698</v>
      </c>
      <c r="O69" s="262">
        <f t="shared" ref="O69:O132" si="27">1+(((C69*B69^2)/(18*E69))*($J$4^(-1)))</f>
        <v>16.1875</v>
      </c>
      <c r="P69" s="248">
        <f t="shared" si="21"/>
        <v>0.59953703703703698</v>
      </c>
      <c r="Q69" s="262">
        <f t="shared" ref="Q69:Q132" si="28">(B69/(12*H69))+(((3*F69)/(2*H69*B69*C69))*$K$4)</f>
        <v>1.2212962962962963</v>
      </c>
      <c r="R69" s="262">
        <f t="shared" ref="R69:R132" si="29">1+(((C69*B69^2)/(18*F69))*($K$4^(-1)))</f>
        <v>12.682692307692307</v>
      </c>
      <c r="S69" s="248">
        <f t="shared" si="22"/>
        <v>1.2212962962962963</v>
      </c>
      <c r="T69" s="262">
        <f t="shared" ref="T69:T132" si="30">((B69/(12*H69))+(((3*F69)/(2*H69*B69*C69))*$L$4))</f>
        <v>1.5879629629629628</v>
      </c>
      <c r="U69" s="262">
        <f t="shared" ref="U69:U132" si="31">(1+(((C69*(B69^2))/(18*F69))*($L$4^(-1))))</f>
        <v>3.43</v>
      </c>
      <c r="V69">
        <f t="shared" ref="V69:V132" si="32">MIN(T69:U69)</f>
        <v>1.5879629629629628</v>
      </c>
    </row>
    <row r="70" spans="2:22">
      <c r="B70">
        <f t="shared" si="23"/>
        <v>134</v>
      </c>
      <c r="C70">
        <v>20</v>
      </c>
      <c r="D70">
        <f t="shared" si="18"/>
        <v>6.7</v>
      </c>
      <c r="E70">
        <f t="shared" si="19"/>
        <v>2666.6666666666665</v>
      </c>
      <c r="F70">
        <f t="shared" si="24"/>
        <v>666.66666666666663</v>
      </c>
      <c r="G70">
        <f t="shared" si="20"/>
        <v>20</v>
      </c>
      <c r="H70" s="339">
        <f t="shared" si="25"/>
        <v>10</v>
      </c>
      <c r="I70" s="242"/>
      <c r="J70" s="242"/>
      <c r="K70" s="248"/>
      <c r="N70" s="262">
        <f t="shared" si="26"/>
        <v>0.59564676616915424</v>
      </c>
      <c r="O70" s="262">
        <f t="shared" si="27"/>
        <v>15.963333333333333</v>
      </c>
      <c r="P70" s="248">
        <f t="shared" si="21"/>
        <v>0.59564676616915424</v>
      </c>
      <c r="Q70" s="262">
        <f t="shared" si="28"/>
        <v>1.213681592039801</v>
      </c>
      <c r="R70" s="262">
        <f t="shared" si="29"/>
        <v>12.510256410256408</v>
      </c>
      <c r="S70" s="248">
        <f t="shared" si="22"/>
        <v>1.213681592039801</v>
      </c>
      <c r="T70" s="262">
        <f t="shared" si="30"/>
        <v>1.5830845771144277</v>
      </c>
      <c r="U70" s="262">
        <f t="shared" si="31"/>
        <v>3.3941333333333334</v>
      </c>
      <c r="V70">
        <f t="shared" si="32"/>
        <v>1.5830845771144277</v>
      </c>
    </row>
    <row r="71" spans="2:22">
      <c r="B71">
        <f t="shared" si="23"/>
        <v>133</v>
      </c>
      <c r="C71">
        <v>20</v>
      </c>
      <c r="D71">
        <f t="shared" si="18"/>
        <v>6.65</v>
      </c>
      <c r="E71">
        <f t="shared" si="19"/>
        <v>2666.6666666666665</v>
      </c>
      <c r="F71">
        <f t="shared" si="24"/>
        <v>666.66666666666663</v>
      </c>
      <c r="G71">
        <f t="shared" si="20"/>
        <v>20</v>
      </c>
      <c r="H71" s="339">
        <f t="shared" si="25"/>
        <v>10</v>
      </c>
      <c r="I71" s="242"/>
      <c r="J71" s="242"/>
      <c r="K71" s="248"/>
      <c r="N71" s="262">
        <f t="shared" si="26"/>
        <v>0.59176065162907276</v>
      </c>
      <c r="O71" s="262">
        <f t="shared" si="27"/>
        <v>15.740833333333333</v>
      </c>
      <c r="P71" s="248">
        <f t="shared" si="21"/>
        <v>0.59176065162907276</v>
      </c>
      <c r="Q71" s="262">
        <f t="shared" si="28"/>
        <v>1.2060776942355891</v>
      </c>
      <c r="R71" s="262">
        <f t="shared" si="29"/>
        <v>12.339102564102562</v>
      </c>
      <c r="S71" s="248">
        <f t="shared" si="22"/>
        <v>1.2060776942355891</v>
      </c>
      <c r="T71" s="262">
        <f t="shared" si="30"/>
        <v>1.5782581453634086</v>
      </c>
      <c r="U71" s="262">
        <f t="shared" si="31"/>
        <v>3.3585333333333334</v>
      </c>
      <c r="V71">
        <f t="shared" si="32"/>
        <v>1.5782581453634086</v>
      </c>
    </row>
    <row r="72" spans="2:22">
      <c r="B72">
        <f t="shared" si="23"/>
        <v>132</v>
      </c>
      <c r="C72">
        <v>20</v>
      </c>
      <c r="D72">
        <f t="shared" si="18"/>
        <v>6.6</v>
      </c>
      <c r="E72">
        <f t="shared" si="19"/>
        <v>2666.6666666666665</v>
      </c>
      <c r="F72">
        <f t="shared" si="24"/>
        <v>666.66666666666663</v>
      </c>
      <c r="G72">
        <f t="shared" si="20"/>
        <v>20</v>
      </c>
      <c r="H72" s="339">
        <f t="shared" si="25"/>
        <v>10</v>
      </c>
      <c r="I72" s="242"/>
      <c r="J72" s="242"/>
      <c r="K72" s="248"/>
      <c r="N72" s="262">
        <f t="shared" si="26"/>
        <v>0.58787878787878789</v>
      </c>
      <c r="O72" s="262">
        <f t="shared" si="27"/>
        <v>15.52</v>
      </c>
      <c r="P72" s="248">
        <f t="shared" si="21"/>
        <v>0.58787878787878789</v>
      </c>
      <c r="Q72" s="262">
        <f t="shared" si="28"/>
        <v>1.1984848484848485</v>
      </c>
      <c r="R72" s="262">
        <f t="shared" si="29"/>
        <v>12.169230769230769</v>
      </c>
      <c r="S72" s="248">
        <f t="shared" si="22"/>
        <v>1.1984848484848485</v>
      </c>
      <c r="T72" s="262">
        <f t="shared" si="30"/>
        <v>1.5734848484848487</v>
      </c>
      <c r="U72" s="262">
        <f t="shared" si="31"/>
        <v>3.3231999999999999</v>
      </c>
      <c r="V72">
        <f t="shared" si="32"/>
        <v>1.5734848484848487</v>
      </c>
    </row>
    <row r="73" spans="2:22">
      <c r="B73">
        <f t="shared" si="23"/>
        <v>131</v>
      </c>
      <c r="C73">
        <v>20</v>
      </c>
      <c r="D73">
        <f t="shared" si="18"/>
        <v>6.55</v>
      </c>
      <c r="E73">
        <f t="shared" si="19"/>
        <v>2666.6666666666665</v>
      </c>
      <c r="F73">
        <f t="shared" si="24"/>
        <v>666.66666666666663</v>
      </c>
      <c r="G73">
        <f t="shared" si="20"/>
        <v>20</v>
      </c>
      <c r="H73" s="339">
        <f t="shared" si="25"/>
        <v>10</v>
      </c>
      <c r="I73" s="242"/>
      <c r="J73" s="242"/>
      <c r="K73" s="248"/>
      <c r="N73" s="262">
        <f t="shared" si="26"/>
        <v>0.58400127226463094</v>
      </c>
      <c r="O73" s="262">
        <f t="shared" si="27"/>
        <v>15.300833333333333</v>
      </c>
      <c r="P73" s="248">
        <f t="shared" si="21"/>
        <v>0.58400127226463094</v>
      </c>
      <c r="Q73" s="262">
        <f t="shared" si="28"/>
        <v>1.1909033078880407</v>
      </c>
      <c r="R73" s="262">
        <f t="shared" si="29"/>
        <v>12.000641025641025</v>
      </c>
      <c r="S73" s="248">
        <f t="shared" si="22"/>
        <v>1.1909033078880407</v>
      </c>
      <c r="T73" s="262">
        <f t="shared" si="30"/>
        <v>1.568765903307888</v>
      </c>
      <c r="U73" s="262">
        <f t="shared" si="31"/>
        <v>3.2881333333333336</v>
      </c>
      <c r="V73">
        <f t="shared" si="32"/>
        <v>1.568765903307888</v>
      </c>
    </row>
    <row r="74" spans="2:22">
      <c r="B74">
        <f t="shared" si="23"/>
        <v>130</v>
      </c>
      <c r="C74">
        <v>20</v>
      </c>
      <c r="D74">
        <f t="shared" si="18"/>
        <v>6.5</v>
      </c>
      <c r="E74">
        <f t="shared" si="19"/>
        <v>2666.6666666666665</v>
      </c>
      <c r="F74">
        <f t="shared" si="24"/>
        <v>666.66666666666663</v>
      </c>
      <c r="G74">
        <f t="shared" si="20"/>
        <v>20</v>
      </c>
      <c r="H74" s="339">
        <f t="shared" si="25"/>
        <v>10</v>
      </c>
      <c r="I74" s="242"/>
      <c r="J74" s="242"/>
      <c r="K74" s="248"/>
      <c r="N74" s="262">
        <f t="shared" si="26"/>
        <v>0.58012820512820507</v>
      </c>
      <c r="O74" s="262">
        <f t="shared" si="27"/>
        <v>15.083333333333334</v>
      </c>
      <c r="P74" s="248">
        <f t="shared" si="21"/>
        <v>0.58012820512820507</v>
      </c>
      <c r="Q74" s="262">
        <f t="shared" si="28"/>
        <v>1.1833333333333333</v>
      </c>
      <c r="R74" s="262">
        <f t="shared" si="29"/>
        <v>11.833333333333332</v>
      </c>
      <c r="S74" s="248">
        <f t="shared" si="22"/>
        <v>1.1833333333333333</v>
      </c>
      <c r="T74" s="262">
        <f t="shared" si="30"/>
        <v>1.5641025641025641</v>
      </c>
      <c r="U74" s="262">
        <f t="shared" si="31"/>
        <v>3.2533333333333334</v>
      </c>
      <c r="V74">
        <f t="shared" si="32"/>
        <v>1.5641025641025641</v>
      </c>
    </row>
    <row r="75" spans="2:22">
      <c r="B75">
        <f t="shared" si="23"/>
        <v>129</v>
      </c>
      <c r="C75">
        <v>20</v>
      </c>
      <c r="D75">
        <f t="shared" si="18"/>
        <v>6.45</v>
      </c>
      <c r="E75">
        <f t="shared" si="19"/>
        <v>2666.6666666666665</v>
      </c>
      <c r="F75">
        <f t="shared" si="24"/>
        <v>666.66666666666663</v>
      </c>
      <c r="G75">
        <f t="shared" si="20"/>
        <v>20</v>
      </c>
      <c r="H75" s="339">
        <f t="shared" si="25"/>
        <v>10</v>
      </c>
      <c r="I75" s="242"/>
      <c r="J75" s="242"/>
      <c r="K75" s="248"/>
      <c r="N75" s="262">
        <f t="shared" si="26"/>
        <v>0.57625968992248056</v>
      </c>
      <c r="O75" s="262">
        <f t="shared" si="27"/>
        <v>14.8675</v>
      </c>
      <c r="P75" s="248">
        <f t="shared" si="21"/>
        <v>0.57625968992248056</v>
      </c>
      <c r="Q75" s="262">
        <f t="shared" si="28"/>
        <v>1.1757751937984495</v>
      </c>
      <c r="R75" s="262">
        <f t="shared" si="29"/>
        <v>11.667307692307691</v>
      </c>
      <c r="S75" s="248">
        <f t="shared" si="22"/>
        <v>1.1757751937984495</v>
      </c>
      <c r="T75" s="262">
        <f t="shared" si="30"/>
        <v>1.5594961240310077</v>
      </c>
      <c r="U75" s="262">
        <f t="shared" si="31"/>
        <v>3.2187999999999999</v>
      </c>
      <c r="V75">
        <f t="shared" si="32"/>
        <v>1.5594961240310077</v>
      </c>
    </row>
    <row r="76" spans="2:22">
      <c r="B76">
        <f t="shared" si="23"/>
        <v>128</v>
      </c>
      <c r="C76">
        <v>20</v>
      </c>
      <c r="D76">
        <f t="shared" si="18"/>
        <v>6.4</v>
      </c>
      <c r="E76">
        <f t="shared" si="19"/>
        <v>2666.6666666666665</v>
      </c>
      <c r="F76">
        <f t="shared" si="24"/>
        <v>666.66666666666663</v>
      </c>
      <c r="G76">
        <f t="shared" si="20"/>
        <v>20</v>
      </c>
      <c r="H76" s="339">
        <f t="shared" si="25"/>
        <v>10</v>
      </c>
      <c r="I76" s="242"/>
      <c r="J76" s="242"/>
      <c r="K76" s="248"/>
      <c r="N76" s="262">
        <f t="shared" si="26"/>
        <v>0.57239583333333333</v>
      </c>
      <c r="O76" s="262">
        <f t="shared" si="27"/>
        <v>14.653333333333334</v>
      </c>
      <c r="P76" s="248">
        <f t="shared" si="21"/>
        <v>0.57239583333333333</v>
      </c>
      <c r="Q76" s="262">
        <f t="shared" si="28"/>
        <v>1.1682291666666667</v>
      </c>
      <c r="R76" s="262">
        <f t="shared" si="29"/>
        <v>11.502564102564103</v>
      </c>
      <c r="S76" s="248">
        <f t="shared" si="22"/>
        <v>1.1682291666666667</v>
      </c>
      <c r="T76" s="262">
        <f t="shared" si="30"/>
        <v>1.5549479166666667</v>
      </c>
      <c r="U76" s="262">
        <f t="shared" si="31"/>
        <v>3.1845333333333334</v>
      </c>
      <c r="V76">
        <f t="shared" si="32"/>
        <v>1.5549479166666667</v>
      </c>
    </row>
    <row r="77" spans="2:22">
      <c r="B77">
        <f t="shared" si="23"/>
        <v>127</v>
      </c>
      <c r="C77">
        <v>20</v>
      </c>
      <c r="D77">
        <f t="shared" si="18"/>
        <v>6.35</v>
      </c>
      <c r="E77">
        <f t="shared" si="19"/>
        <v>2666.6666666666665</v>
      </c>
      <c r="F77">
        <f t="shared" si="24"/>
        <v>666.66666666666663</v>
      </c>
      <c r="G77">
        <f t="shared" si="20"/>
        <v>20</v>
      </c>
      <c r="H77" s="339">
        <f t="shared" si="25"/>
        <v>10</v>
      </c>
      <c r="I77" s="242"/>
      <c r="J77" s="242"/>
      <c r="K77" s="248"/>
      <c r="N77" s="262">
        <f t="shared" si="26"/>
        <v>0.5685367454068242</v>
      </c>
      <c r="O77" s="262">
        <f t="shared" si="27"/>
        <v>14.440833333333334</v>
      </c>
      <c r="P77" s="248">
        <f t="shared" si="21"/>
        <v>0.5685367454068242</v>
      </c>
      <c r="Q77" s="262">
        <f t="shared" si="28"/>
        <v>1.1606955380577428</v>
      </c>
      <c r="R77" s="262">
        <f t="shared" si="29"/>
        <v>11.339102564102564</v>
      </c>
      <c r="S77" s="248">
        <f t="shared" si="22"/>
        <v>1.1606955380577428</v>
      </c>
      <c r="T77" s="262">
        <f t="shared" si="30"/>
        <v>1.5504593175853019</v>
      </c>
      <c r="U77" s="262">
        <f t="shared" si="31"/>
        <v>3.1505333333333336</v>
      </c>
      <c r="V77">
        <f t="shared" si="32"/>
        <v>1.5504593175853019</v>
      </c>
    </row>
    <row r="78" spans="2:22">
      <c r="B78">
        <f t="shared" si="23"/>
        <v>126</v>
      </c>
      <c r="C78">
        <v>20</v>
      </c>
      <c r="D78">
        <f t="shared" si="18"/>
        <v>6.3</v>
      </c>
      <c r="E78">
        <f t="shared" si="19"/>
        <v>2666.6666666666665</v>
      </c>
      <c r="F78">
        <f t="shared" si="24"/>
        <v>666.66666666666663</v>
      </c>
      <c r="G78">
        <f t="shared" si="20"/>
        <v>20</v>
      </c>
      <c r="H78" s="339">
        <f t="shared" si="25"/>
        <v>10</v>
      </c>
      <c r="I78" s="242"/>
      <c r="J78" s="242"/>
      <c r="K78" s="248"/>
      <c r="N78" s="262">
        <f t="shared" si="26"/>
        <v>0.56468253968253967</v>
      </c>
      <c r="O78" s="262">
        <f t="shared" si="27"/>
        <v>14.23</v>
      </c>
      <c r="P78" s="248">
        <f t="shared" si="21"/>
        <v>0.56468253968253967</v>
      </c>
      <c r="Q78" s="262">
        <f t="shared" si="28"/>
        <v>1.1531746031746033</v>
      </c>
      <c r="R78" s="262">
        <f t="shared" si="29"/>
        <v>11.176923076923076</v>
      </c>
      <c r="S78" s="248">
        <f t="shared" si="22"/>
        <v>1.1531746031746033</v>
      </c>
      <c r="T78" s="262">
        <f t="shared" si="30"/>
        <v>1.5460317460317461</v>
      </c>
      <c r="U78" s="262">
        <f t="shared" si="31"/>
        <v>3.1168</v>
      </c>
      <c r="V78">
        <f t="shared" si="32"/>
        <v>1.5460317460317461</v>
      </c>
    </row>
    <row r="79" spans="2:22">
      <c r="B79">
        <f t="shared" si="23"/>
        <v>125</v>
      </c>
      <c r="C79">
        <v>20</v>
      </c>
      <c r="D79">
        <f t="shared" si="18"/>
        <v>6.25</v>
      </c>
      <c r="E79">
        <f t="shared" si="19"/>
        <v>2666.6666666666665</v>
      </c>
      <c r="F79">
        <f t="shared" si="24"/>
        <v>666.66666666666663</v>
      </c>
      <c r="G79">
        <f t="shared" si="20"/>
        <v>20</v>
      </c>
      <c r="H79" s="339">
        <f t="shared" si="25"/>
        <v>10</v>
      </c>
      <c r="I79" s="242"/>
      <c r="J79" s="242"/>
      <c r="K79" s="248"/>
      <c r="N79" s="262">
        <f t="shared" si="26"/>
        <v>0.56083333333333341</v>
      </c>
      <c r="O79" s="262">
        <f t="shared" si="27"/>
        <v>14.020833333333334</v>
      </c>
      <c r="P79" s="248">
        <f t="shared" si="21"/>
        <v>0.56083333333333341</v>
      </c>
      <c r="Q79" s="262">
        <f t="shared" si="28"/>
        <v>1.1456666666666668</v>
      </c>
      <c r="R79" s="262">
        <f t="shared" si="29"/>
        <v>11.016025641025641</v>
      </c>
      <c r="S79" s="248">
        <f t="shared" si="22"/>
        <v>1.1456666666666668</v>
      </c>
      <c r="T79" s="262">
        <f t="shared" si="30"/>
        <v>1.5416666666666667</v>
      </c>
      <c r="U79" s="262">
        <f t="shared" si="31"/>
        <v>3.0833333333333335</v>
      </c>
      <c r="V79">
        <f t="shared" si="32"/>
        <v>1.5416666666666667</v>
      </c>
    </row>
    <row r="80" spans="2:22">
      <c r="B80">
        <f t="shared" si="23"/>
        <v>124</v>
      </c>
      <c r="C80">
        <v>20</v>
      </c>
      <c r="D80">
        <f t="shared" si="18"/>
        <v>6.2</v>
      </c>
      <c r="E80">
        <f t="shared" si="19"/>
        <v>2666.6666666666665</v>
      </c>
      <c r="F80">
        <f t="shared" si="24"/>
        <v>666.66666666666663</v>
      </c>
      <c r="G80">
        <f t="shared" si="20"/>
        <v>20</v>
      </c>
      <c r="H80" s="339">
        <f t="shared" si="25"/>
        <v>10</v>
      </c>
      <c r="I80" s="242"/>
      <c r="J80" s="242"/>
      <c r="K80" s="248"/>
      <c r="N80" s="262">
        <f t="shared" si="26"/>
        <v>0.55698924731182797</v>
      </c>
      <c r="O80" s="262">
        <f t="shared" si="27"/>
        <v>13.813333333333333</v>
      </c>
      <c r="P80" s="248">
        <f t="shared" si="21"/>
        <v>0.55698924731182797</v>
      </c>
      <c r="Q80" s="262">
        <f t="shared" si="28"/>
        <v>1.1381720430107527</v>
      </c>
      <c r="R80" s="262">
        <f t="shared" si="29"/>
        <v>10.856410256410255</v>
      </c>
      <c r="S80" s="248">
        <f t="shared" si="22"/>
        <v>1.1381720430107527</v>
      </c>
      <c r="T80" s="262">
        <f t="shared" si="30"/>
        <v>1.5373655913978497</v>
      </c>
      <c r="U80" s="262">
        <f t="shared" si="31"/>
        <v>3.0501333333333331</v>
      </c>
      <c r="V80">
        <f t="shared" si="32"/>
        <v>1.5373655913978497</v>
      </c>
    </row>
    <row r="81" spans="2:22">
      <c r="B81">
        <f t="shared" si="23"/>
        <v>123</v>
      </c>
      <c r="C81">
        <v>20</v>
      </c>
      <c r="D81">
        <f t="shared" si="18"/>
        <v>6.15</v>
      </c>
      <c r="E81">
        <f t="shared" si="19"/>
        <v>2666.6666666666665</v>
      </c>
      <c r="F81">
        <f t="shared" si="24"/>
        <v>666.66666666666663</v>
      </c>
      <c r="G81">
        <f t="shared" si="20"/>
        <v>20</v>
      </c>
      <c r="H81" s="339">
        <f t="shared" si="25"/>
        <v>10</v>
      </c>
      <c r="I81" s="242"/>
      <c r="J81" s="242"/>
      <c r="K81" s="248"/>
      <c r="N81" s="262">
        <f t="shared" si="26"/>
        <v>0.553150406504065</v>
      </c>
      <c r="O81" s="262">
        <f t="shared" si="27"/>
        <v>13.6075</v>
      </c>
      <c r="P81" s="248">
        <f t="shared" si="21"/>
        <v>0.553150406504065</v>
      </c>
      <c r="Q81" s="262">
        <f t="shared" si="28"/>
        <v>1.130691056910569</v>
      </c>
      <c r="R81" s="262">
        <f t="shared" si="29"/>
        <v>10.698076923076922</v>
      </c>
      <c r="S81" s="248">
        <f t="shared" si="22"/>
        <v>1.130691056910569</v>
      </c>
      <c r="T81" s="262">
        <f t="shared" si="30"/>
        <v>1.5331300813008129</v>
      </c>
      <c r="U81" s="262">
        <f t="shared" si="31"/>
        <v>3.0171999999999999</v>
      </c>
      <c r="V81">
        <f t="shared" si="32"/>
        <v>1.5331300813008129</v>
      </c>
    </row>
    <row r="82" spans="2:22">
      <c r="B82">
        <f t="shared" si="23"/>
        <v>122</v>
      </c>
      <c r="C82">
        <v>20</v>
      </c>
      <c r="D82">
        <f t="shared" si="18"/>
        <v>6.1</v>
      </c>
      <c r="E82">
        <f t="shared" si="19"/>
        <v>2666.6666666666665</v>
      </c>
      <c r="F82">
        <f t="shared" si="24"/>
        <v>666.66666666666663</v>
      </c>
      <c r="G82">
        <f t="shared" si="20"/>
        <v>20</v>
      </c>
      <c r="H82" s="339">
        <f t="shared" si="25"/>
        <v>10</v>
      </c>
      <c r="I82" s="242"/>
      <c r="J82" s="242"/>
      <c r="K82" s="248"/>
      <c r="N82" s="262">
        <f t="shared" si="26"/>
        <v>0.5493169398907104</v>
      </c>
      <c r="O82" s="262">
        <f t="shared" si="27"/>
        <v>13.403333333333334</v>
      </c>
      <c r="P82" s="248">
        <f t="shared" si="21"/>
        <v>0.5493169398907104</v>
      </c>
      <c r="Q82" s="262">
        <f t="shared" si="28"/>
        <v>1.1232240437158469</v>
      </c>
      <c r="R82" s="262">
        <f t="shared" si="29"/>
        <v>10.541025641025641</v>
      </c>
      <c r="S82" s="248">
        <f t="shared" si="22"/>
        <v>1.1232240437158469</v>
      </c>
      <c r="T82" s="262">
        <f t="shared" si="30"/>
        <v>1.5289617486338796</v>
      </c>
      <c r="U82" s="262">
        <f t="shared" si="31"/>
        <v>2.9845333333333333</v>
      </c>
      <c r="V82">
        <f t="shared" si="32"/>
        <v>1.5289617486338796</v>
      </c>
    </row>
    <row r="83" spans="2:22">
      <c r="B83">
        <f t="shared" si="23"/>
        <v>121</v>
      </c>
      <c r="C83">
        <v>20</v>
      </c>
      <c r="D83">
        <f t="shared" si="18"/>
        <v>6.05</v>
      </c>
      <c r="E83">
        <f t="shared" si="19"/>
        <v>2666.6666666666665</v>
      </c>
      <c r="F83">
        <f t="shared" si="24"/>
        <v>666.66666666666663</v>
      </c>
      <c r="G83">
        <f t="shared" si="20"/>
        <v>20</v>
      </c>
      <c r="H83" s="339">
        <f t="shared" si="25"/>
        <v>10</v>
      </c>
      <c r="I83" s="242"/>
      <c r="J83" s="242"/>
      <c r="K83" s="248"/>
      <c r="N83" s="262">
        <f t="shared" si="26"/>
        <v>0.5454889807162534</v>
      </c>
      <c r="O83" s="262">
        <f t="shared" si="27"/>
        <v>13.200833333333334</v>
      </c>
      <c r="P83" s="248">
        <f t="shared" si="21"/>
        <v>0.5454889807162534</v>
      </c>
      <c r="Q83" s="262">
        <f t="shared" si="28"/>
        <v>1.115771349862259</v>
      </c>
      <c r="R83" s="262">
        <f t="shared" si="29"/>
        <v>10.38525641025641</v>
      </c>
      <c r="S83" s="248">
        <f t="shared" si="22"/>
        <v>1.115771349862259</v>
      </c>
      <c r="T83" s="262">
        <f t="shared" si="30"/>
        <v>1.524862258953168</v>
      </c>
      <c r="U83" s="262">
        <f t="shared" si="31"/>
        <v>2.9521333333333333</v>
      </c>
      <c r="V83">
        <f t="shared" si="32"/>
        <v>1.524862258953168</v>
      </c>
    </row>
    <row r="84" spans="2:22">
      <c r="B84">
        <f t="shared" si="23"/>
        <v>120</v>
      </c>
      <c r="C84">
        <v>20</v>
      </c>
      <c r="D84">
        <f t="shared" si="18"/>
        <v>6</v>
      </c>
      <c r="E84">
        <f t="shared" si="19"/>
        <v>2666.6666666666665</v>
      </c>
      <c r="F84">
        <f t="shared" si="24"/>
        <v>666.66666666666663</v>
      </c>
      <c r="G84">
        <f t="shared" si="20"/>
        <v>20</v>
      </c>
      <c r="H84" s="339">
        <f t="shared" si="25"/>
        <v>10</v>
      </c>
      <c r="I84" s="242"/>
      <c r="J84" s="242"/>
      <c r="K84" s="248"/>
      <c r="N84" s="262">
        <f t="shared" si="26"/>
        <v>0.54166666666666663</v>
      </c>
      <c r="O84" s="262">
        <f t="shared" si="27"/>
        <v>13</v>
      </c>
      <c r="P84" s="248">
        <f t="shared" si="21"/>
        <v>0.54166666666666663</v>
      </c>
      <c r="Q84" s="262">
        <f t="shared" si="28"/>
        <v>1.1083333333333334</v>
      </c>
      <c r="R84" s="262">
        <f t="shared" si="29"/>
        <v>10.23076923076923</v>
      </c>
      <c r="S84" s="248">
        <f t="shared" si="22"/>
        <v>1.1083333333333334</v>
      </c>
      <c r="T84" s="262">
        <f t="shared" si="30"/>
        <v>1.5208333333333333</v>
      </c>
      <c r="U84" s="262">
        <f t="shared" si="31"/>
        <v>2.92</v>
      </c>
      <c r="V84">
        <f t="shared" si="32"/>
        <v>1.5208333333333333</v>
      </c>
    </row>
    <row r="85" spans="2:22">
      <c r="B85">
        <f t="shared" si="23"/>
        <v>119</v>
      </c>
      <c r="C85">
        <v>20</v>
      </c>
      <c r="D85">
        <f t="shared" si="18"/>
        <v>5.95</v>
      </c>
      <c r="E85">
        <f t="shared" si="19"/>
        <v>2666.6666666666665</v>
      </c>
      <c r="F85">
        <f t="shared" si="24"/>
        <v>666.66666666666663</v>
      </c>
      <c r="G85">
        <f t="shared" si="20"/>
        <v>20</v>
      </c>
      <c r="H85" s="339">
        <f t="shared" si="25"/>
        <v>10</v>
      </c>
      <c r="I85" s="242"/>
      <c r="J85" s="242"/>
      <c r="K85" s="248"/>
      <c r="N85" s="262">
        <f t="shared" si="26"/>
        <v>0.53785014005602239</v>
      </c>
      <c r="O85" s="262">
        <f t="shared" si="27"/>
        <v>12.800833333333333</v>
      </c>
      <c r="P85" s="248">
        <f t="shared" si="21"/>
        <v>0.53785014005602239</v>
      </c>
      <c r="Q85" s="262">
        <f t="shared" si="28"/>
        <v>1.1009103641456583</v>
      </c>
      <c r="R85" s="262">
        <f t="shared" si="29"/>
        <v>10.077564102564102</v>
      </c>
      <c r="S85" s="248">
        <f t="shared" si="22"/>
        <v>1.1009103641456583</v>
      </c>
      <c r="T85" s="262">
        <f t="shared" si="30"/>
        <v>1.5168767507002801</v>
      </c>
      <c r="U85" s="262">
        <f t="shared" si="31"/>
        <v>2.8881333333333332</v>
      </c>
      <c r="V85">
        <f t="shared" si="32"/>
        <v>1.5168767507002801</v>
      </c>
    </row>
    <row r="86" spans="2:22">
      <c r="B86">
        <f t="shared" si="23"/>
        <v>118</v>
      </c>
      <c r="C86">
        <v>20</v>
      </c>
      <c r="D86">
        <f t="shared" si="18"/>
        <v>5.9</v>
      </c>
      <c r="E86">
        <f t="shared" si="19"/>
        <v>2666.6666666666665</v>
      </c>
      <c r="F86">
        <f t="shared" si="24"/>
        <v>666.66666666666663</v>
      </c>
      <c r="G86">
        <f t="shared" si="20"/>
        <v>20</v>
      </c>
      <c r="H86" s="339">
        <f t="shared" si="25"/>
        <v>10</v>
      </c>
      <c r="I86" s="242"/>
      <c r="J86" s="242"/>
      <c r="K86" s="248"/>
      <c r="N86" s="262">
        <f t="shared" si="26"/>
        <v>0.53403954802259879</v>
      </c>
      <c r="O86" s="262">
        <f t="shared" si="27"/>
        <v>12.603333333333333</v>
      </c>
      <c r="P86" s="248">
        <f t="shared" si="21"/>
        <v>0.53403954802259879</v>
      </c>
      <c r="Q86" s="262">
        <f t="shared" si="28"/>
        <v>1.093502824858757</v>
      </c>
      <c r="R86" s="262">
        <f t="shared" si="29"/>
        <v>9.9256410256410241</v>
      </c>
      <c r="S86" s="248">
        <f t="shared" si="22"/>
        <v>1.093502824858757</v>
      </c>
      <c r="T86" s="262">
        <f t="shared" si="30"/>
        <v>1.5129943502824856</v>
      </c>
      <c r="U86" s="262">
        <f t="shared" si="31"/>
        <v>2.8565333333333331</v>
      </c>
      <c r="V86">
        <f t="shared" si="32"/>
        <v>1.5129943502824856</v>
      </c>
    </row>
    <row r="87" spans="2:22">
      <c r="B87">
        <f t="shared" si="23"/>
        <v>117</v>
      </c>
      <c r="C87">
        <v>20</v>
      </c>
      <c r="D87">
        <f t="shared" si="18"/>
        <v>5.85</v>
      </c>
      <c r="E87">
        <f t="shared" si="19"/>
        <v>2666.6666666666665</v>
      </c>
      <c r="F87">
        <f t="shared" si="24"/>
        <v>666.66666666666663</v>
      </c>
      <c r="G87">
        <f t="shared" si="20"/>
        <v>20</v>
      </c>
      <c r="H87" s="339">
        <f t="shared" si="25"/>
        <v>10</v>
      </c>
      <c r="I87" s="242"/>
      <c r="J87" s="242"/>
      <c r="K87" s="248"/>
      <c r="N87" s="262">
        <f t="shared" si="26"/>
        <v>0.53023504273504274</v>
      </c>
      <c r="O87" s="262">
        <f t="shared" si="27"/>
        <v>12.407500000000001</v>
      </c>
      <c r="P87" s="248">
        <f t="shared" si="21"/>
        <v>0.53023504273504274</v>
      </c>
      <c r="Q87" s="262">
        <f t="shared" si="28"/>
        <v>1.086111111111111</v>
      </c>
      <c r="R87" s="262">
        <f t="shared" si="29"/>
        <v>9.7750000000000004</v>
      </c>
      <c r="S87" s="248">
        <f t="shared" si="22"/>
        <v>1.086111111111111</v>
      </c>
      <c r="T87" s="262">
        <f t="shared" si="30"/>
        <v>1.5091880341880342</v>
      </c>
      <c r="U87" s="262">
        <f t="shared" si="31"/>
        <v>2.8252000000000002</v>
      </c>
      <c r="V87">
        <f t="shared" si="32"/>
        <v>1.5091880341880342</v>
      </c>
    </row>
    <row r="88" spans="2:22">
      <c r="B88">
        <f t="shared" si="23"/>
        <v>116</v>
      </c>
      <c r="C88">
        <v>20</v>
      </c>
      <c r="D88">
        <f t="shared" si="18"/>
        <v>5.8</v>
      </c>
      <c r="E88">
        <f t="shared" si="19"/>
        <v>2666.6666666666665</v>
      </c>
      <c r="F88">
        <f t="shared" si="24"/>
        <v>666.66666666666663</v>
      </c>
      <c r="G88">
        <f t="shared" si="20"/>
        <v>20</v>
      </c>
      <c r="H88" s="339">
        <f t="shared" si="25"/>
        <v>10</v>
      </c>
      <c r="I88" s="242"/>
      <c r="J88" s="242"/>
      <c r="K88" s="248"/>
      <c r="N88" s="262">
        <f t="shared" si="26"/>
        <v>0.52643678160919538</v>
      </c>
      <c r="O88" s="262">
        <f t="shared" si="27"/>
        <v>12.213333333333333</v>
      </c>
      <c r="P88" s="248">
        <f t="shared" si="21"/>
        <v>0.52643678160919538</v>
      </c>
      <c r="Q88" s="262">
        <f t="shared" si="28"/>
        <v>1.0787356321839081</v>
      </c>
      <c r="R88" s="262">
        <f t="shared" si="29"/>
        <v>9.6256410256410252</v>
      </c>
      <c r="S88" s="248">
        <f t="shared" si="22"/>
        <v>1.0787356321839081</v>
      </c>
      <c r="T88" s="262">
        <f t="shared" si="30"/>
        <v>1.5054597701149426</v>
      </c>
      <c r="U88" s="262">
        <f t="shared" si="31"/>
        <v>2.7941333333333334</v>
      </c>
      <c r="V88">
        <f t="shared" si="32"/>
        <v>1.5054597701149426</v>
      </c>
    </row>
    <row r="89" spans="2:22">
      <c r="B89">
        <f t="shared" si="23"/>
        <v>115</v>
      </c>
      <c r="C89">
        <v>20</v>
      </c>
      <c r="D89">
        <f t="shared" si="18"/>
        <v>5.75</v>
      </c>
      <c r="E89">
        <f t="shared" si="19"/>
        <v>2666.6666666666665</v>
      </c>
      <c r="F89">
        <f t="shared" si="24"/>
        <v>666.66666666666663</v>
      </c>
      <c r="G89">
        <f t="shared" si="20"/>
        <v>20</v>
      </c>
      <c r="H89" s="339">
        <f t="shared" si="25"/>
        <v>10</v>
      </c>
      <c r="I89" s="242"/>
      <c r="J89" s="242"/>
      <c r="K89" s="248"/>
      <c r="N89" s="262">
        <f t="shared" si="26"/>
        <v>0.52264492753623193</v>
      </c>
      <c r="O89" s="262">
        <f t="shared" si="27"/>
        <v>12.020833333333334</v>
      </c>
      <c r="P89" s="248">
        <f t="shared" si="21"/>
        <v>0.52264492753623193</v>
      </c>
      <c r="Q89" s="262">
        <f t="shared" si="28"/>
        <v>1.0713768115942028</v>
      </c>
      <c r="R89" s="262">
        <f t="shared" si="29"/>
        <v>9.4775641025641022</v>
      </c>
      <c r="S89" s="248">
        <f t="shared" si="22"/>
        <v>1.0713768115942028</v>
      </c>
      <c r="T89" s="262">
        <f t="shared" si="30"/>
        <v>1.5018115942028984</v>
      </c>
      <c r="U89" s="262">
        <f t="shared" si="31"/>
        <v>2.7633333333333336</v>
      </c>
      <c r="V89">
        <f t="shared" si="32"/>
        <v>1.5018115942028984</v>
      </c>
    </row>
    <row r="90" spans="2:22">
      <c r="B90">
        <f t="shared" si="23"/>
        <v>114</v>
      </c>
      <c r="C90">
        <v>20</v>
      </c>
      <c r="D90">
        <f t="shared" si="18"/>
        <v>5.7</v>
      </c>
      <c r="E90">
        <f t="shared" si="19"/>
        <v>2666.6666666666665</v>
      </c>
      <c r="F90">
        <f t="shared" si="24"/>
        <v>666.66666666666663</v>
      </c>
      <c r="G90">
        <f t="shared" si="20"/>
        <v>20</v>
      </c>
      <c r="H90" s="339">
        <f t="shared" si="25"/>
        <v>10</v>
      </c>
      <c r="I90" s="242"/>
      <c r="J90" s="242"/>
      <c r="K90" s="248"/>
      <c r="N90" s="262">
        <f t="shared" si="26"/>
        <v>0.51885964912280702</v>
      </c>
      <c r="O90" s="262">
        <f t="shared" si="27"/>
        <v>11.83</v>
      </c>
      <c r="P90" s="248">
        <f t="shared" si="21"/>
        <v>0.51885964912280702</v>
      </c>
      <c r="Q90" s="262">
        <f t="shared" si="28"/>
        <v>1.0640350877192981</v>
      </c>
      <c r="R90" s="262">
        <f t="shared" si="29"/>
        <v>9.3307692307692296</v>
      </c>
      <c r="S90" s="248">
        <f t="shared" si="22"/>
        <v>1.0640350877192981</v>
      </c>
      <c r="T90" s="262">
        <f t="shared" si="30"/>
        <v>1.4982456140350875</v>
      </c>
      <c r="U90" s="262">
        <f t="shared" si="31"/>
        <v>2.7328000000000001</v>
      </c>
      <c r="V90">
        <f t="shared" si="32"/>
        <v>1.4982456140350875</v>
      </c>
    </row>
    <row r="91" spans="2:22">
      <c r="B91">
        <f t="shared" si="23"/>
        <v>113</v>
      </c>
      <c r="C91">
        <v>20</v>
      </c>
      <c r="D91">
        <f t="shared" si="18"/>
        <v>5.65</v>
      </c>
      <c r="E91">
        <f t="shared" si="19"/>
        <v>2666.6666666666665</v>
      </c>
      <c r="F91">
        <f t="shared" si="24"/>
        <v>666.66666666666663</v>
      </c>
      <c r="G91">
        <f t="shared" si="20"/>
        <v>20</v>
      </c>
      <c r="H91" s="339">
        <f t="shared" si="25"/>
        <v>10</v>
      </c>
      <c r="I91" s="242"/>
      <c r="J91" s="242"/>
      <c r="K91" s="248"/>
      <c r="N91" s="262">
        <f t="shared" si="26"/>
        <v>0.51508112094395275</v>
      </c>
      <c r="O91" s="262">
        <f t="shared" si="27"/>
        <v>11.640833333333333</v>
      </c>
      <c r="P91" s="248">
        <f t="shared" si="21"/>
        <v>0.51508112094395275</v>
      </c>
      <c r="Q91" s="262">
        <f t="shared" si="28"/>
        <v>1.0567109144542772</v>
      </c>
      <c r="R91" s="262">
        <f t="shared" si="29"/>
        <v>9.1852564102564092</v>
      </c>
      <c r="S91" s="248">
        <f t="shared" si="22"/>
        <v>1.0567109144542772</v>
      </c>
      <c r="T91" s="262">
        <f t="shared" si="30"/>
        <v>1.4947640117994099</v>
      </c>
      <c r="U91" s="262">
        <f t="shared" si="31"/>
        <v>2.7025333333333332</v>
      </c>
      <c r="V91">
        <f t="shared" si="32"/>
        <v>1.4947640117994099</v>
      </c>
    </row>
    <row r="92" spans="2:22">
      <c r="B92">
        <f t="shared" si="23"/>
        <v>112</v>
      </c>
      <c r="C92">
        <v>20</v>
      </c>
      <c r="D92">
        <f t="shared" si="18"/>
        <v>5.6</v>
      </c>
      <c r="E92">
        <f t="shared" si="19"/>
        <v>2666.6666666666665</v>
      </c>
      <c r="F92">
        <f t="shared" si="24"/>
        <v>666.66666666666663</v>
      </c>
      <c r="G92">
        <f t="shared" si="20"/>
        <v>20</v>
      </c>
      <c r="H92" s="339">
        <f t="shared" si="25"/>
        <v>10</v>
      </c>
      <c r="I92" s="242"/>
      <c r="J92" s="242"/>
      <c r="K92" s="248"/>
      <c r="N92" s="262">
        <f t="shared" si="26"/>
        <v>0.51130952380952377</v>
      </c>
      <c r="O92" s="262">
        <f t="shared" si="27"/>
        <v>11.453333333333333</v>
      </c>
      <c r="P92" s="248">
        <f t="shared" si="21"/>
        <v>0.51130952380952377</v>
      </c>
      <c r="Q92" s="262">
        <f t="shared" si="28"/>
        <v>1.049404761904762</v>
      </c>
      <c r="R92" s="262">
        <f t="shared" si="29"/>
        <v>9.0410256410256409</v>
      </c>
      <c r="S92" s="248">
        <f t="shared" si="22"/>
        <v>1.049404761904762</v>
      </c>
      <c r="T92" s="262">
        <f t="shared" si="30"/>
        <v>1.4913690476190475</v>
      </c>
      <c r="U92" s="262">
        <f t="shared" si="31"/>
        <v>2.6725333333333334</v>
      </c>
      <c r="V92">
        <f t="shared" si="32"/>
        <v>1.4913690476190475</v>
      </c>
    </row>
    <row r="93" spans="2:22">
      <c r="B93">
        <f t="shared" si="23"/>
        <v>111</v>
      </c>
      <c r="C93">
        <v>20</v>
      </c>
      <c r="D93">
        <f t="shared" si="18"/>
        <v>5.55</v>
      </c>
      <c r="E93">
        <f t="shared" si="19"/>
        <v>2666.6666666666665</v>
      </c>
      <c r="F93">
        <f t="shared" si="24"/>
        <v>666.66666666666663</v>
      </c>
      <c r="G93">
        <f t="shared" si="20"/>
        <v>20</v>
      </c>
      <c r="H93" s="339">
        <f t="shared" si="25"/>
        <v>10</v>
      </c>
      <c r="I93" s="242"/>
      <c r="J93" s="242"/>
      <c r="K93" s="248"/>
      <c r="N93" s="262">
        <f t="shared" si="26"/>
        <v>0.50754504504504505</v>
      </c>
      <c r="O93" s="262">
        <f t="shared" si="27"/>
        <v>11.2675</v>
      </c>
      <c r="P93" s="248">
        <f t="shared" si="21"/>
        <v>0.50754504504504505</v>
      </c>
      <c r="Q93" s="262">
        <f t="shared" si="28"/>
        <v>1.0421171171171171</v>
      </c>
      <c r="R93" s="262">
        <f t="shared" si="29"/>
        <v>8.8980769230769212</v>
      </c>
      <c r="S93" s="248">
        <f t="shared" si="22"/>
        <v>1.0421171171171171</v>
      </c>
      <c r="T93" s="262">
        <f t="shared" si="30"/>
        <v>1.4880630630630631</v>
      </c>
      <c r="U93" s="262">
        <f t="shared" si="31"/>
        <v>2.6428000000000003</v>
      </c>
      <c r="V93">
        <f t="shared" si="32"/>
        <v>1.4880630630630631</v>
      </c>
    </row>
    <row r="94" spans="2:22">
      <c r="B94">
        <f t="shared" si="23"/>
        <v>110</v>
      </c>
      <c r="C94">
        <v>20</v>
      </c>
      <c r="D94">
        <f t="shared" si="18"/>
        <v>5.5</v>
      </c>
      <c r="E94">
        <f t="shared" si="19"/>
        <v>2666.6666666666665</v>
      </c>
      <c r="F94">
        <f t="shared" si="24"/>
        <v>666.66666666666663</v>
      </c>
      <c r="G94">
        <f t="shared" si="20"/>
        <v>20</v>
      </c>
      <c r="H94" s="339">
        <f t="shared" si="25"/>
        <v>10</v>
      </c>
      <c r="I94" s="242"/>
      <c r="J94" s="242"/>
      <c r="K94" s="248"/>
      <c r="N94" s="262">
        <f t="shared" si="26"/>
        <v>0.50378787878787878</v>
      </c>
      <c r="O94" s="262">
        <f t="shared" si="27"/>
        <v>11.083333333333334</v>
      </c>
      <c r="P94" s="248">
        <f t="shared" si="21"/>
        <v>0.50378787878787878</v>
      </c>
      <c r="Q94" s="262">
        <f t="shared" si="28"/>
        <v>1.0348484848484849</v>
      </c>
      <c r="R94" s="262">
        <f t="shared" si="29"/>
        <v>8.7564102564102555</v>
      </c>
      <c r="S94" s="248">
        <f t="shared" si="22"/>
        <v>1.0348484848484849</v>
      </c>
      <c r="T94" s="262">
        <f t="shared" si="30"/>
        <v>1.4848484848484849</v>
      </c>
      <c r="U94" s="262">
        <f t="shared" si="31"/>
        <v>2.6133333333333333</v>
      </c>
      <c r="V94">
        <f t="shared" si="32"/>
        <v>1.4848484848484849</v>
      </c>
    </row>
    <row r="95" spans="2:22">
      <c r="B95">
        <f t="shared" si="23"/>
        <v>109</v>
      </c>
      <c r="C95">
        <v>20</v>
      </c>
      <c r="D95">
        <f t="shared" si="18"/>
        <v>5.45</v>
      </c>
      <c r="E95">
        <f t="shared" si="19"/>
        <v>2666.6666666666665</v>
      </c>
      <c r="F95">
        <f t="shared" si="24"/>
        <v>666.66666666666663</v>
      </c>
      <c r="G95">
        <f t="shared" si="20"/>
        <v>20</v>
      </c>
      <c r="H95" s="339">
        <f t="shared" si="25"/>
        <v>10</v>
      </c>
      <c r="I95" s="242"/>
      <c r="J95" s="242"/>
      <c r="K95" s="248"/>
      <c r="N95" s="262">
        <f t="shared" si="26"/>
        <v>0.50003822629969419</v>
      </c>
      <c r="O95" s="262">
        <f t="shared" si="27"/>
        <v>10.900833333333333</v>
      </c>
      <c r="P95" s="248">
        <f t="shared" si="21"/>
        <v>0.50003822629969419</v>
      </c>
      <c r="Q95" s="262">
        <f t="shared" si="28"/>
        <v>1.0275993883792049</v>
      </c>
      <c r="R95" s="262">
        <f t="shared" si="29"/>
        <v>8.6160256410256402</v>
      </c>
      <c r="S95" s="248">
        <f t="shared" si="22"/>
        <v>1.0275993883792049</v>
      </c>
      <c r="T95" s="262">
        <f t="shared" si="30"/>
        <v>1.4817278287461773</v>
      </c>
      <c r="U95" s="262">
        <f t="shared" si="31"/>
        <v>2.5841333333333334</v>
      </c>
      <c r="V95">
        <f t="shared" si="32"/>
        <v>1.4817278287461773</v>
      </c>
    </row>
    <row r="96" spans="2:22">
      <c r="B96">
        <f t="shared" si="23"/>
        <v>108</v>
      </c>
      <c r="C96">
        <v>20</v>
      </c>
      <c r="D96">
        <f t="shared" si="18"/>
        <v>5.4</v>
      </c>
      <c r="E96">
        <f t="shared" si="19"/>
        <v>2666.6666666666665</v>
      </c>
      <c r="F96">
        <f t="shared" si="24"/>
        <v>666.66666666666663</v>
      </c>
      <c r="G96">
        <f t="shared" si="20"/>
        <v>20</v>
      </c>
      <c r="H96" s="339">
        <f t="shared" si="25"/>
        <v>10</v>
      </c>
      <c r="I96" s="242"/>
      <c r="J96" s="242"/>
      <c r="K96" s="248"/>
      <c r="N96" s="262">
        <f t="shared" si="26"/>
        <v>0.49629629629629629</v>
      </c>
      <c r="O96" s="262">
        <f t="shared" si="27"/>
        <v>10.72</v>
      </c>
      <c r="P96" s="248">
        <f t="shared" si="21"/>
        <v>0.49629629629629629</v>
      </c>
      <c r="Q96" s="262">
        <f t="shared" si="28"/>
        <v>1.0203703703703704</v>
      </c>
      <c r="R96" s="262">
        <f t="shared" si="29"/>
        <v>8.476923076923077</v>
      </c>
      <c r="S96" s="248">
        <f t="shared" si="22"/>
        <v>1.0203703703703704</v>
      </c>
      <c r="T96" s="262">
        <f t="shared" si="30"/>
        <v>1.4787037037037036</v>
      </c>
      <c r="U96" s="262">
        <f t="shared" si="31"/>
        <v>2.5552000000000001</v>
      </c>
      <c r="V96">
        <f t="shared" si="32"/>
        <v>1.4787037037037036</v>
      </c>
    </row>
    <row r="97" spans="2:22">
      <c r="B97">
        <f t="shared" si="23"/>
        <v>107</v>
      </c>
      <c r="C97">
        <v>20</v>
      </c>
      <c r="D97">
        <f t="shared" si="18"/>
        <v>5.35</v>
      </c>
      <c r="E97">
        <f t="shared" si="19"/>
        <v>2666.6666666666665</v>
      </c>
      <c r="F97">
        <f t="shared" si="24"/>
        <v>666.66666666666663</v>
      </c>
      <c r="G97">
        <f t="shared" si="20"/>
        <v>20</v>
      </c>
      <c r="H97" s="339">
        <f t="shared" si="25"/>
        <v>10</v>
      </c>
      <c r="I97" s="242"/>
      <c r="J97" s="242"/>
      <c r="K97" s="248"/>
      <c r="N97" s="262">
        <f t="shared" si="26"/>
        <v>0.49256230529595019</v>
      </c>
      <c r="O97" s="262">
        <f t="shared" si="27"/>
        <v>10.540833333333333</v>
      </c>
      <c r="P97" s="248">
        <f t="shared" si="21"/>
        <v>0.49256230529595019</v>
      </c>
      <c r="Q97" s="262">
        <f t="shared" si="28"/>
        <v>1.0131619937694705</v>
      </c>
      <c r="R97" s="262">
        <f t="shared" si="29"/>
        <v>8.3391025641025642</v>
      </c>
      <c r="S97" s="248">
        <f t="shared" si="22"/>
        <v>1.0131619937694705</v>
      </c>
      <c r="T97" s="262">
        <f t="shared" si="30"/>
        <v>1.475778816199377</v>
      </c>
      <c r="U97" s="262">
        <f t="shared" si="31"/>
        <v>2.5265333333333331</v>
      </c>
      <c r="V97">
        <f t="shared" si="32"/>
        <v>1.475778816199377</v>
      </c>
    </row>
    <row r="98" spans="2:22">
      <c r="B98">
        <f t="shared" si="23"/>
        <v>106</v>
      </c>
      <c r="C98">
        <v>20</v>
      </c>
      <c r="D98">
        <f t="shared" si="18"/>
        <v>5.3</v>
      </c>
      <c r="E98">
        <f t="shared" si="19"/>
        <v>2666.6666666666665</v>
      </c>
      <c r="F98">
        <f t="shared" si="24"/>
        <v>666.66666666666663</v>
      </c>
      <c r="G98">
        <f t="shared" si="20"/>
        <v>20</v>
      </c>
      <c r="H98" s="339">
        <f t="shared" si="25"/>
        <v>10</v>
      </c>
      <c r="I98" s="242"/>
      <c r="J98" s="242"/>
      <c r="K98" s="248"/>
      <c r="N98" s="262">
        <f t="shared" si="26"/>
        <v>0.48883647798742136</v>
      </c>
      <c r="O98" s="262">
        <f t="shared" si="27"/>
        <v>10.363333333333333</v>
      </c>
      <c r="P98" s="248">
        <f t="shared" si="21"/>
        <v>0.48883647798742136</v>
      </c>
      <c r="Q98" s="262">
        <f t="shared" si="28"/>
        <v>1.0059748427672957</v>
      </c>
      <c r="R98" s="262">
        <f t="shared" si="29"/>
        <v>8.2025641025641018</v>
      </c>
      <c r="S98" s="248">
        <f t="shared" si="22"/>
        <v>1.0059748427672957</v>
      </c>
      <c r="T98" s="262">
        <f t="shared" si="30"/>
        <v>1.4729559748427672</v>
      </c>
      <c r="U98" s="262">
        <f t="shared" si="31"/>
        <v>2.4981333333333335</v>
      </c>
      <c r="V98">
        <f t="shared" si="32"/>
        <v>1.4729559748427672</v>
      </c>
    </row>
    <row r="99" spans="2:22">
      <c r="B99">
        <f t="shared" si="23"/>
        <v>105</v>
      </c>
      <c r="C99">
        <v>20</v>
      </c>
      <c r="D99">
        <f t="shared" si="18"/>
        <v>5.25</v>
      </c>
      <c r="E99">
        <f t="shared" si="19"/>
        <v>2666.6666666666665</v>
      </c>
      <c r="F99">
        <f t="shared" si="24"/>
        <v>666.66666666666663</v>
      </c>
      <c r="G99">
        <f t="shared" si="20"/>
        <v>20</v>
      </c>
      <c r="H99" s="339">
        <f t="shared" si="25"/>
        <v>10</v>
      </c>
      <c r="I99" s="242"/>
      <c r="J99" s="242"/>
      <c r="K99" s="248"/>
      <c r="N99" s="262">
        <f t="shared" si="26"/>
        <v>0.48511904761904762</v>
      </c>
      <c r="O99" s="262">
        <f t="shared" si="27"/>
        <v>10.1875</v>
      </c>
      <c r="P99" s="248">
        <f t="shared" si="21"/>
        <v>0.48511904761904762</v>
      </c>
      <c r="Q99" s="262">
        <f t="shared" si="28"/>
        <v>0.99880952380952381</v>
      </c>
      <c r="R99" s="262">
        <f t="shared" si="29"/>
        <v>8.0673076923076916</v>
      </c>
      <c r="S99" s="248">
        <f t="shared" si="22"/>
        <v>0.99880952380952381</v>
      </c>
      <c r="T99" s="262">
        <f t="shared" si="30"/>
        <v>1.4702380952380953</v>
      </c>
      <c r="U99" s="262">
        <f t="shared" si="31"/>
        <v>2.4699999999999998</v>
      </c>
      <c r="V99">
        <f t="shared" si="32"/>
        <v>1.4702380952380953</v>
      </c>
    </row>
    <row r="100" spans="2:22">
      <c r="B100">
        <f t="shared" si="23"/>
        <v>104</v>
      </c>
      <c r="C100">
        <v>20</v>
      </c>
      <c r="D100">
        <f t="shared" si="18"/>
        <v>5.2</v>
      </c>
      <c r="E100">
        <f t="shared" si="19"/>
        <v>2666.6666666666665</v>
      </c>
      <c r="F100">
        <f t="shared" si="24"/>
        <v>666.66666666666663</v>
      </c>
      <c r="G100">
        <f t="shared" si="20"/>
        <v>20</v>
      </c>
      <c r="H100" s="339">
        <f t="shared" si="25"/>
        <v>10</v>
      </c>
      <c r="I100" s="242"/>
      <c r="J100" s="242"/>
      <c r="K100" s="248"/>
      <c r="N100" s="262">
        <f t="shared" si="26"/>
        <v>0.48141025641025642</v>
      </c>
      <c r="O100" s="262">
        <f t="shared" si="27"/>
        <v>10.013333333333334</v>
      </c>
      <c r="P100" s="248">
        <f t="shared" ref="P100:P131" si="33">MIN(N100:O100)</f>
        <v>0.48141025641025642</v>
      </c>
      <c r="Q100" s="262">
        <f t="shared" si="28"/>
        <v>0.9916666666666667</v>
      </c>
      <c r="R100" s="262">
        <f t="shared" si="29"/>
        <v>7.9333333333333327</v>
      </c>
      <c r="S100" s="248">
        <f t="shared" ref="S100:S131" si="34">MIN(Q100:R100)</f>
        <v>0.9916666666666667</v>
      </c>
      <c r="T100" s="262">
        <f t="shared" si="30"/>
        <v>1.4676282051282052</v>
      </c>
      <c r="U100" s="262">
        <f t="shared" si="31"/>
        <v>2.4421333333333335</v>
      </c>
      <c r="V100">
        <f t="shared" si="32"/>
        <v>1.4676282051282052</v>
      </c>
    </row>
    <row r="101" spans="2:22">
      <c r="B101">
        <f t="shared" ref="B101:B132" si="35">B100-1</f>
        <v>103</v>
      </c>
      <c r="C101">
        <v>20</v>
      </c>
      <c r="D101">
        <f t="shared" si="18"/>
        <v>5.15</v>
      </c>
      <c r="E101">
        <f t="shared" si="19"/>
        <v>2666.6666666666665</v>
      </c>
      <c r="F101">
        <f t="shared" si="24"/>
        <v>666.66666666666663</v>
      </c>
      <c r="G101">
        <f t="shared" si="20"/>
        <v>20</v>
      </c>
      <c r="H101" s="339">
        <f t="shared" si="25"/>
        <v>10</v>
      </c>
      <c r="I101" s="242"/>
      <c r="J101" s="242"/>
      <c r="K101" s="248"/>
      <c r="N101" s="262">
        <f t="shared" si="26"/>
        <v>0.47771035598705497</v>
      </c>
      <c r="O101" s="262">
        <f t="shared" si="27"/>
        <v>9.8408333333333342</v>
      </c>
      <c r="P101" s="248">
        <f t="shared" si="33"/>
        <v>0.47771035598705497</v>
      </c>
      <c r="Q101" s="262">
        <f t="shared" si="28"/>
        <v>0.98454692556634305</v>
      </c>
      <c r="R101" s="262">
        <f t="shared" si="29"/>
        <v>7.8006410256410259</v>
      </c>
      <c r="S101" s="248">
        <f t="shared" si="34"/>
        <v>0.98454692556634305</v>
      </c>
      <c r="T101" s="262">
        <f t="shared" si="30"/>
        <v>1.4651294498381877</v>
      </c>
      <c r="U101" s="262">
        <f t="shared" si="31"/>
        <v>2.4145333333333334</v>
      </c>
      <c r="V101">
        <f t="shared" si="32"/>
        <v>1.4651294498381877</v>
      </c>
    </row>
    <row r="102" spans="2:22">
      <c r="B102">
        <f t="shared" si="35"/>
        <v>102</v>
      </c>
      <c r="C102">
        <v>20</v>
      </c>
      <c r="D102">
        <f t="shared" si="18"/>
        <v>5.0999999999999996</v>
      </c>
      <c r="E102">
        <f t="shared" si="19"/>
        <v>2666.6666666666665</v>
      </c>
      <c r="F102">
        <f t="shared" si="24"/>
        <v>666.66666666666663</v>
      </c>
      <c r="G102">
        <f t="shared" si="20"/>
        <v>20</v>
      </c>
      <c r="H102" s="339">
        <f t="shared" si="25"/>
        <v>10</v>
      </c>
      <c r="I102" s="242"/>
      <c r="J102" s="242"/>
      <c r="K102" s="248"/>
      <c r="N102" s="262">
        <f t="shared" si="26"/>
        <v>0.47401960784313724</v>
      </c>
      <c r="O102" s="262">
        <f t="shared" si="27"/>
        <v>9.67</v>
      </c>
      <c r="P102" s="248">
        <f t="shared" si="33"/>
        <v>0.47401960784313724</v>
      </c>
      <c r="Q102" s="262">
        <f t="shared" si="28"/>
        <v>0.97745098039215683</v>
      </c>
      <c r="R102" s="262">
        <f t="shared" si="29"/>
        <v>7.6692307692307686</v>
      </c>
      <c r="S102" s="248">
        <f t="shared" si="34"/>
        <v>0.97745098039215683</v>
      </c>
      <c r="T102" s="262">
        <f t="shared" si="30"/>
        <v>1.4627450980392158</v>
      </c>
      <c r="U102" s="262">
        <f t="shared" si="31"/>
        <v>2.3872</v>
      </c>
      <c r="V102">
        <f t="shared" si="32"/>
        <v>1.4627450980392158</v>
      </c>
    </row>
    <row r="103" spans="2:22">
      <c r="B103">
        <f t="shared" si="35"/>
        <v>101</v>
      </c>
      <c r="C103">
        <v>20</v>
      </c>
      <c r="D103">
        <f t="shared" si="18"/>
        <v>5.05</v>
      </c>
      <c r="E103">
        <f t="shared" si="19"/>
        <v>2666.6666666666665</v>
      </c>
      <c r="F103">
        <f t="shared" si="24"/>
        <v>666.66666666666663</v>
      </c>
      <c r="G103">
        <f t="shared" si="20"/>
        <v>20</v>
      </c>
      <c r="H103" s="339">
        <f t="shared" si="25"/>
        <v>10</v>
      </c>
      <c r="I103" s="242"/>
      <c r="J103" s="242"/>
      <c r="K103" s="248"/>
      <c r="N103" s="262">
        <f t="shared" si="26"/>
        <v>0.47033828382838283</v>
      </c>
      <c r="O103" s="262">
        <f t="shared" si="27"/>
        <v>9.5008333333333326</v>
      </c>
      <c r="P103" s="248">
        <f t="shared" si="33"/>
        <v>0.47033828382838283</v>
      </c>
      <c r="Q103" s="262">
        <f t="shared" si="28"/>
        <v>0.97037953795379539</v>
      </c>
      <c r="R103" s="262">
        <f t="shared" si="29"/>
        <v>7.5391025641025626</v>
      </c>
      <c r="S103" s="248">
        <f t="shared" si="34"/>
        <v>0.97037953795379539</v>
      </c>
      <c r="T103" s="262">
        <f t="shared" si="30"/>
        <v>1.4604785478547855</v>
      </c>
      <c r="U103" s="262">
        <f t="shared" si="31"/>
        <v>2.3601333333333332</v>
      </c>
      <c r="V103">
        <f t="shared" si="32"/>
        <v>1.4604785478547855</v>
      </c>
    </row>
    <row r="104" spans="2:22">
      <c r="B104">
        <f t="shared" si="35"/>
        <v>100</v>
      </c>
      <c r="C104">
        <v>20</v>
      </c>
      <c r="D104">
        <f t="shared" si="18"/>
        <v>5</v>
      </c>
      <c r="E104">
        <f t="shared" si="19"/>
        <v>2666.6666666666665</v>
      </c>
      <c r="F104">
        <f t="shared" si="24"/>
        <v>666.66666666666663</v>
      </c>
      <c r="G104">
        <f t="shared" si="20"/>
        <v>20</v>
      </c>
      <c r="H104" s="339">
        <f t="shared" si="25"/>
        <v>10</v>
      </c>
      <c r="I104" s="242"/>
      <c r="J104" s="242"/>
      <c r="K104" s="248"/>
      <c r="N104" s="262">
        <f t="shared" si="26"/>
        <v>0.46666666666666667</v>
      </c>
      <c r="O104" s="262">
        <f t="shared" si="27"/>
        <v>9.3333333333333339</v>
      </c>
      <c r="P104" s="248">
        <f t="shared" si="33"/>
        <v>0.46666666666666667</v>
      </c>
      <c r="Q104" s="262">
        <f t="shared" si="28"/>
        <v>0.96333333333333337</v>
      </c>
      <c r="R104" s="262">
        <f t="shared" si="29"/>
        <v>7.4102564102564106</v>
      </c>
      <c r="S104" s="248">
        <f t="shared" si="34"/>
        <v>0.96333333333333337</v>
      </c>
      <c r="T104" s="262">
        <f t="shared" si="30"/>
        <v>1.4583333333333335</v>
      </c>
      <c r="U104" s="262">
        <f t="shared" si="31"/>
        <v>2.3333333333333335</v>
      </c>
      <c r="V104">
        <f t="shared" si="32"/>
        <v>1.4583333333333335</v>
      </c>
    </row>
    <row r="105" spans="2:22">
      <c r="B105">
        <f t="shared" si="35"/>
        <v>99</v>
      </c>
      <c r="C105">
        <v>20</v>
      </c>
      <c r="D105">
        <f t="shared" si="18"/>
        <v>4.95</v>
      </c>
      <c r="E105">
        <f t="shared" si="19"/>
        <v>2666.6666666666665</v>
      </c>
      <c r="F105">
        <f t="shared" si="24"/>
        <v>666.66666666666663</v>
      </c>
      <c r="G105">
        <f t="shared" si="20"/>
        <v>20</v>
      </c>
      <c r="H105" s="339">
        <f t="shared" si="25"/>
        <v>10</v>
      </c>
      <c r="I105" s="242"/>
      <c r="J105" s="242"/>
      <c r="K105" s="248"/>
      <c r="N105" s="262">
        <f t="shared" si="26"/>
        <v>0.46300505050505047</v>
      </c>
      <c r="O105" s="262">
        <f t="shared" si="27"/>
        <v>9.1675000000000004</v>
      </c>
      <c r="P105" s="248">
        <f t="shared" si="33"/>
        <v>0.46300505050505047</v>
      </c>
      <c r="Q105" s="262">
        <f t="shared" si="28"/>
        <v>0.95631313131313123</v>
      </c>
      <c r="R105" s="262">
        <f t="shared" si="29"/>
        <v>7.2826923076923071</v>
      </c>
      <c r="S105" s="248">
        <f t="shared" si="34"/>
        <v>0.95631313131313123</v>
      </c>
      <c r="T105" s="262">
        <f t="shared" si="30"/>
        <v>1.4563131313131312</v>
      </c>
      <c r="U105" s="262">
        <f t="shared" si="31"/>
        <v>2.3068</v>
      </c>
      <c r="V105">
        <f t="shared" si="32"/>
        <v>1.4563131313131312</v>
      </c>
    </row>
    <row r="106" spans="2:22">
      <c r="B106">
        <f t="shared" si="35"/>
        <v>98</v>
      </c>
      <c r="C106">
        <v>20</v>
      </c>
      <c r="D106">
        <f t="shared" si="18"/>
        <v>4.9000000000000004</v>
      </c>
      <c r="E106">
        <f t="shared" si="19"/>
        <v>2666.6666666666665</v>
      </c>
      <c r="F106">
        <f t="shared" si="24"/>
        <v>666.66666666666663</v>
      </c>
      <c r="G106">
        <f t="shared" si="20"/>
        <v>20</v>
      </c>
      <c r="H106" s="339">
        <f t="shared" si="25"/>
        <v>10</v>
      </c>
      <c r="I106" s="242"/>
      <c r="J106" s="242"/>
      <c r="K106" s="248"/>
      <c r="N106" s="262">
        <f t="shared" si="26"/>
        <v>0.45935374149659863</v>
      </c>
      <c r="O106" s="262">
        <f t="shared" si="27"/>
        <v>9.0033333333333339</v>
      </c>
      <c r="P106" s="248">
        <f t="shared" si="33"/>
        <v>0.45935374149659863</v>
      </c>
      <c r="Q106" s="262">
        <f t="shared" si="28"/>
        <v>0.94931972789115648</v>
      </c>
      <c r="R106" s="262">
        <f t="shared" si="29"/>
        <v>7.1564102564102559</v>
      </c>
      <c r="S106" s="248">
        <f t="shared" si="34"/>
        <v>0.94931972789115648</v>
      </c>
      <c r="T106" s="262">
        <f t="shared" si="30"/>
        <v>1.454421768707483</v>
      </c>
      <c r="U106" s="262">
        <f t="shared" si="31"/>
        <v>2.2805333333333335</v>
      </c>
      <c r="V106">
        <f t="shared" si="32"/>
        <v>1.454421768707483</v>
      </c>
    </row>
    <row r="107" spans="2:22">
      <c r="B107">
        <f t="shared" si="35"/>
        <v>97</v>
      </c>
      <c r="C107">
        <v>20</v>
      </c>
      <c r="D107">
        <f t="shared" si="18"/>
        <v>4.8499999999999996</v>
      </c>
      <c r="E107">
        <f t="shared" si="19"/>
        <v>2666.6666666666665</v>
      </c>
      <c r="F107">
        <f t="shared" si="24"/>
        <v>666.66666666666663</v>
      </c>
      <c r="G107">
        <f t="shared" si="20"/>
        <v>20</v>
      </c>
      <c r="H107" s="339">
        <f t="shared" si="25"/>
        <v>10</v>
      </c>
      <c r="I107" s="242"/>
      <c r="J107" s="242"/>
      <c r="K107" s="248"/>
      <c r="N107" s="262">
        <f t="shared" si="26"/>
        <v>0.45571305841924398</v>
      </c>
      <c r="O107" s="262">
        <f t="shared" si="27"/>
        <v>8.8408333333333324</v>
      </c>
      <c r="P107" s="248">
        <f t="shared" si="33"/>
        <v>0.45571305841924398</v>
      </c>
      <c r="Q107" s="262">
        <f t="shared" si="28"/>
        <v>0.94235395189003435</v>
      </c>
      <c r="R107" s="262">
        <f t="shared" si="29"/>
        <v>7.0314102564102559</v>
      </c>
      <c r="S107" s="248">
        <f t="shared" si="34"/>
        <v>0.94235395189003435</v>
      </c>
      <c r="T107" s="262">
        <f t="shared" si="30"/>
        <v>1.4526632302405498</v>
      </c>
      <c r="U107" s="262">
        <f t="shared" si="31"/>
        <v>2.2545333333333333</v>
      </c>
      <c r="V107">
        <f t="shared" si="32"/>
        <v>1.4526632302405498</v>
      </c>
    </row>
    <row r="108" spans="2:22">
      <c r="B108">
        <f t="shared" si="35"/>
        <v>96</v>
      </c>
      <c r="C108">
        <v>20</v>
      </c>
      <c r="D108">
        <f t="shared" si="18"/>
        <v>4.8</v>
      </c>
      <c r="E108">
        <f t="shared" si="19"/>
        <v>2666.6666666666665</v>
      </c>
      <c r="F108">
        <f t="shared" si="24"/>
        <v>666.66666666666663</v>
      </c>
      <c r="G108">
        <f t="shared" si="20"/>
        <v>20</v>
      </c>
      <c r="H108" s="339">
        <f t="shared" si="25"/>
        <v>10</v>
      </c>
      <c r="I108" s="242"/>
      <c r="J108" s="242"/>
      <c r="K108" s="248"/>
      <c r="N108" s="262">
        <f t="shared" si="26"/>
        <v>0.45208333333333334</v>
      </c>
      <c r="O108" s="262">
        <f t="shared" si="27"/>
        <v>8.68</v>
      </c>
      <c r="P108" s="248">
        <f t="shared" si="33"/>
        <v>0.45208333333333334</v>
      </c>
      <c r="Q108" s="262">
        <f t="shared" si="28"/>
        <v>0.93541666666666679</v>
      </c>
      <c r="R108" s="262">
        <f t="shared" si="29"/>
        <v>6.9076923076923071</v>
      </c>
      <c r="S108" s="248">
        <f t="shared" si="34"/>
        <v>0.93541666666666679</v>
      </c>
      <c r="T108" s="262">
        <f t="shared" si="30"/>
        <v>1.4510416666666668</v>
      </c>
      <c r="U108" s="262">
        <f t="shared" si="31"/>
        <v>2.2287999999999997</v>
      </c>
      <c r="V108">
        <f t="shared" si="32"/>
        <v>1.4510416666666668</v>
      </c>
    </row>
    <row r="109" spans="2:22">
      <c r="B109">
        <f t="shared" si="35"/>
        <v>95</v>
      </c>
      <c r="C109">
        <v>20</v>
      </c>
      <c r="D109">
        <f t="shared" si="18"/>
        <v>4.75</v>
      </c>
      <c r="E109">
        <f t="shared" si="19"/>
        <v>2666.6666666666665</v>
      </c>
      <c r="F109">
        <f t="shared" si="24"/>
        <v>666.66666666666663</v>
      </c>
      <c r="G109">
        <f t="shared" si="20"/>
        <v>20</v>
      </c>
      <c r="H109" s="339">
        <f t="shared" si="25"/>
        <v>10</v>
      </c>
      <c r="I109" s="242"/>
      <c r="J109" s="242"/>
      <c r="K109" s="248"/>
      <c r="N109" s="262">
        <f t="shared" si="26"/>
        <v>0.44846491228070173</v>
      </c>
      <c r="O109" s="262">
        <f t="shared" si="27"/>
        <v>8.5208333333333321</v>
      </c>
      <c r="P109" s="248">
        <f t="shared" si="33"/>
        <v>0.44846491228070173</v>
      </c>
      <c r="Q109" s="262">
        <f t="shared" si="28"/>
        <v>0.92850877192982451</v>
      </c>
      <c r="R109" s="262">
        <f t="shared" si="29"/>
        <v>6.7852564102564097</v>
      </c>
      <c r="S109" s="248">
        <f t="shared" si="34"/>
        <v>0.92850877192982451</v>
      </c>
      <c r="T109" s="262">
        <f t="shared" si="30"/>
        <v>1.4495614035087718</v>
      </c>
      <c r="U109" s="262">
        <f t="shared" si="31"/>
        <v>2.2033333333333331</v>
      </c>
      <c r="V109">
        <f t="shared" si="32"/>
        <v>1.4495614035087718</v>
      </c>
    </row>
    <row r="110" spans="2:22">
      <c r="B110">
        <f t="shared" si="35"/>
        <v>94</v>
      </c>
      <c r="C110">
        <v>20</v>
      </c>
      <c r="D110">
        <f t="shared" si="18"/>
        <v>4.7</v>
      </c>
      <c r="E110">
        <f t="shared" si="19"/>
        <v>2666.6666666666665</v>
      </c>
      <c r="F110">
        <f t="shared" si="24"/>
        <v>666.66666666666663</v>
      </c>
      <c r="G110">
        <f t="shared" si="20"/>
        <v>20</v>
      </c>
      <c r="H110" s="339">
        <f t="shared" si="25"/>
        <v>10</v>
      </c>
      <c r="I110" s="242"/>
      <c r="J110" s="242"/>
      <c r="K110" s="248"/>
      <c r="N110" s="262">
        <f t="shared" si="26"/>
        <v>0.44485815602836881</v>
      </c>
      <c r="O110" s="262">
        <f t="shared" si="27"/>
        <v>8.3633333333333333</v>
      </c>
      <c r="P110" s="248">
        <f t="shared" si="33"/>
        <v>0.44485815602836881</v>
      </c>
      <c r="Q110" s="262">
        <f t="shared" si="28"/>
        <v>0.92163120567375889</v>
      </c>
      <c r="R110" s="262">
        <f t="shared" si="29"/>
        <v>6.6641025641025635</v>
      </c>
      <c r="S110" s="248">
        <f t="shared" si="34"/>
        <v>0.92163120567375889</v>
      </c>
      <c r="T110" s="262">
        <f t="shared" si="30"/>
        <v>1.4482269503546099</v>
      </c>
      <c r="U110" s="262">
        <f t="shared" si="31"/>
        <v>2.1781333333333333</v>
      </c>
      <c r="V110">
        <f t="shared" si="32"/>
        <v>1.4482269503546099</v>
      </c>
    </row>
    <row r="111" spans="2:22">
      <c r="B111">
        <f t="shared" si="35"/>
        <v>93</v>
      </c>
      <c r="C111">
        <v>20</v>
      </c>
      <c r="D111">
        <f t="shared" si="18"/>
        <v>4.6500000000000004</v>
      </c>
      <c r="E111">
        <f t="shared" si="19"/>
        <v>2666.6666666666665</v>
      </c>
      <c r="F111">
        <f t="shared" si="24"/>
        <v>666.66666666666663</v>
      </c>
      <c r="G111">
        <f t="shared" si="20"/>
        <v>20</v>
      </c>
      <c r="H111" s="339">
        <f t="shared" si="25"/>
        <v>10</v>
      </c>
      <c r="I111" s="242"/>
      <c r="J111" s="242"/>
      <c r="K111" s="248"/>
      <c r="N111" s="262">
        <f t="shared" si="26"/>
        <v>0.44126344086021507</v>
      </c>
      <c r="O111" s="262">
        <f t="shared" si="27"/>
        <v>8.2074999999999996</v>
      </c>
      <c r="P111" s="248">
        <f t="shared" si="33"/>
        <v>0.44126344086021507</v>
      </c>
      <c r="Q111" s="262">
        <f t="shared" si="28"/>
        <v>0.91478494623655915</v>
      </c>
      <c r="R111" s="262">
        <f t="shared" si="29"/>
        <v>6.5442307692307686</v>
      </c>
      <c r="S111" s="248">
        <f t="shared" si="34"/>
        <v>0.91478494623655915</v>
      </c>
      <c r="T111" s="262">
        <f t="shared" si="30"/>
        <v>1.4470430107526882</v>
      </c>
      <c r="U111" s="262">
        <f t="shared" si="31"/>
        <v>2.1532</v>
      </c>
      <c r="V111">
        <f t="shared" si="32"/>
        <v>1.4470430107526882</v>
      </c>
    </row>
    <row r="112" spans="2:22">
      <c r="B112">
        <f t="shared" si="35"/>
        <v>92</v>
      </c>
      <c r="C112">
        <v>20</v>
      </c>
      <c r="D112">
        <f t="shared" si="18"/>
        <v>4.5999999999999996</v>
      </c>
      <c r="E112">
        <f t="shared" si="19"/>
        <v>2666.6666666666665</v>
      </c>
      <c r="F112">
        <f t="shared" si="24"/>
        <v>666.66666666666663</v>
      </c>
      <c r="G112">
        <f t="shared" si="20"/>
        <v>20</v>
      </c>
      <c r="H112" s="339">
        <f t="shared" si="25"/>
        <v>10</v>
      </c>
      <c r="I112" s="242"/>
      <c r="J112" s="242"/>
      <c r="K112" s="248"/>
      <c r="N112" s="262">
        <f t="shared" si="26"/>
        <v>0.4376811594202899</v>
      </c>
      <c r="O112" s="262">
        <f t="shared" si="27"/>
        <v>8.0533333333333346</v>
      </c>
      <c r="P112" s="248">
        <f t="shared" si="33"/>
        <v>0.4376811594202899</v>
      </c>
      <c r="Q112" s="262">
        <f t="shared" si="28"/>
        <v>0.90797101449275364</v>
      </c>
      <c r="R112" s="262">
        <f t="shared" si="29"/>
        <v>6.425641025641025</v>
      </c>
      <c r="S112" s="248">
        <f t="shared" si="34"/>
        <v>0.90797101449275364</v>
      </c>
      <c r="T112" s="262">
        <f t="shared" si="30"/>
        <v>1.4460144927536231</v>
      </c>
      <c r="U112" s="262">
        <f t="shared" si="31"/>
        <v>2.1285333333333334</v>
      </c>
      <c r="V112">
        <f t="shared" si="32"/>
        <v>1.4460144927536231</v>
      </c>
    </row>
    <row r="113" spans="2:22">
      <c r="B113">
        <f t="shared" si="35"/>
        <v>91</v>
      </c>
      <c r="C113">
        <v>20</v>
      </c>
      <c r="D113">
        <f t="shared" si="18"/>
        <v>4.55</v>
      </c>
      <c r="E113">
        <f t="shared" si="19"/>
        <v>2666.6666666666665</v>
      </c>
      <c r="F113">
        <f t="shared" si="24"/>
        <v>666.66666666666663</v>
      </c>
      <c r="G113">
        <f t="shared" si="20"/>
        <v>20</v>
      </c>
      <c r="H113" s="339">
        <f t="shared" si="25"/>
        <v>10</v>
      </c>
      <c r="I113" s="242"/>
      <c r="J113" s="242"/>
      <c r="K113" s="248"/>
      <c r="N113" s="262">
        <f t="shared" si="26"/>
        <v>0.43411172161172162</v>
      </c>
      <c r="O113" s="262">
        <f t="shared" si="27"/>
        <v>7.9008333333333329</v>
      </c>
      <c r="P113" s="248">
        <f t="shared" si="33"/>
        <v>0.43411172161172162</v>
      </c>
      <c r="Q113" s="262">
        <f t="shared" si="28"/>
        <v>0.9011904761904761</v>
      </c>
      <c r="R113" s="262">
        <f t="shared" si="29"/>
        <v>6.3083333333333327</v>
      </c>
      <c r="S113" s="248">
        <f t="shared" si="34"/>
        <v>0.9011904761904761</v>
      </c>
      <c r="T113" s="262">
        <f t="shared" si="30"/>
        <v>1.4451465201465201</v>
      </c>
      <c r="U113" s="262">
        <f t="shared" si="31"/>
        <v>2.1041333333333334</v>
      </c>
      <c r="V113">
        <f t="shared" si="32"/>
        <v>1.4451465201465201</v>
      </c>
    </row>
    <row r="114" spans="2:22">
      <c r="B114">
        <f t="shared" si="35"/>
        <v>90</v>
      </c>
      <c r="C114">
        <v>20</v>
      </c>
      <c r="D114">
        <f t="shared" si="18"/>
        <v>4.5</v>
      </c>
      <c r="E114">
        <f t="shared" si="19"/>
        <v>2666.6666666666665</v>
      </c>
      <c r="F114">
        <f t="shared" si="24"/>
        <v>666.66666666666663</v>
      </c>
      <c r="G114">
        <f t="shared" si="20"/>
        <v>20</v>
      </c>
      <c r="H114" s="339">
        <f t="shared" si="25"/>
        <v>10</v>
      </c>
      <c r="I114" s="242"/>
      <c r="J114" s="242"/>
      <c r="K114" s="248"/>
      <c r="N114" s="262">
        <f t="shared" si="26"/>
        <v>0.43055555555555558</v>
      </c>
      <c r="O114" s="262">
        <f t="shared" si="27"/>
        <v>7.75</v>
      </c>
      <c r="P114" s="248">
        <f t="shared" si="33"/>
        <v>0.43055555555555558</v>
      </c>
      <c r="Q114" s="262">
        <f t="shared" si="28"/>
        <v>0.89444444444444438</v>
      </c>
      <c r="R114" s="262">
        <f t="shared" si="29"/>
        <v>6.1923076923076916</v>
      </c>
      <c r="S114" s="248">
        <f t="shared" si="34"/>
        <v>0.89444444444444438</v>
      </c>
      <c r="T114" s="262">
        <f t="shared" si="30"/>
        <v>1.4444444444444444</v>
      </c>
      <c r="U114" s="262">
        <f t="shared" si="31"/>
        <v>2.08</v>
      </c>
      <c r="V114">
        <f t="shared" si="32"/>
        <v>1.4444444444444444</v>
      </c>
    </row>
    <row r="115" spans="2:22">
      <c r="B115">
        <f t="shared" si="35"/>
        <v>89</v>
      </c>
      <c r="C115">
        <v>20</v>
      </c>
      <c r="D115">
        <f t="shared" si="18"/>
        <v>4.45</v>
      </c>
      <c r="E115">
        <f t="shared" si="19"/>
        <v>2666.6666666666665</v>
      </c>
      <c r="F115">
        <f t="shared" si="24"/>
        <v>666.66666666666663</v>
      </c>
      <c r="G115">
        <f t="shared" si="20"/>
        <v>20</v>
      </c>
      <c r="H115" s="339">
        <f t="shared" si="25"/>
        <v>10</v>
      </c>
      <c r="I115" s="242"/>
      <c r="J115" s="242"/>
      <c r="K115" s="248"/>
      <c r="N115" s="262">
        <f t="shared" si="26"/>
        <v>0.42701310861423225</v>
      </c>
      <c r="O115" s="262">
        <f t="shared" si="27"/>
        <v>7.6008333333333331</v>
      </c>
      <c r="P115" s="248">
        <f t="shared" si="33"/>
        <v>0.42701310861423225</v>
      </c>
      <c r="Q115" s="262">
        <f t="shared" si="28"/>
        <v>0.8877340823970038</v>
      </c>
      <c r="R115" s="262">
        <f t="shared" si="29"/>
        <v>6.0775641025641018</v>
      </c>
      <c r="S115" s="248">
        <f t="shared" si="34"/>
        <v>0.8877340823970038</v>
      </c>
      <c r="T115" s="262">
        <f t="shared" si="30"/>
        <v>1.4439138576779027</v>
      </c>
      <c r="U115" s="262">
        <f t="shared" si="31"/>
        <v>2.0561333333333334</v>
      </c>
      <c r="V115">
        <f t="shared" si="32"/>
        <v>1.4439138576779027</v>
      </c>
    </row>
    <row r="116" spans="2:22">
      <c r="B116">
        <f t="shared" si="35"/>
        <v>88</v>
      </c>
      <c r="C116">
        <v>20</v>
      </c>
      <c r="D116">
        <f t="shared" si="18"/>
        <v>4.4000000000000004</v>
      </c>
      <c r="E116">
        <f t="shared" si="19"/>
        <v>2666.6666666666665</v>
      </c>
      <c r="F116">
        <f t="shared" si="24"/>
        <v>666.66666666666663</v>
      </c>
      <c r="G116">
        <f t="shared" si="20"/>
        <v>20</v>
      </c>
      <c r="H116" s="339">
        <f t="shared" si="25"/>
        <v>10</v>
      </c>
      <c r="I116" s="242"/>
      <c r="J116" s="242"/>
      <c r="K116" s="248"/>
      <c r="N116" s="262">
        <f t="shared" si="26"/>
        <v>0.42348484848484846</v>
      </c>
      <c r="O116" s="262">
        <f t="shared" si="27"/>
        <v>7.4533333333333331</v>
      </c>
      <c r="P116" s="248">
        <f t="shared" si="33"/>
        <v>0.42348484848484846</v>
      </c>
      <c r="Q116" s="262">
        <f t="shared" si="28"/>
        <v>0.88106060606060599</v>
      </c>
      <c r="R116" s="262">
        <f t="shared" si="29"/>
        <v>5.9641025641025633</v>
      </c>
      <c r="S116" s="248">
        <f t="shared" si="34"/>
        <v>0.88106060606060599</v>
      </c>
      <c r="T116" s="262">
        <f t="shared" si="30"/>
        <v>1.4435606060606059</v>
      </c>
      <c r="U116" s="262">
        <f t="shared" si="31"/>
        <v>2.0325333333333333</v>
      </c>
      <c r="V116">
        <f t="shared" si="32"/>
        <v>1.4435606060606059</v>
      </c>
    </row>
    <row r="117" spans="2:22">
      <c r="B117">
        <f t="shared" si="35"/>
        <v>87</v>
      </c>
      <c r="C117">
        <v>20</v>
      </c>
      <c r="D117">
        <f t="shared" si="18"/>
        <v>4.3499999999999996</v>
      </c>
      <c r="E117">
        <f t="shared" si="19"/>
        <v>2666.6666666666665</v>
      </c>
      <c r="F117">
        <f t="shared" si="24"/>
        <v>666.66666666666663</v>
      </c>
      <c r="G117">
        <f t="shared" si="20"/>
        <v>20</v>
      </c>
      <c r="H117" s="339">
        <f t="shared" si="25"/>
        <v>10</v>
      </c>
      <c r="I117" s="242"/>
      <c r="J117" s="242"/>
      <c r="K117" s="248"/>
      <c r="N117" s="262">
        <f t="shared" si="26"/>
        <v>0.41997126436781607</v>
      </c>
      <c r="O117" s="262">
        <f t="shared" si="27"/>
        <v>7.3075000000000001</v>
      </c>
      <c r="P117" s="248">
        <f t="shared" si="33"/>
        <v>0.41997126436781607</v>
      </c>
      <c r="Q117" s="262">
        <f t="shared" si="28"/>
        <v>0.87442528735632186</v>
      </c>
      <c r="R117" s="262">
        <f t="shared" si="29"/>
        <v>5.851923076923077</v>
      </c>
      <c r="S117" s="248">
        <f t="shared" si="34"/>
        <v>0.87442528735632186</v>
      </c>
      <c r="T117" s="262">
        <f t="shared" si="30"/>
        <v>1.4433908045977011</v>
      </c>
      <c r="U117" s="262">
        <f t="shared" si="31"/>
        <v>2.0091999999999999</v>
      </c>
      <c r="V117">
        <f t="shared" si="32"/>
        <v>1.4433908045977011</v>
      </c>
    </row>
    <row r="118" spans="2:22">
      <c r="B118">
        <f t="shared" si="35"/>
        <v>86</v>
      </c>
      <c r="C118">
        <v>20</v>
      </c>
      <c r="D118">
        <f t="shared" si="18"/>
        <v>4.3</v>
      </c>
      <c r="E118">
        <f t="shared" si="19"/>
        <v>2666.6666666666665</v>
      </c>
      <c r="F118">
        <f t="shared" si="24"/>
        <v>666.66666666666663</v>
      </c>
      <c r="G118">
        <f t="shared" si="20"/>
        <v>20</v>
      </c>
      <c r="H118" s="339">
        <f t="shared" si="25"/>
        <v>10</v>
      </c>
      <c r="I118" s="242"/>
      <c r="J118" s="242"/>
      <c r="K118" s="248"/>
      <c r="N118" s="262">
        <f t="shared" si="26"/>
        <v>0.41647286821705426</v>
      </c>
      <c r="O118" s="262">
        <f t="shared" si="27"/>
        <v>7.1633333333333331</v>
      </c>
      <c r="P118" s="248">
        <f t="shared" si="33"/>
        <v>0.41647286821705426</v>
      </c>
      <c r="Q118" s="262">
        <f t="shared" si="28"/>
        <v>0.86782945736434103</v>
      </c>
      <c r="R118" s="262">
        <f t="shared" si="29"/>
        <v>5.7410256410256402</v>
      </c>
      <c r="S118" s="248">
        <f t="shared" si="34"/>
        <v>0.86782945736434103</v>
      </c>
      <c r="T118" s="262">
        <f t="shared" si="30"/>
        <v>1.4434108527131784</v>
      </c>
      <c r="U118" s="262">
        <f t="shared" si="31"/>
        <v>1.9861333333333333</v>
      </c>
      <c r="V118">
        <f t="shared" si="32"/>
        <v>1.4434108527131784</v>
      </c>
    </row>
    <row r="119" spans="2:22">
      <c r="B119">
        <f t="shared" si="35"/>
        <v>85</v>
      </c>
      <c r="C119">
        <v>20</v>
      </c>
      <c r="D119">
        <f t="shared" si="18"/>
        <v>4.25</v>
      </c>
      <c r="E119">
        <f t="shared" si="19"/>
        <v>2666.6666666666665</v>
      </c>
      <c r="F119">
        <f t="shared" si="24"/>
        <v>666.66666666666663</v>
      </c>
      <c r="G119">
        <f t="shared" si="20"/>
        <v>20</v>
      </c>
      <c r="H119" s="339">
        <f t="shared" si="25"/>
        <v>10</v>
      </c>
      <c r="I119" s="242"/>
      <c r="J119" s="242"/>
      <c r="K119" s="248"/>
      <c r="N119" s="262">
        <f t="shared" si="26"/>
        <v>0.4129901960784314</v>
      </c>
      <c r="O119" s="262">
        <f t="shared" si="27"/>
        <v>7.020833333333333</v>
      </c>
      <c r="P119" s="248">
        <f t="shared" si="33"/>
        <v>0.4129901960784314</v>
      </c>
      <c r="Q119" s="262">
        <f t="shared" si="28"/>
        <v>0.86127450980392162</v>
      </c>
      <c r="R119" s="262">
        <f t="shared" si="29"/>
        <v>5.6314102564102555</v>
      </c>
      <c r="S119" s="248">
        <f t="shared" si="34"/>
        <v>0.86127450980392162</v>
      </c>
      <c r="T119" s="262">
        <f t="shared" si="30"/>
        <v>1.4436274509803921</v>
      </c>
      <c r="U119" s="262">
        <f t="shared" si="31"/>
        <v>1.9633333333333334</v>
      </c>
      <c r="V119">
        <f t="shared" si="32"/>
        <v>1.4436274509803921</v>
      </c>
    </row>
    <row r="120" spans="2:22">
      <c r="B120">
        <f t="shared" si="35"/>
        <v>84</v>
      </c>
      <c r="C120">
        <v>20</v>
      </c>
      <c r="D120">
        <f t="shared" si="18"/>
        <v>4.2</v>
      </c>
      <c r="E120">
        <f t="shared" si="19"/>
        <v>2666.6666666666665</v>
      </c>
      <c r="F120">
        <f t="shared" si="24"/>
        <v>666.66666666666663</v>
      </c>
      <c r="G120">
        <f t="shared" si="20"/>
        <v>20</v>
      </c>
      <c r="H120" s="339">
        <f t="shared" si="25"/>
        <v>10</v>
      </c>
      <c r="I120" s="242"/>
      <c r="J120" s="242"/>
      <c r="K120" s="248"/>
      <c r="N120" s="262">
        <f t="shared" si="26"/>
        <v>0.40952380952380951</v>
      </c>
      <c r="O120" s="262">
        <f t="shared" si="27"/>
        <v>6.88</v>
      </c>
      <c r="P120" s="248">
        <f t="shared" si="33"/>
        <v>0.40952380952380951</v>
      </c>
      <c r="Q120" s="262">
        <f t="shared" si="28"/>
        <v>0.85476190476190472</v>
      </c>
      <c r="R120" s="262">
        <f t="shared" si="29"/>
        <v>5.523076923076923</v>
      </c>
      <c r="S120" s="248">
        <f t="shared" si="34"/>
        <v>0.85476190476190472</v>
      </c>
      <c r="T120" s="262">
        <f t="shared" si="30"/>
        <v>1.4440476190476188</v>
      </c>
      <c r="U120" s="262">
        <f t="shared" si="31"/>
        <v>1.9407999999999999</v>
      </c>
      <c r="V120">
        <f t="shared" si="32"/>
        <v>1.4440476190476188</v>
      </c>
    </row>
    <row r="121" spans="2:22">
      <c r="B121">
        <f t="shared" si="35"/>
        <v>83</v>
      </c>
      <c r="C121">
        <v>20</v>
      </c>
      <c r="D121">
        <f t="shared" si="18"/>
        <v>4.1500000000000004</v>
      </c>
      <c r="E121">
        <f t="shared" si="19"/>
        <v>2666.6666666666665</v>
      </c>
      <c r="F121">
        <f t="shared" si="24"/>
        <v>666.66666666666663</v>
      </c>
      <c r="G121">
        <f t="shared" si="20"/>
        <v>20</v>
      </c>
      <c r="H121" s="339">
        <f t="shared" si="25"/>
        <v>10</v>
      </c>
      <c r="I121" s="242"/>
      <c r="J121" s="242"/>
      <c r="K121" s="248"/>
      <c r="N121" s="262">
        <f t="shared" si="26"/>
        <v>0.40607429718875498</v>
      </c>
      <c r="O121" s="262">
        <f t="shared" si="27"/>
        <v>6.7408333333333337</v>
      </c>
      <c r="P121" s="248">
        <f t="shared" si="33"/>
        <v>0.40607429718875498</v>
      </c>
      <c r="Q121" s="262">
        <f t="shared" si="28"/>
        <v>0.84829317269076299</v>
      </c>
      <c r="R121" s="262">
        <f t="shared" si="29"/>
        <v>5.4160256410256409</v>
      </c>
      <c r="S121" s="248">
        <f t="shared" si="34"/>
        <v>0.84829317269076299</v>
      </c>
      <c r="T121" s="262">
        <f t="shared" si="30"/>
        <v>1.4446787148594378</v>
      </c>
      <c r="U121" s="262">
        <f t="shared" si="31"/>
        <v>1.9185333333333334</v>
      </c>
      <c r="V121">
        <f t="shared" si="32"/>
        <v>1.4446787148594378</v>
      </c>
    </row>
    <row r="122" spans="2:22">
      <c r="B122">
        <f t="shared" si="35"/>
        <v>82</v>
      </c>
      <c r="C122">
        <v>20</v>
      </c>
      <c r="D122">
        <f t="shared" si="18"/>
        <v>4.0999999999999996</v>
      </c>
      <c r="E122">
        <f t="shared" si="19"/>
        <v>2666.6666666666665</v>
      </c>
      <c r="F122">
        <f t="shared" si="24"/>
        <v>666.66666666666663</v>
      </c>
      <c r="G122">
        <f t="shared" si="20"/>
        <v>20</v>
      </c>
      <c r="H122" s="339">
        <f t="shared" si="25"/>
        <v>10</v>
      </c>
      <c r="I122" s="242"/>
      <c r="J122" s="242"/>
      <c r="K122" s="248"/>
      <c r="N122" s="262">
        <f t="shared" si="26"/>
        <v>0.40264227642276423</v>
      </c>
      <c r="O122" s="262">
        <f t="shared" si="27"/>
        <v>6.6033333333333335</v>
      </c>
      <c r="P122" s="248">
        <f t="shared" si="33"/>
        <v>0.40264227642276423</v>
      </c>
      <c r="Q122" s="262">
        <f t="shared" si="28"/>
        <v>0.84186991869918704</v>
      </c>
      <c r="R122" s="262">
        <f t="shared" si="29"/>
        <v>5.31025641025641</v>
      </c>
      <c r="S122" s="248">
        <f t="shared" si="34"/>
        <v>0.84186991869918704</v>
      </c>
      <c r="T122" s="262">
        <f t="shared" si="30"/>
        <v>1.4455284552845529</v>
      </c>
      <c r="U122" s="262">
        <f t="shared" si="31"/>
        <v>1.8965333333333334</v>
      </c>
      <c r="V122">
        <f t="shared" si="32"/>
        <v>1.4455284552845529</v>
      </c>
    </row>
    <row r="123" spans="2:22">
      <c r="B123">
        <f t="shared" si="35"/>
        <v>81</v>
      </c>
      <c r="C123">
        <v>20</v>
      </c>
      <c r="D123">
        <f t="shared" si="18"/>
        <v>4.05</v>
      </c>
      <c r="E123">
        <f t="shared" si="19"/>
        <v>2666.6666666666665</v>
      </c>
      <c r="F123">
        <f t="shared" si="24"/>
        <v>666.66666666666663</v>
      </c>
      <c r="G123">
        <f t="shared" si="20"/>
        <v>20</v>
      </c>
      <c r="H123" s="339">
        <f t="shared" si="25"/>
        <v>10</v>
      </c>
      <c r="I123" s="242"/>
      <c r="J123" s="242"/>
      <c r="K123" s="248"/>
      <c r="N123" s="262">
        <f t="shared" si="26"/>
        <v>0.39922839506172841</v>
      </c>
      <c r="O123" s="262">
        <f t="shared" si="27"/>
        <v>6.4675000000000002</v>
      </c>
      <c r="P123" s="248">
        <f t="shared" si="33"/>
        <v>0.39922839506172841</v>
      </c>
      <c r="Q123" s="262">
        <f t="shared" si="28"/>
        <v>0.83549382716049392</v>
      </c>
      <c r="R123" s="262">
        <f t="shared" si="29"/>
        <v>5.2057692307692305</v>
      </c>
      <c r="S123" s="248">
        <f t="shared" si="34"/>
        <v>0.83549382716049392</v>
      </c>
      <c r="T123" s="262">
        <f t="shared" si="30"/>
        <v>1.4466049382716051</v>
      </c>
      <c r="U123" s="262">
        <f t="shared" si="31"/>
        <v>1.8748</v>
      </c>
      <c r="V123">
        <f t="shared" si="32"/>
        <v>1.4466049382716051</v>
      </c>
    </row>
    <row r="124" spans="2:22">
      <c r="B124">
        <f t="shared" si="35"/>
        <v>80</v>
      </c>
      <c r="C124">
        <v>20</v>
      </c>
      <c r="D124">
        <f t="shared" si="18"/>
        <v>4</v>
      </c>
      <c r="E124">
        <f t="shared" si="19"/>
        <v>2666.6666666666665</v>
      </c>
      <c r="F124">
        <f t="shared" si="24"/>
        <v>666.66666666666663</v>
      </c>
      <c r="G124">
        <f t="shared" si="20"/>
        <v>20</v>
      </c>
      <c r="H124" s="339">
        <f t="shared" si="25"/>
        <v>10</v>
      </c>
      <c r="I124" s="242"/>
      <c r="J124" s="242"/>
      <c r="K124" s="248"/>
      <c r="N124" s="262">
        <f t="shared" si="26"/>
        <v>0.39583333333333331</v>
      </c>
      <c r="O124" s="262">
        <f t="shared" si="27"/>
        <v>6.333333333333333</v>
      </c>
      <c r="P124" s="248">
        <f t="shared" si="33"/>
        <v>0.39583333333333331</v>
      </c>
      <c r="Q124" s="262">
        <f t="shared" si="28"/>
        <v>0.82916666666666661</v>
      </c>
      <c r="R124" s="262">
        <f t="shared" si="29"/>
        <v>5.1025641025641022</v>
      </c>
      <c r="S124" s="248">
        <f t="shared" si="34"/>
        <v>0.82916666666666661</v>
      </c>
      <c r="T124" s="262">
        <f t="shared" si="30"/>
        <v>1.4479166666666665</v>
      </c>
      <c r="U124" s="262">
        <f t="shared" si="31"/>
        <v>1.8533333333333333</v>
      </c>
      <c r="V124">
        <f t="shared" si="32"/>
        <v>1.4479166666666665</v>
      </c>
    </row>
    <row r="125" spans="2:22">
      <c r="B125">
        <f t="shared" si="35"/>
        <v>79</v>
      </c>
      <c r="C125">
        <v>20</v>
      </c>
      <c r="D125">
        <f t="shared" si="18"/>
        <v>3.95</v>
      </c>
      <c r="E125">
        <f t="shared" si="19"/>
        <v>2666.6666666666665</v>
      </c>
      <c r="F125">
        <f t="shared" si="24"/>
        <v>666.66666666666663</v>
      </c>
      <c r="G125">
        <f t="shared" si="20"/>
        <v>20</v>
      </c>
      <c r="H125" s="339">
        <f t="shared" si="25"/>
        <v>10</v>
      </c>
      <c r="I125" s="242"/>
      <c r="J125" s="242"/>
      <c r="K125" s="248"/>
      <c r="N125" s="262">
        <f t="shared" si="26"/>
        <v>0.392457805907173</v>
      </c>
      <c r="O125" s="262">
        <f t="shared" si="27"/>
        <v>6.2008333333333336</v>
      </c>
      <c r="P125" s="248">
        <f t="shared" si="33"/>
        <v>0.392457805907173</v>
      </c>
      <c r="Q125" s="262">
        <f t="shared" si="28"/>
        <v>0.82289029535864977</v>
      </c>
      <c r="R125" s="262">
        <f t="shared" si="29"/>
        <v>5.0006410256410252</v>
      </c>
      <c r="S125" s="248">
        <f t="shared" si="34"/>
        <v>0.82289029535864977</v>
      </c>
      <c r="T125" s="262">
        <f t="shared" si="30"/>
        <v>1.4494725738396625</v>
      </c>
      <c r="U125" s="262">
        <f t="shared" si="31"/>
        <v>1.8321333333333334</v>
      </c>
      <c r="V125">
        <f t="shared" si="32"/>
        <v>1.4494725738396625</v>
      </c>
    </row>
    <row r="126" spans="2:22">
      <c r="B126">
        <f t="shared" si="35"/>
        <v>78</v>
      </c>
      <c r="C126">
        <v>20</v>
      </c>
      <c r="D126">
        <f t="shared" si="18"/>
        <v>3.9</v>
      </c>
      <c r="E126">
        <f t="shared" si="19"/>
        <v>2666.6666666666665</v>
      </c>
      <c r="F126">
        <f t="shared" si="24"/>
        <v>666.66666666666663</v>
      </c>
      <c r="G126">
        <f t="shared" si="20"/>
        <v>20</v>
      </c>
      <c r="H126" s="339">
        <f t="shared" si="25"/>
        <v>10</v>
      </c>
      <c r="I126" s="242"/>
      <c r="J126" s="242"/>
      <c r="K126" s="248"/>
      <c r="N126" s="262">
        <f t="shared" si="26"/>
        <v>0.38910256410256411</v>
      </c>
      <c r="O126" s="262">
        <f t="shared" si="27"/>
        <v>6.07</v>
      </c>
      <c r="P126" s="248">
        <f t="shared" si="33"/>
        <v>0.38910256410256411</v>
      </c>
      <c r="Q126" s="262">
        <f t="shared" si="28"/>
        <v>0.81666666666666665</v>
      </c>
      <c r="R126" s="262">
        <f t="shared" si="29"/>
        <v>4.9000000000000004</v>
      </c>
      <c r="S126" s="248">
        <f t="shared" si="34"/>
        <v>0.81666666666666665</v>
      </c>
      <c r="T126" s="262">
        <f t="shared" si="30"/>
        <v>1.4512820512820512</v>
      </c>
      <c r="U126" s="262">
        <f t="shared" si="31"/>
        <v>1.8111999999999999</v>
      </c>
      <c r="V126">
        <f t="shared" si="32"/>
        <v>1.4512820512820512</v>
      </c>
    </row>
    <row r="127" spans="2:22">
      <c r="B127">
        <f t="shared" si="35"/>
        <v>77</v>
      </c>
      <c r="C127">
        <v>20</v>
      </c>
      <c r="D127">
        <f t="shared" si="18"/>
        <v>3.85</v>
      </c>
      <c r="E127">
        <f t="shared" si="19"/>
        <v>2666.6666666666665</v>
      </c>
      <c r="F127">
        <f t="shared" si="24"/>
        <v>666.66666666666663</v>
      </c>
      <c r="G127">
        <f t="shared" si="20"/>
        <v>20</v>
      </c>
      <c r="H127" s="339">
        <f t="shared" si="25"/>
        <v>10</v>
      </c>
      <c r="I127" s="242"/>
      <c r="J127" s="242"/>
      <c r="K127" s="248"/>
      <c r="N127" s="262">
        <f t="shared" si="26"/>
        <v>0.38576839826839826</v>
      </c>
      <c r="O127" s="262">
        <f t="shared" si="27"/>
        <v>5.940833333333333</v>
      </c>
      <c r="P127" s="248">
        <f t="shared" si="33"/>
        <v>0.38576839826839826</v>
      </c>
      <c r="Q127" s="262">
        <f t="shared" si="28"/>
        <v>0.81049783549783561</v>
      </c>
      <c r="R127" s="262">
        <f t="shared" si="29"/>
        <v>4.800641025641025</v>
      </c>
      <c r="S127" s="248">
        <f t="shared" si="34"/>
        <v>0.81049783549783561</v>
      </c>
      <c r="T127" s="262">
        <f t="shared" si="30"/>
        <v>1.4533549783549784</v>
      </c>
      <c r="U127" s="262">
        <f t="shared" si="31"/>
        <v>1.7905333333333333</v>
      </c>
      <c r="V127">
        <f t="shared" si="32"/>
        <v>1.4533549783549784</v>
      </c>
    </row>
    <row r="128" spans="2:22">
      <c r="B128">
        <f t="shared" si="35"/>
        <v>76</v>
      </c>
      <c r="C128">
        <v>20</v>
      </c>
      <c r="D128">
        <f t="shared" si="18"/>
        <v>3.8</v>
      </c>
      <c r="E128">
        <f t="shared" si="19"/>
        <v>2666.6666666666665</v>
      </c>
      <c r="F128">
        <f t="shared" si="24"/>
        <v>666.66666666666663</v>
      </c>
      <c r="G128">
        <f t="shared" si="20"/>
        <v>20</v>
      </c>
      <c r="H128" s="339">
        <f t="shared" si="25"/>
        <v>10</v>
      </c>
      <c r="I128" s="242"/>
      <c r="J128" s="242"/>
      <c r="K128" s="248"/>
      <c r="N128" s="262">
        <f t="shared" si="26"/>
        <v>0.38245614035087716</v>
      </c>
      <c r="O128" s="262">
        <f t="shared" si="27"/>
        <v>5.8133333333333335</v>
      </c>
      <c r="P128" s="248">
        <f t="shared" si="33"/>
        <v>0.38245614035087716</v>
      </c>
      <c r="Q128" s="262">
        <f t="shared" si="28"/>
        <v>0.80438596491228065</v>
      </c>
      <c r="R128" s="262">
        <f t="shared" si="29"/>
        <v>4.7025641025641018</v>
      </c>
      <c r="S128" s="248">
        <f t="shared" si="34"/>
        <v>0.80438596491228065</v>
      </c>
      <c r="T128" s="262">
        <f t="shared" si="30"/>
        <v>1.4557017543859647</v>
      </c>
      <c r="U128" s="262">
        <f t="shared" si="31"/>
        <v>1.7701333333333333</v>
      </c>
      <c r="V128">
        <f t="shared" si="32"/>
        <v>1.4557017543859647</v>
      </c>
    </row>
    <row r="129" spans="2:22">
      <c r="B129">
        <f t="shared" si="35"/>
        <v>75</v>
      </c>
      <c r="C129">
        <v>20</v>
      </c>
      <c r="D129">
        <f t="shared" si="18"/>
        <v>3.75</v>
      </c>
      <c r="E129">
        <f t="shared" si="19"/>
        <v>2666.6666666666665</v>
      </c>
      <c r="F129">
        <f t="shared" si="24"/>
        <v>666.66666666666663</v>
      </c>
      <c r="G129">
        <f t="shared" si="20"/>
        <v>20</v>
      </c>
      <c r="H129" s="339">
        <f t="shared" si="25"/>
        <v>10</v>
      </c>
      <c r="I129" s="242"/>
      <c r="J129" s="242"/>
      <c r="K129" s="248"/>
      <c r="N129" s="262">
        <f t="shared" si="26"/>
        <v>0.37916666666666665</v>
      </c>
      <c r="O129" s="262">
        <f t="shared" si="27"/>
        <v>5.6875</v>
      </c>
      <c r="P129" s="248">
        <f t="shared" si="33"/>
        <v>0.37916666666666665</v>
      </c>
      <c r="Q129" s="262">
        <f t="shared" si="28"/>
        <v>0.79833333333333334</v>
      </c>
      <c r="R129" s="262">
        <f t="shared" si="29"/>
        <v>4.6057692307692299</v>
      </c>
      <c r="S129" s="248">
        <f t="shared" si="34"/>
        <v>0.79833333333333334</v>
      </c>
      <c r="T129" s="262">
        <f t="shared" si="30"/>
        <v>1.4583333333333335</v>
      </c>
      <c r="U129" s="262">
        <f t="shared" si="31"/>
        <v>1.75</v>
      </c>
      <c r="V129">
        <f t="shared" si="32"/>
        <v>1.4583333333333335</v>
      </c>
    </row>
    <row r="130" spans="2:22">
      <c r="B130">
        <f t="shared" si="35"/>
        <v>74</v>
      </c>
      <c r="C130">
        <v>20</v>
      </c>
      <c r="D130">
        <f t="shared" si="18"/>
        <v>3.7</v>
      </c>
      <c r="E130">
        <f t="shared" si="19"/>
        <v>2666.6666666666665</v>
      </c>
      <c r="F130">
        <f t="shared" si="24"/>
        <v>666.66666666666663</v>
      </c>
      <c r="G130">
        <f t="shared" si="20"/>
        <v>20</v>
      </c>
      <c r="H130" s="339">
        <f t="shared" si="25"/>
        <v>10</v>
      </c>
      <c r="I130" s="242"/>
      <c r="J130" s="242"/>
      <c r="K130" s="248"/>
      <c r="N130" s="262">
        <f t="shared" si="26"/>
        <v>0.37590090090090089</v>
      </c>
      <c r="O130" s="262">
        <f t="shared" si="27"/>
        <v>5.5633333333333335</v>
      </c>
      <c r="P130" s="248">
        <f t="shared" si="33"/>
        <v>0.37590090090090089</v>
      </c>
      <c r="Q130" s="262">
        <f t="shared" si="28"/>
        <v>0.79234234234234235</v>
      </c>
      <c r="R130" s="262">
        <f t="shared" si="29"/>
        <v>4.5102564102564102</v>
      </c>
      <c r="S130" s="248">
        <f t="shared" si="34"/>
        <v>0.79234234234234235</v>
      </c>
      <c r="T130" s="262">
        <f t="shared" si="30"/>
        <v>1.4612612612612614</v>
      </c>
      <c r="U130" s="262">
        <f t="shared" si="31"/>
        <v>1.7301333333333333</v>
      </c>
      <c r="V130">
        <f t="shared" si="32"/>
        <v>1.4612612612612614</v>
      </c>
    </row>
    <row r="131" spans="2:22">
      <c r="B131">
        <f t="shared" si="35"/>
        <v>73</v>
      </c>
      <c r="C131">
        <v>20</v>
      </c>
      <c r="D131">
        <f t="shared" si="18"/>
        <v>3.65</v>
      </c>
      <c r="E131">
        <f t="shared" si="19"/>
        <v>2666.6666666666665</v>
      </c>
      <c r="F131">
        <f t="shared" si="24"/>
        <v>666.66666666666663</v>
      </c>
      <c r="G131">
        <f t="shared" si="20"/>
        <v>20</v>
      </c>
      <c r="H131" s="339">
        <f t="shared" si="25"/>
        <v>10</v>
      </c>
      <c r="I131" s="242"/>
      <c r="J131" s="242"/>
      <c r="K131" s="248"/>
      <c r="N131" s="262">
        <f t="shared" si="26"/>
        <v>0.37265981735159814</v>
      </c>
      <c r="O131" s="262">
        <f t="shared" si="27"/>
        <v>5.440833333333333</v>
      </c>
      <c r="P131" s="248">
        <f t="shared" si="33"/>
        <v>0.37265981735159814</v>
      </c>
      <c r="Q131" s="262">
        <f t="shared" si="28"/>
        <v>0.78641552511415513</v>
      </c>
      <c r="R131" s="262">
        <f t="shared" si="29"/>
        <v>4.4160256410256409</v>
      </c>
      <c r="S131" s="248">
        <f t="shared" si="34"/>
        <v>0.78641552511415513</v>
      </c>
      <c r="T131" s="262">
        <f t="shared" si="30"/>
        <v>1.4644977168949771</v>
      </c>
      <c r="U131" s="262">
        <f t="shared" si="31"/>
        <v>1.7105333333333332</v>
      </c>
      <c r="V131">
        <f t="shared" si="32"/>
        <v>1.4644977168949771</v>
      </c>
    </row>
    <row r="132" spans="2:22">
      <c r="B132">
        <f t="shared" si="35"/>
        <v>72</v>
      </c>
      <c r="C132">
        <v>20</v>
      </c>
      <c r="D132">
        <f t="shared" ref="D132:D195" si="36">B132/C132</f>
        <v>3.6</v>
      </c>
      <c r="E132">
        <f t="shared" ref="E132:E195" si="37">C132^3/3</f>
        <v>2666.6666666666665</v>
      </c>
      <c r="F132">
        <f t="shared" si="24"/>
        <v>666.66666666666663</v>
      </c>
      <c r="G132">
        <f t="shared" ref="G132:G195" si="38">C132</f>
        <v>20</v>
      </c>
      <c r="H132" s="339">
        <f t="shared" si="25"/>
        <v>10</v>
      </c>
      <c r="I132" s="242"/>
      <c r="J132" s="242"/>
      <c r="K132" s="248"/>
      <c r="N132" s="262">
        <f t="shared" si="26"/>
        <v>0.36944444444444446</v>
      </c>
      <c r="O132" s="262">
        <f t="shared" si="27"/>
        <v>5.32</v>
      </c>
      <c r="P132" s="248">
        <f t="shared" ref="P132:P163" si="39">MIN(N132:O132)</f>
        <v>0.36944444444444446</v>
      </c>
      <c r="Q132" s="262">
        <f t="shared" si="28"/>
        <v>0.78055555555555556</v>
      </c>
      <c r="R132" s="262">
        <f t="shared" si="29"/>
        <v>4.3230769230769228</v>
      </c>
      <c r="S132" s="248">
        <f t="shared" ref="S132:S163" si="40">MIN(Q132:R132)</f>
        <v>0.78055555555555556</v>
      </c>
      <c r="T132" s="262">
        <f t="shared" si="30"/>
        <v>1.4680555555555554</v>
      </c>
      <c r="U132" s="262">
        <f t="shared" si="31"/>
        <v>1.6912</v>
      </c>
      <c r="V132">
        <f t="shared" si="32"/>
        <v>1.4680555555555554</v>
      </c>
    </row>
    <row r="133" spans="2:22">
      <c r="B133">
        <f t="shared" ref="B133:B164" si="41">B132-1</f>
        <v>71</v>
      </c>
      <c r="C133">
        <v>20</v>
      </c>
      <c r="D133">
        <f t="shared" si="36"/>
        <v>3.55</v>
      </c>
      <c r="E133">
        <f t="shared" si="37"/>
        <v>2666.6666666666665</v>
      </c>
      <c r="F133">
        <f t="shared" ref="F133:F196" si="42">C133^3/12</f>
        <v>666.66666666666663</v>
      </c>
      <c r="G133">
        <f t="shared" si="38"/>
        <v>20</v>
      </c>
      <c r="H133" s="339">
        <f t="shared" ref="H133:H196" si="43">20/2</f>
        <v>10</v>
      </c>
      <c r="I133" s="242"/>
      <c r="J133" s="242"/>
      <c r="K133" s="248"/>
      <c r="N133" s="262">
        <f t="shared" ref="N133:N196" si="44">(B133/(12*G133))+(((3*E133)/(2*G133*B133*C133))*$J$4)</f>
        <v>0.36625586854460096</v>
      </c>
      <c r="O133" s="262">
        <f t="shared" ref="O133:O196" si="45">1+(((C133*B133^2)/(18*E133))*($J$4^(-1)))</f>
        <v>5.2008333333333336</v>
      </c>
      <c r="P133" s="248">
        <f t="shared" si="39"/>
        <v>0.36625586854460096</v>
      </c>
      <c r="Q133" s="262">
        <f t="shared" ref="Q133:Q196" si="46">(B133/(12*H133))+(((3*F133)/(2*H133*B133*C133))*$K$4)</f>
        <v>0.77476525821596243</v>
      </c>
      <c r="R133" s="262">
        <f t="shared" ref="R133:R196" si="47">1+(((C133*B133^2)/(18*F133))*($K$4^(-1)))</f>
        <v>4.2314102564102569</v>
      </c>
      <c r="S133" s="248">
        <f t="shared" si="40"/>
        <v>0.77476525821596243</v>
      </c>
      <c r="T133" s="262">
        <f t="shared" ref="T133:T196" si="48">((B133/(12*H133))+(((3*F133)/(2*H133*B133*C133))*$L$4))</f>
        <v>1.4719483568075118</v>
      </c>
      <c r="U133" s="262">
        <f t="shared" ref="U133:U196" si="49">(1+(((C133*(B133^2))/(18*F133))*($L$4^(-1))))</f>
        <v>1.6721333333333335</v>
      </c>
      <c r="V133">
        <f t="shared" ref="V133:V196" si="50">MIN(T133:U133)</f>
        <v>1.4719483568075118</v>
      </c>
    </row>
    <row r="134" spans="2:22">
      <c r="B134">
        <f t="shared" si="41"/>
        <v>70</v>
      </c>
      <c r="C134">
        <v>20</v>
      </c>
      <c r="D134">
        <f t="shared" si="36"/>
        <v>3.5</v>
      </c>
      <c r="E134">
        <f t="shared" si="37"/>
        <v>2666.6666666666665</v>
      </c>
      <c r="F134">
        <f t="shared" si="42"/>
        <v>666.66666666666663</v>
      </c>
      <c r="G134">
        <f t="shared" si="38"/>
        <v>20</v>
      </c>
      <c r="H134" s="339">
        <f t="shared" si="43"/>
        <v>10</v>
      </c>
      <c r="I134" s="242"/>
      <c r="J134" s="242"/>
      <c r="K134" s="248"/>
      <c r="N134" s="262">
        <f t="shared" si="44"/>
        <v>0.36309523809523814</v>
      </c>
      <c r="O134" s="262">
        <f t="shared" si="45"/>
        <v>5.083333333333333</v>
      </c>
      <c r="P134" s="248">
        <f t="shared" si="39"/>
        <v>0.36309523809523814</v>
      </c>
      <c r="Q134" s="262">
        <f t="shared" si="46"/>
        <v>0.76904761904761909</v>
      </c>
      <c r="R134" s="262">
        <f t="shared" si="47"/>
        <v>4.1410256410256405</v>
      </c>
      <c r="S134" s="248">
        <f t="shared" si="40"/>
        <v>0.76904761904761909</v>
      </c>
      <c r="T134" s="262">
        <f t="shared" si="48"/>
        <v>1.4761904761904763</v>
      </c>
      <c r="U134" s="262">
        <f t="shared" si="49"/>
        <v>1.6533333333333333</v>
      </c>
      <c r="V134">
        <f t="shared" si="50"/>
        <v>1.4761904761904763</v>
      </c>
    </row>
    <row r="135" spans="2:22">
      <c r="B135">
        <f t="shared" si="41"/>
        <v>69</v>
      </c>
      <c r="C135">
        <v>20</v>
      </c>
      <c r="D135">
        <f t="shared" si="36"/>
        <v>3.45</v>
      </c>
      <c r="E135">
        <f t="shared" si="37"/>
        <v>2666.6666666666665</v>
      </c>
      <c r="F135">
        <f t="shared" si="42"/>
        <v>666.66666666666663</v>
      </c>
      <c r="G135">
        <f t="shared" si="38"/>
        <v>20</v>
      </c>
      <c r="H135" s="339">
        <f t="shared" si="43"/>
        <v>10</v>
      </c>
      <c r="I135" s="242"/>
      <c r="J135" s="242"/>
      <c r="K135" s="248"/>
      <c r="N135" s="262">
        <f t="shared" si="44"/>
        <v>0.359963768115942</v>
      </c>
      <c r="O135" s="262">
        <f t="shared" si="45"/>
        <v>4.9674999999999994</v>
      </c>
      <c r="P135" s="248">
        <f t="shared" si="39"/>
        <v>0.359963768115942</v>
      </c>
      <c r="Q135" s="262">
        <f t="shared" si="46"/>
        <v>0.76340579710144918</v>
      </c>
      <c r="R135" s="262">
        <f t="shared" si="47"/>
        <v>4.0519230769230763</v>
      </c>
      <c r="S135" s="248">
        <f t="shared" si="40"/>
        <v>0.76340579710144918</v>
      </c>
      <c r="T135" s="262">
        <f t="shared" si="48"/>
        <v>1.4807971014492753</v>
      </c>
      <c r="U135" s="262">
        <f t="shared" si="49"/>
        <v>1.6348</v>
      </c>
      <c r="V135">
        <f t="shared" si="50"/>
        <v>1.4807971014492753</v>
      </c>
    </row>
    <row r="136" spans="2:22">
      <c r="B136">
        <f t="shared" si="41"/>
        <v>68</v>
      </c>
      <c r="C136">
        <v>20</v>
      </c>
      <c r="D136">
        <f t="shared" si="36"/>
        <v>3.4</v>
      </c>
      <c r="E136">
        <f t="shared" si="37"/>
        <v>2666.6666666666665</v>
      </c>
      <c r="F136">
        <f t="shared" si="42"/>
        <v>666.66666666666663</v>
      </c>
      <c r="G136">
        <f t="shared" si="38"/>
        <v>20</v>
      </c>
      <c r="H136" s="339">
        <f t="shared" si="43"/>
        <v>10</v>
      </c>
      <c r="I136" s="242"/>
      <c r="J136" s="242"/>
      <c r="K136" s="248"/>
      <c r="N136" s="262">
        <f t="shared" si="44"/>
        <v>0.35686274509803922</v>
      </c>
      <c r="O136" s="262">
        <f t="shared" si="45"/>
        <v>4.8533333333333335</v>
      </c>
      <c r="P136" s="248">
        <f t="shared" si="39"/>
        <v>0.35686274509803922</v>
      </c>
      <c r="Q136" s="262">
        <f t="shared" si="46"/>
        <v>0.75784313725490193</v>
      </c>
      <c r="R136" s="262">
        <f t="shared" si="47"/>
        <v>3.9641025641025638</v>
      </c>
      <c r="S136" s="248">
        <f t="shared" si="40"/>
        <v>0.75784313725490193</v>
      </c>
      <c r="T136" s="262">
        <f t="shared" si="48"/>
        <v>1.4857843137254902</v>
      </c>
      <c r="U136" s="262">
        <f t="shared" si="49"/>
        <v>1.6165333333333334</v>
      </c>
      <c r="V136">
        <f t="shared" si="50"/>
        <v>1.4857843137254902</v>
      </c>
    </row>
    <row r="137" spans="2:22">
      <c r="B137">
        <f t="shared" si="41"/>
        <v>67</v>
      </c>
      <c r="C137">
        <v>20</v>
      </c>
      <c r="D137">
        <f t="shared" si="36"/>
        <v>3.35</v>
      </c>
      <c r="E137">
        <f t="shared" si="37"/>
        <v>2666.6666666666665</v>
      </c>
      <c r="F137">
        <f t="shared" si="42"/>
        <v>666.66666666666663</v>
      </c>
      <c r="G137">
        <f t="shared" si="38"/>
        <v>20</v>
      </c>
      <c r="H137" s="339">
        <f t="shared" si="43"/>
        <v>10</v>
      </c>
      <c r="I137" s="242"/>
      <c r="J137" s="242"/>
      <c r="K137" s="248"/>
      <c r="N137" s="262">
        <f t="shared" si="44"/>
        <v>0.35379353233830846</v>
      </c>
      <c r="O137" s="262">
        <f t="shared" si="45"/>
        <v>4.7408333333333328</v>
      </c>
      <c r="P137" s="248">
        <f t="shared" si="39"/>
        <v>0.35379353233830846</v>
      </c>
      <c r="Q137" s="262">
        <f t="shared" si="46"/>
        <v>0.75236318407960201</v>
      </c>
      <c r="R137" s="262">
        <f t="shared" si="47"/>
        <v>3.8775641025641021</v>
      </c>
      <c r="S137" s="248">
        <f t="shared" si="40"/>
        <v>0.75236318407960201</v>
      </c>
      <c r="T137" s="262">
        <f t="shared" si="48"/>
        <v>1.4911691542288557</v>
      </c>
      <c r="U137" s="262">
        <f t="shared" si="49"/>
        <v>1.5985333333333334</v>
      </c>
      <c r="V137">
        <f t="shared" si="50"/>
        <v>1.4911691542288557</v>
      </c>
    </row>
    <row r="138" spans="2:22">
      <c r="B138">
        <f t="shared" si="41"/>
        <v>66</v>
      </c>
      <c r="C138">
        <v>20</v>
      </c>
      <c r="D138">
        <f t="shared" si="36"/>
        <v>3.3</v>
      </c>
      <c r="E138">
        <f t="shared" si="37"/>
        <v>2666.6666666666665</v>
      </c>
      <c r="F138">
        <f t="shared" si="42"/>
        <v>666.66666666666663</v>
      </c>
      <c r="G138">
        <f t="shared" si="38"/>
        <v>20</v>
      </c>
      <c r="H138" s="339">
        <f t="shared" si="43"/>
        <v>10</v>
      </c>
      <c r="I138" s="242"/>
      <c r="J138" s="242"/>
      <c r="K138" s="248"/>
      <c r="N138" s="262">
        <f t="shared" si="44"/>
        <v>0.35075757575757577</v>
      </c>
      <c r="O138" s="262">
        <f t="shared" si="45"/>
        <v>4.63</v>
      </c>
      <c r="P138" s="248">
        <f t="shared" si="39"/>
        <v>0.35075757575757577</v>
      </c>
      <c r="Q138" s="262">
        <f t="shared" si="46"/>
        <v>0.74696969696969706</v>
      </c>
      <c r="R138" s="262">
        <f t="shared" si="47"/>
        <v>3.7923076923076922</v>
      </c>
      <c r="S138" s="248">
        <f t="shared" si="40"/>
        <v>0.74696969696969706</v>
      </c>
      <c r="T138" s="262">
        <f t="shared" si="48"/>
        <v>1.4969696969696971</v>
      </c>
      <c r="U138" s="262">
        <f t="shared" si="49"/>
        <v>1.5808</v>
      </c>
      <c r="V138">
        <f t="shared" si="50"/>
        <v>1.4969696969696971</v>
      </c>
    </row>
    <row r="139" spans="2:22">
      <c r="B139">
        <f t="shared" si="41"/>
        <v>65</v>
      </c>
      <c r="C139">
        <v>20</v>
      </c>
      <c r="D139">
        <f t="shared" si="36"/>
        <v>3.25</v>
      </c>
      <c r="E139">
        <f t="shared" si="37"/>
        <v>2666.6666666666665</v>
      </c>
      <c r="F139">
        <f t="shared" si="42"/>
        <v>666.66666666666663</v>
      </c>
      <c r="G139">
        <f t="shared" si="38"/>
        <v>20</v>
      </c>
      <c r="H139" s="339">
        <f t="shared" si="43"/>
        <v>10</v>
      </c>
      <c r="I139" s="242"/>
      <c r="J139" s="242"/>
      <c r="K139" s="248"/>
      <c r="N139" s="262">
        <f t="shared" si="44"/>
        <v>0.34775641025641024</v>
      </c>
      <c r="O139" s="262">
        <f t="shared" si="45"/>
        <v>4.5208333333333339</v>
      </c>
      <c r="P139" s="248">
        <f t="shared" si="39"/>
        <v>0.34775641025641024</v>
      </c>
      <c r="Q139" s="262">
        <f t="shared" si="46"/>
        <v>0.7416666666666667</v>
      </c>
      <c r="R139" s="262">
        <f t="shared" si="47"/>
        <v>3.708333333333333</v>
      </c>
      <c r="S139" s="248">
        <f t="shared" si="40"/>
        <v>0.7416666666666667</v>
      </c>
      <c r="T139" s="262">
        <f t="shared" si="48"/>
        <v>1.5032051282051282</v>
      </c>
      <c r="U139" s="262">
        <f t="shared" si="49"/>
        <v>1.5633333333333335</v>
      </c>
      <c r="V139">
        <f t="shared" si="50"/>
        <v>1.5032051282051282</v>
      </c>
    </row>
    <row r="140" spans="2:22">
      <c r="B140">
        <f t="shared" si="41"/>
        <v>64</v>
      </c>
      <c r="C140">
        <v>20</v>
      </c>
      <c r="D140">
        <f t="shared" si="36"/>
        <v>3.2</v>
      </c>
      <c r="E140">
        <f t="shared" si="37"/>
        <v>2666.6666666666665</v>
      </c>
      <c r="F140">
        <f t="shared" si="42"/>
        <v>666.66666666666663</v>
      </c>
      <c r="G140">
        <f t="shared" si="38"/>
        <v>20</v>
      </c>
      <c r="H140" s="339">
        <f t="shared" si="43"/>
        <v>10</v>
      </c>
      <c r="I140" s="242"/>
      <c r="J140" s="242"/>
      <c r="K140" s="248"/>
      <c r="N140" s="262">
        <f t="shared" si="44"/>
        <v>0.34479166666666666</v>
      </c>
      <c r="O140" s="262">
        <f t="shared" si="45"/>
        <v>4.413333333333334</v>
      </c>
      <c r="P140" s="248">
        <f t="shared" si="39"/>
        <v>0.34479166666666666</v>
      </c>
      <c r="Q140" s="262">
        <f t="shared" si="46"/>
        <v>0.73645833333333333</v>
      </c>
      <c r="R140" s="262">
        <f t="shared" si="47"/>
        <v>3.6256410256410256</v>
      </c>
      <c r="S140" s="248">
        <f t="shared" si="40"/>
        <v>0.73645833333333333</v>
      </c>
      <c r="T140" s="262">
        <f t="shared" si="48"/>
        <v>1.5098958333333332</v>
      </c>
      <c r="U140" s="262">
        <f t="shared" si="49"/>
        <v>1.5461333333333334</v>
      </c>
      <c r="V140">
        <f t="shared" si="50"/>
        <v>1.5098958333333332</v>
      </c>
    </row>
    <row r="141" spans="2:22">
      <c r="B141">
        <f t="shared" si="41"/>
        <v>63</v>
      </c>
      <c r="C141">
        <v>20</v>
      </c>
      <c r="D141">
        <f t="shared" si="36"/>
        <v>3.15</v>
      </c>
      <c r="E141">
        <f t="shared" si="37"/>
        <v>2666.6666666666665</v>
      </c>
      <c r="F141">
        <f t="shared" si="42"/>
        <v>666.66666666666663</v>
      </c>
      <c r="G141">
        <f t="shared" si="38"/>
        <v>20</v>
      </c>
      <c r="H141" s="339">
        <f t="shared" si="43"/>
        <v>10</v>
      </c>
      <c r="I141" s="242"/>
      <c r="J141" s="242"/>
      <c r="K141" s="248"/>
      <c r="N141" s="262">
        <f t="shared" si="44"/>
        <v>0.34186507936507937</v>
      </c>
      <c r="O141" s="262">
        <f t="shared" si="45"/>
        <v>4.3075000000000001</v>
      </c>
      <c r="P141" s="248">
        <f t="shared" si="39"/>
        <v>0.34186507936507937</v>
      </c>
      <c r="Q141" s="262">
        <f t="shared" si="46"/>
        <v>0.73134920634920642</v>
      </c>
      <c r="R141" s="262">
        <f t="shared" si="47"/>
        <v>3.5442307692307691</v>
      </c>
      <c r="S141" s="248">
        <f t="shared" si="40"/>
        <v>0.73134920634920642</v>
      </c>
      <c r="T141" s="262">
        <f t="shared" si="48"/>
        <v>1.517063492063492</v>
      </c>
      <c r="U141" s="262">
        <f t="shared" si="49"/>
        <v>1.5291999999999999</v>
      </c>
      <c r="V141">
        <f t="shared" si="50"/>
        <v>1.517063492063492</v>
      </c>
    </row>
    <row r="142" spans="2:22">
      <c r="B142">
        <f t="shared" si="41"/>
        <v>62</v>
      </c>
      <c r="C142">
        <v>20</v>
      </c>
      <c r="D142">
        <f t="shared" si="36"/>
        <v>3.1</v>
      </c>
      <c r="E142">
        <f t="shared" si="37"/>
        <v>2666.6666666666665</v>
      </c>
      <c r="F142">
        <f t="shared" si="42"/>
        <v>666.66666666666663</v>
      </c>
      <c r="G142">
        <f t="shared" si="38"/>
        <v>20</v>
      </c>
      <c r="H142" s="339">
        <f t="shared" si="43"/>
        <v>10</v>
      </c>
      <c r="I142" s="242"/>
      <c r="J142" s="242"/>
      <c r="K142" s="248"/>
      <c r="N142" s="262">
        <f t="shared" si="44"/>
        <v>0.33897849462365592</v>
      </c>
      <c r="O142" s="262">
        <f t="shared" si="45"/>
        <v>4.2033333333333331</v>
      </c>
      <c r="P142" s="248">
        <f t="shared" si="39"/>
        <v>0.33897849462365592</v>
      </c>
      <c r="Q142" s="262">
        <f t="shared" si="46"/>
        <v>0.72634408602150546</v>
      </c>
      <c r="R142" s="262">
        <f t="shared" si="47"/>
        <v>3.4641025641025638</v>
      </c>
      <c r="S142" s="248">
        <f t="shared" si="40"/>
        <v>0.72634408602150546</v>
      </c>
      <c r="T142" s="262">
        <f t="shared" si="48"/>
        <v>1.5247311827956991</v>
      </c>
      <c r="U142" s="262">
        <f t="shared" si="49"/>
        <v>1.5125333333333333</v>
      </c>
      <c r="V142">
        <f t="shared" si="50"/>
        <v>1.5125333333333333</v>
      </c>
    </row>
    <row r="143" spans="2:22">
      <c r="B143">
        <f t="shared" si="41"/>
        <v>61</v>
      </c>
      <c r="C143">
        <v>20</v>
      </c>
      <c r="D143">
        <f t="shared" si="36"/>
        <v>3.05</v>
      </c>
      <c r="E143">
        <f t="shared" si="37"/>
        <v>2666.6666666666665</v>
      </c>
      <c r="F143">
        <f t="shared" si="42"/>
        <v>666.66666666666663</v>
      </c>
      <c r="G143">
        <f t="shared" si="38"/>
        <v>20</v>
      </c>
      <c r="H143" s="339">
        <f t="shared" si="43"/>
        <v>10</v>
      </c>
      <c r="I143" s="242"/>
      <c r="J143" s="242"/>
      <c r="K143" s="248"/>
      <c r="N143" s="262">
        <f t="shared" si="44"/>
        <v>0.33613387978142073</v>
      </c>
      <c r="O143" s="262">
        <f t="shared" si="45"/>
        <v>4.100833333333334</v>
      </c>
      <c r="P143" s="248">
        <f t="shared" si="39"/>
        <v>0.33613387978142073</v>
      </c>
      <c r="Q143" s="262">
        <f t="shared" si="46"/>
        <v>0.72144808743169397</v>
      </c>
      <c r="R143" s="262">
        <f t="shared" si="47"/>
        <v>3.3852564102564102</v>
      </c>
      <c r="S143" s="248">
        <f t="shared" si="40"/>
        <v>0.72144808743169397</v>
      </c>
      <c r="T143" s="262">
        <f t="shared" si="48"/>
        <v>1.5329234972677594</v>
      </c>
      <c r="U143" s="262">
        <f t="shared" si="49"/>
        <v>1.4961333333333333</v>
      </c>
      <c r="V143">
        <f t="shared" si="50"/>
        <v>1.4961333333333333</v>
      </c>
    </row>
    <row r="144" spans="2:22">
      <c r="B144">
        <f t="shared" si="41"/>
        <v>60</v>
      </c>
      <c r="C144">
        <v>20</v>
      </c>
      <c r="D144">
        <f t="shared" si="36"/>
        <v>3</v>
      </c>
      <c r="E144">
        <f t="shared" si="37"/>
        <v>2666.6666666666665</v>
      </c>
      <c r="F144">
        <f t="shared" si="42"/>
        <v>666.66666666666663</v>
      </c>
      <c r="G144">
        <f t="shared" si="38"/>
        <v>20</v>
      </c>
      <c r="H144" s="339">
        <f t="shared" si="43"/>
        <v>10</v>
      </c>
      <c r="I144" s="242"/>
      <c r="J144" s="242"/>
      <c r="K144" s="248"/>
      <c r="N144" s="262">
        <f t="shared" si="44"/>
        <v>0.33333333333333331</v>
      </c>
      <c r="O144" s="262">
        <f t="shared" si="45"/>
        <v>4</v>
      </c>
      <c r="P144" s="248">
        <f t="shared" si="39"/>
        <v>0.33333333333333331</v>
      </c>
      <c r="Q144" s="262">
        <f t="shared" si="46"/>
        <v>0.71666666666666667</v>
      </c>
      <c r="R144" s="262">
        <f t="shared" si="47"/>
        <v>3.3076923076923075</v>
      </c>
      <c r="S144" s="248">
        <f t="shared" si="40"/>
        <v>0.71666666666666667</v>
      </c>
      <c r="T144" s="262">
        <f t="shared" si="48"/>
        <v>1.5416666666666665</v>
      </c>
      <c r="U144" s="262">
        <f t="shared" si="49"/>
        <v>1.48</v>
      </c>
      <c r="V144">
        <f t="shared" si="50"/>
        <v>1.48</v>
      </c>
    </row>
    <row r="145" spans="2:22">
      <c r="B145">
        <f t="shared" si="41"/>
        <v>59</v>
      </c>
      <c r="C145">
        <v>20</v>
      </c>
      <c r="D145">
        <f t="shared" si="36"/>
        <v>2.95</v>
      </c>
      <c r="E145">
        <f t="shared" si="37"/>
        <v>2666.6666666666665</v>
      </c>
      <c r="F145">
        <f t="shared" si="42"/>
        <v>666.66666666666663</v>
      </c>
      <c r="G145">
        <f t="shared" si="38"/>
        <v>20</v>
      </c>
      <c r="H145" s="339">
        <f t="shared" si="43"/>
        <v>10</v>
      </c>
      <c r="I145" s="242"/>
      <c r="J145" s="242"/>
      <c r="K145" s="248"/>
      <c r="N145" s="262">
        <f t="shared" si="44"/>
        <v>0.33057909604519775</v>
      </c>
      <c r="O145" s="262">
        <f t="shared" si="45"/>
        <v>3.9008333333333334</v>
      </c>
      <c r="P145" s="248">
        <f t="shared" si="39"/>
        <v>0.33057909604519775</v>
      </c>
      <c r="Q145" s="262">
        <f t="shared" si="46"/>
        <v>0.71200564971751412</v>
      </c>
      <c r="R145" s="262">
        <f t="shared" si="47"/>
        <v>3.231410256410256</v>
      </c>
      <c r="S145" s="248">
        <f t="shared" si="40"/>
        <v>0.71200564971751412</v>
      </c>
      <c r="T145" s="262">
        <f t="shared" si="48"/>
        <v>1.5509887005649716</v>
      </c>
      <c r="U145" s="262">
        <f t="shared" si="49"/>
        <v>1.4641333333333333</v>
      </c>
      <c r="V145">
        <f t="shared" si="50"/>
        <v>1.4641333333333333</v>
      </c>
    </row>
    <row r="146" spans="2:22">
      <c r="B146">
        <f t="shared" si="41"/>
        <v>58</v>
      </c>
      <c r="C146">
        <v>20</v>
      </c>
      <c r="D146">
        <f t="shared" si="36"/>
        <v>2.9</v>
      </c>
      <c r="E146">
        <f t="shared" si="37"/>
        <v>2666.6666666666665</v>
      </c>
      <c r="F146">
        <f t="shared" si="42"/>
        <v>666.66666666666663</v>
      </c>
      <c r="G146">
        <f t="shared" si="38"/>
        <v>20</v>
      </c>
      <c r="H146" s="339">
        <f t="shared" si="43"/>
        <v>10</v>
      </c>
      <c r="I146" s="242"/>
      <c r="J146" s="242"/>
      <c r="K146" s="248"/>
      <c r="N146" s="262">
        <f t="shared" si="44"/>
        <v>0.32787356321839078</v>
      </c>
      <c r="O146" s="262">
        <f t="shared" si="45"/>
        <v>3.8033333333333332</v>
      </c>
      <c r="P146" s="248">
        <f t="shared" si="39"/>
        <v>0.32787356321839078</v>
      </c>
      <c r="Q146" s="262">
        <f t="shared" si="46"/>
        <v>0.70747126436781615</v>
      </c>
      <c r="R146" s="262">
        <f t="shared" si="47"/>
        <v>3.1564102564102563</v>
      </c>
      <c r="S146" s="248">
        <f t="shared" si="40"/>
        <v>0.70747126436781615</v>
      </c>
      <c r="T146" s="262">
        <f t="shared" si="48"/>
        <v>1.5609195402298852</v>
      </c>
      <c r="U146" s="262">
        <f t="shared" si="49"/>
        <v>1.4485333333333332</v>
      </c>
      <c r="V146">
        <f t="shared" si="50"/>
        <v>1.4485333333333332</v>
      </c>
    </row>
    <row r="147" spans="2:22">
      <c r="B147">
        <f t="shared" si="41"/>
        <v>57</v>
      </c>
      <c r="C147">
        <v>20</v>
      </c>
      <c r="D147">
        <f t="shared" si="36"/>
        <v>2.85</v>
      </c>
      <c r="E147">
        <f t="shared" si="37"/>
        <v>2666.6666666666665</v>
      </c>
      <c r="F147">
        <f t="shared" si="42"/>
        <v>666.66666666666663</v>
      </c>
      <c r="G147">
        <f t="shared" si="38"/>
        <v>20</v>
      </c>
      <c r="H147" s="339">
        <f t="shared" si="43"/>
        <v>10</v>
      </c>
      <c r="I147" s="242"/>
      <c r="J147" s="242"/>
      <c r="K147" s="248"/>
      <c r="N147" s="262">
        <f t="shared" si="44"/>
        <v>0.32521929824561402</v>
      </c>
      <c r="O147" s="262">
        <f t="shared" si="45"/>
        <v>3.7075</v>
      </c>
      <c r="P147" s="248">
        <f t="shared" si="39"/>
        <v>0.32521929824561402</v>
      </c>
      <c r="Q147" s="262">
        <f t="shared" si="46"/>
        <v>0.7030701754385964</v>
      </c>
      <c r="R147" s="262">
        <f t="shared" si="47"/>
        <v>3.0826923076923074</v>
      </c>
      <c r="S147" s="248">
        <f t="shared" si="40"/>
        <v>0.7030701754385964</v>
      </c>
      <c r="T147" s="262">
        <f t="shared" si="48"/>
        <v>1.5714912280701752</v>
      </c>
      <c r="U147" s="262">
        <f t="shared" si="49"/>
        <v>1.4332</v>
      </c>
      <c r="V147">
        <f t="shared" si="50"/>
        <v>1.4332</v>
      </c>
    </row>
    <row r="148" spans="2:22">
      <c r="B148">
        <f t="shared" si="41"/>
        <v>56</v>
      </c>
      <c r="C148">
        <v>20</v>
      </c>
      <c r="D148">
        <f t="shared" si="36"/>
        <v>2.8</v>
      </c>
      <c r="E148">
        <f t="shared" si="37"/>
        <v>2666.6666666666665</v>
      </c>
      <c r="F148">
        <f t="shared" si="42"/>
        <v>666.66666666666663</v>
      </c>
      <c r="G148">
        <f t="shared" si="38"/>
        <v>20</v>
      </c>
      <c r="H148" s="339">
        <f t="shared" si="43"/>
        <v>10</v>
      </c>
      <c r="I148" s="242"/>
      <c r="J148" s="242"/>
      <c r="K148" s="248"/>
      <c r="N148" s="262">
        <f t="shared" si="44"/>
        <v>0.32261904761904764</v>
      </c>
      <c r="O148" s="262">
        <f t="shared" si="45"/>
        <v>3.6133333333333333</v>
      </c>
      <c r="P148" s="248">
        <f t="shared" si="39"/>
        <v>0.32261904761904764</v>
      </c>
      <c r="Q148" s="262">
        <f t="shared" si="46"/>
        <v>0.69880952380952377</v>
      </c>
      <c r="R148" s="262">
        <f t="shared" si="47"/>
        <v>3.0102564102564102</v>
      </c>
      <c r="S148" s="248">
        <f t="shared" si="40"/>
        <v>0.69880952380952377</v>
      </c>
      <c r="T148" s="262">
        <f t="shared" si="48"/>
        <v>1.5827380952380952</v>
      </c>
      <c r="U148" s="262">
        <f t="shared" si="49"/>
        <v>1.4181333333333335</v>
      </c>
      <c r="V148">
        <f t="shared" si="50"/>
        <v>1.4181333333333335</v>
      </c>
    </row>
    <row r="149" spans="2:22">
      <c r="B149">
        <f t="shared" si="41"/>
        <v>55</v>
      </c>
      <c r="C149">
        <v>20</v>
      </c>
      <c r="D149">
        <f t="shared" si="36"/>
        <v>2.75</v>
      </c>
      <c r="E149">
        <f t="shared" si="37"/>
        <v>2666.6666666666665</v>
      </c>
      <c r="F149">
        <f t="shared" si="42"/>
        <v>666.66666666666663</v>
      </c>
      <c r="G149">
        <f t="shared" si="38"/>
        <v>20</v>
      </c>
      <c r="H149" s="339">
        <f t="shared" si="43"/>
        <v>10</v>
      </c>
      <c r="I149" s="242"/>
      <c r="J149" s="242"/>
      <c r="K149" s="248"/>
      <c r="N149" s="262">
        <f t="shared" si="44"/>
        <v>0.32007575757575757</v>
      </c>
      <c r="O149" s="262">
        <f t="shared" si="45"/>
        <v>3.5208333333333335</v>
      </c>
      <c r="P149" s="248">
        <f t="shared" si="39"/>
        <v>0.32007575757575757</v>
      </c>
      <c r="Q149" s="262">
        <f t="shared" si="46"/>
        <v>0.6946969696969697</v>
      </c>
      <c r="R149" s="262">
        <f t="shared" si="47"/>
        <v>2.9391025641025639</v>
      </c>
      <c r="S149" s="248">
        <f t="shared" si="40"/>
        <v>0.6946969696969697</v>
      </c>
      <c r="T149" s="262">
        <f t="shared" si="48"/>
        <v>1.5946969696969697</v>
      </c>
      <c r="U149" s="262">
        <f t="shared" si="49"/>
        <v>1.4033333333333333</v>
      </c>
      <c r="V149">
        <f t="shared" si="50"/>
        <v>1.4033333333333333</v>
      </c>
    </row>
    <row r="150" spans="2:22">
      <c r="B150">
        <f t="shared" si="41"/>
        <v>54</v>
      </c>
      <c r="C150">
        <v>20</v>
      </c>
      <c r="D150">
        <f t="shared" si="36"/>
        <v>2.7</v>
      </c>
      <c r="E150">
        <f t="shared" si="37"/>
        <v>2666.6666666666665</v>
      </c>
      <c r="F150">
        <f t="shared" si="42"/>
        <v>666.66666666666663</v>
      </c>
      <c r="G150">
        <f t="shared" si="38"/>
        <v>20</v>
      </c>
      <c r="H150" s="339">
        <f t="shared" si="43"/>
        <v>10</v>
      </c>
      <c r="I150" s="242"/>
      <c r="J150" s="242"/>
      <c r="K150" s="248"/>
      <c r="N150" s="262">
        <f t="shared" si="44"/>
        <v>0.31759259259259259</v>
      </c>
      <c r="O150" s="262">
        <f t="shared" si="45"/>
        <v>3.43</v>
      </c>
      <c r="P150" s="248">
        <f t="shared" si="39"/>
        <v>0.31759259259259259</v>
      </c>
      <c r="Q150" s="262">
        <f t="shared" si="46"/>
        <v>0.69074074074074077</v>
      </c>
      <c r="R150" s="262">
        <f t="shared" si="47"/>
        <v>2.8692307692307693</v>
      </c>
      <c r="S150" s="248">
        <f t="shared" si="40"/>
        <v>0.69074074074074077</v>
      </c>
      <c r="T150" s="262">
        <f t="shared" si="48"/>
        <v>1.6074074074074074</v>
      </c>
      <c r="U150" s="262">
        <f t="shared" si="49"/>
        <v>1.3888</v>
      </c>
      <c r="V150">
        <f t="shared" si="50"/>
        <v>1.3888</v>
      </c>
    </row>
    <row r="151" spans="2:22">
      <c r="B151">
        <f t="shared" si="41"/>
        <v>53</v>
      </c>
      <c r="C151">
        <v>20</v>
      </c>
      <c r="D151">
        <f t="shared" si="36"/>
        <v>2.65</v>
      </c>
      <c r="E151">
        <f t="shared" si="37"/>
        <v>2666.6666666666665</v>
      </c>
      <c r="F151">
        <f t="shared" si="42"/>
        <v>666.66666666666663</v>
      </c>
      <c r="G151">
        <f t="shared" si="38"/>
        <v>20</v>
      </c>
      <c r="H151" s="339">
        <f t="shared" si="43"/>
        <v>10</v>
      </c>
      <c r="I151" s="242"/>
      <c r="J151" s="242"/>
      <c r="K151" s="248"/>
      <c r="N151" s="262">
        <f t="shared" si="44"/>
        <v>0.31517295597484274</v>
      </c>
      <c r="O151" s="262">
        <f t="shared" si="45"/>
        <v>3.3408333333333333</v>
      </c>
      <c r="P151" s="248">
        <f t="shared" si="39"/>
        <v>0.31517295597484274</v>
      </c>
      <c r="Q151" s="262">
        <f t="shared" si="46"/>
        <v>0.68694968553459124</v>
      </c>
      <c r="R151" s="262">
        <f t="shared" si="47"/>
        <v>2.8006410256410255</v>
      </c>
      <c r="S151" s="248">
        <f t="shared" si="40"/>
        <v>0.68694968553459124</v>
      </c>
      <c r="T151" s="262">
        <f t="shared" si="48"/>
        <v>1.6209119496855346</v>
      </c>
      <c r="U151" s="262">
        <f t="shared" si="49"/>
        <v>1.3745333333333334</v>
      </c>
      <c r="V151">
        <f t="shared" si="50"/>
        <v>1.3745333333333334</v>
      </c>
    </row>
    <row r="152" spans="2:22">
      <c r="B152">
        <f t="shared" si="41"/>
        <v>52</v>
      </c>
      <c r="C152">
        <v>20</v>
      </c>
      <c r="D152">
        <f t="shared" si="36"/>
        <v>2.6</v>
      </c>
      <c r="E152">
        <f t="shared" si="37"/>
        <v>2666.6666666666665</v>
      </c>
      <c r="F152">
        <f t="shared" si="42"/>
        <v>666.66666666666663</v>
      </c>
      <c r="G152">
        <f t="shared" si="38"/>
        <v>20</v>
      </c>
      <c r="H152" s="339">
        <f t="shared" si="43"/>
        <v>10</v>
      </c>
      <c r="I152" s="242"/>
      <c r="J152" s="242"/>
      <c r="K152" s="248"/>
      <c r="N152" s="262">
        <f t="shared" si="44"/>
        <v>0.31282051282051282</v>
      </c>
      <c r="O152" s="262">
        <f t="shared" si="45"/>
        <v>3.2533333333333334</v>
      </c>
      <c r="P152" s="248">
        <f t="shared" si="39"/>
        <v>0.31282051282051282</v>
      </c>
      <c r="Q152" s="262">
        <f t="shared" si="46"/>
        <v>0.68333333333333335</v>
      </c>
      <c r="R152" s="262">
        <f t="shared" si="47"/>
        <v>2.7333333333333334</v>
      </c>
      <c r="S152" s="248">
        <f t="shared" si="40"/>
        <v>0.68333333333333335</v>
      </c>
      <c r="T152" s="262">
        <f t="shared" si="48"/>
        <v>1.6352564102564104</v>
      </c>
      <c r="U152" s="262">
        <f t="shared" si="49"/>
        <v>1.3605333333333334</v>
      </c>
      <c r="V152">
        <f t="shared" si="50"/>
        <v>1.3605333333333334</v>
      </c>
    </row>
    <row r="153" spans="2:22">
      <c r="B153">
        <f t="shared" si="41"/>
        <v>51</v>
      </c>
      <c r="C153">
        <v>20</v>
      </c>
      <c r="D153">
        <f t="shared" si="36"/>
        <v>2.5499999999999998</v>
      </c>
      <c r="E153">
        <f t="shared" si="37"/>
        <v>2666.6666666666665</v>
      </c>
      <c r="F153">
        <f t="shared" si="42"/>
        <v>666.66666666666663</v>
      </c>
      <c r="G153">
        <f t="shared" si="38"/>
        <v>20</v>
      </c>
      <c r="H153" s="339">
        <f t="shared" si="43"/>
        <v>10</v>
      </c>
      <c r="I153" s="242"/>
      <c r="J153" s="242"/>
      <c r="K153" s="248"/>
      <c r="N153" s="262">
        <f t="shared" si="44"/>
        <v>0.31053921568627452</v>
      </c>
      <c r="O153" s="262">
        <f t="shared" si="45"/>
        <v>3.1675</v>
      </c>
      <c r="P153" s="248">
        <f t="shared" si="39"/>
        <v>0.31053921568627452</v>
      </c>
      <c r="Q153" s="262">
        <f t="shared" si="46"/>
        <v>0.67990196078431375</v>
      </c>
      <c r="R153" s="262">
        <f t="shared" si="47"/>
        <v>2.6673076923076922</v>
      </c>
      <c r="S153" s="248">
        <f t="shared" si="40"/>
        <v>0.67990196078431375</v>
      </c>
      <c r="T153" s="262">
        <f t="shared" si="48"/>
        <v>1.6504901960784315</v>
      </c>
      <c r="U153" s="262">
        <f t="shared" si="49"/>
        <v>1.3468</v>
      </c>
      <c r="V153">
        <f t="shared" si="50"/>
        <v>1.3468</v>
      </c>
    </row>
    <row r="154" spans="2:22">
      <c r="B154">
        <f t="shared" si="41"/>
        <v>50</v>
      </c>
      <c r="C154">
        <v>20</v>
      </c>
      <c r="D154">
        <f t="shared" si="36"/>
        <v>2.5</v>
      </c>
      <c r="E154">
        <f t="shared" si="37"/>
        <v>2666.6666666666665</v>
      </c>
      <c r="F154">
        <f t="shared" si="42"/>
        <v>666.66666666666663</v>
      </c>
      <c r="G154">
        <f t="shared" si="38"/>
        <v>20</v>
      </c>
      <c r="H154" s="339">
        <f t="shared" si="43"/>
        <v>10</v>
      </c>
      <c r="I154" s="242"/>
      <c r="J154" s="242"/>
      <c r="K154" s="248"/>
      <c r="N154" s="262">
        <f t="shared" si="44"/>
        <v>0.30833333333333335</v>
      </c>
      <c r="O154" s="262">
        <f t="shared" si="45"/>
        <v>3.0833333333333335</v>
      </c>
      <c r="P154" s="248">
        <f t="shared" si="39"/>
        <v>0.30833333333333335</v>
      </c>
      <c r="Q154" s="262">
        <f t="shared" si="46"/>
        <v>0.67666666666666675</v>
      </c>
      <c r="R154" s="262">
        <f t="shared" si="47"/>
        <v>2.6025641025641026</v>
      </c>
      <c r="S154" s="248">
        <f t="shared" si="40"/>
        <v>0.67666666666666675</v>
      </c>
      <c r="T154" s="262">
        <f t="shared" si="48"/>
        <v>1.6666666666666667</v>
      </c>
      <c r="U154" s="262">
        <f t="shared" si="49"/>
        <v>1.3333333333333335</v>
      </c>
      <c r="V154">
        <f t="shared" si="50"/>
        <v>1.3333333333333335</v>
      </c>
    </row>
    <row r="155" spans="2:22">
      <c r="B155">
        <f t="shared" si="41"/>
        <v>49</v>
      </c>
      <c r="C155">
        <v>20</v>
      </c>
      <c r="D155">
        <f t="shared" si="36"/>
        <v>2.4500000000000002</v>
      </c>
      <c r="E155">
        <f t="shared" si="37"/>
        <v>2666.6666666666665</v>
      </c>
      <c r="F155">
        <f t="shared" si="42"/>
        <v>666.66666666666663</v>
      </c>
      <c r="G155">
        <f t="shared" si="38"/>
        <v>20</v>
      </c>
      <c r="H155" s="339">
        <f t="shared" si="43"/>
        <v>10</v>
      </c>
      <c r="I155" s="242"/>
      <c r="J155" s="242"/>
      <c r="K155" s="248"/>
      <c r="N155" s="262">
        <f t="shared" si="44"/>
        <v>0.30620748299319728</v>
      </c>
      <c r="O155" s="262">
        <f t="shared" si="45"/>
        <v>3.0008333333333335</v>
      </c>
      <c r="P155" s="248">
        <f t="shared" si="39"/>
        <v>0.30620748299319728</v>
      </c>
      <c r="Q155" s="262">
        <f t="shared" si="46"/>
        <v>0.67363945578231288</v>
      </c>
      <c r="R155" s="262">
        <f t="shared" si="47"/>
        <v>2.539102564102564</v>
      </c>
      <c r="S155" s="248">
        <f t="shared" si="40"/>
        <v>0.67363945578231288</v>
      </c>
      <c r="T155" s="262">
        <f t="shared" si="48"/>
        <v>1.6838435374149658</v>
      </c>
      <c r="U155" s="262">
        <f t="shared" si="49"/>
        <v>1.3201333333333334</v>
      </c>
      <c r="V155">
        <f t="shared" si="50"/>
        <v>1.3201333333333334</v>
      </c>
    </row>
    <row r="156" spans="2:22">
      <c r="B156">
        <f t="shared" si="41"/>
        <v>48</v>
      </c>
      <c r="C156">
        <v>20</v>
      </c>
      <c r="D156">
        <f t="shared" si="36"/>
        <v>2.4</v>
      </c>
      <c r="E156">
        <f t="shared" si="37"/>
        <v>2666.6666666666665</v>
      </c>
      <c r="F156">
        <f t="shared" si="42"/>
        <v>666.66666666666663</v>
      </c>
      <c r="G156">
        <f t="shared" si="38"/>
        <v>20</v>
      </c>
      <c r="H156" s="339">
        <f t="shared" si="43"/>
        <v>10</v>
      </c>
      <c r="I156" s="242"/>
      <c r="J156" s="242"/>
      <c r="K156" s="248"/>
      <c r="N156" s="262">
        <f t="shared" si="44"/>
        <v>0.3041666666666667</v>
      </c>
      <c r="O156" s="262">
        <f t="shared" si="45"/>
        <v>2.92</v>
      </c>
      <c r="P156" s="248">
        <f t="shared" si="39"/>
        <v>0.3041666666666667</v>
      </c>
      <c r="Q156" s="262">
        <f t="shared" si="46"/>
        <v>0.67083333333333339</v>
      </c>
      <c r="R156" s="262">
        <f t="shared" si="47"/>
        <v>2.476923076923077</v>
      </c>
      <c r="S156" s="248">
        <f t="shared" si="40"/>
        <v>0.67083333333333339</v>
      </c>
      <c r="T156" s="262">
        <f t="shared" si="48"/>
        <v>1.7020833333333334</v>
      </c>
      <c r="U156" s="262">
        <f t="shared" si="49"/>
        <v>1.3071999999999999</v>
      </c>
      <c r="V156">
        <f t="shared" si="50"/>
        <v>1.3071999999999999</v>
      </c>
    </row>
    <row r="157" spans="2:22" s="348" customFormat="1">
      <c r="B157" s="348">
        <f t="shared" si="41"/>
        <v>47</v>
      </c>
      <c r="C157" s="348">
        <v>20</v>
      </c>
      <c r="D157" s="348">
        <f t="shared" si="36"/>
        <v>2.35</v>
      </c>
      <c r="E157" s="348">
        <f t="shared" si="37"/>
        <v>2666.6666666666665</v>
      </c>
      <c r="F157" s="348">
        <f t="shared" si="42"/>
        <v>666.66666666666663</v>
      </c>
      <c r="G157" s="348">
        <f t="shared" si="38"/>
        <v>20</v>
      </c>
      <c r="H157" s="701">
        <f t="shared" si="43"/>
        <v>10</v>
      </c>
      <c r="I157" s="701"/>
      <c r="J157" s="701"/>
      <c r="K157" s="702"/>
      <c r="N157" s="703">
        <f t="shared" si="44"/>
        <v>0.3022163120567376</v>
      </c>
      <c r="O157" s="703">
        <f t="shared" si="45"/>
        <v>2.8408333333333333</v>
      </c>
      <c r="P157" s="702">
        <f t="shared" si="39"/>
        <v>0.3022163120567376</v>
      </c>
      <c r="Q157" s="262">
        <f t="shared" si="46"/>
        <v>0.66826241134751774</v>
      </c>
      <c r="R157" s="262">
        <f t="shared" si="47"/>
        <v>2.4160256410256409</v>
      </c>
      <c r="S157" s="702">
        <f t="shared" si="40"/>
        <v>0.66826241134751774</v>
      </c>
      <c r="T157" s="262">
        <f t="shared" si="48"/>
        <v>1.7214539007092198</v>
      </c>
      <c r="U157" s="262">
        <f t="shared" si="49"/>
        <v>1.2945333333333333</v>
      </c>
      <c r="V157" s="348">
        <f t="shared" si="50"/>
        <v>1.2945333333333333</v>
      </c>
    </row>
    <row r="158" spans="2:22" s="348" customFormat="1">
      <c r="B158" s="348">
        <f t="shared" si="41"/>
        <v>46</v>
      </c>
      <c r="C158" s="348">
        <v>20</v>
      </c>
      <c r="D158" s="348">
        <f t="shared" si="36"/>
        <v>2.2999999999999998</v>
      </c>
      <c r="E158" s="348">
        <f t="shared" si="37"/>
        <v>2666.6666666666665</v>
      </c>
      <c r="F158" s="348">
        <f t="shared" si="42"/>
        <v>666.66666666666663</v>
      </c>
      <c r="G158" s="348">
        <f t="shared" si="38"/>
        <v>20</v>
      </c>
      <c r="H158" s="701">
        <f t="shared" si="43"/>
        <v>10</v>
      </c>
      <c r="I158" s="701"/>
      <c r="J158" s="701"/>
      <c r="K158" s="702"/>
      <c r="N158" s="703">
        <f t="shared" si="44"/>
        <v>0.30036231884057973</v>
      </c>
      <c r="O158" s="703">
        <f t="shared" si="45"/>
        <v>2.7633333333333336</v>
      </c>
      <c r="P158" s="702">
        <f t="shared" si="39"/>
        <v>0.30036231884057973</v>
      </c>
      <c r="Q158" s="262">
        <f t="shared" si="46"/>
        <v>0.66594202898550725</v>
      </c>
      <c r="R158" s="262">
        <f t="shared" si="47"/>
        <v>2.356410256410256</v>
      </c>
      <c r="S158" s="702">
        <f t="shared" si="40"/>
        <v>0.66594202898550725</v>
      </c>
      <c r="T158" s="262">
        <f t="shared" si="48"/>
        <v>1.7420289855072464</v>
      </c>
      <c r="U158" s="262">
        <f t="shared" si="49"/>
        <v>1.2821333333333333</v>
      </c>
      <c r="V158" s="348">
        <f t="shared" si="50"/>
        <v>1.2821333333333333</v>
      </c>
    </row>
    <row r="159" spans="2:22" s="348" customFormat="1">
      <c r="B159" s="348">
        <f t="shared" si="41"/>
        <v>45</v>
      </c>
      <c r="C159" s="348">
        <v>20</v>
      </c>
      <c r="D159" s="348">
        <f t="shared" si="36"/>
        <v>2.25</v>
      </c>
      <c r="E159" s="348">
        <f t="shared" si="37"/>
        <v>2666.6666666666665</v>
      </c>
      <c r="F159" s="348">
        <f t="shared" si="42"/>
        <v>666.66666666666663</v>
      </c>
      <c r="G159" s="348">
        <f t="shared" si="38"/>
        <v>20</v>
      </c>
      <c r="H159" s="701">
        <f t="shared" si="43"/>
        <v>10</v>
      </c>
      <c r="I159" s="701"/>
      <c r="J159" s="701"/>
      <c r="K159" s="702"/>
      <c r="N159" s="703">
        <f t="shared" si="44"/>
        <v>0.2986111111111111</v>
      </c>
      <c r="O159" s="703">
        <f t="shared" si="45"/>
        <v>2.6875</v>
      </c>
      <c r="P159" s="702">
        <f t="shared" si="39"/>
        <v>0.2986111111111111</v>
      </c>
      <c r="Q159" s="262">
        <f t="shared" si="46"/>
        <v>0.66388888888888886</v>
      </c>
      <c r="R159" s="262">
        <f t="shared" si="47"/>
        <v>2.2980769230769229</v>
      </c>
      <c r="S159" s="702">
        <f t="shared" si="40"/>
        <v>0.66388888888888886</v>
      </c>
      <c r="T159" s="262">
        <f t="shared" si="48"/>
        <v>1.7638888888888888</v>
      </c>
      <c r="U159" s="262">
        <f t="shared" si="49"/>
        <v>1.27</v>
      </c>
      <c r="V159" s="348">
        <f t="shared" si="50"/>
        <v>1.27</v>
      </c>
    </row>
    <row r="160" spans="2:22" s="282" customFormat="1">
      <c r="B160" s="282">
        <f t="shared" si="41"/>
        <v>44</v>
      </c>
      <c r="C160" s="282">
        <v>20</v>
      </c>
      <c r="D160" s="282">
        <f t="shared" si="36"/>
        <v>2.2000000000000002</v>
      </c>
      <c r="E160" s="282">
        <f t="shared" si="37"/>
        <v>2666.6666666666665</v>
      </c>
      <c r="F160" s="282">
        <f t="shared" si="42"/>
        <v>666.66666666666663</v>
      </c>
      <c r="G160" s="282">
        <f t="shared" si="38"/>
        <v>20</v>
      </c>
      <c r="H160" s="704">
        <f t="shared" si="43"/>
        <v>10</v>
      </c>
      <c r="I160" s="704"/>
      <c r="J160" s="704"/>
      <c r="K160" s="705"/>
      <c r="N160" s="706">
        <f t="shared" si="44"/>
        <v>0.29696969696969694</v>
      </c>
      <c r="O160" s="706">
        <f t="shared" si="45"/>
        <v>2.6133333333333333</v>
      </c>
      <c r="P160" s="705">
        <f t="shared" si="39"/>
        <v>0.29696969696969694</v>
      </c>
      <c r="Q160" s="262">
        <f t="shared" si="46"/>
        <v>0.66212121212121211</v>
      </c>
      <c r="R160" s="262">
        <f t="shared" si="47"/>
        <v>2.2410256410256411</v>
      </c>
      <c r="S160" s="705">
        <f t="shared" si="40"/>
        <v>0.66212121212121211</v>
      </c>
      <c r="T160" s="706">
        <f t="shared" si="48"/>
        <v>1.7871212121212121</v>
      </c>
      <c r="U160" s="706">
        <f t="shared" si="49"/>
        <v>1.2581333333333333</v>
      </c>
      <c r="V160" s="282">
        <f t="shared" si="50"/>
        <v>1.2581333333333333</v>
      </c>
    </row>
    <row r="161" spans="2:22" s="348" customFormat="1">
      <c r="B161" s="348">
        <f t="shared" si="41"/>
        <v>43</v>
      </c>
      <c r="C161" s="348">
        <v>20</v>
      </c>
      <c r="D161" s="348">
        <f t="shared" si="36"/>
        <v>2.15</v>
      </c>
      <c r="E161" s="348">
        <f t="shared" si="37"/>
        <v>2666.6666666666665</v>
      </c>
      <c r="F161" s="348">
        <f t="shared" si="42"/>
        <v>666.66666666666663</v>
      </c>
      <c r="G161" s="348">
        <f t="shared" si="38"/>
        <v>20</v>
      </c>
      <c r="H161" s="701">
        <f t="shared" si="43"/>
        <v>10</v>
      </c>
      <c r="I161" s="701"/>
      <c r="J161" s="701"/>
      <c r="K161" s="702"/>
      <c r="N161" s="703">
        <f t="shared" si="44"/>
        <v>0.29544573643410854</v>
      </c>
      <c r="O161" s="703">
        <f t="shared" si="45"/>
        <v>2.5408333333333335</v>
      </c>
      <c r="P161" s="702">
        <f t="shared" si="39"/>
        <v>0.29544573643410854</v>
      </c>
      <c r="Q161" s="262">
        <f t="shared" si="46"/>
        <v>0.6606589147286821</v>
      </c>
      <c r="R161" s="262">
        <f t="shared" si="47"/>
        <v>2.18525641025641</v>
      </c>
      <c r="S161" s="702">
        <f t="shared" si="40"/>
        <v>0.6606589147286821</v>
      </c>
      <c r="T161" s="262">
        <f t="shared" si="48"/>
        <v>1.8118217054263566</v>
      </c>
      <c r="U161" s="262">
        <f t="shared" si="49"/>
        <v>1.2465333333333333</v>
      </c>
      <c r="V161" s="348">
        <f t="shared" si="50"/>
        <v>1.2465333333333333</v>
      </c>
    </row>
    <row r="162" spans="2:22" s="348" customFormat="1">
      <c r="B162" s="348">
        <f t="shared" si="41"/>
        <v>42</v>
      </c>
      <c r="C162" s="348">
        <v>20</v>
      </c>
      <c r="D162" s="348">
        <f t="shared" si="36"/>
        <v>2.1</v>
      </c>
      <c r="E162" s="348">
        <f t="shared" si="37"/>
        <v>2666.6666666666665</v>
      </c>
      <c r="F162" s="348">
        <f t="shared" si="42"/>
        <v>666.66666666666663</v>
      </c>
      <c r="G162" s="348">
        <f t="shared" si="38"/>
        <v>20</v>
      </c>
      <c r="H162" s="701">
        <f t="shared" si="43"/>
        <v>10</v>
      </c>
      <c r="I162" s="701"/>
      <c r="J162" s="701"/>
      <c r="K162" s="702"/>
      <c r="N162" s="703">
        <f t="shared" si="44"/>
        <v>0.294047619047619</v>
      </c>
      <c r="O162" s="703">
        <f t="shared" si="45"/>
        <v>2.4699999999999998</v>
      </c>
      <c r="P162" s="702">
        <f t="shared" si="39"/>
        <v>0.294047619047619</v>
      </c>
      <c r="Q162" s="262">
        <f t="shared" si="46"/>
        <v>0.65952380952380951</v>
      </c>
      <c r="R162" s="262">
        <f t="shared" si="47"/>
        <v>2.1307692307692307</v>
      </c>
      <c r="S162" s="702">
        <f t="shared" si="40"/>
        <v>0.65952380952380951</v>
      </c>
      <c r="T162" s="262">
        <f t="shared" si="48"/>
        <v>1.8380952380952378</v>
      </c>
      <c r="U162" s="262">
        <f t="shared" si="49"/>
        <v>1.2352000000000001</v>
      </c>
      <c r="V162" s="348">
        <f t="shared" si="50"/>
        <v>1.2352000000000001</v>
      </c>
    </row>
    <row r="163" spans="2:22" s="348" customFormat="1">
      <c r="B163" s="348">
        <f t="shared" si="41"/>
        <v>41</v>
      </c>
      <c r="C163" s="348">
        <v>20</v>
      </c>
      <c r="D163" s="348">
        <f t="shared" si="36"/>
        <v>2.0499999999999998</v>
      </c>
      <c r="E163" s="348">
        <f t="shared" si="37"/>
        <v>2666.6666666666665</v>
      </c>
      <c r="F163" s="348">
        <f t="shared" si="42"/>
        <v>666.66666666666663</v>
      </c>
      <c r="G163" s="348">
        <f t="shared" si="38"/>
        <v>20</v>
      </c>
      <c r="H163" s="701">
        <f t="shared" si="43"/>
        <v>10</v>
      </c>
      <c r="I163" s="701"/>
      <c r="J163" s="701"/>
      <c r="K163" s="702"/>
      <c r="N163" s="703">
        <f t="shared" si="44"/>
        <v>0.29278455284552846</v>
      </c>
      <c r="O163" s="703">
        <f t="shared" si="45"/>
        <v>2.4008333333333334</v>
      </c>
      <c r="P163" s="702">
        <f t="shared" si="39"/>
        <v>0.29278455284552846</v>
      </c>
      <c r="Q163" s="262">
        <f t="shared" si="46"/>
        <v>0.65873983739837394</v>
      </c>
      <c r="R163" s="262">
        <f t="shared" si="47"/>
        <v>2.0775641025641027</v>
      </c>
      <c r="S163" s="702">
        <f t="shared" si="40"/>
        <v>0.65873983739837394</v>
      </c>
      <c r="T163" s="262">
        <f t="shared" si="48"/>
        <v>1.8660569105691058</v>
      </c>
      <c r="U163" s="262">
        <f t="shared" si="49"/>
        <v>1.2241333333333333</v>
      </c>
      <c r="V163" s="348">
        <f t="shared" si="50"/>
        <v>1.2241333333333333</v>
      </c>
    </row>
    <row r="164" spans="2:22" s="348" customFormat="1">
      <c r="B164" s="348">
        <f t="shared" si="41"/>
        <v>40</v>
      </c>
      <c r="C164" s="348">
        <v>20</v>
      </c>
      <c r="D164" s="348">
        <f t="shared" si="36"/>
        <v>2</v>
      </c>
      <c r="E164" s="348">
        <f t="shared" si="37"/>
        <v>2666.6666666666665</v>
      </c>
      <c r="F164" s="348">
        <f t="shared" si="42"/>
        <v>666.66666666666663</v>
      </c>
      <c r="G164" s="348">
        <f t="shared" si="38"/>
        <v>20</v>
      </c>
      <c r="H164" s="701">
        <f t="shared" si="43"/>
        <v>10</v>
      </c>
      <c r="I164" s="701"/>
      <c r="J164" s="701"/>
      <c r="K164" s="702"/>
      <c r="N164" s="703">
        <f t="shared" si="44"/>
        <v>0.29166666666666663</v>
      </c>
      <c r="O164" s="703">
        <f t="shared" si="45"/>
        <v>2.333333333333333</v>
      </c>
      <c r="P164" s="702">
        <f t="shared" ref="P164:P195" si="51">MIN(N164:O164)</f>
        <v>0.29166666666666663</v>
      </c>
      <c r="Q164" s="262">
        <f t="shared" si="46"/>
        <v>0.65833333333333333</v>
      </c>
      <c r="R164" s="262">
        <f t="shared" si="47"/>
        <v>2.0256410256410255</v>
      </c>
      <c r="S164" s="702">
        <f t="shared" ref="S164:S195" si="52">MIN(Q164:R164)</f>
        <v>0.65833333333333333</v>
      </c>
      <c r="T164" s="262">
        <f t="shared" si="48"/>
        <v>1.8958333333333333</v>
      </c>
      <c r="U164" s="262">
        <f t="shared" si="49"/>
        <v>1.2133333333333334</v>
      </c>
      <c r="V164" s="348">
        <f t="shared" si="50"/>
        <v>1.2133333333333334</v>
      </c>
    </row>
    <row r="165" spans="2:22">
      <c r="B165">
        <f t="shared" ref="B165:B196" si="53">B164-1</f>
        <v>39</v>
      </c>
      <c r="C165">
        <v>20</v>
      </c>
      <c r="D165">
        <f t="shared" si="36"/>
        <v>1.95</v>
      </c>
      <c r="E165">
        <f t="shared" si="37"/>
        <v>2666.6666666666665</v>
      </c>
      <c r="F165">
        <f t="shared" si="42"/>
        <v>666.66666666666663</v>
      </c>
      <c r="G165">
        <f t="shared" si="38"/>
        <v>20</v>
      </c>
      <c r="H165" s="339">
        <f t="shared" si="43"/>
        <v>10</v>
      </c>
      <c r="I165" s="242"/>
      <c r="J165" s="242"/>
      <c r="K165" s="248"/>
      <c r="N165" s="262">
        <f t="shared" si="44"/>
        <v>0.29070512820512817</v>
      </c>
      <c r="O165" s="262">
        <f t="shared" si="45"/>
        <v>2.2675000000000001</v>
      </c>
      <c r="P165" s="248">
        <f t="shared" si="51"/>
        <v>0.29070512820512817</v>
      </c>
      <c r="Q165" s="262">
        <f t="shared" si="46"/>
        <v>0.65833333333333333</v>
      </c>
      <c r="R165" s="262">
        <f t="shared" si="47"/>
        <v>1.9750000000000001</v>
      </c>
      <c r="S165" s="248">
        <f t="shared" si="52"/>
        <v>0.65833333333333333</v>
      </c>
      <c r="T165" s="262">
        <f t="shared" si="48"/>
        <v>1.9275641025641024</v>
      </c>
      <c r="U165" s="262">
        <f t="shared" si="49"/>
        <v>1.2028000000000001</v>
      </c>
      <c r="V165">
        <f t="shared" si="50"/>
        <v>1.2028000000000001</v>
      </c>
    </row>
    <row r="166" spans="2:22">
      <c r="B166">
        <f t="shared" si="53"/>
        <v>38</v>
      </c>
      <c r="C166">
        <v>20</v>
      </c>
      <c r="D166">
        <f t="shared" si="36"/>
        <v>1.9</v>
      </c>
      <c r="E166">
        <f t="shared" si="37"/>
        <v>2666.6666666666665</v>
      </c>
      <c r="F166">
        <f t="shared" si="42"/>
        <v>666.66666666666663</v>
      </c>
      <c r="G166">
        <f t="shared" si="38"/>
        <v>20</v>
      </c>
      <c r="H166" s="339">
        <f t="shared" si="43"/>
        <v>10</v>
      </c>
      <c r="I166" s="242"/>
      <c r="J166" s="242"/>
      <c r="K166" s="248"/>
      <c r="N166" s="262">
        <f t="shared" si="44"/>
        <v>0.28991228070175434</v>
      </c>
      <c r="O166" s="262">
        <f t="shared" si="45"/>
        <v>2.2033333333333331</v>
      </c>
      <c r="P166" s="248">
        <f t="shared" si="51"/>
        <v>0.28991228070175434</v>
      </c>
      <c r="Q166" s="262">
        <f t="shared" si="46"/>
        <v>0.65877192982456134</v>
      </c>
      <c r="R166" s="262">
        <f t="shared" si="47"/>
        <v>1.9256410256410255</v>
      </c>
      <c r="S166" s="248">
        <f t="shared" si="52"/>
        <v>0.65877192982456134</v>
      </c>
      <c r="T166" s="262">
        <f t="shared" si="48"/>
        <v>1.9614035087719297</v>
      </c>
      <c r="U166" s="262">
        <f t="shared" si="49"/>
        <v>1.1925333333333334</v>
      </c>
      <c r="V166">
        <f t="shared" si="50"/>
        <v>1.1925333333333334</v>
      </c>
    </row>
    <row r="167" spans="2:22">
      <c r="B167">
        <f t="shared" si="53"/>
        <v>37</v>
      </c>
      <c r="C167">
        <v>20</v>
      </c>
      <c r="D167">
        <f t="shared" si="36"/>
        <v>1.85</v>
      </c>
      <c r="E167">
        <f t="shared" si="37"/>
        <v>2666.6666666666665</v>
      </c>
      <c r="F167">
        <f t="shared" si="42"/>
        <v>666.66666666666663</v>
      </c>
      <c r="G167">
        <f t="shared" si="38"/>
        <v>20</v>
      </c>
      <c r="H167" s="339">
        <f t="shared" si="43"/>
        <v>10</v>
      </c>
      <c r="I167" s="242"/>
      <c r="J167" s="242"/>
      <c r="K167" s="248"/>
      <c r="N167" s="262">
        <f t="shared" si="44"/>
        <v>0.28930180180180182</v>
      </c>
      <c r="O167" s="262">
        <f t="shared" si="45"/>
        <v>2.1408333333333331</v>
      </c>
      <c r="P167" s="248">
        <f t="shared" si="51"/>
        <v>0.28930180180180182</v>
      </c>
      <c r="Q167" s="262">
        <f t="shared" si="46"/>
        <v>0.65968468468468466</v>
      </c>
      <c r="R167" s="262">
        <f t="shared" si="47"/>
        <v>1.8775641025641026</v>
      </c>
      <c r="S167" s="248">
        <f t="shared" si="52"/>
        <v>0.65968468468468466</v>
      </c>
      <c r="T167" s="262">
        <f t="shared" si="48"/>
        <v>1.9975225225225226</v>
      </c>
      <c r="U167" s="262">
        <f t="shared" si="49"/>
        <v>1.1825333333333334</v>
      </c>
      <c r="V167">
        <f t="shared" si="50"/>
        <v>1.1825333333333334</v>
      </c>
    </row>
    <row r="168" spans="2:22">
      <c r="B168">
        <f t="shared" si="53"/>
        <v>36</v>
      </c>
      <c r="C168">
        <v>20</v>
      </c>
      <c r="D168">
        <f t="shared" si="36"/>
        <v>1.8</v>
      </c>
      <c r="E168">
        <f t="shared" si="37"/>
        <v>2666.6666666666665</v>
      </c>
      <c r="F168">
        <f t="shared" si="42"/>
        <v>666.66666666666663</v>
      </c>
      <c r="G168">
        <f t="shared" si="38"/>
        <v>20</v>
      </c>
      <c r="H168" s="339">
        <f t="shared" si="43"/>
        <v>10</v>
      </c>
      <c r="I168" s="242"/>
      <c r="J168" s="242"/>
      <c r="K168" s="248"/>
      <c r="N168" s="262">
        <f t="shared" si="44"/>
        <v>0.28888888888888886</v>
      </c>
      <c r="O168" s="262">
        <f t="shared" si="45"/>
        <v>2.08</v>
      </c>
      <c r="P168" s="248">
        <f t="shared" si="51"/>
        <v>0.28888888888888886</v>
      </c>
      <c r="Q168" s="262">
        <f t="shared" si="46"/>
        <v>0.6611111111111112</v>
      </c>
      <c r="R168" s="262">
        <f t="shared" si="47"/>
        <v>1.8307692307692307</v>
      </c>
      <c r="S168" s="248">
        <f t="shared" si="52"/>
        <v>0.6611111111111112</v>
      </c>
      <c r="T168" s="262">
        <f t="shared" si="48"/>
        <v>2.036111111111111</v>
      </c>
      <c r="U168" s="262">
        <f t="shared" si="49"/>
        <v>1.1728000000000001</v>
      </c>
      <c r="V168">
        <f t="shared" si="50"/>
        <v>1.1728000000000001</v>
      </c>
    </row>
    <row r="169" spans="2:22">
      <c r="B169">
        <f t="shared" si="53"/>
        <v>35</v>
      </c>
      <c r="C169">
        <v>20</v>
      </c>
      <c r="D169">
        <f t="shared" si="36"/>
        <v>1.75</v>
      </c>
      <c r="E169">
        <f t="shared" si="37"/>
        <v>2666.6666666666665</v>
      </c>
      <c r="F169">
        <f t="shared" si="42"/>
        <v>666.66666666666663</v>
      </c>
      <c r="G169">
        <f t="shared" si="38"/>
        <v>20</v>
      </c>
      <c r="H169" s="339">
        <f t="shared" si="43"/>
        <v>10</v>
      </c>
      <c r="I169" s="242"/>
      <c r="J169" s="242"/>
      <c r="K169" s="248"/>
      <c r="N169" s="262">
        <f t="shared" si="44"/>
        <v>0.28869047619047616</v>
      </c>
      <c r="O169" s="262">
        <f t="shared" si="45"/>
        <v>2.020833333333333</v>
      </c>
      <c r="P169" s="248">
        <f t="shared" si="51"/>
        <v>0.28869047619047616</v>
      </c>
      <c r="Q169" s="262">
        <f t="shared" si="46"/>
        <v>0.66309523809523818</v>
      </c>
      <c r="R169" s="262">
        <f t="shared" si="47"/>
        <v>1.7852564102564101</v>
      </c>
      <c r="S169" s="248">
        <f t="shared" si="52"/>
        <v>0.66309523809523818</v>
      </c>
      <c r="T169" s="262">
        <f t="shared" si="48"/>
        <v>2.0773809523809521</v>
      </c>
      <c r="U169" s="262">
        <f t="shared" si="49"/>
        <v>1.1633333333333333</v>
      </c>
      <c r="V169">
        <f t="shared" si="50"/>
        <v>1.1633333333333333</v>
      </c>
    </row>
    <row r="170" spans="2:22">
      <c r="B170">
        <f t="shared" si="53"/>
        <v>34</v>
      </c>
      <c r="C170">
        <v>20</v>
      </c>
      <c r="D170">
        <f t="shared" si="36"/>
        <v>1.7</v>
      </c>
      <c r="E170">
        <f t="shared" si="37"/>
        <v>2666.6666666666665</v>
      </c>
      <c r="F170">
        <f t="shared" si="42"/>
        <v>666.66666666666663</v>
      </c>
      <c r="G170">
        <f t="shared" si="38"/>
        <v>20</v>
      </c>
      <c r="H170" s="339">
        <f t="shared" si="43"/>
        <v>10</v>
      </c>
      <c r="I170" s="242"/>
      <c r="J170" s="242"/>
      <c r="K170" s="248"/>
      <c r="N170" s="262">
        <f t="shared" si="44"/>
        <v>0.2887254901960784</v>
      </c>
      <c r="O170" s="262">
        <f t="shared" si="45"/>
        <v>1.9633333333333334</v>
      </c>
      <c r="P170" s="248">
        <f t="shared" si="51"/>
        <v>0.2887254901960784</v>
      </c>
      <c r="Q170" s="262">
        <f t="shared" si="46"/>
        <v>0.665686274509804</v>
      </c>
      <c r="R170" s="262">
        <f t="shared" si="47"/>
        <v>1.7410256410256411</v>
      </c>
      <c r="S170" s="248">
        <f t="shared" si="52"/>
        <v>0.665686274509804</v>
      </c>
      <c r="T170" s="262">
        <f t="shared" si="48"/>
        <v>2.1215686274509804</v>
      </c>
      <c r="U170" s="262">
        <f t="shared" si="49"/>
        <v>1.1541333333333332</v>
      </c>
      <c r="V170">
        <f t="shared" si="50"/>
        <v>1.1541333333333332</v>
      </c>
    </row>
    <row r="171" spans="2:22">
      <c r="B171">
        <f t="shared" si="53"/>
        <v>33</v>
      </c>
      <c r="C171">
        <v>20</v>
      </c>
      <c r="D171">
        <f t="shared" si="36"/>
        <v>1.65</v>
      </c>
      <c r="E171">
        <f t="shared" si="37"/>
        <v>2666.6666666666665</v>
      </c>
      <c r="F171">
        <f t="shared" si="42"/>
        <v>666.66666666666663</v>
      </c>
      <c r="G171">
        <f t="shared" si="38"/>
        <v>20</v>
      </c>
      <c r="H171" s="339">
        <f t="shared" si="43"/>
        <v>10</v>
      </c>
      <c r="I171" s="242"/>
      <c r="J171" s="242"/>
      <c r="K171" s="248"/>
      <c r="N171" s="262">
        <f t="shared" si="44"/>
        <v>0.28901515151515156</v>
      </c>
      <c r="O171" s="262">
        <f t="shared" si="45"/>
        <v>1.9075</v>
      </c>
      <c r="P171" s="248">
        <f t="shared" si="51"/>
        <v>0.28901515151515156</v>
      </c>
      <c r="Q171" s="262">
        <f t="shared" si="46"/>
        <v>0.66893939393939394</v>
      </c>
      <c r="R171" s="262">
        <f t="shared" si="47"/>
        <v>1.698076923076923</v>
      </c>
      <c r="S171" s="248">
        <f t="shared" si="52"/>
        <v>0.66893939393939394</v>
      </c>
      <c r="T171" s="262">
        <f t="shared" si="48"/>
        <v>2.1689393939393939</v>
      </c>
      <c r="U171" s="262">
        <f t="shared" si="49"/>
        <v>1.1452</v>
      </c>
      <c r="V171">
        <f t="shared" si="50"/>
        <v>1.1452</v>
      </c>
    </row>
    <row r="172" spans="2:22">
      <c r="B172">
        <f t="shared" si="53"/>
        <v>32</v>
      </c>
      <c r="C172">
        <v>20</v>
      </c>
      <c r="D172">
        <f t="shared" si="36"/>
        <v>1.6</v>
      </c>
      <c r="E172">
        <f t="shared" si="37"/>
        <v>2666.6666666666665</v>
      </c>
      <c r="F172">
        <f t="shared" si="42"/>
        <v>666.66666666666663</v>
      </c>
      <c r="G172">
        <f t="shared" si="38"/>
        <v>20</v>
      </c>
      <c r="H172" s="339">
        <f t="shared" si="43"/>
        <v>10</v>
      </c>
      <c r="I172" s="242"/>
      <c r="J172" s="242"/>
      <c r="K172" s="248"/>
      <c r="N172" s="262">
        <f t="shared" si="44"/>
        <v>0.2895833333333333</v>
      </c>
      <c r="O172" s="262">
        <f t="shared" si="45"/>
        <v>1.8533333333333335</v>
      </c>
      <c r="P172" s="248">
        <f t="shared" si="51"/>
        <v>0.2895833333333333</v>
      </c>
      <c r="Q172" s="262">
        <f t="shared" si="46"/>
        <v>0.67291666666666661</v>
      </c>
      <c r="R172" s="262">
        <f t="shared" si="47"/>
        <v>1.6564102564102563</v>
      </c>
      <c r="S172" s="248">
        <f t="shared" si="52"/>
        <v>0.67291666666666661</v>
      </c>
      <c r="T172" s="262">
        <f t="shared" si="48"/>
        <v>2.2197916666666666</v>
      </c>
      <c r="U172" s="262">
        <f t="shared" si="49"/>
        <v>1.1365333333333334</v>
      </c>
      <c r="V172">
        <f t="shared" si="50"/>
        <v>1.1365333333333334</v>
      </c>
    </row>
    <row r="173" spans="2:22">
      <c r="B173">
        <f t="shared" si="53"/>
        <v>31</v>
      </c>
      <c r="C173">
        <v>20</v>
      </c>
      <c r="D173">
        <f t="shared" si="36"/>
        <v>1.55</v>
      </c>
      <c r="E173">
        <f t="shared" si="37"/>
        <v>2666.6666666666665</v>
      </c>
      <c r="F173">
        <f t="shared" si="42"/>
        <v>666.66666666666663</v>
      </c>
      <c r="G173">
        <f t="shared" si="38"/>
        <v>20</v>
      </c>
      <c r="H173" s="339">
        <f t="shared" si="43"/>
        <v>10</v>
      </c>
      <c r="I173" s="242"/>
      <c r="J173" s="242"/>
      <c r="K173" s="248"/>
      <c r="N173" s="262">
        <f t="shared" si="44"/>
        <v>0.29045698924731184</v>
      </c>
      <c r="O173" s="262">
        <f t="shared" si="45"/>
        <v>1.8008333333333333</v>
      </c>
      <c r="P173" s="248">
        <f t="shared" si="51"/>
        <v>0.29045698924731184</v>
      </c>
      <c r="Q173" s="262">
        <f t="shared" si="46"/>
        <v>0.67768817204301079</v>
      </c>
      <c r="R173" s="262">
        <f t="shared" si="47"/>
        <v>1.6160256410256411</v>
      </c>
      <c r="S173" s="248">
        <f t="shared" si="52"/>
        <v>0.67768817204301079</v>
      </c>
      <c r="T173" s="262">
        <f t="shared" si="48"/>
        <v>2.2744623655913978</v>
      </c>
      <c r="U173" s="262">
        <f t="shared" si="49"/>
        <v>1.1281333333333334</v>
      </c>
      <c r="V173">
        <f t="shared" si="50"/>
        <v>1.1281333333333334</v>
      </c>
    </row>
    <row r="174" spans="2:22">
      <c r="B174">
        <f t="shared" si="53"/>
        <v>30</v>
      </c>
      <c r="C174">
        <v>20</v>
      </c>
      <c r="D174">
        <f t="shared" si="36"/>
        <v>1.5</v>
      </c>
      <c r="E174">
        <f t="shared" si="37"/>
        <v>2666.6666666666665</v>
      </c>
      <c r="F174">
        <f t="shared" si="42"/>
        <v>666.66666666666663</v>
      </c>
      <c r="G174">
        <f t="shared" si="38"/>
        <v>20</v>
      </c>
      <c r="H174" s="339">
        <f t="shared" si="43"/>
        <v>10</v>
      </c>
      <c r="I174" s="242"/>
      <c r="J174" s="242"/>
      <c r="K174" s="248"/>
      <c r="N174" s="262">
        <f t="shared" si="44"/>
        <v>0.29166666666666663</v>
      </c>
      <c r="O174" s="262">
        <f t="shared" si="45"/>
        <v>1.75</v>
      </c>
      <c r="P174" s="248">
        <f t="shared" si="51"/>
        <v>0.29166666666666663</v>
      </c>
      <c r="Q174" s="262">
        <f t="shared" si="46"/>
        <v>0.68333333333333335</v>
      </c>
      <c r="R174" s="262">
        <f t="shared" si="47"/>
        <v>1.5769230769230769</v>
      </c>
      <c r="S174" s="248">
        <f t="shared" si="52"/>
        <v>0.68333333333333335</v>
      </c>
      <c r="T174" s="262">
        <f t="shared" si="48"/>
        <v>2.333333333333333</v>
      </c>
      <c r="U174" s="262">
        <f t="shared" si="49"/>
        <v>1.1200000000000001</v>
      </c>
      <c r="V174">
        <f t="shared" si="50"/>
        <v>1.1200000000000001</v>
      </c>
    </row>
    <row r="175" spans="2:22">
      <c r="B175">
        <f t="shared" si="53"/>
        <v>29</v>
      </c>
      <c r="C175">
        <v>20</v>
      </c>
      <c r="D175">
        <f t="shared" si="36"/>
        <v>1.45</v>
      </c>
      <c r="E175">
        <f t="shared" si="37"/>
        <v>2666.6666666666665</v>
      </c>
      <c r="F175">
        <f t="shared" si="42"/>
        <v>666.66666666666663</v>
      </c>
      <c r="G175">
        <f t="shared" si="38"/>
        <v>20</v>
      </c>
      <c r="H175" s="339">
        <f t="shared" si="43"/>
        <v>10</v>
      </c>
      <c r="I175" s="242"/>
      <c r="J175" s="242"/>
      <c r="K175" s="248"/>
      <c r="N175" s="262">
        <f t="shared" si="44"/>
        <v>0.29324712643678164</v>
      </c>
      <c r="O175" s="262">
        <f t="shared" si="45"/>
        <v>1.7008333333333332</v>
      </c>
      <c r="P175" s="248">
        <f t="shared" si="51"/>
        <v>0.29324712643678164</v>
      </c>
      <c r="Q175" s="262">
        <f t="shared" si="46"/>
        <v>0.68994252873563222</v>
      </c>
      <c r="R175" s="262">
        <f t="shared" si="47"/>
        <v>1.539102564102564</v>
      </c>
      <c r="S175" s="248">
        <f t="shared" si="52"/>
        <v>0.68994252873563222</v>
      </c>
      <c r="T175" s="262">
        <f t="shared" si="48"/>
        <v>2.3968390804597703</v>
      </c>
      <c r="U175" s="262">
        <f t="shared" si="49"/>
        <v>1.1121333333333334</v>
      </c>
      <c r="V175">
        <f t="shared" si="50"/>
        <v>1.1121333333333334</v>
      </c>
    </row>
    <row r="176" spans="2:22">
      <c r="B176">
        <f t="shared" si="53"/>
        <v>28</v>
      </c>
      <c r="C176">
        <v>20</v>
      </c>
      <c r="D176">
        <f t="shared" si="36"/>
        <v>1.4</v>
      </c>
      <c r="E176">
        <f t="shared" si="37"/>
        <v>2666.6666666666665</v>
      </c>
      <c r="F176">
        <f t="shared" si="42"/>
        <v>666.66666666666663</v>
      </c>
      <c r="G176">
        <f t="shared" si="38"/>
        <v>20</v>
      </c>
      <c r="H176" s="339">
        <f t="shared" si="43"/>
        <v>10</v>
      </c>
      <c r="I176" s="242"/>
      <c r="J176" s="242"/>
      <c r="K176" s="248"/>
      <c r="N176" s="262">
        <f t="shared" si="44"/>
        <v>0.29523809523809524</v>
      </c>
      <c r="O176" s="262">
        <f t="shared" si="45"/>
        <v>1.6533333333333333</v>
      </c>
      <c r="P176" s="248">
        <f t="shared" si="51"/>
        <v>0.29523809523809524</v>
      </c>
      <c r="Q176" s="262">
        <f t="shared" si="46"/>
        <v>0.69761904761904758</v>
      </c>
      <c r="R176" s="262">
        <f t="shared" si="47"/>
        <v>1.5025641025641026</v>
      </c>
      <c r="S176" s="248">
        <f t="shared" si="52"/>
        <v>0.69761904761904758</v>
      </c>
      <c r="T176" s="262">
        <f t="shared" si="48"/>
        <v>2.4654761904761906</v>
      </c>
      <c r="U176" s="262">
        <f t="shared" si="49"/>
        <v>1.1045333333333334</v>
      </c>
      <c r="V176">
        <f t="shared" si="50"/>
        <v>1.1045333333333334</v>
      </c>
    </row>
    <row r="177" spans="2:22">
      <c r="B177">
        <f t="shared" si="53"/>
        <v>27</v>
      </c>
      <c r="C177">
        <v>20</v>
      </c>
      <c r="D177">
        <f t="shared" si="36"/>
        <v>1.35</v>
      </c>
      <c r="E177">
        <f t="shared" si="37"/>
        <v>2666.6666666666665</v>
      </c>
      <c r="F177">
        <f t="shared" si="42"/>
        <v>666.66666666666663</v>
      </c>
      <c r="G177">
        <f t="shared" si="38"/>
        <v>20</v>
      </c>
      <c r="H177" s="339">
        <f t="shared" si="43"/>
        <v>10</v>
      </c>
      <c r="I177" s="242"/>
      <c r="J177" s="242"/>
      <c r="K177" s="248"/>
      <c r="N177" s="262">
        <f t="shared" si="44"/>
        <v>0.29768518518518516</v>
      </c>
      <c r="O177" s="262">
        <f t="shared" si="45"/>
        <v>1.6074999999999999</v>
      </c>
      <c r="P177" s="248">
        <f t="shared" si="51"/>
        <v>0.29768518518518516</v>
      </c>
      <c r="Q177" s="262">
        <f t="shared" si="46"/>
        <v>0.70648148148148149</v>
      </c>
      <c r="R177" s="262">
        <f t="shared" si="47"/>
        <v>1.4673076923076924</v>
      </c>
      <c r="S177" s="248">
        <f t="shared" si="52"/>
        <v>0.70648148148148149</v>
      </c>
      <c r="T177" s="262">
        <f t="shared" si="48"/>
        <v>2.539814814814815</v>
      </c>
      <c r="U177" s="262">
        <f t="shared" si="49"/>
        <v>1.0972</v>
      </c>
      <c r="V177">
        <f t="shared" si="50"/>
        <v>1.0972</v>
      </c>
    </row>
    <row r="178" spans="2:22">
      <c r="B178">
        <f t="shared" si="53"/>
        <v>26</v>
      </c>
      <c r="C178">
        <v>20</v>
      </c>
      <c r="D178">
        <f t="shared" si="36"/>
        <v>1.3</v>
      </c>
      <c r="E178">
        <f t="shared" si="37"/>
        <v>2666.6666666666665</v>
      </c>
      <c r="F178">
        <f t="shared" si="42"/>
        <v>666.66666666666663</v>
      </c>
      <c r="G178">
        <f t="shared" si="38"/>
        <v>20</v>
      </c>
      <c r="H178" s="339">
        <f t="shared" si="43"/>
        <v>10</v>
      </c>
      <c r="I178" s="242"/>
      <c r="J178" s="242"/>
      <c r="K178" s="248"/>
      <c r="N178" s="262">
        <f t="shared" si="44"/>
        <v>0.30064102564102568</v>
      </c>
      <c r="O178" s="262">
        <f t="shared" si="45"/>
        <v>1.5633333333333335</v>
      </c>
      <c r="P178" s="248">
        <f t="shared" si="51"/>
        <v>0.30064102564102568</v>
      </c>
      <c r="Q178" s="262">
        <f t="shared" si="46"/>
        <v>0.71666666666666667</v>
      </c>
      <c r="R178" s="262">
        <f t="shared" si="47"/>
        <v>1.4333333333333333</v>
      </c>
      <c r="S178" s="248">
        <f t="shared" si="52"/>
        <v>0.71666666666666667</v>
      </c>
      <c r="T178" s="262">
        <f t="shared" si="48"/>
        <v>2.620512820512821</v>
      </c>
      <c r="U178" s="262">
        <f t="shared" si="49"/>
        <v>1.0901333333333334</v>
      </c>
      <c r="V178">
        <f t="shared" si="50"/>
        <v>1.0901333333333334</v>
      </c>
    </row>
    <row r="179" spans="2:22">
      <c r="B179">
        <f t="shared" si="53"/>
        <v>25</v>
      </c>
      <c r="C179">
        <v>20</v>
      </c>
      <c r="D179">
        <f t="shared" si="36"/>
        <v>1.25</v>
      </c>
      <c r="E179">
        <f t="shared" si="37"/>
        <v>2666.6666666666665</v>
      </c>
      <c r="F179">
        <f t="shared" si="42"/>
        <v>666.66666666666663</v>
      </c>
      <c r="G179">
        <f t="shared" si="38"/>
        <v>20</v>
      </c>
      <c r="H179" s="339">
        <f t="shared" si="43"/>
        <v>10</v>
      </c>
      <c r="I179" s="242"/>
      <c r="J179" s="242"/>
      <c r="K179" s="248"/>
      <c r="N179" s="262">
        <f t="shared" si="44"/>
        <v>0.3041666666666667</v>
      </c>
      <c r="O179" s="262">
        <f t="shared" si="45"/>
        <v>1.5208333333333335</v>
      </c>
      <c r="P179" s="248">
        <f t="shared" si="51"/>
        <v>0.3041666666666667</v>
      </c>
      <c r="Q179" s="262">
        <f t="shared" si="46"/>
        <v>0.72833333333333339</v>
      </c>
      <c r="R179" s="262">
        <f t="shared" si="47"/>
        <v>1.4006410256410255</v>
      </c>
      <c r="S179" s="248">
        <f t="shared" si="52"/>
        <v>0.72833333333333339</v>
      </c>
      <c r="T179" s="262">
        <f t="shared" si="48"/>
        <v>2.7083333333333335</v>
      </c>
      <c r="U179" s="262">
        <f t="shared" si="49"/>
        <v>1.0833333333333333</v>
      </c>
      <c r="V179">
        <f t="shared" si="50"/>
        <v>1.0833333333333333</v>
      </c>
    </row>
    <row r="180" spans="2:22">
      <c r="B180">
        <f t="shared" si="53"/>
        <v>24</v>
      </c>
      <c r="C180">
        <v>20</v>
      </c>
      <c r="D180">
        <f t="shared" si="36"/>
        <v>1.2</v>
      </c>
      <c r="E180">
        <f t="shared" si="37"/>
        <v>2666.6666666666665</v>
      </c>
      <c r="F180">
        <f t="shared" si="42"/>
        <v>666.66666666666663</v>
      </c>
      <c r="G180">
        <f t="shared" si="38"/>
        <v>20</v>
      </c>
      <c r="H180" s="339">
        <f t="shared" si="43"/>
        <v>10</v>
      </c>
      <c r="I180" s="242"/>
      <c r="J180" s="242"/>
      <c r="K180" s="248"/>
      <c r="N180" s="262">
        <f t="shared" si="44"/>
        <v>0.30833333333333335</v>
      </c>
      <c r="O180" s="262">
        <f t="shared" si="45"/>
        <v>1.48</v>
      </c>
      <c r="P180" s="248">
        <f t="shared" si="51"/>
        <v>0.30833333333333335</v>
      </c>
      <c r="Q180" s="262">
        <f t="shared" si="46"/>
        <v>0.7416666666666667</v>
      </c>
      <c r="R180" s="262">
        <f t="shared" si="47"/>
        <v>1.3692307692307693</v>
      </c>
      <c r="S180" s="248">
        <f t="shared" si="52"/>
        <v>0.7416666666666667</v>
      </c>
      <c r="T180" s="262">
        <f t="shared" si="48"/>
        <v>2.8041666666666671</v>
      </c>
      <c r="U180" s="262">
        <f t="shared" si="49"/>
        <v>1.0768</v>
      </c>
      <c r="V180">
        <f t="shared" si="50"/>
        <v>1.0768</v>
      </c>
    </row>
    <row r="181" spans="2:22">
      <c r="B181">
        <f t="shared" si="53"/>
        <v>23</v>
      </c>
      <c r="C181">
        <v>20</v>
      </c>
      <c r="D181">
        <f t="shared" si="36"/>
        <v>1.1499999999999999</v>
      </c>
      <c r="E181">
        <f t="shared" si="37"/>
        <v>2666.6666666666665</v>
      </c>
      <c r="F181">
        <f t="shared" si="42"/>
        <v>666.66666666666663</v>
      </c>
      <c r="G181">
        <f t="shared" si="38"/>
        <v>20</v>
      </c>
      <c r="H181" s="339">
        <f t="shared" si="43"/>
        <v>10</v>
      </c>
      <c r="I181" s="242"/>
      <c r="J181" s="242"/>
      <c r="K181" s="248"/>
      <c r="N181" s="262">
        <f t="shared" si="44"/>
        <v>0.31322463768115943</v>
      </c>
      <c r="O181" s="262">
        <f t="shared" si="45"/>
        <v>1.4408333333333334</v>
      </c>
      <c r="P181" s="248">
        <f t="shared" si="51"/>
        <v>0.31322463768115943</v>
      </c>
      <c r="Q181" s="262">
        <f t="shared" si="46"/>
        <v>0.75688405797101443</v>
      </c>
      <c r="R181" s="262">
        <f t="shared" si="47"/>
        <v>1.339102564102564</v>
      </c>
      <c r="S181" s="248">
        <f t="shared" si="52"/>
        <v>0.75688405797101443</v>
      </c>
      <c r="T181" s="262">
        <f t="shared" si="48"/>
        <v>2.909057971014493</v>
      </c>
      <c r="U181" s="262">
        <f t="shared" si="49"/>
        <v>1.0705333333333333</v>
      </c>
      <c r="V181">
        <f t="shared" si="50"/>
        <v>1.0705333333333333</v>
      </c>
    </row>
    <row r="182" spans="2:22">
      <c r="B182">
        <f t="shared" si="53"/>
        <v>22</v>
      </c>
      <c r="C182">
        <v>20</v>
      </c>
      <c r="D182">
        <f t="shared" si="36"/>
        <v>1.1000000000000001</v>
      </c>
      <c r="E182">
        <f t="shared" si="37"/>
        <v>2666.6666666666665</v>
      </c>
      <c r="F182">
        <f t="shared" si="42"/>
        <v>666.66666666666663</v>
      </c>
      <c r="G182">
        <f t="shared" si="38"/>
        <v>20</v>
      </c>
      <c r="H182" s="339">
        <f t="shared" si="43"/>
        <v>10</v>
      </c>
      <c r="I182" s="242"/>
      <c r="J182" s="242"/>
      <c r="K182" s="248"/>
      <c r="N182" s="262">
        <f t="shared" si="44"/>
        <v>0.31893939393939391</v>
      </c>
      <c r="O182" s="262">
        <f t="shared" si="45"/>
        <v>1.4033333333333333</v>
      </c>
      <c r="P182" s="248">
        <f t="shared" si="51"/>
        <v>0.31893939393939391</v>
      </c>
      <c r="Q182" s="262">
        <f t="shared" si="46"/>
        <v>0.77424242424242429</v>
      </c>
      <c r="R182" s="262">
        <f t="shared" si="47"/>
        <v>1.3102564102564103</v>
      </c>
      <c r="S182" s="248">
        <f t="shared" si="52"/>
        <v>0.77424242424242429</v>
      </c>
      <c r="T182" s="262">
        <f t="shared" si="48"/>
        <v>3.024242424242424</v>
      </c>
      <c r="U182" s="262">
        <f t="shared" si="49"/>
        <v>1.0645333333333333</v>
      </c>
      <c r="V182">
        <f t="shared" si="50"/>
        <v>1.0645333333333333</v>
      </c>
    </row>
    <row r="183" spans="2:22">
      <c r="B183">
        <f t="shared" si="53"/>
        <v>21</v>
      </c>
      <c r="C183">
        <v>20</v>
      </c>
      <c r="D183">
        <f t="shared" si="36"/>
        <v>1.05</v>
      </c>
      <c r="E183">
        <f t="shared" si="37"/>
        <v>2666.6666666666665</v>
      </c>
      <c r="F183">
        <f t="shared" si="42"/>
        <v>666.66666666666663</v>
      </c>
      <c r="G183">
        <f t="shared" si="38"/>
        <v>20</v>
      </c>
      <c r="H183" s="339">
        <f t="shared" si="43"/>
        <v>10</v>
      </c>
      <c r="I183" s="242"/>
      <c r="J183" s="242"/>
      <c r="K183" s="248"/>
      <c r="N183" s="262">
        <f t="shared" si="44"/>
        <v>0.32559523809523805</v>
      </c>
      <c r="O183" s="262">
        <f t="shared" si="45"/>
        <v>1.3674999999999999</v>
      </c>
      <c r="P183" s="248">
        <f t="shared" si="51"/>
        <v>0.32559523809523805</v>
      </c>
      <c r="Q183" s="262">
        <f t="shared" si="46"/>
        <v>0.79404761904761911</v>
      </c>
      <c r="R183" s="262">
        <f t="shared" si="47"/>
        <v>1.2826923076923076</v>
      </c>
      <c r="S183" s="248">
        <f t="shared" si="52"/>
        <v>0.79404761904761911</v>
      </c>
      <c r="T183" s="262">
        <f t="shared" si="48"/>
        <v>3.1511904761904757</v>
      </c>
      <c r="U183" s="262">
        <f t="shared" si="49"/>
        <v>1.0588</v>
      </c>
      <c r="V183">
        <f t="shared" si="50"/>
        <v>1.0588</v>
      </c>
    </row>
    <row r="184" spans="2:22">
      <c r="B184">
        <f t="shared" si="53"/>
        <v>20</v>
      </c>
      <c r="C184">
        <v>20</v>
      </c>
      <c r="D184">
        <f t="shared" si="36"/>
        <v>1</v>
      </c>
      <c r="E184">
        <f t="shared" si="37"/>
        <v>2666.6666666666665</v>
      </c>
      <c r="F184">
        <f t="shared" si="42"/>
        <v>666.66666666666663</v>
      </c>
      <c r="G184">
        <f t="shared" si="38"/>
        <v>20</v>
      </c>
      <c r="H184" s="339">
        <f t="shared" si="43"/>
        <v>10</v>
      </c>
      <c r="I184" s="242"/>
      <c r="J184" s="242"/>
      <c r="K184" s="248"/>
      <c r="N184" s="262">
        <f t="shared" si="44"/>
        <v>0.33333333333333331</v>
      </c>
      <c r="O184" s="262">
        <f t="shared" si="45"/>
        <v>1.3333333333333333</v>
      </c>
      <c r="P184" s="248">
        <f t="shared" si="51"/>
        <v>0.33333333333333331</v>
      </c>
      <c r="Q184" s="262">
        <f t="shared" si="46"/>
        <v>0.81666666666666665</v>
      </c>
      <c r="R184" s="262">
        <f t="shared" si="47"/>
        <v>1.2564102564102564</v>
      </c>
      <c r="S184" s="248">
        <f t="shared" si="52"/>
        <v>0.81666666666666665</v>
      </c>
      <c r="T184" s="262">
        <f t="shared" si="48"/>
        <v>3.2916666666666665</v>
      </c>
      <c r="U184" s="262">
        <f t="shared" si="49"/>
        <v>1.0533333333333332</v>
      </c>
      <c r="V184">
        <f t="shared" si="50"/>
        <v>1.0533333333333332</v>
      </c>
    </row>
    <row r="185" spans="2:22">
      <c r="B185">
        <f t="shared" si="53"/>
        <v>19</v>
      </c>
      <c r="C185">
        <v>20</v>
      </c>
      <c r="D185">
        <f t="shared" si="36"/>
        <v>0.95</v>
      </c>
      <c r="E185">
        <f t="shared" si="37"/>
        <v>2666.6666666666665</v>
      </c>
      <c r="F185">
        <f t="shared" si="42"/>
        <v>666.66666666666663</v>
      </c>
      <c r="G185">
        <f t="shared" si="38"/>
        <v>20</v>
      </c>
      <c r="H185" s="339">
        <f t="shared" si="43"/>
        <v>10</v>
      </c>
      <c r="I185" s="242"/>
      <c r="J185" s="242"/>
      <c r="K185" s="248"/>
      <c r="N185" s="262">
        <f t="shared" si="44"/>
        <v>0.34232456140350875</v>
      </c>
      <c r="O185" s="262">
        <f t="shared" si="45"/>
        <v>1.3008333333333333</v>
      </c>
      <c r="P185" s="248">
        <f t="shared" si="51"/>
        <v>0.34232456140350875</v>
      </c>
      <c r="Q185" s="262">
        <f t="shared" si="46"/>
        <v>0.84254385964912282</v>
      </c>
      <c r="R185" s="262">
        <f t="shared" si="47"/>
        <v>1.2314102564102565</v>
      </c>
      <c r="S185" s="248">
        <f t="shared" si="52"/>
        <v>0.84254385964912282</v>
      </c>
      <c r="T185" s="262">
        <f t="shared" si="48"/>
        <v>3.4478070175438593</v>
      </c>
      <c r="U185" s="262">
        <f t="shared" si="49"/>
        <v>1.0481333333333334</v>
      </c>
      <c r="V185">
        <f t="shared" si="50"/>
        <v>1.0481333333333334</v>
      </c>
    </row>
    <row r="186" spans="2:22">
      <c r="B186">
        <f t="shared" si="53"/>
        <v>18</v>
      </c>
      <c r="C186">
        <v>20</v>
      </c>
      <c r="D186">
        <f t="shared" si="36"/>
        <v>0.9</v>
      </c>
      <c r="E186">
        <f t="shared" si="37"/>
        <v>2666.6666666666665</v>
      </c>
      <c r="F186">
        <f t="shared" si="42"/>
        <v>666.66666666666663</v>
      </c>
      <c r="G186">
        <f t="shared" si="38"/>
        <v>20</v>
      </c>
      <c r="H186" s="339">
        <f t="shared" si="43"/>
        <v>10</v>
      </c>
      <c r="I186" s="242"/>
      <c r="J186" s="242"/>
      <c r="K186" s="248"/>
      <c r="N186" s="262">
        <f t="shared" si="44"/>
        <v>0.3527777777777778</v>
      </c>
      <c r="O186" s="262">
        <f t="shared" si="45"/>
        <v>1.27</v>
      </c>
      <c r="P186" s="248">
        <f t="shared" si="51"/>
        <v>0.3527777777777778</v>
      </c>
      <c r="Q186" s="262">
        <f t="shared" si="46"/>
        <v>0.87222222222222234</v>
      </c>
      <c r="R186" s="262">
        <f t="shared" si="47"/>
        <v>1.2076923076923076</v>
      </c>
      <c r="S186" s="248">
        <f t="shared" si="52"/>
        <v>0.87222222222222234</v>
      </c>
      <c r="T186" s="262">
        <f t="shared" si="48"/>
        <v>3.6222222222222222</v>
      </c>
      <c r="U186" s="262">
        <f t="shared" si="49"/>
        <v>1.0431999999999999</v>
      </c>
      <c r="V186">
        <f t="shared" si="50"/>
        <v>1.0431999999999999</v>
      </c>
    </row>
    <row r="187" spans="2:22">
      <c r="B187">
        <f t="shared" si="53"/>
        <v>17</v>
      </c>
      <c r="C187">
        <v>20</v>
      </c>
      <c r="D187">
        <f t="shared" si="36"/>
        <v>0.85</v>
      </c>
      <c r="E187">
        <f t="shared" si="37"/>
        <v>2666.6666666666665</v>
      </c>
      <c r="F187">
        <f t="shared" si="42"/>
        <v>666.66666666666663</v>
      </c>
      <c r="G187">
        <f t="shared" si="38"/>
        <v>20</v>
      </c>
      <c r="H187" s="339">
        <f t="shared" si="43"/>
        <v>10</v>
      </c>
      <c r="I187" s="242"/>
      <c r="J187" s="242"/>
      <c r="K187" s="248"/>
      <c r="N187" s="262">
        <f t="shared" si="44"/>
        <v>0.3649509803921569</v>
      </c>
      <c r="O187" s="262">
        <f t="shared" si="45"/>
        <v>1.2408333333333332</v>
      </c>
      <c r="P187" s="248">
        <f t="shared" si="51"/>
        <v>0.3649509803921569</v>
      </c>
      <c r="Q187" s="262">
        <f t="shared" si="46"/>
        <v>0.90637254901960795</v>
      </c>
      <c r="R187" s="262">
        <f t="shared" si="47"/>
        <v>1.1852564102564103</v>
      </c>
      <c r="S187" s="248">
        <f t="shared" si="52"/>
        <v>0.90637254901960795</v>
      </c>
      <c r="T187" s="262">
        <f t="shared" si="48"/>
        <v>3.818137254901961</v>
      </c>
      <c r="U187" s="262">
        <f t="shared" si="49"/>
        <v>1.0385333333333333</v>
      </c>
      <c r="V187">
        <f t="shared" si="50"/>
        <v>1.0385333333333333</v>
      </c>
    </row>
    <row r="188" spans="2:22">
      <c r="B188">
        <f t="shared" si="53"/>
        <v>16</v>
      </c>
      <c r="C188">
        <v>20</v>
      </c>
      <c r="D188">
        <f t="shared" si="36"/>
        <v>0.8</v>
      </c>
      <c r="E188">
        <f t="shared" si="37"/>
        <v>2666.6666666666665</v>
      </c>
      <c r="F188">
        <f t="shared" si="42"/>
        <v>666.66666666666663</v>
      </c>
      <c r="G188">
        <f t="shared" si="38"/>
        <v>20</v>
      </c>
      <c r="H188" s="339">
        <f t="shared" si="43"/>
        <v>10</v>
      </c>
      <c r="I188" s="242"/>
      <c r="J188" s="242"/>
      <c r="K188" s="248"/>
      <c r="N188" s="262">
        <f t="shared" si="44"/>
        <v>0.37916666666666665</v>
      </c>
      <c r="O188" s="262">
        <f t="shared" si="45"/>
        <v>1.2133333333333334</v>
      </c>
      <c r="P188" s="248">
        <f t="shared" si="51"/>
        <v>0.37916666666666665</v>
      </c>
      <c r="Q188" s="262">
        <f t="shared" si="46"/>
        <v>0.9458333333333333</v>
      </c>
      <c r="R188" s="262">
        <f t="shared" si="47"/>
        <v>1.1641025641025642</v>
      </c>
      <c r="S188" s="248">
        <f t="shared" si="52"/>
        <v>0.9458333333333333</v>
      </c>
      <c r="T188" s="262">
        <f t="shared" si="48"/>
        <v>4.0395833333333337</v>
      </c>
      <c r="U188" s="262">
        <f t="shared" si="49"/>
        <v>1.0341333333333333</v>
      </c>
      <c r="V188">
        <f t="shared" si="50"/>
        <v>1.0341333333333333</v>
      </c>
    </row>
    <row r="189" spans="2:22">
      <c r="B189">
        <f t="shared" si="53"/>
        <v>15</v>
      </c>
      <c r="C189">
        <v>20</v>
      </c>
      <c r="D189">
        <f t="shared" si="36"/>
        <v>0.75</v>
      </c>
      <c r="E189">
        <f t="shared" si="37"/>
        <v>2666.6666666666665</v>
      </c>
      <c r="F189">
        <f t="shared" si="42"/>
        <v>666.66666666666663</v>
      </c>
      <c r="G189">
        <f t="shared" si="38"/>
        <v>20</v>
      </c>
      <c r="H189" s="339">
        <f t="shared" si="43"/>
        <v>10</v>
      </c>
      <c r="I189" s="242"/>
      <c r="J189" s="242"/>
      <c r="K189" s="248"/>
      <c r="N189" s="262">
        <f t="shared" si="44"/>
        <v>0.39583333333333331</v>
      </c>
      <c r="O189" s="262">
        <f t="shared" si="45"/>
        <v>1.1875</v>
      </c>
      <c r="P189" s="248">
        <f t="shared" si="51"/>
        <v>0.39583333333333331</v>
      </c>
      <c r="Q189" s="262">
        <f t="shared" si="46"/>
        <v>0.9916666666666667</v>
      </c>
      <c r="R189" s="262">
        <f t="shared" si="47"/>
        <v>1.1442307692307692</v>
      </c>
      <c r="S189" s="248">
        <f t="shared" si="52"/>
        <v>0.9916666666666667</v>
      </c>
      <c r="T189" s="262">
        <f t="shared" si="48"/>
        <v>4.2916666666666661</v>
      </c>
      <c r="U189" s="262">
        <f t="shared" si="49"/>
        <v>1.03</v>
      </c>
      <c r="V189">
        <f t="shared" si="50"/>
        <v>1.03</v>
      </c>
    </row>
    <row r="190" spans="2:22">
      <c r="B190">
        <f t="shared" si="53"/>
        <v>14</v>
      </c>
      <c r="C190">
        <v>20</v>
      </c>
      <c r="D190">
        <f t="shared" si="36"/>
        <v>0.7</v>
      </c>
      <c r="E190">
        <f t="shared" si="37"/>
        <v>2666.6666666666665</v>
      </c>
      <c r="F190">
        <f t="shared" si="42"/>
        <v>666.66666666666663</v>
      </c>
      <c r="G190">
        <f t="shared" si="38"/>
        <v>20</v>
      </c>
      <c r="H190" s="339">
        <f t="shared" si="43"/>
        <v>10</v>
      </c>
      <c r="I190" s="242"/>
      <c r="J190" s="242"/>
      <c r="K190" s="248"/>
      <c r="N190" s="262">
        <f t="shared" si="44"/>
        <v>0.4154761904761905</v>
      </c>
      <c r="O190" s="262">
        <f t="shared" si="45"/>
        <v>1.1633333333333333</v>
      </c>
      <c r="P190" s="248">
        <f t="shared" si="51"/>
        <v>0.4154761904761905</v>
      </c>
      <c r="Q190" s="262">
        <f t="shared" si="46"/>
        <v>1.0452380952380953</v>
      </c>
      <c r="R190" s="262">
        <f t="shared" si="47"/>
        <v>1.1256410256410256</v>
      </c>
      <c r="S190" s="248">
        <f t="shared" si="52"/>
        <v>1.0452380952380953</v>
      </c>
      <c r="T190" s="262">
        <f t="shared" si="48"/>
        <v>4.5809523809523807</v>
      </c>
      <c r="U190" s="262">
        <f t="shared" si="49"/>
        <v>1.0261333333333333</v>
      </c>
      <c r="V190">
        <f t="shared" si="50"/>
        <v>1.0261333333333333</v>
      </c>
    </row>
    <row r="191" spans="2:22">
      <c r="B191">
        <f t="shared" si="53"/>
        <v>13</v>
      </c>
      <c r="C191">
        <v>20</v>
      </c>
      <c r="D191">
        <f t="shared" si="36"/>
        <v>0.65</v>
      </c>
      <c r="E191">
        <f t="shared" si="37"/>
        <v>2666.6666666666665</v>
      </c>
      <c r="F191">
        <f t="shared" si="42"/>
        <v>666.66666666666663</v>
      </c>
      <c r="G191">
        <f t="shared" si="38"/>
        <v>20</v>
      </c>
      <c r="H191" s="339">
        <f t="shared" si="43"/>
        <v>10</v>
      </c>
      <c r="I191" s="242"/>
      <c r="J191" s="242"/>
      <c r="K191" s="248"/>
      <c r="N191" s="262">
        <f t="shared" si="44"/>
        <v>0.43878205128205128</v>
      </c>
      <c r="O191" s="262">
        <f t="shared" si="45"/>
        <v>1.1408333333333334</v>
      </c>
      <c r="P191" s="248">
        <f t="shared" si="51"/>
        <v>0.43878205128205128</v>
      </c>
      <c r="Q191" s="262">
        <f t="shared" si="46"/>
        <v>1.1083333333333334</v>
      </c>
      <c r="R191" s="262">
        <f t="shared" si="47"/>
        <v>1.1083333333333334</v>
      </c>
      <c r="S191" s="248">
        <f t="shared" si="52"/>
        <v>1.1083333333333334</v>
      </c>
      <c r="T191" s="262">
        <f t="shared" si="48"/>
        <v>4.9160256410256418</v>
      </c>
      <c r="U191" s="262">
        <f t="shared" si="49"/>
        <v>1.0225333333333333</v>
      </c>
      <c r="V191">
        <f t="shared" si="50"/>
        <v>1.0225333333333333</v>
      </c>
    </row>
    <row r="192" spans="2:22">
      <c r="B192">
        <f t="shared" si="53"/>
        <v>12</v>
      </c>
      <c r="C192">
        <v>20</v>
      </c>
      <c r="D192">
        <f t="shared" si="36"/>
        <v>0.6</v>
      </c>
      <c r="E192">
        <f t="shared" si="37"/>
        <v>2666.6666666666665</v>
      </c>
      <c r="F192">
        <f t="shared" si="42"/>
        <v>666.66666666666663</v>
      </c>
      <c r="G192">
        <f t="shared" si="38"/>
        <v>20</v>
      </c>
      <c r="H192" s="339">
        <f t="shared" si="43"/>
        <v>10</v>
      </c>
      <c r="I192" s="242"/>
      <c r="J192" s="242"/>
      <c r="K192" s="248"/>
      <c r="N192" s="262">
        <f t="shared" si="44"/>
        <v>0.46666666666666667</v>
      </c>
      <c r="O192" s="262">
        <f t="shared" si="45"/>
        <v>1.1200000000000001</v>
      </c>
      <c r="P192" s="248">
        <f t="shared" si="51"/>
        <v>0.46666666666666667</v>
      </c>
      <c r="Q192" s="262">
        <f t="shared" si="46"/>
        <v>1.1833333333333336</v>
      </c>
      <c r="R192" s="262">
        <f t="shared" si="47"/>
        <v>1.0923076923076922</v>
      </c>
      <c r="S192" s="248">
        <f t="shared" si="52"/>
        <v>1.0923076923076922</v>
      </c>
      <c r="T192" s="262">
        <f t="shared" si="48"/>
        <v>5.3083333333333336</v>
      </c>
      <c r="U192" s="262">
        <f t="shared" si="49"/>
        <v>1.0192000000000001</v>
      </c>
      <c r="V192">
        <f t="shared" si="50"/>
        <v>1.0192000000000001</v>
      </c>
    </row>
    <row r="193" spans="2:22">
      <c r="B193">
        <f t="shared" si="53"/>
        <v>11</v>
      </c>
      <c r="C193">
        <v>20</v>
      </c>
      <c r="D193">
        <f t="shared" si="36"/>
        <v>0.55000000000000004</v>
      </c>
      <c r="E193">
        <f t="shared" si="37"/>
        <v>2666.6666666666665</v>
      </c>
      <c r="F193">
        <f t="shared" si="42"/>
        <v>666.66666666666663</v>
      </c>
      <c r="G193">
        <f t="shared" si="38"/>
        <v>20</v>
      </c>
      <c r="H193" s="339">
        <f t="shared" si="43"/>
        <v>10</v>
      </c>
      <c r="I193" s="242"/>
      <c r="J193" s="242"/>
      <c r="K193" s="248"/>
      <c r="N193" s="262">
        <f t="shared" si="44"/>
        <v>0.50037878787878787</v>
      </c>
      <c r="O193" s="262">
        <f t="shared" si="45"/>
        <v>1.1008333333333333</v>
      </c>
      <c r="P193" s="248">
        <f t="shared" si="51"/>
        <v>0.50037878787878787</v>
      </c>
      <c r="Q193" s="262">
        <f t="shared" si="46"/>
        <v>1.2734848484848484</v>
      </c>
      <c r="R193" s="262">
        <f t="shared" si="47"/>
        <v>1.0775641025641025</v>
      </c>
      <c r="S193" s="248">
        <f t="shared" si="52"/>
        <v>1.0775641025641025</v>
      </c>
      <c r="T193" s="262">
        <f t="shared" si="48"/>
        <v>5.7734848484848484</v>
      </c>
      <c r="U193" s="262">
        <f t="shared" si="49"/>
        <v>1.0161333333333333</v>
      </c>
      <c r="V193">
        <f t="shared" si="50"/>
        <v>1.0161333333333333</v>
      </c>
    </row>
    <row r="194" spans="2:22">
      <c r="B194">
        <f t="shared" si="53"/>
        <v>10</v>
      </c>
      <c r="C194">
        <v>20</v>
      </c>
      <c r="D194">
        <f t="shared" si="36"/>
        <v>0.5</v>
      </c>
      <c r="E194">
        <f t="shared" si="37"/>
        <v>2666.6666666666665</v>
      </c>
      <c r="F194">
        <f t="shared" si="42"/>
        <v>666.66666666666663</v>
      </c>
      <c r="G194">
        <f t="shared" si="38"/>
        <v>20</v>
      </c>
      <c r="H194" s="339">
        <f t="shared" si="43"/>
        <v>10</v>
      </c>
      <c r="I194" s="242"/>
      <c r="J194" s="242"/>
      <c r="K194" s="248"/>
      <c r="N194" s="262">
        <f t="shared" si="44"/>
        <v>0.54166666666666663</v>
      </c>
      <c r="O194" s="262">
        <f t="shared" si="45"/>
        <v>1.0833333333333333</v>
      </c>
      <c r="P194" s="248">
        <f t="shared" si="51"/>
        <v>0.54166666666666663</v>
      </c>
      <c r="Q194" s="262">
        <f t="shared" si="46"/>
        <v>1.3833333333333333</v>
      </c>
      <c r="R194" s="262">
        <f t="shared" si="47"/>
        <v>1.0641025641025641</v>
      </c>
      <c r="S194" s="248">
        <f t="shared" si="52"/>
        <v>1.0641025641025641</v>
      </c>
      <c r="T194" s="262">
        <f t="shared" si="48"/>
        <v>6.333333333333333</v>
      </c>
      <c r="U194" s="262">
        <f t="shared" si="49"/>
        <v>1.0133333333333334</v>
      </c>
      <c r="V194">
        <f t="shared" si="50"/>
        <v>1.0133333333333334</v>
      </c>
    </row>
    <row r="195" spans="2:22">
      <c r="B195">
        <f t="shared" si="53"/>
        <v>9</v>
      </c>
      <c r="C195">
        <v>20</v>
      </c>
      <c r="D195">
        <f t="shared" si="36"/>
        <v>0.45</v>
      </c>
      <c r="E195">
        <f t="shared" si="37"/>
        <v>2666.6666666666665</v>
      </c>
      <c r="F195">
        <f t="shared" si="42"/>
        <v>666.66666666666663</v>
      </c>
      <c r="G195">
        <f t="shared" si="38"/>
        <v>20</v>
      </c>
      <c r="H195" s="339">
        <f t="shared" si="43"/>
        <v>10</v>
      </c>
      <c r="I195" s="242"/>
      <c r="J195" s="242"/>
      <c r="K195" s="248"/>
      <c r="N195" s="262">
        <f t="shared" si="44"/>
        <v>0.59305555555555556</v>
      </c>
      <c r="O195" s="262">
        <f t="shared" si="45"/>
        <v>1.0674999999999999</v>
      </c>
      <c r="P195" s="248">
        <f t="shared" si="51"/>
        <v>0.59305555555555556</v>
      </c>
      <c r="Q195" s="262">
        <f t="shared" si="46"/>
        <v>1.5194444444444446</v>
      </c>
      <c r="R195" s="262">
        <f t="shared" si="47"/>
        <v>1.051923076923077</v>
      </c>
      <c r="S195" s="248">
        <f t="shared" si="52"/>
        <v>1.051923076923077</v>
      </c>
      <c r="T195" s="262">
        <f t="shared" si="48"/>
        <v>7.0194444444444448</v>
      </c>
      <c r="U195" s="262">
        <f t="shared" si="49"/>
        <v>1.0107999999999999</v>
      </c>
      <c r="V195">
        <f t="shared" si="50"/>
        <v>1.0107999999999999</v>
      </c>
    </row>
    <row r="196" spans="2:22">
      <c r="B196">
        <f t="shared" si="53"/>
        <v>8</v>
      </c>
      <c r="C196">
        <v>20</v>
      </c>
      <c r="D196">
        <f t="shared" ref="D196:D204" si="54">B196/C196</f>
        <v>0.4</v>
      </c>
      <c r="E196">
        <f t="shared" ref="E196:E204" si="55">C196^3/3</f>
        <v>2666.6666666666665</v>
      </c>
      <c r="F196">
        <f t="shared" si="42"/>
        <v>666.66666666666663</v>
      </c>
      <c r="G196">
        <f t="shared" ref="G196:G204" si="56">C196</f>
        <v>20</v>
      </c>
      <c r="H196" s="339">
        <f t="shared" si="43"/>
        <v>10</v>
      </c>
      <c r="I196" s="242"/>
      <c r="J196" s="242"/>
      <c r="K196" s="248"/>
      <c r="N196" s="262">
        <f t="shared" si="44"/>
        <v>0.65833333333333333</v>
      </c>
      <c r="O196" s="262">
        <f t="shared" si="45"/>
        <v>1.0533333333333332</v>
      </c>
      <c r="P196" s="248">
        <f t="shared" ref="P196:P203" si="57">MIN(N196:O196)</f>
        <v>0.65833333333333333</v>
      </c>
      <c r="Q196" s="262">
        <f t="shared" si="46"/>
        <v>1.6916666666666667</v>
      </c>
      <c r="R196" s="262">
        <f t="shared" si="47"/>
        <v>1.0410256410256411</v>
      </c>
      <c r="S196" s="248">
        <f t="shared" ref="S196:S203" si="58">MIN(Q196:R196)</f>
        <v>1.0410256410256411</v>
      </c>
      <c r="T196" s="262">
        <f t="shared" si="48"/>
        <v>7.8791666666666664</v>
      </c>
      <c r="U196" s="262">
        <f t="shared" si="49"/>
        <v>1.0085333333333333</v>
      </c>
      <c r="V196">
        <f t="shared" si="50"/>
        <v>1.0085333333333333</v>
      </c>
    </row>
    <row r="197" spans="2:22">
      <c r="B197">
        <f t="shared" ref="B197:B204" si="59">B196-1</f>
        <v>7</v>
      </c>
      <c r="C197">
        <v>20</v>
      </c>
      <c r="D197">
        <f t="shared" si="54"/>
        <v>0.35</v>
      </c>
      <c r="E197">
        <f t="shared" si="55"/>
        <v>2666.6666666666665</v>
      </c>
      <c r="F197">
        <f t="shared" ref="F197:F204" si="60">C197^3/12</f>
        <v>666.66666666666663</v>
      </c>
      <c r="G197">
        <f t="shared" si="56"/>
        <v>20</v>
      </c>
      <c r="H197" s="339">
        <f t="shared" ref="H197:H204" si="61">20/2</f>
        <v>10</v>
      </c>
      <c r="I197" s="242"/>
      <c r="J197" s="242"/>
      <c r="K197" s="248"/>
      <c r="N197" s="262">
        <f t="shared" ref="N197:N203" si="62">(B197/(12*G197))+(((3*E197)/(2*G197*B197*C197))*$J$4)</f>
        <v>0.74345238095238098</v>
      </c>
      <c r="O197" s="262">
        <f t="shared" ref="O197:O204" si="63">1+(((C197*B197^2)/(18*E197))*($J$4^(-1)))</f>
        <v>1.0408333333333333</v>
      </c>
      <c r="P197" s="248">
        <f t="shared" si="57"/>
        <v>0.74345238095238098</v>
      </c>
      <c r="Q197" s="262">
        <f t="shared" ref="Q197:Q203" si="64">(B197/(12*H197))+(((3*F197)/(2*H197*B197*C197))*$K$4)</f>
        <v>1.9154761904761906</v>
      </c>
      <c r="R197" s="262">
        <f t="shared" ref="R197:R204" si="65">1+(((C197*B197^2)/(18*F197))*($K$4^(-1)))</f>
        <v>1.0314102564102563</v>
      </c>
      <c r="S197" s="248">
        <f t="shared" si="58"/>
        <v>1.0314102564102563</v>
      </c>
      <c r="T197" s="262">
        <f t="shared" ref="T197:T203" si="66">((B197/(12*H197))+(((3*F197)/(2*H197*B197*C197))*$L$4))</f>
        <v>8.9869047619047624</v>
      </c>
      <c r="U197" s="262">
        <f t="shared" ref="U197:U204" si="67">(1+(((C197*(B197^2))/(18*F197))*($L$4^(-1))))</f>
        <v>1.0065333333333333</v>
      </c>
      <c r="V197">
        <f t="shared" ref="V197:V204" si="68">MIN(T197:U197)</f>
        <v>1.0065333333333333</v>
      </c>
    </row>
    <row r="198" spans="2:22">
      <c r="B198">
        <f t="shared" si="59"/>
        <v>6</v>
      </c>
      <c r="C198">
        <v>20</v>
      </c>
      <c r="D198">
        <f t="shared" si="54"/>
        <v>0.3</v>
      </c>
      <c r="E198">
        <f t="shared" si="55"/>
        <v>2666.6666666666665</v>
      </c>
      <c r="F198">
        <f t="shared" si="60"/>
        <v>666.66666666666663</v>
      </c>
      <c r="G198">
        <f t="shared" si="56"/>
        <v>20</v>
      </c>
      <c r="H198" s="339">
        <f t="shared" si="61"/>
        <v>10</v>
      </c>
      <c r="I198" s="242"/>
      <c r="J198" s="242"/>
      <c r="K198" s="248"/>
      <c r="N198" s="262">
        <f t="shared" si="62"/>
        <v>0.85833333333333339</v>
      </c>
      <c r="O198" s="262">
        <f t="shared" si="63"/>
        <v>1.03</v>
      </c>
      <c r="P198" s="248">
        <f t="shared" si="57"/>
        <v>0.85833333333333339</v>
      </c>
      <c r="Q198" s="262">
        <f t="shared" si="64"/>
        <v>2.2166666666666668</v>
      </c>
      <c r="R198" s="262">
        <f t="shared" si="65"/>
        <v>1.023076923076923</v>
      </c>
      <c r="S198" s="248">
        <f t="shared" si="58"/>
        <v>1.023076923076923</v>
      </c>
      <c r="T198" s="262">
        <f t="shared" si="66"/>
        <v>10.466666666666669</v>
      </c>
      <c r="U198" s="262">
        <f t="shared" si="67"/>
        <v>1.0047999999999999</v>
      </c>
      <c r="V198">
        <f t="shared" si="68"/>
        <v>1.0047999999999999</v>
      </c>
    </row>
    <row r="199" spans="2:22">
      <c r="B199">
        <f t="shared" si="59"/>
        <v>5</v>
      </c>
      <c r="C199">
        <v>20</v>
      </c>
      <c r="D199">
        <f t="shared" si="54"/>
        <v>0.25</v>
      </c>
      <c r="E199">
        <f t="shared" si="55"/>
        <v>2666.6666666666665</v>
      </c>
      <c r="F199">
        <f t="shared" si="60"/>
        <v>666.66666666666663</v>
      </c>
      <c r="G199">
        <f t="shared" si="56"/>
        <v>20</v>
      </c>
      <c r="H199" s="339">
        <f t="shared" si="61"/>
        <v>10</v>
      </c>
      <c r="I199" s="242"/>
      <c r="J199" s="242"/>
      <c r="K199" s="248"/>
      <c r="N199" s="262">
        <f t="shared" si="62"/>
        <v>1.0208333333333333</v>
      </c>
      <c r="O199" s="262">
        <f t="shared" si="63"/>
        <v>1.0208333333333333</v>
      </c>
      <c r="P199" s="248">
        <f t="shared" si="57"/>
        <v>1.0208333333333333</v>
      </c>
      <c r="Q199" s="262">
        <f t="shared" si="64"/>
        <v>2.6416666666666666</v>
      </c>
      <c r="R199" s="262">
        <f t="shared" si="65"/>
        <v>1.016025641025641</v>
      </c>
      <c r="S199" s="248">
        <f t="shared" si="58"/>
        <v>1.016025641025641</v>
      </c>
      <c r="T199" s="262">
        <f t="shared" si="66"/>
        <v>12.541666666666666</v>
      </c>
      <c r="U199" s="262">
        <f t="shared" si="67"/>
        <v>1.0033333333333334</v>
      </c>
      <c r="V199">
        <f t="shared" si="68"/>
        <v>1.0033333333333334</v>
      </c>
    </row>
    <row r="200" spans="2:22">
      <c r="B200">
        <f t="shared" si="59"/>
        <v>4</v>
      </c>
      <c r="C200">
        <v>20</v>
      </c>
      <c r="D200">
        <f t="shared" si="54"/>
        <v>0.2</v>
      </c>
      <c r="E200">
        <f t="shared" si="55"/>
        <v>2666.6666666666665</v>
      </c>
      <c r="F200">
        <f t="shared" si="60"/>
        <v>666.66666666666663</v>
      </c>
      <c r="G200">
        <f t="shared" si="56"/>
        <v>20</v>
      </c>
      <c r="H200" s="339">
        <f t="shared" si="61"/>
        <v>10</v>
      </c>
      <c r="I200" s="242"/>
      <c r="J200" s="242"/>
      <c r="K200" s="248"/>
      <c r="N200" s="262">
        <f t="shared" si="62"/>
        <v>1.2666666666666666</v>
      </c>
      <c r="O200" s="262">
        <f t="shared" si="63"/>
        <v>1.0133333333333334</v>
      </c>
      <c r="P200" s="248">
        <f t="shared" si="57"/>
        <v>1.0133333333333334</v>
      </c>
      <c r="Q200" s="262">
        <f t="shared" si="64"/>
        <v>3.2833333333333332</v>
      </c>
      <c r="R200" s="262">
        <f t="shared" si="65"/>
        <v>1.0102564102564102</v>
      </c>
      <c r="S200" s="248">
        <f t="shared" si="58"/>
        <v>1.0102564102564102</v>
      </c>
      <c r="T200" s="262">
        <f t="shared" si="66"/>
        <v>15.658333333333333</v>
      </c>
      <c r="U200" s="262">
        <f t="shared" si="67"/>
        <v>1.0021333333333333</v>
      </c>
      <c r="V200">
        <f t="shared" si="68"/>
        <v>1.0021333333333333</v>
      </c>
    </row>
    <row r="201" spans="2:22">
      <c r="B201">
        <f t="shared" si="59"/>
        <v>3</v>
      </c>
      <c r="C201">
        <v>20</v>
      </c>
      <c r="D201">
        <f t="shared" si="54"/>
        <v>0.15</v>
      </c>
      <c r="E201">
        <f t="shared" si="55"/>
        <v>2666.6666666666665</v>
      </c>
      <c r="F201">
        <f t="shared" si="60"/>
        <v>666.66666666666663</v>
      </c>
      <c r="G201">
        <f t="shared" si="56"/>
        <v>20</v>
      </c>
      <c r="H201" s="339">
        <f t="shared" si="61"/>
        <v>10</v>
      </c>
      <c r="I201" s="242"/>
      <c r="J201" s="242"/>
      <c r="K201" s="248"/>
      <c r="N201" s="262">
        <f t="shared" si="62"/>
        <v>1.6791666666666667</v>
      </c>
      <c r="O201" s="262">
        <f t="shared" si="63"/>
        <v>1.0075000000000001</v>
      </c>
      <c r="P201" s="248">
        <f t="shared" si="57"/>
        <v>1.0075000000000001</v>
      </c>
      <c r="Q201" s="262">
        <f t="shared" si="64"/>
        <v>4.3583333333333343</v>
      </c>
      <c r="R201" s="262">
        <f t="shared" si="65"/>
        <v>1.0057692307692307</v>
      </c>
      <c r="S201" s="248">
        <f t="shared" si="58"/>
        <v>1.0057692307692307</v>
      </c>
      <c r="T201" s="262">
        <f t="shared" si="66"/>
        <v>20.858333333333334</v>
      </c>
      <c r="U201" s="262">
        <f t="shared" si="67"/>
        <v>1.0012000000000001</v>
      </c>
      <c r="V201">
        <f t="shared" si="68"/>
        <v>1.0012000000000001</v>
      </c>
    </row>
    <row r="202" spans="2:22">
      <c r="B202">
        <f t="shared" si="59"/>
        <v>2</v>
      </c>
      <c r="C202">
        <v>20</v>
      </c>
      <c r="D202">
        <f t="shared" si="54"/>
        <v>0.1</v>
      </c>
      <c r="E202">
        <f t="shared" si="55"/>
        <v>2666.6666666666665</v>
      </c>
      <c r="F202">
        <f t="shared" si="60"/>
        <v>666.66666666666663</v>
      </c>
      <c r="G202">
        <f t="shared" si="56"/>
        <v>20</v>
      </c>
      <c r="H202" s="339">
        <f t="shared" si="61"/>
        <v>10</v>
      </c>
      <c r="I202" s="242"/>
      <c r="J202" s="242"/>
      <c r="K202" s="248"/>
      <c r="N202" s="262">
        <f t="shared" si="62"/>
        <v>2.5083333333333333</v>
      </c>
      <c r="O202" s="262">
        <f t="shared" si="63"/>
        <v>1.0033333333333334</v>
      </c>
      <c r="P202" s="248">
        <f t="shared" si="57"/>
        <v>1.0033333333333334</v>
      </c>
      <c r="Q202" s="262">
        <f t="shared" si="64"/>
        <v>6.5166666666666666</v>
      </c>
      <c r="R202" s="262">
        <f t="shared" si="65"/>
        <v>1.0025641025641026</v>
      </c>
      <c r="S202" s="248">
        <f t="shared" si="58"/>
        <v>1.0025641025641026</v>
      </c>
      <c r="T202" s="262">
        <f t="shared" si="66"/>
        <v>31.266666666666666</v>
      </c>
      <c r="U202" s="262">
        <f t="shared" si="67"/>
        <v>1.0005333333333333</v>
      </c>
      <c r="V202">
        <f t="shared" si="68"/>
        <v>1.0005333333333333</v>
      </c>
    </row>
    <row r="203" spans="2:22">
      <c r="B203">
        <f t="shared" si="59"/>
        <v>1</v>
      </c>
      <c r="C203">
        <v>20</v>
      </c>
      <c r="D203">
        <f t="shared" si="54"/>
        <v>0.05</v>
      </c>
      <c r="E203">
        <f t="shared" si="55"/>
        <v>2666.6666666666665</v>
      </c>
      <c r="F203">
        <f t="shared" si="60"/>
        <v>666.66666666666663</v>
      </c>
      <c r="G203">
        <f t="shared" si="56"/>
        <v>20</v>
      </c>
      <c r="H203" s="339">
        <f t="shared" si="61"/>
        <v>10</v>
      </c>
      <c r="I203" s="242"/>
      <c r="J203" s="242"/>
      <c r="K203" s="248"/>
      <c r="N203" s="262">
        <f t="shared" si="62"/>
        <v>5.0041666666666664</v>
      </c>
      <c r="O203" s="262">
        <f t="shared" si="63"/>
        <v>1.0008333333333332</v>
      </c>
      <c r="P203" s="248">
        <f t="shared" si="57"/>
        <v>1.0008333333333332</v>
      </c>
      <c r="Q203" s="262">
        <f t="shared" si="64"/>
        <v>13.008333333333333</v>
      </c>
      <c r="R203" s="262">
        <f t="shared" si="65"/>
        <v>1.0006410256410256</v>
      </c>
      <c r="S203" s="248">
        <f t="shared" si="58"/>
        <v>1.0006410256410256</v>
      </c>
      <c r="T203" s="262">
        <f t="shared" si="66"/>
        <v>62.508333333333333</v>
      </c>
      <c r="U203" s="262">
        <f t="shared" si="67"/>
        <v>1.0001333333333333</v>
      </c>
      <c r="V203">
        <f t="shared" si="68"/>
        <v>1.0001333333333333</v>
      </c>
    </row>
    <row r="204" spans="2:22">
      <c r="B204" s="201">
        <f t="shared" si="59"/>
        <v>0</v>
      </c>
      <c r="C204" s="201">
        <v>20</v>
      </c>
      <c r="D204" s="201">
        <f t="shared" si="54"/>
        <v>0</v>
      </c>
      <c r="E204" s="201">
        <f t="shared" si="55"/>
        <v>2666.6666666666665</v>
      </c>
      <c r="F204">
        <f t="shared" si="60"/>
        <v>666.66666666666663</v>
      </c>
      <c r="G204" s="201">
        <f t="shared" si="56"/>
        <v>20</v>
      </c>
      <c r="H204" s="339">
        <f t="shared" si="61"/>
        <v>10</v>
      </c>
      <c r="I204" s="354"/>
      <c r="J204" s="354"/>
      <c r="K204" s="356"/>
      <c r="L204" s="201"/>
      <c r="M204" s="201"/>
      <c r="N204" s="262">
        <v>10</v>
      </c>
      <c r="O204" s="262">
        <f t="shared" si="63"/>
        <v>1</v>
      </c>
      <c r="P204" s="248">
        <v>1</v>
      </c>
      <c r="Q204" s="262">
        <v>50</v>
      </c>
      <c r="R204" s="262">
        <f t="shared" si="65"/>
        <v>1</v>
      </c>
      <c r="S204" s="248">
        <v>1</v>
      </c>
      <c r="T204" s="262">
        <v>100</v>
      </c>
      <c r="U204" s="262">
        <f t="shared" si="67"/>
        <v>1</v>
      </c>
      <c r="V204">
        <f t="shared" si="68"/>
        <v>1</v>
      </c>
    </row>
  </sheetData>
  <mergeCells count="6">
    <mergeCell ref="N2:P2"/>
    <mergeCell ref="Q2:S2"/>
    <mergeCell ref="T2:V2"/>
    <mergeCell ref="J3:L3"/>
    <mergeCell ref="Q1:S1"/>
    <mergeCell ref="T1:V1"/>
  </mergeCells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">
    <tabColor rgb="FF92D050"/>
  </sheetPr>
  <dimension ref="A1:U2555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3" sqref="D3"/>
    </sheetView>
  </sheetViews>
  <sheetFormatPr defaultColWidth="9.109375" defaultRowHeight="14.4"/>
  <cols>
    <col min="1" max="1" width="11.33203125" style="973" customWidth="1"/>
    <col min="2" max="2" width="12.88671875" style="973" customWidth="1"/>
    <col min="3" max="3" width="13.5546875" style="973" bestFit="1" customWidth="1"/>
    <col min="4" max="4" width="11.44140625" style="973" bestFit="1" customWidth="1"/>
    <col min="5" max="5" width="10.5546875" style="973" bestFit="1" customWidth="1"/>
    <col min="6" max="6" width="10.33203125" style="973" bestFit="1" customWidth="1"/>
    <col min="7" max="7" width="7.5546875" style="973" customWidth="1"/>
    <col min="8" max="8" width="6.33203125" style="969" customWidth="1"/>
    <col min="9" max="9" width="6.88671875" style="973" customWidth="1"/>
    <col min="10" max="10" width="18.109375" style="973" customWidth="1"/>
    <col min="11" max="11" width="19.33203125" style="973" bestFit="1" customWidth="1"/>
    <col min="12" max="12" width="13.88671875" style="973" bestFit="1" customWidth="1"/>
    <col min="13" max="13" width="22.44140625" style="973" bestFit="1" customWidth="1"/>
    <col min="14" max="14" width="10.5546875" style="966" customWidth="1"/>
    <col min="15" max="15" width="9.109375" style="966"/>
    <col min="16" max="16" width="21.6640625" style="966" bestFit="1" customWidth="1"/>
    <col min="17" max="17" width="4.6640625" style="963" bestFit="1" customWidth="1"/>
    <col min="18" max="16384" width="9.109375" style="963"/>
  </cols>
  <sheetData>
    <row r="1" spans="1:21" ht="43.2">
      <c r="A1" s="919" t="s">
        <v>393</v>
      </c>
      <c r="B1" s="918" t="s">
        <v>362</v>
      </c>
      <c r="C1" s="918" t="s">
        <v>363</v>
      </c>
      <c r="D1" s="919" t="s">
        <v>677</v>
      </c>
      <c r="E1" s="918" t="s">
        <v>364</v>
      </c>
      <c r="F1" s="919" t="s">
        <v>391</v>
      </c>
      <c r="G1" s="918" t="s">
        <v>12</v>
      </c>
      <c r="H1" s="919" t="s">
        <v>9</v>
      </c>
      <c r="I1" s="919" t="s">
        <v>409</v>
      </c>
      <c r="J1" s="919" t="s">
        <v>394</v>
      </c>
      <c r="K1" s="918" t="s">
        <v>397</v>
      </c>
      <c r="L1" s="918" t="s">
        <v>395</v>
      </c>
      <c r="M1" s="919" t="s">
        <v>365</v>
      </c>
      <c r="N1" s="919" t="s">
        <v>4</v>
      </c>
      <c r="O1" s="962"/>
      <c r="P1" s="919" t="s">
        <v>396</v>
      </c>
      <c r="R1" s="985"/>
      <c r="S1" s="985"/>
      <c r="T1" s="985"/>
    </row>
    <row r="2" spans="1:21" ht="15.75" customHeight="1">
      <c r="A2" s="1001">
        <v>42273</v>
      </c>
      <c r="B2" s="974" t="s">
        <v>413</v>
      </c>
      <c r="C2" s="974" t="s">
        <v>413</v>
      </c>
      <c r="D2" s="1031">
        <v>15</v>
      </c>
      <c r="E2" s="975">
        <f>D2*-1</f>
        <v>-15</v>
      </c>
      <c r="F2" s="999">
        <v>7.5</v>
      </c>
      <c r="G2" s="976">
        <f>(K2*N2)/(F2*((K2/F2)^H2))</f>
        <v>0.45</v>
      </c>
      <c r="H2" s="998">
        <v>1</v>
      </c>
      <c r="I2" s="998">
        <v>1</v>
      </c>
      <c r="J2" s="1000">
        <v>0</v>
      </c>
      <c r="K2" s="993">
        <f>+J2-E2-P2</f>
        <v>15</v>
      </c>
      <c r="L2" s="993">
        <f>+J2-E2-F2/2</f>
        <v>11.25</v>
      </c>
      <c r="M2" s="1003" t="s">
        <v>683</v>
      </c>
      <c r="N2" s="997">
        <v>0.45</v>
      </c>
      <c r="O2" s="977"/>
      <c r="P2" s="1036">
        <v>0</v>
      </c>
      <c r="S2" s="9"/>
      <c r="U2" s="1035"/>
    </row>
    <row r="3" spans="1:21" ht="15">
      <c r="A3" s="1001">
        <v>43751</v>
      </c>
      <c r="B3" s="974" t="s">
        <v>413</v>
      </c>
      <c r="C3" s="974" t="s">
        <v>413</v>
      </c>
      <c r="D3" s="1031">
        <v>42.007812000000001</v>
      </c>
      <c r="E3" s="975">
        <f t="shared" ref="E3:E66" si="0">D3*-1</f>
        <v>-42.007812000000001</v>
      </c>
      <c r="F3" s="999">
        <v>7.5</v>
      </c>
      <c r="G3" s="976">
        <f>(K3*N3)/(F3*((K3/F3)^H3))</f>
        <v>0.44999999999999996</v>
      </c>
      <c r="H3" s="999">
        <f>H2</f>
        <v>1</v>
      </c>
      <c r="I3" s="999">
        <f>I2</f>
        <v>1</v>
      </c>
      <c r="J3" s="1008">
        <f>J2</f>
        <v>0</v>
      </c>
      <c r="K3" s="993">
        <f t="shared" ref="K3:K66" si="1">+J3-E3-P3</f>
        <v>42.007812000000001</v>
      </c>
      <c r="L3" s="993">
        <f t="shared" ref="L3:L66" si="2">+J3-E3-F3/2</f>
        <v>38.257812000000001</v>
      </c>
      <c r="M3" s="1003" t="s">
        <v>684</v>
      </c>
      <c r="N3" s="997">
        <v>0.45</v>
      </c>
      <c r="O3" s="977"/>
      <c r="P3" s="1036">
        <v>0</v>
      </c>
      <c r="Q3" s="965"/>
      <c r="S3" s="9"/>
    </row>
    <row r="4" spans="1:21" ht="15">
      <c r="A4" s="1001">
        <v>43704</v>
      </c>
      <c r="B4" s="974" t="s">
        <v>413</v>
      </c>
      <c r="C4" s="974" t="s">
        <v>413</v>
      </c>
      <c r="D4" s="1031">
        <v>42.587862000000001</v>
      </c>
      <c r="E4" s="975">
        <f t="shared" si="0"/>
        <v>-42.587862000000001</v>
      </c>
      <c r="F4" s="999">
        <v>7.5</v>
      </c>
      <c r="G4" s="976">
        <f t="shared" ref="G4:G67" si="3">(K4*N4)/(F4*((K4/F4)^H4))</f>
        <v>0.45000000000000007</v>
      </c>
      <c r="H4" s="999">
        <f t="shared" ref="H4:H67" si="4">H3</f>
        <v>1</v>
      </c>
      <c r="I4" s="999">
        <f t="shared" ref="I4:I67" si="5">I3</f>
        <v>1</v>
      </c>
      <c r="J4" s="1008">
        <f t="shared" ref="J4:J67" si="6">J3</f>
        <v>0</v>
      </c>
      <c r="K4" s="993">
        <f t="shared" si="1"/>
        <v>42.587862000000001</v>
      </c>
      <c r="L4" s="993">
        <f t="shared" si="2"/>
        <v>38.837862000000001</v>
      </c>
      <c r="M4" s="1003" t="s">
        <v>685</v>
      </c>
      <c r="N4" s="997">
        <v>0.45</v>
      </c>
      <c r="O4" s="977"/>
      <c r="P4" s="1036">
        <v>0</v>
      </c>
      <c r="Q4" s="965"/>
      <c r="S4" s="9"/>
    </row>
    <row r="5" spans="1:21" ht="15">
      <c r="A5" s="1002">
        <v>43774</v>
      </c>
      <c r="B5" s="974" t="s">
        <v>413</v>
      </c>
      <c r="C5" s="974" t="s">
        <v>413</v>
      </c>
      <c r="D5" s="1031">
        <v>41.270792</v>
      </c>
      <c r="E5" s="975">
        <f t="shared" si="0"/>
        <v>-41.270792</v>
      </c>
      <c r="F5" s="999">
        <v>7.5</v>
      </c>
      <c r="G5" s="976">
        <f t="shared" si="3"/>
        <v>0.45</v>
      </c>
      <c r="H5" s="999">
        <f t="shared" si="4"/>
        <v>1</v>
      </c>
      <c r="I5" s="999">
        <f t="shared" si="5"/>
        <v>1</v>
      </c>
      <c r="J5" s="1008">
        <f t="shared" si="6"/>
        <v>0</v>
      </c>
      <c r="K5" s="993">
        <f t="shared" si="1"/>
        <v>41.270792</v>
      </c>
      <c r="L5" s="993">
        <f t="shared" si="2"/>
        <v>37.520792</v>
      </c>
      <c r="M5" s="1004" t="s">
        <v>686</v>
      </c>
      <c r="N5" s="997">
        <v>0.45</v>
      </c>
      <c r="O5" s="978"/>
      <c r="P5" s="1036">
        <v>0</v>
      </c>
      <c r="Q5" s="965"/>
      <c r="S5" s="9"/>
    </row>
    <row r="6" spans="1:21" ht="15">
      <c r="A6" s="1002">
        <v>43820</v>
      </c>
      <c r="B6" s="974" t="s">
        <v>413</v>
      </c>
      <c r="C6" s="974" t="s">
        <v>413</v>
      </c>
      <c r="D6" s="1031">
        <v>40.327159999999999</v>
      </c>
      <c r="E6" s="975">
        <f t="shared" si="0"/>
        <v>-40.327159999999999</v>
      </c>
      <c r="F6" s="999">
        <v>7.5</v>
      </c>
      <c r="G6" s="976">
        <f t="shared" si="3"/>
        <v>0.45</v>
      </c>
      <c r="H6" s="999">
        <f t="shared" si="4"/>
        <v>1</v>
      </c>
      <c r="I6" s="999">
        <f t="shared" si="5"/>
        <v>1</v>
      </c>
      <c r="J6" s="1008">
        <f t="shared" si="6"/>
        <v>0</v>
      </c>
      <c r="K6" s="993">
        <f t="shared" si="1"/>
        <v>40.327159999999999</v>
      </c>
      <c r="L6" s="993">
        <f t="shared" si="2"/>
        <v>36.577159999999999</v>
      </c>
      <c r="M6" s="1001" t="s">
        <v>687</v>
      </c>
      <c r="N6" s="997">
        <v>0.45</v>
      </c>
      <c r="O6" s="980"/>
      <c r="P6" s="1036">
        <v>0</v>
      </c>
      <c r="Q6" s="965"/>
      <c r="S6" s="9"/>
    </row>
    <row r="7" spans="1:21" ht="15">
      <c r="A7" s="1002">
        <v>43751</v>
      </c>
      <c r="B7" s="974" t="s">
        <v>413</v>
      </c>
      <c r="C7" s="974" t="s">
        <v>413</v>
      </c>
      <c r="D7" s="1031">
        <v>42.007812000000001</v>
      </c>
      <c r="E7" s="975">
        <f t="shared" si="0"/>
        <v>-42.007812000000001</v>
      </c>
      <c r="F7" s="999">
        <v>7.5</v>
      </c>
      <c r="G7" s="976">
        <f t="shared" si="3"/>
        <v>0.44999999999999996</v>
      </c>
      <c r="H7" s="999">
        <f t="shared" si="4"/>
        <v>1</v>
      </c>
      <c r="I7" s="999">
        <f t="shared" si="5"/>
        <v>1</v>
      </c>
      <c r="J7" s="1008">
        <f t="shared" si="6"/>
        <v>0</v>
      </c>
      <c r="K7" s="993">
        <f t="shared" si="1"/>
        <v>42.007812000000001</v>
      </c>
      <c r="L7" s="993">
        <f t="shared" si="2"/>
        <v>38.257812000000001</v>
      </c>
      <c r="M7" s="1001" t="s">
        <v>688</v>
      </c>
      <c r="N7" s="997">
        <v>0.45</v>
      </c>
      <c r="O7" s="980"/>
      <c r="P7" s="1036">
        <v>0</v>
      </c>
      <c r="Q7" s="965"/>
      <c r="S7" s="9"/>
    </row>
    <row r="8" spans="1:21" ht="15">
      <c r="A8" s="1002">
        <v>43828</v>
      </c>
      <c r="B8" s="974" t="s">
        <v>413</v>
      </c>
      <c r="C8" s="974" t="s">
        <v>413</v>
      </c>
      <c r="D8" s="1031">
        <v>39.863945999999999</v>
      </c>
      <c r="E8" s="975">
        <f t="shared" si="0"/>
        <v>-39.863945999999999</v>
      </c>
      <c r="F8" s="999">
        <v>7.5</v>
      </c>
      <c r="G8" s="976">
        <f t="shared" si="3"/>
        <v>0.45</v>
      </c>
      <c r="H8" s="999">
        <f t="shared" si="4"/>
        <v>1</v>
      </c>
      <c r="I8" s="999">
        <f t="shared" si="5"/>
        <v>1</v>
      </c>
      <c r="J8" s="1008">
        <f t="shared" si="6"/>
        <v>0</v>
      </c>
      <c r="K8" s="993">
        <f t="shared" si="1"/>
        <v>39.863945999999999</v>
      </c>
      <c r="L8" s="993">
        <f t="shared" si="2"/>
        <v>36.113945999999999</v>
      </c>
      <c r="M8" s="1001" t="s">
        <v>689</v>
      </c>
      <c r="N8" s="997">
        <v>0.45</v>
      </c>
      <c r="O8" s="978"/>
      <c r="P8" s="1036">
        <v>0</v>
      </c>
      <c r="Q8" s="965"/>
      <c r="S8" s="9"/>
    </row>
    <row r="9" spans="1:21" ht="15">
      <c r="A9" s="1002">
        <v>43800</v>
      </c>
      <c r="B9" s="974" t="s">
        <v>413</v>
      </c>
      <c r="C9" s="974" t="s">
        <v>413</v>
      </c>
      <c r="D9" s="1031">
        <v>40.38702</v>
      </c>
      <c r="E9" s="975">
        <f t="shared" si="0"/>
        <v>-40.38702</v>
      </c>
      <c r="F9" s="999">
        <v>7.5</v>
      </c>
      <c r="G9" s="976">
        <f t="shared" si="3"/>
        <v>0.45</v>
      </c>
      <c r="H9" s="999">
        <f t="shared" si="4"/>
        <v>1</v>
      </c>
      <c r="I9" s="999">
        <f t="shared" si="5"/>
        <v>1</v>
      </c>
      <c r="J9" s="1008">
        <f t="shared" si="6"/>
        <v>0</v>
      </c>
      <c r="K9" s="993">
        <f t="shared" si="1"/>
        <v>40.38702</v>
      </c>
      <c r="L9" s="993">
        <f t="shared" si="2"/>
        <v>36.63702</v>
      </c>
      <c r="M9" s="1001" t="s">
        <v>690</v>
      </c>
      <c r="N9" s="997">
        <v>0.45</v>
      </c>
      <c r="O9" s="981"/>
      <c r="P9" s="1036">
        <v>0</v>
      </c>
      <c r="Q9" s="965"/>
      <c r="S9" s="9"/>
    </row>
    <row r="10" spans="1:21" ht="15">
      <c r="A10" s="1002">
        <v>43912</v>
      </c>
      <c r="B10" s="974" t="s">
        <v>413</v>
      </c>
      <c r="C10" s="974" t="s">
        <v>413</v>
      </c>
      <c r="D10" s="1031">
        <v>37.880388000000004</v>
      </c>
      <c r="E10" s="975">
        <f t="shared" si="0"/>
        <v>-37.880388000000004</v>
      </c>
      <c r="F10" s="999">
        <v>7.5</v>
      </c>
      <c r="G10" s="976">
        <f t="shared" si="3"/>
        <v>0.44999999999999996</v>
      </c>
      <c r="H10" s="999">
        <f t="shared" si="4"/>
        <v>1</v>
      </c>
      <c r="I10" s="999">
        <f t="shared" si="5"/>
        <v>1</v>
      </c>
      <c r="J10" s="1008">
        <f t="shared" si="6"/>
        <v>0</v>
      </c>
      <c r="K10" s="993">
        <f t="shared" si="1"/>
        <v>37.880388000000004</v>
      </c>
      <c r="L10" s="993">
        <f t="shared" si="2"/>
        <v>34.130388000000004</v>
      </c>
      <c r="M10" s="1001" t="s">
        <v>691</v>
      </c>
      <c r="N10" s="997">
        <v>0.45</v>
      </c>
      <c r="O10" s="981"/>
      <c r="P10" s="1036">
        <v>0</v>
      </c>
      <c r="Q10" s="965"/>
      <c r="S10" s="9"/>
    </row>
    <row r="11" spans="1:21" ht="15">
      <c r="A11" s="1002">
        <v>43930</v>
      </c>
      <c r="B11" s="974" t="s">
        <v>413</v>
      </c>
      <c r="C11" s="974" t="s">
        <v>413</v>
      </c>
      <c r="D11" s="1031">
        <v>37.417257999999997</v>
      </c>
      <c r="E11" s="975">
        <f t="shared" si="0"/>
        <v>-37.417257999999997</v>
      </c>
      <c r="F11" s="999">
        <v>7.5</v>
      </c>
      <c r="G11" s="976">
        <f t="shared" si="3"/>
        <v>0.45</v>
      </c>
      <c r="H11" s="999">
        <f t="shared" si="4"/>
        <v>1</v>
      </c>
      <c r="I11" s="999">
        <f t="shared" si="5"/>
        <v>1</v>
      </c>
      <c r="J11" s="1008">
        <f t="shared" si="6"/>
        <v>0</v>
      </c>
      <c r="K11" s="993">
        <f t="shared" si="1"/>
        <v>37.417257999999997</v>
      </c>
      <c r="L11" s="993">
        <f t="shared" si="2"/>
        <v>33.667257999999997</v>
      </c>
      <c r="M11" s="1001" t="s">
        <v>692</v>
      </c>
      <c r="N11" s="997">
        <v>0.45</v>
      </c>
      <c r="O11" s="982"/>
      <c r="P11" s="1036">
        <v>0</v>
      </c>
      <c r="Q11" s="965"/>
      <c r="S11" s="9"/>
    </row>
    <row r="12" spans="1:21" ht="15">
      <c r="A12" s="1002">
        <v>43982</v>
      </c>
      <c r="B12" s="974" t="s">
        <v>413</v>
      </c>
      <c r="C12" s="974" t="s">
        <v>413</v>
      </c>
      <c r="D12" s="1031">
        <v>36.690407</v>
      </c>
      <c r="E12" s="975">
        <f t="shared" si="0"/>
        <v>-36.690407</v>
      </c>
      <c r="F12" s="999">
        <v>7.5</v>
      </c>
      <c r="G12" s="976">
        <f t="shared" si="3"/>
        <v>0.45000000000000007</v>
      </c>
      <c r="H12" s="999">
        <f t="shared" si="4"/>
        <v>1</v>
      </c>
      <c r="I12" s="999">
        <f t="shared" si="5"/>
        <v>1</v>
      </c>
      <c r="J12" s="1008">
        <f t="shared" si="6"/>
        <v>0</v>
      </c>
      <c r="K12" s="993">
        <f t="shared" si="1"/>
        <v>36.690407</v>
      </c>
      <c r="L12" s="993">
        <f t="shared" si="2"/>
        <v>32.940407</v>
      </c>
      <c r="M12" s="1001" t="s">
        <v>693</v>
      </c>
      <c r="N12" s="997">
        <v>0.45</v>
      </c>
      <c r="O12" s="982"/>
      <c r="P12" s="1036">
        <v>0</v>
      </c>
      <c r="Q12" s="965"/>
    </row>
    <row r="13" spans="1:21" ht="15">
      <c r="A13" s="1002">
        <v>48385</v>
      </c>
      <c r="B13" s="974" t="s">
        <v>413</v>
      </c>
      <c r="C13" s="974" t="s">
        <v>413</v>
      </c>
      <c r="D13" s="1031">
        <v>24.881647999999998</v>
      </c>
      <c r="E13" s="975">
        <f t="shared" si="0"/>
        <v>-24.881647999999998</v>
      </c>
      <c r="F13" s="999">
        <v>7.5</v>
      </c>
      <c r="G13" s="976">
        <f t="shared" si="3"/>
        <v>0.45</v>
      </c>
      <c r="H13" s="999">
        <f t="shared" si="4"/>
        <v>1</v>
      </c>
      <c r="I13" s="999">
        <f t="shared" si="5"/>
        <v>1</v>
      </c>
      <c r="J13" s="1008">
        <f t="shared" si="6"/>
        <v>0</v>
      </c>
      <c r="K13" s="993">
        <f t="shared" si="1"/>
        <v>24.881647999999998</v>
      </c>
      <c r="L13" s="993">
        <f t="shared" si="2"/>
        <v>21.131647999999998</v>
      </c>
      <c r="M13" s="1001" t="s">
        <v>694</v>
      </c>
      <c r="N13" s="997">
        <v>0.45</v>
      </c>
      <c r="O13" s="981"/>
      <c r="P13" s="1036">
        <v>0</v>
      </c>
      <c r="Q13" s="965"/>
    </row>
    <row r="14" spans="1:21" ht="15">
      <c r="A14" s="1002">
        <v>48275</v>
      </c>
      <c r="B14" s="974" t="s">
        <v>413</v>
      </c>
      <c r="C14" s="974" t="s">
        <v>413</v>
      </c>
      <c r="D14" s="1031">
        <v>27.154378999999999</v>
      </c>
      <c r="E14" s="975">
        <f t="shared" si="0"/>
        <v>-27.154378999999999</v>
      </c>
      <c r="F14" s="999">
        <v>7.5</v>
      </c>
      <c r="G14" s="976">
        <f t="shared" si="3"/>
        <v>0.45000000000000007</v>
      </c>
      <c r="H14" s="999">
        <f t="shared" si="4"/>
        <v>1</v>
      </c>
      <c r="I14" s="999">
        <f t="shared" si="5"/>
        <v>1</v>
      </c>
      <c r="J14" s="1008">
        <f t="shared" si="6"/>
        <v>0</v>
      </c>
      <c r="K14" s="993">
        <f t="shared" si="1"/>
        <v>27.154378999999999</v>
      </c>
      <c r="L14" s="993">
        <f t="shared" si="2"/>
        <v>23.404378999999999</v>
      </c>
      <c r="M14" s="1001" t="s">
        <v>695</v>
      </c>
      <c r="N14" s="997">
        <v>0.45</v>
      </c>
      <c r="O14" s="981"/>
      <c r="P14" s="1036">
        <v>0</v>
      </c>
      <c r="Q14" s="965"/>
    </row>
    <row r="15" spans="1:21" ht="15">
      <c r="A15" s="1002">
        <v>48352</v>
      </c>
      <c r="B15" s="974" t="s">
        <v>413</v>
      </c>
      <c r="C15" s="974" t="s">
        <v>413</v>
      </c>
      <c r="D15" s="1031">
        <v>25.609423</v>
      </c>
      <c r="E15" s="975">
        <f t="shared" si="0"/>
        <v>-25.609423</v>
      </c>
      <c r="F15" s="999">
        <v>7.5</v>
      </c>
      <c r="G15" s="976">
        <f t="shared" si="3"/>
        <v>0.45</v>
      </c>
      <c r="H15" s="999">
        <f t="shared" si="4"/>
        <v>1</v>
      </c>
      <c r="I15" s="999">
        <f t="shared" si="5"/>
        <v>1</v>
      </c>
      <c r="J15" s="1008">
        <f t="shared" si="6"/>
        <v>0</v>
      </c>
      <c r="K15" s="993">
        <f t="shared" si="1"/>
        <v>25.609423</v>
      </c>
      <c r="L15" s="993">
        <f t="shared" si="2"/>
        <v>21.859423</v>
      </c>
      <c r="M15" s="1001" t="s">
        <v>696</v>
      </c>
      <c r="N15" s="997">
        <v>0.45</v>
      </c>
      <c r="O15" s="981"/>
      <c r="P15" s="1036">
        <v>0</v>
      </c>
      <c r="Q15" s="965"/>
    </row>
    <row r="16" spans="1:21" ht="15">
      <c r="A16" s="1002">
        <v>48373</v>
      </c>
      <c r="B16" s="974" t="s">
        <v>413</v>
      </c>
      <c r="C16" s="974" t="s">
        <v>413</v>
      </c>
      <c r="D16" s="1031">
        <v>25.152059999999999</v>
      </c>
      <c r="E16" s="975">
        <f t="shared" si="0"/>
        <v>-25.152059999999999</v>
      </c>
      <c r="F16" s="999">
        <v>7.5</v>
      </c>
      <c r="G16" s="976">
        <f t="shared" si="3"/>
        <v>0.45</v>
      </c>
      <c r="H16" s="999">
        <f t="shared" si="4"/>
        <v>1</v>
      </c>
      <c r="I16" s="999">
        <f t="shared" si="5"/>
        <v>1</v>
      </c>
      <c r="J16" s="1008">
        <f t="shared" si="6"/>
        <v>0</v>
      </c>
      <c r="K16" s="993">
        <f t="shared" si="1"/>
        <v>25.152059999999999</v>
      </c>
      <c r="L16" s="993">
        <f t="shared" si="2"/>
        <v>21.402059999999999</v>
      </c>
      <c r="M16" s="1001" t="s">
        <v>697</v>
      </c>
      <c r="N16" s="997">
        <v>0.45</v>
      </c>
      <c r="O16" s="981"/>
      <c r="P16" s="1036">
        <v>0</v>
      </c>
      <c r="Q16" s="965"/>
    </row>
    <row r="17" spans="1:17" ht="15">
      <c r="A17" s="1002">
        <v>48393</v>
      </c>
      <c r="B17" s="974" t="s">
        <v>413</v>
      </c>
      <c r="C17" s="974" t="s">
        <v>413</v>
      </c>
      <c r="D17" s="1031">
        <v>24.65964</v>
      </c>
      <c r="E17" s="975">
        <f t="shared" si="0"/>
        <v>-24.65964</v>
      </c>
      <c r="F17" s="999">
        <v>7.5</v>
      </c>
      <c r="G17" s="976">
        <f t="shared" si="3"/>
        <v>0.45</v>
      </c>
      <c r="H17" s="999">
        <f t="shared" si="4"/>
        <v>1</v>
      </c>
      <c r="I17" s="999">
        <f t="shared" si="5"/>
        <v>1</v>
      </c>
      <c r="J17" s="1008">
        <f t="shared" si="6"/>
        <v>0</v>
      </c>
      <c r="K17" s="993">
        <f t="shared" si="1"/>
        <v>24.65964</v>
      </c>
      <c r="L17" s="993">
        <f t="shared" si="2"/>
        <v>20.90964</v>
      </c>
      <c r="M17" s="1001" t="s">
        <v>698</v>
      </c>
      <c r="N17" s="997">
        <v>0.45</v>
      </c>
      <c r="O17" s="981"/>
      <c r="P17" s="1036">
        <v>0</v>
      </c>
      <c r="Q17" s="965"/>
    </row>
    <row r="18" spans="1:17" ht="15">
      <c r="A18" s="1002">
        <v>48413</v>
      </c>
      <c r="B18" s="974" t="s">
        <v>413</v>
      </c>
      <c r="C18" s="974" t="s">
        <v>413</v>
      </c>
      <c r="D18" s="1031">
        <v>24.484082000000001</v>
      </c>
      <c r="E18" s="975">
        <f t="shared" si="0"/>
        <v>-24.484082000000001</v>
      </c>
      <c r="F18" s="999">
        <v>7.5</v>
      </c>
      <c r="G18" s="976">
        <f t="shared" si="3"/>
        <v>0.45</v>
      </c>
      <c r="H18" s="999">
        <f t="shared" si="4"/>
        <v>1</v>
      </c>
      <c r="I18" s="999">
        <f t="shared" si="5"/>
        <v>1</v>
      </c>
      <c r="J18" s="1008">
        <f t="shared" si="6"/>
        <v>0</v>
      </c>
      <c r="K18" s="993">
        <f t="shared" si="1"/>
        <v>24.484082000000001</v>
      </c>
      <c r="L18" s="993">
        <f t="shared" si="2"/>
        <v>20.734082000000001</v>
      </c>
      <c r="M18" s="1001" t="s">
        <v>699</v>
      </c>
      <c r="N18" s="997">
        <v>0.45</v>
      </c>
      <c r="O18" s="981"/>
      <c r="P18" s="1036">
        <v>0</v>
      </c>
      <c r="Q18" s="965"/>
    </row>
    <row r="19" spans="1:17" ht="15">
      <c r="A19" s="1002">
        <v>48428</v>
      </c>
      <c r="B19" s="974" t="s">
        <v>413</v>
      </c>
      <c r="C19" s="974" t="s">
        <v>413</v>
      </c>
      <c r="D19" s="1031">
        <v>24.486816999999999</v>
      </c>
      <c r="E19" s="975">
        <f t="shared" si="0"/>
        <v>-24.486816999999999</v>
      </c>
      <c r="F19" s="999">
        <v>7.5</v>
      </c>
      <c r="G19" s="976">
        <f t="shared" si="3"/>
        <v>0.45</v>
      </c>
      <c r="H19" s="999">
        <f t="shared" si="4"/>
        <v>1</v>
      </c>
      <c r="I19" s="999">
        <f t="shared" si="5"/>
        <v>1</v>
      </c>
      <c r="J19" s="1008">
        <f t="shared" si="6"/>
        <v>0</v>
      </c>
      <c r="K19" s="993">
        <f t="shared" si="1"/>
        <v>24.486816999999999</v>
      </c>
      <c r="L19" s="993">
        <f t="shared" si="2"/>
        <v>20.736816999999999</v>
      </c>
      <c r="M19" s="1001" t="s">
        <v>700</v>
      </c>
      <c r="N19" s="997">
        <v>0.45</v>
      </c>
      <c r="O19" s="981"/>
      <c r="P19" s="1036">
        <v>0</v>
      </c>
      <c r="Q19" s="965"/>
    </row>
    <row r="20" spans="1:17" ht="15">
      <c r="A20" s="1002">
        <v>49196</v>
      </c>
      <c r="B20" s="974" t="s">
        <v>413</v>
      </c>
      <c r="C20" s="974" t="s">
        <v>413</v>
      </c>
      <c r="D20" s="1031">
        <v>27.213194000000001</v>
      </c>
      <c r="E20" s="975">
        <f t="shared" si="0"/>
        <v>-27.213194000000001</v>
      </c>
      <c r="F20" s="999">
        <v>7.5</v>
      </c>
      <c r="G20" s="976">
        <f t="shared" si="3"/>
        <v>0.45</v>
      </c>
      <c r="H20" s="999">
        <f t="shared" si="4"/>
        <v>1</v>
      </c>
      <c r="I20" s="999">
        <f t="shared" si="5"/>
        <v>1</v>
      </c>
      <c r="J20" s="1008">
        <f t="shared" si="6"/>
        <v>0</v>
      </c>
      <c r="K20" s="993">
        <f t="shared" si="1"/>
        <v>27.213194000000001</v>
      </c>
      <c r="L20" s="993">
        <f t="shared" si="2"/>
        <v>23.463194000000001</v>
      </c>
      <c r="M20" s="1001" t="s">
        <v>701</v>
      </c>
      <c r="N20" s="997">
        <v>0.45</v>
      </c>
      <c r="O20" s="981"/>
      <c r="P20" s="1036">
        <v>0</v>
      </c>
      <c r="Q20" s="965"/>
    </row>
    <row r="21" spans="1:17" ht="15">
      <c r="A21" s="1002">
        <v>49223</v>
      </c>
      <c r="B21" s="974" t="s">
        <v>413</v>
      </c>
      <c r="C21" s="974" t="s">
        <v>413</v>
      </c>
      <c r="D21" s="1031">
        <v>26.784457</v>
      </c>
      <c r="E21" s="975">
        <f t="shared" si="0"/>
        <v>-26.784457</v>
      </c>
      <c r="F21" s="999">
        <v>7.5</v>
      </c>
      <c r="G21" s="976">
        <f t="shared" si="3"/>
        <v>0.44999999999999996</v>
      </c>
      <c r="H21" s="999">
        <f t="shared" si="4"/>
        <v>1</v>
      </c>
      <c r="I21" s="999">
        <f t="shared" si="5"/>
        <v>1</v>
      </c>
      <c r="J21" s="1008">
        <f t="shared" si="6"/>
        <v>0</v>
      </c>
      <c r="K21" s="993">
        <f t="shared" si="1"/>
        <v>26.784457</v>
      </c>
      <c r="L21" s="993">
        <f t="shared" si="2"/>
        <v>23.034457</v>
      </c>
      <c r="M21" s="1001" t="s">
        <v>702</v>
      </c>
      <c r="N21" s="997">
        <v>0.45</v>
      </c>
      <c r="O21" s="981"/>
      <c r="P21" s="1036">
        <v>0</v>
      </c>
      <c r="Q21" s="965"/>
    </row>
    <row r="22" spans="1:17" ht="15">
      <c r="A22" s="1002">
        <v>49247</v>
      </c>
      <c r="B22" s="974" t="s">
        <v>413</v>
      </c>
      <c r="C22" s="974" t="s">
        <v>413</v>
      </c>
      <c r="D22" s="1031">
        <v>26.265764999999998</v>
      </c>
      <c r="E22" s="975">
        <f t="shared" si="0"/>
        <v>-26.265764999999998</v>
      </c>
      <c r="F22" s="999">
        <v>7.5</v>
      </c>
      <c r="G22" s="976">
        <f t="shared" si="3"/>
        <v>0.45</v>
      </c>
      <c r="H22" s="999">
        <f t="shared" si="4"/>
        <v>1</v>
      </c>
      <c r="I22" s="999">
        <f t="shared" si="5"/>
        <v>1</v>
      </c>
      <c r="J22" s="1008">
        <f t="shared" si="6"/>
        <v>0</v>
      </c>
      <c r="K22" s="993">
        <f t="shared" si="1"/>
        <v>26.265764999999998</v>
      </c>
      <c r="L22" s="993">
        <f t="shared" si="2"/>
        <v>22.515764999999998</v>
      </c>
      <c r="M22" s="1001" t="s">
        <v>703</v>
      </c>
      <c r="N22" s="997">
        <v>0.45</v>
      </c>
      <c r="O22" s="981"/>
      <c r="P22" s="1036">
        <v>0</v>
      </c>
      <c r="Q22" s="965"/>
    </row>
    <row r="23" spans="1:17" ht="15">
      <c r="A23" s="1002">
        <v>49273</v>
      </c>
      <c r="B23" s="974" t="s">
        <v>413</v>
      </c>
      <c r="C23" s="974" t="s">
        <v>413</v>
      </c>
      <c r="D23" s="1031">
        <v>25.792441</v>
      </c>
      <c r="E23" s="975">
        <f t="shared" si="0"/>
        <v>-25.792441</v>
      </c>
      <c r="F23" s="999">
        <v>7.5</v>
      </c>
      <c r="G23" s="976">
        <f t="shared" si="3"/>
        <v>0.45</v>
      </c>
      <c r="H23" s="999">
        <f t="shared" si="4"/>
        <v>1</v>
      </c>
      <c r="I23" s="999">
        <f t="shared" si="5"/>
        <v>1</v>
      </c>
      <c r="J23" s="1008">
        <f t="shared" si="6"/>
        <v>0</v>
      </c>
      <c r="K23" s="993">
        <f t="shared" si="1"/>
        <v>25.792441</v>
      </c>
      <c r="L23" s="993">
        <f t="shared" si="2"/>
        <v>22.042441</v>
      </c>
      <c r="M23" s="1001" t="s">
        <v>704</v>
      </c>
      <c r="N23" s="997">
        <v>0.45</v>
      </c>
      <c r="O23" s="981"/>
      <c r="P23" s="1036">
        <v>0</v>
      </c>
      <c r="Q23" s="965"/>
    </row>
    <row r="24" spans="1:17" ht="15">
      <c r="A24" s="1002">
        <v>49296</v>
      </c>
      <c r="B24" s="974" t="s">
        <v>413</v>
      </c>
      <c r="C24" s="974" t="s">
        <v>413</v>
      </c>
      <c r="D24" s="1031">
        <v>25.682410000000001</v>
      </c>
      <c r="E24" s="975">
        <f t="shared" si="0"/>
        <v>-25.682410000000001</v>
      </c>
      <c r="F24" s="999">
        <v>7.5</v>
      </c>
      <c r="G24" s="976">
        <f t="shared" si="3"/>
        <v>0.45</v>
      </c>
      <c r="H24" s="999">
        <f t="shared" si="4"/>
        <v>1</v>
      </c>
      <c r="I24" s="999">
        <f t="shared" si="5"/>
        <v>1</v>
      </c>
      <c r="J24" s="1008">
        <f t="shared" si="6"/>
        <v>0</v>
      </c>
      <c r="K24" s="993">
        <f t="shared" si="1"/>
        <v>25.682410000000001</v>
      </c>
      <c r="L24" s="993">
        <f t="shared" si="2"/>
        <v>21.932410000000001</v>
      </c>
      <c r="M24" s="1001" t="s">
        <v>705</v>
      </c>
      <c r="N24" s="997">
        <v>0.45</v>
      </c>
      <c r="O24" s="981"/>
      <c r="P24" s="1036">
        <v>0</v>
      </c>
      <c r="Q24" s="965"/>
    </row>
    <row r="25" spans="1:17" ht="15">
      <c r="A25" s="1002">
        <v>49320</v>
      </c>
      <c r="B25" s="974" t="s">
        <v>413</v>
      </c>
      <c r="C25" s="974" t="s">
        <v>413</v>
      </c>
      <c r="D25" s="1031">
        <v>25.329422999999998</v>
      </c>
      <c r="E25" s="975">
        <f t="shared" si="0"/>
        <v>-25.329422999999998</v>
      </c>
      <c r="F25" s="999">
        <v>7.5</v>
      </c>
      <c r="G25" s="976">
        <f t="shared" si="3"/>
        <v>0.45</v>
      </c>
      <c r="H25" s="999">
        <f t="shared" si="4"/>
        <v>1</v>
      </c>
      <c r="I25" s="999">
        <f t="shared" si="5"/>
        <v>1</v>
      </c>
      <c r="J25" s="1008">
        <f t="shared" si="6"/>
        <v>0</v>
      </c>
      <c r="K25" s="993">
        <f t="shared" si="1"/>
        <v>25.329422999999998</v>
      </c>
      <c r="L25" s="993">
        <f t="shared" si="2"/>
        <v>21.579422999999998</v>
      </c>
      <c r="M25" s="1001" t="s">
        <v>706</v>
      </c>
      <c r="N25" s="997">
        <v>0.45</v>
      </c>
      <c r="O25" s="981"/>
      <c r="P25" s="1036">
        <v>0</v>
      </c>
      <c r="Q25" s="965"/>
    </row>
    <row r="26" spans="1:17" ht="15">
      <c r="A26" s="1002">
        <v>49412</v>
      </c>
      <c r="B26" s="974" t="s">
        <v>413</v>
      </c>
      <c r="C26" s="974" t="s">
        <v>413</v>
      </c>
      <c r="D26" s="1031">
        <v>25.047823000000001</v>
      </c>
      <c r="E26" s="975">
        <f t="shared" si="0"/>
        <v>-25.047823000000001</v>
      </c>
      <c r="F26" s="999">
        <v>7.5</v>
      </c>
      <c r="G26" s="976">
        <f t="shared" si="3"/>
        <v>0.45</v>
      </c>
      <c r="H26" s="999">
        <f t="shared" si="4"/>
        <v>1</v>
      </c>
      <c r="I26" s="999">
        <f t="shared" si="5"/>
        <v>1</v>
      </c>
      <c r="J26" s="1008">
        <f t="shared" si="6"/>
        <v>0</v>
      </c>
      <c r="K26" s="993">
        <f t="shared" si="1"/>
        <v>25.047823000000001</v>
      </c>
      <c r="L26" s="993">
        <f t="shared" si="2"/>
        <v>21.297823000000001</v>
      </c>
      <c r="M26" s="1001" t="s">
        <v>707</v>
      </c>
      <c r="N26" s="997">
        <v>0.45</v>
      </c>
      <c r="O26" s="981"/>
      <c r="P26" s="1036">
        <v>0</v>
      </c>
      <c r="Q26" s="965"/>
    </row>
    <row r="27" spans="1:17" ht="15">
      <c r="A27" s="1002">
        <v>49398</v>
      </c>
      <c r="B27" s="974" t="s">
        <v>413</v>
      </c>
      <c r="C27" s="974" t="s">
        <v>413</v>
      </c>
      <c r="D27" s="1031">
        <v>24.970278</v>
      </c>
      <c r="E27" s="975">
        <f t="shared" si="0"/>
        <v>-24.970278</v>
      </c>
      <c r="F27" s="999">
        <v>7.5</v>
      </c>
      <c r="G27" s="976">
        <f t="shared" si="3"/>
        <v>0.45000000000000007</v>
      </c>
      <c r="H27" s="999">
        <f t="shared" si="4"/>
        <v>1</v>
      </c>
      <c r="I27" s="999">
        <f t="shared" si="5"/>
        <v>1</v>
      </c>
      <c r="J27" s="1008">
        <f t="shared" si="6"/>
        <v>0</v>
      </c>
      <c r="K27" s="993">
        <f t="shared" si="1"/>
        <v>24.970278</v>
      </c>
      <c r="L27" s="993">
        <f t="shared" si="2"/>
        <v>21.220278</v>
      </c>
      <c r="M27" s="1001" t="s">
        <v>708</v>
      </c>
      <c r="N27" s="997">
        <v>0.45</v>
      </c>
      <c r="O27" s="981"/>
      <c r="P27" s="1036">
        <v>0</v>
      </c>
      <c r="Q27" s="965"/>
    </row>
    <row r="28" spans="1:17" ht="15">
      <c r="A28" s="1002">
        <v>49384</v>
      </c>
      <c r="B28" s="974" t="s">
        <v>413</v>
      </c>
      <c r="C28" s="974" t="s">
        <v>413</v>
      </c>
      <c r="D28" s="1031">
        <v>24.960035999999999</v>
      </c>
      <c r="E28" s="975">
        <f t="shared" si="0"/>
        <v>-24.960035999999999</v>
      </c>
      <c r="F28" s="999">
        <v>7.5</v>
      </c>
      <c r="G28" s="976">
        <f t="shared" si="3"/>
        <v>0.45</v>
      </c>
      <c r="H28" s="999">
        <f t="shared" si="4"/>
        <v>1</v>
      </c>
      <c r="I28" s="999">
        <f t="shared" si="5"/>
        <v>1</v>
      </c>
      <c r="J28" s="1008">
        <f t="shared" si="6"/>
        <v>0</v>
      </c>
      <c r="K28" s="993">
        <f t="shared" si="1"/>
        <v>24.960035999999999</v>
      </c>
      <c r="L28" s="993">
        <f t="shared" si="2"/>
        <v>21.210035999999999</v>
      </c>
      <c r="M28" s="1001" t="s">
        <v>709</v>
      </c>
      <c r="N28" s="997">
        <v>0.45</v>
      </c>
      <c r="O28" s="981"/>
      <c r="P28" s="1036">
        <v>0</v>
      </c>
      <c r="Q28" s="965"/>
    </row>
    <row r="29" spans="1:17" ht="15">
      <c r="A29" s="1002">
        <v>49371</v>
      </c>
      <c r="B29" s="974" t="s">
        <v>413</v>
      </c>
      <c r="C29" s="974" t="s">
        <v>413</v>
      </c>
      <c r="D29" s="1031">
        <v>25.098403999999999</v>
      </c>
      <c r="E29" s="975">
        <f t="shared" si="0"/>
        <v>-25.098403999999999</v>
      </c>
      <c r="F29" s="999">
        <v>7.5</v>
      </c>
      <c r="G29" s="976">
        <f t="shared" si="3"/>
        <v>0.45</v>
      </c>
      <c r="H29" s="999">
        <f t="shared" si="4"/>
        <v>1</v>
      </c>
      <c r="I29" s="999">
        <f t="shared" si="5"/>
        <v>1</v>
      </c>
      <c r="J29" s="1008">
        <f t="shared" si="6"/>
        <v>0</v>
      </c>
      <c r="K29" s="993">
        <f t="shared" si="1"/>
        <v>25.098403999999999</v>
      </c>
      <c r="L29" s="993">
        <f t="shared" si="2"/>
        <v>21.348403999999999</v>
      </c>
      <c r="M29" s="1001" t="s">
        <v>710</v>
      </c>
      <c r="N29" s="997">
        <v>0.45</v>
      </c>
      <c r="O29" s="981"/>
      <c r="P29" s="1036">
        <v>0</v>
      </c>
      <c r="Q29" s="965"/>
    </row>
    <row r="30" spans="1:17" ht="15">
      <c r="A30" s="1002">
        <v>49353</v>
      </c>
      <c r="B30" s="974" t="s">
        <v>413</v>
      </c>
      <c r="C30" s="974" t="s">
        <v>413</v>
      </c>
      <c r="D30" s="1031">
        <v>25.105436999999998</v>
      </c>
      <c r="E30" s="975">
        <f t="shared" si="0"/>
        <v>-25.105436999999998</v>
      </c>
      <c r="F30" s="999">
        <v>7.5</v>
      </c>
      <c r="G30" s="976">
        <f t="shared" si="3"/>
        <v>0.45</v>
      </c>
      <c r="H30" s="999">
        <f t="shared" si="4"/>
        <v>1</v>
      </c>
      <c r="I30" s="999">
        <f t="shared" si="5"/>
        <v>1</v>
      </c>
      <c r="J30" s="1008">
        <f t="shared" si="6"/>
        <v>0</v>
      </c>
      <c r="K30" s="993">
        <f t="shared" si="1"/>
        <v>25.105436999999998</v>
      </c>
      <c r="L30" s="993">
        <f t="shared" si="2"/>
        <v>21.355436999999998</v>
      </c>
      <c r="M30" s="1001" t="s">
        <v>711</v>
      </c>
      <c r="N30" s="997">
        <v>0.45</v>
      </c>
      <c r="O30" s="981"/>
      <c r="P30" s="1036">
        <v>0</v>
      </c>
      <c r="Q30" s="965"/>
    </row>
    <row r="31" spans="1:17" ht="15">
      <c r="A31" s="1002">
        <v>49310</v>
      </c>
      <c r="B31" s="974" t="s">
        <v>413</v>
      </c>
      <c r="C31" s="974" t="s">
        <v>413</v>
      </c>
      <c r="D31" s="1031">
        <v>25.241748999999999</v>
      </c>
      <c r="E31" s="975">
        <f t="shared" si="0"/>
        <v>-25.241748999999999</v>
      </c>
      <c r="F31" s="999">
        <v>7.5</v>
      </c>
      <c r="G31" s="976">
        <f t="shared" si="3"/>
        <v>0.45</v>
      </c>
      <c r="H31" s="999">
        <f t="shared" si="4"/>
        <v>1</v>
      </c>
      <c r="I31" s="999">
        <f t="shared" si="5"/>
        <v>1</v>
      </c>
      <c r="J31" s="1008">
        <f t="shared" si="6"/>
        <v>0</v>
      </c>
      <c r="K31" s="993">
        <f t="shared" si="1"/>
        <v>25.241748999999999</v>
      </c>
      <c r="L31" s="993">
        <f t="shared" si="2"/>
        <v>21.491748999999999</v>
      </c>
      <c r="M31" s="1001" t="s">
        <v>712</v>
      </c>
      <c r="N31" s="997">
        <v>0.45</v>
      </c>
      <c r="O31" s="981"/>
      <c r="P31" s="1036">
        <v>0</v>
      </c>
      <c r="Q31" s="965"/>
    </row>
    <row r="32" spans="1:17" ht="15">
      <c r="A32" s="1002">
        <v>49363</v>
      </c>
      <c r="B32" s="974" t="s">
        <v>413</v>
      </c>
      <c r="C32" s="974" t="s">
        <v>413</v>
      </c>
      <c r="D32" s="1031">
        <v>24.943583</v>
      </c>
      <c r="E32" s="975">
        <f t="shared" si="0"/>
        <v>-24.943583</v>
      </c>
      <c r="F32" s="999">
        <v>7.5</v>
      </c>
      <c r="G32" s="976">
        <f t="shared" si="3"/>
        <v>0.45</v>
      </c>
      <c r="H32" s="999">
        <f t="shared" si="4"/>
        <v>1</v>
      </c>
      <c r="I32" s="999">
        <f t="shared" si="5"/>
        <v>1</v>
      </c>
      <c r="J32" s="1008">
        <f t="shared" si="6"/>
        <v>0</v>
      </c>
      <c r="K32" s="993">
        <f t="shared" si="1"/>
        <v>24.943583</v>
      </c>
      <c r="L32" s="993">
        <f t="shared" si="2"/>
        <v>21.193583</v>
      </c>
      <c r="M32" s="1001" t="s">
        <v>713</v>
      </c>
      <c r="N32" s="997">
        <v>0.45</v>
      </c>
      <c r="O32" s="981"/>
      <c r="P32" s="1036">
        <v>0</v>
      </c>
      <c r="Q32" s="965"/>
    </row>
    <row r="33" spans="1:17" ht="15">
      <c r="A33" s="1002">
        <v>48563</v>
      </c>
      <c r="B33" s="974" t="s">
        <v>413</v>
      </c>
      <c r="C33" s="974" t="s">
        <v>413</v>
      </c>
      <c r="D33" s="1031">
        <v>25.132833999999999</v>
      </c>
      <c r="E33" s="975">
        <f t="shared" si="0"/>
        <v>-25.132833999999999</v>
      </c>
      <c r="F33" s="999">
        <v>7.5</v>
      </c>
      <c r="G33" s="976">
        <f t="shared" si="3"/>
        <v>0.45</v>
      </c>
      <c r="H33" s="999">
        <f t="shared" si="4"/>
        <v>1</v>
      </c>
      <c r="I33" s="999">
        <f t="shared" si="5"/>
        <v>1</v>
      </c>
      <c r="J33" s="1008">
        <f t="shared" si="6"/>
        <v>0</v>
      </c>
      <c r="K33" s="993">
        <f t="shared" si="1"/>
        <v>25.132833999999999</v>
      </c>
      <c r="L33" s="993">
        <f t="shared" si="2"/>
        <v>21.382833999999999</v>
      </c>
      <c r="M33" s="1001" t="s">
        <v>714</v>
      </c>
      <c r="N33" s="997">
        <v>0.45</v>
      </c>
      <c r="O33" s="981"/>
      <c r="P33" s="1036">
        <v>0</v>
      </c>
      <c r="Q33" s="965"/>
    </row>
    <row r="34" spans="1:17" ht="15">
      <c r="A34" s="1002">
        <v>49152</v>
      </c>
      <c r="B34" s="974" t="s">
        <v>413</v>
      </c>
      <c r="C34" s="974" t="s">
        <v>413</v>
      </c>
      <c r="D34" s="1031">
        <v>28.287108</v>
      </c>
      <c r="E34" s="975">
        <f t="shared" si="0"/>
        <v>-28.287108</v>
      </c>
      <c r="F34" s="999">
        <v>7.5</v>
      </c>
      <c r="G34" s="976">
        <f t="shared" si="3"/>
        <v>0.45</v>
      </c>
      <c r="H34" s="999">
        <f t="shared" si="4"/>
        <v>1</v>
      </c>
      <c r="I34" s="999">
        <f t="shared" si="5"/>
        <v>1</v>
      </c>
      <c r="J34" s="1008">
        <f t="shared" si="6"/>
        <v>0</v>
      </c>
      <c r="K34" s="993">
        <f t="shared" si="1"/>
        <v>28.287108</v>
      </c>
      <c r="L34" s="993">
        <f t="shared" si="2"/>
        <v>24.537108</v>
      </c>
      <c r="M34" s="1001" t="s">
        <v>715</v>
      </c>
      <c r="N34" s="997">
        <v>0.45</v>
      </c>
      <c r="O34" s="981"/>
      <c r="P34" s="1036">
        <v>0</v>
      </c>
      <c r="Q34" s="965"/>
    </row>
    <row r="35" spans="1:17" ht="15">
      <c r="A35" s="1002">
        <v>49492</v>
      </c>
      <c r="B35" s="974" t="s">
        <v>413</v>
      </c>
      <c r="C35" s="974" t="s">
        <v>413</v>
      </c>
      <c r="D35" s="1031">
        <v>26.512498000000001</v>
      </c>
      <c r="E35" s="975">
        <f t="shared" si="0"/>
        <v>-26.512498000000001</v>
      </c>
      <c r="F35" s="999">
        <v>7.5</v>
      </c>
      <c r="G35" s="976">
        <f t="shared" si="3"/>
        <v>0.45</v>
      </c>
      <c r="H35" s="999">
        <f t="shared" si="4"/>
        <v>1</v>
      </c>
      <c r="I35" s="999">
        <f t="shared" si="5"/>
        <v>1</v>
      </c>
      <c r="J35" s="1008">
        <f t="shared" si="6"/>
        <v>0</v>
      </c>
      <c r="K35" s="993">
        <f t="shared" si="1"/>
        <v>26.512498000000001</v>
      </c>
      <c r="L35" s="993">
        <f t="shared" si="2"/>
        <v>22.762498000000001</v>
      </c>
      <c r="M35" s="1001" t="s">
        <v>716</v>
      </c>
      <c r="N35" s="997">
        <v>0.45</v>
      </c>
      <c r="O35" s="981"/>
      <c r="P35" s="1036">
        <v>0</v>
      </c>
      <c r="Q35" s="965"/>
    </row>
    <row r="36" spans="1:17" ht="15">
      <c r="A36" s="1002">
        <v>49536</v>
      </c>
      <c r="B36" s="974" t="s">
        <v>413</v>
      </c>
      <c r="C36" s="974" t="s">
        <v>413</v>
      </c>
      <c r="D36" s="1031">
        <v>27.831040999999999</v>
      </c>
      <c r="E36" s="975">
        <f t="shared" si="0"/>
        <v>-27.831040999999999</v>
      </c>
      <c r="F36" s="999">
        <v>7.5</v>
      </c>
      <c r="G36" s="976">
        <f t="shared" si="3"/>
        <v>0.45</v>
      </c>
      <c r="H36" s="999">
        <f t="shared" si="4"/>
        <v>1</v>
      </c>
      <c r="I36" s="999">
        <f t="shared" si="5"/>
        <v>1</v>
      </c>
      <c r="J36" s="1008">
        <f t="shared" si="6"/>
        <v>0</v>
      </c>
      <c r="K36" s="993">
        <f t="shared" si="1"/>
        <v>27.831040999999999</v>
      </c>
      <c r="L36" s="993">
        <f t="shared" si="2"/>
        <v>24.081040999999999</v>
      </c>
      <c r="M36" s="1001" t="s">
        <v>717</v>
      </c>
      <c r="N36" s="997">
        <v>0.45</v>
      </c>
      <c r="O36" s="981"/>
      <c r="P36" s="1036">
        <v>0</v>
      </c>
      <c r="Q36" s="965"/>
    </row>
    <row r="37" spans="1:17" ht="15">
      <c r="A37" s="1002">
        <v>49572</v>
      </c>
      <c r="B37" s="974" t="s">
        <v>413</v>
      </c>
      <c r="C37" s="974" t="s">
        <v>413</v>
      </c>
      <c r="D37" s="1031">
        <v>28.452634</v>
      </c>
      <c r="E37" s="975">
        <f t="shared" si="0"/>
        <v>-28.452634</v>
      </c>
      <c r="F37" s="999">
        <v>7.5</v>
      </c>
      <c r="G37" s="976">
        <f t="shared" si="3"/>
        <v>0.45</v>
      </c>
      <c r="H37" s="999">
        <f t="shared" si="4"/>
        <v>1</v>
      </c>
      <c r="I37" s="999">
        <f t="shared" si="5"/>
        <v>1</v>
      </c>
      <c r="J37" s="1008">
        <f t="shared" si="6"/>
        <v>0</v>
      </c>
      <c r="K37" s="993">
        <f t="shared" si="1"/>
        <v>28.452634</v>
      </c>
      <c r="L37" s="993">
        <f t="shared" si="2"/>
        <v>24.702634</v>
      </c>
      <c r="M37" s="1001" t="s">
        <v>718</v>
      </c>
      <c r="N37" s="997">
        <v>0.45</v>
      </c>
      <c r="O37" s="981"/>
      <c r="P37" s="1036">
        <v>0</v>
      </c>
      <c r="Q37" s="965"/>
    </row>
    <row r="38" spans="1:17" ht="15">
      <c r="A38" s="1002">
        <v>49672</v>
      </c>
      <c r="B38" s="974" t="s">
        <v>413</v>
      </c>
      <c r="C38" s="974" t="s">
        <v>413</v>
      </c>
      <c r="D38" s="1031">
        <v>31.289649000000001</v>
      </c>
      <c r="E38" s="975">
        <f t="shared" si="0"/>
        <v>-31.289649000000001</v>
      </c>
      <c r="F38" s="999">
        <v>7.5</v>
      </c>
      <c r="G38" s="976">
        <f t="shared" si="3"/>
        <v>0.45</v>
      </c>
      <c r="H38" s="999">
        <f t="shared" si="4"/>
        <v>1</v>
      </c>
      <c r="I38" s="999">
        <f t="shared" si="5"/>
        <v>1</v>
      </c>
      <c r="J38" s="1008">
        <f t="shared" si="6"/>
        <v>0</v>
      </c>
      <c r="K38" s="993">
        <f t="shared" si="1"/>
        <v>31.289649000000001</v>
      </c>
      <c r="L38" s="993">
        <f t="shared" si="2"/>
        <v>27.539649000000001</v>
      </c>
      <c r="M38" s="1001" t="s">
        <v>719</v>
      </c>
      <c r="N38" s="997">
        <v>0.45</v>
      </c>
      <c r="O38" s="981"/>
      <c r="P38" s="1036">
        <v>0</v>
      </c>
      <c r="Q38" s="965"/>
    </row>
    <row r="39" spans="1:17" ht="15">
      <c r="A39" s="1001">
        <v>45416</v>
      </c>
      <c r="B39" s="974" t="s">
        <v>413</v>
      </c>
      <c r="C39" s="974" t="s">
        <v>413</v>
      </c>
      <c r="D39" s="1031">
        <v>24.848441999999999</v>
      </c>
      <c r="E39" s="975">
        <f t="shared" si="0"/>
        <v>-24.848441999999999</v>
      </c>
      <c r="F39" s="999">
        <v>7.5</v>
      </c>
      <c r="G39" s="976">
        <f t="shared" si="3"/>
        <v>0.45000000000000007</v>
      </c>
      <c r="H39" s="999">
        <f t="shared" si="4"/>
        <v>1</v>
      </c>
      <c r="I39" s="999">
        <f t="shared" si="5"/>
        <v>1</v>
      </c>
      <c r="J39" s="1008">
        <f t="shared" si="6"/>
        <v>0</v>
      </c>
      <c r="K39" s="993">
        <f t="shared" si="1"/>
        <v>24.848441999999999</v>
      </c>
      <c r="L39" s="993">
        <f t="shared" si="2"/>
        <v>21.098441999999999</v>
      </c>
      <c r="M39" s="1001" t="s">
        <v>720</v>
      </c>
      <c r="N39" s="997">
        <v>0.45</v>
      </c>
      <c r="O39" s="981"/>
      <c r="P39" s="1036">
        <v>0</v>
      </c>
      <c r="Q39" s="965"/>
    </row>
    <row r="40" spans="1:17" ht="15">
      <c r="A40" s="1001">
        <v>45452</v>
      </c>
      <c r="B40" s="974" t="s">
        <v>413</v>
      </c>
      <c r="C40" s="974" t="s">
        <v>413</v>
      </c>
      <c r="D40" s="1031">
        <v>24.896809000000001</v>
      </c>
      <c r="E40" s="975">
        <f t="shared" si="0"/>
        <v>-24.896809000000001</v>
      </c>
      <c r="F40" s="999">
        <v>7.5</v>
      </c>
      <c r="G40" s="976">
        <f t="shared" si="3"/>
        <v>0.45</v>
      </c>
      <c r="H40" s="999">
        <f t="shared" si="4"/>
        <v>1</v>
      </c>
      <c r="I40" s="999">
        <f t="shared" si="5"/>
        <v>1</v>
      </c>
      <c r="J40" s="1008">
        <f t="shared" si="6"/>
        <v>0</v>
      </c>
      <c r="K40" s="993">
        <f t="shared" si="1"/>
        <v>24.896809000000001</v>
      </c>
      <c r="L40" s="993">
        <f t="shared" si="2"/>
        <v>21.146809000000001</v>
      </c>
      <c r="M40" s="1001" t="s">
        <v>721</v>
      </c>
      <c r="N40" s="997">
        <v>0.45</v>
      </c>
      <c r="O40" s="981"/>
      <c r="P40" s="1036">
        <v>0</v>
      </c>
      <c r="Q40" s="965"/>
    </row>
    <row r="41" spans="1:17" ht="15">
      <c r="A41" s="1001">
        <v>45468</v>
      </c>
      <c r="B41" s="974" t="s">
        <v>413</v>
      </c>
      <c r="C41" s="974" t="s">
        <v>413</v>
      </c>
      <c r="D41" s="1031">
        <v>24.786460999999999</v>
      </c>
      <c r="E41" s="975">
        <f t="shared" si="0"/>
        <v>-24.786460999999999</v>
      </c>
      <c r="F41" s="999">
        <v>7.5</v>
      </c>
      <c r="G41" s="976">
        <f t="shared" si="3"/>
        <v>0.45</v>
      </c>
      <c r="H41" s="999">
        <f t="shared" si="4"/>
        <v>1</v>
      </c>
      <c r="I41" s="999">
        <f t="shared" si="5"/>
        <v>1</v>
      </c>
      <c r="J41" s="1008">
        <f t="shared" si="6"/>
        <v>0</v>
      </c>
      <c r="K41" s="993">
        <f t="shared" si="1"/>
        <v>24.786460999999999</v>
      </c>
      <c r="L41" s="993">
        <f t="shared" si="2"/>
        <v>21.036460999999999</v>
      </c>
      <c r="M41" s="1001" t="s">
        <v>722</v>
      </c>
      <c r="N41" s="997">
        <v>0.45</v>
      </c>
      <c r="O41" s="981"/>
      <c r="P41" s="1036">
        <v>0</v>
      </c>
      <c r="Q41" s="965"/>
    </row>
    <row r="42" spans="1:17" ht="15">
      <c r="A42" s="1001">
        <v>45483</v>
      </c>
      <c r="B42" s="974" t="s">
        <v>413</v>
      </c>
      <c r="C42" s="974" t="s">
        <v>413</v>
      </c>
      <c r="D42" s="1031">
        <v>24.941635000000002</v>
      </c>
      <c r="E42" s="975">
        <f t="shared" si="0"/>
        <v>-24.941635000000002</v>
      </c>
      <c r="F42" s="999">
        <v>7.5</v>
      </c>
      <c r="G42" s="976">
        <f t="shared" si="3"/>
        <v>0.45</v>
      </c>
      <c r="H42" s="999">
        <f t="shared" si="4"/>
        <v>1</v>
      </c>
      <c r="I42" s="999">
        <f t="shared" si="5"/>
        <v>1</v>
      </c>
      <c r="J42" s="1008">
        <f t="shared" si="6"/>
        <v>0</v>
      </c>
      <c r="K42" s="993">
        <f t="shared" si="1"/>
        <v>24.941635000000002</v>
      </c>
      <c r="L42" s="993">
        <f t="shared" si="2"/>
        <v>21.191635000000002</v>
      </c>
      <c r="M42" s="1001" t="s">
        <v>723</v>
      </c>
      <c r="N42" s="997">
        <v>0.45</v>
      </c>
      <c r="O42" s="981"/>
      <c r="P42" s="1036">
        <v>0</v>
      </c>
      <c r="Q42" s="965"/>
    </row>
    <row r="43" spans="1:17" s="1023" customFormat="1" ht="15">
      <c r="A43" s="1002">
        <v>45496</v>
      </c>
      <c r="B43" s="974" t="s">
        <v>413</v>
      </c>
      <c r="C43" s="974" t="s">
        <v>413</v>
      </c>
      <c r="D43" s="1032">
        <v>24.795314999999999</v>
      </c>
      <c r="E43" s="975">
        <f t="shared" si="0"/>
        <v>-24.795314999999999</v>
      </c>
      <c r="F43" s="999">
        <v>7.5</v>
      </c>
      <c r="G43" s="976">
        <f t="shared" si="3"/>
        <v>0.45</v>
      </c>
      <c r="H43" s="999">
        <f t="shared" si="4"/>
        <v>1</v>
      </c>
      <c r="I43" s="999">
        <f t="shared" si="5"/>
        <v>1</v>
      </c>
      <c r="J43" s="1008">
        <f t="shared" si="6"/>
        <v>0</v>
      </c>
      <c r="K43" s="993">
        <f t="shared" si="1"/>
        <v>24.795314999999999</v>
      </c>
      <c r="L43" s="993">
        <f t="shared" si="2"/>
        <v>21.045314999999999</v>
      </c>
      <c r="M43" s="1001" t="s">
        <v>724</v>
      </c>
      <c r="N43" s="997">
        <v>0.45</v>
      </c>
      <c r="O43" s="978"/>
      <c r="P43" s="1036">
        <v>0</v>
      </c>
      <c r="Q43" s="965"/>
    </row>
    <row r="44" spans="1:17" ht="15">
      <c r="A44" s="1001">
        <v>45535</v>
      </c>
      <c r="B44" s="974" t="s">
        <v>413</v>
      </c>
      <c r="C44" s="974" t="s">
        <v>413</v>
      </c>
      <c r="D44" s="1031">
        <v>24.637055</v>
      </c>
      <c r="E44" s="975">
        <f t="shared" si="0"/>
        <v>-24.637055</v>
      </c>
      <c r="F44" s="999">
        <v>7.5</v>
      </c>
      <c r="G44" s="976">
        <f t="shared" si="3"/>
        <v>0.45</v>
      </c>
      <c r="H44" s="999">
        <f t="shared" si="4"/>
        <v>1</v>
      </c>
      <c r="I44" s="999">
        <f t="shared" si="5"/>
        <v>1</v>
      </c>
      <c r="J44" s="1008">
        <f t="shared" si="6"/>
        <v>0</v>
      </c>
      <c r="K44" s="993">
        <f t="shared" si="1"/>
        <v>24.637055</v>
      </c>
      <c r="L44" s="993">
        <f t="shared" si="2"/>
        <v>20.887055</v>
      </c>
      <c r="M44" s="1001" t="s">
        <v>725</v>
      </c>
      <c r="N44" s="997">
        <v>0.45</v>
      </c>
      <c r="O44" s="994"/>
      <c r="P44" s="1036">
        <v>0</v>
      </c>
      <c r="Q44" s="965"/>
    </row>
    <row r="45" spans="1:17" ht="15">
      <c r="A45" s="1001">
        <v>45535</v>
      </c>
      <c r="B45" s="974" t="s">
        <v>413</v>
      </c>
      <c r="C45" s="974" t="s">
        <v>413</v>
      </c>
      <c r="D45" s="1031">
        <v>24.637055</v>
      </c>
      <c r="E45" s="975">
        <f t="shared" si="0"/>
        <v>-24.637055</v>
      </c>
      <c r="F45" s="999">
        <v>7.5</v>
      </c>
      <c r="G45" s="976">
        <f t="shared" si="3"/>
        <v>0.45</v>
      </c>
      <c r="H45" s="999">
        <f t="shared" si="4"/>
        <v>1</v>
      </c>
      <c r="I45" s="999">
        <f t="shared" si="5"/>
        <v>1</v>
      </c>
      <c r="J45" s="1008">
        <f t="shared" si="6"/>
        <v>0</v>
      </c>
      <c r="K45" s="993">
        <f t="shared" si="1"/>
        <v>24.637055</v>
      </c>
      <c r="L45" s="993">
        <f t="shared" si="2"/>
        <v>20.887055</v>
      </c>
      <c r="M45" s="1001" t="s">
        <v>726</v>
      </c>
      <c r="N45" s="997">
        <v>0.45</v>
      </c>
      <c r="O45" s="994"/>
      <c r="P45" s="1036">
        <v>0</v>
      </c>
      <c r="Q45" s="965"/>
    </row>
    <row r="46" spans="1:17" ht="15">
      <c r="A46" s="1001">
        <v>45563</v>
      </c>
      <c r="B46" s="974" t="s">
        <v>413</v>
      </c>
      <c r="C46" s="974" t="s">
        <v>413</v>
      </c>
      <c r="D46" s="1031">
        <v>24.664463000000001</v>
      </c>
      <c r="E46" s="975">
        <f t="shared" si="0"/>
        <v>-24.664463000000001</v>
      </c>
      <c r="F46" s="999">
        <v>7.5</v>
      </c>
      <c r="G46" s="976">
        <f t="shared" si="3"/>
        <v>0.44999999999999996</v>
      </c>
      <c r="H46" s="999">
        <f t="shared" si="4"/>
        <v>1</v>
      </c>
      <c r="I46" s="999">
        <f t="shared" si="5"/>
        <v>1</v>
      </c>
      <c r="J46" s="1008">
        <f t="shared" si="6"/>
        <v>0</v>
      </c>
      <c r="K46" s="993">
        <f t="shared" si="1"/>
        <v>24.664463000000001</v>
      </c>
      <c r="L46" s="993">
        <f t="shared" si="2"/>
        <v>20.914463000000001</v>
      </c>
      <c r="M46" s="1001" t="s">
        <v>727</v>
      </c>
      <c r="N46" s="997">
        <v>0.45</v>
      </c>
      <c r="O46" s="994"/>
      <c r="P46" s="1036">
        <v>0</v>
      </c>
      <c r="Q46" s="965"/>
    </row>
    <row r="47" spans="1:17" ht="15">
      <c r="A47" s="1001">
        <v>45579</v>
      </c>
      <c r="B47" s="974" t="s">
        <v>413</v>
      </c>
      <c r="C47" s="974" t="s">
        <v>413</v>
      </c>
      <c r="D47" s="1031">
        <v>25.090682999999999</v>
      </c>
      <c r="E47" s="975">
        <f t="shared" si="0"/>
        <v>-25.090682999999999</v>
      </c>
      <c r="F47" s="999">
        <v>7.5</v>
      </c>
      <c r="G47" s="976">
        <f t="shared" si="3"/>
        <v>0.45</v>
      </c>
      <c r="H47" s="999">
        <f t="shared" si="4"/>
        <v>1</v>
      </c>
      <c r="I47" s="999">
        <f t="shared" si="5"/>
        <v>1</v>
      </c>
      <c r="J47" s="1008">
        <f t="shared" si="6"/>
        <v>0</v>
      </c>
      <c r="K47" s="993">
        <f t="shared" si="1"/>
        <v>25.090682999999999</v>
      </c>
      <c r="L47" s="993">
        <f t="shared" si="2"/>
        <v>21.340682999999999</v>
      </c>
      <c r="M47" s="1001" t="s">
        <v>728</v>
      </c>
      <c r="N47" s="997">
        <v>0.45</v>
      </c>
      <c r="O47" s="994"/>
      <c r="P47" s="1036">
        <v>0</v>
      </c>
      <c r="Q47" s="965"/>
    </row>
    <row r="48" spans="1:17" ht="15">
      <c r="A48" s="1001">
        <v>45592</v>
      </c>
      <c r="B48" s="974" t="s">
        <v>413</v>
      </c>
      <c r="C48" s="974" t="s">
        <v>413</v>
      </c>
      <c r="D48" s="1031">
        <v>25.279354000000001</v>
      </c>
      <c r="E48" s="975">
        <f t="shared" si="0"/>
        <v>-25.279354000000001</v>
      </c>
      <c r="F48" s="999">
        <v>7.5</v>
      </c>
      <c r="G48" s="976">
        <f t="shared" si="3"/>
        <v>0.45</v>
      </c>
      <c r="H48" s="999">
        <f t="shared" si="4"/>
        <v>1</v>
      </c>
      <c r="I48" s="999">
        <f t="shared" si="5"/>
        <v>1</v>
      </c>
      <c r="J48" s="1008">
        <f t="shared" si="6"/>
        <v>0</v>
      </c>
      <c r="K48" s="993">
        <f t="shared" si="1"/>
        <v>25.279354000000001</v>
      </c>
      <c r="L48" s="993">
        <f t="shared" si="2"/>
        <v>21.529354000000001</v>
      </c>
      <c r="M48" s="1001" t="s">
        <v>729</v>
      </c>
      <c r="N48" s="997">
        <v>0.45</v>
      </c>
      <c r="O48" s="994"/>
      <c r="P48" s="1036">
        <v>0</v>
      </c>
      <c r="Q48" s="965"/>
    </row>
    <row r="49" spans="1:17" ht="15">
      <c r="A49" s="1001">
        <v>45612</v>
      </c>
      <c r="B49" s="974" t="s">
        <v>413</v>
      </c>
      <c r="C49" s="974" t="s">
        <v>413</v>
      </c>
      <c r="D49" s="1031">
        <v>25.430572999999999</v>
      </c>
      <c r="E49" s="975">
        <f t="shared" si="0"/>
        <v>-25.430572999999999</v>
      </c>
      <c r="F49" s="999">
        <v>7.5</v>
      </c>
      <c r="G49" s="976">
        <f t="shared" si="3"/>
        <v>0.44999999999999996</v>
      </c>
      <c r="H49" s="999">
        <f t="shared" si="4"/>
        <v>1</v>
      </c>
      <c r="I49" s="999">
        <f t="shared" si="5"/>
        <v>1</v>
      </c>
      <c r="J49" s="1008">
        <f t="shared" si="6"/>
        <v>0</v>
      </c>
      <c r="K49" s="993">
        <f t="shared" si="1"/>
        <v>25.430572999999999</v>
      </c>
      <c r="L49" s="993">
        <f t="shared" si="2"/>
        <v>21.680572999999999</v>
      </c>
      <c r="M49" s="1001" t="s">
        <v>730</v>
      </c>
      <c r="N49" s="997">
        <v>0.45</v>
      </c>
      <c r="O49" s="994"/>
      <c r="P49" s="1036">
        <v>0</v>
      </c>
      <c r="Q49" s="965"/>
    </row>
    <row r="50" spans="1:17" ht="15">
      <c r="A50" s="1001">
        <v>45630</v>
      </c>
      <c r="B50" s="974" t="s">
        <v>413</v>
      </c>
      <c r="C50" s="974" t="s">
        <v>413</v>
      </c>
      <c r="D50" s="1031">
        <v>25.608919</v>
      </c>
      <c r="E50" s="975">
        <f t="shared" si="0"/>
        <v>-25.608919</v>
      </c>
      <c r="F50" s="999">
        <v>7.5</v>
      </c>
      <c r="G50" s="976">
        <f t="shared" si="3"/>
        <v>0.45000000000000007</v>
      </c>
      <c r="H50" s="999">
        <f t="shared" si="4"/>
        <v>1</v>
      </c>
      <c r="I50" s="999">
        <f t="shared" si="5"/>
        <v>1</v>
      </c>
      <c r="J50" s="1008">
        <f t="shared" si="6"/>
        <v>0</v>
      </c>
      <c r="K50" s="993">
        <f t="shared" si="1"/>
        <v>25.608919</v>
      </c>
      <c r="L50" s="993">
        <f t="shared" si="2"/>
        <v>21.858919</v>
      </c>
      <c r="M50" s="1001" t="s">
        <v>731</v>
      </c>
      <c r="N50" s="997">
        <v>0.45</v>
      </c>
      <c r="O50" s="994"/>
      <c r="P50" s="1036">
        <v>0</v>
      </c>
      <c r="Q50" s="965"/>
    </row>
    <row r="51" spans="1:17" ht="15">
      <c r="A51" s="1001">
        <v>45415</v>
      </c>
      <c r="B51" s="974" t="s">
        <v>413</v>
      </c>
      <c r="C51" s="974" t="s">
        <v>413</v>
      </c>
      <c r="D51" s="1031">
        <v>24.869966999999999</v>
      </c>
      <c r="E51" s="975">
        <f t="shared" si="0"/>
        <v>-24.869966999999999</v>
      </c>
      <c r="F51" s="999">
        <v>7.5</v>
      </c>
      <c r="G51" s="976">
        <f t="shared" si="3"/>
        <v>0.45</v>
      </c>
      <c r="H51" s="999">
        <f t="shared" si="4"/>
        <v>1</v>
      </c>
      <c r="I51" s="999">
        <f t="shared" si="5"/>
        <v>1</v>
      </c>
      <c r="J51" s="1008">
        <f t="shared" si="6"/>
        <v>0</v>
      </c>
      <c r="K51" s="993">
        <f t="shared" si="1"/>
        <v>24.869966999999999</v>
      </c>
      <c r="L51" s="993">
        <f t="shared" si="2"/>
        <v>21.119966999999999</v>
      </c>
      <c r="M51" s="1001" t="s">
        <v>732</v>
      </c>
      <c r="N51" s="997">
        <v>0.45</v>
      </c>
      <c r="O51" s="994"/>
      <c r="P51" s="1036">
        <v>0</v>
      </c>
      <c r="Q51" s="965"/>
    </row>
    <row r="52" spans="1:17" ht="15">
      <c r="A52" s="1001">
        <v>45471</v>
      </c>
      <c r="B52" s="974" t="s">
        <v>413</v>
      </c>
      <c r="C52" s="974" t="s">
        <v>413</v>
      </c>
      <c r="D52" s="1031">
        <v>24.777863</v>
      </c>
      <c r="E52" s="975">
        <f t="shared" si="0"/>
        <v>-24.777863</v>
      </c>
      <c r="F52" s="999">
        <v>7.5</v>
      </c>
      <c r="G52" s="976">
        <f t="shared" si="3"/>
        <v>0.45</v>
      </c>
      <c r="H52" s="999">
        <f t="shared" si="4"/>
        <v>1</v>
      </c>
      <c r="I52" s="999">
        <f t="shared" si="5"/>
        <v>1</v>
      </c>
      <c r="J52" s="1008">
        <f t="shared" si="6"/>
        <v>0</v>
      </c>
      <c r="K52" s="993">
        <f t="shared" si="1"/>
        <v>24.777863</v>
      </c>
      <c r="L52" s="993">
        <f t="shared" si="2"/>
        <v>21.027863</v>
      </c>
      <c r="M52" s="1001" t="s">
        <v>733</v>
      </c>
      <c r="N52" s="997">
        <v>0.45</v>
      </c>
      <c r="O52" s="994"/>
      <c r="P52" s="1036">
        <v>0</v>
      </c>
      <c r="Q52" s="965"/>
    </row>
    <row r="53" spans="1:17" ht="15">
      <c r="A53" s="1001">
        <v>45472</v>
      </c>
      <c r="B53" s="974" t="s">
        <v>413</v>
      </c>
      <c r="C53" s="974" t="s">
        <v>413</v>
      </c>
      <c r="D53" s="1031">
        <v>24.803608000000001</v>
      </c>
      <c r="E53" s="975">
        <f t="shared" si="0"/>
        <v>-24.803608000000001</v>
      </c>
      <c r="F53" s="999">
        <v>7.5</v>
      </c>
      <c r="G53" s="976">
        <f t="shared" si="3"/>
        <v>0.45</v>
      </c>
      <c r="H53" s="999">
        <f t="shared" si="4"/>
        <v>1</v>
      </c>
      <c r="I53" s="999">
        <f t="shared" si="5"/>
        <v>1</v>
      </c>
      <c r="J53" s="1008">
        <f t="shared" si="6"/>
        <v>0</v>
      </c>
      <c r="K53" s="993">
        <f t="shared" si="1"/>
        <v>24.803608000000001</v>
      </c>
      <c r="L53" s="993">
        <f t="shared" si="2"/>
        <v>21.053608000000001</v>
      </c>
      <c r="M53" s="1001" t="s">
        <v>734</v>
      </c>
      <c r="N53" s="997">
        <v>0.45</v>
      </c>
      <c r="O53" s="994"/>
      <c r="P53" s="1036">
        <v>0</v>
      </c>
      <c r="Q53" s="965"/>
    </row>
    <row r="54" spans="1:17" ht="15">
      <c r="A54" s="1001">
        <v>45500</v>
      </c>
      <c r="B54" s="974" t="s">
        <v>413</v>
      </c>
      <c r="C54" s="974" t="s">
        <v>413</v>
      </c>
      <c r="D54" s="1031">
        <v>24.755932000000001</v>
      </c>
      <c r="E54" s="975">
        <f t="shared" si="0"/>
        <v>-24.755932000000001</v>
      </c>
      <c r="F54" s="999">
        <v>7.5</v>
      </c>
      <c r="G54" s="976">
        <f t="shared" si="3"/>
        <v>0.45</v>
      </c>
      <c r="H54" s="999">
        <f t="shared" si="4"/>
        <v>1</v>
      </c>
      <c r="I54" s="999">
        <f t="shared" si="5"/>
        <v>1</v>
      </c>
      <c r="J54" s="1008">
        <f t="shared" si="6"/>
        <v>0</v>
      </c>
      <c r="K54" s="993">
        <f t="shared" si="1"/>
        <v>24.755932000000001</v>
      </c>
      <c r="L54" s="993">
        <f t="shared" si="2"/>
        <v>21.005932000000001</v>
      </c>
      <c r="M54" s="1001" t="s">
        <v>735</v>
      </c>
      <c r="N54" s="997">
        <v>0.45</v>
      </c>
      <c r="O54" s="994"/>
      <c r="P54" s="1036">
        <v>0</v>
      </c>
      <c r="Q54" s="965"/>
    </row>
    <row r="55" spans="1:17" ht="15">
      <c r="A55" s="1001">
        <v>45504</v>
      </c>
      <c r="B55" s="974" t="s">
        <v>413</v>
      </c>
      <c r="C55" s="974" t="s">
        <v>413</v>
      </c>
      <c r="D55" s="1031">
        <v>24.725322999999999</v>
      </c>
      <c r="E55" s="975">
        <f t="shared" si="0"/>
        <v>-24.725322999999999</v>
      </c>
      <c r="F55" s="999">
        <v>7.5</v>
      </c>
      <c r="G55" s="976">
        <f t="shared" si="3"/>
        <v>0.44999999999999996</v>
      </c>
      <c r="H55" s="999">
        <f t="shared" si="4"/>
        <v>1</v>
      </c>
      <c r="I55" s="999">
        <f t="shared" si="5"/>
        <v>1</v>
      </c>
      <c r="J55" s="1008">
        <f t="shared" si="6"/>
        <v>0</v>
      </c>
      <c r="K55" s="993">
        <f t="shared" si="1"/>
        <v>24.725322999999999</v>
      </c>
      <c r="L55" s="993">
        <f t="shared" si="2"/>
        <v>20.975322999999999</v>
      </c>
      <c r="M55" s="1001" t="s">
        <v>736</v>
      </c>
      <c r="N55" s="997">
        <v>0.45</v>
      </c>
      <c r="O55" s="994"/>
      <c r="P55" s="1036">
        <v>0</v>
      </c>
      <c r="Q55" s="965"/>
    </row>
    <row r="56" spans="1:17" ht="15">
      <c r="A56" s="1001">
        <v>45518</v>
      </c>
      <c r="B56" s="974" t="s">
        <v>413</v>
      </c>
      <c r="C56" s="974" t="s">
        <v>413</v>
      </c>
      <c r="D56" s="1031">
        <v>24.550224</v>
      </c>
      <c r="E56" s="975">
        <f t="shared" si="0"/>
        <v>-24.550224</v>
      </c>
      <c r="F56" s="999">
        <v>7.5</v>
      </c>
      <c r="G56" s="976">
        <f t="shared" si="3"/>
        <v>0.45</v>
      </c>
      <c r="H56" s="999">
        <f t="shared" si="4"/>
        <v>1</v>
      </c>
      <c r="I56" s="999">
        <f t="shared" si="5"/>
        <v>1</v>
      </c>
      <c r="J56" s="1008">
        <f t="shared" si="6"/>
        <v>0</v>
      </c>
      <c r="K56" s="993">
        <f t="shared" si="1"/>
        <v>24.550224</v>
      </c>
      <c r="L56" s="993">
        <f t="shared" si="2"/>
        <v>20.800224</v>
      </c>
      <c r="M56" s="1001" t="s">
        <v>737</v>
      </c>
      <c r="N56" s="997">
        <v>0.45</v>
      </c>
      <c r="O56" s="994"/>
      <c r="P56" s="1036">
        <v>0</v>
      </c>
      <c r="Q56" s="965"/>
    </row>
    <row r="57" spans="1:17" s="1017" customFormat="1" ht="15.6" thickBot="1">
      <c r="A57" s="1015">
        <v>45500</v>
      </c>
      <c r="B57" s="974" t="s">
        <v>413</v>
      </c>
      <c r="C57" s="974" t="s">
        <v>413</v>
      </c>
      <c r="D57" s="1033">
        <v>24.755932000000001</v>
      </c>
      <c r="E57" s="975">
        <f t="shared" si="0"/>
        <v>-24.755932000000001</v>
      </c>
      <c r="F57" s="999">
        <v>7.5</v>
      </c>
      <c r="G57" s="976">
        <f t="shared" si="3"/>
        <v>0.45</v>
      </c>
      <c r="H57" s="999">
        <f t="shared" si="4"/>
        <v>1</v>
      </c>
      <c r="I57" s="999">
        <f t="shared" si="5"/>
        <v>1</v>
      </c>
      <c r="J57" s="1008">
        <f t="shared" si="6"/>
        <v>0</v>
      </c>
      <c r="K57" s="993">
        <f t="shared" si="1"/>
        <v>24.755932000000001</v>
      </c>
      <c r="L57" s="993">
        <f t="shared" si="2"/>
        <v>21.005932000000001</v>
      </c>
      <c r="M57" s="1001" t="s">
        <v>738</v>
      </c>
      <c r="N57" s="997">
        <v>0.45</v>
      </c>
      <c r="O57" s="1022"/>
      <c r="P57" s="1036">
        <v>0</v>
      </c>
      <c r="Q57" s="1016"/>
    </row>
    <row r="58" spans="1:17" ht="15.6" thickTop="1">
      <c r="A58" s="1001">
        <v>45574</v>
      </c>
      <c r="B58" s="974" t="s">
        <v>413</v>
      </c>
      <c r="C58" s="974" t="s">
        <v>413</v>
      </c>
      <c r="D58" s="1031">
        <v>24.988861</v>
      </c>
      <c r="E58" s="975">
        <f t="shared" si="0"/>
        <v>-24.988861</v>
      </c>
      <c r="F58" s="999">
        <v>7.5</v>
      </c>
      <c r="G58" s="976">
        <f t="shared" si="3"/>
        <v>0.45</v>
      </c>
      <c r="H58" s="999">
        <f t="shared" si="4"/>
        <v>1</v>
      </c>
      <c r="I58" s="999">
        <f t="shared" si="5"/>
        <v>1</v>
      </c>
      <c r="J58" s="1008">
        <f t="shared" si="6"/>
        <v>0</v>
      </c>
      <c r="K58" s="993">
        <f t="shared" si="1"/>
        <v>24.988861</v>
      </c>
      <c r="L58" s="993">
        <f t="shared" si="2"/>
        <v>21.238861</v>
      </c>
      <c r="M58" s="1001" t="s">
        <v>739</v>
      </c>
      <c r="N58" s="997">
        <v>0.45</v>
      </c>
      <c r="O58" s="994"/>
      <c r="P58" s="1036">
        <v>0</v>
      </c>
      <c r="Q58" s="965"/>
    </row>
    <row r="59" spans="1:17" ht="15">
      <c r="A59" s="1001">
        <v>45589</v>
      </c>
      <c r="B59" s="974" t="s">
        <v>413</v>
      </c>
      <c r="C59" s="974" t="s">
        <v>413</v>
      </c>
      <c r="D59" s="1031">
        <v>25.218567</v>
      </c>
      <c r="E59" s="975">
        <f t="shared" si="0"/>
        <v>-25.218567</v>
      </c>
      <c r="F59" s="999">
        <v>7.5</v>
      </c>
      <c r="G59" s="976">
        <f t="shared" si="3"/>
        <v>0.45</v>
      </c>
      <c r="H59" s="999">
        <f t="shared" si="4"/>
        <v>1</v>
      </c>
      <c r="I59" s="999">
        <f t="shared" si="5"/>
        <v>1</v>
      </c>
      <c r="J59" s="1008">
        <f t="shared" si="6"/>
        <v>0</v>
      </c>
      <c r="K59" s="993">
        <f t="shared" si="1"/>
        <v>25.218567</v>
      </c>
      <c r="L59" s="993">
        <f t="shared" si="2"/>
        <v>21.468567</v>
      </c>
      <c r="M59" s="1001" t="s">
        <v>740</v>
      </c>
      <c r="N59" s="997">
        <v>0.45</v>
      </c>
      <c r="O59" s="994"/>
      <c r="P59" s="1036">
        <v>0</v>
      </c>
      <c r="Q59" s="965"/>
    </row>
    <row r="60" spans="1:17" ht="15">
      <c r="A60" s="1001">
        <v>45600</v>
      </c>
      <c r="B60" s="974" t="s">
        <v>413</v>
      </c>
      <c r="C60" s="974" t="s">
        <v>413</v>
      </c>
      <c r="D60" s="1031">
        <v>25.403549000000002</v>
      </c>
      <c r="E60" s="975">
        <f t="shared" si="0"/>
        <v>-25.403549000000002</v>
      </c>
      <c r="F60" s="999">
        <v>7.5</v>
      </c>
      <c r="G60" s="976">
        <f t="shared" si="3"/>
        <v>0.45</v>
      </c>
      <c r="H60" s="999">
        <f t="shared" si="4"/>
        <v>1</v>
      </c>
      <c r="I60" s="999">
        <f t="shared" si="5"/>
        <v>1</v>
      </c>
      <c r="J60" s="1008">
        <f t="shared" si="6"/>
        <v>0</v>
      </c>
      <c r="K60" s="993">
        <f t="shared" si="1"/>
        <v>25.403549000000002</v>
      </c>
      <c r="L60" s="993">
        <f t="shared" si="2"/>
        <v>21.653549000000002</v>
      </c>
      <c r="M60" s="1001" t="s">
        <v>741</v>
      </c>
      <c r="N60" s="997">
        <v>0.45</v>
      </c>
      <c r="O60" s="994"/>
      <c r="P60" s="1036">
        <v>0</v>
      </c>
      <c r="Q60" s="965"/>
    </row>
    <row r="61" spans="1:17" ht="15">
      <c r="A61" s="1001">
        <v>45617</v>
      </c>
      <c r="B61" s="974" t="s">
        <v>413</v>
      </c>
      <c r="C61" s="974" t="s">
        <v>413</v>
      </c>
      <c r="D61" s="1031">
        <v>25.441939999999999</v>
      </c>
      <c r="E61" s="975">
        <f t="shared" si="0"/>
        <v>-25.441939999999999</v>
      </c>
      <c r="F61" s="999">
        <v>7.5</v>
      </c>
      <c r="G61" s="976">
        <f t="shared" si="3"/>
        <v>0.44999999999999996</v>
      </c>
      <c r="H61" s="999">
        <f t="shared" si="4"/>
        <v>1</v>
      </c>
      <c r="I61" s="999">
        <f t="shared" si="5"/>
        <v>1</v>
      </c>
      <c r="J61" s="1008">
        <f t="shared" si="6"/>
        <v>0</v>
      </c>
      <c r="K61" s="993">
        <f t="shared" si="1"/>
        <v>25.441939999999999</v>
      </c>
      <c r="L61" s="993">
        <f t="shared" si="2"/>
        <v>21.691939999999999</v>
      </c>
      <c r="M61" s="1001" t="s">
        <v>742</v>
      </c>
      <c r="N61" s="997">
        <v>0.45</v>
      </c>
      <c r="O61" s="994"/>
      <c r="P61" s="1036">
        <v>0</v>
      </c>
      <c r="Q61" s="965"/>
    </row>
    <row r="62" spans="1:17" ht="15">
      <c r="A62" s="1001">
        <v>46724</v>
      </c>
      <c r="B62" s="974" t="s">
        <v>413</v>
      </c>
      <c r="C62" s="974" t="s">
        <v>413</v>
      </c>
      <c r="D62" s="1031">
        <v>34.642180000000003</v>
      </c>
      <c r="E62" s="975">
        <f t="shared" si="0"/>
        <v>-34.642180000000003</v>
      </c>
      <c r="F62" s="999">
        <v>7.5</v>
      </c>
      <c r="G62" s="976">
        <f t="shared" si="3"/>
        <v>0.45</v>
      </c>
      <c r="H62" s="999">
        <f t="shared" si="4"/>
        <v>1</v>
      </c>
      <c r="I62" s="999">
        <f t="shared" si="5"/>
        <v>1</v>
      </c>
      <c r="J62" s="1008">
        <f t="shared" si="6"/>
        <v>0</v>
      </c>
      <c r="K62" s="993">
        <f t="shared" si="1"/>
        <v>34.642180000000003</v>
      </c>
      <c r="L62" s="993">
        <f t="shared" si="2"/>
        <v>30.892180000000003</v>
      </c>
      <c r="M62" s="1001" t="s">
        <v>743</v>
      </c>
      <c r="N62" s="997">
        <v>0.45</v>
      </c>
      <c r="P62" s="1036">
        <v>0</v>
      </c>
      <c r="Q62" s="965"/>
    </row>
    <row r="63" spans="1:17" ht="15">
      <c r="A63" s="1001">
        <v>46782</v>
      </c>
      <c r="B63" s="974" t="s">
        <v>413</v>
      </c>
      <c r="C63" s="974" t="s">
        <v>413</v>
      </c>
      <c r="D63" s="1031">
        <v>33.216963999999997</v>
      </c>
      <c r="E63" s="975">
        <f t="shared" si="0"/>
        <v>-33.216963999999997</v>
      </c>
      <c r="F63" s="999">
        <v>7.5</v>
      </c>
      <c r="G63" s="976">
        <f t="shared" si="3"/>
        <v>0.45</v>
      </c>
      <c r="H63" s="999">
        <f t="shared" si="4"/>
        <v>1</v>
      </c>
      <c r="I63" s="999">
        <f t="shared" si="5"/>
        <v>1</v>
      </c>
      <c r="J63" s="1008">
        <f t="shared" si="6"/>
        <v>0</v>
      </c>
      <c r="K63" s="993">
        <f t="shared" si="1"/>
        <v>33.216963999999997</v>
      </c>
      <c r="L63" s="993">
        <f t="shared" si="2"/>
        <v>29.466963999999997</v>
      </c>
      <c r="M63" s="1001" t="s">
        <v>744</v>
      </c>
      <c r="N63" s="997">
        <v>0.45</v>
      </c>
      <c r="P63" s="1036">
        <v>0</v>
      </c>
      <c r="Q63" s="965"/>
    </row>
    <row r="64" spans="1:17" ht="15">
      <c r="A64" s="1001">
        <v>46780</v>
      </c>
      <c r="B64" s="974" t="s">
        <v>413</v>
      </c>
      <c r="C64" s="974" t="s">
        <v>413</v>
      </c>
      <c r="D64" s="1031">
        <v>33.297987999999997</v>
      </c>
      <c r="E64" s="975">
        <f t="shared" si="0"/>
        <v>-33.297987999999997</v>
      </c>
      <c r="F64" s="999">
        <v>7.5</v>
      </c>
      <c r="G64" s="976">
        <f t="shared" si="3"/>
        <v>0.45</v>
      </c>
      <c r="H64" s="999">
        <f t="shared" si="4"/>
        <v>1</v>
      </c>
      <c r="I64" s="999">
        <f t="shared" si="5"/>
        <v>1</v>
      </c>
      <c r="J64" s="1008">
        <f t="shared" si="6"/>
        <v>0</v>
      </c>
      <c r="K64" s="993">
        <f t="shared" si="1"/>
        <v>33.297987999999997</v>
      </c>
      <c r="L64" s="993">
        <f t="shared" si="2"/>
        <v>29.547987999999997</v>
      </c>
      <c r="M64" s="1001" t="s">
        <v>745</v>
      </c>
      <c r="N64" s="997">
        <v>0.45</v>
      </c>
      <c r="P64" s="1036">
        <v>0</v>
      </c>
      <c r="Q64" s="965"/>
    </row>
    <row r="65" spans="1:17" ht="15">
      <c r="A65" s="1001">
        <v>46809</v>
      </c>
      <c r="B65" s="974" t="s">
        <v>413</v>
      </c>
      <c r="C65" s="974" t="s">
        <v>413</v>
      </c>
      <c r="D65" s="1031">
        <v>31.943701999999998</v>
      </c>
      <c r="E65" s="975">
        <f t="shared" si="0"/>
        <v>-31.943701999999998</v>
      </c>
      <c r="F65" s="999">
        <v>7.5</v>
      </c>
      <c r="G65" s="976">
        <f t="shared" si="3"/>
        <v>0.45000000000000007</v>
      </c>
      <c r="H65" s="999">
        <f t="shared" si="4"/>
        <v>1</v>
      </c>
      <c r="I65" s="999">
        <f t="shared" si="5"/>
        <v>1</v>
      </c>
      <c r="J65" s="1008">
        <f t="shared" si="6"/>
        <v>0</v>
      </c>
      <c r="K65" s="993">
        <f t="shared" si="1"/>
        <v>31.943701999999998</v>
      </c>
      <c r="L65" s="993">
        <f t="shared" si="2"/>
        <v>28.193701999999998</v>
      </c>
      <c r="M65" s="1001" t="s">
        <v>746</v>
      </c>
      <c r="N65" s="997">
        <v>0.45</v>
      </c>
      <c r="P65" s="1036">
        <v>0</v>
      </c>
      <c r="Q65" s="965"/>
    </row>
    <row r="66" spans="1:17" ht="15">
      <c r="A66" s="1001">
        <v>46810</v>
      </c>
      <c r="B66" s="974" t="s">
        <v>413</v>
      </c>
      <c r="C66" s="974" t="s">
        <v>413</v>
      </c>
      <c r="D66" s="1031">
        <v>31.926212</v>
      </c>
      <c r="E66" s="975">
        <f t="shared" si="0"/>
        <v>-31.926212</v>
      </c>
      <c r="F66" s="999">
        <v>7.5</v>
      </c>
      <c r="G66" s="976">
        <f t="shared" si="3"/>
        <v>0.44999999999999996</v>
      </c>
      <c r="H66" s="999">
        <f t="shared" si="4"/>
        <v>1</v>
      </c>
      <c r="I66" s="999">
        <f t="shared" si="5"/>
        <v>1</v>
      </c>
      <c r="J66" s="1008">
        <f t="shared" si="6"/>
        <v>0</v>
      </c>
      <c r="K66" s="993">
        <f t="shared" si="1"/>
        <v>31.926212</v>
      </c>
      <c r="L66" s="993">
        <f t="shared" si="2"/>
        <v>28.176212</v>
      </c>
      <c r="M66" s="1001" t="s">
        <v>747</v>
      </c>
      <c r="N66" s="997">
        <v>0.45</v>
      </c>
      <c r="P66" s="1036">
        <v>0</v>
      </c>
      <c r="Q66" s="965"/>
    </row>
    <row r="67" spans="1:17" ht="15">
      <c r="A67" s="1001">
        <v>46847</v>
      </c>
      <c r="B67" s="974" t="s">
        <v>413</v>
      </c>
      <c r="C67" s="974" t="s">
        <v>413</v>
      </c>
      <c r="D67" s="1031">
        <v>31.181425999999998</v>
      </c>
      <c r="E67" s="975">
        <f t="shared" ref="E67:E130" si="7">D67*-1</f>
        <v>-31.181425999999998</v>
      </c>
      <c r="F67" s="999">
        <v>7.5</v>
      </c>
      <c r="G67" s="976">
        <f t="shared" si="3"/>
        <v>0.45</v>
      </c>
      <c r="H67" s="999">
        <f t="shared" si="4"/>
        <v>1</v>
      </c>
      <c r="I67" s="999">
        <f t="shared" si="5"/>
        <v>1</v>
      </c>
      <c r="J67" s="1008">
        <f t="shared" si="6"/>
        <v>0</v>
      </c>
      <c r="K67" s="993">
        <f t="shared" ref="K67:K130" si="8">+J67-E67-P67</f>
        <v>31.181425999999998</v>
      </c>
      <c r="L67" s="993">
        <f t="shared" ref="L67:L130" si="9">+J67-E67-F67/2</f>
        <v>27.431425999999998</v>
      </c>
      <c r="M67" s="1001" t="s">
        <v>748</v>
      </c>
      <c r="N67" s="997">
        <v>0.45</v>
      </c>
      <c r="P67" s="1036">
        <v>0</v>
      </c>
      <c r="Q67" s="965"/>
    </row>
    <row r="68" spans="1:17" ht="15">
      <c r="A68" s="1001">
        <v>46872</v>
      </c>
      <c r="B68" s="974" t="s">
        <v>413</v>
      </c>
      <c r="C68" s="974" t="s">
        <v>413</v>
      </c>
      <c r="D68" s="1031">
        <v>30.487940999999999</v>
      </c>
      <c r="E68" s="975">
        <f t="shared" si="7"/>
        <v>-30.487940999999999</v>
      </c>
      <c r="F68" s="999">
        <v>7.5</v>
      </c>
      <c r="G68" s="976">
        <f t="shared" ref="G68:G131" si="10">(K68*N68)/(F68*((K68/F68)^H68))</f>
        <v>0.45</v>
      </c>
      <c r="H68" s="999">
        <f t="shared" ref="H68:H131" si="11">H67</f>
        <v>1</v>
      </c>
      <c r="I68" s="999">
        <f t="shared" ref="I68:I131" si="12">I67</f>
        <v>1</v>
      </c>
      <c r="J68" s="1008">
        <f t="shared" ref="J68:J131" si="13">J67</f>
        <v>0</v>
      </c>
      <c r="K68" s="993">
        <f t="shared" si="8"/>
        <v>30.487940999999999</v>
      </c>
      <c r="L68" s="993">
        <f t="shared" si="9"/>
        <v>26.737940999999999</v>
      </c>
      <c r="M68" s="1001" t="s">
        <v>749</v>
      </c>
      <c r="N68" s="997">
        <v>0.45</v>
      </c>
      <c r="P68" s="1036">
        <v>0</v>
      </c>
      <c r="Q68" s="965"/>
    </row>
    <row r="69" spans="1:17" ht="15">
      <c r="A69" s="1001">
        <v>46892</v>
      </c>
      <c r="B69" s="974" t="s">
        <v>413</v>
      </c>
      <c r="C69" s="974" t="s">
        <v>413</v>
      </c>
      <c r="D69" s="1031">
        <v>30.421913</v>
      </c>
      <c r="E69" s="975">
        <f t="shared" si="7"/>
        <v>-30.421913</v>
      </c>
      <c r="F69" s="999">
        <v>7.5</v>
      </c>
      <c r="G69" s="976">
        <f t="shared" si="10"/>
        <v>0.44999999999999996</v>
      </c>
      <c r="H69" s="999">
        <f t="shared" si="11"/>
        <v>1</v>
      </c>
      <c r="I69" s="999">
        <f t="shared" si="12"/>
        <v>1</v>
      </c>
      <c r="J69" s="1008">
        <f t="shared" si="13"/>
        <v>0</v>
      </c>
      <c r="K69" s="993">
        <f t="shared" si="8"/>
        <v>30.421913</v>
      </c>
      <c r="L69" s="993">
        <f t="shared" si="9"/>
        <v>26.671913</v>
      </c>
      <c r="M69" s="1001" t="s">
        <v>750</v>
      </c>
      <c r="N69" s="997">
        <v>0.45</v>
      </c>
      <c r="P69" s="1036">
        <v>0</v>
      </c>
      <c r="Q69" s="965"/>
    </row>
    <row r="70" spans="1:17" ht="15">
      <c r="A70" s="1001">
        <v>46902</v>
      </c>
      <c r="B70" s="974" t="s">
        <v>413</v>
      </c>
      <c r="C70" s="974" t="s">
        <v>413</v>
      </c>
      <c r="D70" s="1031">
        <v>30.323637999999999</v>
      </c>
      <c r="E70" s="975">
        <f t="shared" si="7"/>
        <v>-30.323637999999999</v>
      </c>
      <c r="F70" s="999">
        <v>7.5</v>
      </c>
      <c r="G70" s="976">
        <f t="shared" si="10"/>
        <v>0.44999999999999996</v>
      </c>
      <c r="H70" s="999">
        <f t="shared" si="11"/>
        <v>1</v>
      </c>
      <c r="I70" s="999">
        <f t="shared" si="12"/>
        <v>1</v>
      </c>
      <c r="J70" s="1008">
        <f t="shared" si="13"/>
        <v>0</v>
      </c>
      <c r="K70" s="993">
        <f t="shared" si="8"/>
        <v>30.323637999999999</v>
      </c>
      <c r="L70" s="993">
        <f t="shared" si="9"/>
        <v>26.573637999999999</v>
      </c>
      <c r="M70" s="1001" t="s">
        <v>751</v>
      </c>
      <c r="N70" s="997">
        <v>0.45</v>
      </c>
      <c r="P70" s="1036">
        <v>0</v>
      </c>
      <c r="Q70" s="965"/>
    </row>
    <row r="71" spans="1:17" ht="15">
      <c r="A71" s="1001">
        <v>46715</v>
      </c>
      <c r="B71" s="974" t="s">
        <v>413</v>
      </c>
      <c r="C71" s="974" t="s">
        <v>413</v>
      </c>
      <c r="D71" s="1031">
        <v>34.993319999999997</v>
      </c>
      <c r="E71" s="975">
        <f t="shared" si="7"/>
        <v>-34.993319999999997</v>
      </c>
      <c r="F71" s="999">
        <v>7.5</v>
      </c>
      <c r="G71" s="976">
        <f t="shared" si="10"/>
        <v>0.45</v>
      </c>
      <c r="H71" s="999">
        <f t="shared" si="11"/>
        <v>1</v>
      </c>
      <c r="I71" s="999">
        <f t="shared" si="12"/>
        <v>1</v>
      </c>
      <c r="J71" s="1008">
        <f t="shared" si="13"/>
        <v>0</v>
      </c>
      <c r="K71" s="993">
        <f t="shared" si="8"/>
        <v>34.993319999999997</v>
      </c>
      <c r="L71" s="993">
        <f t="shared" si="9"/>
        <v>31.243319999999997</v>
      </c>
      <c r="M71" s="1001" t="s">
        <v>752</v>
      </c>
      <c r="N71" s="997">
        <v>0.45</v>
      </c>
      <c r="P71" s="1036">
        <v>0</v>
      </c>
      <c r="Q71" s="965"/>
    </row>
    <row r="72" spans="1:17" ht="15">
      <c r="A72" s="1001">
        <v>46712</v>
      </c>
      <c r="B72" s="974" t="s">
        <v>413</v>
      </c>
      <c r="C72" s="974" t="s">
        <v>413</v>
      </c>
      <c r="D72" s="1031">
        <v>35.036951999999999</v>
      </c>
      <c r="E72" s="975">
        <f t="shared" si="7"/>
        <v>-35.036951999999999</v>
      </c>
      <c r="F72" s="999">
        <v>7.5</v>
      </c>
      <c r="G72" s="976">
        <f t="shared" si="10"/>
        <v>0.45</v>
      </c>
      <c r="H72" s="999">
        <f t="shared" si="11"/>
        <v>1</v>
      </c>
      <c r="I72" s="999">
        <f t="shared" si="12"/>
        <v>1</v>
      </c>
      <c r="J72" s="1008">
        <f t="shared" si="13"/>
        <v>0</v>
      </c>
      <c r="K72" s="993">
        <f t="shared" si="8"/>
        <v>35.036951999999999</v>
      </c>
      <c r="L72" s="993">
        <f t="shared" si="9"/>
        <v>31.286951999999999</v>
      </c>
      <c r="M72" s="1001" t="s">
        <v>753</v>
      </c>
      <c r="N72" s="997">
        <v>0.45</v>
      </c>
      <c r="P72" s="1036">
        <v>0</v>
      </c>
      <c r="Q72" s="965"/>
    </row>
    <row r="73" spans="1:17" ht="15">
      <c r="A73" s="1001">
        <v>46729</v>
      </c>
      <c r="B73" s="974" t="s">
        <v>413</v>
      </c>
      <c r="C73" s="974" t="s">
        <v>413</v>
      </c>
      <c r="D73" s="1031">
        <v>34.508732000000002</v>
      </c>
      <c r="E73" s="975">
        <f t="shared" si="7"/>
        <v>-34.508732000000002</v>
      </c>
      <c r="F73" s="999">
        <v>7.5</v>
      </c>
      <c r="G73" s="976">
        <f t="shared" si="10"/>
        <v>0.45</v>
      </c>
      <c r="H73" s="999">
        <f t="shared" si="11"/>
        <v>1</v>
      </c>
      <c r="I73" s="999">
        <f t="shared" si="12"/>
        <v>1</v>
      </c>
      <c r="J73" s="1008">
        <f t="shared" si="13"/>
        <v>0</v>
      </c>
      <c r="K73" s="993">
        <f t="shared" si="8"/>
        <v>34.508732000000002</v>
      </c>
      <c r="L73" s="993">
        <f t="shared" si="9"/>
        <v>30.758732000000002</v>
      </c>
      <c r="M73" s="1001" t="s">
        <v>754</v>
      </c>
      <c r="N73" s="997">
        <v>0.45</v>
      </c>
      <c r="P73" s="1036">
        <v>0</v>
      </c>
      <c r="Q73" s="965"/>
    </row>
    <row r="74" spans="1:17" ht="15">
      <c r="A74" s="1001">
        <v>46735</v>
      </c>
      <c r="B74" s="974" t="s">
        <v>413</v>
      </c>
      <c r="C74" s="974" t="s">
        <v>413</v>
      </c>
      <c r="D74" s="1031">
        <v>34.301844000000003</v>
      </c>
      <c r="E74" s="975">
        <f t="shared" si="7"/>
        <v>-34.301844000000003</v>
      </c>
      <c r="F74" s="999">
        <v>7.5</v>
      </c>
      <c r="G74" s="976">
        <f t="shared" si="10"/>
        <v>0.45</v>
      </c>
      <c r="H74" s="999">
        <f t="shared" si="11"/>
        <v>1</v>
      </c>
      <c r="I74" s="999">
        <f t="shared" si="12"/>
        <v>1</v>
      </c>
      <c r="J74" s="1008">
        <f t="shared" si="13"/>
        <v>0</v>
      </c>
      <c r="K74" s="993">
        <f t="shared" si="8"/>
        <v>34.301844000000003</v>
      </c>
      <c r="L74" s="993">
        <f t="shared" si="9"/>
        <v>30.551844000000003</v>
      </c>
      <c r="M74" s="1001" t="s">
        <v>755</v>
      </c>
      <c r="N74" s="997">
        <v>0.45</v>
      </c>
      <c r="P74" s="1036">
        <v>0</v>
      </c>
      <c r="Q74" s="965"/>
    </row>
    <row r="75" spans="1:17" ht="15">
      <c r="A75" s="1001">
        <v>46753</v>
      </c>
      <c r="B75" s="974" t="s">
        <v>413</v>
      </c>
      <c r="C75" s="974" t="s">
        <v>413</v>
      </c>
      <c r="D75" s="1031">
        <v>33.904612999999998</v>
      </c>
      <c r="E75" s="975">
        <f t="shared" si="7"/>
        <v>-33.904612999999998</v>
      </c>
      <c r="F75" s="999">
        <v>7.5</v>
      </c>
      <c r="G75" s="976">
        <f t="shared" si="10"/>
        <v>0.45</v>
      </c>
      <c r="H75" s="999">
        <f t="shared" si="11"/>
        <v>1</v>
      </c>
      <c r="I75" s="999">
        <f t="shared" si="12"/>
        <v>1</v>
      </c>
      <c r="J75" s="1008">
        <f t="shared" si="13"/>
        <v>0</v>
      </c>
      <c r="K75" s="993">
        <f t="shared" si="8"/>
        <v>33.904612999999998</v>
      </c>
      <c r="L75" s="993">
        <f t="shared" si="9"/>
        <v>30.154612999999998</v>
      </c>
      <c r="M75" s="1001" t="s">
        <v>756</v>
      </c>
      <c r="N75" s="997">
        <v>0.45</v>
      </c>
      <c r="P75" s="1036">
        <v>0</v>
      </c>
      <c r="Q75" s="965"/>
    </row>
    <row r="76" spans="1:17" ht="15">
      <c r="A76" s="1001">
        <v>46781</v>
      </c>
      <c r="B76" s="974" t="s">
        <v>413</v>
      </c>
      <c r="C76" s="974" t="s">
        <v>413</v>
      </c>
      <c r="D76" s="1031">
        <v>33.274104000000001</v>
      </c>
      <c r="E76" s="975">
        <f t="shared" si="7"/>
        <v>-33.274104000000001</v>
      </c>
      <c r="F76" s="999">
        <v>7.5</v>
      </c>
      <c r="G76" s="976">
        <f t="shared" si="10"/>
        <v>0.45</v>
      </c>
      <c r="H76" s="999">
        <f t="shared" si="11"/>
        <v>1</v>
      </c>
      <c r="I76" s="999">
        <f t="shared" si="12"/>
        <v>1</v>
      </c>
      <c r="J76" s="1008">
        <f t="shared" si="13"/>
        <v>0</v>
      </c>
      <c r="K76" s="993">
        <f t="shared" si="8"/>
        <v>33.274104000000001</v>
      </c>
      <c r="L76" s="993">
        <f t="shared" si="9"/>
        <v>29.524104000000001</v>
      </c>
      <c r="M76" s="1001" t="s">
        <v>757</v>
      </c>
      <c r="N76" s="997">
        <v>0.45</v>
      </c>
      <c r="P76" s="1036">
        <v>0</v>
      </c>
      <c r="Q76" s="965"/>
    </row>
    <row r="77" spans="1:17" ht="15">
      <c r="A77" s="1001">
        <v>46844</v>
      </c>
      <c r="B77" s="974" t="s">
        <v>413</v>
      </c>
      <c r="C77" s="974" t="s">
        <v>413</v>
      </c>
      <c r="D77" s="1031">
        <v>31.252956000000001</v>
      </c>
      <c r="E77" s="975">
        <f t="shared" si="7"/>
        <v>-31.252956000000001</v>
      </c>
      <c r="F77" s="999">
        <v>7.5</v>
      </c>
      <c r="G77" s="976">
        <f t="shared" si="10"/>
        <v>0.45</v>
      </c>
      <c r="H77" s="999">
        <f t="shared" si="11"/>
        <v>1</v>
      </c>
      <c r="I77" s="999">
        <f t="shared" si="12"/>
        <v>1</v>
      </c>
      <c r="J77" s="1008">
        <f t="shared" si="13"/>
        <v>0</v>
      </c>
      <c r="K77" s="993">
        <f t="shared" si="8"/>
        <v>31.252956000000001</v>
      </c>
      <c r="L77" s="993">
        <f t="shared" si="9"/>
        <v>27.502956000000001</v>
      </c>
      <c r="M77" s="1001" t="s">
        <v>758</v>
      </c>
      <c r="N77" s="997">
        <v>0.45</v>
      </c>
      <c r="P77" s="1036">
        <v>0</v>
      </c>
      <c r="Q77" s="965"/>
    </row>
    <row r="78" spans="1:17" ht="15">
      <c r="A78" s="1001">
        <v>46868</v>
      </c>
      <c r="B78" s="974" t="s">
        <v>413</v>
      </c>
      <c r="C78" s="974" t="s">
        <v>413</v>
      </c>
      <c r="D78" s="1031">
        <v>30.524184999999999</v>
      </c>
      <c r="E78" s="975">
        <f t="shared" si="7"/>
        <v>-30.524184999999999</v>
      </c>
      <c r="F78" s="999">
        <v>7.5</v>
      </c>
      <c r="G78" s="976">
        <f t="shared" si="10"/>
        <v>0.44999999999999996</v>
      </c>
      <c r="H78" s="999">
        <f t="shared" si="11"/>
        <v>1</v>
      </c>
      <c r="I78" s="999">
        <f t="shared" si="12"/>
        <v>1</v>
      </c>
      <c r="J78" s="1008">
        <f t="shared" si="13"/>
        <v>0</v>
      </c>
      <c r="K78" s="993">
        <f t="shared" si="8"/>
        <v>30.524184999999999</v>
      </c>
      <c r="L78" s="993">
        <f t="shared" si="9"/>
        <v>26.774184999999999</v>
      </c>
      <c r="M78" s="1001" t="s">
        <v>759</v>
      </c>
      <c r="N78" s="997">
        <v>0.45</v>
      </c>
      <c r="P78" s="1036">
        <v>0</v>
      </c>
      <c r="Q78" s="965"/>
    </row>
    <row r="79" spans="1:17" ht="15">
      <c r="A79" s="1001">
        <v>46875</v>
      </c>
      <c r="B79" s="974" t="s">
        <v>413</v>
      </c>
      <c r="C79" s="974" t="s">
        <v>413</v>
      </c>
      <c r="D79" s="1031">
        <v>30.384456</v>
      </c>
      <c r="E79" s="975">
        <f t="shared" si="7"/>
        <v>-30.384456</v>
      </c>
      <c r="F79" s="999">
        <v>7.5</v>
      </c>
      <c r="G79" s="976">
        <f t="shared" si="10"/>
        <v>0.45000000000000007</v>
      </c>
      <c r="H79" s="999">
        <f t="shared" si="11"/>
        <v>1</v>
      </c>
      <c r="I79" s="999">
        <f t="shared" si="12"/>
        <v>1</v>
      </c>
      <c r="J79" s="1008">
        <f t="shared" si="13"/>
        <v>0</v>
      </c>
      <c r="K79" s="993">
        <f t="shared" si="8"/>
        <v>30.384456</v>
      </c>
      <c r="L79" s="993">
        <f t="shared" si="9"/>
        <v>26.634456</v>
      </c>
      <c r="M79" s="1001" t="s">
        <v>760</v>
      </c>
      <c r="N79" s="997">
        <v>0.45</v>
      </c>
      <c r="P79" s="1036">
        <v>0</v>
      </c>
      <c r="Q79" s="965"/>
    </row>
    <row r="80" spans="1:17" ht="15">
      <c r="A80" s="1001">
        <v>46900</v>
      </c>
      <c r="B80" s="974" t="s">
        <v>413</v>
      </c>
      <c r="C80" s="974" t="s">
        <v>413</v>
      </c>
      <c r="D80" s="1031">
        <v>30.378681</v>
      </c>
      <c r="E80" s="975">
        <f t="shared" si="7"/>
        <v>-30.378681</v>
      </c>
      <c r="F80" s="999">
        <v>7.5</v>
      </c>
      <c r="G80" s="976">
        <f t="shared" si="10"/>
        <v>0.44999999999999996</v>
      </c>
      <c r="H80" s="999">
        <f t="shared" si="11"/>
        <v>1</v>
      </c>
      <c r="I80" s="999">
        <f t="shared" si="12"/>
        <v>1</v>
      </c>
      <c r="J80" s="1008">
        <f t="shared" si="13"/>
        <v>0</v>
      </c>
      <c r="K80" s="993">
        <f t="shared" si="8"/>
        <v>30.378681</v>
      </c>
      <c r="L80" s="993">
        <f t="shared" si="9"/>
        <v>26.628681</v>
      </c>
      <c r="M80" s="1001" t="s">
        <v>761</v>
      </c>
      <c r="N80" s="997">
        <v>0.45</v>
      </c>
      <c r="P80" s="1036">
        <v>0</v>
      </c>
      <c r="Q80" s="965"/>
    </row>
    <row r="81" spans="1:17" ht="15">
      <c r="A81" s="1001">
        <v>46911</v>
      </c>
      <c r="B81" s="974" t="s">
        <v>413</v>
      </c>
      <c r="C81" s="974" t="s">
        <v>413</v>
      </c>
      <c r="D81" s="1031">
        <v>30.277339000000001</v>
      </c>
      <c r="E81" s="975">
        <f t="shared" si="7"/>
        <v>-30.277339000000001</v>
      </c>
      <c r="F81" s="999">
        <v>7.5</v>
      </c>
      <c r="G81" s="976">
        <f t="shared" si="10"/>
        <v>0.44999999999999996</v>
      </c>
      <c r="H81" s="999">
        <f t="shared" si="11"/>
        <v>1</v>
      </c>
      <c r="I81" s="999">
        <f t="shared" si="12"/>
        <v>1</v>
      </c>
      <c r="J81" s="1008">
        <f t="shared" si="13"/>
        <v>0</v>
      </c>
      <c r="K81" s="993">
        <f t="shared" si="8"/>
        <v>30.277339000000001</v>
      </c>
      <c r="L81" s="993">
        <f t="shared" si="9"/>
        <v>26.527339000000001</v>
      </c>
      <c r="M81" s="1001" t="s">
        <v>762</v>
      </c>
      <c r="N81" s="997">
        <v>0.45</v>
      </c>
      <c r="P81" s="1036">
        <v>0</v>
      </c>
      <c r="Q81" s="965"/>
    </row>
    <row r="82" spans="1:17" ht="15">
      <c r="A82" s="1001">
        <v>46943</v>
      </c>
      <c r="B82" s="974" t="s">
        <v>413</v>
      </c>
      <c r="C82" s="974" t="s">
        <v>413</v>
      </c>
      <c r="D82" s="1031">
        <v>29.680816</v>
      </c>
      <c r="E82" s="975">
        <f t="shared" si="7"/>
        <v>-29.680816</v>
      </c>
      <c r="F82" s="999">
        <v>7.5</v>
      </c>
      <c r="G82" s="976">
        <f t="shared" si="10"/>
        <v>0.45</v>
      </c>
      <c r="H82" s="999">
        <f t="shared" si="11"/>
        <v>1</v>
      </c>
      <c r="I82" s="999">
        <f t="shared" si="12"/>
        <v>1</v>
      </c>
      <c r="J82" s="1008">
        <f t="shared" si="13"/>
        <v>0</v>
      </c>
      <c r="K82" s="993">
        <f t="shared" si="8"/>
        <v>29.680816</v>
      </c>
      <c r="L82" s="993">
        <f t="shared" si="9"/>
        <v>25.930816</v>
      </c>
      <c r="M82" s="1001" t="s">
        <v>763</v>
      </c>
      <c r="N82" s="997">
        <v>0.45</v>
      </c>
      <c r="P82" s="1036">
        <v>0</v>
      </c>
      <c r="Q82" s="965"/>
    </row>
    <row r="83" spans="1:17" ht="15">
      <c r="A83" s="1001">
        <v>44662</v>
      </c>
      <c r="B83" s="974" t="s">
        <v>413</v>
      </c>
      <c r="C83" s="974" t="s">
        <v>413</v>
      </c>
      <c r="D83" s="1031">
        <v>29.544837999999999</v>
      </c>
      <c r="E83" s="975">
        <f t="shared" si="7"/>
        <v>-29.544837999999999</v>
      </c>
      <c r="F83" s="999">
        <v>7.5</v>
      </c>
      <c r="G83" s="976">
        <f t="shared" si="10"/>
        <v>0.45</v>
      </c>
      <c r="H83" s="999">
        <f t="shared" si="11"/>
        <v>1</v>
      </c>
      <c r="I83" s="999">
        <f t="shared" si="12"/>
        <v>1</v>
      </c>
      <c r="J83" s="1008">
        <f t="shared" si="13"/>
        <v>0</v>
      </c>
      <c r="K83" s="993">
        <f t="shared" si="8"/>
        <v>29.544837999999999</v>
      </c>
      <c r="L83" s="993">
        <f t="shared" si="9"/>
        <v>25.794837999999999</v>
      </c>
      <c r="M83" s="1001" t="s">
        <v>764</v>
      </c>
      <c r="N83" s="997">
        <v>0.45</v>
      </c>
      <c r="P83" s="1036">
        <v>0</v>
      </c>
      <c r="Q83" s="965"/>
    </row>
    <row r="84" spans="1:17" ht="15">
      <c r="A84" s="1001">
        <v>44799</v>
      </c>
      <c r="B84" s="974" t="s">
        <v>413</v>
      </c>
      <c r="C84" s="974" t="s">
        <v>413</v>
      </c>
      <c r="D84" s="1031">
        <v>28.713352</v>
      </c>
      <c r="E84" s="975">
        <f t="shared" si="7"/>
        <v>-28.713352</v>
      </c>
      <c r="F84" s="999">
        <v>7.5</v>
      </c>
      <c r="G84" s="976">
        <f t="shared" si="10"/>
        <v>0.45</v>
      </c>
      <c r="H84" s="999">
        <f t="shared" si="11"/>
        <v>1</v>
      </c>
      <c r="I84" s="999">
        <f t="shared" si="12"/>
        <v>1</v>
      </c>
      <c r="J84" s="1008">
        <f t="shared" si="13"/>
        <v>0</v>
      </c>
      <c r="K84" s="993">
        <f t="shared" si="8"/>
        <v>28.713352</v>
      </c>
      <c r="L84" s="993">
        <f t="shared" si="9"/>
        <v>24.963352</v>
      </c>
      <c r="M84" s="1001" t="s">
        <v>765</v>
      </c>
      <c r="N84" s="997">
        <v>0.45</v>
      </c>
      <c r="P84" s="1036">
        <v>0</v>
      </c>
      <c r="Q84" s="965"/>
    </row>
    <row r="85" spans="1:17" ht="15">
      <c r="A85" s="1001">
        <v>45034</v>
      </c>
      <c r="B85" s="974" t="s">
        <v>413</v>
      </c>
      <c r="C85" s="974" t="s">
        <v>413</v>
      </c>
      <c r="D85" s="1031">
        <v>29.409030999999999</v>
      </c>
      <c r="E85" s="975">
        <f t="shared" si="7"/>
        <v>-29.409030999999999</v>
      </c>
      <c r="F85" s="999">
        <v>7.5</v>
      </c>
      <c r="G85" s="976">
        <f t="shared" si="10"/>
        <v>0.45</v>
      </c>
      <c r="H85" s="999">
        <f t="shared" si="11"/>
        <v>1</v>
      </c>
      <c r="I85" s="999">
        <f t="shared" si="12"/>
        <v>1</v>
      </c>
      <c r="J85" s="1008">
        <f t="shared" si="13"/>
        <v>0</v>
      </c>
      <c r="K85" s="993">
        <f t="shared" si="8"/>
        <v>29.409030999999999</v>
      </c>
      <c r="L85" s="993">
        <f t="shared" si="9"/>
        <v>25.659030999999999</v>
      </c>
      <c r="M85" s="1001" t="s">
        <v>766</v>
      </c>
      <c r="N85" s="997">
        <v>0.45</v>
      </c>
      <c r="P85" s="1036">
        <v>0</v>
      </c>
      <c r="Q85" s="965"/>
    </row>
    <row r="86" spans="1:17" ht="15">
      <c r="A86" s="1001">
        <v>44841</v>
      </c>
      <c r="B86" s="974" t="s">
        <v>413</v>
      </c>
      <c r="C86" s="974" t="s">
        <v>413</v>
      </c>
      <c r="D86" s="1031">
        <v>29.336382</v>
      </c>
      <c r="E86" s="975">
        <f t="shared" si="7"/>
        <v>-29.336382</v>
      </c>
      <c r="F86" s="999">
        <v>7.5</v>
      </c>
      <c r="G86" s="976">
        <f t="shared" si="10"/>
        <v>0.45</v>
      </c>
      <c r="H86" s="999">
        <f t="shared" si="11"/>
        <v>1</v>
      </c>
      <c r="I86" s="999">
        <f t="shared" si="12"/>
        <v>1</v>
      </c>
      <c r="J86" s="1008">
        <f t="shared" si="13"/>
        <v>0</v>
      </c>
      <c r="K86" s="993">
        <f t="shared" si="8"/>
        <v>29.336382</v>
      </c>
      <c r="L86" s="993">
        <f t="shared" si="9"/>
        <v>25.586382</v>
      </c>
      <c r="M86" s="1001" t="s">
        <v>767</v>
      </c>
      <c r="N86" s="997">
        <v>0.45</v>
      </c>
      <c r="P86" s="1036">
        <v>0</v>
      </c>
      <c r="Q86" s="965"/>
    </row>
    <row r="87" spans="1:17" ht="15">
      <c r="A87" s="1001">
        <v>45072</v>
      </c>
      <c r="B87" s="974" t="s">
        <v>413</v>
      </c>
      <c r="C87" s="974" t="s">
        <v>413</v>
      </c>
      <c r="D87" s="1031">
        <v>29.100527</v>
      </c>
      <c r="E87" s="975">
        <f t="shared" si="7"/>
        <v>-29.100527</v>
      </c>
      <c r="F87" s="999">
        <v>7.5</v>
      </c>
      <c r="G87" s="976">
        <f t="shared" si="10"/>
        <v>0.45</v>
      </c>
      <c r="H87" s="999">
        <f t="shared" si="11"/>
        <v>1</v>
      </c>
      <c r="I87" s="999">
        <f t="shared" si="12"/>
        <v>1</v>
      </c>
      <c r="J87" s="1008">
        <f t="shared" si="13"/>
        <v>0</v>
      </c>
      <c r="K87" s="993">
        <f t="shared" si="8"/>
        <v>29.100527</v>
      </c>
      <c r="L87" s="993">
        <f t="shared" si="9"/>
        <v>25.350527</v>
      </c>
      <c r="M87" s="1001" t="s">
        <v>768</v>
      </c>
      <c r="N87" s="997">
        <v>0.45</v>
      </c>
      <c r="P87" s="1036">
        <v>0</v>
      </c>
      <c r="Q87" s="965"/>
    </row>
    <row r="88" spans="1:17" ht="15">
      <c r="A88" s="1001">
        <v>44902</v>
      </c>
      <c r="B88" s="974" t="s">
        <v>413</v>
      </c>
      <c r="C88" s="974" t="s">
        <v>413</v>
      </c>
      <c r="D88" s="1031">
        <v>29.782446</v>
      </c>
      <c r="E88" s="975">
        <f t="shared" si="7"/>
        <v>-29.782446</v>
      </c>
      <c r="F88" s="999">
        <v>7.5</v>
      </c>
      <c r="G88" s="976">
        <f t="shared" si="10"/>
        <v>0.45</v>
      </c>
      <c r="H88" s="999">
        <f t="shared" si="11"/>
        <v>1</v>
      </c>
      <c r="I88" s="999">
        <f t="shared" si="12"/>
        <v>1</v>
      </c>
      <c r="J88" s="1008">
        <f t="shared" si="13"/>
        <v>0</v>
      </c>
      <c r="K88" s="993">
        <f t="shared" si="8"/>
        <v>29.782446</v>
      </c>
      <c r="L88" s="993">
        <f t="shared" si="9"/>
        <v>26.032446</v>
      </c>
      <c r="M88" s="1001" t="s">
        <v>769</v>
      </c>
      <c r="N88" s="997">
        <v>0.45</v>
      </c>
      <c r="P88" s="1036">
        <v>0</v>
      </c>
      <c r="Q88" s="965"/>
    </row>
    <row r="89" spans="1:17" ht="15">
      <c r="A89" s="1001">
        <v>45181</v>
      </c>
      <c r="B89" s="974" t="s">
        <v>413</v>
      </c>
      <c r="C89" s="974" t="s">
        <v>413</v>
      </c>
      <c r="D89" s="1031">
        <v>27.010356999999999</v>
      </c>
      <c r="E89" s="975">
        <f t="shared" si="7"/>
        <v>-27.010356999999999</v>
      </c>
      <c r="F89" s="999">
        <v>7.5</v>
      </c>
      <c r="G89" s="976">
        <f t="shared" si="10"/>
        <v>0.45</v>
      </c>
      <c r="H89" s="999">
        <f t="shared" si="11"/>
        <v>1</v>
      </c>
      <c r="I89" s="999">
        <f t="shared" si="12"/>
        <v>1</v>
      </c>
      <c r="J89" s="1008">
        <f t="shared" si="13"/>
        <v>0</v>
      </c>
      <c r="K89" s="993">
        <f t="shared" si="8"/>
        <v>27.010356999999999</v>
      </c>
      <c r="L89" s="993">
        <f t="shared" si="9"/>
        <v>23.260356999999999</v>
      </c>
      <c r="M89" s="1001" t="s">
        <v>770</v>
      </c>
      <c r="N89" s="997">
        <v>0.45</v>
      </c>
      <c r="P89" s="1036">
        <v>0</v>
      </c>
      <c r="Q89" s="965"/>
    </row>
    <row r="90" spans="1:17" ht="15">
      <c r="A90" s="1001">
        <v>44962</v>
      </c>
      <c r="B90" s="974" t="s">
        <v>413</v>
      </c>
      <c r="C90" s="974" t="s">
        <v>413</v>
      </c>
      <c r="D90" s="1031">
        <v>29.401202000000001</v>
      </c>
      <c r="E90" s="975">
        <f t="shared" si="7"/>
        <v>-29.401202000000001</v>
      </c>
      <c r="F90" s="999">
        <v>7.5</v>
      </c>
      <c r="G90" s="976">
        <f t="shared" si="10"/>
        <v>0.45</v>
      </c>
      <c r="H90" s="999">
        <f t="shared" si="11"/>
        <v>1</v>
      </c>
      <c r="I90" s="999">
        <f t="shared" si="12"/>
        <v>1</v>
      </c>
      <c r="J90" s="1008">
        <f t="shared" si="13"/>
        <v>0</v>
      </c>
      <c r="K90" s="993">
        <f t="shared" si="8"/>
        <v>29.401202000000001</v>
      </c>
      <c r="L90" s="993">
        <f t="shared" si="9"/>
        <v>25.651202000000001</v>
      </c>
      <c r="M90" s="1001" t="s">
        <v>771</v>
      </c>
      <c r="N90" s="997">
        <v>0.45</v>
      </c>
      <c r="P90" s="1036">
        <v>0</v>
      </c>
      <c r="Q90" s="965"/>
    </row>
    <row r="91" spans="1:17" ht="15">
      <c r="A91" s="1001">
        <v>45216</v>
      </c>
      <c r="B91" s="974" t="s">
        <v>413</v>
      </c>
      <c r="C91" s="974" t="s">
        <v>413</v>
      </c>
      <c r="D91" s="1031">
        <v>26.412082000000002</v>
      </c>
      <c r="E91" s="975">
        <f t="shared" si="7"/>
        <v>-26.412082000000002</v>
      </c>
      <c r="F91" s="999">
        <v>7.5</v>
      </c>
      <c r="G91" s="976">
        <f t="shared" si="10"/>
        <v>0.44999999999999996</v>
      </c>
      <c r="H91" s="999">
        <f t="shared" si="11"/>
        <v>1</v>
      </c>
      <c r="I91" s="999">
        <f t="shared" si="12"/>
        <v>1</v>
      </c>
      <c r="J91" s="1008">
        <f t="shared" si="13"/>
        <v>0</v>
      </c>
      <c r="K91" s="993">
        <f t="shared" si="8"/>
        <v>26.412082000000002</v>
      </c>
      <c r="L91" s="993">
        <f t="shared" si="9"/>
        <v>22.662082000000002</v>
      </c>
      <c r="M91" s="1001" t="s">
        <v>772</v>
      </c>
      <c r="N91" s="997">
        <v>0.45</v>
      </c>
      <c r="P91" s="1036">
        <v>0</v>
      </c>
      <c r="Q91" s="965"/>
    </row>
    <row r="92" spans="1:17" ht="15">
      <c r="A92" s="1001">
        <v>45004</v>
      </c>
      <c r="B92" s="974" t="s">
        <v>413</v>
      </c>
      <c r="C92" s="974" t="s">
        <v>413</v>
      </c>
      <c r="D92" s="1031">
        <v>29.356318000000002</v>
      </c>
      <c r="E92" s="975">
        <f t="shared" si="7"/>
        <v>-29.356318000000002</v>
      </c>
      <c r="F92" s="999">
        <v>7.5</v>
      </c>
      <c r="G92" s="976">
        <f t="shared" si="10"/>
        <v>0.45</v>
      </c>
      <c r="H92" s="999">
        <f t="shared" si="11"/>
        <v>1</v>
      </c>
      <c r="I92" s="999">
        <f t="shared" si="12"/>
        <v>1</v>
      </c>
      <c r="J92" s="1008">
        <f t="shared" si="13"/>
        <v>0</v>
      </c>
      <c r="K92" s="993">
        <f t="shared" si="8"/>
        <v>29.356318000000002</v>
      </c>
      <c r="L92" s="993">
        <f t="shared" si="9"/>
        <v>25.606318000000002</v>
      </c>
      <c r="M92" s="1001" t="s">
        <v>773</v>
      </c>
      <c r="N92" s="997">
        <v>0.45</v>
      </c>
      <c r="P92" s="1036">
        <v>0</v>
      </c>
      <c r="Q92" s="965"/>
    </row>
    <row r="93" spans="1:17" ht="15">
      <c r="A93" s="1001">
        <v>45384</v>
      </c>
      <c r="B93" s="974" t="s">
        <v>413</v>
      </c>
      <c r="C93" s="974" t="s">
        <v>413</v>
      </c>
      <c r="D93" s="1031">
        <v>25.009293</v>
      </c>
      <c r="E93" s="975">
        <f t="shared" si="7"/>
        <v>-25.009293</v>
      </c>
      <c r="F93" s="999">
        <v>7.5</v>
      </c>
      <c r="G93" s="976">
        <f t="shared" si="10"/>
        <v>0.45</v>
      </c>
      <c r="H93" s="999">
        <f t="shared" si="11"/>
        <v>1</v>
      </c>
      <c r="I93" s="999">
        <f t="shared" si="12"/>
        <v>1</v>
      </c>
      <c r="J93" s="1008">
        <f t="shared" si="13"/>
        <v>0</v>
      </c>
      <c r="K93" s="993">
        <f t="shared" si="8"/>
        <v>25.009293</v>
      </c>
      <c r="L93" s="993">
        <f t="shared" si="9"/>
        <v>21.259293</v>
      </c>
      <c r="M93" s="1001" t="s">
        <v>774</v>
      </c>
      <c r="N93" s="997">
        <v>0.45</v>
      </c>
      <c r="P93" s="1036">
        <v>0</v>
      </c>
      <c r="Q93" s="965"/>
    </row>
    <row r="94" spans="1:17" ht="15">
      <c r="A94" s="1001">
        <v>45206</v>
      </c>
      <c r="B94" s="974" t="s">
        <v>413</v>
      </c>
      <c r="C94" s="974" t="s">
        <v>413</v>
      </c>
      <c r="D94" s="1031">
        <v>26.637436000000001</v>
      </c>
      <c r="E94" s="975">
        <f t="shared" si="7"/>
        <v>-26.637436000000001</v>
      </c>
      <c r="F94" s="999">
        <v>7.5</v>
      </c>
      <c r="G94" s="976">
        <f t="shared" si="10"/>
        <v>0.45</v>
      </c>
      <c r="H94" s="999">
        <f t="shared" si="11"/>
        <v>1</v>
      </c>
      <c r="I94" s="999">
        <f t="shared" si="12"/>
        <v>1</v>
      </c>
      <c r="J94" s="1008">
        <f t="shared" si="13"/>
        <v>0</v>
      </c>
      <c r="K94" s="993">
        <f t="shared" si="8"/>
        <v>26.637436000000001</v>
      </c>
      <c r="L94" s="993">
        <f t="shared" si="9"/>
        <v>22.887436000000001</v>
      </c>
      <c r="M94" s="1001" t="s">
        <v>775</v>
      </c>
      <c r="N94" s="997">
        <v>0.45</v>
      </c>
      <c r="P94" s="1036">
        <v>0</v>
      </c>
      <c r="Q94" s="965"/>
    </row>
    <row r="95" spans="1:17" ht="15">
      <c r="A95" s="1001">
        <v>45708</v>
      </c>
      <c r="B95" s="974" t="s">
        <v>413</v>
      </c>
      <c r="C95" s="974" t="s">
        <v>413</v>
      </c>
      <c r="D95" s="1031">
        <v>27.450873999999999</v>
      </c>
      <c r="E95" s="975">
        <f t="shared" si="7"/>
        <v>-27.450873999999999</v>
      </c>
      <c r="F95" s="999">
        <v>7.5</v>
      </c>
      <c r="G95" s="976">
        <f t="shared" si="10"/>
        <v>0.45</v>
      </c>
      <c r="H95" s="999">
        <f t="shared" si="11"/>
        <v>1</v>
      </c>
      <c r="I95" s="999">
        <f t="shared" si="12"/>
        <v>1</v>
      </c>
      <c r="J95" s="1008">
        <f t="shared" si="13"/>
        <v>0</v>
      </c>
      <c r="K95" s="993">
        <f t="shared" si="8"/>
        <v>27.450873999999999</v>
      </c>
      <c r="L95" s="993">
        <f t="shared" si="9"/>
        <v>23.700873999999999</v>
      </c>
      <c r="M95" s="1001" t="s">
        <v>776</v>
      </c>
      <c r="N95" s="997">
        <v>0.45</v>
      </c>
      <c r="P95" s="1036">
        <v>0</v>
      </c>
      <c r="Q95" s="965"/>
    </row>
    <row r="96" spans="1:17" ht="15">
      <c r="A96" s="1001">
        <v>45237</v>
      </c>
      <c r="B96" s="974" t="s">
        <v>413</v>
      </c>
      <c r="C96" s="974" t="s">
        <v>413</v>
      </c>
      <c r="D96" s="1031">
        <v>26.017430000000001</v>
      </c>
      <c r="E96" s="975">
        <f t="shared" si="7"/>
        <v>-26.017430000000001</v>
      </c>
      <c r="F96" s="999">
        <v>7.5</v>
      </c>
      <c r="G96" s="976">
        <f t="shared" si="10"/>
        <v>0.45</v>
      </c>
      <c r="H96" s="999">
        <f t="shared" si="11"/>
        <v>1</v>
      </c>
      <c r="I96" s="999">
        <f t="shared" si="12"/>
        <v>1</v>
      </c>
      <c r="J96" s="1008">
        <f t="shared" si="13"/>
        <v>0</v>
      </c>
      <c r="K96" s="993">
        <f t="shared" si="8"/>
        <v>26.017430000000001</v>
      </c>
      <c r="L96" s="993">
        <f t="shared" si="9"/>
        <v>22.267430000000001</v>
      </c>
      <c r="M96" s="1001" t="s">
        <v>777</v>
      </c>
      <c r="N96" s="997">
        <v>0.45</v>
      </c>
      <c r="P96" s="1036">
        <v>0</v>
      </c>
      <c r="Q96" s="965"/>
    </row>
    <row r="97" spans="1:17" ht="15">
      <c r="A97" s="1001">
        <v>45265</v>
      </c>
      <c r="B97" s="974" t="s">
        <v>413</v>
      </c>
      <c r="C97" s="974" t="s">
        <v>413</v>
      </c>
      <c r="D97" s="1031">
        <v>25.684591999999999</v>
      </c>
      <c r="E97" s="975">
        <f t="shared" si="7"/>
        <v>-25.684591999999999</v>
      </c>
      <c r="F97" s="999">
        <v>7.5</v>
      </c>
      <c r="G97" s="976">
        <f t="shared" si="10"/>
        <v>0.45</v>
      </c>
      <c r="H97" s="999">
        <f t="shared" si="11"/>
        <v>1</v>
      </c>
      <c r="I97" s="999">
        <f t="shared" si="12"/>
        <v>1</v>
      </c>
      <c r="J97" s="1008">
        <f t="shared" si="13"/>
        <v>0</v>
      </c>
      <c r="K97" s="993">
        <f t="shared" si="8"/>
        <v>25.684591999999999</v>
      </c>
      <c r="L97" s="993">
        <f t="shared" si="9"/>
        <v>21.934591999999999</v>
      </c>
      <c r="M97" s="1001" t="s">
        <v>778</v>
      </c>
      <c r="N97" s="997">
        <v>0.45</v>
      </c>
      <c r="P97" s="1036">
        <v>0</v>
      </c>
      <c r="Q97" s="965"/>
    </row>
    <row r="98" spans="1:17" ht="15">
      <c r="A98" s="1001">
        <v>45921</v>
      </c>
      <c r="B98" s="974" t="s">
        <v>413</v>
      </c>
      <c r="C98" s="974" t="s">
        <v>413</v>
      </c>
      <c r="D98" s="1031">
        <v>36.124149000000003</v>
      </c>
      <c r="E98" s="975">
        <f t="shared" si="7"/>
        <v>-36.124149000000003</v>
      </c>
      <c r="F98" s="999">
        <v>7.5</v>
      </c>
      <c r="G98" s="976">
        <f t="shared" si="10"/>
        <v>0.45000000000000007</v>
      </c>
      <c r="H98" s="999">
        <f t="shared" si="11"/>
        <v>1</v>
      </c>
      <c r="I98" s="999">
        <f t="shared" si="12"/>
        <v>1</v>
      </c>
      <c r="J98" s="1008">
        <f t="shared" si="13"/>
        <v>0</v>
      </c>
      <c r="K98" s="993">
        <f t="shared" si="8"/>
        <v>36.124149000000003</v>
      </c>
      <c r="L98" s="993">
        <f t="shared" si="9"/>
        <v>32.374149000000003</v>
      </c>
      <c r="M98" s="1001" t="s">
        <v>779</v>
      </c>
      <c r="N98" s="997">
        <v>0.45</v>
      </c>
      <c r="P98" s="1036">
        <v>0</v>
      </c>
      <c r="Q98" s="965"/>
    </row>
    <row r="99" spans="1:17" ht="15">
      <c r="A99" s="1001">
        <v>45313</v>
      </c>
      <c r="B99" s="974" t="s">
        <v>413</v>
      </c>
      <c r="C99" s="974" t="s">
        <v>413</v>
      </c>
      <c r="D99" s="1031">
        <v>25.139469999999999</v>
      </c>
      <c r="E99" s="975">
        <f t="shared" si="7"/>
        <v>-25.139469999999999</v>
      </c>
      <c r="F99" s="999">
        <v>7.5</v>
      </c>
      <c r="G99" s="976">
        <f t="shared" si="10"/>
        <v>0.45</v>
      </c>
      <c r="H99" s="999">
        <f t="shared" si="11"/>
        <v>1</v>
      </c>
      <c r="I99" s="999">
        <f t="shared" si="12"/>
        <v>1</v>
      </c>
      <c r="J99" s="1008">
        <f t="shared" si="13"/>
        <v>0</v>
      </c>
      <c r="K99" s="993">
        <f t="shared" si="8"/>
        <v>25.139469999999999</v>
      </c>
      <c r="L99" s="993">
        <f t="shared" si="9"/>
        <v>21.389469999999999</v>
      </c>
      <c r="M99" s="1001" t="s">
        <v>780</v>
      </c>
      <c r="N99" s="997">
        <v>0.45</v>
      </c>
      <c r="P99" s="1036">
        <v>0</v>
      </c>
      <c r="Q99" s="965"/>
    </row>
    <row r="100" spans="1:17" ht="15">
      <c r="A100" s="226">
        <v>46006</v>
      </c>
      <c r="B100" s="974" t="s">
        <v>413</v>
      </c>
      <c r="C100" s="974" t="s">
        <v>413</v>
      </c>
      <c r="D100" s="984">
        <v>36.890756000000003</v>
      </c>
      <c r="E100" s="975">
        <f t="shared" si="7"/>
        <v>-36.890756000000003</v>
      </c>
      <c r="F100" s="999">
        <v>7.5</v>
      </c>
      <c r="G100" s="976">
        <f t="shared" si="10"/>
        <v>0.44999999999999996</v>
      </c>
      <c r="H100" s="999">
        <f t="shared" si="11"/>
        <v>1</v>
      </c>
      <c r="I100" s="999">
        <f t="shared" si="12"/>
        <v>1</v>
      </c>
      <c r="J100" s="1008">
        <f t="shared" si="13"/>
        <v>0</v>
      </c>
      <c r="K100" s="993">
        <f t="shared" si="8"/>
        <v>36.890756000000003</v>
      </c>
      <c r="L100" s="993">
        <f t="shared" si="9"/>
        <v>33.140756000000003</v>
      </c>
      <c r="M100" s="1001" t="s">
        <v>781</v>
      </c>
      <c r="N100" s="997">
        <v>0.45</v>
      </c>
      <c r="P100" s="1036">
        <v>0</v>
      </c>
      <c r="Q100" s="965"/>
    </row>
    <row r="101" spans="1:17" ht="15">
      <c r="A101" s="226">
        <v>45344</v>
      </c>
      <c r="B101" s="974" t="s">
        <v>413</v>
      </c>
      <c r="C101" s="974" t="s">
        <v>413</v>
      </c>
      <c r="D101" s="984">
        <v>24.89988</v>
      </c>
      <c r="E101" s="975">
        <f t="shared" si="7"/>
        <v>-24.89988</v>
      </c>
      <c r="F101" s="999">
        <v>7.5</v>
      </c>
      <c r="G101" s="976">
        <f t="shared" si="10"/>
        <v>0.45</v>
      </c>
      <c r="H101" s="999">
        <f t="shared" si="11"/>
        <v>1</v>
      </c>
      <c r="I101" s="999">
        <f t="shared" si="12"/>
        <v>1</v>
      </c>
      <c r="J101" s="1008">
        <f t="shared" si="13"/>
        <v>0</v>
      </c>
      <c r="K101" s="993">
        <f t="shared" si="8"/>
        <v>24.89988</v>
      </c>
      <c r="L101" s="993">
        <f t="shared" si="9"/>
        <v>21.14988</v>
      </c>
      <c r="M101" s="1001" t="s">
        <v>782</v>
      </c>
      <c r="N101" s="997">
        <v>0.45</v>
      </c>
      <c r="P101" s="1036">
        <v>0</v>
      </c>
      <c r="Q101" s="965"/>
    </row>
    <row r="102" spans="1:17" ht="15">
      <c r="A102" s="226">
        <v>46020</v>
      </c>
      <c r="B102" s="974" t="s">
        <v>413</v>
      </c>
      <c r="C102" s="974" t="s">
        <v>413</v>
      </c>
      <c r="D102" s="984">
        <v>37.229467</v>
      </c>
      <c r="E102" s="975">
        <f t="shared" si="7"/>
        <v>-37.229467</v>
      </c>
      <c r="F102" s="999">
        <v>7.5</v>
      </c>
      <c r="G102" s="976">
        <f t="shared" si="10"/>
        <v>0.44999999999999996</v>
      </c>
      <c r="H102" s="999">
        <f t="shared" si="11"/>
        <v>1</v>
      </c>
      <c r="I102" s="999">
        <f t="shared" si="12"/>
        <v>1</v>
      </c>
      <c r="J102" s="1008">
        <f t="shared" si="13"/>
        <v>0</v>
      </c>
      <c r="K102" s="993">
        <f t="shared" si="8"/>
        <v>37.229467</v>
      </c>
      <c r="L102" s="993">
        <f t="shared" si="9"/>
        <v>33.479467</v>
      </c>
      <c r="M102" s="1001" t="s">
        <v>783</v>
      </c>
      <c r="N102" s="997">
        <v>0.45</v>
      </c>
      <c r="P102" s="1036">
        <v>0</v>
      </c>
      <c r="Q102" s="965"/>
    </row>
    <row r="103" spans="1:17" ht="15">
      <c r="A103" s="226">
        <v>45378</v>
      </c>
      <c r="B103" s="974" t="s">
        <v>413</v>
      </c>
      <c r="C103" s="974" t="s">
        <v>413</v>
      </c>
      <c r="D103" s="984">
        <v>25.009474000000001</v>
      </c>
      <c r="E103" s="975">
        <f t="shared" si="7"/>
        <v>-25.009474000000001</v>
      </c>
      <c r="F103" s="999">
        <v>7.5</v>
      </c>
      <c r="G103" s="976">
        <f t="shared" si="10"/>
        <v>0.44999999999999996</v>
      </c>
      <c r="H103" s="999">
        <f t="shared" si="11"/>
        <v>1</v>
      </c>
      <c r="I103" s="999">
        <f t="shared" si="12"/>
        <v>1</v>
      </c>
      <c r="J103" s="1008">
        <f t="shared" si="13"/>
        <v>0</v>
      </c>
      <c r="K103" s="993">
        <f t="shared" si="8"/>
        <v>25.009474000000001</v>
      </c>
      <c r="L103" s="993">
        <f t="shared" si="9"/>
        <v>21.259474000000001</v>
      </c>
      <c r="M103" s="1001" t="s">
        <v>784</v>
      </c>
      <c r="N103" s="997">
        <v>0.45</v>
      </c>
      <c r="P103" s="1036">
        <v>0</v>
      </c>
      <c r="Q103" s="965"/>
    </row>
    <row r="104" spans="1:17" ht="15">
      <c r="A104" s="226">
        <v>46032</v>
      </c>
      <c r="B104" s="974" t="s">
        <v>413</v>
      </c>
      <c r="C104" s="974" t="s">
        <v>413</v>
      </c>
      <c r="D104" s="984">
        <v>37.854028</v>
      </c>
      <c r="E104" s="975">
        <f t="shared" si="7"/>
        <v>-37.854028</v>
      </c>
      <c r="F104" s="999">
        <v>7.5</v>
      </c>
      <c r="G104" s="976">
        <f t="shared" si="10"/>
        <v>0.45</v>
      </c>
      <c r="H104" s="999">
        <f t="shared" si="11"/>
        <v>1</v>
      </c>
      <c r="I104" s="999">
        <f t="shared" si="12"/>
        <v>1</v>
      </c>
      <c r="J104" s="1008">
        <f t="shared" si="13"/>
        <v>0</v>
      </c>
      <c r="K104" s="993">
        <f t="shared" si="8"/>
        <v>37.854028</v>
      </c>
      <c r="L104" s="993">
        <f t="shared" si="9"/>
        <v>34.104028</v>
      </c>
      <c r="M104" s="1001" t="s">
        <v>785</v>
      </c>
      <c r="N104" s="997">
        <v>0.45</v>
      </c>
      <c r="P104" s="1036">
        <v>0</v>
      </c>
      <c r="Q104" s="965"/>
    </row>
    <row r="105" spans="1:17" ht="15">
      <c r="A105" s="226">
        <v>45708</v>
      </c>
      <c r="B105" s="974" t="s">
        <v>413</v>
      </c>
      <c r="C105" s="974" t="s">
        <v>413</v>
      </c>
      <c r="D105" s="984">
        <v>27.418348000000002</v>
      </c>
      <c r="E105" s="975">
        <f t="shared" si="7"/>
        <v>-27.418348000000002</v>
      </c>
      <c r="F105" s="999">
        <v>7.5</v>
      </c>
      <c r="G105" s="976">
        <f t="shared" si="10"/>
        <v>0.45</v>
      </c>
      <c r="H105" s="999">
        <f t="shared" si="11"/>
        <v>1</v>
      </c>
      <c r="I105" s="999">
        <f t="shared" si="12"/>
        <v>1</v>
      </c>
      <c r="J105" s="1008">
        <f t="shared" si="13"/>
        <v>0</v>
      </c>
      <c r="K105" s="993">
        <f t="shared" si="8"/>
        <v>27.418348000000002</v>
      </c>
      <c r="L105" s="993">
        <f t="shared" si="9"/>
        <v>23.668348000000002</v>
      </c>
      <c r="M105" s="1001" t="s">
        <v>786</v>
      </c>
      <c r="N105" s="997">
        <v>0.45</v>
      </c>
      <c r="P105" s="1036">
        <v>0</v>
      </c>
      <c r="Q105" s="965"/>
    </row>
    <row r="106" spans="1:17" ht="15">
      <c r="A106" s="226">
        <v>46100</v>
      </c>
      <c r="B106" s="974" t="s">
        <v>413</v>
      </c>
      <c r="C106" s="974" t="s">
        <v>413</v>
      </c>
      <c r="D106" s="984">
        <v>37.780898000000001</v>
      </c>
      <c r="E106" s="975">
        <f t="shared" si="7"/>
        <v>-37.780898000000001</v>
      </c>
      <c r="F106" s="999">
        <v>7.5</v>
      </c>
      <c r="G106" s="976">
        <f t="shared" si="10"/>
        <v>0.45000000000000007</v>
      </c>
      <c r="H106" s="999">
        <f t="shared" si="11"/>
        <v>1</v>
      </c>
      <c r="I106" s="999">
        <f t="shared" si="12"/>
        <v>1</v>
      </c>
      <c r="J106" s="1008">
        <f t="shared" si="13"/>
        <v>0</v>
      </c>
      <c r="K106" s="993">
        <f t="shared" si="8"/>
        <v>37.780898000000001</v>
      </c>
      <c r="L106" s="993">
        <f t="shared" si="9"/>
        <v>34.030898000000001</v>
      </c>
      <c r="M106" s="1001" t="s">
        <v>787</v>
      </c>
      <c r="N106" s="997">
        <v>0.45</v>
      </c>
      <c r="P106" s="1036">
        <v>0</v>
      </c>
      <c r="Q106" s="965"/>
    </row>
    <row r="107" spans="1:17" ht="15">
      <c r="A107" s="226">
        <v>45880</v>
      </c>
      <c r="B107" s="974" t="s">
        <v>413</v>
      </c>
      <c r="C107" s="974" t="s">
        <v>413</v>
      </c>
      <c r="D107" s="984">
        <v>34.736626999999999</v>
      </c>
      <c r="E107" s="975">
        <f t="shared" si="7"/>
        <v>-34.736626999999999</v>
      </c>
      <c r="F107" s="999">
        <v>7.5</v>
      </c>
      <c r="G107" s="976">
        <f t="shared" si="10"/>
        <v>0.45</v>
      </c>
      <c r="H107" s="999">
        <f t="shared" si="11"/>
        <v>1</v>
      </c>
      <c r="I107" s="999">
        <f t="shared" si="12"/>
        <v>1</v>
      </c>
      <c r="J107" s="1008">
        <f t="shared" si="13"/>
        <v>0</v>
      </c>
      <c r="K107" s="993">
        <f t="shared" si="8"/>
        <v>34.736626999999999</v>
      </c>
      <c r="L107" s="993">
        <f t="shared" si="9"/>
        <v>30.986626999999999</v>
      </c>
      <c r="M107" s="1001" t="s">
        <v>788</v>
      </c>
      <c r="N107" s="997">
        <v>0.45</v>
      </c>
      <c r="P107" s="1036">
        <v>0</v>
      </c>
      <c r="Q107" s="965"/>
    </row>
    <row r="108" spans="1:17" ht="15">
      <c r="A108" s="226">
        <v>46182</v>
      </c>
      <c r="B108" s="974" t="s">
        <v>413</v>
      </c>
      <c r="C108" s="974" t="s">
        <v>413</v>
      </c>
      <c r="D108" s="984">
        <v>39.570697000000003</v>
      </c>
      <c r="E108" s="975">
        <f t="shared" si="7"/>
        <v>-39.570697000000003</v>
      </c>
      <c r="F108" s="999">
        <v>7.5</v>
      </c>
      <c r="G108" s="976">
        <f t="shared" si="10"/>
        <v>0.45</v>
      </c>
      <c r="H108" s="999">
        <f t="shared" si="11"/>
        <v>1</v>
      </c>
      <c r="I108" s="999">
        <f t="shared" si="12"/>
        <v>1</v>
      </c>
      <c r="J108" s="1008">
        <f t="shared" si="13"/>
        <v>0</v>
      </c>
      <c r="K108" s="993">
        <f t="shared" si="8"/>
        <v>39.570697000000003</v>
      </c>
      <c r="L108" s="993">
        <f t="shared" si="9"/>
        <v>35.820697000000003</v>
      </c>
      <c r="M108" s="1001" t="s">
        <v>789</v>
      </c>
      <c r="N108" s="997">
        <v>0.45</v>
      </c>
      <c r="P108" s="1036">
        <v>0</v>
      </c>
      <c r="Q108" s="965"/>
    </row>
    <row r="109" spans="1:17" ht="15">
      <c r="A109" s="226">
        <v>45982</v>
      </c>
      <c r="B109" s="974" t="s">
        <v>413</v>
      </c>
      <c r="C109" s="974" t="s">
        <v>413</v>
      </c>
      <c r="D109" s="961">
        <v>36.640073999999998</v>
      </c>
      <c r="E109" s="975">
        <f t="shared" si="7"/>
        <v>-36.640073999999998</v>
      </c>
      <c r="F109" s="999">
        <v>7.5</v>
      </c>
      <c r="G109" s="976">
        <f t="shared" si="10"/>
        <v>0.45000000000000007</v>
      </c>
      <c r="H109" s="999">
        <f t="shared" si="11"/>
        <v>1</v>
      </c>
      <c r="I109" s="999">
        <f t="shared" si="12"/>
        <v>1</v>
      </c>
      <c r="J109" s="1008">
        <f t="shared" si="13"/>
        <v>0</v>
      </c>
      <c r="K109" s="993">
        <f t="shared" si="8"/>
        <v>36.640073999999998</v>
      </c>
      <c r="L109" s="993">
        <f t="shared" si="9"/>
        <v>32.890073999999998</v>
      </c>
      <c r="M109" s="1001" t="s">
        <v>790</v>
      </c>
      <c r="N109" s="997">
        <v>0.45</v>
      </c>
      <c r="P109" s="1036">
        <v>0</v>
      </c>
      <c r="Q109" s="965"/>
    </row>
    <row r="110" spans="1:17" ht="15">
      <c r="A110" s="226">
        <v>46162</v>
      </c>
      <c r="B110" s="974" t="s">
        <v>413</v>
      </c>
      <c r="C110" s="974" t="s">
        <v>413</v>
      </c>
      <c r="D110" s="961">
        <v>40.26858</v>
      </c>
      <c r="E110" s="975">
        <f t="shared" si="7"/>
        <v>-40.26858</v>
      </c>
      <c r="F110" s="999">
        <v>7.5</v>
      </c>
      <c r="G110" s="976">
        <f t="shared" si="10"/>
        <v>0.45</v>
      </c>
      <c r="H110" s="999">
        <f t="shared" si="11"/>
        <v>1</v>
      </c>
      <c r="I110" s="999">
        <f t="shared" si="12"/>
        <v>1</v>
      </c>
      <c r="J110" s="1008">
        <f t="shared" si="13"/>
        <v>0</v>
      </c>
      <c r="K110" s="993">
        <f t="shared" si="8"/>
        <v>40.26858</v>
      </c>
      <c r="L110" s="993">
        <f t="shared" si="9"/>
        <v>36.51858</v>
      </c>
      <c r="M110" s="1001" t="s">
        <v>791</v>
      </c>
      <c r="N110" s="997">
        <v>0.45</v>
      </c>
      <c r="P110" s="1036">
        <v>0</v>
      </c>
      <c r="Q110" s="965"/>
    </row>
    <row r="111" spans="1:17" ht="15">
      <c r="A111" s="226">
        <v>45998</v>
      </c>
      <c r="B111" s="974" t="s">
        <v>413</v>
      </c>
      <c r="C111" s="974" t="s">
        <v>413</v>
      </c>
      <c r="D111" s="961">
        <v>36.856104000000002</v>
      </c>
      <c r="E111" s="975">
        <f t="shared" si="7"/>
        <v>-36.856104000000002</v>
      </c>
      <c r="F111" s="999">
        <v>7.5</v>
      </c>
      <c r="G111" s="976">
        <f t="shared" si="10"/>
        <v>0.44999999999999996</v>
      </c>
      <c r="H111" s="999">
        <f t="shared" si="11"/>
        <v>1</v>
      </c>
      <c r="I111" s="999">
        <f t="shared" si="12"/>
        <v>1</v>
      </c>
      <c r="J111" s="1008">
        <f t="shared" si="13"/>
        <v>0</v>
      </c>
      <c r="K111" s="993">
        <f t="shared" si="8"/>
        <v>36.856104000000002</v>
      </c>
      <c r="L111" s="993">
        <f t="shared" si="9"/>
        <v>33.106104000000002</v>
      </c>
      <c r="M111" s="1001" t="s">
        <v>792</v>
      </c>
      <c r="N111" s="997">
        <v>0.45</v>
      </c>
      <c r="P111" s="1036">
        <v>0</v>
      </c>
      <c r="Q111" s="965"/>
    </row>
    <row r="112" spans="1:17" ht="15">
      <c r="A112" s="226">
        <v>46191</v>
      </c>
      <c r="B112" s="974" t="s">
        <v>413</v>
      </c>
      <c r="C112" s="974" t="s">
        <v>413</v>
      </c>
      <c r="D112" s="961">
        <v>39.860900000000001</v>
      </c>
      <c r="E112" s="975">
        <f t="shared" si="7"/>
        <v>-39.860900000000001</v>
      </c>
      <c r="F112" s="999">
        <v>7.5</v>
      </c>
      <c r="G112" s="976">
        <f t="shared" si="10"/>
        <v>0.45</v>
      </c>
      <c r="H112" s="999">
        <f t="shared" si="11"/>
        <v>1</v>
      </c>
      <c r="I112" s="999">
        <f t="shared" si="12"/>
        <v>1</v>
      </c>
      <c r="J112" s="1008">
        <f t="shared" si="13"/>
        <v>0</v>
      </c>
      <c r="K112" s="993">
        <f t="shared" si="8"/>
        <v>39.860900000000001</v>
      </c>
      <c r="L112" s="993">
        <f t="shared" si="9"/>
        <v>36.110900000000001</v>
      </c>
      <c r="M112" s="1001" t="s">
        <v>793</v>
      </c>
      <c r="N112" s="997">
        <v>0.45</v>
      </c>
      <c r="P112" s="1036">
        <v>0</v>
      </c>
      <c r="Q112" s="965"/>
    </row>
    <row r="113" spans="1:17" ht="15">
      <c r="A113" s="226">
        <v>46083</v>
      </c>
      <c r="B113" s="974" t="s">
        <v>413</v>
      </c>
      <c r="C113" s="974" t="s">
        <v>413</v>
      </c>
      <c r="D113" s="961">
        <v>37.251632000000001</v>
      </c>
      <c r="E113" s="975">
        <f t="shared" si="7"/>
        <v>-37.251632000000001</v>
      </c>
      <c r="F113" s="999">
        <v>7.5</v>
      </c>
      <c r="G113" s="976">
        <f t="shared" si="10"/>
        <v>0.45</v>
      </c>
      <c r="H113" s="999">
        <f t="shared" si="11"/>
        <v>1</v>
      </c>
      <c r="I113" s="999">
        <f t="shared" si="12"/>
        <v>1</v>
      </c>
      <c r="J113" s="1008">
        <f t="shared" si="13"/>
        <v>0</v>
      </c>
      <c r="K113" s="993">
        <f t="shared" si="8"/>
        <v>37.251632000000001</v>
      </c>
      <c r="L113" s="993">
        <f t="shared" si="9"/>
        <v>33.501632000000001</v>
      </c>
      <c r="M113" s="1001" t="s">
        <v>794</v>
      </c>
      <c r="N113" s="997">
        <v>0.45</v>
      </c>
      <c r="P113" s="1036">
        <v>0</v>
      </c>
      <c r="Q113" s="965"/>
    </row>
    <row r="114" spans="1:17" ht="15">
      <c r="A114" s="226">
        <v>46212</v>
      </c>
      <c r="B114" s="974" t="s">
        <v>413</v>
      </c>
      <c r="C114" s="974" t="s">
        <v>413</v>
      </c>
      <c r="D114" s="961">
        <v>40.721266</v>
      </c>
      <c r="E114" s="975">
        <f t="shared" si="7"/>
        <v>-40.721266</v>
      </c>
      <c r="F114" s="999">
        <v>7.5</v>
      </c>
      <c r="G114" s="976">
        <f t="shared" si="10"/>
        <v>0.45</v>
      </c>
      <c r="H114" s="999">
        <f t="shared" si="11"/>
        <v>1</v>
      </c>
      <c r="I114" s="999">
        <f t="shared" si="12"/>
        <v>1</v>
      </c>
      <c r="J114" s="1008">
        <f t="shared" si="13"/>
        <v>0</v>
      </c>
      <c r="K114" s="993">
        <f t="shared" si="8"/>
        <v>40.721266</v>
      </c>
      <c r="L114" s="993">
        <f t="shared" si="9"/>
        <v>36.971266</v>
      </c>
      <c r="M114" s="1001" t="s">
        <v>795</v>
      </c>
      <c r="N114" s="997">
        <v>0.45</v>
      </c>
      <c r="P114" s="1036">
        <v>0</v>
      </c>
      <c r="Q114" s="965"/>
    </row>
    <row r="115" spans="1:17" ht="15">
      <c r="A115" s="226">
        <v>46102</v>
      </c>
      <c r="B115" s="974" t="s">
        <v>413</v>
      </c>
      <c r="C115" s="974" t="s">
        <v>413</v>
      </c>
      <c r="D115" s="961">
        <v>37.894075000000001</v>
      </c>
      <c r="E115" s="975">
        <f t="shared" si="7"/>
        <v>-37.894075000000001</v>
      </c>
      <c r="F115" s="999">
        <v>7.5</v>
      </c>
      <c r="G115" s="976">
        <f t="shared" si="10"/>
        <v>0.45000000000000007</v>
      </c>
      <c r="H115" s="999">
        <f t="shared" si="11"/>
        <v>1</v>
      </c>
      <c r="I115" s="999">
        <f t="shared" si="12"/>
        <v>1</v>
      </c>
      <c r="J115" s="1008">
        <f t="shared" si="13"/>
        <v>0</v>
      </c>
      <c r="K115" s="993">
        <f t="shared" si="8"/>
        <v>37.894075000000001</v>
      </c>
      <c r="L115" s="993">
        <f t="shared" si="9"/>
        <v>34.144075000000001</v>
      </c>
      <c r="M115" s="1001" t="s">
        <v>796</v>
      </c>
      <c r="N115" s="997">
        <v>0.45</v>
      </c>
      <c r="P115" s="1036">
        <v>0</v>
      </c>
      <c r="Q115" s="965"/>
    </row>
    <row r="116" spans="1:17" ht="15">
      <c r="A116" s="226">
        <v>46228</v>
      </c>
      <c r="B116" s="974" t="s">
        <v>413</v>
      </c>
      <c r="C116" s="974" t="s">
        <v>413</v>
      </c>
      <c r="D116" s="961">
        <v>41.375100000000003</v>
      </c>
      <c r="E116" s="975">
        <f t="shared" si="7"/>
        <v>-41.375100000000003</v>
      </c>
      <c r="F116" s="999">
        <v>7.5</v>
      </c>
      <c r="G116" s="976">
        <f t="shared" si="10"/>
        <v>0.45</v>
      </c>
      <c r="H116" s="999">
        <f t="shared" si="11"/>
        <v>1</v>
      </c>
      <c r="I116" s="999">
        <f t="shared" si="12"/>
        <v>1</v>
      </c>
      <c r="J116" s="1008">
        <f t="shared" si="13"/>
        <v>0</v>
      </c>
      <c r="K116" s="993">
        <f t="shared" si="8"/>
        <v>41.375100000000003</v>
      </c>
      <c r="L116" s="993">
        <f t="shared" si="9"/>
        <v>37.625100000000003</v>
      </c>
      <c r="M116" s="1001" t="s">
        <v>797</v>
      </c>
      <c r="N116" s="997">
        <v>0.45</v>
      </c>
      <c r="P116" s="1036">
        <v>0</v>
      </c>
      <c r="Q116" s="965"/>
    </row>
    <row r="117" spans="1:17" ht="15">
      <c r="A117" s="226">
        <v>46258</v>
      </c>
      <c r="B117" s="974" t="s">
        <v>413</v>
      </c>
      <c r="C117" s="974" t="s">
        <v>413</v>
      </c>
      <c r="D117" s="961">
        <v>42.701011999999999</v>
      </c>
      <c r="E117" s="975">
        <f t="shared" si="7"/>
        <v>-42.701011999999999</v>
      </c>
      <c r="F117" s="999">
        <v>7.5</v>
      </c>
      <c r="G117" s="976">
        <f t="shared" si="10"/>
        <v>0.45</v>
      </c>
      <c r="H117" s="999">
        <f t="shared" si="11"/>
        <v>1</v>
      </c>
      <c r="I117" s="999">
        <f t="shared" si="12"/>
        <v>1</v>
      </c>
      <c r="J117" s="1008">
        <f t="shared" si="13"/>
        <v>0</v>
      </c>
      <c r="K117" s="993">
        <f t="shared" si="8"/>
        <v>42.701011999999999</v>
      </c>
      <c r="L117" s="993">
        <f t="shared" si="9"/>
        <v>38.951011999999999</v>
      </c>
      <c r="M117" s="1001" t="s">
        <v>798</v>
      </c>
      <c r="N117" s="997">
        <v>0.45</v>
      </c>
      <c r="P117" s="1036">
        <v>0</v>
      </c>
      <c r="Q117" s="965"/>
    </row>
    <row r="118" spans="1:17" ht="15">
      <c r="A118" s="226">
        <v>46250</v>
      </c>
      <c r="B118" s="974" t="s">
        <v>413</v>
      </c>
      <c r="C118" s="974" t="s">
        <v>413</v>
      </c>
      <c r="D118" s="961">
        <v>42.397449000000002</v>
      </c>
      <c r="E118" s="975">
        <f t="shared" si="7"/>
        <v>-42.397449000000002</v>
      </c>
      <c r="F118" s="999">
        <v>7.5</v>
      </c>
      <c r="G118" s="976">
        <f t="shared" si="10"/>
        <v>0.45</v>
      </c>
      <c r="H118" s="999">
        <f t="shared" si="11"/>
        <v>1</v>
      </c>
      <c r="I118" s="999">
        <f t="shared" si="12"/>
        <v>1</v>
      </c>
      <c r="J118" s="1008">
        <f t="shared" si="13"/>
        <v>0</v>
      </c>
      <c r="K118" s="993">
        <f t="shared" si="8"/>
        <v>42.397449000000002</v>
      </c>
      <c r="L118" s="993">
        <f t="shared" si="9"/>
        <v>38.647449000000002</v>
      </c>
      <c r="M118" s="1001" t="s">
        <v>799</v>
      </c>
      <c r="N118" s="997">
        <v>0.45</v>
      </c>
      <c r="P118" s="1036">
        <v>0</v>
      </c>
      <c r="Q118" s="965"/>
    </row>
    <row r="119" spans="1:17" ht="15">
      <c r="A119" s="226">
        <v>46316</v>
      </c>
      <c r="B119" s="974" t="s">
        <v>413</v>
      </c>
      <c r="C119" s="974" t="s">
        <v>413</v>
      </c>
      <c r="D119" s="961">
        <v>42.132345999999998</v>
      </c>
      <c r="E119" s="975">
        <f t="shared" si="7"/>
        <v>-42.132345999999998</v>
      </c>
      <c r="F119" s="999">
        <v>7.5</v>
      </c>
      <c r="G119" s="976">
        <f t="shared" si="10"/>
        <v>0.45</v>
      </c>
      <c r="H119" s="999">
        <f t="shared" si="11"/>
        <v>1</v>
      </c>
      <c r="I119" s="999">
        <f t="shared" si="12"/>
        <v>1</v>
      </c>
      <c r="J119" s="1008">
        <f t="shared" si="13"/>
        <v>0</v>
      </c>
      <c r="K119" s="993">
        <f t="shared" si="8"/>
        <v>42.132345999999998</v>
      </c>
      <c r="L119" s="993">
        <f t="shared" si="9"/>
        <v>38.382345999999998</v>
      </c>
      <c r="M119" s="1001" t="s">
        <v>800</v>
      </c>
      <c r="N119" s="997">
        <v>0.45</v>
      </c>
      <c r="P119" s="1036">
        <v>0</v>
      </c>
      <c r="Q119" s="965"/>
    </row>
    <row r="120" spans="1:17" ht="15">
      <c r="A120" s="226">
        <v>46256</v>
      </c>
      <c r="B120" s="974" t="s">
        <v>413</v>
      </c>
      <c r="C120" s="974" t="s">
        <v>413</v>
      </c>
      <c r="D120" s="961">
        <v>42.661672000000003</v>
      </c>
      <c r="E120" s="975">
        <f t="shared" si="7"/>
        <v>-42.661672000000003</v>
      </c>
      <c r="F120" s="999">
        <v>7.5</v>
      </c>
      <c r="G120" s="976">
        <f t="shared" si="10"/>
        <v>0.45</v>
      </c>
      <c r="H120" s="999">
        <f t="shared" si="11"/>
        <v>1</v>
      </c>
      <c r="I120" s="999">
        <f t="shared" si="12"/>
        <v>1</v>
      </c>
      <c r="J120" s="1008">
        <f t="shared" si="13"/>
        <v>0</v>
      </c>
      <c r="K120" s="993">
        <f t="shared" si="8"/>
        <v>42.661672000000003</v>
      </c>
      <c r="L120" s="993">
        <f t="shared" si="9"/>
        <v>38.911672000000003</v>
      </c>
      <c r="M120" s="1001" t="s">
        <v>801</v>
      </c>
      <c r="N120" s="997">
        <v>0.45</v>
      </c>
      <c r="P120" s="1036">
        <v>0</v>
      </c>
      <c r="Q120" s="965"/>
    </row>
    <row r="121" spans="1:17" ht="15">
      <c r="A121" s="226">
        <v>46316</v>
      </c>
      <c r="B121" s="974" t="s">
        <v>413</v>
      </c>
      <c r="C121" s="974" t="s">
        <v>413</v>
      </c>
      <c r="D121" s="961">
        <v>42.110087</v>
      </c>
      <c r="E121" s="975">
        <f t="shared" si="7"/>
        <v>-42.110087</v>
      </c>
      <c r="F121" s="999">
        <v>7.5</v>
      </c>
      <c r="G121" s="976">
        <f t="shared" si="10"/>
        <v>0.45</v>
      </c>
      <c r="H121" s="999">
        <f t="shared" si="11"/>
        <v>1</v>
      </c>
      <c r="I121" s="999">
        <f t="shared" si="12"/>
        <v>1</v>
      </c>
      <c r="J121" s="1008">
        <f t="shared" si="13"/>
        <v>0</v>
      </c>
      <c r="K121" s="993">
        <f t="shared" si="8"/>
        <v>42.110087</v>
      </c>
      <c r="L121" s="993">
        <f t="shared" si="9"/>
        <v>38.360087</v>
      </c>
      <c r="M121" s="1001" t="s">
        <v>802</v>
      </c>
      <c r="N121" s="997">
        <v>0.45</v>
      </c>
      <c r="P121" s="1036">
        <v>0</v>
      </c>
      <c r="Q121" s="965"/>
    </row>
    <row r="122" spans="1:17" ht="15">
      <c r="A122" s="226">
        <v>46271</v>
      </c>
      <c r="B122" s="974" t="s">
        <v>413</v>
      </c>
      <c r="C122" s="974" t="s">
        <v>413</v>
      </c>
      <c r="D122" s="961">
        <v>42.901408000000004</v>
      </c>
      <c r="E122" s="975">
        <f t="shared" si="7"/>
        <v>-42.901408000000004</v>
      </c>
      <c r="F122" s="999">
        <v>7.5</v>
      </c>
      <c r="G122" s="976">
        <f t="shared" si="10"/>
        <v>0.45000000000000007</v>
      </c>
      <c r="H122" s="999">
        <f t="shared" si="11"/>
        <v>1</v>
      </c>
      <c r="I122" s="999">
        <f t="shared" si="12"/>
        <v>1</v>
      </c>
      <c r="J122" s="1008">
        <f t="shared" si="13"/>
        <v>0</v>
      </c>
      <c r="K122" s="993">
        <f t="shared" si="8"/>
        <v>42.901408000000004</v>
      </c>
      <c r="L122" s="993">
        <f t="shared" si="9"/>
        <v>39.151408000000004</v>
      </c>
      <c r="M122" s="1001" t="s">
        <v>803</v>
      </c>
      <c r="N122" s="997">
        <v>0.45</v>
      </c>
      <c r="P122" s="1036">
        <v>0</v>
      </c>
      <c r="Q122" s="965"/>
    </row>
    <row r="123" spans="1:17" ht="15">
      <c r="A123" s="226">
        <v>46332</v>
      </c>
      <c r="B123" s="974" t="s">
        <v>413</v>
      </c>
      <c r="C123" s="974" t="s">
        <v>413</v>
      </c>
      <c r="D123" s="961">
        <v>41.963560999999999</v>
      </c>
      <c r="E123" s="975">
        <f t="shared" si="7"/>
        <v>-41.963560999999999</v>
      </c>
      <c r="F123" s="999">
        <v>7.5</v>
      </c>
      <c r="G123" s="976">
        <f t="shared" si="10"/>
        <v>0.45000000000000007</v>
      </c>
      <c r="H123" s="999">
        <f t="shared" si="11"/>
        <v>1</v>
      </c>
      <c r="I123" s="999">
        <f t="shared" si="12"/>
        <v>1</v>
      </c>
      <c r="J123" s="1008">
        <f t="shared" si="13"/>
        <v>0</v>
      </c>
      <c r="K123" s="993">
        <f t="shared" si="8"/>
        <v>41.963560999999999</v>
      </c>
      <c r="L123" s="993">
        <f t="shared" si="9"/>
        <v>38.213560999999999</v>
      </c>
      <c r="M123" s="1001" t="s">
        <v>804</v>
      </c>
      <c r="N123" s="997">
        <v>0.45</v>
      </c>
      <c r="P123" s="1036">
        <v>0</v>
      </c>
      <c r="Q123" s="965"/>
    </row>
    <row r="124" spans="1:17" ht="15">
      <c r="A124" s="226">
        <v>46285</v>
      </c>
      <c r="B124" s="974" t="s">
        <v>413</v>
      </c>
      <c r="C124" s="974" t="s">
        <v>413</v>
      </c>
      <c r="D124" s="961">
        <v>43.566358999999999</v>
      </c>
      <c r="E124" s="975">
        <f t="shared" si="7"/>
        <v>-43.566358999999999</v>
      </c>
      <c r="F124" s="999">
        <v>7.5</v>
      </c>
      <c r="G124" s="976">
        <f t="shared" si="10"/>
        <v>0.45</v>
      </c>
      <c r="H124" s="999">
        <f t="shared" si="11"/>
        <v>1</v>
      </c>
      <c r="I124" s="999">
        <f t="shared" si="12"/>
        <v>1</v>
      </c>
      <c r="J124" s="1008">
        <f t="shared" si="13"/>
        <v>0</v>
      </c>
      <c r="K124" s="993">
        <f t="shared" si="8"/>
        <v>43.566358999999999</v>
      </c>
      <c r="L124" s="993">
        <f t="shared" si="9"/>
        <v>39.816358999999999</v>
      </c>
      <c r="M124" s="1001" t="s">
        <v>805</v>
      </c>
      <c r="N124" s="997">
        <v>0.45</v>
      </c>
      <c r="P124" s="1036">
        <v>0</v>
      </c>
      <c r="Q124" s="965"/>
    </row>
    <row r="125" spans="1:17" ht="15">
      <c r="A125" s="226">
        <v>46293</v>
      </c>
      <c r="B125" s="974" t="s">
        <v>413</v>
      </c>
      <c r="C125" s="974" t="s">
        <v>413</v>
      </c>
      <c r="D125" s="961">
        <v>43.030808</v>
      </c>
      <c r="E125" s="975">
        <f t="shared" si="7"/>
        <v>-43.030808</v>
      </c>
      <c r="F125" s="999">
        <v>7.5</v>
      </c>
      <c r="G125" s="976">
        <f t="shared" si="10"/>
        <v>0.45000000000000007</v>
      </c>
      <c r="H125" s="999">
        <f t="shared" si="11"/>
        <v>1</v>
      </c>
      <c r="I125" s="999">
        <f t="shared" si="12"/>
        <v>1</v>
      </c>
      <c r="J125" s="1008">
        <f t="shared" si="13"/>
        <v>0</v>
      </c>
      <c r="K125" s="993">
        <f t="shared" si="8"/>
        <v>43.030808</v>
      </c>
      <c r="L125" s="993">
        <f t="shared" si="9"/>
        <v>39.280808</v>
      </c>
      <c r="M125" s="1001" t="s">
        <v>806</v>
      </c>
      <c r="N125" s="997">
        <v>0.45</v>
      </c>
      <c r="P125" s="1036">
        <v>0</v>
      </c>
      <c r="Q125" s="965"/>
    </row>
    <row r="126" spans="1:17" ht="15">
      <c r="A126" s="226">
        <v>46417</v>
      </c>
      <c r="B126" s="974" t="s">
        <v>413</v>
      </c>
      <c r="C126" s="974" t="s">
        <v>413</v>
      </c>
      <c r="D126" s="961">
        <v>41.725676</v>
      </c>
      <c r="E126" s="975">
        <f t="shared" si="7"/>
        <v>-41.725676</v>
      </c>
      <c r="F126" s="999">
        <v>7.5</v>
      </c>
      <c r="G126" s="976">
        <f t="shared" si="10"/>
        <v>0.45</v>
      </c>
      <c r="H126" s="999">
        <f t="shared" si="11"/>
        <v>1</v>
      </c>
      <c r="I126" s="999">
        <f t="shared" si="12"/>
        <v>1</v>
      </c>
      <c r="J126" s="1008">
        <f t="shared" si="13"/>
        <v>0</v>
      </c>
      <c r="K126" s="993">
        <f t="shared" si="8"/>
        <v>41.725676</v>
      </c>
      <c r="L126" s="993">
        <f t="shared" si="9"/>
        <v>37.975676</v>
      </c>
      <c r="M126" s="1001" t="s">
        <v>807</v>
      </c>
      <c r="N126" s="997">
        <v>0.45</v>
      </c>
      <c r="P126" s="1036">
        <v>0</v>
      </c>
      <c r="Q126" s="965"/>
    </row>
    <row r="127" spans="1:17" ht="15">
      <c r="A127" s="226">
        <v>46312</v>
      </c>
      <c r="B127" s="974" t="s">
        <v>413</v>
      </c>
      <c r="C127" s="974" t="s">
        <v>413</v>
      </c>
      <c r="D127" s="961">
        <v>42.205379999999998</v>
      </c>
      <c r="E127" s="975">
        <f t="shared" si="7"/>
        <v>-42.205379999999998</v>
      </c>
      <c r="F127" s="999">
        <v>7.5</v>
      </c>
      <c r="G127" s="976">
        <f t="shared" si="10"/>
        <v>0.45</v>
      </c>
      <c r="H127" s="999">
        <f t="shared" si="11"/>
        <v>1</v>
      </c>
      <c r="I127" s="999">
        <f t="shared" si="12"/>
        <v>1</v>
      </c>
      <c r="J127" s="1008">
        <f t="shared" si="13"/>
        <v>0</v>
      </c>
      <c r="K127" s="993">
        <f t="shared" si="8"/>
        <v>42.205379999999998</v>
      </c>
      <c r="L127" s="993">
        <f t="shared" si="9"/>
        <v>38.455379999999998</v>
      </c>
      <c r="M127" s="1001" t="s">
        <v>808</v>
      </c>
      <c r="N127" s="997">
        <v>0.45</v>
      </c>
      <c r="P127" s="1036">
        <v>0</v>
      </c>
      <c r="Q127" s="965"/>
    </row>
    <row r="128" spans="1:17" ht="15">
      <c r="A128" s="226">
        <v>46449</v>
      </c>
      <c r="B128" s="974" t="s">
        <v>413</v>
      </c>
      <c r="C128" s="974" t="s">
        <v>413</v>
      </c>
      <c r="D128" s="961">
        <v>41.089016000000001</v>
      </c>
      <c r="E128" s="975">
        <f t="shared" si="7"/>
        <v>-41.089016000000001</v>
      </c>
      <c r="F128" s="999">
        <v>7.5</v>
      </c>
      <c r="G128" s="976">
        <f t="shared" si="10"/>
        <v>0.45000000000000007</v>
      </c>
      <c r="H128" s="999">
        <f t="shared" si="11"/>
        <v>1</v>
      </c>
      <c r="I128" s="999">
        <f t="shared" si="12"/>
        <v>1</v>
      </c>
      <c r="J128" s="1008">
        <f t="shared" si="13"/>
        <v>0</v>
      </c>
      <c r="K128" s="993">
        <f t="shared" si="8"/>
        <v>41.089016000000001</v>
      </c>
      <c r="L128" s="993">
        <f t="shared" si="9"/>
        <v>37.339016000000001</v>
      </c>
      <c r="M128" s="1001" t="s">
        <v>809</v>
      </c>
      <c r="N128" s="997">
        <v>0.45</v>
      </c>
      <c r="P128" s="1036">
        <v>0</v>
      </c>
      <c r="Q128" s="965"/>
    </row>
    <row r="129" spans="1:17" ht="15">
      <c r="A129" s="226">
        <v>46328</v>
      </c>
      <c r="B129" s="974" t="s">
        <v>413</v>
      </c>
      <c r="C129" s="974" t="s">
        <v>413</v>
      </c>
      <c r="D129" s="961">
        <v>42.011380000000003</v>
      </c>
      <c r="E129" s="975">
        <f t="shared" si="7"/>
        <v>-42.011380000000003</v>
      </c>
      <c r="F129" s="999">
        <v>7.5</v>
      </c>
      <c r="G129" s="976">
        <f t="shared" si="10"/>
        <v>0.45</v>
      </c>
      <c r="H129" s="999">
        <f t="shared" si="11"/>
        <v>1</v>
      </c>
      <c r="I129" s="999">
        <f t="shared" si="12"/>
        <v>1</v>
      </c>
      <c r="J129" s="1008">
        <f t="shared" si="13"/>
        <v>0</v>
      </c>
      <c r="K129" s="993">
        <f t="shared" si="8"/>
        <v>42.011380000000003</v>
      </c>
      <c r="L129" s="993">
        <f t="shared" si="9"/>
        <v>38.261380000000003</v>
      </c>
      <c r="M129" s="1001" t="s">
        <v>810</v>
      </c>
      <c r="N129" s="997">
        <v>0.45</v>
      </c>
      <c r="P129" s="1036">
        <v>0</v>
      </c>
      <c r="Q129" s="965"/>
    </row>
    <row r="130" spans="1:17" ht="15">
      <c r="A130" s="226">
        <v>46565</v>
      </c>
      <c r="B130" s="974" t="s">
        <v>413</v>
      </c>
      <c r="C130" s="974" t="s">
        <v>413</v>
      </c>
      <c r="D130" s="961">
        <v>39.717469999999999</v>
      </c>
      <c r="E130" s="975">
        <f t="shared" si="7"/>
        <v>-39.717469999999999</v>
      </c>
      <c r="F130" s="999">
        <v>7.5</v>
      </c>
      <c r="G130" s="976">
        <f t="shared" si="10"/>
        <v>0.45</v>
      </c>
      <c r="H130" s="999">
        <f t="shared" si="11"/>
        <v>1</v>
      </c>
      <c r="I130" s="999">
        <f t="shared" si="12"/>
        <v>1</v>
      </c>
      <c r="J130" s="1008">
        <f t="shared" si="13"/>
        <v>0</v>
      </c>
      <c r="K130" s="993">
        <f t="shared" si="8"/>
        <v>39.717469999999999</v>
      </c>
      <c r="L130" s="993">
        <f t="shared" si="9"/>
        <v>35.967469999999999</v>
      </c>
      <c r="M130" s="1001" t="s">
        <v>811</v>
      </c>
      <c r="N130" s="997">
        <v>0.45</v>
      </c>
      <c r="P130" s="1036">
        <v>0</v>
      </c>
      <c r="Q130" s="965"/>
    </row>
    <row r="131" spans="1:17" ht="15">
      <c r="A131" s="226">
        <v>46362</v>
      </c>
      <c r="B131" s="974" t="s">
        <v>413</v>
      </c>
      <c r="C131" s="974" t="s">
        <v>413</v>
      </c>
      <c r="D131" s="961">
        <v>42.084963000000002</v>
      </c>
      <c r="E131" s="975">
        <f t="shared" ref="E131:E177" si="14">D131*-1</f>
        <v>-42.084963000000002</v>
      </c>
      <c r="F131" s="999">
        <v>7.5</v>
      </c>
      <c r="G131" s="976">
        <f t="shared" si="10"/>
        <v>0.45</v>
      </c>
      <c r="H131" s="999">
        <f t="shared" si="11"/>
        <v>1</v>
      </c>
      <c r="I131" s="999">
        <f t="shared" si="12"/>
        <v>1</v>
      </c>
      <c r="J131" s="1008">
        <f t="shared" si="13"/>
        <v>0</v>
      </c>
      <c r="K131" s="993">
        <f t="shared" ref="K131:K177" si="15">+J131-E131-P131</f>
        <v>42.084963000000002</v>
      </c>
      <c r="L131" s="993">
        <f t="shared" ref="L131:L177" si="16">+J131-E131-F131/2</f>
        <v>38.334963000000002</v>
      </c>
      <c r="M131" s="1001" t="s">
        <v>812</v>
      </c>
      <c r="N131" s="997">
        <v>0.45</v>
      </c>
      <c r="P131" s="1036">
        <v>0</v>
      </c>
      <c r="Q131" s="965"/>
    </row>
    <row r="132" spans="1:17" ht="15">
      <c r="A132" s="226">
        <v>46372</v>
      </c>
      <c r="B132" s="974" t="s">
        <v>413</v>
      </c>
      <c r="C132" s="974" t="s">
        <v>413</v>
      </c>
      <c r="D132" s="961">
        <v>41.620891</v>
      </c>
      <c r="E132" s="975">
        <f t="shared" si="14"/>
        <v>-41.620891</v>
      </c>
      <c r="F132" s="999">
        <v>7.5</v>
      </c>
      <c r="G132" s="976">
        <f t="shared" ref="G132:G177" si="17">(K132*N132)/(F132*((K132/F132)^H132))</f>
        <v>0.45000000000000007</v>
      </c>
      <c r="H132" s="999">
        <f t="shared" ref="H132:H177" si="18">H131</f>
        <v>1</v>
      </c>
      <c r="I132" s="999">
        <f t="shared" ref="I132:I177" si="19">I131</f>
        <v>1</v>
      </c>
      <c r="J132" s="1008">
        <f t="shared" ref="J132:J177" si="20">J131</f>
        <v>0</v>
      </c>
      <c r="K132" s="993">
        <f t="shared" si="15"/>
        <v>41.620891</v>
      </c>
      <c r="L132" s="993">
        <f t="shared" si="16"/>
        <v>37.870891</v>
      </c>
      <c r="M132" s="1001" t="s">
        <v>813</v>
      </c>
      <c r="N132" s="997">
        <v>0.45</v>
      </c>
      <c r="P132" s="1036">
        <v>0</v>
      </c>
      <c r="Q132" s="965"/>
    </row>
    <row r="133" spans="1:17" ht="15">
      <c r="A133" s="226">
        <v>46578</v>
      </c>
      <c r="B133" s="974" t="s">
        <v>413</v>
      </c>
      <c r="C133" s="974" t="s">
        <v>413</v>
      </c>
      <c r="D133" s="961">
        <v>39.274265</v>
      </c>
      <c r="E133" s="975">
        <f t="shared" si="14"/>
        <v>-39.274265</v>
      </c>
      <c r="F133" s="999">
        <v>7.5</v>
      </c>
      <c r="G133" s="976">
        <f t="shared" si="17"/>
        <v>0.45000000000000007</v>
      </c>
      <c r="H133" s="999">
        <f t="shared" si="18"/>
        <v>1</v>
      </c>
      <c r="I133" s="999">
        <f t="shared" si="19"/>
        <v>1</v>
      </c>
      <c r="J133" s="1008">
        <f t="shared" si="20"/>
        <v>0</v>
      </c>
      <c r="K133" s="993">
        <f t="shared" si="15"/>
        <v>39.274265</v>
      </c>
      <c r="L133" s="993">
        <f t="shared" si="16"/>
        <v>35.524265</v>
      </c>
      <c r="M133" s="1001" t="s">
        <v>814</v>
      </c>
      <c r="N133" s="997">
        <v>0.45</v>
      </c>
      <c r="P133" s="1036">
        <v>0</v>
      </c>
      <c r="Q133" s="965"/>
    </row>
    <row r="134" spans="1:17" ht="15">
      <c r="A134" s="226">
        <v>46394</v>
      </c>
      <c r="B134" s="974" t="s">
        <v>413</v>
      </c>
      <c r="C134" s="974" t="s">
        <v>413</v>
      </c>
      <c r="D134" s="961">
        <v>41.620159999999998</v>
      </c>
      <c r="E134" s="975">
        <f t="shared" si="14"/>
        <v>-41.620159999999998</v>
      </c>
      <c r="F134" s="999">
        <v>7.5</v>
      </c>
      <c r="G134" s="976">
        <f t="shared" si="17"/>
        <v>0.44999999999999996</v>
      </c>
      <c r="H134" s="999">
        <f t="shared" si="18"/>
        <v>1</v>
      </c>
      <c r="I134" s="999">
        <f t="shared" si="19"/>
        <v>1</v>
      </c>
      <c r="J134" s="1008">
        <f t="shared" si="20"/>
        <v>0</v>
      </c>
      <c r="K134" s="993">
        <f t="shared" si="15"/>
        <v>41.620159999999998</v>
      </c>
      <c r="L134" s="993">
        <f t="shared" si="16"/>
        <v>37.870159999999998</v>
      </c>
      <c r="M134" s="1001" t="s">
        <v>815</v>
      </c>
      <c r="N134" s="997">
        <v>0.45</v>
      </c>
      <c r="P134" s="1036">
        <v>0</v>
      </c>
      <c r="Q134" s="965"/>
    </row>
    <row r="135" spans="1:17" ht="15">
      <c r="A135" s="226">
        <v>46610</v>
      </c>
      <c r="B135" s="974" t="s">
        <v>413</v>
      </c>
      <c r="C135" s="974" t="s">
        <v>413</v>
      </c>
      <c r="D135" s="961">
        <v>37.821863999999998</v>
      </c>
      <c r="E135" s="975">
        <f t="shared" si="14"/>
        <v>-37.821863999999998</v>
      </c>
      <c r="F135" s="999">
        <v>7.5</v>
      </c>
      <c r="G135" s="976">
        <f t="shared" si="17"/>
        <v>0.45</v>
      </c>
      <c r="H135" s="999">
        <f t="shared" si="18"/>
        <v>1</v>
      </c>
      <c r="I135" s="999">
        <f t="shared" si="19"/>
        <v>1</v>
      </c>
      <c r="J135" s="1008">
        <f t="shared" si="20"/>
        <v>0</v>
      </c>
      <c r="K135" s="993">
        <f t="shared" si="15"/>
        <v>37.821863999999998</v>
      </c>
      <c r="L135" s="993">
        <f t="shared" si="16"/>
        <v>34.071863999999998</v>
      </c>
      <c r="M135" s="1001" t="s">
        <v>816</v>
      </c>
      <c r="N135" s="997">
        <v>0.45</v>
      </c>
      <c r="P135" s="1036">
        <v>0</v>
      </c>
      <c r="Q135" s="965"/>
    </row>
    <row r="136" spans="1:17" ht="15">
      <c r="A136" s="226">
        <v>46622</v>
      </c>
      <c r="B136" s="974" t="s">
        <v>413</v>
      </c>
      <c r="C136" s="974" t="s">
        <v>413</v>
      </c>
      <c r="D136" s="961">
        <v>37.420161</v>
      </c>
      <c r="E136" s="975">
        <f t="shared" si="14"/>
        <v>-37.420161</v>
      </c>
      <c r="F136" s="999">
        <v>7.5</v>
      </c>
      <c r="G136" s="976">
        <f t="shared" si="17"/>
        <v>0.45</v>
      </c>
      <c r="H136" s="999">
        <f t="shared" si="18"/>
        <v>1</v>
      </c>
      <c r="I136" s="999">
        <f t="shared" si="19"/>
        <v>1</v>
      </c>
      <c r="J136" s="1008">
        <f t="shared" si="20"/>
        <v>0</v>
      </c>
      <c r="K136" s="993">
        <f t="shared" si="15"/>
        <v>37.420161</v>
      </c>
      <c r="L136" s="993">
        <f t="shared" si="16"/>
        <v>33.670161</v>
      </c>
      <c r="M136" s="1001" t="s">
        <v>817</v>
      </c>
      <c r="N136" s="997">
        <v>0.45</v>
      </c>
      <c r="P136" s="1036">
        <v>0</v>
      </c>
      <c r="Q136" s="965"/>
    </row>
    <row r="137" spans="1:17" ht="15">
      <c r="A137" s="226">
        <v>46638</v>
      </c>
      <c r="B137" s="974" t="s">
        <v>413</v>
      </c>
      <c r="C137" s="974" t="s">
        <v>413</v>
      </c>
      <c r="D137" s="961">
        <v>36.979905000000002</v>
      </c>
      <c r="E137" s="975">
        <f t="shared" si="14"/>
        <v>-36.979905000000002</v>
      </c>
      <c r="F137" s="999">
        <v>7.5</v>
      </c>
      <c r="G137" s="976">
        <f t="shared" si="17"/>
        <v>0.45000000000000007</v>
      </c>
      <c r="H137" s="999">
        <f t="shared" si="18"/>
        <v>1</v>
      </c>
      <c r="I137" s="999">
        <f t="shared" si="19"/>
        <v>1</v>
      </c>
      <c r="J137" s="1008">
        <f t="shared" si="20"/>
        <v>0</v>
      </c>
      <c r="K137" s="993">
        <f t="shared" si="15"/>
        <v>36.979905000000002</v>
      </c>
      <c r="L137" s="993">
        <f t="shared" si="16"/>
        <v>33.229905000000002</v>
      </c>
      <c r="M137" s="1001" t="s">
        <v>818</v>
      </c>
      <c r="N137" s="997">
        <v>0.45</v>
      </c>
      <c r="P137" s="1036">
        <v>0</v>
      </c>
      <c r="Q137" s="965"/>
    </row>
    <row r="138" spans="1:17" s="967" customFormat="1" ht="15">
      <c r="A138" s="226">
        <v>46681</v>
      </c>
      <c r="B138" s="974" t="s">
        <v>413</v>
      </c>
      <c r="C138" s="974" t="s">
        <v>413</v>
      </c>
      <c r="D138" s="961">
        <v>35.636313999999999</v>
      </c>
      <c r="E138" s="975">
        <f t="shared" si="14"/>
        <v>-35.636313999999999</v>
      </c>
      <c r="F138" s="999">
        <v>7.5</v>
      </c>
      <c r="G138" s="976">
        <f t="shared" si="17"/>
        <v>0.45</v>
      </c>
      <c r="H138" s="999">
        <f t="shared" si="18"/>
        <v>1</v>
      </c>
      <c r="I138" s="999">
        <f t="shared" si="19"/>
        <v>1</v>
      </c>
      <c r="J138" s="1008">
        <f t="shared" si="20"/>
        <v>0</v>
      </c>
      <c r="K138" s="993">
        <f t="shared" si="15"/>
        <v>35.636313999999999</v>
      </c>
      <c r="L138" s="993">
        <f t="shared" si="16"/>
        <v>31.886313999999999</v>
      </c>
      <c r="M138" s="1001" t="s">
        <v>819</v>
      </c>
      <c r="N138" s="997">
        <v>0.45</v>
      </c>
      <c r="O138" s="966"/>
      <c r="P138" s="1036">
        <v>0</v>
      </c>
      <c r="Q138" s="965"/>
    </row>
    <row r="139" spans="1:17" ht="15">
      <c r="A139" s="226">
        <v>46550</v>
      </c>
      <c r="B139" s="974" t="s">
        <v>413</v>
      </c>
      <c r="C139" s="974" t="s">
        <v>413</v>
      </c>
      <c r="D139" s="961">
        <v>39.777887999999997</v>
      </c>
      <c r="E139" s="975">
        <f t="shared" si="14"/>
        <v>-39.777887999999997</v>
      </c>
      <c r="F139" s="999">
        <v>7.5</v>
      </c>
      <c r="G139" s="976">
        <f t="shared" si="17"/>
        <v>0.45</v>
      </c>
      <c r="H139" s="999">
        <f t="shared" si="18"/>
        <v>1</v>
      </c>
      <c r="I139" s="999">
        <f t="shared" si="19"/>
        <v>1</v>
      </c>
      <c r="J139" s="1008">
        <f t="shared" si="20"/>
        <v>0</v>
      </c>
      <c r="K139" s="993">
        <f t="shared" si="15"/>
        <v>39.777887999999997</v>
      </c>
      <c r="L139" s="993">
        <f t="shared" si="16"/>
        <v>36.027887999999997</v>
      </c>
      <c r="M139" s="1001" t="s">
        <v>820</v>
      </c>
      <c r="N139" s="997">
        <v>0.45</v>
      </c>
      <c r="P139" s="1036">
        <v>0</v>
      </c>
      <c r="Q139" s="965"/>
    </row>
    <row r="140" spans="1:17" ht="15">
      <c r="A140" s="226">
        <v>46687</v>
      </c>
      <c r="B140" s="974" t="s">
        <v>413</v>
      </c>
      <c r="C140" s="974" t="s">
        <v>413</v>
      </c>
      <c r="D140" s="961">
        <v>35.554200000000002</v>
      </c>
      <c r="E140" s="975">
        <f t="shared" si="14"/>
        <v>-35.554200000000002</v>
      </c>
      <c r="F140" s="999">
        <v>7.5</v>
      </c>
      <c r="G140" s="976">
        <f t="shared" si="17"/>
        <v>0.45</v>
      </c>
      <c r="H140" s="999">
        <f t="shared" si="18"/>
        <v>1</v>
      </c>
      <c r="I140" s="999">
        <f t="shared" si="19"/>
        <v>1</v>
      </c>
      <c r="J140" s="1008">
        <f t="shared" si="20"/>
        <v>0</v>
      </c>
      <c r="K140" s="993">
        <f t="shared" si="15"/>
        <v>35.554200000000002</v>
      </c>
      <c r="L140" s="993">
        <f t="shared" si="16"/>
        <v>31.804200000000002</v>
      </c>
      <c r="M140" s="1001" t="s">
        <v>821</v>
      </c>
      <c r="N140" s="997">
        <v>0.45</v>
      </c>
      <c r="P140" s="1036">
        <v>0</v>
      </c>
      <c r="Q140" s="965"/>
    </row>
    <row r="141" spans="1:17" ht="15">
      <c r="A141" s="226">
        <v>46560</v>
      </c>
      <c r="B141" s="974" t="s">
        <v>413</v>
      </c>
      <c r="C141" s="974" t="s">
        <v>413</v>
      </c>
      <c r="D141" s="961">
        <v>39.880617000000001</v>
      </c>
      <c r="E141" s="975">
        <f t="shared" si="14"/>
        <v>-39.880617000000001</v>
      </c>
      <c r="F141" s="999">
        <v>7.5</v>
      </c>
      <c r="G141" s="976">
        <f t="shared" si="17"/>
        <v>0.45000000000000007</v>
      </c>
      <c r="H141" s="999">
        <f t="shared" si="18"/>
        <v>1</v>
      </c>
      <c r="I141" s="999">
        <f t="shared" si="19"/>
        <v>1</v>
      </c>
      <c r="J141" s="1008">
        <f t="shared" si="20"/>
        <v>0</v>
      </c>
      <c r="K141" s="993">
        <f t="shared" si="15"/>
        <v>39.880617000000001</v>
      </c>
      <c r="L141" s="993">
        <f t="shared" si="16"/>
        <v>36.130617000000001</v>
      </c>
      <c r="M141" s="1001" t="s">
        <v>822</v>
      </c>
      <c r="N141" s="997">
        <v>0.45</v>
      </c>
      <c r="P141" s="1036">
        <v>0</v>
      </c>
      <c r="Q141" s="965"/>
    </row>
    <row r="142" spans="1:17" ht="15">
      <c r="A142" s="226">
        <v>46696</v>
      </c>
      <c r="B142" s="974" t="s">
        <v>413</v>
      </c>
      <c r="C142" s="974" t="s">
        <v>413</v>
      </c>
      <c r="D142" s="961">
        <v>35.352556999999997</v>
      </c>
      <c r="E142" s="975">
        <f t="shared" si="14"/>
        <v>-35.352556999999997</v>
      </c>
      <c r="F142" s="999">
        <v>7.5</v>
      </c>
      <c r="G142" s="976">
        <f t="shared" si="17"/>
        <v>0.45</v>
      </c>
      <c r="H142" s="999">
        <f t="shared" si="18"/>
        <v>1</v>
      </c>
      <c r="I142" s="999">
        <f t="shared" si="19"/>
        <v>1</v>
      </c>
      <c r="J142" s="1008">
        <f t="shared" si="20"/>
        <v>0</v>
      </c>
      <c r="K142" s="993">
        <f t="shared" si="15"/>
        <v>35.352556999999997</v>
      </c>
      <c r="L142" s="993">
        <f t="shared" si="16"/>
        <v>31.602556999999997</v>
      </c>
      <c r="M142" s="1001" t="s">
        <v>823</v>
      </c>
      <c r="N142" s="997">
        <v>0.45</v>
      </c>
      <c r="P142" s="1036">
        <v>0</v>
      </c>
      <c r="Q142" s="965"/>
    </row>
    <row r="143" spans="1:17" ht="15">
      <c r="A143" s="226">
        <v>46699</v>
      </c>
      <c r="B143" s="974" t="s">
        <v>413</v>
      </c>
      <c r="C143" s="974" t="s">
        <v>413</v>
      </c>
      <c r="D143" s="961">
        <v>35.418742999999999</v>
      </c>
      <c r="E143" s="975">
        <f t="shared" si="14"/>
        <v>-35.418742999999999</v>
      </c>
      <c r="F143" s="999">
        <v>7.5</v>
      </c>
      <c r="G143" s="976">
        <f t="shared" si="17"/>
        <v>0.45</v>
      </c>
      <c r="H143" s="999">
        <f t="shared" si="18"/>
        <v>1</v>
      </c>
      <c r="I143" s="999">
        <f t="shared" si="19"/>
        <v>1</v>
      </c>
      <c r="J143" s="1008">
        <f t="shared" si="20"/>
        <v>0</v>
      </c>
      <c r="K143" s="993">
        <f t="shared" si="15"/>
        <v>35.418742999999999</v>
      </c>
      <c r="L143" s="993">
        <f t="shared" si="16"/>
        <v>31.668742999999999</v>
      </c>
      <c r="M143" s="1001" t="s">
        <v>824</v>
      </c>
      <c r="N143" s="997">
        <v>0.45</v>
      </c>
      <c r="P143" s="1036">
        <v>0</v>
      </c>
      <c r="Q143" s="965"/>
    </row>
    <row r="144" spans="1:17" ht="15">
      <c r="A144" s="226">
        <v>46589</v>
      </c>
      <c r="B144" s="974" t="s">
        <v>413</v>
      </c>
      <c r="C144" s="974" t="s">
        <v>413</v>
      </c>
      <c r="D144" s="961">
        <v>38.720253</v>
      </c>
      <c r="E144" s="975">
        <f t="shared" si="14"/>
        <v>-38.720253</v>
      </c>
      <c r="F144" s="999">
        <v>7.5</v>
      </c>
      <c r="G144" s="976">
        <f t="shared" si="17"/>
        <v>0.45</v>
      </c>
      <c r="H144" s="999">
        <f t="shared" si="18"/>
        <v>1</v>
      </c>
      <c r="I144" s="999">
        <f t="shared" si="19"/>
        <v>1</v>
      </c>
      <c r="J144" s="1008">
        <f t="shared" si="20"/>
        <v>0</v>
      </c>
      <c r="K144" s="993">
        <f t="shared" si="15"/>
        <v>38.720253</v>
      </c>
      <c r="L144" s="993">
        <f t="shared" si="16"/>
        <v>34.970253</v>
      </c>
      <c r="M144" s="1001" t="s">
        <v>825</v>
      </c>
      <c r="N144" s="997">
        <v>0.45</v>
      </c>
      <c r="P144" s="1036">
        <v>0</v>
      </c>
      <c r="Q144" s="965"/>
    </row>
    <row r="145" spans="1:17" ht="15">
      <c r="A145" s="226">
        <v>47560</v>
      </c>
      <c r="B145" s="974" t="s">
        <v>413</v>
      </c>
      <c r="C145" s="974" t="s">
        <v>413</v>
      </c>
      <c r="D145" s="961">
        <v>35.329524999999997</v>
      </c>
      <c r="E145" s="975">
        <f t="shared" si="14"/>
        <v>-35.329524999999997</v>
      </c>
      <c r="F145" s="999">
        <v>7.5</v>
      </c>
      <c r="G145" s="976">
        <f t="shared" si="17"/>
        <v>0.45</v>
      </c>
      <c r="H145" s="999">
        <f t="shared" si="18"/>
        <v>1</v>
      </c>
      <c r="I145" s="999">
        <f t="shared" si="19"/>
        <v>1</v>
      </c>
      <c r="J145" s="1008">
        <f t="shared" si="20"/>
        <v>0</v>
      </c>
      <c r="K145" s="993">
        <f t="shared" si="15"/>
        <v>35.329524999999997</v>
      </c>
      <c r="L145" s="993">
        <f t="shared" si="16"/>
        <v>31.579524999999997</v>
      </c>
      <c r="M145" s="1001" t="s">
        <v>826</v>
      </c>
      <c r="N145" s="997">
        <v>0.45</v>
      </c>
      <c r="P145" s="1036">
        <v>0</v>
      </c>
      <c r="Q145" s="965"/>
    </row>
    <row r="146" spans="1:17" ht="15">
      <c r="A146" s="226">
        <v>46638</v>
      </c>
      <c r="B146" s="974" t="s">
        <v>413</v>
      </c>
      <c r="C146" s="974" t="s">
        <v>413</v>
      </c>
      <c r="D146" s="961">
        <v>36.99485</v>
      </c>
      <c r="E146" s="975">
        <f t="shared" si="14"/>
        <v>-36.99485</v>
      </c>
      <c r="F146" s="999">
        <v>7.5</v>
      </c>
      <c r="G146" s="976">
        <f t="shared" si="17"/>
        <v>0.45000000000000007</v>
      </c>
      <c r="H146" s="999">
        <f t="shared" si="18"/>
        <v>1</v>
      </c>
      <c r="I146" s="999">
        <f t="shared" si="19"/>
        <v>1</v>
      </c>
      <c r="J146" s="1008">
        <f t="shared" si="20"/>
        <v>0</v>
      </c>
      <c r="K146" s="993">
        <f t="shared" si="15"/>
        <v>36.99485</v>
      </c>
      <c r="L146" s="993">
        <f t="shared" si="16"/>
        <v>33.24485</v>
      </c>
      <c r="M146" s="1001" t="s">
        <v>827</v>
      </c>
      <c r="N146" s="997">
        <v>0.45</v>
      </c>
      <c r="P146" s="1036">
        <v>0</v>
      </c>
      <c r="Q146" s="965"/>
    </row>
    <row r="147" spans="1:17" ht="15">
      <c r="A147" s="226">
        <v>46704</v>
      </c>
      <c r="B147" s="974" t="s">
        <v>413</v>
      </c>
      <c r="C147" s="974" t="s">
        <v>413</v>
      </c>
      <c r="D147" s="961">
        <v>35.624042000000003</v>
      </c>
      <c r="E147" s="975">
        <f t="shared" si="14"/>
        <v>-35.624042000000003</v>
      </c>
      <c r="F147" s="999">
        <v>7.5</v>
      </c>
      <c r="G147" s="976">
        <f t="shared" si="17"/>
        <v>0.45000000000000007</v>
      </c>
      <c r="H147" s="999">
        <f t="shared" si="18"/>
        <v>1</v>
      </c>
      <c r="I147" s="999">
        <f t="shared" si="19"/>
        <v>1</v>
      </c>
      <c r="J147" s="1008">
        <f t="shared" si="20"/>
        <v>0</v>
      </c>
      <c r="K147" s="993">
        <f t="shared" si="15"/>
        <v>35.624042000000003</v>
      </c>
      <c r="L147" s="993">
        <f t="shared" si="16"/>
        <v>31.874042000000003</v>
      </c>
      <c r="M147" s="1001" t="s">
        <v>828</v>
      </c>
      <c r="N147" s="997">
        <v>0.45</v>
      </c>
      <c r="P147" s="1036">
        <v>0</v>
      </c>
      <c r="Q147" s="965"/>
    </row>
    <row r="148" spans="1:17" ht="15">
      <c r="A148" s="226">
        <v>35092</v>
      </c>
      <c r="B148" s="974" t="s">
        <v>413</v>
      </c>
      <c r="C148" s="974" t="s">
        <v>413</v>
      </c>
      <c r="D148" s="961">
        <v>26.188597999999999</v>
      </c>
      <c r="E148" s="975">
        <f t="shared" si="14"/>
        <v>-26.188597999999999</v>
      </c>
      <c r="F148" s="999">
        <v>7.5</v>
      </c>
      <c r="G148" s="976">
        <f t="shared" si="17"/>
        <v>0.45</v>
      </c>
      <c r="H148" s="999">
        <f t="shared" si="18"/>
        <v>1</v>
      </c>
      <c r="I148" s="999">
        <f t="shared" si="19"/>
        <v>1</v>
      </c>
      <c r="J148" s="1008">
        <f t="shared" si="20"/>
        <v>0</v>
      </c>
      <c r="K148" s="993">
        <f t="shared" si="15"/>
        <v>26.188597999999999</v>
      </c>
      <c r="L148" s="993">
        <f t="shared" si="16"/>
        <v>22.438597999999999</v>
      </c>
      <c r="M148" s="1001" t="s">
        <v>829</v>
      </c>
      <c r="N148" s="997">
        <v>0.45</v>
      </c>
      <c r="P148" s="1036">
        <v>0</v>
      </c>
      <c r="Q148" s="965"/>
    </row>
    <row r="149" spans="1:17" ht="15">
      <c r="A149" s="226">
        <v>35115</v>
      </c>
      <c r="B149" s="974" t="s">
        <v>413</v>
      </c>
      <c r="C149" s="974" t="s">
        <v>413</v>
      </c>
      <c r="D149" s="961">
        <v>26.040102000000001</v>
      </c>
      <c r="E149" s="975">
        <f t="shared" si="14"/>
        <v>-26.040102000000001</v>
      </c>
      <c r="F149" s="999">
        <v>7.5</v>
      </c>
      <c r="G149" s="976">
        <f t="shared" si="17"/>
        <v>0.44999999999999996</v>
      </c>
      <c r="H149" s="999">
        <f t="shared" si="18"/>
        <v>1</v>
      </c>
      <c r="I149" s="999">
        <f t="shared" si="19"/>
        <v>1</v>
      </c>
      <c r="J149" s="1008">
        <f t="shared" si="20"/>
        <v>0</v>
      </c>
      <c r="K149" s="993">
        <f t="shared" si="15"/>
        <v>26.040102000000001</v>
      </c>
      <c r="L149" s="993">
        <f t="shared" si="16"/>
        <v>22.290102000000001</v>
      </c>
      <c r="M149" s="1001" t="s">
        <v>830</v>
      </c>
      <c r="N149" s="997">
        <v>0.45</v>
      </c>
      <c r="P149" s="1036">
        <v>0</v>
      </c>
      <c r="Q149" s="965"/>
    </row>
    <row r="150" spans="1:17" ht="15">
      <c r="A150" s="226">
        <v>35161</v>
      </c>
      <c r="B150" s="974" t="s">
        <v>413</v>
      </c>
      <c r="C150" s="974" t="s">
        <v>413</v>
      </c>
      <c r="D150" s="961">
        <v>25.474346000000001</v>
      </c>
      <c r="E150" s="975">
        <f t="shared" si="14"/>
        <v>-25.474346000000001</v>
      </c>
      <c r="F150" s="999">
        <v>7.5</v>
      </c>
      <c r="G150" s="976">
        <f t="shared" si="17"/>
        <v>0.45</v>
      </c>
      <c r="H150" s="999">
        <f t="shared" si="18"/>
        <v>1</v>
      </c>
      <c r="I150" s="999">
        <f t="shared" si="19"/>
        <v>1</v>
      </c>
      <c r="J150" s="1008">
        <f t="shared" si="20"/>
        <v>0</v>
      </c>
      <c r="K150" s="993">
        <f t="shared" si="15"/>
        <v>25.474346000000001</v>
      </c>
      <c r="L150" s="993">
        <f t="shared" si="16"/>
        <v>21.724346000000001</v>
      </c>
      <c r="M150" s="1001" t="s">
        <v>831</v>
      </c>
      <c r="N150" s="997">
        <v>0.45</v>
      </c>
      <c r="P150" s="1036">
        <v>0</v>
      </c>
      <c r="Q150" s="965"/>
    </row>
    <row r="151" spans="1:17" ht="15">
      <c r="A151" s="226">
        <v>35177</v>
      </c>
      <c r="B151" s="974" t="s">
        <v>413</v>
      </c>
      <c r="C151" s="974" t="s">
        <v>413</v>
      </c>
      <c r="D151" s="961">
        <v>25.265104000000001</v>
      </c>
      <c r="E151" s="975">
        <f t="shared" si="14"/>
        <v>-25.265104000000001</v>
      </c>
      <c r="F151" s="999">
        <v>7.5</v>
      </c>
      <c r="G151" s="976">
        <f t="shared" si="17"/>
        <v>0.45</v>
      </c>
      <c r="H151" s="999">
        <f t="shared" si="18"/>
        <v>1</v>
      </c>
      <c r="I151" s="999">
        <f t="shared" si="19"/>
        <v>1</v>
      </c>
      <c r="J151" s="1008">
        <f t="shared" si="20"/>
        <v>0</v>
      </c>
      <c r="K151" s="993">
        <f t="shared" si="15"/>
        <v>25.265104000000001</v>
      </c>
      <c r="L151" s="993">
        <f t="shared" si="16"/>
        <v>21.515104000000001</v>
      </c>
      <c r="M151" s="1001" t="s">
        <v>832</v>
      </c>
      <c r="N151" s="997">
        <v>0.45</v>
      </c>
      <c r="P151" s="1036">
        <v>0</v>
      </c>
      <c r="Q151" s="965"/>
    </row>
    <row r="152" spans="1:17" ht="15">
      <c r="A152" s="226">
        <v>35204</v>
      </c>
      <c r="B152" s="974" t="s">
        <v>413</v>
      </c>
      <c r="C152" s="974" t="s">
        <v>413</v>
      </c>
      <c r="D152" s="961">
        <v>25.020333999999998</v>
      </c>
      <c r="E152" s="975">
        <f t="shared" si="14"/>
        <v>-25.020333999999998</v>
      </c>
      <c r="F152" s="999">
        <v>7.5</v>
      </c>
      <c r="G152" s="976">
        <f t="shared" si="17"/>
        <v>0.45</v>
      </c>
      <c r="H152" s="999">
        <f t="shared" si="18"/>
        <v>1</v>
      </c>
      <c r="I152" s="999">
        <f t="shared" si="19"/>
        <v>1</v>
      </c>
      <c r="J152" s="1008">
        <f t="shared" si="20"/>
        <v>0</v>
      </c>
      <c r="K152" s="993">
        <f t="shared" si="15"/>
        <v>25.020333999999998</v>
      </c>
      <c r="L152" s="993">
        <f t="shared" si="16"/>
        <v>21.270333999999998</v>
      </c>
      <c r="M152" s="1001" t="s">
        <v>833</v>
      </c>
      <c r="N152" s="997">
        <v>0.45</v>
      </c>
      <c r="P152" s="1036">
        <v>0</v>
      </c>
      <c r="Q152" s="965"/>
    </row>
    <row r="153" spans="1:17" ht="15">
      <c r="A153" s="226">
        <v>35032</v>
      </c>
      <c r="B153" s="974" t="s">
        <v>413</v>
      </c>
      <c r="C153" s="974" t="s">
        <v>413</v>
      </c>
      <c r="D153" s="961">
        <v>26.920497999999998</v>
      </c>
      <c r="E153" s="975">
        <f t="shared" si="14"/>
        <v>-26.920497999999998</v>
      </c>
      <c r="F153" s="999">
        <v>7.5</v>
      </c>
      <c r="G153" s="976">
        <f t="shared" si="17"/>
        <v>0.45</v>
      </c>
      <c r="H153" s="999">
        <f t="shared" si="18"/>
        <v>1</v>
      </c>
      <c r="I153" s="999">
        <f t="shared" si="19"/>
        <v>1</v>
      </c>
      <c r="J153" s="1008">
        <f t="shared" si="20"/>
        <v>0</v>
      </c>
      <c r="K153" s="993">
        <f t="shared" si="15"/>
        <v>26.920497999999998</v>
      </c>
      <c r="L153" s="993">
        <f t="shared" si="16"/>
        <v>23.170497999999998</v>
      </c>
      <c r="M153" s="1001" t="s">
        <v>834</v>
      </c>
      <c r="N153" s="997">
        <v>0.45</v>
      </c>
      <c r="P153" s="1036">
        <v>0</v>
      </c>
      <c r="Q153" s="965"/>
    </row>
    <row r="154" spans="1:17" ht="15">
      <c r="A154" s="226">
        <v>35087</v>
      </c>
      <c r="B154" s="974" t="s">
        <v>413</v>
      </c>
      <c r="C154" s="974" t="s">
        <v>413</v>
      </c>
      <c r="D154" s="961">
        <v>26.224619000000001</v>
      </c>
      <c r="E154" s="975">
        <f t="shared" si="14"/>
        <v>-26.224619000000001</v>
      </c>
      <c r="F154" s="999">
        <v>7.5</v>
      </c>
      <c r="G154" s="976">
        <f t="shared" si="17"/>
        <v>0.44999999999999996</v>
      </c>
      <c r="H154" s="999">
        <f t="shared" si="18"/>
        <v>1</v>
      </c>
      <c r="I154" s="999">
        <f t="shared" si="19"/>
        <v>1</v>
      </c>
      <c r="J154" s="1008">
        <f t="shared" si="20"/>
        <v>0</v>
      </c>
      <c r="K154" s="993">
        <f t="shared" si="15"/>
        <v>26.224619000000001</v>
      </c>
      <c r="L154" s="993">
        <f t="shared" si="16"/>
        <v>22.474619000000001</v>
      </c>
      <c r="M154" s="1001" t="s">
        <v>835</v>
      </c>
      <c r="N154" s="997">
        <v>0.45</v>
      </c>
      <c r="P154" s="1036">
        <v>0</v>
      </c>
      <c r="Q154" s="965"/>
    </row>
    <row r="155" spans="1:17" ht="15">
      <c r="A155" s="226">
        <v>34504</v>
      </c>
      <c r="B155" s="974" t="s">
        <v>413</v>
      </c>
      <c r="C155" s="974" t="s">
        <v>413</v>
      </c>
      <c r="D155" s="961">
        <v>27.975072999999998</v>
      </c>
      <c r="E155" s="975">
        <f t="shared" si="14"/>
        <v>-27.975072999999998</v>
      </c>
      <c r="F155" s="999">
        <v>7.5</v>
      </c>
      <c r="G155" s="976">
        <f t="shared" si="17"/>
        <v>0.45</v>
      </c>
      <c r="H155" s="999">
        <f t="shared" si="18"/>
        <v>1</v>
      </c>
      <c r="I155" s="999">
        <f t="shared" si="19"/>
        <v>1</v>
      </c>
      <c r="J155" s="1008">
        <f t="shared" si="20"/>
        <v>0</v>
      </c>
      <c r="K155" s="993">
        <f t="shared" si="15"/>
        <v>27.975072999999998</v>
      </c>
      <c r="L155" s="993">
        <f t="shared" si="16"/>
        <v>24.225072999999998</v>
      </c>
      <c r="M155" s="1001" t="s">
        <v>836</v>
      </c>
      <c r="N155" s="997">
        <v>0.45</v>
      </c>
      <c r="P155" s="1036">
        <v>0</v>
      </c>
      <c r="Q155" s="965"/>
    </row>
    <row r="156" spans="1:17" ht="15">
      <c r="A156" s="226">
        <v>34525</v>
      </c>
      <c r="B156" s="974" t="s">
        <v>413</v>
      </c>
      <c r="C156" s="974" t="s">
        <v>413</v>
      </c>
      <c r="D156" s="961">
        <v>27.506405999999998</v>
      </c>
      <c r="E156" s="975">
        <f t="shared" si="14"/>
        <v>-27.506405999999998</v>
      </c>
      <c r="F156" s="999">
        <v>7.5</v>
      </c>
      <c r="G156" s="976">
        <f t="shared" si="17"/>
        <v>0.45</v>
      </c>
      <c r="H156" s="999">
        <f t="shared" si="18"/>
        <v>1</v>
      </c>
      <c r="I156" s="999">
        <f t="shared" si="19"/>
        <v>1</v>
      </c>
      <c r="J156" s="1008">
        <f t="shared" si="20"/>
        <v>0</v>
      </c>
      <c r="K156" s="993">
        <f t="shared" si="15"/>
        <v>27.506405999999998</v>
      </c>
      <c r="L156" s="993">
        <f t="shared" si="16"/>
        <v>23.756405999999998</v>
      </c>
      <c r="M156" s="1001" t="s">
        <v>837</v>
      </c>
      <c r="N156" s="997">
        <v>0.45</v>
      </c>
      <c r="P156" s="1036">
        <v>0</v>
      </c>
      <c r="Q156" s="965"/>
    </row>
    <row r="157" spans="1:17" ht="15">
      <c r="A157" s="226">
        <v>34546</v>
      </c>
      <c r="B157" s="974" t="s">
        <v>413</v>
      </c>
      <c r="C157" s="974" t="s">
        <v>413</v>
      </c>
      <c r="D157" s="961">
        <v>27.686606999999999</v>
      </c>
      <c r="E157" s="975">
        <f t="shared" si="14"/>
        <v>-27.686606999999999</v>
      </c>
      <c r="F157" s="999">
        <v>7.5</v>
      </c>
      <c r="G157" s="976">
        <f t="shared" si="17"/>
        <v>0.45</v>
      </c>
      <c r="H157" s="999">
        <f t="shared" si="18"/>
        <v>1</v>
      </c>
      <c r="I157" s="999">
        <f t="shared" si="19"/>
        <v>1</v>
      </c>
      <c r="J157" s="1008">
        <f t="shared" si="20"/>
        <v>0</v>
      </c>
      <c r="K157" s="993">
        <f t="shared" si="15"/>
        <v>27.686606999999999</v>
      </c>
      <c r="L157" s="993">
        <f t="shared" si="16"/>
        <v>23.936606999999999</v>
      </c>
      <c r="M157" s="1001" t="s">
        <v>838</v>
      </c>
      <c r="N157" s="997">
        <v>0.45</v>
      </c>
      <c r="P157" s="1036">
        <v>0</v>
      </c>
      <c r="Q157" s="965"/>
    </row>
    <row r="158" spans="1:17" ht="15">
      <c r="A158" s="226">
        <v>34564</v>
      </c>
      <c r="B158" s="974" t="s">
        <v>413</v>
      </c>
      <c r="C158" s="974" t="s">
        <v>413</v>
      </c>
      <c r="D158" s="961">
        <v>27.928369</v>
      </c>
      <c r="E158" s="975">
        <f t="shared" si="14"/>
        <v>-27.928369</v>
      </c>
      <c r="F158" s="999">
        <v>7.5</v>
      </c>
      <c r="G158" s="976">
        <f t="shared" si="17"/>
        <v>0.44999999999999996</v>
      </c>
      <c r="H158" s="999">
        <f t="shared" si="18"/>
        <v>1</v>
      </c>
      <c r="I158" s="999">
        <f t="shared" si="19"/>
        <v>1</v>
      </c>
      <c r="J158" s="1008">
        <f t="shared" si="20"/>
        <v>0</v>
      </c>
      <c r="K158" s="993">
        <f t="shared" si="15"/>
        <v>27.928369</v>
      </c>
      <c r="L158" s="993">
        <f t="shared" si="16"/>
        <v>24.178369</v>
      </c>
      <c r="M158" s="1001" t="s">
        <v>839</v>
      </c>
      <c r="N158" s="997">
        <v>0.45</v>
      </c>
      <c r="P158" s="1036">
        <v>0</v>
      </c>
      <c r="Q158" s="965"/>
    </row>
    <row r="159" spans="1:17" ht="15">
      <c r="A159" s="226">
        <v>34589</v>
      </c>
      <c r="B159" s="974" t="s">
        <v>413</v>
      </c>
      <c r="C159" s="974" t="s">
        <v>413</v>
      </c>
      <c r="D159" s="961">
        <v>28.141781000000002</v>
      </c>
      <c r="E159" s="975">
        <f t="shared" si="14"/>
        <v>-28.141781000000002</v>
      </c>
      <c r="F159" s="999">
        <v>7.5</v>
      </c>
      <c r="G159" s="976">
        <f t="shared" si="17"/>
        <v>0.45</v>
      </c>
      <c r="H159" s="999">
        <f t="shared" si="18"/>
        <v>1</v>
      </c>
      <c r="I159" s="999">
        <f t="shared" si="19"/>
        <v>1</v>
      </c>
      <c r="J159" s="1008">
        <f t="shared" si="20"/>
        <v>0</v>
      </c>
      <c r="K159" s="993">
        <f t="shared" si="15"/>
        <v>28.141781000000002</v>
      </c>
      <c r="L159" s="993">
        <f t="shared" si="16"/>
        <v>24.391781000000002</v>
      </c>
      <c r="M159" s="1001" t="s">
        <v>840</v>
      </c>
      <c r="N159" s="997">
        <v>0.45</v>
      </c>
      <c r="P159" s="1036">
        <v>0</v>
      </c>
      <c r="Q159" s="965"/>
    </row>
    <row r="160" spans="1:17" ht="15">
      <c r="A160" s="226">
        <v>34500</v>
      </c>
      <c r="B160" s="974" t="s">
        <v>413</v>
      </c>
      <c r="C160" s="974" t="s">
        <v>413</v>
      </c>
      <c r="D160" s="961">
        <v>28.250347999999999</v>
      </c>
      <c r="E160" s="975">
        <f t="shared" si="14"/>
        <v>-28.250347999999999</v>
      </c>
      <c r="F160" s="999">
        <v>7.5</v>
      </c>
      <c r="G160" s="976">
        <f t="shared" si="17"/>
        <v>0.44999999999999996</v>
      </c>
      <c r="H160" s="999">
        <f t="shared" si="18"/>
        <v>1</v>
      </c>
      <c r="I160" s="999">
        <f t="shared" si="19"/>
        <v>1</v>
      </c>
      <c r="J160" s="1008">
        <f t="shared" si="20"/>
        <v>0</v>
      </c>
      <c r="K160" s="993">
        <f t="shared" si="15"/>
        <v>28.250347999999999</v>
      </c>
      <c r="L160" s="993">
        <f t="shared" si="16"/>
        <v>24.500347999999999</v>
      </c>
      <c r="M160" s="1001" t="s">
        <v>841</v>
      </c>
      <c r="N160" s="997">
        <v>0.45</v>
      </c>
      <c r="P160" s="1036">
        <v>0</v>
      </c>
      <c r="Q160" s="965"/>
    </row>
    <row r="161" spans="1:17" ht="15">
      <c r="A161" s="226">
        <v>34651</v>
      </c>
      <c r="B161" s="974" t="s">
        <v>413</v>
      </c>
      <c r="C161" s="974" t="s">
        <v>413</v>
      </c>
      <c r="D161" s="961">
        <v>29.110382999999999</v>
      </c>
      <c r="E161" s="975">
        <f t="shared" si="14"/>
        <v>-29.110382999999999</v>
      </c>
      <c r="F161" s="999">
        <v>7.5</v>
      </c>
      <c r="G161" s="976">
        <f t="shared" si="17"/>
        <v>0.45</v>
      </c>
      <c r="H161" s="999">
        <f t="shared" si="18"/>
        <v>1</v>
      </c>
      <c r="I161" s="999">
        <f t="shared" si="19"/>
        <v>1</v>
      </c>
      <c r="J161" s="1008">
        <f t="shared" si="20"/>
        <v>0</v>
      </c>
      <c r="K161" s="993">
        <f t="shared" si="15"/>
        <v>29.110382999999999</v>
      </c>
      <c r="L161" s="993">
        <f t="shared" si="16"/>
        <v>25.360382999999999</v>
      </c>
      <c r="M161" s="1001" t="s">
        <v>842</v>
      </c>
      <c r="N161" s="997">
        <v>0.45</v>
      </c>
      <c r="P161" s="1036">
        <v>0</v>
      </c>
      <c r="Q161" s="965"/>
    </row>
    <row r="162" spans="1:17" ht="15">
      <c r="A162" s="226">
        <v>34538</v>
      </c>
      <c r="B162" s="974" t="s">
        <v>413</v>
      </c>
      <c r="C162" s="974" t="s">
        <v>413</v>
      </c>
      <c r="D162" s="961">
        <v>27.604835999999999</v>
      </c>
      <c r="E162" s="975">
        <f t="shared" si="14"/>
        <v>-27.604835999999999</v>
      </c>
      <c r="F162" s="999">
        <v>7.5</v>
      </c>
      <c r="G162" s="976">
        <f t="shared" si="17"/>
        <v>0.45</v>
      </c>
      <c r="H162" s="999">
        <f t="shared" si="18"/>
        <v>1</v>
      </c>
      <c r="I162" s="999">
        <f t="shared" si="19"/>
        <v>1</v>
      </c>
      <c r="J162" s="1008">
        <f t="shared" si="20"/>
        <v>0</v>
      </c>
      <c r="K162" s="993">
        <f t="shared" si="15"/>
        <v>27.604835999999999</v>
      </c>
      <c r="L162" s="993">
        <f t="shared" si="16"/>
        <v>23.854835999999999</v>
      </c>
      <c r="M162" s="1001" t="s">
        <v>843</v>
      </c>
      <c r="N162" s="997">
        <v>0.45</v>
      </c>
      <c r="P162" s="1036">
        <v>0</v>
      </c>
      <c r="Q162" s="965"/>
    </row>
    <row r="163" spans="1:17" ht="15">
      <c r="A163" s="226">
        <v>35341</v>
      </c>
      <c r="B163" s="974" t="s">
        <v>413</v>
      </c>
      <c r="C163" s="974" t="s">
        <v>413</v>
      </c>
      <c r="D163" s="961">
        <v>25.335301999999999</v>
      </c>
      <c r="E163" s="975">
        <f t="shared" si="14"/>
        <v>-25.335301999999999</v>
      </c>
      <c r="F163" s="999">
        <v>7.5</v>
      </c>
      <c r="G163" s="976">
        <f t="shared" si="17"/>
        <v>0.45000000000000007</v>
      </c>
      <c r="H163" s="999">
        <f t="shared" si="18"/>
        <v>1</v>
      </c>
      <c r="I163" s="999">
        <f t="shared" si="19"/>
        <v>1</v>
      </c>
      <c r="J163" s="1008">
        <f t="shared" si="20"/>
        <v>0</v>
      </c>
      <c r="K163" s="993">
        <f t="shared" si="15"/>
        <v>25.335301999999999</v>
      </c>
      <c r="L163" s="993">
        <f t="shared" si="16"/>
        <v>21.585301999999999</v>
      </c>
      <c r="M163" s="1001" t="s">
        <v>844</v>
      </c>
      <c r="N163" s="997">
        <v>0.45</v>
      </c>
      <c r="P163" s="1036">
        <v>0</v>
      </c>
      <c r="Q163" s="965"/>
    </row>
    <row r="164" spans="1:17" ht="15">
      <c r="A164" s="226">
        <v>34600</v>
      </c>
      <c r="B164" s="974" t="s">
        <v>413</v>
      </c>
      <c r="C164" s="974" t="s">
        <v>413</v>
      </c>
      <c r="D164" s="961">
        <v>28.121109000000001</v>
      </c>
      <c r="E164" s="975">
        <f t="shared" si="14"/>
        <v>-28.121109000000001</v>
      </c>
      <c r="F164" s="999">
        <v>7.5</v>
      </c>
      <c r="G164" s="976">
        <f t="shared" si="17"/>
        <v>0.45</v>
      </c>
      <c r="H164" s="999">
        <f t="shared" si="18"/>
        <v>1</v>
      </c>
      <c r="I164" s="999">
        <f t="shared" si="19"/>
        <v>1</v>
      </c>
      <c r="J164" s="1008">
        <f t="shared" si="20"/>
        <v>0</v>
      </c>
      <c r="K164" s="993">
        <f t="shared" si="15"/>
        <v>28.121109000000001</v>
      </c>
      <c r="L164" s="993">
        <f t="shared" si="16"/>
        <v>24.371109000000001</v>
      </c>
      <c r="M164" s="1001" t="s">
        <v>845</v>
      </c>
      <c r="N164" s="997">
        <v>0.45</v>
      </c>
      <c r="P164" s="1036">
        <v>0</v>
      </c>
      <c r="Q164" s="965"/>
    </row>
    <row r="165" spans="1:17" ht="15">
      <c r="A165" s="226">
        <v>35432</v>
      </c>
      <c r="B165" s="974" t="s">
        <v>413</v>
      </c>
      <c r="C165" s="974" t="s">
        <v>413</v>
      </c>
      <c r="D165" s="961">
        <v>25.720991999999999</v>
      </c>
      <c r="E165" s="975">
        <f t="shared" si="14"/>
        <v>-25.720991999999999</v>
      </c>
      <c r="F165" s="999">
        <v>7.5</v>
      </c>
      <c r="G165" s="976">
        <f t="shared" si="17"/>
        <v>0.45</v>
      </c>
      <c r="H165" s="999">
        <f t="shared" si="18"/>
        <v>1</v>
      </c>
      <c r="I165" s="999">
        <f t="shared" si="19"/>
        <v>1</v>
      </c>
      <c r="J165" s="1008">
        <f t="shared" si="20"/>
        <v>0</v>
      </c>
      <c r="K165" s="993">
        <f t="shared" si="15"/>
        <v>25.720991999999999</v>
      </c>
      <c r="L165" s="993">
        <f t="shared" si="16"/>
        <v>21.970991999999999</v>
      </c>
      <c r="M165" s="1001" t="s">
        <v>846</v>
      </c>
      <c r="N165" s="997">
        <v>0.45</v>
      </c>
      <c r="P165" s="1036">
        <v>0</v>
      </c>
      <c r="Q165" s="965"/>
    </row>
    <row r="166" spans="1:17" ht="15">
      <c r="A166" s="226">
        <v>34672</v>
      </c>
      <c r="B166" s="974" t="s">
        <v>413</v>
      </c>
      <c r="C166" s="974" t="s">
        <v>413</v>
      </c>
      <c r="D166" s="961">
        <v>29.327715999999999</v>
      </c>
      <c r="E166" s="975">
        <f t="shared" si="14"/>
        <v>-29.327715999999999</v>
      </c>
      <c r="F166" s="999">
        <v>7.5</v>
      </c>
      <c r="G166" s="976">
        <f t="shared" si="17"/>
        <v>0.45</v>
      </c>
      <c r="H166" s="999">
        <f t="shared" si="18"/>
        <v>1</v>
      </c>
      <c r="I166" s="999">
        <f t="shared" si="19"/>
        <v>1</v>
      </c>
      <c r="J166" s="1008">
        <f t="shared" si="20"/>
        <v>0</v>
      </c>
      <c r="K166" s="993">
        <f t="shared" si="15"/>
        <v>29.327715999999999</v>
      </c>
      <c r="L166" s="993">
        <f t="shared" si="16"/>
        <v>25.577715999999999</v>
      </c>
      <c r="M166" s="1001" t="s">
        <v>847</v>
      </c>
      <c r="N166" s="997">
        <v>0.45</v>
      </c>
      <c r="P166" s="1036">
        <v>0</v>
      </c>
      <c r="Q166" s="965"/>
    </row>
    <row r="167" spans="1:17" ht="15">
      <c r="A167" s="226">
        <v>35492</v>
      </c>
      <c r="B167" s="974" t="s">
        <v>413</v>
      </c>
      <c r="C167" s="974" t="s">
        <v>413</v>
      </c>
      <c r="D167" s="961">
        <v>25.471758000000001</v>
      </c>
      <c r="E167" s="975">
        <f t="shared" si="14"/>
        <v>-25.471758000000001</v>
      </c>
      <c r="F167" s="999">
        <v>7.5</v>
      </c>
      <c r="G167" s="976">
        <f t="shared" si="17"/>
        <v>0.45000000000000007</v>
      </c>
      <c r="H167" s="999">
        <f t="shared" si="18"/>
        <v>1</v>
      </c>
      <c r="I167" s="999">
        <f t="shared" si="19"/>
        <v>1</v>
      </c>
      <c r="J167" s="1008">
        <f t="shared" si="20"/>
        <v>0</v>
      </c>
      <c r="K167" s="993">
        <f t="shared" si="15"/>
        <v>25.471758000000001</v>
      </c>
      <c r="L167" s="993">
        <f t="shared" si="16"/>
        <v>21.721758000000001</v>
      </c>
      <c r="M167" s="1001" t="s">
        <v>848</v>
      </c>
      <c r="N167" s="997">
        <v>0.45</v>
      </c>
      <c r="P167" s="1036">
        <v>0</v>
      </c>
      <c r="Q167" s="965"/>
    </row>
    <row r="168" spans="1:17" ht="15">
      <c r="A168" s="226">
        <v>35360</v>
      </c>
      <c r="B168" s="974" t="s">
        <v>413</v>
      </c>
      <c r="C168" s="974" t="s">
        <v>413</v>
      </c>
      <c r="D168" s="961">
        <v>25.206341999999999</v>
      </c>
      <c r="E168" s="975">
        <f t="shared" si="14"/>
        <v>-25.206341999999999</v>
      </c>
      <c r="F168" s="999">
        <v>7.5</v>
      </c>
      <c r="G168" s="976">
        <f t="shared" si="17"/>
        <v>0.45</v>
      </c>
      <c r="H168" s="999">
        <f t="shared" si="18"/>
        <v>1</v>
      </c>
      <c r="I168" s="999">
        <f t="shared" si="19"/>
        <v>1</v>
      </c>
      <c r="J168" s="1008">
        <f t="shared" si="20"/>
        <v>0</v>
      </c>
      <c r="K168" s="993">
        <f t="shared" si="15"/>
        <v>25.206341999999999</v>
      </c>
      <c r="L168" s="993">
        <f t="shared" si="16"/>
        <v>21.456341999999999</v>
      </c>
      <c r="M168" s="1001" t="s">
        <v>849</v>
      </c>
      <c r="N168" s="997">
        <v>0.45</v>
      </c>
      <c r="P168" s="1036">
        <v>0</v>
      </c>
      <c r="Q168" s="965"/>
    </row>
    <row r="169" spans="1:17" ht="15">
      <c r="A169" s="226">
        <v>35513</v>
      </c>
      <c r="B169" s="974" t="s">
        <v>413</v>
      </c>
      <c r="C169" s="974" t="s">
        <v>413</v>
      </c>
      <c r="D169" s="961">
        <v>25.616378000000001</v>
      </c>
      <c r="E169" s="975">
        <f t="shared" si="14"/>
        <v>-25.616378000000001</v>
      </c>
      <c r="F169" s="999">
        <v>7.5</v>
      </c>
      <c r="G169" s="976">
        <f t="shared" si="17"/>
        <v>0.45</v>
      </c>
      <c r="H169" s="999">
        <f t="shared" si="18"/>
        <v>1</v>
      </c>
      <c r="I169" s="999">
        <f t="shared" si="19"/>
        <v>1</v>
      </c>
      <c r="J169" s="1008">
        <f t="shared" si="20"/>
        <v>0</v>
      </c>
      <c r="K169" s="993">
        <f t="shared" si="15"/>
        <v>25.616378000000001</v>
      </c>
      <c r="L169" s="993">
        <f t="shared" si="16"/>
        <v>21.866378000000001</v>
      </c>
      <c r="M169" s="1001" t="s">
        <v>850</v>
      </c>
      <c r="N169" s="997">
        <v>0.45</v>
      </c>
      <c r="P169" s="1036">
        <v>0</v>
      </c>
      <c r="Q169" s="965"/>
    </row>
    <row r="170" spans="1:17" ht="15">
      <c r="A170" s="226">
        <v>35512</v>
      </c>
      <c r="B170" s="974" t="s">
        <v>413</v>
      </c>
      <c r="C170" s="974" t="s">
        <v>413</v>
      </c>
      <c r="D170" s="961">
        <v>25.541702999999998</v>
      </c>
      <c r="E170" s="975">
        <f t="shared" si="14"/>
        <v>-25.541702999999998</v>
      </c>
      <c r="F170" s="999">
        <v>7.5</v>
      </c>
      <c r="G170" s="976">
        <f t="shared" si="17"/>
        <v>0.45</v>
      </c>
      <c r="H170" s="999">
        <f t="shared" si="18"/>
        <v>1</v>
      </c>
      <c r="I170" s="999">
        <f t="shared" si="19"/>
        <v>1</v>
      </c>
      <c r="J170" s="1008">
        <f t="shared" si="20"/>
        <v>0</v>
      </c>
      <c r="K170" s="993">
        <f t="shared" si="15"/>
        <v>25.541702999999998</v>
      </c>
      <c r="L170" s="993">
        <f t="shared" si="16"/>
        <v>21.791702999999998</v>
      </c>
      <c r="M170" s="1001" t="s">
        <v>851</v>
      </c>
      <c r="N170" s="997">
        <v>0.45</v>
      </c>
      <c r="P170" s="1036">
        <v>0</v>
      </c>
      <c r="Q170" s="965"/>
    </row>
    <row r="171" spans="1:17" ht="15">
      <c r="A171" s="226">
        <v>35551</v>
      </c>
      <c r="B171" s="974" t="s">
        <v>413</v>
      </c>
      <c r="C171" s="974" t="s">
        <v>413</v>
      </c>
      <c r="D171" s="961">
        <v>27.028219</v>
      </c>
      <c r="E171" s="975">
        <f t="shared" si="14"/>
        <v>-27.028219</v>
      </c>
      <c r="F171" s="999">
        <v>7.5</v>
      </c>
      <c r="G171" s="976">
        <f t="shared" si="17"/>
        <v>0.45</v>
      </c>
      <c r="H171" s="999">
        <f t="shared" si="18"/>
        <v>1</v>
      </c>
      <c r="I171" s="999">
        <f t="shared" si="19"/>
        <v>1</v>
      </c>
      <c r="J171" s="1008">
        <f t="shared" si="20"/>
        <v>0</v>
      </c>
      <c r="K171" s="993">
        <f t="shared" si="15"/>
        <v>27.028219</v>
      </c>
      <c r="L171" s="993">
        <f t="shared" si="16"/>
        <v>23.278219</v>
      </c>
      <c r="M171" s="1001" t="s">
        <v>852</v>
      </c>
      <c r="N171" s="997">
        <v>0.45</v>
      </c>
      <c r="P171" s="1036">
        <v>0</v>
      </c>
      <c r="Q171" s="965"/>
    </row>
    <row r="172" spans="1:17" ht="15">
      <c r="A172" s="226">
        <v>35691</v>
      </c>
      <c r="B172" s="974" t="s">
        <v>413</v>
      </c>
      <c r="C172" s="974" t="s">
        <v>413</v>
      </c>
      <c r="D172" s="961">
        <v>28.794791</v>
      </c>
      <c r="E172" s="975">
        <f t="shared" si="14"/>
        <v>-28.794791</v>
      </c>
      <c r="F172" s="999">
        <v>7.5</v>
      </c>
      <c r="G172" s="976">
        <f t="shared" si="17"/>
        <v>0.44999999999999996</v>
      </c>
      <c r="H172" s="999">
        <f t="shared" si="18"/>
        <v>1</v>
      </c>
      <c r="I172" s="999">
        <f t="shared" si="19"/>
        <v>1</v>
      </c>
      <c r="J172" s="1008">
        <f t="shared" si="20"/>
        <v>0</v>
      </c>
      <c r="K172" s="993">
        <f t="shared" si="15"/>
        <v>28.794791</v>
      </c>
      <c r="L172" s="993">
        <f t="shared" si="16"/>
        <v>25.044791</v>
      </c>
      <c r="M172" s="1001" t="s">
        <v>853</v>
      </c>
      <c r="N172" s="997">
        <v>0.45</v>
      </c>
      <c r="P172" s="1036">
        <v>0</v>
      </c>
      <c r="Q172" s="965"/>
    </row>
    <row r="173" spans="1:17" ht="15">
      <c r="A173" s="226">
        <v>35676</v>
      </c>
      <c r="B173" s="974" t="s">
        <v>413</v>
      </c>
      <c r="C173" s="974" t="s">
        <v>413</v>
      </c>
      <c r="D173" s="961">
        <v>28.607958</v>
      </c>
      <c r="E173" s="975">
        <f t="shared" si="14"/>
        <v>-28.607958</v>
      </c>
      <c r="F173" s="999">
        <v>7.5</v>
      </c>
      <c r="G173" s="976">
        <f t="shared" si="17"/>
        <v>0.45</v>
      </c>
      <c r="H173" s="999">
        <f t="shared" si="18"/>
        <v>1</v>
      </c>
      <c r="I173" s="999">
        <f t="shared" si="19"/>
        <v>1</v>
      </c>
      <c r="J173" s="1008">
        <f t="shared" si="20"/>
        <v>0</v>
      </c>
      <c r="K173" s="993">
        <f t="shared" si="15"/>
        <v>28.607958</v>
      </c>
      <c r="L173" s="993">
        <f t="shared" si="16"/>
        <v>24.857958</v>
      </c>
      <c r="M173" s="1001" t="s">
        <v>854</v>
      </c>
      <c r="N173" s="997">
        <v>0.45</v>
      </c>
      <c r="P173" s="1036">
        <v>0</v>
      </c>
      <c r="Q173" s="965"/>
    </row>
    <row r="174" spans="1:17" ht="15">
      <c r="A174" s="226">
        <v>35714</v>
      </c>
      <c r="B174" s="974" t="s">
        <v>413</v>
      </c>
      <c r="C174" s="974" t="s">
        <v>413</v>
      </c>
      <c r="D174" s="961">
        <v>28.737089000000001</v>
      </c>
      <c r="E174" s="975">
        <f t="shared" si="14"/>
        <v>-28.737089000000001</v>
      </c>
      <c r="F174" s="999">
        <v>7.5</v>
      </c>
      <c r="G174" s="976">
        <f t="shared" si="17"/>
        <v>0.45</v>
      </c>
      <c r="H174" s="999">
        <f t="shared" si="18"/>
        <v>1</v>
      </c>
      <c r="I174" s="999">
        <f t="shared" si="19"/>
        <v>1</v>
      </c>
      <c r="J174" s="1008">
        <f t="shared" si="20"/>
        <v>0</v>
      </c>
      <c r="K174" s="993">
        <f t="shared" si="15"/>
        <v>28.737089000000001</v>
      </c>
      <c r="L174" s="993">
        <f t="shared" si="16"/>
        <v>24.987089000000001</v>
      </c>
      <c r="M174" s="1001" t="s">
        <v>855</v>
      </c>
      <c r="N174" s="997">
        <v>0.45</v>
      </c>
      <c r="P174" s="1036">
        <v>0</v>
      </c>
      <c r="Q174" s="965"/>
    </row>
    <row r="175" spans="1:17" ht="15">
      <c r="A175" s="226">
        <v>35715</v>
      </c>
      <c r="B175" s="974" t="s">
        <v>413</v>
      </c>
      <c r="C175" s="974" t="s">
        <v>413</v>
      </c>
      <c r="D175" s="961">
        <v>28.721838999999999</v>
      </c>
      <c r="E175" s="975">
        <f t="shared" si="14"/>
        <v>-28.721838999999999</v>
      </c>
      <c r="F175" s="999">
        <v>7.5</v>
      </c>
      <c r="G175" s="976">
        <f t="shared" si="17"/>
        <v>0.45</v>
      </c>
      <c r="H175" s="999">
        <f t="shared" si="18"/>
        <v>1</v>
      </c>
      <c r="I175" s="999">
        <f t="shared" si="19"/>
        <v>1</v>
      </c>
      <c r="J175" s="1008">
        <f t="shared" si="20"/>
        <v>0</v>
      </c>
      <c r="K175" s="993">
        <f t="shared" si="15"/>
        <v>28.721838999999999</v>
      </c>
      <c r="L175" s="993">
        <f t="shared" si="16"/>
        <v>24.971838999999999</v>
      </c>
      <c r="M175" s="1001" t="s">
        <v>856</v>
      </c>
      <c r="N175" s="997">
        <v>0.45</v>
      </c>
      <c r="P175" s="1036">
        <v>0</v>
      </c>
      <c r="Q175" s="965"/>
    </row>
    <row r="176" spans="1:17" ht="15">
      <c r="A176" s="226">
        <v>39315</v>
      </c>
      <c r="B176" s="974" t="s">
        <v>413</v>
      </c>
      <c r="C176" s="974" t="s">
        <v>413</v>
      </c>
      <c r="D176" s="961">
        <v>24.797381000000001</v>
      </c>
      <c r="E176" s="975">
        <f t="shared" si="14"/>
        <v>-24.797381000000001</v>
      </c>
      <c r="F176" s="999">
        <v>7.5</v>
      </c>
      <c r="G176" s="976">
        <f t="shared" si="17"/>
        <v>0.45</v>
      </c>
      <c r="H176" s="999">
        <f t="shared" si="18"/>
        <v>1</v>
      </c>
      <c r="I176" s="999">
        <f t="shared" si="19"/>
        <v>1</v>
      </c>
      <c r="J176" s="1008">
        <f t="shared" si="20"/>
        <v>0</v>
      </c>
      <c r="K176" s="993">
        <f t="shared" si="15"/>
        <v>24.797381000000001</v>
      </c>
      <c r="L176" s="993">
        <f t="shared" si="16"/>
        <v>21.047381000000001</v>
      </c>
      <c r="M176" s="1001" t="s">
        <v>857</v>
      </c>
      <c r="N176" s="997">
        <v>0.45</v>
      </c>
      <c r="P176" s="1036">
        <v>0</v>
      </c>
      <c r="Q176" s="965"/>
    </row>
    <row r="177" spans="1:17" ht="15">
      <c r="A177" s="226">
        <v>39368</v>
      </c>
      <c r="B177" s="974" t="s">
        <v>413</v>
      </c>
      <c r="C177" s="974" t="s">
        <v>413</v>
      </c>
      <c r="D177" s="961">
        <v>24.997157000000001</v>
      </c>
      <c r="E177" s="975">
        <f t="shared" si="14"/>
        <v>-24.997157000000001</v>
      </c>
      <c r="F177" s="999">
        <v>7.5</v>
      </c>
      <c r="G177" s="976">
        <f t="shared" si="17"/>
        <v>0.45</v>
      </c>
      <c r="H177" s="999">
        <f t="shared" si="18"/>
        <v>1</v>
      </c>
      <c r="I177" s="999">
        <f t="shared" si="19"/>
        <v>1</v>
      </c>
      <c r="J177" s="1008">
        <f t="shared" si="20"/>
        <v>0</v>
      </c>
      <c r="K177" s="993">
        <f t="shared" si="15"/>
        <v>24.997157000000001</v>
      </c>
      <c r="L177" s="993">
        <f t="shared" si="16"/>
        <v>21.247157000000001</v>
      </c>
      <c r="M177" s="1001" t="s">
        <v>858</v>
      </c>
      <c r="N177" s="997">
        <v>0.45</v>
      </c>
      <c r="P177" s="1036">
        <v>0</v>
      </c>
      <c r="Q177" s="965"/>
    </row>
    <row r="178" spans="1:17" ht="15">
      <c r="A178" s="226"/>
      <c r="B178" s="974"/>
      <c r="C178" s="974"/>
      <c r="D178" s="961"/>
      <c r="E178" s="975"/>
      <c r="F178" s="999"/>
      <c r="G178" s="976"/>
      <c r="H178" s="999"/>
      <c r="I178" s="999"/>
      <c r="J178" s="1008"/>
      <c r="K178" s="993"/>
      <c r="L178" s="993"/>
      <c r="M178" s="1001"/>
      <c r="N178" s="997"/>
      <c r="P178" s="1036"/>
      <c r="Q178" s="965"/>
    </row>
    <row r="179" spans="1:17" ht="15">
      <c r="A179" s="226"/>
      <c r="B179" s="974"/>
      <c r="C179" s="974"/>
      <c r="D179" s="961"/>
      <c r="E179" s="975"/>
      <c r="F179" s="999"/>
      <c r="G179" s="976"/>
      <c r="H179" s="999"/>
      <c r="I179" s="999"/>
      <c r="J179" s="1008"/>
      <c r="K179" s="993"/>
      <c r="L179" s="993"/>
      <c r="M179" s="1001"/>
      <c r="N179" s="997"/>
      <c r="P179" s="1036"/>
      <c r="Q179" s="965"/>
    </row>
    <row r="180" spans="1:17" ht="15">
      <c r="A180" s="226"/>
      <c r="B180" s="974"/>
      <c r="C180" s="974"/>
      <c r="D180" s="961"/>
      <c r="E180" s="975"/>
      <c r="F180" s="999"/>
      <c r="G180" s="976"/>
      <c r="H180" s="999"/>
      <c r="I180" s="999"/>
      <c r="J180" s="1008"/>
      <c r="K180" s="993"/>
      <c r="L180" s="993"/>
      <c r="M180" s="1001"/>
      <c r="N180" s="997"/>
      <c r="P180" s="1036"/>
      <c r="Q180" s="965"/>
    </row>
    <row r="181" spans="1:17" ht="15">
      <c r="A181" s="226"/>
      <c r="B181" s="974"/>
      <c r="C181" s="974"/>
      <c r="D181" s="961"/>
      <c r="E181" s="975"/>
      <c r="F181" s="999"/>
      <c r="G181" s="976"/>
      <c r="H181" s="999"/>
      <c r="I181" s="999"/>
      <c r="J181" s="1008"/>
      <c r="K181" s="993"/>
      <c r="L181" s="993"/>
      <c r="M181" s="1001"/>
      <c r="N181" s="997"/>
      <c r="P181" s="1036"/>
      <c r="Q181" s="965"/>
    </row>
    <row r="182" spans="1:17" ht="15">
      <c r="A182" s="226"/>
      <c r="B182" s="974"/>
      <c r="C182" s="974"/>
      <c r="D182" s="961"/>
      <c r="E182" s="975"/>
      <c r="F182" s="999"/>
      <c r="G182" s="976"/>
      <c r="H182" s="999"/>
      <c r="I182" s="999"/>
      <c r="J182" s="1008"/>
      <c r="K182" s="993"/>
      <c r="L182" s="993"/>
      <c r="M182" s="1001"/>
      <c r="N182" s="997"/>
      <c r="P182" s="1036"/>
      <c r="Q182" s="965"/>
    </row>
    <row r="183" spans="1:17" ht="15">
      <c r="A183" s="226"/>
      <c r="B183" s="974"/>
      <c r="C183" s="974"/>
      <c r="D183" s="961"/>
      <c r="E183" s="975"/>
      <c r="F183" s="999"/>
      <c r="G183" s="976"/>
      <c r="H183" s="999"/>
      <c r="I183" s="999"/>
      <c r="J183" s="1008"/>
      <c r="K183" s="993"/>
      <c r="L183" s="993"/>
      <c r="M183" s="1001"/>
      <c r="N183" s="997"/>
      <c r="P183" s="1036"/>
      <c r="Q183" s="965"/>
    </row>
    <row r="184" spans="1:17" ht="15">
      <c r="A184" s="226"/>
      <c r="B184" s="974"/>
      <c r="C184" s="974"/>
      <c r="D184" s="961"/>
      <c r="E184" s="975"/>
      <c r="F184" s="999"/>
      <c r="G184" s="976"/>
      <c r="H184" s="999"/>
      <c r="I184" s="999"/>
      <c r="J184" s="1008"/>
      <c r="K184" s="993"/>
      <c r="L184" s="993"/>
      <c r="M184" s="1001"/>
      <c r="N184" s="997"/>
      <c r="P184" s="1036"/>
      <c r="Q184" s="965"/>
    </row>
    <row r="185" spans="1:17" ht="15">
      <c r="A185" s="226"/>
      <c r="B185" s="974"/>
      <c r="C185" s="974"/>
      <c r="D185" s="961"/>
      <c r="E185" s="975"/>
      <c r="F185" s="999"/>
      <c r="G185" s="976"/>
      <c r="H185" s="999"/>
      <c r="I185" s="999"/>
      <c r="J185" s="1008"/>
      <c r="K185" s="993"/>
      <c r="L185" s="993"/>
      <c r="M185" s="1001"/>
      <c r="N185" s="997"/>
      <c r="P185" s="1036"/>
      <c r="Q185" s="965"/>
    </row>
    <row r="186" spans="1:17" ht="15">
      <c r="A186" s="226"/>
      <c r="B186" s="974"/>
      <c r="C186" s="974"/>
      <c r="D186" s="961"/>
      <c r="E186" s="975"/>
      <c r="F186" s="999"/>
      <c r="G186" s="976"/>
      <c r="H186" s="999"/>
      <c r="I186" s="999"/>
      <c r="J186" s="1008"/>
      <c r="K186" s="993"/>
      <c r="L186" s="993"/>
      <c r="M186" s="1001"/>
      <c r="N186" s="997"/>
      <c r="P186" s="1036"/>
      <c r="Q186" s="965"/>
    </row>
    <row r="187" spans="1:17" ht="15">
      <c r="A187" s="226"/>
      <c r="B187" s="974"/>
      <c r="C187" s="974"/>
      <c r="D187" s="961"/>
      <c r="E187" s="975"/>
      <c r="F187" s="999"/>
      <c r="G187" s="976"/>
      <c r="H187" s="999"/>
      <c r="I187" s="999"/>
      <c r="J187" s="1008"/>
      <c r="K187" s="993"/>
      <c r="L187" s="993"/>
      <c r="M187" s="1001"/>
      <c r="N187" s="997"/>
      <c r="P187" s="1036"/>
      <c r="Q187" s="965"/>
    </row>
    <row r="188" spans="1:17" ht="15">
      <c r="A188" s="226"/>
      <c r="B188" s="974"/>
      <c r="C188" s="974"/>
      <c r="D188" s="961"/>
      <c r="E188" s="975"/>
      <c r="F188" s="999"/>
      <c r="G188" s="976"/>
      <c r="H188" s="999"/>
      <c r="I188" s="999"/>
      <c r="J188" s="1008"/>
      <c r="K188" s="993"/>
      <c r="L188" s="993"/>
      <c r="M188" s="1001"/>
      <c r="N188" s="997"/>
      <c r="P188" s="1036"/>
      <c r="Q188" s="965"/>
    </row>
    <row r="189" spans="1:17" ht="15">
      <c r="A189" s="226"/>
      <c r="B189" s="974"/>
      <c r="C189" s="974"/>
      <c r="D189" s="961"/>
      <c r="E189" s="975"/>
      <c r="F189" s="999"/>
      <c r="G189" s="976"/>
      <c r="H189" s="999"/>
      <c r="I189" s="999"/>
      <c r="J189" s="1008"/>
      <c r="K189" s="993"/>
      <c r="L189" s="993"/>
      <c r="M189" s="1001"/>
      <c r="N189" s="997"/>
      <c r="P189" s="1036"/>
      <c r="Q189" s="965"/>
    </row>
    <row r="190" spans="1:17" ht="15">
      <c r="A190" s="226"/>
      <c r="B190" s="974"/>
      <c r="C190" s="974"/>
      <c r="D190" s="961"/>
      <c r="E190" s="975"/>
      <c r="F190" s="999"/>
      <c r="G190" s="976"/>
      <c r="H190" s="999"/>
      <c r="I190" s="999"/>
      <c r="J190" s="1008"/>
      <c r="K190" s="993"/>
      <c r="L190" s="993"/>
      <c r="M190" s="1001"/>
      <c r="N190" s="997"/>
      <c r="P190" s="1036"/>
      <c r="Q190" s="965"/>
    </row>
    <row r="191" spans="1:17" ht="15">
      <c r="A191" s="226"/>
      <c r="B191" s="974"/>
      <c r="C191" s="974"/>
      <c r="D191" s="961"/>
      <c r="E191" s="975"/>
      <c r="F191" s="999"/>
      <c r="G191" s="976"/>
      <c r="H191" s="999"/>
      <c r="I191" s="999"/>
      <c r="J191" s="1008"/>
      <c r="K191" s="993"/>
      <c r="L191" s="993"/>
      <c r="M191" s="1001"/>
      <c r="N191" s="997"/>
      <c r="P191" s="1036"/>
      <c r="Q191" s="965"/>
    </row>
    <row r="192" spans="1:17" ht="15">
      <c r="A192" s="226"/>
      <c r="B192" s="974"/>
      <c r="C192" s="974"/>
      <c r="D192" s="961"/>
      <c r="E192" s="975"/>
      <c r="F192" s="999"/>
      <c r="G192" s="976"/>
      <c r="H192" s="999"/>
      <c r="I192" s="999"/>
      <c r="J192" s="1008"/>
      <c r="K192" s="993"/>
      <c r="L192" s="993"/>
      <c r="M192" s="1001"/>
      <c r="N192" s="997"/>
      <c r="P192" s="1036"/>
      <c r="Q192" s="965"/>
    </row>
    <row r="193" spans="1:17" ht="15">
      <c r="A193" s="226"/>
      <c r="B193" s="974"/>
      <c r="C193" s="974"/>
      <c r="D193" s="961"/>
      <c r="E193" s="975"/>
      <c r="F193" s="999"/>
      <c r="G193" s="976"/>
      <c r="H193" s="999"/>
      <c r="I193" s="999"/>
      <c r="J193" s="1008"/>
      <c r="K193" s="993"/>
      <c r="L193" s="993"/>
      <c r="M193" s="1001"/>
      <c r="N193" s="997"/>
      <c r="P193" s="1036"/>
      <c r="Q193" s="965"/>
    </row>
    <row r="194" spans="1:17" ht="15">
      <c r="A194" s="226"/>
      <c r="B194" s="974"/>
      <c r="C194" s="974"/>
      <c r="D194" s="961"/>
      <c r="E194" s="975"/>
      <c r="F194" s="999"/>
      <c r="G194" s="976"/>
      <c r="H194" s="999"/>
      <c r="I194" s="999"/>
      <c r="J194" s="1008"/>
      <c r="K194" s="993"/>
      <c r="L194" s="993"/>
      <c r="M194" s="1001"/>
      <c r="N194" s="997"/>
      <c r="P194" s="1036"/>
      <c r="Q194" s="965"/>
    </row>
    <row r="195" spans="1:17" ht="15">
      <c r="A195" s="226"/>
      <c r="B195" s="974"/>
      <c r="C195" s="974"/>
      <c r="D195" s="961"/>
      <c r="E195" s="975"/>
      <c r="F195" s="999"/>
      <c r="G195" s="976"/>
      <c r="H195" s="999"/>
      <c r="I195" s="999"/>
      <c r="J195" s="1008"/>
      <c r="K195" s="993"/>
      <c r="L195" s="993"/>
      <c r="M195" s="1001"/>
      <c r="N195" s="997"/>
      <c r="P195" s="1036"/>
      <c r="Q195" s="965"/>
    </row>
    <row r="196" spans="1:17" ht="15">
      <c r="A196" s="226"/>
      <c r="B196" s="974"/>
      <c r="C196" s="974"/>
      <c r="D196" s="961"/>
      <c r="E196" s="975"/>
      <c r="F196" s="999"/>
      <c r="G196" s="976"/>
      <c r="H196" s="999"/>
      <c r="I196" s="999"/>
      <c r="J196" s="1008"/>
      <c r="K196" s="993"/>
      <c r="L196" s="993"/>
      <c r="M196" s="1001"/>
      <c r="N196" s="997"/>
      <c r="P196" s="1036"/>
      <c r="Q196" s="965"/>
    </row>
    <row r="197" spans="1:17" ht="15">
      <c r="A197" s="226"/>
      <c r="B197" s="974"/>
      <c r="C197" s="974"/>
      <c r="D197" s="961"/>
      <c r="E197" s="975"/>
      <c r="F197" s="999"/>
      <c r="G197" s="976"/>
      <c r="H197" s="999"/>
      <c r="I197" s="999"/>
      <c r="J197" s="1008"/>
      <c r="K197" s="993"/>
      <c r="L197" s="993"/>
      <c r="M197" s="1001"/>
      <c r="N197" s="997"/>
      <c r="P197" s="1036"/>
      <c r="Q197" s="965"/>
    </row>
    <row r="198" spans="1:17" ht="15">
      <c r="A198" s="226"/>
      <c r="B198" s="974"/>
      <c r="C198" s="974"/>
      <c r="D198" s="961"/>
      <c r="E198" s="975"/>
      <c r="F198" s="999"/>
      <c r="G198" s="976"/>
      <c r="H198" s="999"/>
      <c r="I198" s="999"/>
      <c r="J198" s="1008"/>
      <c r="K198" s="993"/>
      <c r="L198" s="993"/>
      <c r="M198" s="1001"/>
      <c r="N198" s="997"/>
      <c r="P198" s="1036"/>
      <c r="Q198" s="965"/>
    </row>
    <row r="199" spans="1:17" ht="15">
      <c r="A199" s="226"/>
      <c r="B199" s="974"/>
      <c r="C199" s="974"/>
      <c r="D199" s="961"/>
      <c r="E199" s="975"/>
      <c r="F199" s="999"/>
      <c r="G199" s="976"/>
      <c r="H199" s="999"/>
      <c r="I199" s="999"/>
      <c r="J199" s="1008"/>
      <c r="K199" s="993"/>
      <c r="L199" s="993"/>
      <c r="M199" s="1001"/>
      <c r="N199" s="997"/>
      <c r="P199" s="1036"/>
      <c r="Q199" s="965"/>
    </row>
    <row r="200" spans="1:17" ht="15">
      <c r="A200" s="226"/>
      <c r="B200" s="974"/>
      <c r="C200" s="974"/>
      <c r="D200" s="961"/>
      <c r="E200" s="975"/>
      <c r="F200" s="999"/>
      <c r="G200" s="976"/>
      <c r="H200" s="999"/>
      <c r="I200" s="999"/>
      <c r="J200" s="1008"/>
      <c r="K200" s="993"/>
      <c r="L200" s="993"/>
      <c r="M200" s="1001"/>
      <c r="N200" s="997"/>
      <c r="P200" s="1036"/>
      <c r="Q200" s="965"/>
    </row>
    <row r="201" spans="1:17" ht="15">
      <c r="A201" s="226"/>
      <c r="B201" s="974"/>
      <c r="C201" s="974"/>
      <c r="D201" s="961"/>
      <c r="E201" s="975"/>
      <c r="F201" s="999"/>
      <c r="G201" s="976"/>
      <c r="H201" s="999"/>
      <c r="I201" s="999"/>
      <c r="J201" s="1008"/>
      <c r="K201" s="993"/>
      <c r="L201" s="993"/>
      <c r="M201" s="1001"/>
      <c r="N201" s="997"/>
      <c r="P201" s="1036"/>
      <c r="Q201" s="965"/>
    </row>
    <row r="202" spans="1:17" ht="15">
      <c r="A202" s="226"/>
      <c r="B202" s="974"/>
      <c r="C202" s="974"/>
      <c r="D202" s="961"/>
      <c r="E202" s="975"/>
      <c r="F202" s="999"/>
      <c r="G202" s="976"/>
      <c r="H202" s="999"/>
      <c r="I202" s="999"/>
      <c r="J202" s="1008"/>
      <c r="K202" s="993"/>
      <c r="L202" s="993"/>
      <c r="M202" s="1001"/>
      <c r="N202" s="997"/>
      <c r="P202" s="1036"/>
      <c r="Q202" s="965"/>
    </row>
    <row r="203" spans="1:17" ht="15">
      <c r="A203" s="226"/>
      <c r="B203" s="974"/>
      <c r="C203" s="974"/>
      <c r="D203" s="961"/>
      <c r="E203" s="975"/>
      <c r="F203" s="999"/>
      <c r="G203" s="976"/>
      <c r="H203" s="999"/>
      <c r="I203" s="999"/>
      <c r="J203" s="1008"/>
      <c r="K203" s="993"/>
      <c r="L203" s="993"/>
      <c r="M203" s="1001"/>
      <c r="N203" s="997"/>
      <c r="P203" s="1036"/>
      <c r="Q203" s="965"/>
    </row>
    <row r="204" spans="1:17" ht="15">
      <c r="A204" s="226"/>
      <c r="B204" s="974"/>
      <c r="C204" s="974"/>
      <c r="D204" s="961"/>
      <c r="E204" s="975"/>
      <c r="F204" s="999"/>
      <c r="G204" s="976"/>
      <c r="H204" s="999"/>
      <c r="I204" s="999"/>
      <c r="J204" s="1008"/>
      <c r="K204" s="993"/>
      <c r="L204" s="993"/>
      <c r="M204" s="1001"/>
      <c r="N204" s="997"/>
      <c r="P204" s="1036"/>
      <c r="Q204" s="965"/>
    </row>
    <row r="205" spans="1:17" ht="15">
      <c r="A205" s="226"/>
      <c r="B205" s="974"/>
      <c r="C205" s="974"/>
      <c r="D205" s="961"/>
      <c r="E205" s="975"/>
      <c r="F205" s="999"/>
      <c r="G205" s="976"/>
      <c r="H205" s="999"/>
      <c r="I205" s="999"/>
      <c r="J205" s="1008"/>
      <c r="K205" s="993"/>
      <c r="L205" s="993"/>
      <c r="M205" s="1001"/>
      <c r="N205" s="997"/>
      <c r="P205" s="1036"/>
      <c r="Q205" s="965"/>
    </row>
    <row r="206" spans="1:17" ht="15">
      <c r="A206" s="226"/>
      <c r="B206" s="974"/>
      <c r="C206" s="974"/>
      <c r="D206" s="961"/>
      <c r="E206" s="975"/>
      <c r="F206" s="999"/>
      <c r="G206" s="976"/>
      <c r="H206" s="999"/>
      <c r="I206" s="999"/>
      <c r="J206" s="1008"/>
      <c r="K206" s="993"/>
      <c r="L206" s="993"/>
      <c r="M206" s="1001"/>
      <c r="N206" s="997"/>
      <c r="P206" s="1036"/>
      <c r="Q206" s="965"/>
    </row>
    <row r="207" spans="1:17" ht="15">
      <c r="A207" s="226"/>
      <c r="B207" s="974"/>
      <c r="C207" s="974"/>
      <c r="D207" s="961"/>
      <c r="E207" s="975"/>
      <c r="F207" s="999"/>
      <c r="G207" s="976"/>
      <c r="H207" s="999"/>
      <c r="I207" s="999"/>
      <c r="J207" s="1008"/>
      <c r="K207" s="993"/>
      <c r="L207" s="993"/>
      <c r="M207" s="1001"/>
      <c r="N207" s="997"/>
      <c r="P207" s="1036"/>
      <c r="Q207" s="965"/>
    </row>
    <row r="208" spans="1:17" ht="15">
      <c r="A208" s="226"/>
      <c r="B208" s="974"/>
      <c r="C208" s="974"/>
      <c r="D208" s="961"/>
      <c r="E208" s="975"/>
      <c r="F208" s="999"/>
      <c r="G208" s="976"/>
      <c r="H208" s="999"/>
      <c r="I208" s="999"/>
      <c r="J208" s="1008"/>
      <c r="K208" s="993"/>
      <c r="L208" s="993"/>
      <c r="M208" s="1001"/>
      <c r="N208" s="997"/>
      <c r="P208" s="1036"/>
      <c r="Q208" s="965"/>
    </row>
    <row r="209" spans="1:17" ht="15">
      <c r="A209" s="226"/>
      <c r="B209" s="974"/>
      <c r="C209" s="974"/>
      <c r="D209" s="961"/>
      <c r="E209" s="975"/>
      <c r="F209" s="999"/>
      <c r="G209" s="976"/>
      <c r="H209" s="999"/>
      <c r="I209" s="999"/>
      <c r="J209" s="1008"/>
      <c r="K209" s="993"/>
      <c r="L209" s="993"/>
      <c r="M209" s="1001"/>
      <c r="N209" s="997"/>
      <c r="P209" s="1036"/>
      <c r="Q209" s="965"/>
    </row>
    <row r="210" spans="1:17" ht="15">
      <c r="A210" s="226"/>
      <c r="B210" s="974"/>
      <c r="C210" s="974"/>
      <c r="D210" s="961"/>
      <c r="E210" s="975"/>
      <c r="F210" s="999"/>
      <c r="G210" s="976"/>
      <c r="H210" s="999"/>
      <c r="I210" s="999"/>
      <c r="J210" s="1008"/>
      <c r="K210" s="993"/>
      <c r="L210" s="993"/>
      <c r="M210" s="1001"/>
      <c r="N210" s="997"/>
      <c r="P210" s="1036"/>
      <c r="Q210" s="965"/>
    </row>
    <row r="211" spans="1:17" ht="15">
      <c r="A211" s="226"/>
      <c r="B211" s="974"/>
      <c r="C211" s="974"/>
      <c r="D211" s="961"/>
      <c r="E211" s="975"/>
      <c r="F211" s="999"/>
      <c r="G211" s="976"/>
      <c r="H211" s="999"/>
      <c r="I211" s="999"/>
      <c r="J211" s="1008"/>
      <c r="K211" s="993"/>
      <c r="L211" s="993"/>
      <c r="M211" s="1001"/>
      <c r="N211" s="997"/>
      <c r="P211" s="1036"/>
      <c r="Q211" s="965"/>
    </row>
    <row r="212" spans="1:17" ht="15">
      <c r="A212" s="226"/>
      <c r="B212" s="974"/>
      <c r="C212" s="974"/>
      <c r="D212" s="961"/>
      <c r="E212" s="975"/>
      <c r="F212" s="999"/>
      <c r="G212" s="976"/>
      <c r="H212" s="999"/>
      <c r="I212" s="999"/>
      <c r="J212" s="1008"/>
      <c r="K212" s="993"/>
      <c r="L212" s="993"/>
      <c r="M212" s="1001"/>
      <c r="N212" s="997"/>
      <c r="P212" s="1036"/>
      <c r="Q212" s="965"/>
    </row>
    <row r="213" spans="1:17" ht="15">
      <c r="A213" s="226"/>
      <c r="B213" s="974"/>
      <c r="C213" s="974"/>
      <c r="D213" s="961"/>
      <c r="E213" s="975"/>
      <c r="F213" s="999"/>
      <c r="G213" s="976"/>
      <c r="H213" s="999"/>
      <c r="I213" s="999"/>
      <c r="J213" s="1008"/>
      <c r="K213" s="993"/>
      <c r="L213" s="993"/>
      <c r="M213" s="1001"/>
      <c r="N213" s="997"/>
      <c r="P213" s="1036"/>
      <c r="Q213" s="965"/>
    </row>
    <row r="214" spans="1:17" ht="15">
      <c r="A214" s="226"/>
      <c r="B214" s="974"/>
      <c r="C214" s="974"/>
      <c r="D214" s="961"/>
      <c r="E214" s="975"/>
      <c r="F214" s="999"/>
      <c r="G214" s="976"/>
      <c r="H214" s="999"/>
      <c r="I214" s="999"/>
      <c r="J214" s="1008"/>
      <c r="K214" s="993"/>
      <c r="L214" s="993"/>
      <c r="M214" s="1001"/>
      <c r="N214" s="997"/>
      <c r="P214" s="1036"/>
      <c r="Q214" s="965"/>
    </row>
    <row r="215" spans="1:17" ht="15">
      <c r="A215" s="226"/>
      <c r="B215" s="974"/>
      <c r="C215" s="974"/>
      <c r="D215" s="961"/>
      <c r="E215" s="975"/>
      <c r="F215" s="999"/>
      <c r="G215" s="976"/>
      <c r="H215" s="999"/>
      <c r="I215" s="999"/>
      <c r="J215" s="1008"/>
      <c r="K215" s="993"/>
      <c r="L215" s="993"/>
      <c r="M215" s="1001"/>
      <c r="N215" s="997"/>
      <c r="P215" s="1036"/>
      <c r="Q215" s="965"/>
    </row>
    <row r="216" spans="1:17" ht="15">
      <c r="A216" s="226"/>
      <c r="B216" s="974"/>
      <c r="C216" s="974"/>
      <c r="D216" s="961"/>
      <c r="E216" s="975"/>
      <c r="F216" s="999"/>
      <c r="G216" s="976"/>
      <c r="H216" s="999"/>
      <c r="I216" s="999"/>
      <c r="J216" s="1008"/>
      <c r="K216" s="993"/>
      <c r="L216" s="993"/>
      <c r="M216" s="1001"/>
      <c r="N216" s="997"/>
      <c r="P216" s="1036"/>
      <c r="Q216" s="965"/>
    </row>
    <row r="217" spans="1:17" ht="15">
      <c r="A217" s="226"/>
      <c r="B217" s="974"/>
      <c r="C217" s="974"/>
      <c r="D217" s="961"/>
      <c r="E217" s="975"/>
      <c r="F217" s="999"/>
      <c r="G217" s="976"/>
      <c r="H217" s="999"/>
      <c r="I217" s="999"/>
      <c r="J217" s="1008"/>
      <c r="K217" s="993"/>
      <c r="L217" s="993"/>
      <c r="M217" s="1001"/>
      <c r="N217" s="997"/>
      <c r="P217" s="1036"/>
      <c r="Q217" s="965"/>
    </row>
    <row r="218" spans="1:17" ht="15">
      <c r="A218" s="226"/>
      <c r="B218" s="974"/>
      <c r="C218" s="974"/>
      <c r="D218" s="961"/>
      <c r="E218" s="975"/>
      <c r="F218" s="999"/>
      <c r="G218" s="976"/>
      <c r="H218" s="999"/>
      <c r="I218" s="999"/>
      <c r="J218" s="1008"/>
      <c r="K218" s="993"/>
      <c r="L218" s="993"/>
      <c r="M218" s="1001"/>
      <c r="N218" s="997"/>
      <c r="P218" s="1036"/>
      <c r="Q218" s="965"/>
    </row>
    <row r="219" spans="1:17" ht="15">
      <c r="A219" s="226"/>
      <c r="B219" s="974"/>
      <c r="C219" s="974"/>
      <c r="D219" s="961"/>
      <c r="E219" s="975"/>
      <c r="F219" s="999"/>
      <c r="G219" s="976"/>
      <c r="H219" s="999"/>
      <c r="I219" s="999"/>
      <c r="J219" s="1008"/>
      <c r="K219" s="993"/>
      <c r="L219" s="993"/>
      <c r="M219" s="1001"/>
      <c r="N219" s="997"/>
      <c r="P219" s="1036"/>
      <c r="Q219" s="965"/>
    </row>
    <row r="220" spans="1:17" ht="15">
      <c r="A220" s="226"/>
      <c r="B220" s="974"/>
      <c r="C220" s="974"/>
      <c r="D220" s="961"/>
      <c r="E220" s="975"/>
      <c r="F220" s="999"/>
      <c r="G220" s="976"/>
      <c r="H220" s="999"/>
      <c r="I220" s="999"/>
      <c r="J220" s="1008"/>
      <c r="K220" s="993"/>
      <c r="L220" s="993"/>
      <c r="M220" s="1001"/>
      <c r="N220" s="997"/>
      <c r="P220" s="1036"/>
      <c r="Q220" s="965"/>
    </row>
    <row r="221" spans="1:17" ht="15">
      <c r="A221" s="226"/>
      <c r="B221" s="974"/>
      <c r="C221" s="974"/>
      <c r="D221" s="961"/>
      <c r="E221" s="975"/>
      <c r="F221" s="999"/>
      <c r="G221" s="976"/>
      <c r="H221" s="999"/>
      <c r="I221" s="999"/>
      <c r="J221" s="1008"/>
      <c r="K221" s="993"/>
      <c r="L221" s="993"/>
      <c r="M221" s="1001"/>
      <c r="N221" s="997"/>
      <c r="P221" s="1036"/>
      <c r="Q221" s="965"/>
    </row>
    <row r="222" spans="1:17" ht="15">
      <c r="A222" s="226"/>
      <c r="B222" s="974"/>
      <c r="C222" s="974"/>
      <c r="D222" s="961"/>
      <c r="E222" s="975"/>
      <c r="F222" s="999"/>
      <c r="G222" s="976"/>
      <c r="H222" s="999"/>
      <c r="I222" s="999"/>
      <c r="J222" s="1008"/>
      <c r="K222" s="993"/>
      <c r="L222" s="993"/>
      <c r="M222" s="1001"/>
      <c r="N222" s="997"/>
      <c r="P222" s="1036"/>
      <c r="Q222" s="965"/>
    </row>
    <row r="223" spans="1:17" ht="15">
      <c r="A223" s="226"/>
      <c r="B223" s="974"/>
      <c r="C223" s="974"/>
      <c r="D223" s="961"/>
      <c r="E223" s="975"/>
      <c r="F223" s="999"/>
      <c r="G223" s="976"/>
      <c r="H223" s="999"/>
      <c r="I223" s="999"/>
      <c r="J223" s="1008"/>
      <c r="K223" s="993"/>
      <c r="L223" s="993"/>
      <c r="M223" s="1001"/>
      <c r="N223" s="997"/>
      <c r="P223" s="1036"/>
      <c r="Q223" s="965"/>
    </row>
    <row r="224" spans="1:17" ht="15">
      <c r="A224" s="226"/>
      <c r="B224" s="974"/>
      <c r="C224" s="974"/>
      <c r="D224" s="961"/>
      <c r="E224" s="975"/>
      <c r="F224" s="999"/>
      <c r="G224" s="976"/>
      <c r="H224" s="999"/>
      <c r="I224" s="999"/>
      <c r="J224" s="1008"/>
      <c r="K224" s="993"/>
      <c r="L224" s="993"/>
      <c r="M224" s="1001"/>
      <c r="N224" s="997"/>
      <c r="P224" s="1036"/>
      <c r="Q224" s="965"/>
    </row>
    <row r="225" spans="1:17" ht="15">
      <c r="A225" s="226"/>
      <c r="B225" s="974"/>
      <c r="C225" s="974"/>
      <c r="D225" s="961"/>
      <c r="E225" s="975"/>
      <c r="F225" s="999"/>
      <c r="G225" s="976"/>
      <c r="H225" s="999"/>
      <c r="I225" s="999"/>
      <c r="J225" s="1008"/>
      <c r="K225" s="993"/>
      <c r="L225" s="993"/>
      <c r="M225" s="1001"/>
      <c r="N225" s="997"/>
      <c r="P225" s="1036"/>
      <c r="Q225" s="965"/>
    </row>
    <row r="226" spans="1:17" ht="15">
      <c r="A226" s="226"/>
      <c r="B226" s="974"/>
      <c r="C226" s="974"/>
      <c r="D226" s="961"/>
      <c r="E226" s="975"/>
      <c r="F226" s="999"/>
      <c r="G226" s="976"/>
      <c r="H226" s="999"/>
      <c r="I226" s="999"/>
      <c r="J226" s="1008"/>
      <c r="K226" s="993"/>
      <c r="L226" s="993"/>
      <c r="M226" s="1001"/>
      <c r="N226" s="997"/>
      <c r="P226" s="1036"/>
      <c r="Q226" s="965"/>
    </row>
    <row r="227" spans="1:17" ht="15">
      <c r="A227" s="226"/>
      <c r="B227" s="974"/>
      <c r="C227" s="974"/>
      <c r="D227" s="961"/>
      <c r="E227" s="975"/>
      <c r="F227" s="999"/>
      <c r="G227" s="976"/>
      <c r="H227" s="999"/>
      <c r="I227" s="999"/>
      <c r="J227" s="1008"/>
      <c r="K227" s="993"/>
      <c r="L227" s="993"/>
      <c r="M227" s="1001"/>
      <c r="N227" s="997"/>
      <c r="P227" s="1036"/>
      <c r="Q227" s="965"/>
    </row>
    <row r="228" spans="1:17" ht="15">
      <c r="A228" s="226"/>
      <c r="B228" s="974"/>
      <c r="C228" s="974"/>
      <c r="D228" s="961"/>
      <c r="E228" s="975"/>
      <c r="F228" s="999"/>
      <c r="G228" s="976"/>
      <c r="H228" s="999"/>
      <c r="I228" s="999"/>
      <c r="J228" s="1008"/>
      <c r="K228" s="993"/>
      <c r="L228" s="993"/>
      <c r="M228" s="1001"/>
      <c r="N228" s="997"/>
      <c r="P228" s="1036"/>
      <c r="Q228" s="965"/>
    </row>
    <row r="229" spans="1:17" ht="15">
      <c r="A229" s="226"/>
      <c r="B229" s="974"/>
      <c r="C229" s="974"/>
      <c r="D229" s="961"/>
      <c r="E229" s="975"/>
      <c r="F229" s="999"/>
      <c r="G229" s="976"/>
      <c r="H229" s="999"/>
      <c r="I229" s="999"/>
      <c r="J229" s="1008"/>
      <c r="K229" s="993"/>
      <c r="L229" s="993"/>
      <c r="M229" s="1001"/>
      <c r="N229" s="997"/>
      <c r="P229" s="1036"/>
      <c r="Q229" s="965"/>
    </row>
    <row r="230" spans="1:17" ht="15">
      <c r="A230" s="226"/>
      <c r="B230" s="974"/>
      <c r="C230" s="974"/>
      <c r="D230" s="961"/>
      <c r="E230" s="975"/>
      <c r="F230" s="999"/>
      <c r="G230" s="976"/>
      <c r="H230" s="999"/>
      <c r="I230" s="999"/>
      <c r="J230" s="1008"/>
      <c r="K230" s="993"/>
      <c r="L230" s="993"/>
      <c r="M230" s="1001"/>
      <c r="N230" s="997"/>
      <c r="P230" s="1036"/>
      <c r="Q230" s="965"/>
    </row>
    <row r="231" spans="1:17" ht="15">
      <c r="A231" s="226"/>
      <c r="B231" s="974"/>
      <c r="C231" s="974"/>
      <c r="D231" s="961"/>
      <c r="E231" s="975"/>
      <c r="F231" s="999"/>
      <c r="G231" s="976"/>
      <c r="H231" s="999"/>
      <c r="I231" s="999"/>
      <c r="J231" s="1008"/>
      <c r="K231" s="993"/>
      <c r="L231" s="993"/>
      <c r="M231" s="1001"/>
      <c r="N231" s="997"/>
      <c r="P231" s="1036"/>
      <c r="Q231" s="965"/>
    </row>
    <row r="232" spans="1:17" ht="15">
      <c r="A232" s="226"/>
      <c r="B232" s="974"/>
      <c r="C232" s="974"/>
      <c r="D232" s="961"/>
      <c r="E232" s="975"/>
      <c r="F232" s="999"/>
      <c r="G232" s="976"/>
      <c r="H232" s="999"/>
      <c r="I232" s="999"/>
      <c r="J232" s="1008"/>
      <c r="K232" s="993"/>
      <c r="L232" s="993"/>
      <c r="M232" s="1001"/>
      <c r="N232" s="997"/>
      <c r="P232" s="1036"/>
      <c r="Q232" s="965"/>
    </row>
    <row r="233" spans="1:17" ht="15">
      <c r="A233" s="226"/>
      <c r="B233" s="974"/>
      <c r="C233" s="974"/>
      <c r="D233" s="961"/>
      <c r="E233" s="975"/>
      <c r="F233" s="999"/>
      <c r="G233" s="976"/>
      <c r="H233" s="999"/>
      <c r="I233" s="999"/>
      <c r="J233" s="1008"/>
      <c r="K233" s="993"/>
      <c r="L233" s="993"/>
      <c r="M233" s="1001"/>
      <c r="N233" s="997"/>
      <c r="P233" s="1036"/>
      <c r="Q233" s="965"/>
    </row>
    <row r="234" spans="1:17" ht="15">
      <c r="A234" s="226"/>
      <c r="B234" s="974"/>
      <c r="C234" s="974"/>
      <c r="D234" s="961"/>
      <c r="E234" s="975"/>
      <c r="F234" s="999"/>
      <c r="G234" s="976"/>
      <c r="H234" s="999"/>
      <c r="I234" s="999"/>
      <c r="J234" s="1008"/>
      <c r="K234" s="993"/>
      <c r="L234" s="993"/>
      <c r="M234" s="1001"/>
      <c r="N234" s="997"/>
      <c r="P234" s="1036"/>
      <c r="Q234" s="965"/>
    </row>
    <row r="235" spans="1:17" ht="15">
      <c r="A235" s="226"/>
      <c r="B235" s="974"/>
      <c r="C235" s="974"/>
      <c r="D235" s="961"/>
      <c r="E235" s="975"/>
      <c r="F235" s="999"/>
      <c r="G235" s="976"/>
      <c r="H235" s="999"/>
      <c r="I235" s="999"/>
      <c r="J235" s="1008"/>
      <c r="K235" s="993"/>
      <c r="L235" s="993"/>
      <c r="M235" s="1001"/>
      <c r="N235" s="997"/>
      <c r="P235" s="1036"/>
      <c r="Q235" s="965"/>
    </row>
    <row r="236" spans="1:17" ht="15">
      <c r="A236" s="226"/>
      <c r="B236" s="974"/>
      <c r="C236" s="974"/>
      <c r="D236" s="961"/>
      <c r="E236" s="975"/>
      <c r="F236" s="999"/>
      <c r="G236" s="976"/>
      <c r="H236" s="999"/>
      <c r="I236" s="999"/>
      <c r="J236" s="1008"/>
      <c r="K236" s="993"/>
      <c r="L236" s="993"/>
      <c r="M236" s="1001"/>
      <c r="N236" s="997"/>
      <c r="P236" s="1036"/>
      <c r="Q236" s="965"/>
    </row>
    <row r="237" spans="1:17" ht="15">
      <c r="A237" s="226"/>
      <c r="B237" s="974"/>
      <c r="C237" s="974"/>
      <c r="D237" s="961"/>
      <c r="E237" s="975"/>
      <c r="F237" s="999"/>
      <c r="G237" s="976"/>
      <c r="H237" s="999"/>
      <c r="I237" s="999"/>
      <c r="J237" s="1008"/>
      <c r="K237" s="993"/>
      <c r="L237" s="993"/>
      <c r="M237" s="1001"/>
      <c r="N237" s="997"/>
      <c r="P237" s="1036"/>
      <c r="Q237" s="965"/>
    </row>
    <row r="238" spans="1:17" ht="15">
      <c r="A238" s="964"/>
      <c r="B238" s="974"/>
      <c r="C238" s="974"/>
      <c r="D238" s="961"/>
      <c r="E238" s="975"/>
      <c r="F238" s="999"/>
      <c r="G238" s="976"/>
      <c r="H238" s="999"/>
      <c r="I238" s="999"/>
      <c r="J238" s="1008"/>
      <c r="K238" s="993"/>
      <c r="L238" s="993"/>
      <c r="M238" s="1001"/>
      <c r="N238" s="997"/>
      <c r="P238" s="1036"/>
      <c r="Q238" s="965"/>
    </row>
    <row r="239" spans="1:17" ht="15">
      <c r="A239" s="964"/>
      <c r="B239" s="974"/>
      <c r="C239" s="974"/>
      <c r="D239" s="961"/>
      <c r="E239" s="975"/>
      <c r="F239" s="999"/>
      <c r="G239" s="976"/>
      <c r="H239" s="999"/>
      <c r="I239" s="999"/>
      <c r="J239" s="1008"/>
      <c r="K239" s="993"/>
      <c r="L239" s="993"/>
      <c r="M239" s="1001"/>
      <c r="N239" s="997"/>
      <c r="P239" s="1036"/>
      <c r="Q239" s="965"/>
    </row>
    <row r="240" spans="1:17" ht="15">
      <c r="A240" s="964"/>
      <c r="B240" s="974"/>
      <c r="C240" s="974"/>
      <c r="D240" s="961"/>
      <c r="E240" s="975"/>
      <c r="F240" s="999"/>
      <c r="G240" s="976"/>
      <c r="H240" s="999"/>
      <c r="I240" s="999"/>
      <c r="J240" s="1008"/>
      <c r="K240" s="993"/>
      <c r="L240" s="993"/>
      <c r="M240" s="1001"/>
      <c r="N240" s="997"/>
      <c r="P240" s="1036"/>
      <c r="Q240" s="965"/>
    </row>
    <row r="241" spans="1:17" ht="15">
      <c r="A241" s="964"/>
      <c r="B241" s="974"/>
      <c r="C241" s="974"/>
      <c r="D241" s="961"/>
      <c r="E241" s="975"/>
      <c r="F241" s="999"/>
      <c r="G241" s="976"/>
      <c r="H241" s="999"/>
      <c r="I241" s="999"/>
      <c r="J241" s="1008"/>
      <c r="K241" s="993"/>
      <c r="L241" s="993"/>
      <c r="M241" s="1001"/>
      <c r="N241" s="997"/>
      <c r="P241" s="1036"/>
      <c r="Q241" s="965"/>
    </row>
    <row r="242" spans="1:17" ht="15">
      <c r="A242" s="964"/>
      <c r="B242" s="974"/>
      <c r="C242" s="974"/>
      <c r="D242" s="961"/>
      <c r="E242" s="975"/>
      <c r="F242" s="999"/>
      <c r="G242" s="976"/>
      <c r="H242" s="999"/>
      <c r="I242" s="999"/>
      <c r="J242" s="1008"/>
      <c r="K242" s="993"/>
      <c r="L242" s="993"/>
      <c r="M242" s="1001"/>
      <c r="N242" s="997"/>
      <c r="P242" s="1036"/>
      <c r="Q242" s="965"/>
    </row>
    <row r="243" spans="1:17" ht="15">
      <c r="A243" s="964"/>
      <c r="B243" s="974"/>
      <c r="C243" s="974"/>
      <c r="D243" s="961"/>
      <c r="E243" s="975"/>
      <c r="F243" s="999"/>
      <c r="G243" s="976"/>
      <c r="H243" s="999"/>
      <c r="I243" s="999"/>
      <c r="J243" s="1008"/>
      <c r="K243" s="993"/>
      <c r="L243" s="993"/>
      <c r="M243" s="1001"/>
      <c r="N243" s="997"/>
      <c r="P243" s="1036"/>
      <c r="Q243" s="965"/>
    </row>
    <row r="244" spans="1:17" ht="15">
      <c r="A244" s="964"/>
      <c r="B244" s="974"/>
      <c r="C244" s="974"/>
      <c r="D244" s="961"/>
      <c r="E244" s="975"/>
      <c r="F244" s="999"/>
      <c r="G244" s="976"/>
      <c r="H244" s="999"/>
      <c r="I244" s="999"/>
      <c r="J244" s="1008"/>
      <c r="K244" s="993"/>
      <c r="L244" s="993"/>
      <c r="M244" s="1001"/>
      <c r="N244" s="997"/>
      <c r="P244" s="1036"/>
      <c r="Q244" s="965"/>
    </row>
    <row r="245" spans="1:17" ht="15">
      <c r="A245" s="964"/>
      <c r="B245" s="974"/>
      <c r="C245" s="974"/>
      <c r="D245" s="961"/>
      <c r="E245" s="975"/>
      <c r="F245" s="999"/>
      <c r="G245" s="976"/>
      <c r="H245" s="999"/>
      <c r="I245" s="999"/>
      <c r="J245" s="1008"/>
      <c r="K245" s="993"/>
      <c r="L245" s="993"/>
      <c r="M245" s="1001"/>
      <c r="N245" s="997"/>
      <c r="P245" s="1036"/>
      <c r="Q245" s="965"/>
    </row>
    <row r="246" spans="1:17" ht="15">
      <c r="A246" s="964"/>
      <c r="B246" s="974"/>
      <c r="C246" s="974"/>
      <c r="D246" s="961"/>
      <c r="E246" s="975"/>
      <c r="F246" s="999"/>
      <c r="G246" s="976"/>
      <c r="H246" s="999"/>
      <c r="I246" s="999"/>
      <c r="J246" s="1008"/>
      <c r="K246" s="993"/>
      <c r="L246" s="993"/>
      <c r="M246" s="1001"/>
      <c r="N246" s="997"/>
      <c r="P246" s="1036"/>
      <c r="Q246" s="965"/>
    </row>
    <row r="247" spans="1:17" ht="15">
      <c r="A247" s="964"/>
      <c r="B247" s="974"/>
      <c r="C247" s="974"/>
      <c r="D247" s="961"/>
      <c r="E247" s="975"/>
      <c r="F247" s="999"/>
      <c r="G247" s="976"/>
      <c r="H247" s="999"/>
      <c r="I247" s="999"/>
      <c r="J247" s="1008"/>
      <c r="K247" s="993"/>
      <c r="L247" s="993"/>
      <c r="M247" s="1001"/>
      <c r="N247" s="997"/>
      <c r="P247" s="1036"/>
      <c r="Q247" s="965"/>
    </row>
    <row r="248" spans="1:17" ht="15">
      <c r="A248" s="964"/>
      <c r="B248" s="974"/>
      <c r="C248" s="974"/>
      <c r="D248" s="961"/>
      <c r="E248" s="975"/>
      <c r="F248" s="999"/>
      <c r="G248" s="976"/>
      <c r="H248" s="999"/>
      <c r="I248" s="999"/>
      <c r="J248" s="1008"/>
      <c r="K248" s="993"/>
      <c r="L248" s="993"/>
      <c r="M248" s="1001"/>
      <c r="N248" s="997"/>
      <c r="P248" s="1036"/>
      <c r="Q248" s="965"/>
    </row>
    <row r="249" spans="1:17" ht="15">
      <c r="A249" s="964"/>
      <c r="B249" s="974"/>
      <c r="C249" s="974"/>
      <c r="D249" s="961"/>
      <c r="E249" s="975"/>
      <c r="F249" s="999"/>
      <c r="G249" s="976"/>
      <c r="H249" s="999"/>
      <c r="I249" s="999"/>
      <c r="J249" s="1008"/>
      <c r="K249" s="993"/>
      <c r="L249" s="993"/>
      <c r="M249" s="1001"/>
      <c r="N249" s="997"/>
      <c r="P249" s="1036"/>
      <c r="Q249" s="965"/>
    </row>
    <row r="250" spans="1:17" ht="15">
      <c r="A250" s="964"/>
      <c r="B250" s="974"/>
      <c r="C250" s="974"/>
      <c r="D250" s="961"/>
      <c r="E250" s="975"/>
      <c r="F250" s="999"/>
      <c r="G250" s="976"/>
      <c r="H250" s="999"/>
      <c r="I250" s="999"/>
      <c r="J250" s="1008"/>
      <c r="K250" s="993"/>
      <c r="L250" s="993"/>
      <c r="M250" s="1001"/>
      <c r="N250" s="997"/>
      <c r="P250" s="1036"/>
      <c r="Q250" s="965"/>
    </row>
    <row r="251" spans="1:17" ht="15">
      <c r="A251" s="964"/>
      <c r="B251" s="974"/>
      <c r="C251" s="974"/>
      <c r="D251" s="961"/>
      <c r="E251" s="975"/>
      <c r="F251" s="999"/>
      <c r="G251" s="976"/>
      <c r="H251" s="999"/>
      <c r="I251" s="999"/>
      <c r="J251" s="1008"/>
      <c r="K251" s="993"/>
      <c r="L251" s="993"/>
      <c r="M251" s="1001"/>
      <c r="N251" s="997"/>
      <c r="P251" s="1036"/>
      <c r="Q251" s="965"/>
    </row>
    <row r="252" spans="1:17" ht="15">
      <c r="A252" s="964"/>
      <c r="B252" s="974"/>
      <c r="C252" s="974"/>
      <c r="D252" s="961"/>
      <c r="E252" s="975"/>
      <c r="F252" s="999"/>
      <c r="G252" s="976"/>
      <c r="H252" s="999"/>
      <c r="I252" s="999"/>
      <c r="J252" s="1008"/>
      <c r="K252" s="993"/>
      <c r="L252" s="993"/>
      <c r="M252" s="1001"/>
      <c r="N252" s="997"/>
      <c r="P252" s="1036"/>
      <c r="Q252" s="965"/>
    </row>
    <row r="253" spans="1:17" ht="15">
      <c r="A253" s="964"/>
      <c r="B253" s="974"/>
      <c r="C253" s="974"/>
      <c r="D253" s="961"/>
      <c r="E253" s="975"/>
      <c r="F253" s="999"/>
      <c r="G253" s="976"/>
      <c r="H253" s="999"/>
      <c r="I253" s="999"/>
      <c r="J253" s="1008"/>
      <c r="K253" s="993"/>
      <c r="L253" s="993"/>
      <c r="M253" s="1001"/>
      <c r="N253" s="997"/>
      <c r="P253" s="1036"/>
      <c r="Q253" s="965"/>
    </row>
    <row r="254" spans="1:17" ht="15">
      <c r="A254" s="964"/>
      <c r="B254" s="974"/>
      <c r="C254" s="974"/>
      <c r="D254" s="961"/>
      <c r="E254" s="975"/>
      <c r="F254" s="999"/>
      <c r="G254" s="976"/>
      <c r="H254" s="999"/>
      <c r="I254" s="999"/>
      <c r="J254" s="1008"/>
      <c r="K254" s="993"/>
      <c r="L254" s="993"/>
      <c r="M254" s="1001"/>
      <c r="N254" s="997"/>
      <c r="P254" s="1036"/>
      <c r="Q254" s="965"/>
    </row>
    <row r="255" spans="1:17" ht="15">
      <c r="A255" s="964"/>
      <c r="B255" s="974"/>
      <c r="C255" s="974"/>
      <c r="D255" s="961"/>
      <c r="E255" s="975"/>
      <c r="F255" s="999"/>
      <c r="G255" s="976"/>
      <c r="H255" s="999"/>
      <c r="I255" s="999"/>
      <c r="J255" s="1008"/>
      <c r="K255" s="993"/>
      <c r="L255" s="993"/>
      <c r="M255" s="1001"/>
      <c r="N255" s="997"/>
      <c r="P255" s="1036"/>
      <c r="Q255" s="965"/>
    </row>
    <row r="256" spans="1:17" ht="15">
      <c r="A256" s="964"/>
      <c r="B256" s="974"/>
      <c r="C256" s="974"/>
      <c r="D256" s="961"/>
      <c r="E256" s="975"/>
      <c r="F256" s="999"/>
      <c r="G256" s="976"/>
      <c r="H256" s="999"/>
      <c r="I256" s="999"/>
      <c r="J256" s="1008"/>
      <c r="K256" s="993"/>
      <c r="L256" s="993"/>
      <c r="M256" s="1001"/>
      <c r="N256" s="997"/>
      <c r="P256" s="1036"/>
      <c r="Q256" s="965"/>
    </row>
    <row r="257" spans="1:17" ht="15">
      <c r="A257" s="964"/>
      <c r="B257" s="974"/>
      <c r="C257" s="974"/>
      <c r="D257" s="961"/>
      <c r="E257" s="975"/>
      <c r="F257" s="999"/>
      <c r="G257" s="976"/>
      <c r="H257" s="999"/>
      <c r="I257" s="999"/>
      <c r="J257" s="1008"/>
      <c r="K257" s="993"/>
      <c r="L257" s="993"/>
      <c r="M257" s="1001"/>
      <c r="N257" s="997"/>
      <c r="P257" s="1036"/>
      <c r="Q257" s="965"/>
    </row>
    <row r="258" spans="1:17" ht="15">
      <c r="A258" s="964"/>
      <c r="B258" s="974"/>
      <c r="C258" s="974"/>
      <c r="D258" s="961"/>
      <c r="E258" s="975"/>
      <c r="F258" s="999"/>
      <c r="G258" s="976"/>
      <c r="H258" s="999"/>
      <c r="I258" s="999"/>
      <c r="J258" s="1008"/>
      <c r="K258" s="993"/>
      <c r="L258" s="993"/>
      <c r="M258" s="1001"/>
      <c r="N258" s="997"/>
      <c r="P258" s="1036"/>
      <c r="Q258" s="965"/>
    </row>
    <row r="259" spans="1:17" ht="15">
      <c r="A259" s="964"/>
      <c r="B259" s="974"/>
      <c r="C259" s="974"/>
      <c r="D259" s="961"/>
      <c r="E259" s="975"/>
      <c r="F259" s="999"/>
      <c r="G259" s="976"/>
      <c r="H259" s="999"/>
      <c r="I259" s="999"/>
      <c r="J259" s="1008"/>
      <c r="K259" s="993"/>
      <c r="L259" s="993"/>
      <c r="M259" s="1001"/>
      <c r="N259" s="997"/>
      <c r="P259" s="1036"/>
      <c r="Q259" s="965"/>
    </row>
    <row r="260" spans="1:17" ht="15">
      <c r="A260" s="964"/>
      <c r="B260" s="974"/>
      <c r="C260" s="974"/>
      <c r="D260" s="961"/>
      <c r="E260" s="975"/>
      <c r="F260" s="999"/>
      <c r="G260" s="976"/>
      <c r="H260" s="999"/>
      <c r="I260" s="999"/>
      <c r="J260" s="1008"/>
      <c r="K260" s="993"/>
      <c r="L260" s="993"/>
      <c r="M260" s="1001"/>
      <c r="N260" s="997"/>
      <c r="P260" s="1036"/>
      <c r="Q260" s="965"/>
    </row>
    <row r="261" spans="1:17" ht="15">
      <c r="A261" s="964"/>
      <c r="B261" s="974"/>
      <c r="C261" s="974"/>
      <c r="D261" s="961"/>
      <c r="E261" s="975"/>
      <c r="F261" s="999"/>
      <c r="G261" s="976"/>
      <c r="H261" s="999"/>
      <c r="I261" s="999"/>
      <c r="J261" s="1008"/>
      <c r="K261" s="993"/>
      <c r="L261" s="993"/>
      <c r="M261" s="1001"/>
      <c r="N261" s="997"/>
      <c r="P261" s="1036"/>
      <c r="Q261" s="965"/>
    </row>
    <row r="262" spans="1:17" ht="15">
      <c r="A262" s="964"/>
      <c r="B262" s="974"/>
      <c r="C262" s="974"/>
      <c r="D262" s="961"/>
      <c r="E262" s="975"/>
      <c r="F262" s="999"/>
      <c r="G262" s="976"/>
      <c r="H262" s="999"/>
      <c r="I262" s="999"/>
      <c r="J262" s="1008"/>
      <c r="K262" s="993"/>
      <c r="L262" s="993"/>
      <c r="M262" s="1001"/>
      <c r="N262" s="997"/>
      <c r="P262" s="1036"/>
      <c r="Q262" s="965"/>
    </row>
    <row r="263" spans="1:17" ht="15">
      <c r="A263" s="964"/>
      <c r="B263" s="974"/>
      <c r="C263" s="974"/>
      <c r="D263" s="961"/>
      <c r="E263" s="975"/>
      <c r="F263" s="999"/>
      <c r="G263" s="976"/>
      <c r="H263" s="999"/>
      <c r="I263" s="999"/>
      <c r="J263" s="1008"/>
      <c r="K263" s="993"/>
      <c r="L263" s="993"/>
      <c r="M263" s="1001"/>
      <c r="N263" s="997"/>
      <c r="P263" s="1036"/>
      <c r="Q263" s="965"/>
    </row>
    <row r="264" spans="1:17" ht="15">
      <c r="A264" s="964"/>
      <c r="B264" s="974"/>
      <c r="C264" s="974"/>
      <c r="D264" s="961"/>
      <c r="E264" s="975"/>
      <c r="F264" s="999"/>
      <c r="G264" s="976"/>
      <c r="H264" s="999"/>
      <c r="I264" s="999"/>
      <c r="J264" s="1008"/>
      <c r="K264" s="993"/>
      <c r="L264" s="993"/>
      <c r="M264" s="1001"/>
      <c r="N264" s="997"/>
      <c r="P264" s="1036"/>
      <c r="Q264" s="965"/>
    </row>
    <row r="265" spans="1:17" ht="15">
      <c r="A265" s="964"/>
      <c r="B265" s="974"/>
      <c r="C265" s="974"/>
      <c r="D265" s="961"/>
      <c r="E265" s="975"/>
      <c r="F265" s="999"/>
      <c r="G265" s="976"/>
      <c r="H265" s="999"/>
      <c r="I265" s="999"/>
      <c r="J265" s="1008"/>
      <c r="K265" s="993"/>
      <c r="L265" s="993"/>
      <c r="M265" s="1001"/>
      <c r="N265" s="997"/>
      <c r="P265" s="1036"/>
      <c r="Q265" s="965"/>
    </row>
    <row r="266" spans="1:17" ht="15">
      <c r="A266" s="964"/>
      <c r="B266" s="974"/>
      <c r="C266" s="974"/>
      <c r="D266" s="961"/>
      <c r="E266" s="975"/>
      <c r="F266" s="999"/>
      <c r="G266" s="976"/>
      <c r="H266" s="999"/>
      <c r="I266" s="999"/>
      <c r="J266" s="1008"/>
      <c r="K266" s="993"/>
      <c r="L266" s="993"/>
      <c r="M266" s="1001"/>
      <c r="N266" s="997"/>
      <c r="P266" s="1036"/>
      <c r="Q266" s="965"/>
    </row>
    <row r="267" spans="1:17" ht="15">
      <c r="A267" s="964"/>
      <c r="B267" s="974"/>
      <c r="C267" s="974"/>
      <c r="D267" s="961"/>
      <c r="E267" s="975"/>
      <c r="F267" s="999"/>
      <c r="G267" s="976"/>
      <c r="H267" s="999"/>
      <c r="I267" s="999"/>
      <c r="J267" s="1008"/>
      <c r="K267" s="993"/>
      <c r="L267" s="993"/>
      <c r="M267" s="1001"/>
      <c r="N267" s="997"/>
      <c r="P267" s="1036"/>
      <c r="Q267" s="965"/>
    </row>
    <row r="268" spans="1:17" ht="15">
      <c r="A268" s="964"/>
      <c r="B268" s="974"/>
      <c r="C268" s="974"/>
      <c r="D268" s="961"/>
      <c r="E268" s="975"/>
      <c r="F268" s="999"/>
      <c r="G268" s="976"/>
      <c r="H268" s="999"/>
      <c r="I268" s="999"/>
      <c r="J268" s="1008"/>
      <c r="K268" s="993"/>
      <c r="L268" s="993"/>
      <c r="M268" s="1001"/>
      <c r="N268" s="997"/>
      <c r="P268" s="1036"/>
      <c r="Q268" s="965"/>
    </row>
    <row r="269" spans="1:17" ht="15">
      <c r="A269" s="964"/>
      <c r="B269" s="974"/>
      <c r="C269" s="974"/>
      <c r="D269" s="961"/>
      <c r="E269" s="975"/>
      <c r="F269" s="999"/>
      <c r="G269" s="976"/>
      <c r="H269" s="999"/>
      <c r="I269" s="999"/>
      <c r="J269" s="1008"/>
      <c r="K269" s="993"/>
      <c r="L269" s="993"/>
      <c r="M269" s="1001"/>
      <c r="N269" s="997"/>
      <c r="P269" s="1036"/>
      <c r="Q269" s="965"/>
    </row>
    <row r="270" spans="1:17" ht="15">
      <c r="A270" s="964"/>
      <c r="B270" s="974"/>
      <c r="C270" s="974"/>
      <c r="D270" s="961"/>
      <c r="E270" s="975"/>
      <c r="F270" s="999"/>
      <c r="G270" s="976"/>
      <c r="H270" s="999"/>
      <c r="I270" s="999"/>
      <c r="J270" s="1008"/>
      <c r="K270" s="993"/>
      <c r="L270" s="993"/>
      <c r="M270" s="1001"/>
      <c r="N270" s="997"/>
      <c r="P270" s="1036"/>
      <c r="Q270" s="965"/>
    </row>
    <row r="271" spans="1:17" ht="15">
      <c r="A271" s="964"/>
      <c r="B271" s="974"/>
      <c r="C271" s="974"/>
      <c r="D271" s="961"/>
      <c r="E271" s="975"/>
      <c r="F271" s="999"/>
      <c r="G271" s="976"/>
      <c r="H271" s="999"/>
      <c r="I271" s="999"/>
      <c r="J271" s="1008"/>
      <c r="K271" s="993"/>
      <c r="L271" s="993"/>
      <c r="M271" s="1001"/>
      <c r="N271" s="997"/>
      <c r="P271" s="1036"/>
      <c r="Q271" s="965"/>
    </row>
    <row r="272" spans="1:17" ht="15">
      <c r="A272" s="964"/>
      <c r="B272" s="974"/>
      <c r="C272" s="974"/>
      <c r="D272" s="961"/>
      <c r="E272" s="975"/>
      <c r="F272" s="999"/>
      <c r="G272" s="976"/>
      <c r="H272" s="999"/>
      <c r="I272" s="999"/>
      <c r="J272" s="1008"/>
      <c r="K272" s="993"/>
      <c r="L272" s="993"/>
      <c r="M272" s="1001"/>
      <c r="N272" s="997"/>
      <c r="P272" s="1036"/>
      <c r="Q272" s="965"/>
    </row>
    <row r="273" spans="1:17" ht="15">
      <c r="A273" s="964"/>
      <c r="B273" s="974"/>
      <c r="C273" s="974"/>
      <c r="D273" s="961"/>
      <c r="E273" s="975"/>
      <c r="F273" s="999"/>
      <c r="G273" s="976"/>
      <c r="H273" s="999"/>
      <c r="I273" s="999"/>
      <c r="J273" s="1008"/>
      <c r="K273" s="993"/>
      <c r="L273" s="993"/>
      <c r="M273" s="1001"/>
      <c r="N273" s="997"/>
      <c r="P273" s="1036"/>
      <c r="Q273" s="965"/>
    </row>
    <row r="274" spans="1:17" ht="15">
      <c r="A274" s="964"/>
      <c r="B274" s="974"/>
      <c r="C274" s="974"/>
      <c r="D274" s="961"/>
      <c r="E274" s="975"/>
      <c r="F274" s="999"/>
      <c r="G274" s="976"/>
      <c r="H274" s="999"/>
      <c r="I274" s="999"/>
      <c r="J274" s="1008"/>
      <c r="K274" s="993"/>
      <c r="L274" s="993"/>
      <c r="M274" s="1001"/>
      <c r="N274" s="997"/>
      <c r="P274" s="1036"/>
      <c r="Q274" s="965"/>
    </row>
    <row r="275" spans="1:17" ht="15">
      <c r="A275" s="964"/>
      <c r="B275" s="974"/>
      <c r="C275" s="974"/>
      <c r="D275" s="961"/>
      <c r="E275" s="975"/>
      <c r="F275" s="999"/>
      <c r="G275" s="976"/>
      <c r="H275" s="999"/>
      <c r="I275" s="999"/>
      <c r="J275" s="1008"/>
      <c r="K275" s="993"/>
      <c r="L275" s="993"/>
      <c r="M275" s="1001"/>
      <c r="N275" s="997"/>
      <c r="P275" s="1036"/>
      <c r="Q275" s="965"/>
    </row>
    <row r="276" spans="1:17" ht="15">
      <c r="A276" s="964"/>
      <c r="B276" s="974"/>
      <c r="C276" s="974"/>
      <c r="D276" s="961"/>
      <c r="E276" s="975"/>
      <c r="F276" s="999"/>
      <c r="G276" s="976"/>
      <c r="H276" s="999"/>
      <c r="I276" s="999"/>
      <c r="J276" s="1008"/>
      <c r="K276" s="993"/>
      <c r="L276" s="993"/>
      <c r="M276" s="1001"/>
      <c r="N276" s="997"/>
      <c r="P276" s="1036"/>
      <c r="Q276" s="965"/>
    </row>
    <row r="277" spans="1:17" ht="15">
      <c r="A277" s="964"/>
      <c r="B277" s="974"/>
      <c r="C277" s="974"/>
      <c r="D277" s="961"/>
      <c r="E277" s="975"/>
      <c r="F277" s="999"/>
      <c r="G277" s="976"/>
      <c r="H277" s="999"/>
      <c r="I277" s="999"/>
      <c r="J277" s="1008"/>
      <c r="K277" s="993"/>
      <c r="L277" s="993"/>
      <c r="M277" s="1001"/>
      <c r="N277" s="997"/>
      <c r="P277" s="1036"/>
      <c r="Q277" s="965"/>
    </row>
    <row r="278" spans="1:17" ht="15">
      <c r="A278" s="964"/>
      <c r="B278" s="974"/>
      <c r="C278" s="974"/>
      <c r="D278" s="961"/>
      <c r="E278" s="975"/>
      <c r="F278" s="999"/>
      <c r="G278" s="976"/>
      <c r="H278" s="999"/>
      <c r="I278" s="999"/>
      <c r="J278" s="1008"/>
      <c r="K278" s="993"/>
      <c r="L278" s="993"/>
      <c r="M278" s="1001"/>
      <c r="N278" s="997"/>
      <c r="P278" s="1036"/>
      <c r="Q278" s="965"/>
    </row>
    <row r="279" spans="1:17" ht="15">
      <c r="A279" s="964"/>
      <c r="B279" s="974"/>
      <c r="C279" s="974"/>
      <c r="D279" s="961"/>
      <c r="E279" s="975"/>
      <c r="F279" s="999"/>
      <c r="G279" s="976"/>
      <c r="H279" s="999"/>
      <c r="I279" s="999"/>
      <c r="J279" s="1008"/>
      <c r="K279" s="993"/>
      <c r="L279" s="993"/>
      <c r="M279" s="1001"/>
      <c r="N279" s="997"/>
      <c r="P279" s="1036"/>
      <c r="Q279" s="965"/>
    </row>
    <row r="280" spans="1:17" ht="15">
      <c r="A280" s="964"/>
      <c r="B280" s="974"/>
      <c r="C280" s="974"/>
      <c r="D280" s="961"/>
      <c r="E280" s="975"/>
      <c r="F280" s="999"/>
      <c r="G280" s="976"/>
      <c r="H280" s="999"/>
      <c r="I280" s="999"/>
      <c r="J280" s="1008"/>
      <c r="K280" s="993"/>
      <c r="L280" s="993"/>
      <c r="M280" s="1001"/>
      <c r="N280" s="997"/>
      <c r="P280" s="1036"/>
      <c r="Q280" s="965"/>
    </row>
    <row r="281" spans="1:17" ht="15">
      <c r="A281" s="964"/>
      <c r="B281" s="974"/>
      <c r="C281" s="974"/>
      <c r="D281" s="961"/>
      <c r="E281" s="975"/>
      <c r="F281" s="999"/>
      <c r="G281" s="976"/>
      <c r="H281" s="999"/>
      <c r="I281" s="999"/>
      <c r="J281" s="1008"/>
      <c r="K281" s="993"/>
      <c r="L281" s="993"/>
      <c r="M281" s="1001"/>
      <c r="N281" s="997"/>
      <c r="P281" s="1036"/>
      <c r="Q281" s="965"/>
    </row>
    <row r="282" spans="1:17" ht="15">
      <c r="A282" s="964"/>
      <c r="B282" s="974"/>
      <c r="C282" s="974"/>
      <c r="D282" s="961"/>
      <c r="E282" s="975"/>
      <c r="F282" s="999"/>
      <c r="G282" s="976"/>
      <c r="H282" s="999"/>
      <c r="I282" s="999"/>
      <c r="J282" s="1008"/>
      <c r="K282" s="993"/>
      <c r="L282" s="993"/>
      <c r="M282" s="1001"/>
      <c r="N282" s="997"/>
      <c r="P282" s="1036"/>
      <c r="Q282" s="965"/>
    </row>
    <row r="283" spans="1:17" s="968" customFormat="1" ht="15">
      <c r="A283" s="964"/>
      <c r="B283" s="974"/>
      <c r="C283" s="974"/>
      <c r="D283" s="961"/>
      <c r="E283" s="975"/>
      <c r="F283" s="999"/>
      <c r="G283" s="976"/>
      <c r="H283" s="999"/>
      <c r="I283" s="999"/>
      <c r="J283" s="1008"/>
      <c r="K283" s="993"/>
      <c r="L283" s="993"/>
      <c r="M283" s="1001"/>
      <c r="N283" s="997"/>
      <c r="O283" s="966"/>
      <c r="P283" s="1036"/>
      <c r="Q283" s="965"/>
    </row>
    <row r="284" spans="1:17" ht="15.75" customHeight="1">
      <c r="A284" s="964"/>
      <c r="B284" s="974"/>
      <c r="C284" s="974"/>
      <c r="D284" s="961"/>
      <c r="E284" s="975"/>
      <c r="F284" s="999"/>
      <c r="G284" s="976"/>
      <c r="H284" s="999"/>
      <c r="I284" s="999"/>
      <c r="J284" s="1008"/>
      <c r="K284" s="993"/>
      <c r="L284" s="993"/>
      <c r="M284" s="1001"/>
      <c r="N284" s="997"/>
      <c r="P284" s="1036"/>
      <c r="Q284" s="965"/>
    </row>
    <row r="285" spans="1:17" ht="15">
      <c r="A285" s="964"/>
      <c r="B285" s="974"/>
      <c r="C285" s="974"/>
      <c r="D285" s="961"/>
      <c r="E285" s="975"/>
      <c r="F285" s="999"/>
      <c r="G285" s="976"/>
      <c r="H285" s="999"/>
      <c r="I285" s="999"/>
      <c r="J285" s="1008"/>
      <c r="K285" s="993"/>
      <c r="L285" s="993"/>
      <c r="M285" s="1001"/>
      <c r="N285" s="997"/>
      <c r="P285" s="1036"/>
      <c r="Q285" s="965"/>
    </row>
    <row r="286" spans="1:17" ht="15">
      <c r="A286" s="964"/>
      <c r="B286" s="974"/>
      <c r="C286" s="974"/>
      <c r="D286" s="961"/>
      <c r="E286" s="975"/>
      <c r="F286" s="999"/>
      <c r="G286" s="976"/>
      <c r="H286" s="999"/>
      <c r="I286" s="999"/>
      <c r="J286" s="1008"/>
      <c r="K286" s="993"/>
      <c r="L286" s="993"/>
      <c r="M286" s="1001"/>
      <c r="N286" s="997"/>
      <c r="P286" s="1036"/>
      <c r="Q286" s="965"/>
    </row>
    <row r="287" spans="1:17" ht="15">
      <c r="A287" s="964"/>
      <c r="B287" s="974"/>
      <c r="C287" s="974"/>
      <c r="D287" s="961"/>
      <c r="E287" s="975"/>
      <c r="F287" s="999"/>
      <c r="G287" s="976"/>
      <c r="H287" s="999"/>
      <c r="I287" s="999"/>
      <c r="J287" s="1008"/>
      <c r="K287" s="993"/>
      <c r="L287" s="993"/>
      <c r="M287" s="1001"/>
      <c r="N287" s="997"/>
      <c r="P287" s="1036"/>
      <c r="Q287" s="965"/>
    </row>
    <row r="288" spans="1:17" ht="15">
      <c r="A288" s="964"/>
      <c r="B288" s="974"/>
      <c r="C288" s="974"/>
      <c r="D288" s="961"/>
      <c r="E288" s="975"/>
      <c r="F288" s="999"/>
      <c r="G288" s="976"/>
      <c r="H288" s="999"/>
      <c r="I288" s="999"/>
      <c r="J288" s="1008"/>
      <c r="K288" s="993"/>
      <c r="L288" s="993"/>
      <c r="M288" s="1001"/>
      <c r="N288" s="997"/>
      <c r="P288" s="1036"/>
      <c r="Q288" s="965"/>
    </row>
    <row r="289" spans="1:17" ht="15">
      <c r="A289" s="964"/>
      <c r="B289" s="974"/>
      <c r="C289" s="974"/>
      <c r="D289" s="961"/>
      <c r="E289" s="975"/>
      <c r="F289" s="999"/>
      <c r="G289" s="976"/>
      <c r="H289" s="999"/>
      <c r="I289" s="999"/>
      <c r="J289" s="1008"/>
      <c r="K289" s="993"/>
      <c r="L289" s="993"/>
      <c r="M289" s="1001"/>
      <c r="N289" s="997"/>
      <c r="P289" s="1036"/>
      <c r="Q289" s="965"/>
    </row>
    <row r="290" spans="1:17" ht="15">
      <c r="A290" s="964"/>
      <c r="B290" s="974"/>
      <c r="C290" s="974"/>
      <c r="D290" s="961"/>
      <c r="E290" s="975"/>
      <c r="F290" s="999"/>
      <c r="G290" s="976"/>
      <c r="H290" s="999"/>
      <c r="I290" s="999"/>
      <c r="J290" s="1008"/>
      <c r="K290" s="993"/>
      <c r="L290" s="993"/>
      <c r="M290" s="1001"/>
      <c r="N290" s="997"/>
      <c r="P290" s="1036"/>
      <c r="Q290" s="965"/>
    </row>
    <row r="291" spans="1:17" ht="15">
      <c r="A291" s="964"/>
      <c r="B291" s="974"/>
      <c r="C291" s="974"/>
      <c r="D291" s="964"/>
      <c r="E291" s="975"/>
      <c r="F291" s="999"/>
      <c r="G291" s="976"/>
      <c r="H291" s="999"/>
      <c r="I291" s="999"/>
      <c r="J291" s="1008"/>
      <c r="K291" s="993"/>
      <c r="L291" s="993"/>
      <c r="M291" s="1001"/>
      <c r="N291" s="997"/>
      <c r="P291" s="1036"/>
      <c r="Q291" s="965"/>
    </row>
    <row r="292" spans="1:17" ht="15">
      <c r="A292" s="964"/>
      <c r="B292" s="974"/>
      <c r="C292" s="974"/>
      <c r="D292" s="964"/>
      <c r="E292" s="975"/>
      <c r="F292" s="999"/>
      <c r="G292" s="976"/>
      <c r="H292" s="999"/>
      <c r="I292" s="999"/>
      <c r="J292" s="1008"/>
      <c r="K292" s="993"/>
      <c r="L292" s="993"/>
      <c r="M292" s="1001"/>
      <c r="N292" s="997"/>
      <c r="P292" s="1036"/>
      <c r="Q292" s="965"/>
    </row>
    <row r="293" spans="1:17" ht="15">
      <c r="A293" s="964"/>
      <c r="B293" s="974"/>
      <c r="C293" s="974"/>
      <c r="D293" s="964"/>
      <c r="E293" s="975"/>
      <c r="F293" s="999"/>
      <c r="G293" s="976"/>
      <c r="H293" s="999"/>
      <c r="I293" s="999"/>
      <c r="J293" s="1008"/>
      <c r="K293" s="993"/>
      <c r="L293" s="993"/>
      <c r="M293" s="1001"/>
      <c r="N293" s="997"/>
      <c r="P293" s="1036"/>
      <c r="Q293" s="965"/>
    </row>
    <row r="294" spans="1:17" ht="15">
      <c r="A294" s="964"/>
      <c r="B294" s="974"/>
      <c r="C294" s="974"/>
      <c r="D294" s="964"/>
      <c r="E294" s="975"/>
      <c r="F294" s="999"/>
      <c r="G294" s="976"/>
      <c r="H294" s="999"/>
      <c r="I294" s="999"/>
      <c r="J294" s="1008"/>
      <c r="K294" s="993"/>
      <c r="L294" s="993"/>
      <c r="M294" s="1001"/>
      <c r="N294" s="997"/>
      <c r="P294" s="1036"/>
      <c r="Q294" s="965"/>
    </row>
    <row r="295" spans="1:17" ht="15">
      <c r="A295" s="964"/>
      <c r="B295" s="974"/>
      <c r="C295" s="974"/>
      <c r="D295" s="964"/>
      <c r="E295" s="975"/>
      <c r="F295" s="999"/>
      <c r="G295" s="976"/>
      <c r="H295" s="999"/>
      <c r="I295" s="999"/>
      <c r="J295" s="1008"/>
      <c r="K295" s="993"/>
      <c r="L295" s="993"/>
      <c r="M295" s="1001"/>
      <c r="N295" s="997"/>
      <c r="P295" s="1036"/>
      <c r="Q295" s="965"/>
    </row>
    <row r="296" spans="1:17" ht="15">
      <c r="A296" s="964"/>
      <c r="B296" s="974"/>
      <c r="C296" s="974"/>
      <c r="D296" s="964"/>
      <c r="E296" s="975"/>
      <c r="F296" s="999"/>
      <c r="G296" s="976"/>
      <c r="H296" s="999"/>
      <c r="I296" s="999"/>
      <c r="J296" s="1008"/>
      <c r="K296" s="993"/>
      <c r="L296" s="993"/>
      <c r="M296" s="1001"/>
      <c r="N296" s="997"/>
      <c r="P296" s="1036"/>
      <c r="Q296" s="965"/>
    </row>
    <row r="297" spans="1:17" ht="15">
      <c r="A297" s="964"/>
      <c r="B297" s="974"/>
      <c r="C297" s="974"/>
      <c r="D297" s="964"/>
      <c r="E297" s="975"/>
      <c r="F297" s="999"/>
      <c r="G297" s="976"/>
      <c r="H297" s="999"/>
      <c r="I297" s="999"/>
      <c r="J297" s="1008"/>
      <c r="K297" s="993"/>
      <c r="L297" s="993"/>
      <c r="M297" s="1001"/>
      <c r="N297" s="997"/>
      <c r="P297" s="1036"/>
      <c r="Q297" s="965"/>
    </row>
    <row r="298" spans="1:17" ht="15">
      <c r="A298" s="964"/>
      <c r="B298" s="974"/>
      <c r="C298" s="974"/>
      <c r="D298" s="964"/>
      <c r="E298" s="975"/>
      <c r="F298" s="999"/>
      <c r="G298" s="976"/>
      <c r="H298" s="999"/>
      <c r="I298" s="999"/>
      <c r="J298" s="1008"/>
      <c r="K298" s="993"/>
      <c r="L298" s="993"/>
      <c r="M298" s="1001"/>
      <c r="N298" s="997"/>
      <c r="P298" s="1036"/>
      <c r="Q298" s="965"/>
    </row>
    <row r="299" spans="1:17" ht="15">
      <c r="A299" s="964"/>
      <c r="B299" s="974"/>
      <c r="C299" s="974"/>
      <c r="D299" s="964"/>
      <c r="E299" s="975"/>
      <c r="F299" s="999"/>
      <c r="G299" s="976"/>
      <c r="H299" s="999"/>
      <c r="I299" s="999"/>
      <c r="J299" s="1008"/>
      <c r="K299" s="993"/>
      <c r="L299" s="993"/>
      <c r="M299" s="1001"/>
      <c r="N299" s="997"/>
      <c r="P299" s="1036"/>
      <c r="Q299" s="965"/>
    </row>
    <row r="300" spans="1:17" ht="15">
      <c r="A300" s="966"/>
      <c r="B300" s="974"/>
      <c r="C300" s="974"/>
      <c r="D300" s="970"/>
      <c r="E300" s="975"/>
      <c r="F300" s="999"/>
      <c r="G300" s="976"/>
      <c r="H300" s="999"/>
      <c r="I300" s="999"/>
      <c r="J300" s="1008"/>
      <c r="K300" s="993"/>
      <c r="L300" s="993"/>
      <c r="M300" s="1001"/>
      <c r="N300" s="997"/>
      <c r="P300" s="1036"/>
      <c r="Q300" s="972"/>
    </row>
    <row r="301" spans="1:17" ht="15">
      <c r="A301" s="966"/>
      <c r="B301" s="974"/>
      <c r="C301" s="974"/>
      <c r="D301" s="970"/>
      <c r="E301" s="975"/>
      <c r="F301" s="999"/>
      <c r="G301" s="976"/>
      <c r="H301" s="999"/>
      <c r="I301" s="999"/>
      <c r="J301" s="1008"/>
      <c r="K301" s="993"/>
      <c r="L301" s="993"/>
      <c r="M301" s="1001"/>
      <c r="N301" s="997"/>
      <c r="P301" s="1036"/>
      <c r="Q301" s="972"/>
    </row>
    <row r="302" spans="1:17" ht="15">
      <c r="A302" s="966"/>
      <c r="B302" s="974"/>
      <c r="C302" s="974"/>
      <c r="D302" s="970"/>
      <c r="E302" s="975"/>
      <c r="F302" s="999"/>
      <c r="G302" s="976"/>
      <c r="H302" s="999"/>
      <c r="I302" s="999"/>
      <c r="J302" s="1008"/>
      <c r="K302" s="993"/>
      <c r="L302" s="993"/>
      <c r="M302" s="1001"/>
      <c r="N302" s="997"/>
      <c r="P302" s="1036"/>
      <c r="Q302" s="972"/>
    </row>
    <row r="303" spans="1:17" ht="15">
      <c r="A303" s="966"/>
      <c r="B303" s="974"/>
      <c r="C303" s="974"/>
      <c r="D303" s="970"/>
      <c r="E303" s="975"/>
      <c r="F303" s="999"/>
      <c r="G303" s="976"/>
      <c r="H303" s="999"/>
      <c r="I303" s="999"/>
      <c r="J303" s="1008"/>
      <c r="K303" s="993"/>
      <c r="L303" s="993"/>
      <c r="M303" s="1001"/>
      <c r="N303" s="997"/>
      <c r="P303" s="1036"/>
      <c r="Q303" s="972"/>
    </row>
    <row r="304" spans="1:17" ht="15">
      <c r="A304" s="966"/>
      <c r="B304" s="974"/>
      <c r="C304" s="974"/>
      <c r="D304" s="970"/>
      <c r="E304" s="975"/>
      <c r="F304" s="999"/>
      <c r="G304" s="976"/>
      <c r="H304" s="999"/>
      <c r="I304" s="999"/>
      <c r="J304" s="1008"/>
      <c r="K304" s="993"/>
      <c r="L304" s="993"/>
      <c r="M304" s="1001"/>
      <c r="N304" s="997"/>
      <c r="P304" s="1036"/>
      <c r="Q304" s="972"/>
    </row>
    <row r="305" spans="1:17" ht="15">
      <c r="A305" s="966"/>
      <c r="B305" s="974"/>
      <c r="C305" s="974"/>
      <c r="D305" s="970"/>
      <c r="E305" s="975"/>
      <c r="F305" s="999"/>
      <c r="G305" s="976"/>
      <c r="H305" s="999"/>
      <c r="I305" s="999"/>
      <c r="J305" s="1008"/>
      <c r="K305" s="993"/>
      <c r="L305" s="993"/>
      <c r="M305" s="1001"/>
      <c r="N305" s="997"/>
      <c r="P305" s="1036"/>
      <c r="Q305" s="972"/>
    </row>
    <row r="306" spans="1:17" ht="15">
      <c r="A306" s="966"/>
      <c r="B306" s="974"/>
      <c r="C306" s="974"/>
      <c r="D306" s="970"/>
      <c r="E306" s="975"/>
      <c r="F306" s="999"/>
      <c r="G306" s="976"/>
      <c r="H306" s="999"/>
      <c r="I306" s="999"/>
      <c r="J306" s="1008"/>
      <c r="K306" s="993"/>
      <c r="L306" s="993"/>
      <c r="M306" s="1001"/>
      <c r="N306" s="997"/>
      <c r="P306" s="1036"/>
      <c r="Q306" s="972"/>
    </row>
    <row r="307" spans="1:17" ht="15">
      <c r="A307" s="966"/>
      <c r="B307" s="974"/>
      <c r="C307" s="974"/>
      <c r="D307" s="970"/>
      <c r="E307" s="975"/>
      <c r="F307" s="999"/>
      <c r="G307" s="976"/>
      <c r="H307" s="999"/>
      <c r="I307" s="999"/>
      <c r="J307" s="1008"/>
      <c r="K307" s="993"/>
      <c r="L307" s="993"/>
      <c r="M307" s="1001"/>
      <c r="N307" s="997"/>
      <c r="P307" s="1036"/>
      <c r="Q307" s="972"/>
    </row>
    <row r="308" spans="1:17" ht="15">
      <c r="A308" s="966"/>
      <c r="B308" s="974"/>
      <c r="C308" s="974"/>
      <c r="D308" s="970"/>
      <c r="E308" s="975"/>
      <c r="F308" s="999"/>
      <c r="G308" s="976"/>
      <c r="H308" s="999"/>
      <c r="I308" s="999"/>
      <c r="J308" s="1008"/>
      <c r="K308" s="993"/>
      <c r="L308" s="993"/>
      <c r="M308" s="1001"/>
      <c r="N308" s="997"/>
      <c r="P308" s="1036"/>
      <c r="Q308" s="972"/>
    </row>
    <row r="309" spans="1:17" ht="15">
      <c r="A309" s="966"/>
      <c r="B309" s="974"/>
      <c r="C309" s="974"/>
      <c r="D309" s="970"/>
      <c r="E309" s="975"/>
      <c r="F309" s="999"/>
      <c r="G309" s="976"/>
      <c r="H309" s="999"/>
      <c r="I309" s="999"/>
      <c r="J309" s="1008"/>
      <c r="K309" s="993"/>
      <c r="L309" s="993"/>
      <c r="M309" s="1001"/>
      <c r="N309" s="997"/>
      <c r="P309" s="1036"/>
      <c r="Q309" s="972"/>
    </row>
    <row r="310" spans="1:17" ht="15">
      <c r="A310" s="966"/>
      <c r="B310" s="974"/>
      <c r="C310" s="974"/>
      <c r="D310" s="970"/>
      <c r="E310" s="975"/>
      <c r="F310" s="999"/>
      <c r="G310" s="976"/>
      <c r="H310" s="999"/>
      <c r="I310" s="999"/>
      <c r="J310" s="1008"/>
      <c r="K310" s="993"/>
      <c r="L310" s="993"/>
      <c r="M310" s="1001"/>
      <c r="N310" s="997"/>
      <c r="P310" s="1036"/>
      <c r="Q310" s="972"/>
    </row>
    <row r="311" spans="1:17" ht="15">
      <c r="A311" s="966"/>
      <c r="B311" s="974"/>
      <c r="C311" s="974"/>
      <c r="D311" s="970"/>
      <c r="E311" s="975"/>
      <c r="F311" s="999"/>
      <c r="G311" s="976"/>
      <c r="H311" s="999"/>
      <c r="I311" s="999"/>
      <c r="J311" s="1008"/>
      <c r="K311" s="993"/>
      <c r="L311" s="993"/>
      <c r="M311" s="1001"/>
      <c r="N311" s="997"/>
      <c r="P311" s="1036"/>
      <c r="Q311" s="972"/>
    </row>
    <row r="312" spans="1:17" ht="15">
      <c r="A312" s="966"/>
      <c r="B312" s="974"/>
      <c r="C312" s="974"/>
      <c r="D312" s="970"/>
      <c r="E312" s="975"/>
      <c r="F312" s="999"/>
      <c r="G312" s="976"/>
      <c r="H312" s="999"/>
      <c r="I312" s="999"/>
      <c r="J312" s="1008"/>
      <c r="K312" s="993"/>
      <c r="L312" s="993"/>
      <c r="M312" s="1001"/>
      <c r="N312" s="997"/>
      <c r="P312" s="1036"/>
      <c r="Q312" s="972"/>
    </row>
    <row r="313" spans="1:17" ht="15">
      <c r="A313" s="966"/>
      <c r="B313" s="974"/>
      <c r="C313" s="974"/>
      <c r="D313" s="970"/>
      <c r="E313" s="975"/>
      <c r="F313" s="999"/>
      <c r="G313" s="976"/>
      <c r="H313" s="999"/>
      <c r="I313" s="999"/>
      <c r="J313" s="1008"/>
      <c r="K313" s="993"/>
      <c r="L313" s="993"/>
      <c r="M313" s="1001"/>
      <c r="N313" s="997"/>
      <c r="P313" s="1036"/>
      <c r="Q313" s="972"/>
    </row>
    <row r="314" spans="1:17" ht="15">
      <c r="A314" s="966"/>
      <c r="B314" s="974"/>
      <c r="C314" s="974"/>
      <c r="D314" s="970"/>
      <c r="E314" s="975"/>
      <c r="F314" s="999"/>
      <c r="G314" s="976"/>
      <c r="H314" s="999"/>
      <c r="I314" s="999"/>
      <c r="J314" s="1008"/>
      <c r="K314" s="993"/>
      <c r="L314" s="993"/>
      <c r="M314" s="1001"/>
      <c r="N314" s="997"/>
      <c r="P314" s="1036"/>
      <c r="Q314" s="972"/>
    </row>
    <row r="315" spans="1:17" ht="15">
      <c r="A315" s="966"/>
      <c r="B315" s="974"/>
      <c r="C315" s="974"/>
      <c r="D315" s="970"/>
      <c r="E315" s="975"/>
      <c r="F315" s="999"/>
      <c r="G315" s="976"/>
      <c r="H315" s="999"/>
      <c r="I315" s="999"/>
      <c r="J315" s="1008"/>
      <c r="K315" s="993"/>
      <c r="L315" s="993"/>
      <c r="M315" s="1001"/>
      <c r="N315" s="997"/>
      <c r="P315" s="1036"/>
      <c r="Q315" s="972"/>
    </row>
    <row r="316" spans="1:17" ht="15">
      <c r="A316" s="966"/>
      <c r="B316" s="974"/>
      <c r="C316" s="974"/>
      <c r="D316" s="970"/>
      <c r="E316" s="975"/>
      <c r="F316" s="999"/>
      <c r="G316" s="976"/>
      <c r="H316" s="999"/>
      <c r="I316" s="999"/>
      <c r="J316" s="1008"/>
      <c r="K316" s="993"/>
      <c r="L316" s="993"/>
      <c r="M316" s="1001"/>
      <c r="N316" s="997"/>
      <c r="P316" s="1036"/>
      <c r="Q316" s="972"/>
    </row>
    <row r="317" spans="1:17" ht="15">
      <c r="A317" s="966"/>
      <c r="B317" s="974"/>
      <c r="C317" s="974"/>
      <c r="D317" s="970"/>
      <c r="E317" s="975"/>
      <c r="F317" s="999"/>
      <c r="G317" s="976"/>
      <c r="H317" s="999"/>
      <c r="I317" s="999"/>
      <c r="J317" s="1008"/>
      <c r="K317" s="993"/>
      <c r="L317" s="993"/>
      <c r="M317" s="1001"/>
      <c r="N317" s="997"/>
      <c r="P317" s="1036"/>
      <c r="Q317" s="972"/>
    </row>
    <row r="318" spans="1:17" ht="15">
      <c r="A318" s="966"/>
      <c r="B318" s="974"/>
      <c r="C318" s="974"/>
      <c r="D318" s="970"/>
      <c r="E318" s="975"/>
      <c r="F318" s="999"/>
      <c r="G318" s="976"/>
      <c r="H318" s="999"/>
      <c r="I318" s="999"/>
      <c r="J318" s="1008"/>
      <c r="K318" s="993"/>
      <c r="L318" s="993"/>
      <c r="M318" s="1001"/>
      <c r="N318" s="997"/>
      <c r="P318" s="1036"/>
      <c r="Q318" s="972"/>
    </row>
    <row r="319" spans="1:17" ht="15">
      <c r="A319" s="966"/>
      <c r="B319" s="974"/>
      <c r="C319" s="974"/>
      <c r="D319" s="970"/>
      <c r="E319" s="975"/>
      <c r="F319" s="999"/>
      <c r="G319" s="976"/>
      <c r="H319" s="999"/>
      <c r="I319" s="999"/>
      <c r="J319" s="1008"/>
      <c r="K319" s="993"/>
      <c r="L319" s="993"/>
      <c r="M319" s="1001"/>
      <c r="N319" s="997"/>
      <c r="P319" s="1036"/>
      <c r="Q319" s="972"/>
    </row>
    <row r="320" spans="1:17" ht="15">
      <c r="A320" s="966"/>
      <c r="B320" s="974"/>
      <c r="C320" s="974"/>
      <c r="D320" s="970"/>
      <c r="E320" s="975"/>
      <c r="F320" s="999"/>
      <c r="G320" s="976"/>
      <c r="H320" s="999"/>
      <c r="I320" s="999"/>
      <c r="J320" s="1008"/>
      <c r="K320" s="993"/>
      <c r="L320" s="993"/>
      <c r="M320" s="1001"/>
      <c r="N320" s="997"/>
      <c r="P320" s="1036"/>
      <c r="Q320" s="972"/>
    </row>
    <row r="321" spans="1:17" ht="15">
      <c r="A321" s="966"/>
      <c r="B321" s="974"/>
      <c r="C321" s="974"/>
      <c r="D321" s="970"/>
      <c r="E321" s="975"/>
      <c r="F321" s="999"/>
      <c r="G321" s="976"/>
      <c r="H321" s="999"/>
      <c r="I321" s="999"/>
      <c r="J321" s="1008"/>
      <c r="K321" s="993"/>
      <c r="L321" s="993"/>
      <c r="M321" s="1001"/>
      <c r="N321" s="997"/>
      <c r="P321" s="1036"/>
      <c r="Q321" s="972"/>
    </row>
    <row r="322" spans="1:17" ht="15">
      <c r="A322" s="966"/>
      <c r="B322" s="974"/>
      <c r="C322" s="974"/>
      <c r="D322" s="970"/>
      <c r="E322" s="975"/>
      <c r="F322" s="999"/>
      <c r="G322" s="976"/>
      <c r="H322" s="999"/>
      <c r="I322" s="999"/>
      <c r="J322" s="1008"/>
      <c r="K322" s="993"/>
      <c r="L322" s="993"/>
      <c r="M322" s="1001"/>
      <c r="N322" s="997"/>
      <c r="P322" s="1036"/>
      <c r="Q322" s="972"/>
    </row>
    <row r="323" spans="1:17" ht="15">
      <c r="A323" s="966"/>
      <c r="B323" s="974"/>
      <c r="C323" s="974"/>
      <c r="D323" s="970"/>
      <c r="E323" s="975"/>
      <c r="F323" s="999"/>
      <c r="G323" s="976"/>
      <c r="H323" s="999"/>
      <c r="I323" s="999"/>
      <c r="J323" s="1008"/>
      <c r="K323" s="993"/>
      <c r="L323" s="993"/>
      <c r="M323" s="1001"/>
      <c r="N323" s="997"/>
      <c r="P323" s="1036"/>
      <c r="Q323" s="972"/>
    </row>
    <row r="324" spans="1:17" ht="15">
      <c r="A324" s="966"/>
      <c r="B324" s="974"/>
      <c r="C324" s="974"/>
      <c r="D324" s="970"/>
      <c r="E324" s="975"/>
      <c r="F324" s="999"/>
      <c r="G324" s="976"/>
      <c r="H324" s="999"/>
      <c r="I324" s="999"/>
      <c r="J324" s="1008"/>
      <c r="K324" s="993"/>
      <c r="L324" s="993"/>
      <c r="M324" s="1001"/>
      <c r="N324" s="997"/>
      <c r="P324" s="1036"/>
      <c r="Q324" s="972"/>
    </row>
    <row r="325" spans="1:17" ht="15">
      <c r="A325" s="966"/>
      <c r="B325" s="974"/>
      <c r="C325" s="974"/>
      <c r="D325" s="970"/>
      <c r="E325" s="975"/>
      <c r="F325" s="999"/>
      <c r="G325" s="976"/>
      <c r="H325" s="999"/>
      <c r="I325" s="999"/>
      <c r="J325" s="1008"/>
      <c r="K325" s="993"/>
      <c r="L325" s="993"/>
      <c r="M325" s="1001"/>
      <c r="N325" s="997"/>
      <c r="P325" s="1036"/>
      <c r="Q325" s="972"/>
    </row>
    <row r="326" spans="1:17" ht="15">
      <c r="A326" s="966"/>
      <c r="B326" s="974"/>
      <c r="C326" s="974"/>
      <c r="D326" s="970"/>
      <c r="E326" s="975"/>
      <c r="F326" s="999"/>
      <c r="G326" s="976"/>
      <c r="H326" s="999"/>
      <c r="I326" s="999"/>
      <c r="J326" s="1008"/>
      <c r="K326" s="993"/>
      <c r="L326" s="993"/>
      <c r="M326" s="1001"/>
      <c r="N326" s="997"/>
      <c r="P326" s="1036"/>
      <c r="Q326" s="972"/>
    </row>
    <row r="327" spans="1:17" ht="15">
      <c r="A327" s="966"/>
      <c r="B327" s="974"/>
      <c r="C327" s="974"/>
      <c r="D327" s="970"/>
      <c r="E327" s="975"/>
      <c r="F327" s="999"/>
      <c r="G327" s="976"/>
      <c r="H327" s="999"/>
      <c r="I327" s="999"/>
      <c r="J327" s="1008"/>
      <c r="K327" s="993"/>
      <c r="L327" s="993"/>
      <c r="M327" s="1001"/>
      <c r="N327" s="997"/>
      <c r="P327" s="1036"/>
      <c r="Q327" s="972"/>
    </row>
    <row r="328" spans="1:17" ht="15">
      <c r="A328" s="966"/>
      <c r="B328" s="974"/>
      <c r="C328" s="974"/>
      <c r="D328" s="970"/>
      <c r="E328" s="975"/>
      <c r="F328" s="999"/>
      <c r="G328" s="976"/>
      <c r="H328" s="999"/>
      <c r="I328" s="999"/>
      <c r="J328" s="1008"/>
      <c r="K328" s="993"/>
      <c r="L328" s="993"/>
      <c r="M328" s="1001"/>
      <c r="N328" s="997"/>
      <c r="P328" s="1036"/>
      <c r="Q328" s="972"/>
    </row>
    <row r="329" spans="1:17" ht="15">
      <c r="A329" s="966"/>
      <c r="B329" s="974"/>
      <c r="C329" s="974"/>
      <c r="D329" s="970"/>
      <c r="E329" s="975"/>
      <c r="F329" s="999"/>
      <c r="G329" s="976"/>
      <c r="H329" s="999"/>
      <c r="I329" s="999"/>
      <c r="J329" s="1008"/>
      <c r="K329" s="993"/>
      <c r="L329" s="993"/>
      <c r="M329" s="1001"/>
      <c r="N329" s="997"/>
      <c r="P329" s="1036"/>
      <c r="Q329" s="972"/>
    </row>
    <row r="330" spans="1:17" ht="15">
      <c r="A330" s="966"/>
      <c r="B330" s="974"/>
      <c r="C330" s="974"/>
      <c r="D330" s="970"/>
      <c r="E330" s="975"/>
      <c r="F330" s="999"/>
      <c r="G330" s="976"/>
      <c r="H330" s="999"/>
      <c r="I330" s="999"/>
      <c r="J330" s="1008"/>
      <c r="K330" s="993"/>
      <c r="L330" s="993"/>
      <c r="M330" s="1001"/>
      <c r="N330" s="997"/>
      <c r="P330" s="1036"/>
      <c r="Q330" s="972"/>
    </row>
    <row r="331" spans="1:17" ht="15">
      <c r="A331" s="966"/>
      <c r="B331" s="974"/>
      <c r="C331" s="974"/>
      <c r="D331" s="970"/>
      <c r="E331" s="975"/>
      <c r="F331" s="999"/>
      <c r="G331" s="976"/>
      <c r="H331" s="999"/>
      <c r="I331" s="999"/>
      <c r="J331" s="1008"/>
      <c r="K331" s="993"/>
      <c r="L331" s="993"/>
      <c r="M331" s="1001"/>
      <c r="N331" s="997"/>
      <c r="P331" s="1036"/>
      <c r="Q331" s="972"/>
    </row>
    <row r="332" spans="1:17" ht="15">
      <c r="A332" s="966"/>
      <c r="B332" s="974"/>
      <c r="C332" s="974"/>
      <c r="D332" s="970"/>
      <c r="E332" s="975"/>
      <c r="F332" s="999"/>
      <c r="G332" s="976"/>
      <c r="H332" s="999"/>
      <c r="I332" s="999"/>
      <c r="J332" s="1008"/>
      <c r="K332" s="993"/>
      <c r="L332" s="993"/>
      <c r="M332" s="1001"/>
      <c r="N332" s="997"/>
      <c r="P332" s="1036"/>
      <c r="Q332" s="972"/>
    </row>
    <row r="333" spans="1:17" ht="15">
      <c r="A333" s="966"/>
      <c r="B333" s="974"/>
      <c r="C333" s="974"/>
      <c r="D333" s="970"/>
      <c r="E333" s="975"/>
      <c r="F333" s="999"/>
      <c r="G333" s="976"/>
      <c r="H333" s="999"/>
      <c r="I333" s="999"/>
      <c r="J333" s="1008"/>
      <c r="K333" s="993"/>
      <c r="L333" s="993"/>
      <c r="M333" s="1001"/>
      <c r="N333" s="997"/>
      <c r="P333" s="1036"/>
      <c r="Q333" s="972"/>
    </row>
    <row r="334" spans="1:17" ht="15">
      <c r="A334" s="966"/>
      <c r="B334" s="974"/>
      <c r="C334" s="974"/>
      <c r="D334" s="970"/>
      <c r="E334" s="975"/>
      <c r="F334" s="999"/>
      <c r="G334" s="976"/>
      <c r="H334" s="999"/>
      <c r="I334" s="999"/>
      <c r="J334" s="1008"/>
      <c r="K334" s="993"/>
      <c r="L334" s="993"/>
      <c r="M334" s="1001"/>
      <c r="N334" s="997"/>
      <c r="P334" s="1036"/>
      <c r="Q334" s="972"/>
    </row>
    <row r="335" spans="1:17" ht="15">
      <c r="A335" s="966"/>
      <c r="B335" s="974"/>
      <c r="C335" s="974"/>
      <c r="D335" s="970"/>
      <c r="E335" s="975"/>
      <c r="F335" s="999"/>
      <c r="G335" s="976"/>
      <c r="H335" s="999"/>
      <c r="I335" s="999"/>
      <c r="J335" s="1008"/>
      <c r="K335" s="993"/>
      <c r="L335" s="993"/>
      <c r="M335" s="1001"/>
      <c r="N335" s="997"/>
      <c r="P335" s="1036"/>
      <c r="Q335" s="972"/>
    </row>
    <row r="336" spans="1:17" ht="15">
      <c r="A336" s="966"/>
      <c r="B336" s="974"/>
      <c r="C336" s="974"/>
      <c r="D336" s="970"/>
      <c r="E336" s="975"/>
      <c r="F336" s="999"/>
      <c r="G336" s="976"/>
      <c r="H336" s="999"/>
      <c r="I336" s="999"/>
      <c r="J336" s="1008"/>
      <c r="K336" s="993"/>
      <c r="L336" s="993"/>
      <c r="M336" s="1001"/>
      <c r="N336" s="997"/>
      <c r="P336" s="1036"/>
      <c r="Q336" s="972"/>
    </row>
    <row r="337" spans="1:17" ht="15">
      <c r="A337" s="966"/>
      <c r="B337" s="974"/>
      <c r="C337" s="974"/>
      <c r="D337" s="970"/>
      <c r="E337" s="975"/>
      <c r="F337" s="999"/>
      <c r="G337" s="976"/>
      <c r="H337" s="999"/>
      <c r="I337" s="999"/>
      <c r="J337" s="1008"/>
      <c r="K337" s="993"/>
      <c r="L337" s="993"/>
      <c r="M337" s="1001"/>
      <c r="N337" s="997"/>
      <c r="P337" s="1036"/>
      <c r="Q337" s="972"/>
    </row>
    <row r="338" spans="1:17" ht="15">
      <c r="A338" s="966"/>
      <c r="B338" s="974"/>
      <c r="C338" s="974"/>
      <c r="D338" s="970"/>
      <c r="E338" s="975"/>
      <c r="F338" s="999"/>
      <c r="G338" s="976"/>
      <c r="H338" s="999"/>
      <c r="I338" s="999"/>
      <c r="J338" s="1008"/>
      <c r="K338" s="993"/>
      <c r="L338" s="993"/>
      <c r="M338" s="1001"/>
      <c r="N338" s="997"/>
      <c r="P338" s="1036"/>
      <c r="Q338" s="972"/>
    </row>
    <row r="339" spans="1:17" ht="15">
      <c r="A339" s="966"/>
      <c r="B339" s="974"/>
      <c r="C339" s="974"/>
      <c r="D339" s="970"/>
      <c r="E339" s="975"/>
      <c r="F339" s="999"/>
      <c r="G339" s="976"/>
      <c r="H339" s="999"/>
      <c r="I339" s="999"/>
      <c r="J339" s="1008"/>
      <c r="K339" s="993"/>
      <c r="L339" s="993"/>
      <c r="M339" s="1001"/>
      <c r="N339" s="997"/>
      <c r="P339" s="1036"/>
      <c r="Q339" s="972"/>
    </row>
    <row r="340" spans="1:17" ht="15">
      <c r="A340" s="966"/>
      <c r="B340" s="974"/>
      <c r="C340" s="974"/>
      <c r="D340" s="970"/>
      <c r="E340" s="975"/>
      <c r="F340" s="999"/>
      <c r="G340" s="976"/>
      <c r="H340" s="999"/>
      <c r="I340" s="999"/>
      <c r="J340" s="1008"/>
      <c r="K340" s="993"/>
      <c r="L340" s="993"/>
      <c r="M340" s="1001"/>
      <c r="N340" s="997"/>
      <c r="P340" s="1036"/>
      <c r="Q340" s="972"/>
    </row>
    <row r="341" spans="1:17" ht="15">
      <c r="A341" s="966"/>
      <c r="B341" s="974"/>
      <c r="C341" s="974"/>
      <c r="D341" s="970"/>
      <c r="E341" s="975"/>
      <c r="F341" s="999"/>
      <c r="G341" s="976"/>
      <c r="H341" s="999"/>
      <c r="I341" s="999"/>
      <c r="J341" s="1008"/>
      <c r="K341" s="993"/>
      <c r="L341" s="993"/>
      <c r="M341" s="1001"/>
      <c r="N341" s="997"/>
      <c r="P341" s="1036"/>
      <c r="Q341" s="972"/>
    </row>
    <row r="342" spans="1:17" ht="15">
      <c r="A342" s="966"/>
      <c r="B342" s="974"/>
      <c r="C342" s="974"/>
      <c r="D342" s="970"/>
      <c r="E342" s="975"/>
      <c r="F342" s="999"/>
      <c r="G342" s="976"/>
      <c r="H342" s="999"/>
      <c r="I342" s="999"/>
      <c r="J342" s="1008"/>
      <c r="K342" s="993"/>
      <c r="L342" s="993"/>
      <c r="M342" s="1001"/>
      <c r="N342" s="997"/>
      <c r="P342" s="1036"/>
      <c r="Q342" s="972"/>
    </row>
    <row r="343" spans="1:17" ht="15">
      <c r="A343" s="966"/>
      <c r="B343" s="974"/>
      <c r="C343" s="974"/>
      <c r="D343" s="970"/>
      <c r="E343" s="975"/>
      <c r="F343" s="999"/>
      <c r="G343" s="976"/>
      <c r="H343" s="999"/>
      <c r="I343" s="999"/>
      <c r="J343" s="1008"/>
      <c r="K343" s="993"/>
      <c r="L343" s="993"/>
      <c r="M343" s="1001"/>
      <c r="N343" s="997"/>
      <c r="P343" s="1036"/>
      <c r="Q343" s="972"/>
    </row>
    <row r="344" spans="1:17" ht="15">
      <c r="A344" s="966"/>
      <c r="B344" s="974"/>
      <c r="C344" s="974"/>
      <c r="D344" s="970"/>
      <c r="E344" s="975"/>
      <c r="F344" s="999"/>
      <c r="G344" s="976"/>
      <c r="H344" s="999"/>
      <c r="I344" s="999"/>
      <c r="J344" s="1008"/>
      <c r="K344" s="993"/>
      <c r="L344" s="993"/>
      <c r="M344" s="1001"/>
      <c r="N344" s="997"/>
      <c r="P344" s="1036"/>
      <c r="Q344" s="972"/>
    </row>
    <row r="345" spans="1:17" ht="15">
      <c r="A345" s="966"/>
      <c r="B345" s="974"/>
      <c r="C345" s="974"/>
      <c r="D345" s="970"/>
      <c r="E345" s="975"/>
      <c r="F345" s="999"/>
      <c r="G345" s="976"/>
      <c r="H345" s="999"/>
      <c r="I345" s="999"/>
      <c r="J345" s="1008"/>
      <c r="K345" s="993"/>
      <c r="L345" s="993"/>
      <c r="M345" s="1001"/>
      <c r="N345" s="997"/>
      <c r="P345" s="1036"/>
      <c r="Q345" s="972"/>
    </row>
    <row r="346" spans="1:17" ht="15">
      <c r="A346" s="966"/>
      <c r="B346" s="974"/>
      <c r="C346" s="974"/>
      <c r="D346" s="970"/>
      <c r="E346" s="975"/>
      <c r="F346" s="999"/>
      <c r="G346" s="976"/>
      <c r="H346" s="999"/>
      <c r="I346" s="999"/>
      <c r="J346" s="1008"/>
      <c r="K346" s="993"/>
      <c r="L346" s="993"/>
      <c r="M346" s="1001"/>
      <c r="N346" s="997"/>
      <c r="P346" s="1036"/>
      <c r="Q346" s="972"/>
    </row>
    <row r="347" spans="1:17" ht="15">
      <c r="A347" s="966"/>
      <c r="B347" s="974"/>
      <c r="C347" s="974"/>
      <c r="D347" s="970"/>
      <c r="E347" s="975"/>
      <c r="F347" s="999"/>
      <c r="G347" s="976"/>
      <c r="H347" s="999"/>
      <c r="I347" s="999"/>
      <c r="J347" s="1008"/>
      <c r="K347" s="993"/>
      <c r="L347" s="993"/>
      <c r="M347" s="1001"/>
      <c r="N347" s="997"/>
      <c r="P347" s="1036"/>
      <c r="Q347" s="972"/>
    </row>
    <row r="348" spans="1:17" ht="15">
      <c r="A348" s="966"/>
      <c r="B348" s="974"/>
      <c r="C348" s="974"/>
      <c r="D348" s="970"/>
      <c r="E348" s="975"/>
      <c r="F348" s="999"/>
      <c r="G348" s="976"/>
      <c r="H348" s="999"/>
      <c r="I348" s="999"/>
      <c r="J348" s="1008"/>
      <c r="K348" s="993"/>
      <c r="L348" s="993"/>
      <c r="M348" s="1001"/>
      <c r="N348" s="997"/>
      <c r="P348" s="1036"/>
      <c r="Q348" s="972"/>
    </row>
    <row r="349" spans="1:17" ht="15">
      <c r="A349" s="966"/>
      <c r="B349" s="974"/>
      <c r="C349" s="974"/>
      <c r="D349" s="970"/>
      <c r="E349" s="975"/>
      <c r="F349" s="999"/>
      <c r="G349" s="976"/>
      <c r="H349" s="999"/>
      <c r="I349" s="999"/>
      <c r="J349" s="1008"/>
      <c r="K349" s="993"/>
      <c r="L349" s="993"/>
      <c r="M349" s="1001"/>
      <c r="N349" s="997"/>
      <c r="P349" s="1036"/>
      <c r="Q349" s="972"/>
    </row>
    <row r="350" spans="1:17" ht="15">
      <c r="A350" s="966"/>
      <c r="B350" s="974"/>
      <c r="C350" s="974"/>
      <c r="D350" s="970"/>
      <c r="E350" s="975"/>
      <c r="F350" s="999"/>
      <c r="G350" s="976"/>
      <c r="H350" s="999"/>
      <c r="I350" s="999"/>
      <c r="J350" s="1008"/>
      <c r="K350" s="993"/>
      <c r="L350" s="993"/>
      <c r="M350" s="1001"/>
      <c r="N350" s="997"/>
      <c r="P350" s="1036"/>
      <c r="Q350" s="972"/>
    </row>
    <row r="351" spans="1:17" ht="15">
      <c r="A351" s="966"/>
      <c r="B351" s="974"/>
      <c r="C351" s="974"/>
      <c r="D351" s="970"/>
      <c r="E351" s="975"/>
      <c r="F351" s="999"/>
      <c r="G351" s="976"/>
      <c r="H351" s="999"/>
      <c r="I351" s="999"/>
      <c r="J351" s="1008"/>
      <c r="K351" s="993"/>
      <c r="L351" s="993"/>
      <c r="M351" s="1001"/>
      <c r="N351" s="997"/>
      <c r="P351" s="1036"/>
      <c r="Q351" s="972"/>
    </row>
    <row r="352" spans="1:17" ht="15">
      <c r="A352" s="966"/>
      <c r="B352" s="974"/>
      <c r="C352" s="974"/>
      <c r="D352" s="970"/>
      <c r="E352" s="975"/>
      <c r="F352" s="999"/>
      <c r="G352" s="976"/>
      <c r="H352" s="999"/>
      <c r="I352" s="999"/>
      <c r="J352" s="1008"/>
      <c r="K352" s="993"/>
      <c r="L352" s="993"/>
      <c r="M352" s="1001"/>
      <c r="N352" s="997"/>
      <c r="P352" s="1036"/>
      <c r="Q352" s="972"/>
    </row>
    <row r="353" spans="1:17" ht="15">
      <c r="A353" s="966"/>
      <c r="B353" s="974"/>
      <c r="C353" s="974"/>
      <c r="D353" s="970"/>
      <c r="E353" s="975"/>
      <c r="F353" s="999"/>
      <c r="G353" s="976"/>
      <c r="H353" s="999"/>
      <c r="I353" s="999"/>
      <c r="J353" s="1008"/>
      <c r="K353" s="993"/>
      <c r="L353" s="993"/>
      <c r="M353" s="1001"/>
      <c r="N353" s="997"/>
      <c r="P353" s="1036"/>
      <c r="Q353" s="972"/>
    </row>
    <row r="354" spans="1:17" ht="15">
      <c r="A354" s="966"/>
      <c r="B354" s="974"/>
      <c r="C354" s="974"/>
      <c r="D354" s="970"/>
      <c r="E354" s="975"/>
      <c r="F354" s="999"/>
      <c r="G354" s="976"/>
      <c r="H354" s="999"/>
      <c r="I354" s="999"/>
      <c r="J354" s="1008"/>
      <c r="K354" s="993"/>
      <c r="L354" s="993"/>
      <c r="M354" s="1001"/>
      <c r="N354" s="997"/>
      <c r="P354" s="1036"/>
      <c r="Q354" s="972"/>
    </row>
    <row r="355" spans="1:17" ht="15">
      <c r="A355" s="966"/>
      <c r="B355" s="974"/>
      <c r="C355" s="974"/>
      <c r="D355" s="970"/>
      <c r="E355" s="975"/>
      <c r="F355" s="999"/>
      <c r="G355" s="976"/>
      <c r="H355" s="999"/>
      <c r="I355" s="999"/>
      <c r="J355" s="1008"/>
      <c r="K355" s="993"/>
      <c r="L355" s="993"/>
      <c r="M355" s="1001"/>
      <c r="N355" s="997"/>
      <c r="P355" s="1036"/>
      <c r="Q355" s="972"/>
    </row>
    <row r="356" spans="1:17" ht="15">
      <c r="A356" s="966"/>
      <c r="B356" s="974"/>
      <c r="C356" s="974"/>
      <c r="D356" s="970"/>
      <c r="E356" s="975"/>
      <c r="F356" s="999"/>
      <c r="G356" s="976"/>
      <c r="H356" s="999"/>
      <c r="I356" s="999"/>
      <c r="J356" s="1008"/>
      <c r="K356" s="993"/>
      <c r="L356" s="993"/>
      <c r="M356" s="1001"/>
      <c r="N356" s="997"/>
      <c r="P356" s="1036"/>
      <c r="Q356" s="972"/>
    </row>
    <row r="357" spans="1:17" ht="15">
      <c r="A357" s="966"/>
      <c r="B357" s="974"/>
      <c r="C357" s="974"/>
      <c r="D357" s="970"/>
      <c r="E357" s="975"/>
      <c r="F357" s="999"/>
      <c r="G357" s="976"/>
      <c r="H357" s="999"/>
      <c r="I357" s="999"/>
      <c r="J357" s="1008"/>
      <c r="K357" s="993"/>
      <c r="L357" s="993"/>
      <c r="M357" s="1001"/>
      <c r="N357" s="997"/>
      <c r="P357" s="1036"/>
      <c r="Q357" s="972"/>
    </row>
    <row r="358" spans="1:17" ht="15">
      <c r="A358" s="966"/>
      <c r="B358" s="974"/>
      <c r="C358" s="974"/>
      <c r="D358" s="970"/>
      <c r="E358" s="975"/>
      <c r="F358" s="999"/>
      <c r="G358" s="976"/>
      <c r="H358" s="999"/>
      <c r="I358" s="999"/>
      <c r="J358" s="1008"/>
      <c r="K358" s="993"/>
      <c r="L358" s="993"/>
      <c r="M358" s="1001"/>
      <c r="N358" s="997"/>
      <c r="P358" s="1036"/>
      <c r="Q358" s="972"/>
    </row>
    <row r="359" spans="1:17" ht="15">
      <c r="A359" s="966"/>
      <c r="B359" s="974"/>
      <c r="C359" s="974"/>
      <c r="D359" s="970"/>
      <c r="E359" s="975"/>
      <c r="F359" s="999"/>
      <c r="G359" s="976"/>
      <c r="H359" s="999"/>
      <c r="I359" s="999"/>
      <c r="J359" s="1008"/>
      <c r="K359" s="993"/>
      <c r="L359" s="993"/>
      <c r="M359" s="1001"/>
      <c r="N359" s="997"/>
      <c r="P359" s="1036"/>
      <c r="Q359" s="972"/>
    </row>
    <row r="360" spans="1:17" ht="15">
      <c r="A360" s="966"/>
      <c r="B360" s="974"/>
      <c r="C360" s="974"/>
      <c r="D360" s="970"/>
      <c r="E360" s="975"/>
      <c r="F360" s="999"/>
      <c r="G360" s="976"/>
      <c r="H360" s="999"/>
      <c r="I360" s="999"/>
      <c r="J360" s="1008"/>
      <c r="K360" s="993"/>
      <c r="L360" s="993"/>
      <c r="M360" s="1001"/>
      <c r="N360" s="997"/>
      <c r="P360" s="1036"/>
      <c r="Q360" s="972"/>
    </row>
    <row r="361" spans="1:17" ht="15">
      <c r="A361" s="966"/>
      <c r="B361" s="974"/>
      <c r="C361" s="974"/>
      <c r="D361" s="970"/>
      <c r="E361" s="975"/>
      <c r="F361" s="999"/>
      <c r="G361" s="976"/>
      <c r="H361" s="999"/>
      <c r="I361" s="999"/>
      <c r="J361" s="1008"/>
      <c r="K361" s="993"/>
      <c r="L361" s="993"/>
      <c r="M361" s="1001"/>
      <c r="N361" s="997"/>
      <c r="P361" s="1036"/>
      <c r="Q361" s="972"/>
    </row>
    <row r="362" spans="1:17" ht="15">
      <c r="A362" s="966"/>
      <c r="B362" s="974"/>
      <c r="C362" s="974"/>
      <c r="D362" s="970"/>
      <c r="E362" s="975"/>
      <c r="F362" s="999"/>
      <c r="G362" s="976"/>
      <c r="H362" s="999"/>
      <c r="I362" s="999"/>
      <c r="J362" s="1008"/>
      <c r="K362" s="993"/>
      <c r="L362" s="993"/>
      <c r="M362" s="1001"/>
      <c r="N362" s="997"/>
      <c r="P362" s="1036"/>
      <c r="Q362" s="972"/>
    </row>
    <row r="363" spans="1:17" ht="15">
      <c r="A363" s="966"/>
      <c r="B363" s="974"/>
      <c r="C363" s="974"/>
      <c r="D363" s="970"/>
      <c r="E363" s="975"/>
      <c r="F363" s="999"/>
      <c r="G363" s="976"/>
      <c r="H363" s="999"/>
      <c r="I363" s="999"/>
      <c r="J363" s="1008"/>
      <c r="K363" s="993"/>
      <c r="L363" s="993"/>
      <c r="M363" s="1001"/>
      <c r="N363" s="997"/>
      <c r="P363" s="1036"/>
      <c r="Q363" s="972"/>
    </row>
    <row r="364" spans="1:17" ht="15">
      <c r="A364" s="966"/>
      <c r="B364" s="974"/>
      <c r="C364" s="974"/>
      <c r="D364" s="970"/>
      <c r="E364" s="975"/>
      <c r="F364" s="999"/>
      <c r="G364" s="976"/>
      <c r="H364" s="999"/>
      <c r="I364" s="999"/>
      <c r="J364" s="1008"/>
      <c r="K364" s="993"/>
      <c r="L364" s="993"/>
      <c r="M364" s="1001"/>
      <c r="N364" s="997"/>
      <c r="P364" s="1036"/>
      <c r="Q364" s="972"/>
    </row>
    <row r="365" spans="1:17" ht="15">
      <c r="A365" s="966"/>
      <c r="B365" s="974"/>
      <c r="C365" s="974"/>
      <c r="D365" s="970"/>
      <c r="E365" s="975"/>
      <c r="F365" s="999"/>
      <c r="G365" s="976"/>
      <c r="H365" s="999"/>
      <c r="I365" s="999"/>
      <c r="J365" s="1008"/>
      <c r="K365" s="993"/>
      <c r="L365" s="993"/>
      <c r="M365" s="1001"/>
      <c r="N365" s="997"/>
      <c r="P365" s="1036"/>
      <c r="Q365" s="972"/>
    </row>
    <row r="366" spans="1:17" ht="15">
      <c r="A366" s="966"/>
      <c r="B366" s="974"/>
      <c r="C366" s="974"/>
      <c r="D366" s="970"/>
      <c r="E366" s="975"/>
      <c r="F366" s="999"/>
      <c r="G366" s="976"/>
      <c r="H366" s="999"/>
      <c r="I366" s="999"/>
      <c r="J366" s="1008"/>
      <c r="K366" s="993"/>
      <c r="L366" s="993"/>
      <c r="M366" s="1001"/>
      <c r="N366" s="997"/>
      <c r="P366" s="1036"/>
      <c r="Q366" s="972"/>
    </row>
    <row r="367" spans="1:17" ht="15">
      <c r="A367" s="966"/>
      <c r="B367" s="974"/>
      <c r="C367" s="974"/>
      <c r="D367" s="970"/>
      <c r="E367" s="975"/>
      <c r="F367" s="999"/>
      <c r="G367" s="976"/>
      <c r="H367" s="999"/>
      <c r="I367" s="999"/>
      <c r="J367" s="1008"/>
      <c r="K367" s="993"/>
      <c r="L367" s="993"/>
      <c r="M367" s="1001"/>
      <c r="N367" s="997"/>
      <c r="P367" s="1036"/>
      <c r="Q367" s="972"/>
    </row>
    <row r="368" spans="1:17" ht="15">
      <c r="A368" s="966"/>
      <c r="B368" s="974"/>
      <c r="C368" s="974"/>
      <c r="D368" s="970"/>
      <c r="E368" s="975"/>
      <c r="F368" s="999"/>
      <c r="G368" s="976"/>
      <c r="H368" s="999"/>
      <c r="I368" s="999"/>
      <c r="J368" s="1008"/>
      <c r="K368" s="993"/>
      <c r="L368" s="993"/>
      <c r="M368" s="1001"/>
      <c r="N368" s="997"/>
      <c r="P368" s="1036"/>
      <c r="Q368" s="972"/>
    </row>
    <row r="369" spans="1:17" ht="15">
      <c r="A369" s="966"/>
      <c r="B369" s="974"/>
      <c r="C369" s="974"/>
      <c r="D369" s="970"/>
      <c r="E369" s="975"/>
      <c r="F369" s="999"/>
      <c r="G369" s="976"/>
      <c r="H369" s="999"/>
      <c r="I369" s="999"/>
      <c r="J369" s="1008"/>
      <c r="K369" s="993"/>
      <c r="L369" s="993"/>
      <c r="M369" s="1001"/>
      <c r="N369" s="997"/>
      <c r="P369" s="1036"/>
      <c r="Q369" s="972"/>
    </row>
    <row r="370" spans="1:17" ht="15">
      <c r="A370" s="966"/>
      <c r="B370" s="974"/>
      <c r="C370" s="974"/>
      <c r="D370" s="970"/>
      <c r="E370" s="975"/>
      <c r="F370" s="999"/>
      <c r="G370" s="976"/>
      <c r="H370" s="999"/>
      <c r="I370" s="999"/>
      <c r="J370" s="1008"/>
      <c r="K370" s="993"/>
      <c r="L370" s="993"/>
      <c r="M370" s="1001"/>
      <c r="N370" s="997"/>
      <c r="P370" s="1036"/>
      <c r="Q370" s="972"/>
    </row>
    <row r="371" spans="1:17" ht="15">
      <c r="A371" s="966"/>
      <c r="B371" s="974"/>
      <c r="C371" s="974"/>
      <c r="D371" s="970"/>
      <c r="E371" s="975"/>
      <c r="F371" s="999"/>
      <c r="G371" s="976"/>
      <c r="H371" s="999"/>
      <c r="I371" s="999"/>
      <c r="J371" s="1008"/>
      <c r="K371" s="993"/>
      <c r="L371" s="993"/>
      <c r="M371" s="1001"/>
      <c r="N371" s="997"/>
      <c r="P371" s="1036"/>
      <c r="Q371" s="972"/>
    </row>
    <row r="372" spans="1:17" ht="15">
      <c r="A372" s="966"/>
      <c r="B372" s="974"/>
      <c r="C372" s="974"/>
      <c r="D372" s="970"/>
      <c r="E372" s="975"/>
      <c r="F372" s="999"/>
      <c r="G372" s="976"/>
      <c r="H372" s="999"/>
      <c r="I372" s="999"/>
      <c r="J372" s="1008"/>
      <c r="K372" s="993"/>
      <c r="L372" s="993"/>
      <c r="M372" s="1001"/>
      <c r="N372" s="997"/>
      <c r="P372" s="1036"/>
      <c r="Q372" s="972"/>
    </row>
    <row r="373" spans="1:17" ht="15">
      <c r="A373" s="966"/>
      <c r="B373" s="974"/>
      <c r="C373" s="974"/>
      <c r="D373" s="970"/>
      <c r="E373" s="975"/>
      <c r="F373" s="999"/>
      <c r="G373" s="976"/>
      <c r="H373" s="999"/>
      <c r="I373" s="999"/>
      <c r="J373" s="1008"/>
      <c r="K373" s="993"/>
      <c r="L373" s="993"/>
      <c r="M373" s="1001"/>
      <c r="N373" s="997"/>
      <c r="P373" s="1036"/>
      <c r="Q373" s="972"/>
    </row>
    <row r="374" spans="1:17" ht="15">
      <c r="A374" s="966"/>
      <c r="B374" s="974"/>
      <c r="C374" s="974"/>
      <c r="D374" s="970"/>
      <c r="E374" s="975"/>
      <c r="F374" s="999"/>
      <c r="G374" s="976"/>
      <c r="H374" s="999"/>
      <c r="I374" s="999"/>
      <c r="J374" s="1008"/>
      <c r="K374" s="993"/>
      <c r="L374" s="993"/>
      <c r="M374" s="1001"/>
      <c r="N374" s="997"/>
      <c r="P374" s="1036"/>
      <c r="Q374" s="972"/>
    </row>
    <row r="375" spans="1:17" ht="15">
      <c r="A375" s="966"/>
      <c r="B375" s="974"/>
      <c r="C375" s="974"/>
      <c r="D375" s="970"/>
      <c r="E375" s="975"/>
      <c r="F375" s="999"/>
      <c r="G375" s="976"/>
      <c r="H375" s="999"/>
      <c r="I375" s="999"/>
      <c r="J375" s="1008"/>
      <c r="K375" s="993"/>
      <c r="L375" s="993"/>
      <c r="M375" s="1001"/>
      <c r="N375" s="997"/>
      <c r="P375" s="1036"/>
      <c r="Q375" s="972"/>
    </row>
    <row r="376" spans="1:17" ht="15">
      <c r="A376" s="966"/>
      <c r="B376" s="974"/>
      <c r="C376" s="974"/>
      <c r="D376" s="970"/>
      <c r="E376" s="975"/>
      <c r="F376" s="999"/>
      <c r="G376" s="976"/>
      <c r="H376" s="999"/>
      <c r="I376" s="999"/>
      <c r="J376" s="1008"/>
      <c r="K376" s="993"/>
      <c r="L376" s="993"/>
      <c r="M376" s="1001"/>
      <c r="N376" s="997"/>
      <c r="P376" s="1036"/>
      <c r="Q376" s="972"/>
    </row>
    <row r="377" spans="1:17" ht="15">
      <c r="A377" s="966"/>
      <c r="B377" s="974"/>
      <c r="C377" s="974"/>
      <c r="D377" s="970"/>
      <c r="E377" s="975"/>
      <c r="F377" s="999"/>
      <c r="G377" s="976"/>
      <c r="H377" s="999"/>
      <c r="I377" s="999"/>
      <c r="J377" s="1008"/>
      <c r="K377" s="993"/>
      <c r="L377" s="993"/>
      <c r="M377" s="1001"/>
      <c r="N377" s="997"/>
      <c r="P377" s="1036"/>
      <c r="Q377" s="972"/>
    </row>
    <row r="378" spans="1:17" ht="15">
      <c r="A378" s="966"/>
      <c r="B378" s="974"/>
      <c r="C378" s="974"/>
      <c r="D378" s="970"/>
      <c r="E378" s="975"/>
      <c r="F378" s="999"/>
      <c r="G378" s="976"/>
      <c r="H378" s="999"/>
      <c r="I378" s="999"/>
      <c r="J378" s="1008"/>
      <c r="K378" s="993"/>
      <c r="L378" s="993"/>
      <c r="M378" s="1001"/>
      <c r="N378" s="997"/>
      <c r="P378" s="1036"/>
      <c r="Q378" s="972"/>
    </row>
    <row r="379" spans="1:17" ht="15">
      <c r="A379" s="966"/>
      <c r="B379" s="974"/>
      <c r="C379" s="974"/>
      <c r="D379" s="970"/>
      <c r="E379" s="975"/>
      <c r="F379" s="999"/>
      <c r="G379" s="976"/>
      <c r="H379" s="999"/>
      <c r="I379" s="999"/>
      <c r="J379" s="1008"/>
      <c r="K379" s="993"/>
      <c r="L379" s="993"/>
      <c r="M379" s="1001"/>
      <c r="N379" s="997"/>
      <c r="P379" s="1036"/>
      <c r="Q379" s="972"/>
    </row>
    <row r="380" spans="1:17" ht="15">
      <c r="A380" s="966"/>
      <c r="B380" s="974"/>
      <c r="C380" s="974"/>
      <c r="D380" s="970"/>
      <c r="E380" s="975"/>
      <c r="F380" s="999"/>
      <c r="G380" s="976"/>
      <c r="H380" s="999"/>
      <c r="I380" s="999"/>
      <c r="J380" s="1008"/>
      <c r="K380" s="993"/>
      <c r="L380" s="993"/>
      <c r="M380" s="1001"/>
      <c r="N380" s="997"/>
      <c r="P380" s="1036"/>
      <c r="Q380" s="972"/>
    </row>
    <row r="381" spans="1:17" ht="15">
      <c r="A381" s="966"/>
      <c r="B381" s="974"/>
      <c r="C381" s="974"/>
      <c r="D381" s="970"/>
      <c r="E381" s="975"/>
      <c r="F381" s="999"/>
      <c r="G381" s="976"/>
      <c r="H381" s="999"/>
      <c r="I381" s="999"/>
      <c r="J381" s="1008"/>
      <c r="K381" s="993"/>
      <c r="L381" s="993"/>
      <c r="M381" s="1001"/>
      <c r="N381" s="997"/>
      <c r="P381" s="1036"/>
      <c r="Q381" s="972"/>
    </row>
    <row r="382" spans="1:17" ht="15">
      <c r="A382" s="966"/>
      <c r="B382" s="974"/>
      <c r="C382" s="974"/>
      <c r="D382" s="970"/>
      <c r="E382" s="975"/>
      <c r="F382" s="999"/>
      <c r="G382" s="976"/>
      <c r="H382" s="999"/>
      <c r="I382" s="999"/>
      <c r="J382" s="1008"/>
      <c r="K382" s="993"/>
      <c r="L382" s="993"/>
      <c r="M382" s="1001"/>
      <c r="N382" s="997"/>
      <c r="P382" s="1036"/>
      <c r="Q382" s="972"/>
    </row>
    <row r="383" spans="1:17" ht="15">
      <c r="A383" s="966"/>
      <c r="B383" s="974"/>
      <c r="C383" s="974"/>
      <c r="D383" s="970"/>
      <c r="E383" s="975"/>
      <c r="F383" s="999"/>
      <c r="G383" s="976"/>
      <c r="H383" s="999"/>
      <c r="I383" s="999"/>
      <c r="J383" s="1008"/>
      <c r="K383" s="993"/>
      <c r="L383" s="993"/>
      <c r="M383" s="1001"/>
      <c r="N383" s="997"/>
      <c r="P383" s="1036"/>
      <c r="Q383" s="972"/>
    </row>
    <row r="384" spans="1:17" ht="15">
      <c r="A384" s="966"/>
      <c r="B384" s="974"/>
      <c r="C384" s="974"/>
      <c r="D384" s="970"/>
      <c r="E384" s="975"/>
      <c r="F384" s="999"/>
      <c r="G384" s="976"/>
      <c r="H384" s="999"/>
      <c r="I384" s="999"/>
      <c r="J384" s="1008"/>
      <c r="K384" s="993"/>
      <c r="L384" s="993"/>
      <c r="M384" s="1001"/>
      <c r="N384" s="997"/>
      <c r="P384" s="1036"/>
      <c r="Q384" s="972"/>
    </row>
    <row r="385" spans="1:17" ht="15">
      <c r="A385" s="966"/>
      <c r="B385" s="974"/>
      <c r="C385" s="974"/>
      <c r="D385" s="970"/>
      <c r="E385" s="975"/>
      <c r="F385" s="999"/>
      <c r="G385" s="976"/>
      <c r="H385" s="999"/>
      <c r="I385" s="999"/>
      <c r="J385" s="1008"/>
      <c r="K385" s="993"/>
      <c r="L385" s="993"/>
      <c r="M385" s="1001"/>
      <c r="N385" s="997"/>
      <c r="P385" s="1036"/>
      <c r="Q385" s="972"/>
    </row>
    <row r="386" spans="1:17" ht="15">
      <c r="A386" s="966"/>
      <c r="B386" s="974"/>
      <c r="C386" s="974"/>
      <c r="D386" s="970"/>
      <c r="E386" s="975"/>
      <c r="F386" s="999"/>
      <c r="G386" s="976"/>
      <c r="H386" s="999"/>
      <c r="I386" s="999"/>
      <c r="J386" s="1008"/>
      <c r="K386" s="993"/>
      <c r="L386" s="993"/>
      <c r="M386" s="1001"/>
      <c r="N386" s="997"/>
      <c r="P386" s="1036"/>
      <c r="Q386" s="972"/>
    </row>
    <row r="387" spans="1:17" ht="15">
      <c r="A387" s="966"/>
      <c r="B387" s="974"/>
      <c r="C387" s="974"/>
      <c r="D387" s="970"/>
      <c r="E387" s="975"/>
      <c r="F387" s="999"/>
      <c r="G387" s="976"/>
      <c r="H387" s="999"/>
      <c r="I387" s="999"/>
      <c r="J387" s="1008"/>
      <c r="K387" s="993"/>
      <c r="L387" s="993"/>
      <c r="M387" s="1001"/>
      <c r="N387" s="997"/>
      <c r="P387" s="1036"/>
      <c r="Q387" s="972"/>
    </row>
    <row r="388" spans="1:17" ht="15">
      <c r="A388" s="966"/>
      <c r="B388" s="974"/>
      <c r="C388" s="974"/>
      <c r="D388" s="970"/>
      <c r="E388" s="975"/>
      <c r="F388" s="999"/>
      <c r="G388" s="976"/>
      <c r="H388" s="999"/>
      <c r="I388" s="999"/>
      <c r="J388" s="1008"/>
      <c r="K388" s="993"/>
      <c r="L388" s="993"/>
      <c r="M388" s="1001"/>
      <c r="N388" s="997"/>
      <c r="P388" s="1036"/>
      <c r="Q388" s="972"/>
    </row>
    <row r="389" spans="1:17" ht="15">
      <c r="A389" s="966"/>
      <c r="B389" s="974"/>
      <c r="C389" s="974"/>
      <c r="D389" s="966"/>
      <c r="E389" s="975"/>
      <c r="F389" s="999"/>
      <c r="G389" s="976"/>
      <c r="H389" s="999"/>
      <c r="I389" s="999"/>
      <c r="J389" s="1008"/>
      <c r="K389" s="993"/>
      <c r="L389" s="993"/>
      <c r="M389" s="1001"/>
      <c r="N389" s="997"/>
      <c r="P389" s="1036"/>
      <c r="Q389" s="972"/>
    </row>
    <row r="390" spans="1:17" ht="15">
      <c r="A390" s="966"/>
      <c r="B390" s="974"/>
      <c r="C390" s="974"/>
      <c r="D390" s="966"/>
      <c r="E390" s="975"/>
      <c r="F390" s="999"/>
      <c r="G390" s="976"/>
      <c r="H390" s="999"/>
      <c r="I390" s="999"/>
      <c r="J390" s="1008"/>
      <c r="K390" s="993"/>
      <c r="L390" s="993"/>
      <c r="M390" s="1001"/>
      <c r="N390" s="997"/>
      <c r="P390" s="1036"/>
      <c r="Q390" s="972"/>
    </row>
    <row r="391" spans="1:17" ht="15">
      <c r="A391" s="966"/>
      <c r="B391" s="974"/>
      <c r="C391" s="974"/>
      <c r="D391" s="966"/>
      <c r="E391" s="975"/>
      <c r="F391" s="999"/>
      <c r="G391" s="976"/>
      <c r="H391" s="999"/>
      <c r="I391" s="999"/>
      <c r="J391" s="1008"/>
      <c r="K391" s="993"/>
      <c r="L391" s="993"/>
      <c r="M391" s="1001"/>
      <c r="N391" s="997"/>
      <c r="P391" s="1036"/>
      <c r="Q391" s="972"/>
    </row>
    <row r="392" spans="1:17" ht="15">
      <c r="A392" s="966"/>
      <c r="B392" s="974"/>
      <c r="C392" s="974"/>
      <c r="D392" s="966"/>
      <c r="E392" s="975"/>
      <c r="F392" s="999"/>
      <c r="G392" s="976"/>
      <c r="H392" s="999"/>
      <c r="I392" s="999"/>
      <c r="J392" s="1008"/>
      <c r="K392" s="993"/>
      <c r="L392" s="993"/>
      <c r="M392" s="1001"/>
      <c r="N392" s="997"/>
      <c r="P392" s="1036"/>
      <c r="Q392" s="972"/>
    </row>
    <row r="393" spans="1:17" ht="15">
      <c r="A393" s="966"/>
      <c r="B393" s="974"/>
      <c r="C393" s="974"/>
      <c r="D393" s="966"/>
      <c r="E393" s="975"/>
      <c r="F393" s="999"/>
      <c r="G393" s="976"/>
      <c r="H393" s="999"/>
      <c r="I393" s="999"/>
      <c r="J393" s="1008"/>
      <c r="K393" s="993"/>
      <c r="L393" s="993"/>
      <c r="M393" s="1001"/>
      <c r="N393" s="997"/>
      <c r="P393" s="1036"/>
      <c r="Q393" s="972"/>
    </row>
    <row r="394" spans="1:17" ht="15">
      <c r="A394" s="966"/>
      <c r="B394" s="974"/>
      <c r="C394" s="974"/>
      <c r="D394" s="966"/>
      <c r="E394" s="975"/>
      <c r="F394" s="999"/>
      <c r="G394" s="976"/>
      <c r="H394" s="999"/>
      <c r="I394" s="999"/>
      <c r="J394" s="1008"/>
      <c r="K394" s="993"/>
      <c r="L394" s="993"/>
      <c r="M394" s="1001"/>
      <c r="N394" s="997"/>
      <c r="P394" s="1036"/>
      <c r="Q394" s="972"/>
    </row>
    <row r="395" spans="1:17" ht="15">
      <c r="A395" s="966"/>
      <c r="B395" s="974"/>
      <c r="C395" s="974"/>
      <c r="D395" s="966"/>
      <c r="E395" s="975"/>
      <c r="F395" s="999"/>
      <c r="G395" s="976"/>
      <c r="H395" s="999"/>
      <c r="I395" s="999"/>
      <c r="J395" s="1008"/>
      <c r="K395" s="993"/>
      <c r="L395" s="993"/>
      <c r="M395" s="1001"/>
      <c r="N395" s="997"/>
      <c r="P395" s="1036"/>
      <c r="Q395" s="972"/>
    </row>
    <row r="396" spans="1:17" ht="15">
      <c r="A396" s="966"/>
      <c r="B396" s="974"/>
      <c r="C396" s="974"/>
      <c r="D396" s="966"/>
      <c r="E396" s="975"/>
      <c r="F396" s="999"/>
      <c r="G396" s="976"/>
      <c r="H396" s="999"/>
      <c r="I396" s="999"/>
      <c r="J396" s="1008"/>
      <c r="K396" s="993"/>
      <c r="L396" s="993"/>
      <c r="M396" s="1001"/>
      <c r="N396" s="997"/>
      <c r="P396" s="1036"/>
      <c r="Q396" s="972"/>
    </row>
    <row r="397" spans="1:17" ht="15">
      <c r="A397" s="966"/>
      <c r="B397" s="974"/>
      <c r="C397" s="974"/>
      <c r="D397" s="966"/>
      <c r="E397" s="975"/>
      <c r="F397" s="999"/>
      <c r="G397" s="976"/>
      <c r="H397" s="999"/>
      <c r="I397" s="999"/>
      <c r="J397" s="1008"/>
      <c r="K397" s="993"/>
      <c r="L397" s="993"/>
      <c r="M397" s="1001"/>
      <c r="N397" s="997"/>
      <c r="P397" s="1036"/>
      <c r="Q397" s="972"/>
    </row>
    <row r="398" spans="1:17" ht="15">
      <c r="A398" s="966"/>
      <c r="B398" s="974"/>
      <c r="C398" s="974"/>
      <c r="D398" s="966"/>
      <c r="E398" s="975"/>
      <c r="F398" s="999"/>
      <c r="G398" s="976"/>
      <c r="H398" s="999"/>
      <c r="I398" s="999"/>
      <c r="J398" s="1008"/>
      <c r="K398" s="993"/>
      <c r="L398" s="993"/>
      <c r="M398" s="1001"/>
      <c r="N398" s="997"/>
      <c r="P398" s="1036"/>
      <c r="Q398" s="972"/>
    </row>
    <row r="399" spans="1:17" ht="15">
      <c r="A399" s="966"/>
      <c r="B399" s="974"/>
      <c r="C399" s="974"/>
      <c r="D399" s="966"/>
      <c r="E399" s="975"/>
      <c r="F399" s="999"/>
      <c r="G399" s="976"/>
      <c r="H399" s="999"/>
      <c r="I399" s="999"/>
      <c r="J399" s="1008"/>
      <c r="K399" s="993"/>
      <c r="L399" s="993"/>
      <c r="M399" s="1001"/>
      <c r="N399" s="997"/>
      <c r="P399" s="1036"/>
      <c r="Q399" s="972"/>
    </row>
    <row r="400" spans="1:17" ht="15">
      <c r="A400" s="966"/>
      <c r="B400" s="974"/>
      <c r="C400" s="974"/>
      <c r="D400" s="966"/>
      <c r="E400" s="975"/>
      <c r="F400" s="999"/>
      <c r="G400" s="976"/>
      <c r="H400" s="999"/>
      <c r="I400" s="999"/>
      <c r="J400" s="1008"/>
      <c r="K400" s="993"/>
      <c r="L400" s="993"/>
      <c r="M400" s="1001"/>
      <c r="N400" s="997"/>
      <c r="P400" s="1036"/>
      <c r="Q400" s="972"/>
    </row>
    <row r="401" spans="1:17" ht="15">
      <c r="A401" s="966"/>
      <c r="B401" s="974"/>
      <c r="C401" s="974"/>
      <c r="D401" s="966"/>
      <c r="E401" s="975"/>
      <c r="F401" s="999"/>
      <c r="G401" s="976"/>
      <c r="H401" s="999"/>
      <c r="I401" s="999"/>
      <c r="J401" s="1008"/>
      <c r="K401" s="993"/>
      <c r="L401" s="993"/>
      <c r="M401" s="1001"/>
      <c r="N401" s="997"/>
      <c r="P401" s="1036"/>
      <c r="Q401" s="972"/>
    </row>
    <row r="402" spans="1:17" ht="15">
      <c r="A402" s="966"/>
      <c r="B402" s="974"/>
      <c r="C402" s="974"/>
      <c r="D402" s="966"/>
      <c r="E402" s="975"/>
      <c r="F402" s="999"/>
      <c r="G402" s="976"/>
      <c r="H402" s="999"/>
      <c r="I402" s="999"/>
      <c r="J402" s="1008"/>
      <c r="K402" s="993"/>
      <c r="L402" s="993"/>
      <c r="M402" s="1001"/>
      <c r="N402" s="997"/>
      <c r="P402" s="1036"/>
      <c r="Q402" s="972"/>
    </row>
    <row r="403" spans="1:17" ht="15">
      <c r="A403" s="966"/>
      <c r="B403" s="974"/>
      <c r="C403" s="974"/>
      <c r="D403" s="966"/>
      <c r="E403" s="975"/>
      <c r="F403" s="999"/>
      <c r="G403" s="976"/>
      <c r="H403" s="999"/>
      <c r="I403" s="999"/>
      <c r="J403" s="1008"/>
      <c r="K403" s="993"/>
      <c r="L403" s="993"/>
      <c r="M403" s="1001"/>
      <c r="N403" s="997"/>
      <c r="P403" s="1036"/>
      <c r="Q403" s="972"/>
    </row>
    <row r="404" spans="1:17" ht="15">
      <c r="A404" s="966"/>
      <c r="B404" s="974"/>
      <c r="C404" s="974"/>
      <c r="D404" s="966"/>
      <c r="E404" s="975"/>
      <c r="F404" s="999"/>
      <c r="G404" s="976"/>
      <c r="H404" s="999"/>
      <c r="I404" s="999"/>
      <c r="J404" s="1008"/>
      <c r="K404" s="993"/>
      <c r="L404" s="993"/>
      <c r="M404" s="1001"/>
      <c r="N404" s="997"/>
      <c r="P404" s="1036"/>
      <c r="Q404" s="972"/>
    </row>
    <row r="405" spans="1:17" ht="15">
      <c r="A405" s="966"/>
      <c r="B405" s="974"/>
      <c r="C405" s="974"/>
      <c r="D405" s="966"/>
      <c r="E405" s="975"/>
      <c r="F405" s="999"/>
      <c r="G405" s="976"/>
      <c r="H405" s="999"/>
      <c r="I405" s="999"/>
      <c r="J405" s="1008"/>
      <c r="K405" s="993"/>
      <c r="L405" s="993"/>
      <c r="M405" s="1001"/>
      <c r="N405" s="997"/>
      <c r="P405" s="1036"/>
      <c r="Q405" s="972"/>
    </row>
    <row r="406" spans="1:17" ht="15">
      <c r="A406" s="966"/>
      <c r="B406" s="974"/>
      <c r="C406" s="974"/>
      <c r="D406" s="966"/>
      <c r="E406" s="975"/>
      <c r="F406" s="999"/>
      <c r="G406" s="976"/>
      <c r="H406" s="999"/>
      <c r="I406" s="999"/>
      <c r="J406" s="1008"/>
      <c r="K406" s="993"/>
      <c r="L406" s="993"/>
      <c r="M406" s="1001"/>
      <c r="N406" s="997"/>
      <c r="P406" s="1036"/>
      <c r="Q406" s="972"/>
    </row>
    <row r="407" spans="1:17" ht="15">
      <c r="A407" s="966"/>
      <c r="B407" s="974"/>
      <c r="C407" s="974"/>
      <c r="D407" s="966"/>
      <c r="E407" s="975"/>
      <c r="F407" s="999"/>
      <c r="G407" s="976"/>
      <c r="H407" s="999"/>
      <c r="I407" s="999"/>
      <c r="J407" s="1008"/>
      <c r="K407" s="993"/>
      <c r="L407" s="993"/>
      <c r="M407" s="1001"/>
      <c r="N407" s="997"/>
      <c r="P407" s="1036"/>
      <c r="Q407" s="972"/>
    </row>
    <row r="408" spans="1:17" ht="15">
      <c r="A408" s="966"/>
      <c r="B408" s="974"/>
      <c r="C408" s="974"/>
      <c r="D408" s="966"/>
      <c r="E408" s="975"/>
      <c r="F408" s="999"/>
      <c r="G408" s="976"/>
      <c r="H408" s="999"/>
      <c r="I408" s="999"/>
      <c r="J408" s="1008"/>
      <c r="K408" s="993"/>
      <c r="L408" s="993"/>
      <c r="M408" s="1001"/>
      <c r="N408" s="997"/>
      <c r="P408" s="1036"/>
      <c r="Q408" s="972"/>
    </row>
    <row r="409" spans="1:17" ht="15">
      <c r="A409" s="966"/>
      <c r="B409" s="974"/>
      <c r="C409" s="974"/>
      <c r="D409" s="966"/>
      <c r="E409" s="975"/>
      <c r="F409" s="999"/>
      <c r="G409" s="976"/>
      <c r="H409" s="999"/>
      <c r="I409" s="999"/>
      <c r="J409" s="1008"/>
      <c r="K409" s="993"/>
      <c r="L409" s="993"/>
      <c r="M409" s="1001"/>
      <c r="N409" s="997"/>
      <c r="P409" s="1036"/>
      <c r="Q409" s="972"/>
    </row>
    <row r="410" spans="1:17" ht="15">
      <c r="A410" s="966"/>
      <c r="B410" s="974"/>
      <c r="C410" s="974"/>
      <c r="D410" s="966"/>
      <c r="E410" s="975"/>
      <c r="F410" s="999"/>
      <c r="G410" s="976"/>
      <c r="H410" s="999"/>
      <c r="I410" s="999"/>
      <c r="J410" s="1008"/>
      <c r="K410" s="993"/>
      <c r="L410" s="993"/>
      <c r="M410" s="1001"/>
      <c r="N410" s="997"/>
      <c r="P410" s="1036"/>
      <c r="Q410" s="972"/>
    </row>
    <row r="411" spans="1:17" ht="15">
      <c r="A411" s="966"/>
      <c r="B411" s="974"/>
      <c r="C411" s="974"/>
      <c r="D411" s="966"/>
      <c r="E411" s="975"/>
      <c r="F411" s="999"/>
      <c r="G411" s="976"/>
      <c r="H411" s="999"/>
      <c r="I411" s="999"/>
      <c r="J411" s="1008"/>
      <c r="K411" s="993"/>
      <c r="L411" s="993"/>
      <c r="M411" s="1001"/>
      <c r="N411" s="997"/>
      <c r="P411" s="1036"/>
      <c r="Q411" s="972"/>
    </row>
    <row r="412" spans="1:17" ht="15">
      <c r="A412" s="966"/>
      <c r="B412" s="974"/>
      <c r="C412" s="974"/>
      <c r="D412" s="966"/>
      <c r="E412" s="975"/>
      <c r="F412" s="999"/>
      <c r="G412" s="976"/>
      <c r="H412" s="999"/>
      <c r="I412" s="999"/>
      <c r="J412" s="1008"/>
      <c r="K412" s="993"/>
      <c r="L412" s="993"/>
      <c r="M412" s="1001"/>
      <c r="N412" s="997"/>
      <c r="P412" s="1036"/>
      <c r="Q412" s="972"/>
    </row>
    <row r="413" spans="1:17" ht="15">
      <c r="A413" s="966"/>
      <c r="B413" s="974"/>
      <c r="C413" s="974"/>
      <c r="D413" s="966"/>
      <c r="E413" s="975"/>
      <c r="F413" s="999"/>
      <c r="G413" s="976"/>
      <c r="H413" s="999"/>
      <c r="I413" s="999"/>
      <c r="J413" s="1008"/>
      <c r="K413" s="993"/>
      <c r="L413" s="993"/>
      <c r="M413" s="1001"/>
      <c r="N413" s="997"/>
      <c r="P413" s="1036"/>
      <c r="Q413" s="972"/>
    </row>
    <row r="414" spans="1:17" ht="15">
      <c r="A414" s="966"/>
      <c r="B414" s="974"/>
      <c r="C414" s="974"/>
      <c r="D414" s="966"/>
      <c r="E414" s="975"/>
      <c r="F414" s="999"/>
      <c r="G414" s="976"/>
      <c r="H414" s="999"/>
      <c r="I414" s="999"/>
      <c r="J414" s="1008"/>
      <c r="K414" s="993"/>
      <c r="L414" s="993"/>
      <c r="M414" s="1001"/>
      <c r="N414" s="997"/>
      <c r="P414" s="1036"/>
      <c r="Q414" s="972"/>
    </row>
    <row r="415" spans="1:17" ht="15">
      <c r="A415" s="966"/>
      <c r="B415" s="974"/>
      <c r="C415" s="974"/>
      <c r="D415" s="966"/>
      <c r="E415" s="975"/>
      <c r="F415" s="999"/>
      <c r="G415" s="976"/>
      <c r="H415" s="999"/>
      <c r="I415" s="999"/>
      <c r="J415" s="1008"/>
      <c r="K415" s="993"/>
      <c r="L415" s="993"/>
      <c r="M415" s="1001"/>
      <c r="N415" s="997"/>
      <c r="P415" s="1036"/>
      <c r="Q415" s="972"/>
    </row>
    <row r="416" spans="1:17" ht="15">
      <c r="A416" s="966"/>
      <c r="B416" s="974"/>
      <c r="C416" s="974"/>
      <c r="D416" s="966"/>
      <c r="E416" s="975"/>
      <c r="F416" s="999"/>
      <c r="G416" s="976"/>
      <c r="H416" s="999"/>
      <c r="I416" s="999"/>
      <c r="J416" s="1008"/>
      <c r="K416" s="993"/>
      <c r="L416" s="993"/>
      <c r="M416" s="1001"/>
      <c r="N416" s="997"/>
      <c r="P416" s="1036"/>
      <c r="Q416" s="972"/>
    </row>
    <row r="417" spans="1:17" ht="15">
      <c r="A417" s="966"/>
      <c r="B417" s="974"/>
      <c r="C417" s="974"/>
      <c r="D417" s="966"/>
      <c r="E417" s="975"/>
      <c r="F417" s="999"/>
      <c r="G417" s="976"/>
      <c r="H417" s="999"/>
      <c r="I417" s="999"/>
      <c r="J417" s="1008"/>
      <c r="K417" s="993"/>
      <c r="L417" s="993"/>
      <c r="M417" s="1001"/>
      <c r="N417" s="997"/>
      <c r="P417" s="1036"/>
      <c r="Q417" s="972"/>
    </row>
    <row r="418" spans="1:17" ht="15">
      <c r="A418" s="966"/>
      <c r="B418" s="974"/>
      <c r="C418" s="974"/>
      <c r="D418" s="966"/>
      <c r="E418" s="975"/>
      <c r="F418" s="999"/>
      <c r="G418" s="976"/>
      <c r="H418" s="999"/>
      <c r="I418" s="999"/>
      <c r="J418" s="1008"/>
      <c r="K418" s="993"/>
      <c r="L418" s="993"/>
      <c r="M418" s="1001"/>
      <c r="N418" s="997"/>
      <c r="P418" s="1036"/>
      <c r="Q418" s="972"/>
    </row>
    <row r="419" spans="1:17" ht="15">
      <c r="A419" s="966"/>
      <c r="B419" s="974"/>
      <c r="C419" s="974"/>
      <c r="D419" s="966"/>
      <c r="E419" s="975"/>
      <c r="F419" s="999"/>
      <c r="G419" s="976"/>
      <c r="H419" s="999"/>
      <c r="I419" s="999"/>
      <c r="J419" s="1008"/>
      <c r="K419" s="993"/>
      <c r="L419" s="993"/>
      <c r="M419" s="1001"/>
      <c r="N419" s="997"/>
      <c r="P419" s="1036"/>
      <c r="Q419" s="972"/>
    </row>
    <row r="420" spans="1:17" ht="15">
      <c r="A420" s="966"/>
      <c r="B420" s="974"/>
      <c r="C420" s="974"/>
      <c r="D420" s="966"/>
      <c r="E420" s="975"/>
      <c r="F420" s="999"/>
      <c r="G420" s="976"/>
      <c r="H420" s="999"/>
      <c r="I420" s="999"/>
      <c r="J420" s="1008"/>
      <c r="K420" s="993"/>
      <c r="L420" s="993"/>
      <c r="M420" s="1001"/>
      <c r="N420" s="997"/>
      <c r="P420" s="1036"/>
      <c r="Q420" s="972"/>
    </row>
    <row r="421" spans="1:17" ht="15">
      <c r="A421" s="966"/>
      <c r="B421" s="974"/>
      <c r="C421" s="974"/>
      <c r="D421" s="966"/>
      <c r="E421" s="975"/>
      <c r="F421" s="999"/>
      <c r="G421" s="976"/>
      <c r="H421" s="999"/>
      <c r="I421" s="999"/>
      <c r="J421" s="1008"/>
      <c r="K421" s="993"/>
      <c r="L421" s="993"/>
      <c r="M421" s="1001"/>
      <c r="N421" s="997"/>
      <c r="P421" s="1036"/>
      <c r="Q421" s="972"/>
    </row>
    <row r="422" spans="1:17" ht="15">
      <c r="A422" s="966"/>
      <c r="B422" s="974"/>
      <c r="C422" s="974"/>
      <c r="D422" s="966"/>
      <c r="E422" s="975"/>
      <c r="F422" s="999"/>
      <c r="G422" s="976"/>
      <c r="H422" s="999"/>
      <c r="I422" s="999"/>
      <c r="J422" s="1008"/>
      <c r="K422" s="993"/>
      <c r="L422" s="993"/>
      <c r="M422" s="1001"/>
      <c r="N422" s="997"/>
      <c r="P422" s="1036"/>
      <c r="Q422" s="972"/>
    </row>
    <row r="423" spans="1:17" ht="15">
      <c r="A423" s="966"/>
      <c r="B423" s="974"/>
      <c r="C423" s="974"/>
      <c r="D423" s="966"/>
      <c r="E423" s="975"/>
      <c r="F423" s="999"/>
      <c r="G423" s="976"/>
      <c r="H423" s="999"/>
      <c r="I423" s="999"/>
      <c r="J423" s="1008"/>
      <c r="K423" s="993"/>
      <c r="L423" s="993"/>
      <c r="M423" s="1001"/>
      <c r="N423" s="997"/>
      <c r="P423" s="1036"/>
      <c r="Q423" s="972"/>
    </row>
    <row r="424" spans="1:17" ht="15">
      <c r="A424" s="966"/>
      <c r="B424" s="974"/>
      <c r="C424" s="974"/>
      <c r="D424" s="966"/>
      <c r="E424" s="975"/>
      <c r="F424" s="999"/>
      <c r="G424" s="976"/>
      <c r="H424" s="999"/>
      <c r="I424" s="999"/>
      <c r="J424" s="1008"/>
      <c r="K424" s="993"/>
      <c r="L424" s="993"/>
      <c r="M424" s="1001"/>
      <c r="N424" s="997"/>
      <c r="P424" s="1036"/>
      <c r="Q424" s="972"/>
    </row>
    <row r="425" spans="1:17" ht="15">
      <c r="A425" s="966"/>
      <c r="B425" s="974"/>
      <c r="C425" s="974"/>
      <c r="D425" s="966"/>
      <c r="E425" s="975"/>
      <c r="F425" s="999"/>
      <c r="G425" s="976"/>
      <c r="H425" s="999"/>
      <c r="I425" s="999"/>
      <c r="J425" s="1008"/>
      <c r="K425" s="993"/>
      <c r="L425" s="993"/>
      <c r="M425" s="1001"/>
      <c r="N425" s="997"/>
      <c r="P425" s="1036"/>
      <c r="Q425" s="972"/>
    </row>
    <row r="426" spans="1:17" ht="15">
      <c r="A426" s="966"/>
      <c r="B426" s="974"/>
      <c r="C426" s="974"/>
      <c r="D426" s="966"/>
      <c r="E426" s="975"/>
      <c r="F426" s="999"/>
      <c r="G426" s="976"/>
      <c r="H426" s="999"/>
      <c r="I426" s="999"/>
      <c r="J426" s="1008"/>
      <c r="K426" s="993"/>
      <c r="L426" s="993"/>
      <c r="M426" s="1001"/>
      <c r="N426" s="997"/>
      <c r="P426" s="1036"/>
      <c r="Q426" s="972"/>
    </row>
    <row r="427" spans="1:17" ht="15">
      <c r="A427" s="966"/>
      <c r="B427" s="974"/>
      <c r="C427" s="974"/>
      <c r="D427" s="966"/>
      <c r="E427" s="975"/>
      <c r="F427" s="999"/>
      <c r="G427" s="976"/>
      <c r="H427" s="999"/>
      <c r="I427" s="999"/>
      <c r="J427" s="1008"/>
      <c r="K427" s="993"/>
      <c r="L427" s="993"/>
      <c r="M427" s="1001"/>
      <c r="N427" s="997"/>
      <c r="P427" s="1036"/>
      <c r="Q427" s="972"/>
    </row>
    <row r="428" spans="1:17" ht="15">
      <c r="A428" s="966"/>
      <c r="B428" s="974"/>
      <c r="C428" s="974"/>
      <c r="D428" s="966"/>
      <c r="E428" s="975"/>
      <c r="F428" s="999"/>
      <c r="G428" s="976"/>
      <c r="H428" s="999"/>
      <c r="I428" s="999"/>
      <c r="J428" s="1008"/>
      <c r="K428" s="993"/>
      <c r="L428" s="993"/>
      <c r="M428" s="1001"/>
      <c r="N428" s="997"/>
      <c r="P428" s="1036"/>
      <c r="Q428" s="972"/>
    </row>
    <row r="429" spans="1:17" ht="15">
      <c r="A429" s="966"/>
      <c r="B429" s="974"/>
      <c r="C429" s="974"/>
      <c r="D429" s="966"/>
      <c r="E429" s="975"/>
      <c r="F429" s="999"/>
      <c r="G429" s="976"/>
      <c r="H429" s="999"/>
      <c r="I429" s="999"/>
      <c r="J429" s="1008"/>
      <c r="K429" s="993"/>
      <c r="L429" s="993"/>
      <c r="M429" s="1001"/>
      <c r="N429" s="997"/>
      <c r="P429" s="1036"/>
      <c r="Q429" s="972"/>
    </row>
    <row r="430" spans="1:17" ht="15">
      <c r="A430" s="966"/>
      <c r="B430" s="974"/>
      <c r="C430" s="974"/>
      <c r="D430" s="966"/>
      <c r="E430" s="975"/>
      <c r="F430" s="999"/>
      <c r="G430" s="976"/>
      <c r="H430" s="999"/>
      <c r="I430" s="999"/>
      <c r="J430" s="1008"/>
      <c r="K430" s="993"/>
      <c r="L430" s="993"/>
      <c r="M430" s="1001"/>
      <c r="N430" s="997"/>
      <c r="P430" s="1036"/>
      <c r="Q430" s="972"/>
    </row>
    <row r="431" spans="1:17" ht="15">
      <c r="A431" s="966"/>
      <c r="B431" s="974"/>
      <c r="C431" s="974"/>
      <c r="D431" s="966"/>
      <c r="E431" s="975"/>
      <c r="F431" s="999"/>
      <c r="G431" s="976"/>
      <c r="H431" s="999"/>
      <c r="I431" s="999"/>
      <c r="J431" s="1008"/>
      <c r="K431" s="993"/>
      <c r="L431" s="993"/>
      <c r="M431" s="1001"/>
      <c r="N431" s="997"/>
      <c r="P431" s="1036"/>
      <c r="Q431" s="972"/>
    </row>
    <row r="432" spans="1:17" ht="15">
      <c r="A432" s="966"/>
      <c r="B432" s="974"/>
      <c r="C432" s="974"/>
      <c r="D432" s="966"/>
      <c r="E432" s="975"/>
      <c r="F432" s="999"/>
      <c r="G432" s="976"/>
      <c r="H432" s="999"/>
      <c r="I432" s="999"/>
      <c r="J432" s="1008"/>
      <c r="K432" s="993"/>
      <c r="L432" s="993"/>
      <c r="M432" s="1001"/>
      <c r="N432" s="997"/>
      <c r="P432" s="1036"/>
      <c r="Q432" s="972"/>
    </row>
    <row r="433" spans="1:17" ht="15">
      <c r="A433" s="966"/>
      <c r="B433" s="974"/>
      <c r="C433" s="974"/>
      <c r="D433" s="966"/>
      <c r="E433" s="975"/>
      <c r="F433" s="999"/>
      <c r="G433" s="976"/>
      <c r="H433" s="999"/>
      <c r="I433" s="999"/>
      <c r="J433" s="1008"/>
      <c r="K433" s="993"/>
      <c r="L433" s="993"/>
      <c r="M433" s="1001"/>
      <c r="N433" s="997"/>
      <c r="P433" s="1036"/>
      <c r="Q433" s="972"/>
    </row>
    <row r="434" spans="1:17" ht="15">
      <c r="A434" s="966"/>
      <c r="B434" s="974"/>
      <c r="C434" s="974"/>
      <c r="D434" s="966"/>
      <c r="E434" s="975"/>
      <c r="F434" s="999"/>
      <c r="G434" s="976"/>
      <c r="H434" s="999"/>
      <c r="I434" s="999"/>
      <c r="J434" s="1008"/>
      <c r="K434" s="993"/>
      <c r="L434" s="993"/>
      <c r="M434" s="1001"/>
      <c r="N434" s="997"/>
      <c r="P434" s="1036"/>
      <c r="Q434" s="972"/>
    </row>
    <row r="435" spans="1:17" ht="15">
      <c r="A435" s="966"/>
      <c r="B435" s="974"/>
      <c r="C435" s="974"/>
      <c r="D435" s="966"/>
      <c r="E435" s="975"/>
      <c r="F435" s="999"/>
      <c r="G435" s="976"/>
      <c r="H435" s="999"/>
      <c r="I435" s="999"/>
      <c r="J435" s="1008"/>
      <c r="K435" s="993"/>
      <c r="L435" s="993"/>
      <c r="M435" s="1001"/>
      <c r="N435" s="997"/>
      <c r="P435" s="1036"/>
      <c r="Q435" s="972"/>
    </row>
    <row r="436" spans="1:17" ht="15">
      <c r="A436" s="966"/>
      <c r="B436" s="974"/>
      <c r="C436" s="974"/>
      <c r="D436" s="966"/>
      <c r="E436" s="975"/>
      <c r="F436" s="999"/>
      <c r="G436" s="976"/>
      <c r="H436" s="999"/>
      <c r="I436" s="999"/>
      <c r="J436" s="1008"/>
      <c r="K436" s="993"/>
      <c r="L436" s="993"/>
      <c r="M436" s="1001"/>
      <c r="N436" s="997"/>
      <c r="P436" s="1036"/>
      <c r="Q436" s="972"/>
    </row>
    <row r="437" spans="1:17" ht="15">
      <c r="A437" s="966"/>
      <c r="B437" s="974"/>
      <c r="C437" s="974"/>
      <c r="D437" s="966"/>
      <c r="E437" s="975"/>
      <c r="F437" s="999"/>
      <c r="G437" s="976"/>
      <c r="H437" s="999"/>
      <c r="I437" s="999"/>
      <c r="J437" s="1008"/>
      <c r="K437" s="993"/>
      <c r="L437" s="993"/>
      <c r="M437" s="1001"/>
      <c r="N437" s="997"/>
      <c r="P437" s="1036"/>
      <c r="Q437" s="972"/>
    </row>
    <row r="438" spans="1:17" ht="15">
      <c r="A438" s="966"/>
      <c r="B438" s="974"/>
      <c r="C438" s="974"/>
      <c r="D438" s="966"/>
      <c r="E438" s="975"/>
      <c r="F438" s="999"/>
      <c r="G438" s="976"/>
      <c r="H438" s="999"/>
      <c r="I438" s="999"/>
      <c r="J438" s="1008"/>
      <c r="K438" s="993"/>
      <c r="L438" s="993"/>
      <c r="M438" s="1001"/>
      <c r="N438" s="997"/>
      <c r="P438" s="1036"/>
      <c r="Q438" s="972"/>
    </row>
    <row r="439" spans="1:17" ht="15">
      <c r="A439" s="966"/>
      <c r="B439" s="974"/>
      <c r="C439" s="974"/>
      <c r="D439" s="966"/>
      <c r="E439" s="975"/>
      <c r="F439" s="999"/>
      <c r="G439" s="976"/>
      <c r="H439" s="999"/>
      <c r="I439" s="999"/>
      <c r="J439" s="1008"/>
      <c r="K439" s="993"/>
      <c r="L439" s="993"/>
      <c r="M439" s="1001"/>
      <c r="N439" s="997"/>
      <c r="P439" s="1036"/>
      <c r="Q439" s="972"/>
    </row>
    <row r="440" spans="1:17" ht="15">
      <c r="A440" s="966"/>
      <c r="B440" s="974"/>
      <c r="C440" s="974"/>
      <c r="D440" s="966"/>
      <c r="E440" s="975"/>
      <c r="F440" s="999"/>
      <c r="G440" s="976"/>
      <c r="H440" s="999"/>
      <c r="I440" s="999"/>
      <c r="J440" s="1008"/>
      <c r="K440" s="993"/>
      <c r="L440" s="993"/>
      <c r="M440" s="1001"/>
      <c r="N440" s="997"/>
      <c r="P440" s="1036"/>
      <c r="Q440" s="972"/>
    </row>
    <row r="441" spans="1:17" ht="15">
      <c r="A441" s="966"/>
      <c r="B441" s="974"/>
      <c r="C441" s="974"/>
      <c r="D441" s="966"/>
      <c r="E441" s="975"/>
      <c r="F441" s="999"/>
      <c r="G441" s="976"/>
      <c r="H441" s="999"/>
      <c r="I441" s="999"/>
      <c r="J441" s="1008"/>
      <c r="K441" s="993"/>
      <c r="L441" s="993"/>
      <c r="M441" s="1001"/>
      <c r="N441" s="997"/>
      <c r="P441" s="1036"/>
      <c r="Q441" s="972"/>
    </row>
    <row r="442" spans="1:17" ht="15">
      <c r="A442" s="966"/>
      <c r="B442" s="974"/>
      <c r="C442" s="974"/>
      <c r="D442" s="966"/>
      <c r="E442" s="975"/>
      <c r="F442" s="999"/>
      <c r="G442" s="976"/>
      <c r="H442" s="999"/>
      <c r="I442" s="999"/>
      <c r="J442" s="1008"/>
      <c r="K442" s="993"/>
      <c r="L442" s="993"/>
      <c r="M442" s="1001"/>
      <c r="N442" s="997"/>
      <c r="P442" s="1036"/>
      <c r="Q442" s="972"/>
    </row>
    <row r="443" spans="1:17" ht="15">
      <c r="A443" s="966"/>
      <c r="B443" s="974"/>
      <c r="C443" s="974"/>
      <c r="D443" s="966"/>
      <c r="E443" s="975"/>
      <c r="F443" s="999"/>
      <c r="G443" s="976"/>
      <c r="H443" s="999"/>
      <c r="I443" s="999"/>
      <c r="J443" s="1008"/>
      <c r="K443" s="993"/>
      <c r="L443" s="993"/>
      <c r="M443" s="1001"/>
      <c r="N443" s="997"/>
      <c r="P443" s="1036"/>
      <c r="Q443" s="972"/>
    </row>
    <row r="444" spans="1:17" ht="15">
      <c r="A444" s="966"/>
      <c r="B444" s="974"/>
      <c r="C444" s="974"/>
      <c r="D444" s="966"/>
      <c r="E444" s="975"/>
      <c r="F444" s="999"/>
      <c r="G444" s="976"/>
      <c r="H444" s="999"/>
      <c r="I444" s="999"/>
      <c r="J444" s="1008"/>
      <c r="K444" s="993"/>
      <c r="L444" s="993"/>
      <c r="M444" s="1001"/>
      <c r="N444" s="997"/>
      <c r="P444" s="1036"/>
      <c r="Q444" s="972"/>
    </row>
    <row r="445" spans="1:17" ht="15">
      <c r="A445" s="966"/>
      <c r="B445" s="974"/>
      <c r="C445" s="974"/>
      <c r="D445" s="966"/>
      <c r="E445" s="975"/>
      <c r="F445" s="999"/>
      <c r="G445" s="976"/>
      <c r="H445" s="999"/>
      <c r="I445" s="999"/>
      <c r="J445" s="1008"/>
      <c r="K445" s="993"/>
      <c r="L445" s="993"/>
      <c r="M445" s="1001"/>
      <c r="N445" s="997"/>
      <c r="P445" s="1036"/>
      <c r="Q445" s="972"/>
    </row>
    <row r="446" spans="1:17" ht="15">
      <c r="A446" s="966"/>
      <c r="B446" s="974"/>
      <c r="C446" s="974"/>
      <c r="D446" s="966"/>
      <c r="E446" s="975"/>
      <c r="F446" s="999"/>
      <c r="G446" s="976"/>
      <c r="H446" s="999"/>
      <c r="I446" s="999"/>
      <c r="J446" s="1008"/>
      <c r="K446" s="993"/>
      <c r="L446" s="993"/>
      <c r="M446" s="1001"/>
      <c r="N446" s="997"/>
      <c r="P446" s="1036"/>
      <c r="Q446" s="972"/>
    </row>
    <row r="447" spans="1:17" ht="15">
      <c r="A447" s="966"/>
      <c r="B447" s="974"/>
      <c r="C447" s="974"/>
      <c r="D447" s="966"/>
      <c r="E447" s="975"/>
      <c r="F447" s="999"/>
      <c r="G447" s="976"/>
      <c r="H447" s="999"/>
      <c r="I447" s="999"/>
      <c r="J447" s="1008"/>
      <c r="K447" s="993"/>
      <c r="L447" s="993"/>
      <c r="M447" s="1001"/>
      <c r="N447" s="997"/>
      <c r="P447" s="1036"/>
      <c r="Q447" s="972"/>
    </row>
    <row r="448" spans="1:17" ht="15">
      <c r="A448" s="966"/>
      <c r="B448" s="974"/>
      <c r="C448" s="974"/>
      <c r="D448" s="966"/>
      <c r="E448" s="975"/>
      <c r="F448" s="999"/>
      <c r="G448" s="976"/>
      <c r="H448" s="999"/>
      <c r="I448" s="999"/>
      <c r="J448" s="1008"/>
      <c r="K448" s="993"/>
      <c r="L448" s="993"/>
      <c r="M448" s="1001"/>
      <c r="N448" s="997"/>
      <c r="P448" s="1036"/>
      <c r="Q448" s="972"/>
    </row>
    <row r="449" spans="1:17" ht="15">
      <c r="A449" s="966"/>
      <c r="B449" s="974"/>
      <c r="C449" s="974"/>
      <c r="D449" s="966"/>
      <c r="E449" s="975"/>
      <c r="F449" s="999"/>
      <c r="G449" s="976"/>
      <c r="H449" s="999"/>
      <c r="I449" s="999"/>
      <c r="J449" s="1008"/>
      <c r="K449" s="993"/>
      <c r="L449" s="993"/>
      <c r="M449" s="1001"/>
      <c r="N449" s="997"/>
      <c r="P449" s="1036"/>
      <c r="Q449" s="972"/>
    </row>
    <row r="450" spans="1:17" ht="15">
      <c r="A450" s="966"/>
      <c r="B450" s="974"/>
      <c r="C450" s="974"/>
      <c r="D450" s="966"/>
      <c r="E450" s="975"/>
      <c r="F450" s="999"/>
      <c r="G450" s="976"/>
      <c r="H450" s="999"/>
      <c r="I450" s="999"/>
      <c r="J450" s="1008"/>
      <c r="K450" s="993"/>
      <c r="L450" s="993"/>
      <c r="M450" s="1001"/>
      <c r="N450" s="997"/>
      <c r="P450" s="1036"/>
      <c r="Q450" s="972"/>
    </row>
    <row r="451" spans="1:17" ht="15">
      <c r="A451" s="966"/>
      <c r="B451" s="974"/>
      <c r="C451" s="974"/>
      <c r="D451" s="966"/>
      <c r="E451" s="975"/>
      <c r="F451" s="999"/>
      <c r="G451" s="976"/>
      <c r="H451" s="999"/>
      <c r="I451" s="999"/>
      <c r="J451" s="1008"/>
      <c r="K451" s="993"/>
      <c r="L451" s="993"/>
      <c r="M451" s="1001"/>
      <c r="N451" s="997"/>
      <c r="P451" s="1036"/>
      <c r="Q451" s="972"/>
    </row>
    <row r="452" spans="1:17" ht="15">
      <c r="A452" s="966"/>
      <c r="B452" s="974"/>
      <c r="C452" s="974"/>
      <c r="D452" s="966"/>
      <c r="E452" s="975"/>
      <c r="F452" s="999"/>
      <c r="G452" s="976"/>
      <c r="H452" s="999"/>
      <c r="I452" s="999"/>
      <c r="J452" s="1008"/>
      <c r="K452" s="993"/>
      <c r="L452" s="993"/>
      <c r="M452" s="1001"/>
      <c r="N452" s="997"/>
      <c r="P452" s="1036"/>
      <c r="Q452" s="972"/>
    </row>
    <row r="453" spans="1:17" ht="15">
      <c r="A453" s="966"/>
      <c r="B453" s="974"/>
      <c r="C453" s="974"/>
      <c r="D453" s="966"/>
      <c r="E453" s="975"/>
      <c r="F453" s="999"/>
      <c r="G453" s="976"/>
      <c r="H453" s="999"/>
      <c r="I453" s="999"/>
      <c r="J453" s="1008"/>
      <c r="K453" s="993"/>
      <c r="L453" s="993"/>
      <c r="M453" s="1001"/>
      <c r="N453" s="997"/>
      <c r="P453" s="1036"/>
      <c r="Q453" s="972"/>
    </row>
    <row r="454" spans="1:17" ht="15">
      <c r="A454" s="966"/>
      <c r="B454" s="974"/>
      <c r="C454" s="974"/>
      <c r="D454" s="966"/>
      <c r="E454" s="975"/>
      <c r="F454" s="999"/>
      <c r="G454" s="976"/>
      <c r="H454" s="999"/>
      <c r="I454" s="999"/>
      <c r="J454" s="1008"/>
      <c r="K454" s="993"/>
      <c r="L454" s="993"/>
      <c r="M454" s="1001"/>
      <c r="N454" s="997"/>
      <c r="P454" s="1036"/>
      <c r="Q454" s="972"/>
    </row>
    <row r="455" spans="1:17" ht="15">
      <c r="A455" s="966"/>
      <c r="B455" s="974"/>
      <c r="C455" s="974"/>
      <c r="D455" s="966"/>
      <c r="E455" s="975"/>
      <c r="F455" s="999"/>
      <c r="G455" s="976"/>
      <c r="H455" s="999"/>
      <c r="I455" s="999"/>
      <c r="J455" s="1008"/>
      <c r="K455" s="993"/>
      <c r="L455" s="993"/>
      <c r="M455" s="1001"/>
      <c r="N455" s="997"/>
      <c r="P455" s="1036"/>
      <c r="Q455" s="972"/>
    </row>
    <row r="456" spans="1:17" ht="15">
      <c r="A456" s="966"/>
      <c r="B456" s="974"/>
      <c r="C456" s="974"/>
      <c r="D456" s="966"/>
      <c r="E456" s="975"/>
      <c r="F456" s="999"/>
      <c r="G456" s="976"/>
      <c r="H456" s="999"/>
      <c r="I456" s="999"/>
      <c r="J456" s="1008"/>
      <c r="K456" s="993"/>
      <c r="L456" s="993"/>
      <c r="M456" s="1001"/>
      <c r="N456" s="997"/>
      <c r="P456" s="1036"/>
      <c r="Q456" s="972"/>
    </row>
    <row r="457" spans="1:17" ht="15">
      <c r="A457" s="966"/>
      <c r="B457" s="974"/>
      <c r="C457" s="974"/>
      <c r="D457" s="966"/>
      <c r="E457" s="975"/>
      <c r="F457" s="999"/>
      <c r="G457" s="976"/>
      <c r="H457" s="999"/>
      <c r="I457" s="999"/>
      <c r="J457" s="1008"/>
      <c r="K457" s="993"/>
      <c r="L457" s="993"/>
      <c r="M457" s="1001"/>
      <c r="N457" s="997"/>
      <c r="P457" s="1036"/>
      <c r="Q457" s="972"/>
    </row>
    <row r="458" spans="1:17" ht="15">
      <c r="A458" s="966"/>
      <c r="B458" s="974"/>
      <c r="C458" s="974"/>
      <c r="D458" s="966"/>
      <c r="E458" s="975"/>
      <c r="F458" s="999"/>
      <c r="G458" s="976"/>
      <c r="H458" s="999"/>
      <c r="I458" s="999"/>
      <c r="J458" s="1008"/>
      <c r="K458" s="993"/>
      <c r="L458" s="993"/>
      <c r="M458" s="1001"/>
      <c r="N458" s="997"/>
      <c r="P458" s="1036"/>
      <c r="Q458" s="972"/>
    </row>
    <row r="459" spans="1:17" ht="15">
      <c r="A459" s="966"/>
      <c r="B459" s="974"/>
      <c r="C459" s="974"/>
      <c r="D459" s="966"/>
      <c r="E459" s="975"/>
      <c r="F459" s="999"/>
      <c r="G459" s="976"/>
      <c r="H459" s="999"/>
      <c r="I459" s="999"/>
      <c r="J459" s="1008"/>
      <c r="K459" s="993"/>
      <c r="L459" s="993"/>
      <c r="M459" s="1001"/>
      <c r="N459" s="997"/>
      <c r="P459" s="1036"/>
      <c r="Q459" s="972"/>
    </row>
    <row r="460" spans="1:17" ht="15">
      <c r="A460" s="966"/>
      <c r="B460" s="974"/>
      <c r="C460" s="974"/>
      <c r="D460" s="966"/>
      <c r="E460" s="975"/>
      <c r="F460" s="999"/>
      <c r="G460" s="976"/>
      <c r="H460" s="999"/>
      <c r="I460" s="999"/>
      <c r="J460" s="1008"/>
      <c r="K460" s="993"/>
      <c r="L460" s="993"/>
      <c r="M460" s="1001"/>
      <c r="N460" s="997"/>
      <c r="P460" s="1036"/>
      <c r="Q460" s="972"/>
    </row>
    <row r="461" spans="1:17" ht="15">
      <c r="A461" s="966"/>
      <c r="B461" s="974"/>
      <c r="C461" s="974"/>
      <c r="D461" s="966"/>
      <c r="E461" s="975"/>
      <c r="F461" s="999"/>
      <c r="G461" s="976"/>
      <c r="H461" s="999"/>
      <c r="I461" s="999"/>
      <c r="J461" s="1008"/>
      <c r="K461" s="993"/>
      <c r="L461" s="993"/>
      <c r="M461" s="1001"/>
      <c r="N461" s="997"/>
      <c r="P461" s="1036"/>
      <c r="Q461" s="972"/>
    </row>
    <row r="462" spans="1:17" ht="15">
      <c r="A462" s="966"/>
      <c r="B462" s="974"/>
      <c r="C462" s="974"/>
      <c r="D462" s="966"/>
      <c r="E462" s="975"/>
      <c r="F462" s="999"/>
      <c r="G462" s="976"/>
      <c r="H462" s="999"/>
      <c r="I462" s="999"/>
      <c r="J462" s="1008"/>
      <c r="K462" s="993"/>
      <c r="L462" s="993"/>
      <c r="M462" s="1001"/>
      <c r="N462" s="997"/>
      <c r="P462" s="1036"/>
      <c r="Q462" s="972"/>
    </row>
    <row r="463" spans="1:17" ht="15">
      <c r="A463" s="966"/>
      <c r="B463" s="974"/>
      <c r="C463" s="974"/>
      <c r="D463" s="966"/>
      <c r="E463" s="975"/>
      <c r="F463" s="999"/>
      <c r="G463" s="976"/>
      <c r="H463" s="999"/>
      <c r="I463" s="999"/>
      <c r="J463" s="1008"/>
      <c r="K463" s="993"/>
      <c r="L463" s="993"/>
      <c r="M463" s="1001"/>
      <c r="N463" s="997"/>
      <c r="P463" s="1036"/>
      <c r="Q463" s="972"/>
    </row>
    <row r="464" spans="1:17" ht="15">
      <c r="A464" s="966"/>
      <c r="B464" s="974"/>
      <c r="C464" s="974"/>
      <c r="D464" s="966"/>
      <c r="E464" s="975"/>
      <c r="F464" s="999"/>
      <c r="G464" s="976"/>
      <c r="H464" s="999"/>
      <c r="I464" s="999"/>
      <c r="J464" s="1008"/>
      <c r="K464" s="993"/>
      <c r="L464" s="993"/>
      <c r="M464" s="1001"/>
      <c r="N464" s="997"/>
      <c r="P464" s="1036"/>
      <c r="Q464" s="972"/>
    </row>
    <row r="465" spans="1:17" ht="15">
      <c r="A465" s="966"/>
      <c r="B465" s="974"/>
      <c r="C465" s="974"/>
      <c r="D465" s="966"/>
      <c r="E465" s="975"/>
      <c r="F465" s="999"/>
      <c r="G465" s="976"/>
      <c r="H465" s="999"/>
      <c r="I465" s="999"/>
      <c r="J465" s="1008"/>
      <c r="K465" s="993"/>
      <c r="L465" s="993"/>
      <c r="M465" s="1001"/>
      <c r="N465" s="997"/>
      <c r="P465" s="1036"/>
      <c r="Q465" s="972"/>
    </row>
    <row r="466" spans="1:17" ht="15">
      <c r="A466" s="966"/>
      <c r="B466" s="974"/>
      <c r="C466" s="974"/>
      <c r="D466" s="966"/>
      <c r="E466" s="975"/>
      <c r="F466" s="999"/>
      <c r="G466" s="976"/>
      <c r="H466" s="999"/>
      <c r="I466" s="999"/>
      <c r="J466" s="1008"/>
      <c r="K466" s="993"/>
      <c r="L466" s="993"/>
      <c r="M466" s="1001"/>
      <c r="N466" s="997"/>
      <c r="P466" s="1036"/>
      <c r="Q466" s="972"/>
    </row>
    <row r="467" spans="1:17" ht="15">
      <c r="A467" s="966"/>
      <c r="B467" s="974"/>
      <c r="C467" s="974"/>
      <c r="D467" s="966"/>
      <c r="E467" s="975"/>
      <c r="F467" s="999"/>
      <c r="G467" s="976"/>
      <c r="H467" s="999"/>
      <c r="I467" s="999"/>
      <c r="J467" s="1008"/>
      <c r="K467" s="993"/>
      <c r="L467" s="993"/>
      <c r="M467" s="1001"/>
      <c r="N467" s="997"/>
      <c r="P467" s="1036"/>
      <c r="Q467" s="972"/>
    </row>
    <row r="468" spans="1:17" ht="15">
      <c r="A468" s="966"/>
      <c r="B468" s="974"/>
      <c r="C468" s="974"/>
      <c r="D468" s="966"/>
      <c r="E468" s="975"/>
      <c r="F468" s="999"/>
      <c r="G468" s="976"/>
      <c r="H468" s="999"/>
      <c r="I468" s="999"/>
      <c r="J468" s="1008"/>
      <c r="K468" s="993"/>
      <c r="L468" s="993"/>
      <c r="M468" s="1001"/>
      <c r="N468" s="997"/>
      <c r="P468" s="1036"/>
      <c r="Q468" s="972"/>
    </row>
    <row r="469" spans="1:17" ht="15">
      <c r="A469" s="966"/>
      <c r="B469" s="974"/>
      <c r="C469" s="974"/>
      <c r="D469" s="966"/>
      <c r="E469" s="975"/>
      <c r="F469" s="999"/>
      <c r="G469" s="976"/>
      <c r="H469" s="999"/>
      <c r="I469" s="999"/>
      <c r="J469" s="1008"/>
      <c r="K469" s="993"/>
      <c r="L469" s="993"/>
      <c r="M469" s="1001"/>
      <c r="N469" s="997"/>
      <c r="P469" s="1036"/>
      <c r="Q469" s="972"/>
    </row>
    <row r="470" spans="1:17" ht="15">
      <c r="A470" s="966"/>
      <c r="B470" s="974"/>
      <c r="C470" s="974"/>
      <c r="D470" s="966"/>
      <c r="E470" s="975"/>
      <c r="F470" s="999"/>
      <c r="G470" s="976"/>
      <c r="H470" s="999"/>
      <c r="I470" s="999"/>
      <c r="J470" s="1008"/>
      <c r="K470" s="993"/>
      <c r="L470" s="993"/>
      <c r="M470" s="1001"/>
      <c r="N470" s="997"/>
      <c r="P470" s="1036"/>
      <c r="Q470" s="972"/>
    </row>
    <row r="471" spans="1:17" ht="15">
      <c r="A471" s="966"/>
      <c r="B471" s="974"/>
      <c r="C471" s="974"/>
      <c r="D471" s="966"/>
      <c r="E471" s="975"/>
      <c r="F471" s="999"/>
      <c r="G471" s="976"/>
      <c r="H471" s="999"/>
      <c r="I471" s="999"/>
      <c r="J471" s="1008"/>
      <c r="K471" s="993"/>
      <c r="L471" s="993"/>
      <c r="M471" s="1001"/>
      <c r="N471" s="997"/>
      <c r="P471" s="1036"/>
      <c r="Q471" s="972"/>
    </row>
    <row r="472" spans="1:17" ht="15">
      <c r="A472" s="966"/>
      <c r="B472" s="974"/>
      <c r="C472" s="974"/>
      <c r="D472" s="966"/>
      <c r="E472" s="975"/>
      <c r="F472" s="999"/>
      <c r="G472" s="976"/>
      <c r="H472" s="999"/>
      <c r="I472" s="999"/>
      <c r="J472" s="1008"/>
      <c r="K472" s="993"/>
      <c r="L472" s="993"/>
      <c r="M472" s="1001"/>
      <c r="N472" s="997"/>
      <c r="P472" s="1036"/>
      <c r="Q472" s="972"/>
    </row>
    <row r="473" spans="1:17" ht="15">
      <c r="A473" s="966"/>
      <c r="B473" s="974"/>
      <c r="C473" s="974"/>
      <c r="D473" s="966"/>
      <c r="E473" s="975"/>
      <c r="F473" s="999"/>
      <c r="G473" s="976"/>
      <c r="H473" s="999"/>
      <c r="I473" s="999"/>
      <c r="J473" s="1008"/>
      <c r="K473" s="993"/>
      <c r="L473" s="993"/>
      <c r="M473" s="1001"/>
      <c r="N473" s="997"/>
      <c r="P473" s="1036"/>
      <c r="Q473" s="972"/>
    </row>
    <row r="474" spans="1:17" ht="15">
      <c r="A474" s="966"/>
      <c r="B474" s="974"/>
      <c r="C474" s="974"/>
      <c r="D474" s="966"/>
      <c r="E474" s="975"/>
      <c r="F474" s="999"/>
      <c r="G474" s="976"/>
      <c r="H474" s="999"/>
      <c r="I474" s="999"/>
      <c r="J474" s="1008"/>
      <c r="K474" s="993"/>
      <c r="L474" s="993"/>
      <c r="M474" s="1001"/>
      <c r="N474" s="997"/>
      <c r="P474" s="1036"/>
      <c r="Q474" s="972"/>
    </row>
    <row r="475" spans="1:17" ht="15">
      <c r="A475" s="966"/>
      <c r="B475" s="974"/>
      <c r="C475" s="974"/>
      <c r="D475" s="966"/>
      <c r="E475" s="975"/>
      <c r="F475" s="999"/>
      <c r="G475" s="976"/>
      <c r="H475" s="999"/>
      <c r="I475" s="999"/>
      <c r="J475" s="1008"/>
      <c r="K475" s="993"/>
      <c r="L475" s="993"/>
      <c r="M475" s="1001"/>
      <c r="N475" s="997"/>
      <c r="P475" s="1036"/>
      <c r="Q475" s="972"/>
    </row>
    <row r="476" spans="1:17" ht="15">
      <c r="A476" s="966"/>
      <c r="B476" s="974"/>
      <c r="C476" s="974"/>
      <c r="D476" s="966"/>
      <c r="E476" s="975"/>
      <c r="F476" s="999"/>
      <c r="G476" s="976"/>
      <c r="H476" s="999"/>
      <c r="I476" s="999"/>
      <c r="J476" s="1008"/>
      <c r="K476" s="993"/>
      <c r="L476" s="993"/>
      <c r="M476" s="1001"/>
      <c r="N476" s="997"/>
      <c r="P476" s="1036"/>
      <c r="Q476" s="972"/>
    </row>
    <row r="477" spans="1:17" ht="15">
      <c r="A477" s="966"/>
      <c r="B477" s="966"/>
      <c r="C477" s="966"/>
      <c r="D477" s="966"/>
      <c r="E477" s="966"/>
      <c r="F477" s="966"/>
      <c r="G477" s="966"/>
      <c r="H477" s="995"/>
      <c r="I477" s="966"/>
      <c r="J477" s="966"/>
      <c r="K477" s="966"/>
      <c r="L477" s="966"/>
      <c r="M477" s="971"/>
      <c r="Q477" s="972"/>
    </row>
    <row r="478" spans="1:17" ht="15">
      <c r="A478" s="966"/>
      <c r="B478" s="966"/>
      <c r="C478" s="966"/>
      <c r="D478" s="966"/>
      <c r="E478" s="966"/>
      <c r="F478" s="966"/>
      <c r="G478" s="966"/>
      <c r="H478" s="995"/>
      <c r="I478" s="966"/>
      <c r="J478" s="966"/>
      <c r="K478" s="966"/>
      <c r="L478" s="966"/>
      <c r="M478" s="971"/>
      <c r="Q478" s="972"/>
    </row>
    <row r="479" spans="1:17" ht="15">
      <c r="A479" s="966"/>
      <c r="B479" s="966"/>
      <c r="C479" s="966"/>
      <c r="D479" s="966"/>
      <c r="E479" s="966"/>
      <c r="F479" s="966"/>
      <c r="G479" s="966"/>
      <c r="H479" s="995"/>
      <c r="I479" s="966"/>
      <c r="J479" s="966"/>
      <c r="K479" s="966"/>
      <c r="L479" s="966"/>
      <c r="M479" s="971"/>
      <c r="Q479" s="972"/>
    </row>
    <row r="480" spans="1:17" ht="15">
      <c r="A480" s="966"/>
      <c r="B480" s="966"/>
      <c r="C480" s="966"/>
      <c r="D480" s="966"/>
      <c r="E480" s="966"/>
      <c r="F480" s="966"/>
      <c r="G480" s="966"/>
      <c r="H480" s="995"/>
      <c r="I480" s="966"/>
      <c r="J480" s="966"/>
      <c r="K480" s="966"/>
      <c r="L480" s="966"/>
      <c r="M480" s="971"/>
      <c r="Q480" s="972"/>
    </row>
    <row r="481" spans="1:17" ht="15">
      <c r="A481" s="966"/>
      <c r="B481" s="966"/>
      <c r="C481" s="966"/>
      <c r="D481" s="966"/>
      <c r="E481" s="966"/>
      <c r="F481" s="966"/>
      <c r="G481" s="966"/>
      <c r="H481" s="995"/>
      <c r="I481" s="966"/>
      <c r="J481" s="966"/>
      <c r="K481" s="966"/>
      <c r="L481" s="966"/>
      <c r="M481" s="971"/>
      <c r="Q481" s="972"/>
    </row>
    <row r="482" spans="1:17" ht="15">
      <c r="A482" s="966"/>
      <c r="B482" s="966"/>
      <c r="C482" s="966"/>
      <c r="D482" s="966"/>
      <c r="E482" s="966"/>
      <c r="F482" s="966"/>
      <c r="G482" s="966"/>
      <c r="H482" s="995"/>
      <c r="I482" s="966"/>
      <c r="J482" s="966"/>
      <c r="K482" s="966"/>
      <c r="L482" s="966"/>
      <c r="M482" s="971"/>
      <c r="Q482" s="972"/>
    </row>
    <row r="483" spans="1:17" ht="15">
      <c r="A483" s="966"/>
      <c r="B483" s="966"/>
      <c r="C483" s="966"/>
      <c r="D483" s="966"/>
      <c r="E483" s="966"/>
      <c r="F483" s="966"/>
      <c r="G483" s="966"/>
      <c r="H483" s="995"/>
      <c r="I483" s="966"/>
      <c r="J483" s="966"/>
      <c r="K483" s="966"/>
      <c r="L483" s="966"/>
      <c r="M483" s="971"/>
      <c r="Q483" s="972"/>
    </row>
    <row r="484" spans="1:17" ht="15">
      <c r="A484" s="966"/>
      <c r="B484" s="966"/>
      <c r="C484" s="966"/>
      <c r="D484" s="966"/>
      <c r="E484" s="966"/>
      <c r="F484" s="966"/>
      <c r="G484" s="966"/>
      <c r="H484" s="995"/>
      <c r="I484" s="966"/>
      <c r="J484" s="966"/>
      <c r="K484" s="966"/>
      <c r="L484" s="966"/>
      <c r="M484" s="971"/>
      <c r="Q484" s="972"/>
    </row>
    <row r="485" spans="1:17" ht="15">
      <c r="A485" s="966"/>
      <c r="B485" s="966"/>
      <c r="C485" s="966"/>
      <c r="D485" s="966"/>
      <c r="E485" s="966"/>
      <c r="F485" s="966"/>
      <c r="G485" s="966"/>
      <c r="H485" s="995"/>
      <c r="I485" s="966"/>
      <c r="J485" s="966"/>
      <c r="K485" s="966"/>
      <c r="L485" s="966"/>
      <c r="M485" s="971"/>
      <c r="Q485" s="972"/>
    </row>
    <row r="486" spans="1:17" ht="15">
      <c r="A486" s="966"/>
      <c r="B486" s="966"/>
      <c r="C486" s="966"/>
      <c r="D486" s="966"/>
      <c r="E486" s="966"/>
      <c r="F486" s="966"/>
      <c r="G486" s="966"/>
      <c r="H486" s="995"/>
      <c r="I486" s="966"/>
      <c r="J486" s="966"/>
      <c r="K486" s="966"/>
      <c r="L486" s="966"/>
      <c r="M486" s="971"/>
      <c r="Q486" s="972"/>
    </row>
    <row r="487" spans="1:17" ht="15">
      <c r="A487" s="966"/>
      <c r="B487" s="966"/>
      <c r="C487" s="966"/>
      <c r="D487" s="966"/>
      <c r="E487" s="966"/>
      <c r="F487" s="966"/>
      <c r="G487" s="966"/>
      <c r="H487" s="995"/>
      <c r="I487" s="966"/>
      <c r="J487" s="966"/>
      <c r="K487" s="966"/>
      <c r="L487" s="966"/>
      <c r="M487" s="971"/>
      <c r="Q487" s="972"/>
    </row>
    <row r="488" spans="1:17" ht="15">
      <c r="A488" s="966"/>
      <c r="B488" s="966"/>
      <c r="C488" s="966"/>
      <c r="D488" s="966"/>
      <c r="E488" s="966"/>
      <c r="F488" s="966"/>
      <c r="G488" s="966"/>
      <c r="H488" s="995"/>
      <c r="I488" s="966"/>
      <c r="J488" s="966"/>
      <c r="K488" s="966"/>
      <c r="L488" s="966"/>
      <c r="M488" s="971"/>
      <c r="Q488" s="972"/>
    </row>
    <row r="489" spans="1:17" ht="15">
      <c r="A489" s="966"/>
      <c r="B489" s="966"/>
      <c r="C489" s="966"/>
      <c r="D489" s="966"/>
      <c r="E489" s="966"/>
      <c r="F489" s="966"/>
      <c r="G489" s="966"/>
      <c r="H489" s="995"/>
      <c r="I489" s="966"/>
      <c r="J489" s="966"/>
      <c r="K489" s="966"/>
      <c r="L489" s="966"/>
      <c r="M489" s="971"/>
      <c r="Q489" s="972"/>
    </row>
    <row r="490" spans="1:17" ht="15">
      <c r="A490" s="966"/>
      <c r="B490" s="966"/>
      <c r="C490" s="966"/>
      <c r="D490" s="966"/>
      <c r="E490" s="966"/>
      <c r="F490" s="966"/>
      <c r="G490" s="966"/>
      <c r="H490" s="995"/>
      <c r="I490" s="966"/>
      <c r="J490" s="966"/>
      <c r="K490" s="966"/>
      <c r="L490" s="966"/>
      <c r="M490" s="971"/>
      <c r="Q490" s="972"/>
    </row>
    <row r="491" spans="1:17" ht="15">
      <c r="A491" s="966"/>
      <c r="B491" s="966"/>
      <c r="C491" s="966"/>
      <c r="D491" s="966"/>
      <c r="E491" s="966"/>
      <c r="F491" s="966"/>
      <c r="G491" s="966"/>
      <c r="H491" s="995"/>
      <c r="I491" s="966"/>
      <c r="J491" s="966"/>
      <c r="K491" s="966"/>
      <c r="L491" s="966"/>
      <c r="M491" s="971"/>
      <c r="Q491" s="972"/>
    </row>
    <row r="492" spans="1:17" ht="15">
      <c r="A492" s="966"/>
      <c r="B492" s="966"/>
      <c r="C492" s="966"/>
      <c r="D492" s="966"/>
      <c r="E492" s="966"/>
      <c r="F492" s="966"/>
      <c r="G492" s="966"/>
      <c r="H492" s="995"/>
      <c r="I492" s="966"/>
      <c r="J492" s="966"/>
      <c r="K492" s="966"/>
      <c r="L492" s="966"/>
      <c r="M492" s="971"/>
      <c r="Q492" s="972"/>
    </row>
    <row r="493" spans="1:17" ht="15">
      <c r="A493" s="966"/>
      <c r="B493" s="966"/>
      <c r="C493" s="966"/>
      <c r="D493" s="966"/>
      <c r="E493" s="966"/>
      <c r="F493" s="966"/>
      <c r="G493" s="966"/>
      <c r="H493" s="995"/>
      <c r="I493" s="966"/>
      <c r="J493" s="966"/>
      <c r="K493" s="966"/>
      <c r="L493" s="966"/>
      <c r="M493" s="971"/>
      <c r="Q493" s="972"/>
    </row>
    <row r="494" spans="1:17" ht="15">
      <c r="A494" s="966"/>
      <c r="B494" s="966"/>
      <c r="C494" s="966"/>
      <c r="D494" s="966"/>
      <c r="E494" s="966"/>
      <c r="F494" s="966"/>
      <c r="G494" s="966"/>
      <c r="H494" s="995"/>
      <c r="I494" s="966"/>
      <c r="J494" s="966"/>
      <c r="K494" s="966"/>
      <c r="L494" s="966"/>
      <c r="M494" s="971"/>
      <c r="Q494" s="972"/>
    </row>
    <row r="495" spans="1:17" ht="15">
      <c r="A495" s="966"/>
      <c r="B495" s="966"/>
      <c r="C495" s="966"/>
      <c r="D495" s="966"/>
      <c r="E495" s="966"/>
      <c r="F495" s="966"/>
      <c r="G495" s="966"/>
      <c r="H495" s="995"/>
      <c r="I495" s="966"/>
      <c r="J495" s="966"/>
      <c r="K495" s="966"/>
      <c r="L495" s="966"/>
      <c r="M495" s="971"/>
      <c r="Q495" s="972"/>
    </row>
    <row r="496" spans="1:17" ht="15">
      <c r="A496" s="966"/>
      <c r="B496" s="966"/>
      <c r="C496" s="966"/>
      <c r="D496" s="966"/>
      <c r="E496" s="966"/>
      <c r="F496" s="966"/>
      <c r="G496" s="966"/>
      <c r="H496" s="995"/>
      <c r="I496" s="966"/>
      <c r="J496" s="966"/>
      <c r="K496" s="966"/>
      <c r="L496" s="966"/>
      <c r="M496" s="971"/>
      <c r="Q496" s="972"/>
    </row>
    <row r="497" spans="1:17" ht="15">
      <c r="A497" s="966"/>
      <c r="B497" s="966"/>
      <c r="C497" s="966"/>
      <c r="D497" s="966"/>
      <c r="E497" s="966"/>
      <c r="F497" s="966"/>
      <c r="G497" s="966"/>
      <c r="H497" s="995"/>
      <c r="I497" s="966"/>
      <c r="J497" s="966"/>
      <c r="K497" s="966"/>
      <c r="L497" s="966"/>
      <c r="M497" s="971"/>
      <c r="Q497" s="972"/>
    </row>
    <row r="498" spans="1:17" ht="15">
      <c r="A498" s="966"/>
      <c r="B498" s="966"/>
      <c r="C498" s="966"/>
      <c r="D498" s="966"/>
      <c r="E498" s="966"/>
      <c r="F498" s="966"/>
      <c r="G498" s="966"/>
      <c r="H498" s="995"/>
      <c r="I498" s="966"/>
      <c r="J498" s="966"/>
      <c r="K498" s="966"/>
      <c r="L498" s="966"/>
      <c r="M498" s="971"/>
      <c r="Q498" s="972"/>
    </row>
    <row r="499" spans="1:17" ht="15">
      <c r="A499" s="966"/>
      <c r="B499" s="966"/>
      <c r="C499" s="966"/>
      <c r="D499" s="966"/>
      <c r="E499" s="966"/>
      <c r="F499" s="966"/>
      <c r="G499" s="966"/>
      <c r="H499" s="995"/>
      <c r="I499" s="966"/>
      <c r="J499" s="966"/>
      <c r="K499" s="966"/>
      <c r="L499" s="966"/>
      <c r="M499" s="971"/>
      <c r="Q499" s="972"/>
    </row>
    <row r="500" spans="1:17" ht="15">
      <c r="A500" s="966"/>
      <c r="B500" s="966"/>
      <c r="C500" s="966"/>
      <c r="D500" s="966"/>
      <c r="E500" s="966"/>
      <c r="F500" s="966"/>
      <c r="G500" s="966"/>
      <c r="H500" s="995"/>
      <c r="I500" s="966"/>
      <c r="J500" s="966"/>
      <c r="K500" s="966"/>
      <c r="L500" s="966"/>
      <c r="M500" s="971"/>
      <c r="Q500" s="972"/>
    </row>
    <row r="501" spans="1:17" ht="15">
      <c r="A501" s="966"/>
      <c r="B501" s="966"/>
      <c r="C501" s="966"/>
      <c r="D501" s="966"/>
      <c r="E501" s="966"/>
      <c r="F501" s="966"/>
      <c r="G501" s="966"/>
      <c r="H501" s="995"/>
      <c r="I501" s="966"/>
      <c r="J501" s="966"/>
      <c r="K501" s="966"/>
      <c r="L501" s="966"/>
      <c r="M501" s="971"/>
      <c r="Q501" s="972"/>
    </row>
    <row r="502" spans="1:17" ht="15">
      <c r="A502" s="966"/>
      <c r="B502" s="966"/>
      <c r="C502" s="966"/>
      <c r="D502" s="966"/>
      <c r="E502" s="966"/>
      <c r="F502" s="966"/>
      <c r="G502" s="966"/>
      <c r="H502" s="995"/>
      <c r="I502" s="966"/>
      <c r="J502" s="966"/>
      <c r="K502" s="966"/>
      <c r="L502" s="966"/>
      <c r="M502" s="971"/>
      <c r="Q502" s="972"/>
    </row>
    <row r="503" spans="1:17" ht="15">
      <c r="A503" s="966"/>
      <c r="B503" s="966"/>
      <c r="C503" s="966"/>
      <c r="D503" s="966"/>
      <c r="E503" s="966"/>
      <c r="F503" s="966"/>
      <c r="G503" s="966"/>
      <c r="H503" s="995"/>
      <c r="I503" s="966"/>
      <c r="J503" s="966"/>
      <c r="K503" s="966"/>
      <c r="L503" s="966"/>
      <c r="M503" s="971"/>
      <c r="Q503" s="972"/>
    </row>
    <row r="504" spans="1:17" ht="15">
      <c r="A504" s="966"/>
      <c r="B504" s="966"/>
      <c r="C504" s="966"/>
      <c r="D504" s="966"/>
      <c r="E504" s="966"/>
      <c r="F504" s="966"/>
      <c r="G504" s="966"/>
      <c r="H504" s="995"/>
      <c r="I504" s="966"/>
      <c r="J504" s="966"/>
      <c r="K504" s="966"/>
      <c r="L504" s="966"/>
      <c r="M504" s="971"/>
      <c r="Q504" s="972"/>
    </row>
    <row r="505" spans="1:17" ht="15">
      <c r="A505" s="966"/>
      <c r="B505" s="966"/>
      <c r="C505" s="966"/>
      <c r="D505" s="966"/>
      <c r="E505" s="966"/>
      <c r="F505" s="966"/>
      <c r="G505" s="966"/>
      <c r="H505" s="995"/>
      <c r="I505" s="966"/>
      <c r="J505" s="966"/>
      <c r="K505" s="966"/>
      <c r="L505" s="966"/>
      <c r="M505" s="971"/>
      <c r="Q505" s="972"/>
    </row>
    <row r="506" spans="1:17" ht="15">
      <c r="A506" s="966"/>
      <c r="B506" s="966"/>
      <c r="C506" s="966"/>
      <c r="D506" s="966"/>
      <c r="E506" s="966"/>
      <c r="F506" s="966"/>
      <c r="G506" s="966"/>
      <c r="H506" s="995"/>
      <c r="I506" s="966"/>
      <c r="J506" s="966"/>
      <c r="K506" s="966"/>
      <c r="L506" s="966"/>
      <c r="M506" s="971"/>
      <c r="Q506" s="972"/>
    </row>
    <row r="507" spans="1:17" ht="15">
      <c r="A507" s="966"/>
      <c r="B507" s="966"/>
      <c r="C507" s="966"/>
      <c r="D507" s="966"/>
      <c r="E507" s="966"/>
      <c r="F507" s="966"/>
      <c r="G507" s="966"/>
      <c r="H507" s="995"/>
      <c r="I507" s="966"/>
      <c r="J507" s="966"/>
      <c r="K507" s="966"/>
      <c r="L507" s="966"/>
      <c r="M507" s="971"/>
      <c r="Q507" s="972"/>
    </row>
    <row r="508" spans="1:17" ht="15">
      <c r="A508" s="966"/>
      <c r="B508" s="966"/>
      <c r="C508" s="966"/>
      <c r="D508" s="966"/>
      <c r="E508" s="966"/>
      <c r="F508" s="966"/>
      <c r="G508" s="966"/>
      <c r="H508" s="995"/>
      <c r="I508" s="966"/>
      <c r="J508" s="966"/>
      <c r="K508" s="966"/>
      <c r="L508" s="966"/>
      <c r="M508" s="971"/>
      <c r="Q508" s="972"/>
    </row>
    <row r="509" spans="1:17" ht="15">
      <c r="A509" s="966"/>
      <c r="B509" s="966"/>
      <c r="C509" s="966"/>
      <c r="D509" s="966"/>
      <c r="E509" s="966"/>
      <c r="F509" s="966"/>
      <c r="G509" s="966"/>
      <c r="H509" s="995"/>
      <c r="I509" s="966"/>
      <c r="J509" s="966"/>
      <c r="K509" s="966"/>
      <c r="L509" s="966"/>
      <c r="M509" s="971"/>
      <c r="Q509" s="972"/>
    </row>
    <row r="510" spans="1:17" ht="15">
      <c r="A510" s="966"/>
      <c r="B510" s="966"/>
      <c r="C510" s="966"/>
      <c r="D510" s="966"/>
      <c r="E510" s="966"/>
      <c r="F510" s="966"/>
      <c r="G510" s="966"/>
      <c r="H510" s="995"/>
      <c r="I510" s="966"/>
      <c r="J510" s="966"/>
      <c r="K510" s="966"/>
      <c r="L510" s="966"/>
      <c r="M510" s="971"/>
      <c r="Q510" s="972"/>
    </row>
    <row r="511" spans="1:17" ht="15">
      <c r="A511" s="966"/>
      <c r="B511" s="966"/>
      <c r="C511" s="966"/>
      <c r="D511" s="966"/>
      <c r="E511" s="966"/>
      <c r="F511" s="966"/>
      <c r="G511" s="966"/>
      <c r="H511" s="995"/>
      <c r="I511" s="966"/>
      <c r="J511" s="966"/>
      <c r="K511" s="966"/>
      <c r="L511" s="966"/>
      <c r="M511" s="971"/>
      <c r="Q511" s="972"/>
    </row>
    <row r="512" spans="1:17" ht="15">
      <c r="A512" s="966"/>
      <c r="B512" s="966"/>
      <c r="C512" s="966"/>
      <c r="D512" s="966"/>
      <c r="E512" s="966"/>
      <c r="F512" s="966"/>
      <c r="G512" s="966"/>
      <c r="H512" s="995"/>
      <c r="I512" s="966"/>
      <c r="J512" s="966"/>
      <c r="K512" s="966"/>
      <c r="L512" s="966"/>
      <c r="M512" s="971"/>
      <c r="Q512" s="972"/>
    </row>
    <row r="513" spans="1:17" ht="15">
      <c r="A513" s="966"/>
      <c r="B513" s="966"/>
      <c r="C513" s="966"/>
      <c r="D513" s="966"/>
      <c r="E513" s="966"/>
      <c r="F513" s="966"/>
      <c r="G513" s="966"/>
      <c r="H513" s="995"/>
      <c r="I513" s="966"/>
      <c r="J513" s="966"/>
      <c r="K513" s="966"/>
      <c r="L513" s="966"/>
      <c r="M513" s="971"/>
      <c r="Q513" s="972"/>
    </row>
    <row r="514" spans="1:17" ht="15">
      <c r="A514" s="966"/>
      <c r="B514" s="966"/>
      <c r="C514" s="966"/>
      <c r="D514" s="966"/>
      <c r="E514" s="966"/>
      <c r="F514" s="966"/>
      <c r="G514" s="966"/>
      <c r="H514" s="995"/>
      <c r="I514" s="966"/>
      <c r="J514" s="966"/>
      <c r="K514" s="966"/>
      <c r="L514" s="966"/>
      <c r="M514" s="971"/>
      <c r="Q514" s="972"/>
    </row>
    <row r="515" spans="1:17" ht="15">
      <c r="A515" s="966"/>
      <c r="B515" s="966"/>
      <c r="C515" s="966"/>
      <c r="D515" s="966"/>
      <c r="E515" s="966"/>
      <c r="F515" s="966"/>
      <c r="G515" s="966"/>
      <c r="H515" s="995"/>
      <c r="I515" s="966"/>
      <c r="J515" s="966"/>
      <c r="K515" s="966"/>
      <c r="L515" s="966"/>
      <c r="M515" s="971"/>
      <c r="Q515" s="972"/>
    </row>
    <row r="516" spans="1:17" ht="15">
      <c r="A516" s="966"/>
      <c r="B516" s="966"/>
      <c r="C516" s="966"/>
      <c r="D516" s="966"/>
      <c r="E516" s="966"/>
      <c r="F516" s="966"/>
      <c r="G516" s="966"/>
      <c r="H516" s="995"/>
      <c r="I516" s="966"/>
      <c r="J516" s="966"/>
      <c r="K516" s="966"/>
      <c r="L516" s="966"/>
      <c r="M516" s="971"/>
      <c r="Q516" s="972"/>
    </row>
    <row r="517" spans="1:17" ht="15">
      <c r="A517" s="966"/>
      <c r="B517" s="966"/>
      <c r="C517" s="966"/>
      <c r="D517" s="966"/>
      <c r="E517" s="966"/>
      <c r="F517" s="966"/>
      <c r="G517" s="966"/>
      <c r="H517" s="995"/>
      <c r="I517" s="966"/>
      <c r="J517" s="966"/>
      <c r="K517" s="966"/>
      <c r="L517" s="966"/>
      <c r="M517" s="971"/>
      <c r="Q517" s="972"/>
    </row>
    <row r="518" spans="1:17" ht="15">
      <c r="A518" s="966"/>
      <c r="B518" s="966"/>
      <c r="C518" s="966"/>
      <c r="D518" s="966"/>
      <c r="E518" s="966"/>
      <c r="F518" s="966"/>
      <c r="G518" s="966"/>
      <c r="H518" s="995"/>
      <c r="I518" s="966"/>
      <c r="J518" s="966"/>
      <c r="K518" s="966"/>
      <c r="L518" s="966"/>
      <c r="M518" s="971"/>
      <c r="Q518" s="972"/>
    </row>
    <row r="519" spans="1:17" ht="15">
      <c r="A519" s="966"/>
      <c r="B519" s="966"/>
      <c r="C519" s="966"/>
      <c r="D519" s="966"/>
      <c r="E519" s="966"/>
      <c r="F519" s="966"/>
      <c r="G519" s="966"/>
      <c r="H519" s="995"/>
      <c r="I519" s="966"/>
      <c r="J519" s="966"/>
      <c r="K519" s="966"/>
      <c r="L519" s="966"/>
      <c r="M519" s="971"/>
      <c r="Q519" s="972"/>
    </row>
    <row r="520" spans="1:17" ht="15">
      <c r="A520" s="966"/>
      <c r="B520" s="966"/>
      <c r="C520" s="966"/>
      <c r="D520" s="966"/>
      <c r="E520" s="966"/>
      <c r="F520" s="966"/>
      <c r="G520" s="966"/>
      <c r="H520" s="995"/>
      <c r="I520" s="966"/>
      <c r="J520" s="966"/>
      <c r="K520" s="966"/>
      <c r="L520" s="966"/>
      <c r="M520" s="971"/>
      <c r="Q520" s="972"/>
    </row>
    <row r="521" spans="1:17" ht="15">
      <c r="A521" s="966"/>
      <c r="B521" s="966"/>
      <c r="C521" s="966"/>
      <c r="D521" s="966"/>
      <c r="E521" s="966"/>
      <c r="F521" s="966"/>
      <c r="G521" s="966"/>
      <c r="H521" s="995"/>
      <c r="I521" s="966"/>
      <c r="J521" s="966"/>
      <c r="K521" s="966"/>
      <c r="L521" s="966"/>
      <c r="M521" s="971"/>
      <c r="Q521" s="972"/>
    </row>
    <row r="522" spans="1:17" ht="15">
      <c r="A522" s="966"/>
      <c r="B522" s="966"/>
      <c r="C522" s="966"/>
      <c r="D522" s="966"/>
      <c r="E522" s="966"/>
      <c r="F522" s="966"/>
      <c r="G522" s="966"/>
      <c r="H522" s="995"/>
      <c r="I522" s="966"/>
      <c r="J522" s="966"/>
      <c r="K522" s="966"/>
      <c r="L522" s="966"/>
      <c r="M522" s="971"/>
      <c r="Q522" s="972"/>
    </row>
    <row r="523" spans="1:17" ht="15">
      <c r="A523" s="966"/>
      <c r="B523" s="966"/>
      <c r="C523" s="966"/>
      <c r="D523" s="966"/>
      <c r="E523" s="966"/>
      <c r="F523" s="966"/>
      <c r="G523" s="966"/>
      <c r="H523" s="995"/>
      <c r="I523" s="966"/>
      <c r="J523" s="966"/>
      <c r="K523" s="966"/>
      <c r="L523" s="966"/>
      <c r="M523" s="971"/>
      <c r="Q523" s="972"/>
    </row>
    <row r="524" spans="1:17" ht="15">
      <c r="A524" s="966"/>
      <c r="B524" s="966"/>
      <c r="C524" s="966"/>
      <c r="D524" s="966"/>
      <c r="E524" s="966"/>
      <c r="F524" s="966"/>
      <c r="G524" s="966"/>
      <c r="H524" s="995"/>
      <c r="I524" s="966"/>
      <c r="J524" s="966"/>
      <c r="K524" s="966"/>
      <c r="L524" s="966"/>
      <c r="M524" s="971"/>
      <c r="Q524" s="972"/>
    </row>
    <row r="525" spans="1:17" ht="15">
      <c r="A525" s="966"/>
      <c r="B525" s="966"/>
      <c r="C525" s="966"/>
      <c r="D525" s="966"/>
      <c r="E525" s="966"/>
      <c r="F525" s="966"/>
      <c r="G525" s="966"/>
      <c r="H525" s="995"/>
      <c r="I525" s="966"/>
      <c r="J525" s="966"/>
      <c r="K525" s="966"/>
      <c r="L525" s="966"/>
      <c r="M525" s="971"/>
      <c r="Q525" s="972"/>
    </row>
    <row r="526" spans="1:17" ht="15">
      <c r="A526" s="966"/>
      <c r="B526" s="966"/>
      <c r="C526" s="966"/>
      <c r="D526" s="966"/>
      <c r="E526" s="966"/>
      <c r="F526" s="966"/>
      <c r="G526" s="966"/>
      <c r="H526" s="995"/>
      <c r="I526" s="966"/>
      <c r="J526" s="966"/>
      <c r="K526" s="966"/>
      <c r="L526" s="966"/>
      <c r="M526" s="971"/>
      <c r="Q526" s="972"/>
    </row>
    <row r="527" spans="1:17" ht="15">
      <c r="A527" s="966"/>
      <c r="B527" s="966"/>
      <c r="C527" s="966"/>
      <c r="D527" s="966"/>
      <c r="E527" s="966"/>
      <c r="F527" s="966"/>
      <c r="G527" s="966"/>
      <c r="H527" s="995"/>
      <c r="I527" s="966"/>
      <c r="J527" s="966"/>
      <c r="K527" s="966"/>
      <c r="L527" s="966"/>
      <c r="M527" s="971"/>
      <c r="Q527" s="972"/>
    </row>
    <row r="528" spans="1:17" ht="15">
      <c r="A528" s="966"/>
      <c r="B528" s="966"/>
      <c r="C528" s="966"/>
      <c r="D528" s="966"/>
      <c r="E528" s="966"/>
      <c r="F528" s="966"/>
      <c r="G528" s="966"/>
      <c r="H528" s="995"/>
      <c r="I528" s="966"/>
      <c r="J528" s="966"/>
      <c r="K528" s="966"/>
      <c r="L528" s="966"/>
      <c r="M528" s="971"/>
      <c r="Q528" s="972"/>
    </row>
    <row r="529" spans="1:17" ht="15">
      <c r="A529" s="966"/>
      <c r="B529" s="966"/>
      <c r="C529" s="966"/>
      <c r="D529" s="966"/>
      <c r="E529" s="966"/>
      <c r="F529" s="966"/>
      <c r="G529" s="966"/>
      <c r="H529" s="995"/>
      <c r="I529" s="966"/>
      <c r="J529" s="966"/>
      <c r="K529" s="966"/>
      <c r="L529" s="966"/>
      <c r="M529" s="971"/>
      <c r="Q529" s="972"/>
    </row>
    <row r="530" spans="1:17" ht="15">
      <c r="A530" s="966"/>
      <c r="B530" s="966"/>
      <c r="C530" s="966"/>
      <c r="D530" s="966"/>
      <c r="E530" s="966"/>
      <c r="F530" s="966"/>
      <c r="G530" s="966"/>
      <c r="H530" s="995"/>
      <c r="I530" s="966"/>
      <c r="J530" s="966"/>
      <c r="K530" s="966"/>
      <c r="L530" s="966"/>
      <c r="M530" s="971"/>
      <c r="Q530" s="972"/>
    </row>
    <row r="531" spans="1:17" ht="15">
      <c r="A531" s="966"/>
      <c r="B531" s="966"/>
      <c r="C531" s="966"/>
      <c r="D531" s="966"/>
      <c r="E531" s="966"/>
      <c r="F531" s="966"/>
      <c r="G531" s="966"/>
      <c r="H531" s="995"/>
      <c r="I531" s="966"/>
      <c r="J531" s="966"/>
      <c r="K531" s="966"/>
      <c r="L531" s="966"/>
      <c r="M531" s="971"/>
      <c r="Q531" s="972"/>
    </row>
    <row r="532" spans="1:17" ht="15">
      <c r="A532" s="966"/>
      <c r="B532" s="966"/>
      <c r="C532" s="966"/>
      <c r="D532" s="966"/>
      <c r="E532" s="966"/>
      <c r="F532" s="966"/>
      <c r="G532" s="966"/>
      <c r="H532" s="995"/>
      <c r="I532" s="966"/>
      <c r="J532" s="966"/>
      <c r="K532" s="966"/>
      <c r="L532" s="966"/>
      <c r="M532" s="971"/>
      <c r="Q532" s="972"/>
    </row>
    <row r="533" spans="1:17" ht="15">
      <c r="A533" s="966"/>
      <c r="B533" s="966"/>
      <c r="C533" s="966"/>
      <c r="D533" s="966"/>
      <c r="E533" s="966"/>
      <c r="F533" s="966"/>
      <c r="G533" s="966"/>
      <c r="H533" s="995"/>
      <c r="I533" s="966"/>
      <c r="J533" s="966"/>
      <c r="K533" s="966"/>
      <c r="L533" s="966"/>
      <c r="M533" s="971"/>
      <c r="Q533" s="972"/>
    </row>
    <row r="534" spans="1:17" ht="15">
      <c r="A534" s="966"/>
      <c r="B534" s="966"/>
      <c r="C534" s="966"/>
      <c r="D534" s="966"/>
      <c r="E534" s="966"/>
      <c r="F534" s="966"/>
      <c r="G534" s="966"/>
      <c r="H534" s="995"/>
      <c r="I534" s="966"/>
      <c r="J534" s="966"/>
      <c r="K534" s="966"/>
      <c r="L534" s="966"/>
      <c r="M534" s="971"/>
      <c r="Q534" s="972"/>
    </row>
    <row r="535" spans="1:17" ht="15">
      <c r="A535" s="966"/>
      <c r="B535" s="966"/>
      <c r="C535" s="966"/>
      <c r="D535" s="966"/>
      <c r="E535" s="966"/>
      <c r="F535" s="966"/>
      <c r="G535" s="966"/>
      <c r="H535" s="995"/>
      <c r="I535" s="966"/>
      <c r="J535" s="966"/>
      <c r="K535" s="966"/>
      <c r="L535" s="966"/>
      <c r="M535" s="971"/>
      <c r="Q535" s="972"/>
    </row>
    <row r="536" spans="1:17" ht="15">
      <c r="A536" s="966"/>
      <c r="B536" s="966"/>
      <c r="C536" s="966"/>
      <c r="D536" s="966"/>
      <c r="E536" s="966"/>
      <c r="F536" s="966"/>
      <c r="G536" s="966"/>
      <c r="H536" s="995"/>
      <c r="I536" s="966"/>
      <c r="J536" s="966"/>
      <c r="K536" s="966"/>
      <c r="L536" s="966"/>
      <c r="M536" s="971"/>
      <c r="Q536" s="972"/>
    </row>
    <row r="537" spans="1:17" ht="15">
      <c r="A537" s="966"/>
      <c r="B537" s="966"/>
      <c r="C537" s="966"/>
      <c r="D537" s="966"/>
      <c r="E537" s="966"/>
      <c r="F537" s="966"/>
      <c r="G537" s="966"/>
      <c r="H537" s="995"/>
      <c r="I537" s="966"/>
      <c r="J537" s="966"/>
      <c r="K537" s="966"/>
      <c r="L537" s="966"/>
      <c r="M537" s="971"/>
      <c r="Q537" s="972"/>
    </row>
    <row r="538" spans="1:17" ht="15">
      <c r="A538" s="966"/>
      <c r="B538" s="966"/>
      <c r="C538" s="966"/>
      <c r="D538" s="966"/>
      <c r="E538" s="966"/>
      <c r="F538" s="966"/>
      <c r="G538" s="966"/>
      <c r="H538" s="995"/>
      <c r="I538" s="966"/>
      <c r="J538" s="966"/>
      <c r="K538" s="966"/>
      <c r="L538" s="966"/>
      <c r="M538" s="971"/>
      <c r="Q538" s="972"/>
    </row>
    <row r="539" spans="1:17" ht="15">
      <c r="A539" s="966"/>
      <c r="B539" s="966"/>
      <c r="C539" s="966"/>
      <c r="D539" s="966"/>
      <c r="E539" s="966"/>
      <c r="F539" s="966"/>
      <c r="G539" s="966"/>
      <c r="H539" s="995"/>
      <c r="I539" s="966"/>
      <c r="J539" s="966"/>
      <c r="K539" s="966"/>
      <c r="L539" s="966"/>
      <c r="M539" s="971"/>
      <c r="Q539" s="972"/>
    </row>
    <row r="540" spans="1:17" ht="15">
      <c r="A540" s="966"/>
      <c r="B540" s="966"/>
      <c r="C540" s="966"/>
      <c r="D540" s="966"/>
      <c r="E540" s="966"/>
      <c r="F540" s="966"/>
      <c r="G540" s="966"/>
      <c r="H540" s="995"/>
      <c r="I540" s="966"/>
      <c r="J540" s="966"/>
      <c r="K540" s="966"/>
      <c r="L540" s="966"/>
      <c r="M540" s="971"/>
      <c r="Q540" s="972"/>
    </row>
    <row r="541" spans="1:17" ht="15">
      <c r="A541" s="966"/>
      <c r="B541" s="966"/>
      <c r="C541" s="966"/>
      <c r="D541" s="966"/>
      <c r="E541" s="966"/>
      <c r="F541" s="966"/>
      <c r="G541" s="966"/>
      <c r="H541" s="995"/>
      <c r="I541" s="966"/>
      <c r="J541" s="966"/>
      <c r="K541" s="966"/>
      <c r="L541" s="966"/>
      <c r="M541" s="971"/>
      <c r="Q541" s="972"/>
    </row>
    <row r="542" spans="1:17" ht="15">
      <c r="A542" s="966"/>
      <c r="B542" s="966"/>
      <c r="C542" s="966"/>
      <c r="D542" s="966"/>
      <c r="E542" s="966"/>
      <c r="F542" s="966"/>
      <c r="G542" s="966"/>
      <c r="H542" s="995"/>
      <c r="I542" s="966"/>
      <c r="J542" s="966"/>
      <c r="K542" s="966"/>
      <c r="L542" s="966"/>
      <c r="M542" s="971"/>
      <c r="Q542" s="972"/>
    </row>
    <row r="543" spans="1:17" ht="15">
      <c r="A543" s="966"/>
      <c r="B543" s="966"/>
      <c r="C543" s="966"/>
      <c r="D543" s="966"/>
      <c r="E543" s="966"/>
      <c r="F543" s="966"/>
      <c r="G543" s="966"/>
      <c r="H543" s="995"/>
      <c r="I543" s="966"/>
      <c r="J543" s="966"/>
      <c r="K543" s="966"/>
      <c r="L543" s="966"/>
      <c r="M543" s="971"/>
      <c r="Q543" s="972"/>
    </row>
    <row r="544" spans="1:17" ht="15">
      <c r="A544" s="966"/>
      <c r="B544" s="966"/>
      <c r="C544" s="966"/>
      <c r="D544" s="966"/>
      <c r="E544" s="966"/>
      <c r="F544" s="966"/>
      <c r="G544" s="966"/>
      <c r="H544" s="995"/>
      <c r="I544" s="966"/>
      <c r="J544" s="966"/>
      <c r="K544" s="966"/>
      <c r="L544" s="966"/>
      <c r="M544" s="971"/>
      <c r="Q544" s="972"/>
    </row>
    <row r="545" spans="1:17" ht="15">
      <c r="A545" s="966"/>
      <c r="B545" s="966"/>
      <c r="C545" s="966"/>
      <c r="D545" s="966"/>
      <c r="E545" s="966"/>
      <c r="F545" s="966"/>
      <c r="G545" s="966"/>
      <c r="H545" s="995"/>
      <c r="I545" s="966"/>
      <c r="J545" s="966"/>
      <c r="K545" s="966"/>
      <c r="L545" s="966"/>
      <c r="M545" s="971"/>
      <c r="Q545" s="972"/>
    </row>
    <row r="546" spans="1:17" ht="15">
      <c r="A546" s="966"/>
      <c r="B546" s="966"/>
      <c r="C546" s="966"/>
      <c r="D546" s="966"/>
      <c r="E546" s="966"/>
      <c r="F546" s="966"/>
      <c r="G546" s="966"/>
      <c r="H546" s="995"/>
      <c r="I546" s="966"/>
      <c r="J546" s="966"/>
      <c r="K546" s="966"/>
      <c r="L546" s="966"/>
      <c r="M546" s="971"/>
      <c r="Q546" s="972"/>
    </row>
    <row r="547" spans="1:17" ht="15">
      <c r="A547" s="966"/>
      <c r="B547" s="966"/>
      <c r="C547" s="966"/>
      <c r="D547" s="966"/>
      <c r="E547" s="966"/>
      <c r="F547" s="966"/>
      <c r="G547" s="966"/>
      <c r="H547" s="995"/>
      <c r="I547" s="966"/>
      <c r="J547" s="966"/>
      <c r="K547" s="966"/>
      <c r="L547" s="966"/>
      <c r="M547" s="971"/>
      <c r="Q547" s="972"/>
    </row>
    <row r="548" spans="1:17" ht="15">
      <c r="A548" s="966"/>
      <c r="B548" s="966"/>
      <c r="C548" s="966"/>
      <c r="D548" s="966"/>
      <c r="E548" s="966"/>
      <c r="F548" s="966"/>
      <c r="G548" s="966"/>
      <c r="H548" s="995"/>
      <c r="I548" s="966"/>
      <c r="J548" s="966"/>
      <c r="K548" s="966"/>
      <c r="L548" s="966"/>
      <c r="M548" s="971"/>
      <c r="Q548" s="972"/>
    </row>
    <row r="549" spans="1:17" ht="15">
      <c r="A549" s="966"/>
      <c r="B549" s="966"/>
      <c r="C549" s="966"/>
      <c r="D549" s="966"/>
      <c r="E549" s="966"/>
      <c r="F549" s="966"/>
      <c r="G549" s="966"/>
      <c r="H549" s="995"/>
      <c r="I549" s="966"/>
      <c r="J549" s="966"/>
      <c r="K549" s="966"/>
      <c r="L549" s="966"/>
      <c r="M549" s="971"/>
      <c r="Q549" s="972"/>
    </row>
    <row r="550" spans="1:17" ht="15">
      <c r="A550" s="966"/>
      <c r="B550" s="966"/>
      <c r="C550" s="966"/>
      <c r="D550" s="966"/>
      <c r="E550" s="966"/>
      <c r="F550" s="966"/>
      <c r="G550" s="966"/>
      <c r="H550" s="995"/>
      <c r="I550" s="966"/>
      <c r="J550" s="966"/>
      <c r="K550" s="966"/>
      <c r="L550" s="966"/>
      <c r="M550" s="971"/>
      <c r="Q550" s="972"/>
    </row>
    <row r="551" spans="1:17" ht="15">
      <c r="A551" s="966"/>
      <c r="B551" s="966"/>
      <c r="C551" s="966"/>
      <c r="D551" s="966"/>
      <c r="E551" s="966"/>
      <c r="F551" s="966"/>
      <c r="G551" s="966"/>
      <c r="H551" s="995"/>
      <c r="I551" s="966"/>
      <c r="J551" s="966"/>
      <c r="K551" s="966"/>
      <c r="L551" s="966"/>
      <c r="M551" s="971"/>
      <c r="Q551" s="972"/>
    </row>
    <row r="552" spans="1:17" ht="15">
      <c r="A552" s="966"/>
      <c r="B552" s="966"/>
      <c r="C552" s="966"/>
      <c r="D552" s="966"/>
      <c r="E552" s="966"/>
      <c r="F552" s="966"/>
      <c r="G552" s="966"/>
      <c r="H552" s="995"/>
      <c r="I552" s="966"/>
      <c r="J552" s="966"/>
      <c r="K552" s="966"/>
      <c r="L552" s="966"/>
      <c r="M552" s="971"/>
      <c r="Q552" s="972"/>
    </row>
    <row r="553" spans="1:17" ht="15">
      <c r="A553" s="966"/>
      <c r="B553" s="966"/>
      <c r="C553" s="966"/>
      <c r="D553" s="966"/>
      <c r="E553" s="966"/>
      <c r="F553" s="966"/>
      <c r="G553" s="966"/>
      <c r="H553" s="995"/>
      <c r="I553" s="966"/>
      <c r="J553" s="966"/>
      <c r="K553" s="966"/>
      <c r="L553" s="966"/>
      <c r="M553" s="971"/>
      <c r="Q553" s="972"/>
    </row>
    <row r="554" spans="1:17" ht="15">
      <c r="A554" s="966"/>
      <c r="B554" s="966"/>
      <c r="C554" s="966"/>
      <c r="D554" s="966"/>
      <c r="E554" s="966"/>
      <c r="F554" s="966"/>
      <c r="G554" s="966"/>
      <c r="H554" s="995"/>
      <c r="I554" s="966"/>
      <c r="J554" s="966"/>
      <c r="K554" s="966"/>
      <c r="L554" s="966"/>
      <c r="M554" s="971"/>
      <c r="Q554" s="972"/>
    </row>
    <row r="555" spans="1:17" ht="15">
      <c r="A555" s="966"/>
      <c r="B555" s="966"/>
      <c r="C555" s="966"/>
      <c r="D555" s="966"/>
      <c r="E555" s="966"/>
      <c r="F555" s="966"/>
      <c r="G555" s="966"/>
      <c r="H555" s="995"/>
      <c r="I555" s="966"/>
      <c r="J555" s="966"/>
      <c r="K555" s="966"/>
      <c r="L555" s="966"/>
      <c r="M555" s="971"/>
      <c r="Q555" s="972"/>
    </row>
    <row r="556" spans="1:17" ht="15">
      <c r="A556" s="966"/>
      <c r="B556" s="966"/>
      <c r="C556" s="966"/>
      <c r="D556" s="966"/>
      <c r="E556" s="966"/>
      <c r="F556" s="966"/>
      <c r="G556" s="966"/>
      <c r="H556" s="995"/>
      <c r="I556" s="966"/>
      <c r="J556" s="966"/>
      <c r="K556" s="966"/>
      <c r="L556" s="966"/>
      <c r="M556" s="971"/>
      <c r="Q556" s="972"/>
    </row>
    <row r="557" spans="1:17" ht="15">
      <c r="A557" s="966"/>
      <c r="B557" s="966"/>
      <c r="C557" s="966"/>
      <c r="D557" s="966"/>
      <c r="E557" s="966"/>
      <c r="F557" s="966"/>
      <c r="G557" s="966"/>
      <c r="H557" s="995"/>
      <c r="I557" s="966"/>
      <c r="J557" s="966"/>
      <c r="K557" s="966"/>
      <c r="L557" s="966"/>
      <c r="M557" s="971"/>
      <c r="Q557" s="972"/>
    </row>
    <row r="558" spans="1:17" ht="15">
      <c r="A558" s="966"/>
      <c r="B558" s="966"/>
      <c r="C558" s="966"/>
      <c r="D558" s="966"/>
      <c r="E558" s="966"/>
      <c r="F558" s="966"/>
      <c r="G558" s="966"/>
      <c r="H558" s="995"/>
      <c r="I558" s="966"/>
      <c r="J558" s="966"/>
      <c r="K558" s="966"/>
      <c r="L558" s="966"/>
      <c r="M558" s="971"/>
      <c r="Q558" s="972"/>
    </row>
    <row r="559" spans="1:17" ht="15">
      <c r="A559" s="966"/>
      <c r="B559" s="966"/>
      <c r="C559" s="966"/>
      <c r="D559" s="966"/>
      <c r="E559" s="966"/>
      <c r="F559" s="966"/>
      <c r="G559" s="966"/>
      <c r="H559" s="995"/>
      <c r="I559" s="966"/>
      <c r="J559" s="966"/>
      <c r="K559" s="966"/>
      <c r="L559" s="966"/>
      <c r="M559" s="971"/>
      <c r="Q559" s="972"/>
    </row>
    <row r="560" spans="1:17" ht="15">
      <c r="A560" s="966"/>
      <c r="B560" s="966"/>
      <c r="C560" s="966"/>
      <c r="D560" s="966"/>
      <c r="E560" s="966"/>
      <c r="F560" s="966"/>
      <c r="G560" s="966"/>
      <c r="H560" s="995"/>
      <c r="I560" s="966"/>
      <c r="J560" s="966"/>
      <c r="K560" s="966"/>
      <c r="L560" s="966"/>
      <c r="M560" s="971"/>
      <c r="Q560" s="972"/>
    </row>
    <row r="561" spans="1:17" ht="15">
      <c r="A561" s="966"/>
      <c r="B561" s="966"/>
      <c r="C561" s="966"/>
      <c r="D561" s="966"/>
      <c r="E561" s="966"/>
      <c r="F561" s="966"/>
      <c r="G561" s="966"/>
      <c r="H561" s="995"/>
      <c r="I561" s="966"/>
      <c r="J561" s="966"/>
      <c r="K561" s="966"/>
      <c r="L561" s="966"/>
      <c r="M561" s="971"/>
      <c r="Q561" s="972"/>
    </row>
    <row r="562" spans="1:17" ht="15">
      <c r="A562" s="966"/>
      <c r="B562" s="966"/>
      <c r="C562" s="966"/>
      <c r="D562" s="966"/>
      <c r="E562" s="966"/>
      <c r="F562" s="966"/>
      <c r="G562" s="966"/>
      <c r="H562" s="995"/>
      <c r="I562" s="966"/>
      <c r="J562" s="966"/>
      <c r="K562" s="966"/>
      <c r="L562" s="966"/>
      <c r="M562" s="971"/>
      <c r="Q562" s="972"/>
    </row>
    <row r="563" spans="1:17" ht="15">
      <c r="A563" s="966"/>
      <c r="B563" s="966"/>
      <c r="C563" s="966"/>
      <c r="D563" s="966"/>
      <c r="E563" s="966"/>
      <c r="F563" s="966"/>
      <c r="G563" s="966"/>
      <c r="H563" s="995"/>
      <c r="I563" s="966"/>
      <c r="J563" s="966"/>
      <c r="K563" s="966"/>
      <c r="L563" s="966"/>
      <c r="M563" s="971"/>
      <c r="Q563" s="972"/>
    </row>
    <row r="564" spans="1:17" ht="15">
      <c r="A564" s="966"/>
      <c r="B564" s="966"/>
      <c r="C564" s="966"/>
      <c r="D564" s="966"/>
      <c r="E564" s="966"/>
      <c r="F564" s="966"/>
      <c r="G564" s="966"/>
      <c r="H564" s="995"/>
      <c r="I564" s="966"/>
      <c r="J564" s="966"/>
      <c r="K564" s="966"/>
      <c r="L564" s="966"/>
      <c r="M564" s="971"/>
      <c r="Q564" s="972"/>
    </row>
    <row r="565" spans="1:17" ht="15">
      <c r="A565" s="966"/>
      <c r="B565" s="966"/>
      <c r="C565" s="966"/>
      <c r="D565" s="966"/>
      <c r="E565" s="966"/>
      <c r="F565" s="966"/>
      <c r="G565" s="966"/>
      <c r="H565" s="995"/>
      <c r="I565" s="966"/>
      <c r="J565" s="966"/>
      <c r="K565" s="966"/>
      <c r="L565" s="966"/>
      <c r="M565" s="971"/>
      <c r="Q565" s="972"/>
    </row>
    <row r="566" spans="1:17" ht="15">
      <c r="A566" s="966"/>
      <c r="B566" s="966"/>
      <c r="C566" s="966"/>
      <c r="D566" s="966"/>
      <c r="E566" s="966"/>
      <c r="F566" s="966"/>
      <c r="G566" s="966"/>
      <c r="H566" s="995"/>
      <c r="I566" s="966"/>
      <c r="J566" s="966"/>
      <c r="K566" s="966"/>
      <c r="L566" s="966"/>
      <c r="M566" s="971"/>
      <c r="Q566" s="972"/>
    </row>
    <row r="567" spans="1:17" ht="15">
      <c r="A567" s="966"/>
      <c r="B567" s="966"/>
      <c r="C567" s="966"/>
      <c r="D567" s="966"/>
      <c r="E567" s="966"/>
      <c r="F567" s="966"/>
      <c r="G567" s="966"/>
      <c r="H567" s="995"/>
      <c r="I567" s="966"/>
      <c r="J567" s="966"/>
      <c r="K567" s="966"/>
      <c r="L567" s="966"/>
      <c r="M567" s="971"/>
      <c r="Q567" s="972"/>
    </row>
    <row r="568" spans="1:17" ht="15">
      <c r="A568" s="966"/>
      <c r="B568" s="966"/>
      <c r="C568" s="966"/>
      <c r="D568" s="966"/>
      <c r="E568" s="966"/>
      <c r="F568" s="966"/>
      <c r="G568" s="966"/>
      <c r="H568" s="995"/>
      <c r="I568" s="966"/>
      <c r="J568" s="966"/>
      <c r="K568" s="966"/>
      <c r="L568" s="966"/>
      <c r="M568" s="971"/>
      <c r="Q568" s="972"/>
    </row>
    <row r="569" spans="1:17" ht="15">
      <c r="A569" s="966"/>
      <c r="B569" s="966"/>
      <c r="C569" s="966"/>
      <c r="D569" s="966"/>
      <c r="E569" s="966"/>
      <c r="F569" s="966"/>
      <c r="G569" s="966"/>
      <c r="H569" s="995"/>
      <c r="I569" s="966"/>
      <c r="J569" s="966"/>
      <c r="K569" s="966"/>
      <c r="L569" s="966"/>
      <c r="M569" s="971"/>
      <c r="Q569" s="972"/>
    </row>
    <row r="570" spans="1:17" ht="15">
      <c r="A570" s="966"/>
      <c r="B570" s="966"/>
      <c r="C570" s="966"/>
      <c r="D570" s="966"/>
      <c r="E570" s="966"/>
      <c r="F570" s="966"/>
      <c r="G570" s="966"/>
      <c r="H570" s="995"/>
      <c r="I570" s="966"/>
      <c r="J570" s="966"/>
      <c r="K570" s="966"/>
      <c r="L570" s="966"/>
      <c r="M570" s="971"/>
      <c r="Q570" s="972"/>
    </row>
    <row r="571" spans="1:17" ht="15">
      <c r="A571" s="966"/>
      <c r="B571" s="966"/>
      <c r="C571" s="966"/>
      <c r="D571" s="966"/>
      <c r="E571" s="966"/>
      <c r="F571" s="966"/>
      <c r="G571" s="966"/>
      <c r="H571" s="995"/>
      <c r="I571" s="966"/>
      <c r="J571" s="966"/>
      <c r="K571" s="966"/>
      <c r="L571" s="966"/>
      <c r="M571" s="971"/>
      <c r="Q571" s="972"/>
    </row>
    <row r="572" spans="1:17" ht="15">
      <c r="A572" s="966"/>
      <c r="B572" s="966"/>
      <c r="C572" s="966"/>
      <c r="D572" s="966"/>
      <c r="E572" s="966"/>
      <c r="F572" s="966"/>
      <c r="G572" s="966"/>
      <c r="H572" s="995"/>
      <c r="I572" s="966"/>
      <c r="J572" s="966"/>
      <c r="K572" s="966"/>
      <c r="L572" s="966"/>
      <c r="M572" s="971"/>
      <c r="Q572" s="972"/>
    </row>
    <row r="573" spans="1:17" ht="15">
      <c r="A573" s="966"/>
      <c r="B573" s="966"/>
      <c r="C573" s="966"/>
      <c r="D573" s="966"/>
      <c r="E573" s="966"/>
      <c r="F573" s="966"/>
      <c r="G573" s="966"/>
      <c r="H573" s="995"/>
      <c r="I573" s="966"/>
      <c r="J573" s="966"/>
      <c r="K573" s="966"/>
      <c r="L573" s="966"/>
      <c r="M573" s="971"/>
      <c r="Q573" s="972"/>
    </row>
    <row r="574" spans="1:17">
      <c r="A574" s="966"/>
      <c r="B574" s="966"/>
      <c r="C574" s="966"/>
      <c r="D574" s="966"/>
      <c r="E574" s="966"/>
      <c r="F574" s="966"/>
      <c r="G574" s="966"/>
      <c r="H574" s="995"/>
      <c r="I574" s="966"/>
      <c r="J574" s="966"/>
      <c r="K574" s="966"/>
      <c r="L574" s="966"/>
      <c r="M574" s="971"/>
    </row>
    <row r="575" spans="1:17">
      <c r="A575" s="966"/>
      <c r="B575" s="966"/>
      <c r="C575" s="966"/>
      <c r="D575" s="966"/>
      <c r="E575" s="966"/>
      <c r="F575" s="966"/>
      <c r="G575" s="966"/>
      <c r="H575" s="995"/>
      <c r="I575" s="966"/>
      <c r="J575" s="966"/>
      <c r="K575" s="966"/>
      <c r="L575" s="966"/>
      <c r="M575" s="971"/>
    </row>
    <row r="576" spans="1:17">
      <c r="A576" s="966"/>
      <c r="B576" s="966"/>
      <c r="C576" s="966"/>
      <c r="D576" s="966"/>
      <c r="E576" s="966"/>
      <c r="F576" s="966"/>
      <c r="G576" s="966"/>
      <c r="H576" s="995"/>
      <c r="I576" s="966"/>
      <c r="J576" s="966"/>
      <c r="K576" s="966"/>
      <c r="L576" s="966"/>
      <c r="M576" s="971"/>
    </row>
    <row r="577" spans="1:13">
      <c r="A577" s="966"/>
      <c r="B577" s="966"/>
      <c r="C577" s="966"/>
      <c r="D577" s="966"/>
      <c r="E577" s="966"/>
      <c r="F577" s="966"/>
      <c r="G577" s="966"/>
      <c r="H577" s="995"/>
      <c r="I577" s="966"/>
      <c r="J577" s="966"/>
      <c r="K577" s="966"/>
      <c r="L577" s="966"/>
      <c r="M577" s="971"/>
    </row>
    <row r="578" spans="1:13">
      <c r="A578" s="966"/>
      <c r="B578" s="966"/>
      <c r="C578" s="966"/>
      <c r="D578" s="966"/>
      <c r="E578" s="966"/>
      <c r="F578" s="966"/>
      <c r="G578" s="966"/>
      <c r="H578" s="995"/>
      <c r="I578" s="966"/>
      <c r="J578" s="966"/>
      <c r="K578" s="966"/>
      <c r="L578" s="966"/>
      <c r="M578" s="971"/>
    </row>
    <row r="579" spans="1:13">
      <c r="A579" s="966"/>
      <c r="B579" s="966"/>
      <c r="C579" s="966"/>
      <c r="D579" s="966"/>
      <c r="E579" s="966"/>
      <c r="F579" s="966"/>
      <c r="G579" s="966"/>
      <c r="H579" s="995"/>
      <c r="I579" s="966"/>
      <c r="J579" s="966"/>
      <c r="K579" s="966"/>
      <c r="L579" s="966"/>
      <c r="M579" s="971"/>
    </row>
    <row r="580" spans="1:13">
      <c r="A580" s="966"/>
      <c r="B580" s="966"/>
      <c r="C580" s="966"/>
      <c r="D580" s="966"/>
      <c r="E580" s="966"/>
      <c r="F580" s="966"/>
      <c r="G580" s="966"/>
      <c r="H580" s="995"/>
      <c r="I580" s="966"/>
      <c r="J580" s="966"/>
      <c r="K580" s="966"/>
      <c r="L580" s="966"/>
      <c r="M580" s="971"/>
    </row>
    <row r="581" spans="1:13">
      <c r="A581" s="966"/>
      <c r="B581" s="966"/>
      <c r="C581" s="966"/>
      <c r="D581" s="966"/>
      <c r="E581" s="966"/>
      <c r="F581" s="966"/>
      <c r="G581" s="966"/>
      <c r="H581" s="995"/>
      <c r="I581" s="966"/>
      <c r="J581" s="966"/>
      <c r="K581" s="966"/>
      <c r="L581" s="966"/>
      <c r="M581" s="971"/>
    </row>
    <row r="582" spans="1:13">
      <c r="A582" s="966"/>
      <c r="B582" s="966"/>
      <c r="C582" s="966"/>
      <c r="D582" s="966"/>
      <c r="E582" s="966"/>
      <c r="F582" s="966"/>
      <c r="G582" s="966"/>
      <c r="H582" s="995"/>
      <c r="I582" s="966"/>
      <c r="J582" s="966"/>
      <c r="K582" s="966"/>
      <c r="L582" s="966"/>
      <c r="M582" s="971"/>
    </row>
    <row r="583" spans="1:13">
      <c r="A583" s="966"/>
      <c r="B583" s="966"/>
      <c r="C583" s="966"/>
      <c r="D583" s="966"/>
      <c r="E583" s="966"/>
      <c r="F583" s="966"/>
      <c r="G583" s="966"/>
      <c r="H583" s="995"/>
      <c r="I583" s="966"/>
      <c r="J583" s="966"/>
      <c r="K583" s="966"/>
      <c r="L583" s="966"/>
      <c r="M583" s="971"/>
    </row>
    <row r="584" spans="1:13">
      <c r="A584" s="966"/>
      <c r="B584" s="966"/>
      <c r="C584" s="966"/>
      <c r="D584" s="966"/>
      <c r="E584" s="966"/>
      <c r="F584" s="966"/>
      <c r="G584" s="966"/>
      <c r="H584" s="995"/>
      <c r="I584" s="966"/>
      <c r="J584" s="966"/>
      <c r="K584" s="966"/>
      <c r="L584" s="966"/>
      <c r="M584" s="971"/>
    </row>
    <row r="585" spans="1:13">
      <c r="A585" s="966"/>
      <c r="B585" s="966"/>
      <c r="C585" s="966"/>
      <c r="D585" s="966"/>
      <c r="E585" s="966"/>
      <c r="F585" s="966"/>
      <c r="G585" s="966"/>
      <c r="H585" s="995"/>
      <c r="I585" s="966"/>
      <c r="J585" s="966"/>
      <c r="K585" s="966"/>
      <c r="L585" s="966"/>
      <c r="M585" s="971"/>
    </row>
    <row r="586" spans="1:13">
      <c r="A586" s="966"/>
      <c r="B586" s="966"/>
      <c r="C586" s="966"/>
      <c r="D586" s="966"/>
      <c r="E586" s="966"/>
      <c r="F586" s="966"/>
      <c r="G586" s="966"/>
      <c r="H586" s="995"/>
      <c r="I586" s="966"/>
      <c r="J586" s="966"/>
      <c r="K586" s="966"/>
      <c r="L586" s="966"/>
      <c r="M586" s="971"/>
    </row>
    <row r="587" spans="1:13">
      <c r="A587" s="966"/>
      <c r="B587" s="966"/>
      <c r="C587" s="966"/>
      <c r="D587" s="966"/>
      <c r="E587" s="966"/>
      <c r="F587" s="966"/>
      <c r="G587" s="966"/>
      <c r="H587" s="995"/>
      <c r="I587" s="966"/>
      <c r="J587" s="966"/>
      <c r="K587" s="966"/>
      <c r="L587" s="966"/>
      <c r="M587" s="971"/>
    </row>
    <row r="588" spans="1:13">
      <c r="A588" s="966"/>
      <c r="B588" s="966"/>
      <c r="C588" s="966"/>
      <c r="D588" s="966"/>
      <c r="E588" s="966"/>
      <c r="F588" s="966"/>
      <c r="G588" s="966"/>
      <c r="H588" s="995"/>
      <c r="I588" s="966"/>
      <c r="J588" s="966"/>
      <c r="K588" s="966"/>
      <c r="L588" s="966"/>
      <c r="M588" s="971"/>
    </row>
    <row r="589" spans="1:13">
      <c r="A589" s="966"/>
      <c r="B589" s="966"/>
      <c r="C589" s="966"/>
      <c r="D589" s="966"/>
      <c r="E589" s="966"/>
      <c r="F589" s="966"/>
      <c r="G589" s="966"/>
      <c r="H589" s="995"/>
      <c r="I589" s="966"/>
      <c r="J589" s="966"/>
      <c r="K589" s="966"/>
      <c r="L589" s="966"/>
      <c r="M589" s="971"/>
    </row>
    <row r="590" spans="1:13">
      <c r="A590" s="966"/>
      <c r="B590" s="966"/>
      <c r="C590" s="966"/>
      <c r="D590" s="966"/>
      <c r="E590" s="966"/>
      <c r="F590" s="966"/>
      <c r="G590" s="966"/>
      <c r="H590" s="995"/>
      <c r="I590" s="966"/>
      <c r="J590" s="966"/>
      <c r="K590" s="966"/>
      <c r="L590" s="966"/>
      <c r="M590" s="971"/>
    </row>
    <row r="591" spans="1:13">
      <c r="A591" s="966"/>
      <c r="B591" s="966"/>
      <c r="C591" s="966"/>
      <c r="D591" s="966"/>
      <c r="E591" s="966"/>
      <c r="F591" s="966"/>
      <c r="G591" s="966"/>
      <c r="H591" s="995"/>
      <c r="I591" s="966"/>
      <c r="J591" s="966"/>
      <c r="K591" s="966"/>
      <c r="L591" s="966"/>
      <c r="M591" s="971"/>
    </row>
    <row r="592" spans="1:13">
      <c r="A592" s="966"/>
      <c r="B592" s="966"/>
      <c r="C592" s="966"/>
      <c r="D592" s="966"/>
      <c r="E592" s="966"/>
      <c r="F592" s="966"/>
      <c r="G592" s="966"/>
      <c r="H592" s="995"/>
      <c r="I592" s="966"/>
      <c r="J592" s="966"/>
      <c r="K592" s="966"/>
      <c r="L592" s="966"/>
      <c r="M592" s="971"/>
    </row>
    <row r="593" spans="1:13">
      <c r="A593" s="966"/>
      <c r="B593" s="966"/>
      <c r="C593" s="966"/>
      <c r="D593" s="966"/>
      <c r="E593" s="966"/>
      <c r="F593" s="966"/>
      <c r="G593" s="966"/>
      <c r="H593" s="995"/>
      <c r="I593" s="966"/>
      <c r="J593" s="966"/>
      <c r="K593" s="966"/>
      <c r="L593" s="966"/>
      <c r="M593" s="971"/>
    </row>
    <row r="594" spans="1:13">
      <c r="A594" s="966"/>
      <c r="B594" s="966"/>
      <c r="C594" s="966"/>
      <c r="D594" s="966"/>
      <c r="E594" s="966"/>
      <c r="F594" s="966"/>
      <c r="G594" s="966"/>
      <c r="H594" s="995"/>
      <c r="I594" s="966"/>
      <c r="J594" s="966"/>
      <c r="K594" s="966"/>
      <c r="L594" s="966"/>
      <c r="M594" s="971"/>
    </row>
    <row r="595" spans="1:13">
      <c r="A595" s="966"/>
      <c r="B595" s="966"/>
      <c r="C595" s="966"/>
      <c r="D595" s="966"/>
      <c r="E595" s="966"/>
      <c r="F595" s="966"/>
      <c r="G595" s="966"/>
      <c r="H595" s="995"/>
      <c r="I595" s="966"/>
      <c r="J595" s="966"/>
      <c r="K595" s="966"/>
      <c r="L595" s="966"/>
      <c r="M595" s="971"/>
    </row>
    <row r="596" spans="1:13">
      <c r="A596" s="966"/>
      <c r="B596" s="966"/>
      <c r="C596" s="966"/>
      <c r="D596" s="966"/>
      <c r="E596" s="966"/>
      <c r="F596" s="966"/>
      <c r="G596" s="966"/>
      <c r="H596" s="995"/>
      <c r="I596" s="966"/>
      <c r="J596" s="966"/>
      <c r="K596" s="966"/>
      <c r="L596" s="966"/>
      <c r="M596" s="971"/>
    </row>
    <row r="597" spans="1:13">
      <c r="A597" s="966"/>
      <c r="B597" s="966"/>
      <c r="C597" s="966"/>
      <c r="D597" s="966"/>
      <c r="E597" s="966"/>
      <c r="F597" s="966"/>
      <c r="G597" s="966"/>
      <c r="H597" s="995"/>
      <c r="I597" s="966"/>
      <c r="J597" s="966"/>
      <c r="K597" s="966"/>
      <c r="L597" s="966"/>
      <c r="M597" s="971"/>
    </row>
    <row r="598" spans="1:13">
      <c r="A598" s="966"/>
      <c r="B598" s="966"/>
      <c r="C598" s="966"/>
      <c r="D598" s="966"/>
      <c r="E598" s="966"/>
      <c r="F598" s="966"/>
      <c r="G598" s="966"/>
      <c r="H598" s="995"/>
      <c r="I598" s="966"/>
      <c r="J598" s="966"/>
      <c r="K598" s="966"/>
      <c r="L598" s="966"/>
      <c r="M598" s="971"/>
    </row>
    <row r="599" spans="1:13">
      <c r="A599" s="966"/>
      <c r="B599" s="966"/>
      <c r="C599" s="966"/>
      <c r="D599" s="966"/>
      <c r="E599" s="966"/>
      <c r="F599" s="966"/>
      <c r="G599" s="966"/>
      <c r="H599" s="995"/>
      <c r="I599" s="966"/>
      <c r="J599" s="966"/>
      <c r="K599" s="966"/>
      <c r="L599" s="966"/>
      <c r="M599" s="971"/>
    </row>
    <row r="600" spans="1:13">
      <c r="A600" s="966"/>
      <c r="B600" s="966"/>
      <c r="C600" s="966"/>
      <c r="D600" s="966"/>
      <c r="E600" s="966"/>
      <c r="F600" s="966"/>
      <c r="G600" s="966"/>
      <c r="H600" s="995"/>
      <c r="I600" s="966"/>
      <c r="J600" s="966"/>
      <c r="K600" s="966"/>
      <c r="L600" s="966"/>
      <c r="M600" s="971"/>
    </row>
    <row r="601" spans="1:13">
      <c r="A601" s="966"/>
      <c r="B601" s="966"/>
      <c r="C601" s="966"/>
      <c r="D601" s="966"/>
      <c r="E601" s="966"/>
      <c r="F601" s="966"/>
      <c r="G601" s="966"/>
      <c r="H601" s="995"/>
      <c r="I601" s="966"/>
      <c r="J601" s="966"/>
      <c r="K601" s="966"/>
      <c r="L601" s="966"/>
      <c r="M601" s="971"/>
    </row>
    <row r="602" spans="1:13">
      <c r="A602" s="966"/>
      <c r="B602" s="966"/>
      <c r="C602" s="966"/>
      <c r="D602" s="966"/>
      <c r="E602" s="966"/>
      <c r="F602" s="966"/>
      <c r="G602" s="966"/>
      <c r="H602" s="995"/>
      <c r="I602" s="966"/>
      <c r="J602" s="966"/>
      <c r="K602" s="966"/>
      <c r="L602" s="966"/>
      <c r="M602" s="971"/>
    </row>
    <row r="603" spans="1:13">
      <c r="A603" s="966"/>
      <c r="B603" s="966"/>
      <c r="C603" s="966"/>
      <c r="D603" s="966"/>
      <c r="E603" s="966"/>
      <c r="F603" s="966"/>
      <c r="G603" s="966"/>
      <c r="H603" s="995"/>
      <c r="I603" s="966"/>
      <c r="J603" s="966"/>
      <c r="K603" s="966"/>
      <c r="L603" s="966"/>
      <c r="M603" s="971"/>
    </row>
    <row r="604" spans="1:13">
      <c r="A604" s="966"/>
      <c r="B604" s="966"/>
      <c r="C604" s="966"/>
      <c r="D604" s="966"/>
      <c r="E604" s="966"/>
      <c r="F604" s="966"/>
      <c r="G604" s="966"/>
      <c r="H604" s="995"/>
      <c r="I604" s="966"/>
      <c r="J604" s="966"/>
      <c r="K604" s="966"/>
      <c r="L604" s="966"/>
      <c r="M604" s="971"/>
    </row>
    <row r="605" spans="1:13">
      <c r="A605" s="966"/>
      <c r="B605" s="966"/>
      <c r="C605" s="966"/>
      <c r="D605" s="966"/>
      <c r="E605" s="966"/>
      <c r="F605" s="966"/>
      <c r="G605" s="966"/>
      <c r="H605" s="995"/>
      <c r="I605" s="966"/>
      <c r="J605" s="966"/>
      <c r="K605" s="966"/>
      <c r="L605" s="966"/>
      <c r="M605" s="971"/>
    </row>
    <row r="606" spans="1:13">
      <c r="A606" s="966"/>
      <c r="B606" s="966"/>
      <c r="C606" s="966"/>
      <c r="D606" s="966"/>
      <c r="E606" s="966"/>
      <c r="F606" s="966"/>
      <c r="G606" s="966"/>
      <c r="H606" s="995"/>
      <c r="I606" s="966"/>
      <c r="J606" s="966"/>
      <c r="K606" s="966"/>
      <c r="L606" s="966"/>
      <c r="M606" s="971"/>
    </row>
    <row r="607" spans="1:13">
      <c r="A607" s="966"/>
      <c r="B607" s="966"/>
      <c r="C607" s="966"/>
      <c r="D607" s="966"/>
      <c r="E607" s="966"/>
      <c r="F607" s="966"/>
      <c r="G607" s="966"/>
      <c r="H607" s="995"/>
      <c r="I607" s="966"/>
      <c r="J607" s="966"/>
      <c r="K607" s="966"/>
      <c r="L607" s="966"/>
      <c r="M607" s="971"/>
    </row>
    <row r="608" spans="1:13">
      <c r="A608" s="966"/>
      <c r="B608" s="966"/>
      <c r="C608" s="966"/>
      <c r="D608" s="966"/>
      <c r="E608" s="966"/>
      <c r="F608" s="966"/>
      <c r="G608" s="966"/>
      <c r="H608" s="995"/>
      <c r="I608" s="966"/>
      <c r="J608" s="966"/>
      <c r="K608" s="966"/>
      <c r="L608" s="966"/>
      <c r="M608" s="971"/>
    </row>
    <row r="609" spans="1:13">
      <c r="A609" s="966"/>
      <c r="B609" s="966"/>
      <c r="C609" s="966"/>
      <c r="D609" s="966"/>
      <c r="E609" s="966"/>
      <c r="F609" s="966"/>
      <c r="G609" s="966"/>
      <c r="H609" s="995"/>
      <c r="I609" s="966"/>
      <c r="J609" s="966"/>
      <c r="K609" s="966"/>
      <c r="L609" s="966"/>
      <c r="M609" s="971"/>
    </row>
    <row r="610" spans="1:13">
      <c r="A610" s="966"/>
      <c r="B610" s="966"/>
      <c r="C610" s="966"/>
      <c r="D610" s="966"/>
      <c r="E610" s="966"/>
      <c r="F610" s="966"/>
      <c r="G610" s="966"/>
      <c r="H610" s="995"/>
      <c r="I610" s="966"/>
      <c r="J610" s="966"/>
      <c r="K610" s="966"/>
      <c r="L610" s="966"/>
      <c r="M610" s="971"/>
    </row>
    <row r="611" spans="1:13">
      <c r="A611" s="966"/>
      <c r="B611" s="966"/>
      <c r="C611" s="966"/>
      <c r="D611" s="966"/>
      <c r="E611" s="966"/>
      <c r="F611" s="966"/>
      <c r="G611" s="966"/>
      <c r="H611" s="995"/>
      <c r="I611" s="966"/>
      <c r="J611" s="966"/>
      <c r="K611" s="966"/>
      <c r="L611" s="966"/>
      <c r="M611" s="971"/>
    </row>
    <row r="612" spans="1:13">
      <c r="A612" s="966"/>
      <c r="B612" s="966"/>
      <c r="C612" s="966"/>
      <c r="D612" s="966"/>
      <c r="E612" s="966"/>
      <c r="F612" s="966"/>
      <c r="G612" s="966"/>
      <c r="H612" s="995"/>
      <c r="I612" s="966"/>
      <c r="J612" s="966"/>
      <c r="K612" s="966"/>
      <c r="L612" s="966"/>
      <c r="M612" s="971"/>
    </row>
    <row r="613" spans="1:13">
      <c r="A613" s="966"/>
      <c r="B613" s="966"/>
      <c r="C613" s="966"/>
      <c r="D613" s="966"/>
      <c r="E613" s="966"/>
      <c r="F613" s="966"/>
      <c r="G613" s="966"/>
      <c r="H613" s="995"/>
      <c r="I613" s="966"/>
      <c r="J613" s="966"/>
      <c r="K613" s="966"/>
      <c r="L613" s="966"/>
      <c r="M613" s="971"/>
    </row>
    <row r="614" spans="1:13">
      <c r="A614" s="966"/>
      <c r="B614" s="966"/>
      <c r="C614" s="966"/>
      <c r="D614" s="966"/>
      <c r="E614" s="966"/>
      <c r="F614" s="966"/>
      <c r="G614" s="966"/>
      <c r="H614" s="995"/>
      <c r="I614" s="966"/>
      <c r="J614" s="966"/>
      <c r="K614" s="966"/>
      <c r="L614" s="966"/>
      <c r="M614" s="971"/>
    </row>
    <row r="615" spans="1:13">
      <c r="A615" s="966"/>
      <c r="B615" s="966"/>
      <c r="C615" s="966"/>
      <c r="D615" s="966"/>
      <c r="E615" s="966"/>
      <c r="F615" s="966"/>
      <c r="G615" s="966"/>
      <c r="H615" s="995"/>
      <c r="I615" s="966"/>
      <c r="J615" s="966"/>
      <c r="K615" s="966"/>
      <c r="L615" s="966"/>
      <c r="M615" s="971"/>
    </row>
    <row r="616" spans="1:13">
      <c r="A616" s="966"/>
      <c r="B616" s="966"/>
      <c r="C616" s="966"/>
      <c r="D616" s="966"/>
      <c r="E616" s="966"/>
      <c r="F616" s="966"/>
      <c r="G616" s="966"/>
      <c r="H616" s="995"/>
      <c r="I616" s="966"/>
      <c r="J616" s="966"/>
      <c r="K616" s="966"/>
      <c r="L616" s="966"/>
      <c r="M616" s="971"/>
    </row>
    <row r="617" spans="1:13">
      <c r="A617" s="966"/>
      <c r="B617" s="966"/>
      <c r="C617" s="966"/>
      <c r="D617" s="966"/>
      <c r="E617" s="966"/>
      <c r="F617" s="966"/>
      <c r="G617" s="966"/>
      <c r="H617" s="995"/>
      <c r="I617" s="966"/>
      <c r="J617" s="966"/>
      <c r="K617" s="966"/>
      <c r="L617" s="966"/>
      <c r="M617" s="971"/>
    </row>
    <row r="618" spans="1:13">
      <c r="A618" s="966"/>
      <c r="B618" s="966"/>
      <c r="C618" s="966"/>
      <c r="D618" s="966"/>
      <c r="E618" s="966"/>
      <c r="F618" s="966"/>
      <c r="G618" s="966"/>
      <c r="H618" s="995"/>
      <c r="I618" s="966"/>
      <c r="J618" s="966"/>
      <c r="K618" s="966"/>
      <c r="L618" s="966"/>
      <c r="M618" s="971"/>
    </row>
    <row r="619" spans="1:13">
      <c r="A619" s="966"/>
      <c r="B619" s="966"/>
      <c r="C619" s="966"/>
      <c r="D619" s="966"/>
      <c r="E619" s="966"/>
      <c r="F619" s="966"/>
      <c r="G619" s="966"/>
      <c r="H619" s="995"/>
      <c r="I619" s="966"/>
      <c r="J619" s="966"/>
      <c r="K619" s="966"/>
      <c r="L619" s="966"/>
      <c r="M619" s="971"/>
    </row>
    <row r="620" spans="1:13">
      <c r="A620" s="966"/>
      <c r="B620" s="966"/>
      <c r="C620" s="966"/>
      <c r="D620" s="966"/>
      <c r="E620" s="966"/>
      <c r="F620" s="966"/>
      <c r="G620" s="966"/>
      <c r="H620" s="995"/>
      <c r="I620" s="966"/>
      <c r="J620" s="966"/>
      <c r="K620" s="966"/>
      <c r="L620" s="966"/>
      <c r="M620" s="971"/>
    </row>
    <row r="621" spans="1:13">
      <c r="A621" s="966"/>
      <c r="B621" s="966"/>
      <c r="C621" s="966"/>
      <c r="D621" s="966"/>
      <c r="E621" s="966"/>
      <c r="F621" s="966"/>
      <c r="G621" s="966"/>
      <c r="H621" s="995"/>
      <c r="I621" s="966"/>
      <c r="J621" s="966"/>
      <c r="K621" s="966"/>
      <c r="L621" s="966"/>
      <c r="M621" s="971"/>
    </row>
    <row r="622" spans="1:13">
      <c r="A622" s="966"/>
      <c r="B622" s="966"/>
      <c r="C622" s="966"/>
      <c r="D622" s="966"/>
      <c r="E622" s="966"/>
      <c r="F622" s="966"/>
      <c r="G622" s="966"/>
      <c r="H622" s="995"/>
      <c r="I622" s="966"/>
      <c r="J622" s="966"/>
      <c r="K622" s="966"/>
      <c r="L622" s="966"/>
      <c r="M622" s="971"/>
    </row>
    <row r="623" spans="1:13">
      <c r="A623" s="966"/>
      <c r="B623" s="966"/>
      <c r="C623" s="966"/>
      <c r="D623" s="966"/>
      <c r="E623" s="966"/>
      <c r="F623" s="966"/>
      <c r="G623" s="966"/>
      <c r="H623" s="995"/>
      <c r="I623" s="966"/>
      <c r="J623" s="966"/>
      <c r="K623" s="966"/>
      <c r="L623" s="966"/>
      <c r="M623" s="971"/>
    </row>
    <row r="624" spans="1:13">
      <c r="A624" s="966"/>
      <c r="B624" s="966"/>
      <c r="C624" s="966"/>
      <c r="D624" s="966"/>
      <c r="E624" s="966"/>
      <c r="F624" s="966"/>
      <c r="G624" s="966"/>
      <c r="H624" s="995"/>
      <c r="I624" s="966"/>
      <c r="J624" s="966"/>
      <c r="K624" s="966"/>
      <c r="L624" s="966"/>
      <c r="M624" s="971"/>
    </row>
    <row r="625" spans="1:13">
      <c r="A625" s="966"/>
      <c r="B625" s="966"/>
      <c r="C625" s="966"/>
      <c r="D625" s="966"/>
      <c r="E625" s="966"/>
      <c r="F625" s="966"/>
      <c r="G625" s="966"/>
      <c r="H625" s="995"/>
      <c r="I625" s="966"/>
      <c r="J625" s="966"/>
      <c r="K625" s="966"/>
      <c r="L625" s="966"/>
      <c r="M625" s="971"/>
    </row>
    <row r="626" spans="1:13">
      <c r="A626" s="966"/>
      <c r="B626" s="966"/>
      <c r="C626" s="966"/>
      <c r="D626" s="966"/>
      <c r="E626" s="966"/>
      <c r="F626" s="966"/>
      <c r="G626" s="966"/>
      <c r="H626" s="995"/>
      <c r="I626" s="966"/>
      <c r="J626" s="966"/>
      <c r="K626" s="966"/>
      <c r="L626" s="966"/>
      <c r="M626" s="971"/>
    </row>
    <row r="627" spans="1:13">
      <c r="A627" s="966"/>
      <c r="B627" s="966"/>
      <c r="C627" s="966"/>
      <c r="D627" s="966"/>
      <c r="E627" s="966"/>
      <c r="F627" s="966"/>
      <c r="G627" s="966"/>
      <c r="H627" s="995"/>
      <c r="I627" s="966"/>
      <c r="J627" s="966"/>
      <c r="K627" s="966"/>
      <c r="L627" s="966"/>
      <c r="M627" s="971"/>
    </row>
    <row r="628" spans="1:13">
      <c r="A628" s="966"/>
      <c r="B628" s="966"/>
      <c r="C628" s="966"/>
      <c r="D628" s="966"/>
      <c r="E628" s="966"/>
      <c r="F628" s="966"/>
      <c r="G628" s="966"/>
      <c r="H628" s="995"/>
      <c r="I628" s="966"/>
      <c r="J628" s="966"/>
      <c r="K628" s="966"/>
      <c r="L628" s="966"/>
      <c r="M628" s="971"/>
    </row>
    <row r="629" spans="1:13">
      <c r="A629" s="966"/>
      <c r="B629" s="966"/>
      <c r="C629" s="966"/>
      <c r="D629" s="966"/>
      <c r="E629" s="966"/>
      <c r="F629" s="966"/>
      <c r="G629" s="966"/>
      <c r="H629" s="995"/>
      <c r="I629" s="966"/>
      <c r="J629" s="966"/>
      <c r="K629" s="966"/>
      <c r="L629" s="966"/>
      <c r="M629" s="971"/>
    </row>
    <row r="630" spans="1:13">
      <c r="A630" s="966"/>
      <c r="B630" s="966"/>
      <c r="C630" s="966"/>
      <c r="D630" s="966"/>
      <c r="E630" s="966"/>
      <c r="F630" s="966"/>
      <c r="G630" s="966"/>
      <c r="H630" s="995"/>
      <c r="I630" s="966"/>
      <c r="J630" s="966"/>
      <c r="K630" s="966"/>
      <c r="L630" s="966"/>
      <c r="M630" s="971"/>
    </row>
    <row r="631" spans="1:13">
      <c r="A631" s="966"/>
      <c r="B631" s="966"/>
      <c r="C631" s="966"/>
      <c r="D631" s="966"/>
      <c r="E631" s="966"/>
      <c r="F631" s="966"/>
      <c r="G631" s="966"/>
      <c r="H631" s="995"/>
      <c r="I631" s="966"/>
      <c r="J631" s="966"/>
      <c r="K631" s="966"/>
      <c r="L631" s="966"/>
      <c r="M631" s="971"/>
    </row>
    <row r="632" spans="1:13">
      <c r="A632" s="966"/>
      <c r="B632" s="966"/>
      <c r="C632" s="966"/>
      <c r="D632" s="966"/>
      <c r="E632" s="966"/>
      <c r="F632" s="966"/>
      <c r="G632" s="966"/>
      <c r="H632" s="995"/>
      <c r="I632" s="966"/>
      <c r="J632" s="966"/>
      <c r="K632" s="966"/>
      <c r="L632" s="966"/>
      <c r="M632" s="971"/>
    </row>
    <row r="633" spans="1:13">
      <c r="A633" s="966"/>
      <c r="B633" s="966"/>
      <c r="C633" s="966"/>
      <c r="D633" s="966"/>
      <c r="E633" s="966"/>
      <c r="F633" s="966"/>
      <c r="G633" s="966"/>
      <c r="H633" s="995"/>
      <c r="I633" s="966"/>
      <c r="J633" s="966"/>
      <c r="K633" s="966"/>
      <c r="L633" s="966"/>
      <c r="M633" s="971"/>
    </row>
    <row r="634" spans="1:13">
      <c r="A634" s="966"/>
      <c r="B634" s="966"/>
      <c r="C634" s="966"/>
      <c r="D634" s="966"/>
      <c r="E634" s="966"/>
      <c r="F634" s="966"/>
      <c r="G634" s="966"/>
      <c r="H634" s="995"/>
      <c r="I634" s="966"/>
      <c r="J634" s="966"/>
      <c r="K634" s="966"/>
      <c r="L634" s="966"/>
      <c r="M634" s="971"/>
    </row>
    <row r="635" spans="1:13">
      <c r="A635" s="966"/>
      <c r="B635" s="966"/>
      <c r="C635" s="966"/>
      <c r="D635" s="966"/>
      <c r="E635" s="966"/>
      <c r="F635" s="966"/>
      <c r="G635" s="966"/>
      <c r="H635" s="995"/>
      <c r="I635" s="966"/>
      <c r="J635" s="966"/>
      <c r="K635" s="966"/>
      <c r="L635" s="966"/>
      <c r="M635" s="971"/>
    </row>
    <row r="636" spans="1:13">
      <c r="A636" s="966"/>
      <c r="B636" s="966"/>
      <c r="C636" s="966"/>
      <c r="D636" s="966"/>
      <c r="E636" s="966"/>
      <c r="F636" s="966"/>
      <c r="G636" s="966"/>
      <c r="H636" s="995"/>
      <c r="I636" s="966"/>
      <c r="J636" s="966"/>
      <c r="K636" s="966"/>
      <c r="L636" s="966"/>
      <c r="M636" s="971"/>
    </row>
    <row r="637" spans="1:13">
      <c r="A637" s="966"/>
      <c r="B637" s="966"/>
      <c r="C637" s="966"/>
      <c r="D637" s="966"/>
      <c r="E637" s="966"/>
      <c r="F637" s="966"/>
      <c r="G637" s="966"/>
      <c r="H637" s="995"/>
      <c r="I637" s="966"/>
      <c r="J637" s="966"/>
      <c r="K637" s="966"/>
      <c r="L637" s="966"/>
      <c r="M637" s="971"/>
    </row>
    <row r="638" spans="1:13">
      <c r="A638" s="966"/>
      <c r="B638" s="966"/>
      <c r="C638" s="966"/>
      <c r="D638" s="966"/>
      <c r="E638" s="966"/>
      <c r="F638" s="966"/>
      <c r="G638" s="966"/>
      <c r="H638" s="995"/>
      <c r="I638" s="966"/>
      <c r="J638" s="966"/>
      <c r="K638" s="966"/>
      <c r="L638" s="966"/>
      <c r="M638" s="971"/>
    </row>
    <row r="639" spans="1:13">
      <c r="A639" s="966"/>
      <c r="B639" s="966"/>
      <c r="C639" s="966"/>
      <c r="D639" s="966"/>
      <c r="E639" s="966"/>
      <c r="F639" s="966"/>
      <c r="G639" s="966"/>
      <c r="H639" s="995"/>
      <c r="I639" s="966"/>
      <c r="J639" s="966"/>
      <c r="K639" s="966"/>
      <c r="L639" s="966"/>
      <c r="M639" s="971"/>
    </row>
    <row r="640" spans="1:13">
      <c r="A640" s="966"/>
      <c r="B640" s="966"/>
      <c r="C640" s="966"/>
      <c r="D640" s="966"/>
      <c r="E640" s="966"/>
      <c r="F640" s="966"/>
      <c r="G640" s="966"/>
      <c r="H640" s="995"/>
      <c r="I640" s="966"/>
      <c r="J640" s="966"/>
      <c r="K640" s="966"/>
      <c r="L640" s="966"/>
      <c r="M640" s="971"/>
    </row>
    <row r="641" spans="1:13">
      <c r="A641" s="966"/>
      <c r="B641" s="966"/>
      <c r="C641" s="966"/>
      <c r="D641" s="966"/>
      <c r="E641" s="966"/>
      <c r="F641" s="966"/>
      <c r="G641" s="966"/>
      <c r="H641" s="995"/>
      <c r="I641" s="966"/>
      <c r="J641" s="966"/>
      <c r="K641" s="966"/>
      <c r="L641" s="966"/>
      <c r="M641" s="971"/>
    </row>
    <row r="642" spans="1:13">
      <c r="A642" s="966"/>
      <c r="B642" s="966"/>
      <c r="C642" s="966"/>
      <c r="D642" s="966"/>
      <c r="E642" s="966"/>
      <c r="F642" s="966"/>
      <c r="G642" s="966"/>
      <c r="H642" s="995"/>
      <c r="I642" s="966"/>
      <c r="J642" s="966"/>
      <c r="K642" s="966"/>
      <c r="L642" s="966"/>
      <c r="M642" s="971"/>
    </row>
    <row r="643" spans="1:13">
      <c r="A643" s="966"/>
      <c r="B643" s="966"/>
      <c r="C643" s="966"/>
      <c r="D643" s="966"/>
      <c r="E643" s="966"/>
      <c r="F643" s="966"/>
      <c r="G643" s="966"/>
      <c r="H643" s="995"/>
      <c r="I643" s="966"/>
      <c r="J643" s="966"/>
      <c r="K643" s="966"/>
      <c r="L643" s="966"/>
      <c r="M643" s="971"/>
    </row>
    <row r="644" spans="1:13">
      <c r="A644" s="966"/>
      <c r="B644" s="966"/>
      <c r="C644" s="966"/>
      <c r="D644" s="966"/>
      <c r="E644" s="966"/>
      <c r="F644" s="966"/>
      <c r="G644" s="966"/>
      <c r="H644" s="995"/>
      <c r="I644" s="966"/>
      <c r="J644" s="966"/>
      <c r="K644" s="966"/>
      <c r="L644" s="966"/>
      <c r="M644" s="971"/>
    </row>
    <row r="645" spans="1:13">
      <c r="A645" s="966"/>
      <c r="B645" s="966"/>
      <c r="C645" s="966"/>
      <c r="D645" s="966"/>
      <c r="E645" s="966"/>
      <c r="F645" s="966"/>
      <c r="G645" s="966"/>
      <c r="H645" s="995"/>
      <c r="I645" s="966"/>
      <c r="J645" s="966"/>
      <c r="K645" s="966"/>
      <c r="L645" s="966"/>
      <c r="M645" s="971"/>
    </row>
    <row r="646" spans="1:13">
      <c r="A646" s="966"/>
      <c r="B646" s="966"/>
      <c r="C646" s="966"/>
      <c r="D646" s="966"/>
      <c r="E646" s="966"/>
      <c r="F646" s="966"/>
      <c r="G646" s="966"/>
      <c r="H646" s="995"/>
      <c r="I646" s="966"/>
      <c r="J646" s="966"/>
      <c r="K646" s="966"/>
      <c r="L646" s="966"/>
      <c r="M646" s="971"/>
    </row>
    <row r="647" spans="1:13">
      <c r="A647" s="966"/>
      <c r="B647" s="966"/>
      <c r="C647" s="966"/>
      <c r="D647" s="966"/>
      <c r="E647" s="966"/>
      <c r="F647" s="966"/>
      <c r="G647" s="966"/>
      <c r="H647" s="995"/>
      <c r="I647" s="966"/>
      <c r="J647" s="966"/>
      <c r="K647" s="966"/>
      <c r="L647" s="966"/>
      <c r="M647" s="971"/>
    </row>
    <row r="648" spans="1:13">
      <c r="A648" s="966"/>
      <c r="B648" s="966"/>
      <c r="C648" s="966"/>
      <c r="D648" s="966"/>
      <c r="E648" s="966"/>
      <c r="F648" s="966"/>
      <c r="G648" s="966"/>
      <c r="H648" s="995"/>
      <c r="I648" s="966"/>
      <c r="J648" s="966"/>
      <c r="K648" s="966"/>
      <c r="L648" s="966"/>
      <c r="M648" s="971"/>
    </row>
    <row r="649" spans="1:13">
      <c r="A649" s="966"/>
      <c r="B649" s="966"/>
      <c r="C649" s="966"/>
      <c r="D649" s="966"/>
      <c r="E649" s="966"/>
      <c r="F649" s="966"/>
      <c r="G649" s="966"/>
      <c r="H649" s="995"/>
      <c r="I649" s="966"/>
      <c r="J649" s="966"/>
      <c r="K649" s="966"/>
      <c r="L649" s="966"/>
      <c r="M649" s="971"/>
    </row>
    <row r="650" spans="1:13">
      <c r="A650" s="966"/>
      <c r="B650" s="966"/>
      <c r="C650" s="966"/>
      <c r="D650" s="966"/>
      <c r="E650" s="966"/>
      <c r="F650" s="966"/>
      <c r="G650" s="966"/>
      <c r="H650" s="995"/>
      <c r="I650" s="966"/>
      <c r="J650" s="966"/>
      <c r="K650" s="966"/>
      <c r="L650" s="966"/>
      <c r="M650" s="971"/>
    </row>
    <row r="651" spans="1:13">
      <c r="A651" s="966"/>
      <c r="B651" s="966"/>
      <c r="C651" s="966"/>
      <c r="D651" s="966"/>
      <c r="E651" s="966"/>
      <c r="F651" s="966"/>
      <c r="G651" s="966"/>
      <c r="H651" s="995"/>
      <c r="I651" s="966"/>
      <c r="J651" s="966"/>
      <c r="K651" s="966"/>
      <c r="L651" s="966"/>
      <c r="M651" s="971"/>
    </row>
    <row r="652" spans="1:13">
      <c r="A652" s="966"/>
      <c r="B652" s="966"/>
      <c r="C652" s="966"/>
      <c r="D652" s="966"/>
      <c r="E652" s="966"/>
      <c r="F652" s="966"/>
      <c r="G652" s="966"/>
      <c r="H652" s="995"/>
      <c r="I652" s="966"/>
      <c r="J652" s="966"/>
      <c r="K652" s="966"/>
      <c r="L652" s="966"/>
      <c r="M652" s="971"/>
    </row>
    <row r="653" spans="1:13">
      <c r="A653" s="966"/>
      <c r="B653" s="966"/>
      <c r="C653" s="966"/>
      <c r="D653" s="966"/>
      <c r="E653" s="966"/>
      <c r="F653" s="966"/>
      <c r="G653" s="966"/>
      <c r="H653" s="995"/>
      <c r="I653" s="966"/>
      <c r="J653" s="966"/>
      <c r="K653" s="966"/>
      <c r="L653" s="966"/>
      <c r="M653" s="971"/>
    </row>
    <row r="654" spans="1:13">
      <c r="A654" s="966"/>
      <c r="B654" s="966"/>
      <c r="C654" s="966"/>
      <c r="D654" s="966"/>
      <c r="E654" s="966"/>
      <c r="F654" s="966"/>
      <c r="G654" s="966"/>
      <c r="H654" s="995"/>
      <c r="I654" s="966"/>
      <c r="J654" s="966"/>
      <c r="K654" s="966"/>
      <c r="L654" s="966"/>
      <c r="M654" s="971"/>
    </row>
    <row r="655" spans="1:13">
      <c r="A655" s="966"/>
      <c r="B655" s="966"/>
      <c r="C655" s="966"/>
      <c r="D655" s="966"/>
      <c r="E655" s="966"/>
      <c r="F655" s="966"/>
      <c r="G655" s="966"/>
      <c r="H655" s="995"/>
      <c r="I655" s="966"/>
      <c r="J655" s="966"/>
      <c r="K655" s="966"/>
      <c r="L655" s="966"/>
      <c r="M655" s="971"/>
    </row>
    <row r="656" spans="1:13">
      <c r="A656" s="966"/>
      <c r="B656" s="966"/>
      <c r="C656" s="966"/>
      <c r="D656" s="966"/>
      <c r="E656" s="966"/>
      <c r="F656" s="966"/>
      <c r="G656" s="966"/>
      <c r="H656" s="995"/>
      <c r="I656" s="966"/>
      <c r="J656" s="966"/>
      <c r="K656" s="966"/>
      <c r="L656" s="966"/>
      <c r="M656" s="971"/>
    </row>
    <row r="657" spans="1:13">
      <c r="A657" s="966"/>
      <c r="B657" s="966"/>
      <c r="C657" s="966"/>
      <c r="D657" s="966"/>
      <c r="E657" s="966"/>
      <c r="F657" s="966"/>
      <c r="G657" s="966"/>
      <c r="H657" s="995"/>
      <c r="I657" s="966"/>
      <c r="J657" s="966"/>
      <c r="K657" s="966"/>
      <c r="L657" s="966"/>
      <c r="M657" s="971"/>
    </row>
    <row r="658" spans="1:13">
      <c r="A658" s="966"/>
      <c r="B658" s="966"/>
      <c r="C658" s="966"/>
      <c r="D658" s="966"/>
      <c r="E658" s="966"/>
      <c r="F658" s="966"/>
      <c r="G658" s="966"/>
      <c r="H658" s="995"/>
      <c r="I658" s="966"/>
      <c r="J658" s="966"/>
      <c r="K658" s="966"/>
      <c r="L658" s="966"/>
      <c r="M658" s="971"/>
    </row>
    <row r="659" spans="1:13">
      <c r="A659" s="966"/>
      <c r="B659" s="966"/>
      <c r="C659" s="966"/>
      <c r="D659" s="966"/>
      <c r="E659" s="966"/>
      <c r="F659" s="966"/>
      <c r="G659" s="966"/>
      <c r="H659" s="995"/>
      <c r="I659" s="966"/>
      <c r="J659" s="966"/>
      <c r="K659" s="966"/>
      <c r="L659" s="966"/>
      <c r="M659" s="971"/>
    </row>
    <row r="660" spans="1:13">
      <c r="A660" s="966"/>
      <c r="B660" s="966"/>
      <c r="C660" s="966"/>
      <c r="D660" s="966"/>
      <c r="E660" s="966"/>
      <c r="F660" s="966"/>
      <c r="G660" s="966"/>
      <c r="H660" s="995"/>
      <c r="I660" s="966"/>
      <c r="J660" s="966"/>
      <c r="K660" s="966"/>
      <c r="L660" s="966"/>
      <c r="M660" s="971"/>
    </row>
    <row r="661" spans="1:13">
      <c r="A661" s="966"/>
      <c r="B661" s="966"/>
      <c r="C661" s="966"/>
      <c r="D661" s="966"/>
      <c r="E661" s="966"/>
      <c r="F661" s="966"/>
      <c r="G661" s="966"/>
      <c r="H661" s="995"/>
      <c r="I661" s="966"/>
      <c r="J661" s="966"/>
      <c r="K661" s="966"/>
      <c r="L661" s="966"/>
      <c r="M661" s="971"/>
    </row>
    <row r="662" spans="1:13">
      <c r="A662" s="966"/>
      <c r="B662" s="966"/>
      <c r="C662" s="966"/>
      <c r="D662" s="966"/>
      <c r="E662" s="966"/>
      <c r="F662" s="966"/>
      <c r="G662" s="966"/>
      <c r="H662" s="995"/>
      <c r="I662" s="966"/>
      <c r="J662" s="966"/>
      <c r="K662" s="966"/>
      <c r="L662" s="966"/>
      <c r="M662" s="971"/>
    </row>
    <row r="663" spans="1:13">
      <c r="A663" s="966"/>
      <c r="B663" s="966"/>
      <c r="C663" s="966"/>
      <c r="D663" s="966"/>
      <c r="E663" s="966"/>
      <c r="F663" s="966"/>
      <c r="G663" s="966"/>
      <c r="H663" s="995"/>
      <c r="I663" s="966"/>
      <c r="J663" s="966"/>
      <c r="K663" s="966"/>
      <c r="L663" s="966"/>
      <c r="M663" s="971"/>
    </row>
    <row r="664" spans="1:13">
      <c r="A664" s="966"/>
      <c r="B664" s="966"/>
      <c r="C664" s="966"/>
      <c r="D664" s="966"/>
      <c r="E664" s="966"/>
      <c r="F664" s="966"/>
      <c r="G664" s="966"/>
      <c r="H664" s="995"/>
      <c r="I664" s="966"/>
      <c r="J664" s="966"/>
      <c r="K664" s="966"/>
      <c r="L664" s="966"/>
      <c r="M664" s="971"/>
    </row>
    <row r="665" spans="1:13">
      <c r="A665" s="966"/>
      <c r="B665" s="966"/>
      <c r="C665" s="966"/>
      <c r="D665" s="966"/>
      <c r="E665" s="966"/>
      <c r="F665" s="966"/>
      <c r="G665" s="966"/>
      <c r="H665" s="995"/>
      <c r="I665" s="966"/>
      <c r="J665" s="966"/>
      <c r="K665" s="966"/>
      <c r="L665" s="966"/>
      <c r="M665" s="971"/>
    </row>
    <row r="666" spans="1:13">
      <c r="A666" s="966"/>
      <c r="B666" s="966"/>
      <c r="C666" s="966"/>
      <c r="D666" s="966"/>
      <c r="E666" s="966"/>
      <c r="F666" s="966"/>
      <c r="G666" s="966"/>
      <c r="H666" s="995"/>
      <c r="I666" s="966"/>
      <c r="J666" s="966"/>
      <c r="K666" s="966"/>
      <c r="L666" s="966"/>
      <c r="M666" s="971"/>
    </row>
    <row r="667" spans="1:13">
      <c r="A667" s="966"/>
      <c r="B667" s="966"/>
      <c r="C667" s="966"/>
      <c r="D667" s="966"/>
      <c r="E667" s="966"/>
      <c r="F667" s="966"/>
      <c r="G667" s="966"/>
      <c r="H667" s="995"/>
      <c r="I667" s="966"/>
      <c r="J667" s="966"/>
      <c r="K667" s="966"/>
      <c r="L667" s="966"/>
      <c r="M667" s="971"/>
    </row>
    <row r="668" spans="1:13">
      <c r="A668" s="966"/>
      <c r="B668" s="966"/>
      <c r="C668" s="966"/>
      <c r="D668" s="966"/>
      <c r="E668" s="966"/>
      <c r="F668" s="966"/>
      <c r="G668" s="966"/>
      <c r="H668" s="995"/>
      <c r="I668" s="966"/>
      <c r="J668" s="966"/>
      <c r="K668" s="966"/>
      <c r="L668" s="966"/>
      <c r="M668" s="971"/>
    </row>
    <row r="669" spans="1:13">
      <c r="A669" s="966"/>
      <c r="B669" s="966"/>
      <c r="C669" s="966"/>
      <c r="D669" s="966"/>
      <c r="E669" s="966"/>
      <c r="F669" s="966"/>
      <c r="G669" s="966"/>
      <c r="H669" s="995"/>
      <c r="I669" s="966"/>
      <c r="J669" s="966"/>
      <c r="K669" s="966"/>
      <c r="L669" s="966"/>
      <c r="M669" s="971"/>
    </row>
    <row r="670" spans="1:13">
      <c r="A670" s="966"/>
      <c r="B670" s="966"/>
      <c r="C670" s="966"/>
      <c r="D670" s="966"/>
      <c r="E670" s="966"/>
      <c r="F670" s="966"/>
      <c r="G670" s="966"/>
      <c r="H670" s="995"/>
      <c r="I670" s="966"/>
      <c r="J670" s="966"/>
      <c r="K670" s="966"/>
      <c r="L670" s="966"/>
      <c r="M670" s="971"/>
    </row>
    <row r="671" spans="1:13">
      <c r="A671" s="966"/>
      <c r="B671" s="966"/>
      <c r="C671" s="966"/>
      <c r="D671" s="966"/>
      <c r="E671" s="966"/>
      <c r="F671" s="966"/>
      <c r="G671" s="966"/>
      <c r="H671" s="995"/>
      <c r="I671" s="966"/>
      <c r="J671" s="966"/>
      <c r="K671" s="966"/>
      <c r="L671" s="966"/>
      <c r="M671" s="971"/>
    </row>
    <row r="672" spans="1:13">
      <c r="A672" s="966"/>
      <c r="B672" s="966"/>
      <c r="C672" s="966"/>
      <c r="D672" s="966"/>
      <c r="E672" s="966"/>
      <c r="F672" s="966"/>
      <c r="G672" s="966"/>
      <c r="H672" s="995"/>
      <c r="I672" s="966"/>
      <c r="J672" s="966"/>
      <c r="K672" s="966"/>
      <c r="L672" s="966"/>
      <c r="M672" s="971"/>
    </row>
    <row r="673" spans="1:13">
      <c r="A673" s="966"/>
      <c r="B673" s="966"/>
      <c r="C673" s="966"/>
      <c r="D673" s="966"/>
      <c r="E673" s="966"/>
      <c r="F673" s="966"/>
      <c r="G673" s="966"/>
      <c r="H673" s="995"/>
      <c r="I673" s="966"/>
      <c r="J673" s="966"/>
      <c r="K673" s="966"/>
      <c r="L673" s="966"/>
      <c r="M673" s="971"/>
    </row>
    <row r="674" spans="1:13">
      <c r="A674" s="966"/>
      <c r="B674" s="966"/>
      <c r="C674" s="966"/>
      <c r="D674" s="966"/>
      <c r="E674" s="966"/>
      <c r="F674" s="966"/>
      <c r="G674" s="966"/>
      <c r="H674" s="995"/>
      <c r="I674" s="966"/>
      <c r="J674" s="966"/>
      <c r="K674" s="966"/>
      <c r="L674" s="966"/>
      <c r="M674" s="971"/>
    </row>
    <row r="675" spans="1:13">
      <c r="A675" s="966"/>
      <c r="B675" s="966"/>
      <c r="C675" s="966"/>
      <c r="D675" s="966"/>
      <c r="E675" s="966"/>
      <c r="F675" s="966"/>
      <c r="G675" s="966"/>
      <c r="H675" s="995"/>
      <c r="I675" s="966"/>
      <c r="J675" s="966"/>
      <c r="K675" s="966"/>
      <c r="L675" s="966"/>
      <c r="M675" s="971"/>
    </row>
    <row r="676" spans="1:13">
      <c r="A676" s="966"/>
      <c r="B676" s="966"/>
      <c r="C676" s="966"/>
      <c r="D676" s="966"/>
      <c r="E676" s="966"/>
      <c r="F676" s="966"/>
      <c r="G676" s="966"/>
      <c r="H676" s="995"/>
      <c r="I676" s="966"/>
      <c r="J676" s="966"/>
      <c r="K676" s="966"/>
      <c r="L676" s="966"/>
      <c r="M676" s="971"/>
    </row>
    <row r="677" spans="1:13">
      <c r="A677" s="966"/>
      <c r="B677" s="966"/>
      <c r="C677" s="966"/>
      <c r="D677" s="966"/>
      <c r="E677" s="966"/>
      <c r="F677" s="966"/>
      <c r="G677" s="966"/>
      <c r="H677" s="995"/>
      <c r="I677" s="966"/>
      <c r="J677" s="966"/>
      <c r="K677" s="966"/>
      <c r="L677" s="966"/>
      <c r="M677" s="971"/>
    </row>
    <row r="678" spans="1:13">
      <c r="A678" s="966"/>
      <c r="B678" s="966"/>
      <c r="C678" s="966"/>
      <c r="D678" s="966"/>
      <c r="E678" s="966"/>
      <c r="F678" s="966"/>
      <c r="G678" s="966"/>
      <c r="H678" s="995"/>
      <c r="I678" s="966"/>
      <c r="J678" s="966"/>
      <c r="K678" s="966"/>
      <c r="L678" s="966"/>
      <c r="M678" s="971"/>
    </row>
    <row r="679" spans="1:13">
      <c r="A679" s="966"/>
      <c r="B679" s="966"/>
      <c r="C679" s="966"/>
      <c r="D679" s="966"/>
      <c r="E679" s="966"/>
      <c r="F679" s="966"/>
      <c r="G679" s="966"/>
      <c r="H679" s="995"/>
      <c r="I679" s="966"/>
      <c r="J679" s="966"/>
      <c r="K679" s="966"/>
      <c r="L679" s="966"/>
      <c r="M679" s="971"/>
    </row>
    <row r="680" spans="1:13">
      <c r="A680" s="966"/>
      <c r="B680" s="966"/>
      <c r="C680" s="966"/>
      <c r="D680" s="966"/>
      <c r="E680" s="966"/>
      <c r="F680" s="966"/>
      <c r="G680" s="966"/>
      <c r="H680" s="995"/>
      <c r="I680" s="966"/>
      <c r="J680" s="966"/>
      <c r="K680" s="966"/>
      <c r="L680" s="966"/>
      <c r="M680" s="971"/>
    </row>
    <row r="681" spans="1:13">
      <c r="A681" s="966"/>
      <c r="B681" s="966"/>
      <c r="C681" s="966"/>
      <c r="D681" s="966"/>
      <c r="E681" s="966"/>
      <c r="F681" s="966"/>
      <c r="G681" s="966"/>
      <c r="H681" s="995"/>
      <c r="I681" s="966"/>
      <c r="J681" s="966"/>
      <c r="K681" s="966"/>
      <c r="L681" s="966"/>
      <c r="M681" s="971"/>
    </row>
    <row r="682" spans="1:13">
      <c r="A682" s="966"/>
      <c r="B682" s="966"/>
      <c r="C682" s="966"/>
      <c r="D682" s="966"/>
      <c r="E682" s="966"/>
      <c r="F682" s="966"/>
      <c r="G682" s="966"/>
      <c r="H682" s="995"/>
      <c r="I682" s="966"/>
      <c r="J682" s="966"/>
      <c r="K682" s="966"/>
      <c r="L682" s="966"/>
      <c r="M682" s="971"/>
    </row>
    <row r="683" spans="1:13">
      <c r="A683" s="966"/>
      <c r="B683" s="966"/>
      <c r="C683" s="966"/>
      <c r="D683" s="966"/>
      <c r="E683" s="966"/>
      <c r="F683" s="966"/>
      <c r="G683" s="966"/>
      <c r="H683" s="995"/>
      <c r="I683" s="966"/>
      <c r="J683" s="966"/>
      <c r="K683" s="966"/>
      <c r="L683" s="966"/>
      <c r="M683" s="971"/>
    </row>
    <row r="684" spans="1:13">
      <c r="A684" s="966"/>
      <c r="B684" s="966"/>
      <c r="C684" s="966"/>
      <c r="D684" s="966"/>
      <c r="E684" s="966"/>
      <c r="F684" s="966"/>
      <c r="G684" s="966"/>
      <c r="H684" s="995"/>
      <c r="I684" s="966"/>
      <c r="J684" s="966"/>
      <c r="K684" s="966"/>
      <c r="L684" s="966"/>
      <c r="M684" s="971"/>
    </row>
    <row r="685" spans="1:13">
      <c r="A685" s="966"/>
      <c r="B685" s="966"/>
      <c r="C685" s="966"/>
      <c r="D685" s="966"/>
      <c r="E685" s="966"/>
      <c r="F685" s="966"/>
      <c r="G685" s="966"/>
      <c r="H685" s="995"/>
      <c r="I685" s="966"/>
      <c r="J685" s="966"/>
      <c r="K685" s="966"/>
      <c r="L685" s="966"/>
      <c r="M685" s="971"/>
    </row>
    <row r="686" spans="1:13">
      <c r="A686" s="966"/>
      <c r="B686" s="966"/>
      <c r="C686" s="966"/>
      <c r="D686" s="966"/>
      <c r="E686" s="966"/>
      <c r="F686" s="966"/>
      <c r="G686" s="966"/>
      <c r="H686" s="995"/>
      <c r="I686" s="966"/>
      <c r="J686" s="966"/>
      <c r="K686" s="966"/>
      <c r="L686" s="966"/>
      <c r="M686" s="971"/>
    </row>
    <row r="687" spans="1:13">
      <c r="A687" s="966"/>
      <c r="B687" s="966"/>
      <c r="C687" s="966"/>
      <c r="D687" s="966"/>
      <c r="E687" s="966"/>
      <c r="F687" s="966"/>
      <c r="G687" s="966"/>
      <c r="H687" s="995"/>
      <c r="I687" s="966"/>
      <c r="J687" s="966"/>
      <c r="K687" s="966"/>
      <c r="L687" s="966"/>
      <c r="M687" s="971"/>
    </row>
    <row r="688" spans="1:13">
      <c r="A688" s="966"/>
      <c r="B688" s="966"/>
      <c r="C688" s="966"/>
      <c r="D688" s="966"/>
      <c r="E688" s="966"/>
      <c r="F688" s="966"/>
      <c r="G688" s="966"/>
      <c r="H688" s="995"/>
      <c r="I688" s="966"/>
      <c r="J688" s="966"/>
      <c r="K688" s="966"/>
      <c r="L688" s="966"/>
      <c r="M688" s="971"/>
    </row>
    <row r="689" spans="1:13">
      <c r="A689" s="966"/>
      <c r="B689" s="966"/>
      <c r="C689" s="966"/>
      <c r="D689" s="966"/>
      <c r="E689" s="966"/>
      <c r="F689" s="966"/>
      <c r="G689" s="966"/>
      <c r="H689" s="995"/>
      <c r="I689" s="966"/>
      <c r="J689" s="966"/>
      <c r="K689" s="966"/>
      <c r="L689" s="966"/>
      <c r="M689" s="971"/>
    </row>
    <row r="690" spans="1:13">
      <c r="A690" s="966"/>
      <c r="B690" s="966"/>
      <c r="C690" s="966"/>
      <c r="D690" s="966"/>
      <c r="E690" s="966"/>
      <c r="F690" s="966"/>
      <c r="G690" s="966"/>
      <c r="H690" s="995"/>
      <c r="I690" s="966"/>
      <c r="J690" s="966"/>
      <c r="K690" s="966"/>
      <c r="L690" s="966"/>
      <c r="M690" s="971"/>
    </row>
    <row r="691" spans="1:13">
      <c r="A691" s="966"/>
      <c r="B691" s="966"/>
      <c r="C691" s="966"/>
      <c r="D691" s="966"/>
      <c r="E691" s="966"/>
      <c r="F691" s="966"/>
      <c r="G691" s="966"/>
      <c r="H691" s="995"/>
      <c r="I691" s="966"/>
      <c r="J691" s="966"/>
      <c r="K691" s="966"/>
      <c r="L691" s="966"/>
      <c r="M691" s="971"/>
    </row>
    <row r="692" spans="1:13">
      <c r="A692" s="966"/>
      <c r="B692" s="966"/>
      <c r="C692" s="966"/>
      <c r="D692" s="966"/>
      <c r="E692" s="966"/>
      <c r="F692" s="966"/>
      <c r="G692" s="966"/>
      <c r="H692" s="995"/>
      <c r="I692" s="966"/>
      <c r="J692" s="966"/>
      <c r="K692" s="966"/>
      <c r="L692" s="966"/>
      <c r="M692" s="971"/>
    </row>
    <row r="693" spans="1:13">
      <c r="A693" s="966"/>
      <c r="B693" s="966"/>
      <c r="C693" s="966"/>
      <c r="D693" s="966"/>
      <c r="E693" s="966"/>
      <c r="F693" s="966"/>
      <c r="G693" s="966"/>
      <c r="H693" s="995"/>
      <c r="I693" s="966"/>
      <c r="J693" s="966"/>
      <c r="K693" s="966"/>
      <c r="L693" s="966"/>
      <c r="M693" s="971"/>
    </row>
    <row r="694" spans="1:13">
      <c r="A694" s="966"/>
      <c r="B694" s="966"/>
      <c r="C694" s="966"/>
      <c r="D694" s="966"/>
      <c r="E694" s="966"/>
      <c r="F694" s="966"/>
      <c r="G694" s="966"/>
      <c r="H694" s="995"/>
      <c r="I694" s="966"/>
      <c r="J694" s="966"/>
      <c r="K694" s="966"/>
      <c r="L694" s="966"/>
      <c r="M694" s="971"/>
    </row>
    <row r="695" spans="1:13">
      <c r="A695" s="966"/>
      <c r="B695" s="966"/>
      <c r="C695" s="966"/>
      <c r="D695" s="966"/>
      <c r="E695" s="966"/>
      <c r="F695" s="966"/>
      <c r="G695" s="966"/>
      <c r="H695" s="995"/>
      <c r="I695" s="966"/>
      <c r="J695" s="966"/>
      <c r="K695" s="966"/>
      <c r="L695" s="966"/>
      <c r="M695" s="971"/>
    </row>
    <row r="696" spans="1:13">
      <c r="A696" s="966"/>
      <c r="B696" s="966"/>
      <c r="C696" s="966"/>
      <c r="D696" s="966"/>
      <c r="E696" s="966"/>
      <c r="F696" s="966"/>
      <c r="G696" s="966"/>
      <c r="H696" s="995"/>
      <c r="I696" s="966"/>
      <c r="J696" s="966"/>
      <c r="K696" s="966"/>
      <c r="L696" s="966"/>
      <c r="M696" s="971"/>
    </row>
    <row r="697" spans="1:13">
      <c r="A697" s="966"/>
      <c r="B697" s="966"/>
      <c r="C697" s="966"/>
      <c r="D697" s="966"/>
      <c r="E697" s="966"/>
      <c r="F697" s="966"/>
      <c r="G697" s="966"/>
      <c r="H697" s="995"/>
      <c r="I697" s="966"/>
      <c r="J697" s="966"/>
      <c r="K697" s="966"/>
      <c r="L697" s="966"/>
      <c r="M697" s="971"/>
    </row>
    <row r="698" spans="1:13">
      <c r="A698" s="966"/>
      <c r="B698" s="966"/>
      <c r="C698" s="966"/>
      <c r="D698" s="966"/>
      <c r="E698" s="966"/>
      <c r="F698" s="966"/>
      <c r="G698" s="966"/>
      <c r="H698" s="995"/>
      <c r="I698" s="966"/>
      <c r="J698" s="966"/>
      <c r="K698" s="966"/>
      <c r="L698" s="966"/>
      <c r="M698" s="971"/>
    </row>
    <row r="699" spans="1:13">
      <c r="A699" s="966"/>
      <c r="B699" s="966"/>
      <c r="C699" s="966"/>
      <c r="D699" s="966"/>
      <c r="E699" s="966"/>
      <c r="F699" s="966"/>
      <c r="G699" s="966"/>
      <c r="H699" s="995"/>
      <c r="I699" s="966"/>
      <c r="J699" s="966"/>
      <c r="K699" s="966"/>
      <c r="L699" s="966"/>
      <c r="M699" s="971"/>
    </row>
    <row r="700" spans="1:13">
      <c r="A700" s="966"/>
      <c r="B700" s="966"/>
      <c r="C700" s="966"/>
      <c r="D700" s="966"/>
      <c r="E700" s="966"/>
      <c r="F700" s="966"/>
      <c r="G700" s="966"/>
      <c r="H700" s="995"/>
      <c r="I700" s="966"/>
      <c r="J700" s="966"/>
      <c r="K700" s="966"/>
      <c r="L700" s="966"/>
      <c r="M700" s="971"/>
    </row>
    <row r="701" spans="1:13">
      <c r="A701" s="966"/>
      <c r="B701" s="966"/>
      <c r="C701" s="966"/>
      <c r="D701" s="966"/>
      <c r="E701" s="966"/>
      <c r="F701" s="966"/>
      <c r="G701" s="966"/>
      <c r="H701" s="995"/>
      <c r="I701" s="966"/>
      <c r="J701" s="966"/>
      <c r="K701" s="966"/>
      <c r="L701" s="966"/>
      <c r="M701" s="971"/>
    </row>
    <row r="702" spans="1:13">
      <c r="A702" s="966"/>
      <c r="B702" s="966"/>
      <c r="C702" s="966"/>
      <c r="D702" s="966"/>
      <c r="E702" s="966"/>
      <c r="F702" s="966"/>
      <c r="G702" s="966"/>
      <c r="H702" s="995"/>
      <c r="I702" s="966"/>
      <c r="J702" s="966"/>
      <c r="K702" s="966"/>
      <c r="L702" s="966"/>
      <c r="M702" s="971"/>
    </row>
    <row r="703" spans="1:13">
      <c r="A703" s="966"/>
      <c r="B703" s="966"/>
      <c r="C703" s="966"/>
      <c r="D703" s="966"/>
      <c r="E703" s="966"/>
      <c r="F703" s="966"/>
      <c r="G703" s="966"/>
      <c r="H703" s="995"/>
      <c r="I703" s="966"/>
      <c r="J703" s="966"/>
      <c r="K703" s="966"/>
      <c r="L703" s="966"/>
      <c r="M703" s="971"/>
    </row>
    <row r="704" spans="1:13">
      <c r="A704" s="966"/>
      <c r="B704" s="966"/>
      <c r="C704" s="966"/>
      <c r="D704" s="966"/>
      <c r="E704" s="966"/>
      <c r="F704" s="966"/>
      <c r="G704" s="966"/>
      <c r="H704" s="995"/>
      <c r="I704" s="966"/>
      <c r="J704" s="966"/>
      <c r="K704" s="966"/>
      <c r="L704" s="966"/>
      <c r="M704" s="971"/>
    </row>
    <row r="705" spans="1:13">
      <c r="A705" s="966"/>
      <c r="B705" s="966"/>
      <c r="C705" s="966"/>
      <c r="D705" s="966"/>
      <c r="E705" s="966"/>
      <c r="F705" s="966"/>
      <c r="G705" s="966"/>
      <c r="H705" s="995"/>
      <c r="I705" s="966"/>
      <c r="J705" s="966"/>
      <c r="K705" s="966"/>
      <c r="L705" s="966"/>
      <c r="M705" s="971"/>
    </row>
    <row r="706" spans="1:13">
      <c r="A706" s="966"/>
      <c r="B706" s="966"/>
      <c r="C706" s="966"/>
      <c r="D706" s="966"/>
      <c r="E706" s="966"/>
      <c r="F706" s="966"/>
      <c r="G706" s="966"/>
      <c r="H706" s="995"/>
      <c r="I706" s="966"/>
      <c r="J706" s="966"/>
      <c r="K706" s="966"/>
      <c r="L706" s="966"/>
      <c r="M706" s="971"/>
    </row>
    <row r="707" spans="1:13">
      <c r="A707" s="966"/>
      <c r="B707" s="966"/>
      <c r="C707" s="966"/>
      <c r="D707" s="966"/>
      <c r="E707" s="966"/>
      <c r="F707" s="966"/>
      <c r="G707" s="966"/>
      <c r="H707" s="995"/>
      <c r="I707" s="966"/>
      <c r="J707" s="966"/>
      <c r="K707" s="966"/>
      <c r="L707" s="966"/>
      <c r="M707" s="971"/>
    </row>
    <row r="708" spans="1:13">
      <c r="A708" s="966"/>
      <c r="B708" s="966"/>
      <c r="C708" s="966"/>
      <c r="D708" s="966"/>
      <c r="E708" s="966"/>
      <c r="F708" s="966"/>
      <c r="G708" s="966"/>
      <c r="H708" s="995"/>
      <c r="I708" s="966"/>
      <c r="J708" s="966"/>
      <c r="K708" s="966"/>
      <c r="L708" s="966"/>
      <c r="M708" s="971"/>
    </row>
    <row r="709" spans="1:13">
      <c r="A709" s="966"/>
      <c r="B709" s="966"/>
      <c r="C709" s="966"/>
      <c r="D709" s="966"/>
      <c r="E709" s="966"/>
      <c r="F709" s="966"/>
      <c r="G709" s="966"/>
      <c r="H709" s="995"/>
      <c r="I709" s="966"/>
      <c r="J709" s="966"/>
      <c r="K709" s="966"/>
      <c r="L709" s="966"/>
      <c r="M709" s="971"/>
    </row>
    <row r="710" spans="1:13">
      <c r="A710" s="966"/>
      <c r="B710" s="966"/>
      <c r="C710" s="966"/>
      <c r="D710" s="966"/>
      <c r="E710" s="966"/>
      <c r="F710" s="966"/>
      <c r="G710" s="966"/>
      <c r="H710" s="995"/>
      <c r="I710" s="966"/>
      <c r="J710" s="966"/>
      <c r="K710" s="966"/>
      <c r="L710" s="966"/>
      <c r="M710" s="971"/>
    </row>
    <row r="711" spans="1:13">
      <c r="A711" s="966"/>
      <c r="B711" s="966"/>
      <c r="C711" s="966"/>
      <c r="D711" s="966"/>
      <c r="E711" s="966"/>
      <c r="F711" s="966"/>
      <c r="G711" s="966"/>
      <c r="H711" s="995"/>
      <c r="I711" s="966"/>
      <c r="J711" s="966"/>
      <c r="K711" s="966"/>
      <c r="L711" s="966"/>
      <c r="M711" s="971"/>
    </row>
    <row r="712" spans="1:13">
      <c r="A712" s="966"/>
      <c r="B712" s="966"/>
      <c r="C712" s="966"/>
      <c r="D712" s="966"/>
      <c r="E712" s="966"/>
      <c r="F712" s="966"/>
      <c r="G712" s="966"/>
      <c r="H712" s="995"/>
      <c r="I712" s="966"/>
      <c r="J712" s="966"/>
      <c r="K712" s="966"/>
      <c r="L712" s="966"/>
      <c r="M712" s="971"/>
    </row>
    <row r="713" spans="1:13">
      <c r="A713" s="966"/>
      <c r="B713" s="966"/>
      <c r="C713" s="966"/>
      <c r="D713" s="966"/>
      <c r="E713" s="966"/>
      <c r="F713" s="966"/>
      <c r="G713" s="966"/>
      <c r="H713" s="995"/>
      <c r="I713" s="966"/>
      <c r="J713" s="966"/>
      <c r="K713" s="966"/>
      <c r="L713" s="966"/>
      <c r="M713" s="971"/>
    </row>
    <row r="714" spans="1:13">
      <c r="A714" s="966"/>
      <c r="B714" s="966"/>
      <c r="C714" s="966"/>
      <c r="D714" s="966"/>
      <c r="E714" s="966"/>
      <c r="F714" s="966"/>
      <c r="G714" s="966"/>
      <c r="H714" s="995"/>
      <c r="I714" s="966"/>
      <c r="J714" s="966"/>
      <c r="K714" s="966"/>
      <c r="L714" s="966"/>
      <c r="M714" s="971"/>
    </row>
    <row r="715" spans="1:13">
      <c r="A715" s="966"/>
      <c r="B715" s="966"/>
      <c r="C715" s="966"/>
      <c r="D715" s="966"/>
      <c r="E715" s="966"/>
      <c r="F715" s="966"/>
      <c r="G715" s="966"/>
      <c r="H715" s="995"/>
      <c r="I715" s="966"/>
      <c r="J715" s="966"/>
      <c r="K715" s="966"/>
      <c r="L715" s="966"/>
      <c r="M715" s="971"/>
    </row>
    <row r="716" spans="1:13">
      <c r="A716" s="966"/>
      <c r="B716" s="966"/>
      <c r="C716" s="966"/>
      <c r="D716" s="966"/>
      <c r="E716" s="966"/>
      <c r="F716" s="966"/>
      <c r="G716" s="966"/>
      <c r="H716" s="995"/>
      <c r="I716" s="966"/>
      <c r="J716" s="966"/>
      <c r="K716" s="966"/>
      <c r="L716" s="966"/>
      <c r="M716" s="971"/>
    </row>
    <row r="717" spans="1:13">
      <c r="A717" s="966"/>
      <c r="B717" s="966"/>
      <c r="C717" s="966"/>
      <c r="D717" s="966"/>
      <c r="E717" s="966"/>
      <c r="F717" s="966"/>
      <c r="G717" s="966"/>
      <c r="H717" s="995"/>
      <c r="I717" s="966"/>
      <c r="J717" s="966"/>
      <c r="K717" s="966"/>
      <c r="L717" s="966"/>
      <c r="M717" s="971"/>
    </row>
    <row r="718" spans="1:13">
      <c r="A718" s="966"/>
      <c r="B718" s="966"/>
      <c r="C718" s="966"/>
      <c r="D718" s="966"/>
      <c r="E718" s="966"/>
      <c r="F718" s="966"/>
      <c r="G718" s="966"/>
      <c r="H718" s="995"/>
      <c r="I718" s="966"/>
      <c r="J718" s="966"/>
      <c r="K718" s="966"/>
      <c r="L718" s="966"/>
      <c r="M718" s="971"/>
    </row>
    <row r="719" spans="1:13">
      <c r="A719" s="966"/>
      <c r="B719" s="966"/>
      <c r="C719" s="966"/>
      <c r="D719" s="966"/>
      <c r="E719" s="966"/>
      <c r="F719" s="966"/>
      <c r="G719" s="966"/>
      <c r="H719" s="995"/>
      <c r="I719" s="966"/>
      <c r="J719" s="966"/>
      <c r="K719" s="966"/>
      <c r="L719" s="966"/>
      <c r="M719" s="971"/>
    </row>
    <row r="720" spans="1:13">
      <c r="A720" s="966"/>
      <c r="B720" s="966"/>
      <c r="C720" s="966"/>
      <c r="D720" s="966"/>
      <c r="E720" s="966"/>
      <c r="F720" s="966"/>
      <c r="G720" s="966"/>
      <c r="H720" s="995"/>
      <c r="I720" s="966"/>
      <c r="J720" s="966"/>
      <c r="K720" s="966"/>
      <c r="L720" s="966"/>
      <c r="M720" s="971"/>
    </row>
    <row r="721" spans="1:13">
      <c r="A721" s="966"/>
      <c r="B721" s="966"/>
      <c r="C721" s="966"/>
      <c r="D721" s="966"/>
      <c r="E721" s="966"/>
      <c r="F721" s="966"/>
      <c r="G721" s="966"/>
      <c r="H721" s="995"/>
      <c r="I721" s="966"/>
      <c r="J721" s="966"/>
      <c r="K721" s="966"/>
      <c r="L721" s="966"/>
      <c r="M721" s="971"/>
    </row>
    <row r="722" spans="1:13">
      <c r="A722" s="966"/>
      <c r="B722" s="966"/>
      <c r="C722" s="966"/>
      <c r="D722" s="966"/>
      <c r="E722" s="966"/>
      <c r="F722" s="966"/>
      <c r="G722" s="966"/>
      <c r="H722" s="995"/>
      <c r="I722" s="966"/>
      <c r="J722" s="966"/>
      <c r="K722" s="966"/>
      <c r="L722" s="966"/>
      <c r="M722" s="971"/>
    </row>
    <row r="723" spans="1:13">
      <c r="A723" s="966"/>
      <c r="B723" s="966"/>
      <c r="C723" s="966"/>
      <c r="D723" s="966"/>
      <c r="E723" s="966"/>
      <c r="F723" s="966"/>
      <c r="G723" s="966"/>
      <c r="H723" s="995"/>
      <c r="I723" s="966"/>
      <c r="J723" s="966"/>
      <c r="K723" s="966"/>
      <c r="L723" s="966"/>
      <c r="M723" s="971"/>
    </row>
    <row r="724" spans="1:13">
      <c r="A724" s="966"/>
      <c r="B724" s="966"/>
      <c r="C724" s="966"/>
      <c r="D724" s="966"/>
      <c r="E724" s="966"/>
      <c r="F724" s="966"/>
      <c r="G724" s="966"/>
      <c r="H724" s="995"/>
      <c r="I724" s="966"/>
      <c r="J724" s="966"/>
      <c r="K724" s="966"/>
      <c r="L724" s="966"/>
      <c r="M724" s="971"/>
    </row>
    <row r="725" spans="1:13">
      <c r="A725" s="966"/>
      <c r="B725" s="966"/>
      <c r="C725" s="966"/>
      <c r="D725" s="966"/>
      <c r="E725" s="966"/>
      <c r="F725" s="966"/>
      <c r="G725" s="966"/>
      <c r="H725" s="995"/>
      <c r="I725" s="966"/>
      <c r="J725" s="966"/>
      <c r="K725" s="966"/>
      <c r="L725" s="966"/>
      <c r="M725" s="971"/>
    </row>
    <row r="726" spans="1:13">
      <c r="A726" s="966"/>
      <c r="B726" s="966"/>
      <c r="C726" s="966"/>
      <c r="D726" s="966"/>
      <c r="E726" s="966"/>
      <c r="F726" s="966"/>
      <c r="G726" s="966"/>
      <c r="H726" s="995"/>
      <c r="I726" s="966"/>
      <c r="J726" s="966"/>
      <c r="K726" s="966"/>
      <c r="L726" s="966"/>
      <c r="M726" s="971"/>
    </row>
    <row r="727" spans="1:13">
      <c r="A727" s="966"/>
      <c r="B727" s="966"/>
      <c r="C727" s="966"/>
      <c r="D727" s="966"/>
      <c r="E727" s="966"/>
      <c r="F727" s="966"/>
      <c r="G727" s="966"/>
      <c r="H727" s="995"/>
      <c r="I727" s="966"/>
      <c r="J727" s="966"/>
      <c r="K727" s="966"/>
      <c r="L727" s="966"/>
      <c r="M727" s="971"/>
    </row>
    <row r="728" spans="1:13">
      <c r="A728" s="966"/>
      <c r="B728" s="966"/>
      <c r="C728" s="966"/>
      <c r="D728" s="966"/>
      <c r="E728" s="966"/>
      <c r="F728" s="966"/>
      <c r="G728" s="966"/>
      <c r="H728" s="995"/>
      <c r="I728" s="966"/>
      <c r="J728" s="966"/>
      <c r="K728" s="966"/>
      <c r="L728" s="966"/>
      <c r="M728" s="971"/>
    </row>
    <row r="729" spans="1:13">
      <c r="A729" s="966"/>
      <c r="B729" s="966"/>
      <c r="C729" s="966"/>
      <c r="D729" s="966"/>
      <c r="E729" s="966"/>
      <c r="F729" s="966"/>
      <c r="G729" s="966"/>
      <c r="H729" s="995"/>
      <c r="I729" s="966"/>
      <c r="J729" s="966"/>
      <c r="K729" s="966"/>
      <c r="L729" s="966"/>
      <c r="M729" s="971"/>
    </row>
    <row r="730" spans="1:13">
      <c r="A730" s="966"/>
      <c r="B730" s="966"/>
      <c r="C730" s="966"/>
      <c r="D730" s="966"/>
      <c r="E730" s="966"/>
      <c r="F730" s="966"/>
      <c r="G730" s="966"/>
      <c r="H730" s="995"/>
      <c r="I730" s="966"/>
      <c r="J730" s="966"/>
      <c r="K730" s="966"/>
      <c r="L730" s="966"/>
      <c r="M730" s="971"/>
    </row>
    <row r="731" spans="1:13">
      <c r="A731" s="966"/>
      <c r="B731" s="966"/>
      <c r="C731" s="966"/>
      <c r="D731" s="966"/>
      <c r="E731" s="966"/>
      <c r="F731" s="966"/>
      <c r="G731" s="966"/>
      <c r="H731" s="995"/>
      <c r="I731" s="966"/>
      <c r="J731" s="966"/>
      <c r="K731" s="966"/>
      <c r="L731" s="966"/>
      <c r="M731" s="971"/>
    </row>
    <row r="732" spans="1:13">
      <c r="A732" s="966"/>
      <c r="B732" s="966"/>
      <c r="C732" s="966"/>
      <c r="D732" s="966"/>
      <c r="E732" s="966"/>
      <c r="F732" s="966"/>
      <c r="G732" s="966"/>
      <c r="H732" s="995"/>
      <c r="I732" s="966"/>
      <c r="J732" s="966"/>
      <c r="K732" s="966"/>
      <c r="L732" s="966"/>
      <c r="M732" s="971"/>
    </row>
    <row r="733" spans="1:13">
      <c r="A733" s="966"/>
      <c r="B733" s="966"/>
      <c r="C733" s="966"/>
      <c r="D733" s="966"/>
      <c r="E733" s="966"/>
      <c r="F733" s="966"/>
      <c r="G733" s="966"/>
      <c r="H733" s="995"/>
      <c r="I733" s="966"/>
      <c r="J733" s="966"/>
      <c r="K733" s="966"/>
      <c r="L733" s="966"/>
      <c r="M733" s="971"/>
    </row>
    <row r="734" spans="1:13">
      <c r="A734" s="966"/>
      <c r="B734" s="966"/>
      <c r="C734" s="966"/>
      <c r="D734" s="966"/>
      <c r="E734" s="966"/>
      <c r="F734" s="966"/>
      <c r="G734" s="966"/>
      <c r="H734" s="995"/>
      <c r="I734" s="966"/>
      <c r="J734" s="966"/>
      <c r="K734" s="966"/>
      <c r="L734" s="966"/>
      <c r="M734" s="971"/>
    </row>
    <row r="735" spans="1:13">
      <c r="A735" s="966"/>
      <c r="B735" s="966"/>
      <c r="C735" s="966"/>
      <c r="D735" s="966"/>
      <c r="E735" s="966"/>
      <c r="F735" s="966"/>
      <c r="G735" s="966"/>
      <c r="H735" s="995"/>
      <c r="I735" s="966"/>
      <c r="J735" s="966"/>
      <c r="K735" s="966"/>
      <c r="L735" s="966"/>
      <c r="M735" s="971"/>
    </row>
    <row r="736" spans="1:13">
      <c r="A736" s="966"/>
      <c r="B736" s="966"/>
      <c r="C736" s="966"/>
      <c r="D736" s="966"/>
      <c r="E736" s="966"/>
      <c r="F736" s="966"/>
      <c r="G736" s="966"/>
      <c r="H736" s="995"/>
      <c r="I736" s="966"/>
      <c r="J736" s="966"/>
      <c r="K736" s="966"/>
      <c r="L736" s="966"/>
      <c r="M736" s="971"/>
    </row>
    <row r="737" spans="1:13">
      <c r="A737" s="966"/>
      <c r="B737" s="966"/>
      <c r="C737" s="966"/>
      <c r="D737" s="966"/>
      <c r="E737" s="966"/>
      <c r="F737" s="966"/>
      <c r="G737" s="966"/>
      <c r="H737" s="995"/>
      <c r="I737" s="966"/>
      <c r="J737" s="966"/>
      <c r="K737" s="966"/>
      <c r="L737" s="966"/>
      <c r="M737" s="971"/>
    </row>
    <row r="738" spans="1:13">
      <c r="A738" s="966"/>
      <c r="B738" s="966"/>
      <c r="C738" s="966"/>
      <c r="D738" s="966"/>
      <c r="E738" s="966"/>
      <c r="F738" s="966"/>
      <c r="G738" s="966"/>
      <c r="H738" s="995"/>
      <c r="I738" s="966"/>
      <c r="J738" s="966"/>
      <c r="K738" s="966"/>
      <c r="L738" s="966"/>
      <c r="M738" s="971"/>
    </row>
    <row r="739" spans="1:13">
      <c r="A739" s="966"/>
      <c r="B739" s="966"/>
      <c r="C739" s="966"/>
      <c r="D739" s="966"/>
      <c r="E739" s="966"/>
      <c r="F739" s="966"/>
      <c r="G739" s="966"/>
      <c r="H739" s="995"/>
      <c r="I739" s="966"/>
      <c r="J739" s="966"/>
      <c r="K739" s="966"/>
      <c r="L739" s="966"/>
      <c r="M739" s="971"/>
    </row>
    <row r="740" spans="1:13">
      <c r="A740" s="966"/>
      <c r="B740" s="966"/>
      <c r="C740" s="966"/>
      <c r="D740" s="966"/>
      <c r="E740" s="966"/>
      <c r="F740" s="966"/>
      <c r="G740" s="966"/>
      <c r="H740" s="995"/>
      <c r="I740" s="966"/>
      <c r="J740" s="966"/>
      <c r="K740" s="966"/>
      <c r="L740" s="966"/>
      <c r="M740" s="971"/>
    </row>
    <row r="741" spans="1:13">
      <c r="A741" s="966"/>
      <c r="B741" s="966"/>
      <c r="C741" s="966"/>
      <c r="D741" s="966"/>
      <c r="E741" s="966"/>
      <c r="F741" s="966"/>
      <c r="G741" s="966"/>
      <c r="H741" s="995"/>
      <c r="I741" s="966"/>
      <c r="J741" s="966"/>
      <c r="K741" s="966"/>
      <c r="L741" s="966"/>
      <c r="M741" s="971"/>
    </row>
    <row r="742" spans="1:13">
      <c r="A742" s="966"/>
      <c r="B742" s="966"/>
      <c r="C742" s="966"/>
      <c r="D742" s="966"/>
      <c r="E742" s="966"/>
      <c r="F742" s="966"/>
      <c r="G742" s="966"/>
      <c r="H742" s="995"/>
      <c r="I742" s="966"/>
      <c r="J742" s="966"/>
      <c r="K742" s="966"/>
      <c r="L742" s="966"/>
      <c r="M742" s="971"/>
    </row>
    <row r="743" spans="1:13">
      <c r="A743" s="966"/>
      <c r="B743" s="966"/>
      <c r="C743" s="966"/>
      <c r="D743" s="966"/>
      <c r="E743" s="966"/>
      <c r="F743" s="966"/>
      <c r="G743" s="966"/>
      <c r="H743" s="995"/>
      <c r="I743" s="966"/>
      <c r="J743" s="966"/>
      <c r="K743" s="966"/>
      <c r="L743" s="966"/>
      <c r="M743" s="971"/>
    </row>
    <row r="744" spans="1:13">
      <c r="A744" s="966"/>
      <c r="B744" s="966"/>
      <c r="C744" s="966"/>
      <c r="D744" s="966"/>
      <c r="E744" s="966"/>
      <c r="F744" s="966"/>
      <c r="G744" s="966"/>
      <c r="H744" s="995"/>
      <c r="I744" s="966"/>
      <c r="J744" s="966"/>
      <c r="K744" s="966"/>
      <c r="L744" s="966"/>
      <c r="M744" s="971"/>
    </row>
    <row r="745" spans="1:13">
      <c r="A745" s="966"/>
      <c r="B745" s="966"/>
      <c r="C745" s="966"/>
      <c r="D745" s="966"/>
      <c r="E745" s="966"/>
      <c r="F745" s="966"/>
      <c r="G745" s="966"/>
      <c r="H745" s="995"/>
      <c r="I745" s="966"/>
      <c r="J745" s="966"/>
      <c r="K745" s="966"/>
      <c r="L745" s="966"/>
      <c r="M745" s="971"/>
    </row>
    <row r="746" spans="1:13">
      <c r="A746" s="966"/>
      <c r="B746" s="966"/>
      <c r="C746" s="966"/>
      <c r="D746" s="966"/>
      <c r="E746" s="966"/>
      <c r="F746" s="966"/>
      <c r="G746" s="966"/>
      <c r="H746" s="995"/>
      <c r="I746" s="966"/>
      <c r="J746" s="966"/>
      <c r="K746" s="966"/>
      <c r="L746" s="966"/>
      <c r="M746" s="971"/>
    </row>
    <row r="747" spans="1:13">
      <c r="A747" s="966"/>
      <c r="B747" s="966"/>
      <c r="C747" s="966"/>
      <c r="D747" s="966"/>
      <c r="E747" s="966"/>
      <c r="F747" s="966"/>
      <c r="G747" s="966"/>
      <c r="H747" s="995"/>
      <c r="I747" s="966"/>
      <c r="J747" s="966"/>
      <c r="K747" s="966"/>
      <c r="L747" s="966"/>
      <c r="M747" s="971"/>
    </row>
    <row r="748" spans="1:13">
      <c r="A748" s="966"/>
      <c r="B748" s="966"/>
      <c r="C748" s="966"/>
      <c r="D748" s="966"/>
      <c r="E748" s="966"/>
      <c r="F748" s="966"/>
      <c r="G748" s="966"/>
      <c r="H748" s="995"/>
      <c r="I748" s="966"/>
      <c r="J748" s="966"/>
      <c r="K748" s="966"/>
      <c r="L748" s="966"/>
      <c r="M748" s="971"/>
    </row>
    <row r="749" spans="1:13">
      <c r="A749" s="966"/>
      <c r="B749" s="966"/>
      <c r="C749" s="966"/>
      <c r="D749" s="966"/>
      <c r="E749" s="966"/>
      <c r="F749" s="966"/>
      <c r="G749" s="966"/>
      <c r="H749" s="995"/>
      <c r="I749" s="966"/>
      <c r="J749" s="966"/>
      <c r="K749" s="966"/>
      <c r="L749" s="966"/>
      <c r="M749" s="971"/>
    </row>
    <row r="750" spans="1:13">
      <c r="A750" s="966"/>
      <c r="B750" s="966"/>
      <c r="C750" s="966"/>
      <c r="D750" s="966"/>
      <c r="E750" s="966"/>
      <c r="F750" s="966"/>
      <c r="G750" s="966"/>
      <c r="H750" s="995"/>
      <c r="I750" s="966"/>
      <c r="J750" s="966"/>
      <c r="K750" s="966"/>
      <c r="L750" s="966"/>
      <c r="M750" s="971"/>
    </row>
    <row r="751" spans="1:13">
      <c r="A751" s="966"/>
      <c r="B751" s="966"/>
      <c r="C751" s="966"/>
      <c r="D751" s="966"/>
      <c r="E751" s="966"/>
      <c r="F751" s="966"/>
      <c r="G751" s="966"/>
      <c r="H751" s="995"/>
      <c r="I751" s="966"/>
      <c r="J751" s="966"/>
      <c r="K751" s="966"/>
      <c r="L751" s="966"/>
      <c r="M751" s="971"/>
    </row>
    <row r="752" spans="1:13">
      <c r="A752" s="966"/>
      <c r="B752" s="966"/>
      <c r="C752" s="966"/>
      <c r="D752" s="966"/>
      <c r="E752" s="966"/>
      <c r="F752" s="966"/>
      <c r="G752" s="966"/>
      <c r="H752" s="995"/>
      <c r="I752" s="966"/>
      <c r="J752" s="966"/>
      <c r="K752" s="966"/>
      <c r="L752" s="966"/>
      <c r="M752" s="971"/>
    </row>
    <row r="753" spans="1:13">
      <c r="A753" s="966"/>
      <c r="B753" s="966"/>
      <c r="C753" s="966"/>
      <c r="D753" s="966"/>
      <c r="E753" s="966"/>
      <c r="F753" s="966"/>
      <c r="G753" s="966"/>
      <c r="H753" s="995"/>
      <c r="I753" s="966"/>
      <c r="J753" s="966"/>
      <c r="K753" s="966"/>
      <c r="L753" s="966"/>
      <c r="M753" s="971"/>
    </row>
    <row r="754" spans="1:13">
      <c r="A754" s="966"/>
      <c r="B754" s="966"/>
      <c r="C754" s="966"/>
      <c r="D754" s="966"/>
      <c r="E754" s="966"/>
      <c r="F754" s="966"/>
      <c r="G754" s="966"/>
      <c r="H754" s="995"/>
      <c r="I754" s="966"/>
      <c r="J754" s="966"/>
      <c r="K754" s="966"/>
      <c r="L754" s="966"/>
      <c r="M754" s="971"/>
    </row>
    <row r="755" spans="1:13">
      <c r="A755" s="966"/>
      <c r="B755" s="966"/>
      <c r="C755" s="966"/>
      <c r="D755" s="966"/>
      <c r="E755" s="966"/>
      <c r="F755" s="966"/>
      <c r="G755" s="966"/>
      <c r="H755" s="995"/>
      <c r="I755" s="966"/>
      <c r="J755" s="966"/>
      <c r="K755" s="966"/>
      <c r="L755" s="966"/>
      <c r="M755" s="971"/>
    </row>
    <row r="756" spans="1:13">
      <c r="A756" s="966"/>
      <c r="B756" s="966"/>
      <c r="C756" s="966"/>
      <c r="D756" s="966"/>
      <c r="E756" s="966"/>
      <c r="F756" s="966"/>
      <c r="G756" s="966"/>
      <c r="H756" s="995"/>
      <c r="I756" s="966"/>
      <c r="J756" s="966"/>
      <c r="K756" s="966"/>
      <c r="L756" s="966"/>
      <c r="M756" s="971"/>
    </row>
    <row r="757" spans="1:13">
      <c r="A757" s="966"/>
      <c r="B757" s="966"/>
      <c r="C757" s="966"/>
      <c r="D757" s="966"/>
      <c r="E757" s="966"/>
      <c r="F757" s="966"/>
      <c r="G757" s="966"/>
      <c r="H757" s="995"/>
      <c r="I757" s="966"/>
      <c r="J757" s="966"/>
      <c r="K757" s="966"/>
      <c r="L757" s="966"/>
      <c r="M757" s="971"/>
    </row>
    <row r="758" spans="1:13">
      <c r="A758" s="966"/>
      <c r="B758" s="966"/>
      <c r="C758" s="966"/>
      <c r="D758" s="966"/>
      <c r="E758" s="966"/>
      <c r="F758" s="966"/>
      <c r="G758" s="966"/>
      <c r="H758" s="995"/>
      <c r="I758" s="966"/>
      <c r="J758" s="966"/>
      <c r="K758" s="966"/>
      <c r="L758" s="966"/>
      <c r="M758" s="971"/>
    </row>
    <row r="759" spans="1:13">
      <c r="A759" s="966"/>
      <c r="B759" s="966"/>
      <c r="C759" s="966"/>
      <c r="D759" s="966"/>
      <c r="E759" s="966"/>
      <c r="F759" s="966"/>
      <c r="G759" s="966"/>
      <c r="H759" s="995"/>
      <c r="I759" s="966"/>
      <c r="J759" s="966"/>
      <c r="K759" s="966"/>
      <c r="L759" s="966"/>
      <c r="M759" s="971"/>
    </row>
    <row r="760" spans="1:13">
      <c r="A760" s="966"/>
      <c r="B760" s="966"/>
      <c r="C760" s="966"/>
      <c r="D760" s="966"/>
      <c r="E760" s="966"/>
      <c r="F760" s="966"/>
      <c r="G760" s="966"/>
      <c r="H760" s="995"/>
      <c r="I760" s="966"/>
      <c r="J760" s="966"/>
      <c r="K760" s="966"/>
      <c r="L760" s="966"/>
      <c r="M760" s="971"/>
    </row>
    <row r="761" spans="1:13">
      <c r="A761" s="966"/>
      <c r="B761" s="966"/>
      <c r="C761" s="966"/>
      <c r="D761" s="966"/>
      <c r="E761" s="966"/>
      <c r="F761" s="966"/>
      <c r="G761" s="966"/>
      <c r="H761" s="995"/>
      <c r="I761" s="966"/>
      <c r="J761" s="966"/>
      <c r="K761" s="966"/>
      <c r="L761" s="966"/>
      <c r="M761" s="971"/>
    </row>
    <row r="762" spans="1:13">
      <c r="A762" s="966"/>
      <c r="B762" s="966"/>
      <c r="C762" s="966"/>
      <c r="D762" s="966"/>
      <c r="E762" s="966"/>
      <c r="F762" s="966"/>
      <c r="G762" s="966"/>
      <c r="H762" s="995"/>
      <c r="I762" s="966"/>
      <c r="J762" s="966"/>
      <c r="K762" s="966"/>
      <c r="L762" s="966"/>
      <c r="M762" s="971"/>
    </row>
    <row r="763" spans="1:13">
      <c r="A763" s="966"/>
      <c r="B763" s="966"/>
      <c r="C763" s="966"/>
      <c r="D763" s="966"/>
      <c r="E763" s="966"/>
      <c r="F763" s="966"/>
      <c r="G763" s="966"/>
      <c r="H763" s="995"/>
      <c r="I763" s="966"/>
      <c r="J763" s="966"/>
      <c r="K763" s="966"/>
      <c r="L763" s="966"/>
      <c r="M763" s="971"/>
    </row>
    <row r="764" spans="1:13">
      <c r="A764" s="966"/>
      <c r="B764" s="966"/>
      <c r="C764" s="966"/>
      <c r="D764" s="966"/>
      <c r="E764" s="966"/>
      <c r="F764" s="966"/>
      <c r="G764" s="966"/>
      <c r="H764" s="995"/>
      <c r="I764" s="966"/>
      <c r="J764" s="966"/>
      <c r="K764" s="966"/>
      <c r="L764" s="966"/>
      <c r="M764" s="971"/>
    </row>
    <row r="765" spans="1:13">
      <c r="A765" s="966"/>
      <c r="B765" s="966"/>
      <c r="C765" s="966"/>
      <c r="D765" s="966"/>
      <c r="E765" s="966"/>
      <c r="F765" s="966"/>
      <c r="G765" s="966"/>
      <c r="H765" s="995"/>
      <c r="I765" s="966"/>
      <c r="J765" s="966"/>
      <c r="K765" s="966"/>
      <c r="L765" s="966"/>
      <c r="M765" s="971"/>
    </row>
    <row r="766" spans="1:13">
      <c r="A766" s="966"/>
      <c r="B766" s="966"/>
      <c r="C766" s="966"/>
      <c r="D766" s="966"/>
      <c r="E766" s="966"/>
      <c r="F766" s="966"/>
      <c r="G766" s="966"/>
      <c r="H766" s="995"/>
      <c r="I766" s="966"/>
      <c r="J766" s="966"/>
      <c r="K766" s="966"/>
      <c r="L766" s="966"/>
      <c r="M766" s="971"/>
    </row>
    <row r="767" spans="1:13">
      <c r="A767" s="966"/>
      <c r="B767" s="966"/>
      <c r="C767" s="966"/>
      <c r="D767" s="966"/>
      <c r="E767" s="966"/>
      <c r="F767" s="966"/>
      <c r="G767" s="966"/>
      <c r="H767" s="995"/>
      <c r="I767" s="966"/>
      <c r="J767" s="966"/>
      <c r="K767" s="966"/>
      <c r="L767" s="966"/>
      <c r="M767" s="971"/>
    </row>
    <row r="768" spans="1:13">
      <c r="A768" s="966"/>
      <c r="B768" s="966"/>
      <c r="C768" s="966"/>
      <c r="D768" s="966"/>
      <c r="E768" s="966"/>
      <c r="F768" s="966"/>
      <c r="G768" s="966"/>
      <c r="H768" s="995"/>
      <c r="I768" s="966"/>
      <c r="J768" s="966"/>
      <c r="K768" s="966"/>
      <c r="L768" s="966"/>
      <c r="M768" s="971"/>
    </row>
    <row r="769" spans="1:13">
      <c r="A769" s="966"/>
      <c r="B769" s="966"/>
      <c r="C769" s="966"/>
      <c r="D769" s="966"/>
      <c r="E769" s="966"/>
      <c r="F769" s="966"/>
      <c r="G769" s="966"/>
      <c r="H769" s="995"/>
      <c r="I769" s="966"/>
      <c r="J769" s="966"/>
      <c r="K769" s="966"/>
      <c r="L769" s="966"/>
      <c r="M769" s="971"/>
    </row>
    <row r="770" spans="1:13">
      <c r="A770" s="966"/>
      <c r="B770" s="966"/>
      <c r="C770" s="966"/>
      <c r="D770" s="966"/>
      <c r="E770" s="966"/>
      <c r="F770" s="966"/>
      <c r="G770" s="966"/>
      <c r="H770" s="995"/>
      <c r="I770" s="966"/>
      <c r="J770" s="966"/>
      <c r="K770" s="966"/>
      <c r="L770" s="966"/>
      <c r="M770" s="971"/>
    </row>
    <row r="771" spans="1:13">
      <c r="A771" s="966"/>
      <c r="B771" s="966"/>
      <c r="C771" s="966"/>
      <c r="D771" s="966"/>
      <c r="E771" s="966"/>
      <c r="F771" s="966"/>
      <c r="G771" s="966"/>
      <c r="H771" s="995"/>
      <c r="I771" s="966"/>
      <c r="J771" s="966"/>
      <c r="K771" s="966"/>
      <c r="L771" s="966"/>
      <c r="M771" s="971"/>
    </row>
    <row r="772" spans="1:13">
      <c r="A772" s="966"/>
      <c r="B772" s="966"/>
      <c r="C772" s="966"/>
      <c r="D772" s="966"/>
      <c r="E772" s="966"/>
      <c r="F772" s="966"/>
      <c r="G772" s="966"/>
      <c r="H772" s="995"/>
      <c r="I772" s="966"/>
      <c r="J772" s="966"/>
      <c r="K772" s="966"/>
      <c r="L772" s="966"/>
      <c r="M772" s="971"/>
    </row>
    <row r="773" spans="1:13">
      <c r="A773" s="966"/>
      <c r="B773" s="966"/>
      <c r="C773" s="966"/>
      <c r="D773" s="966"/>
      <c r="E773" s="966"/>
      <c r="F773" s="966"/>
      <c r="G773" s="966"/>
      <c r="H773" s="995"/>
      <c r="I773" s="966"/>
      <c r="J773" s="966"/>
      <c r="K773" s="966"/>
      <c r="L773" s="966"/>
      <c r="M773" s="971"/>
    </row>
    <row r="774" spans="1:13">
      <c r="A774" s="966"/>
      <c r="B774" s="966"/>
      <c r="C774" s="966"/>
      <c r="D774" s="966"/>
      <c r="E774" s="966"/>
      <c r="F774" s="966"/>
      <c r="G774" s="966"/>
      <c r="H774" s="995"/>
      <c r="I774" s="966"/>
      <c r="J774" s="966"/>
      <c r="K774" s="966"/>
      <c r="L774" s="966"/>
      <c r="M774" s="971"/>
    </row>
    <row r="775" spans="1:13">
      <c r="A775" s="966"/>
      <c r="B775" s="966"/>
      <c r="C775" s="966"/>
      <c r="D775" s="966"/>
      <c r="E775" s="966"/>
      <c r="F775" s="966"/>
      <c r="G775" s="966"/>
      <c r="H775" s="995"/>
      <c r="I775" s="966"/>
      <c r="J775" s="966"/>
      <c r="K775" s="966"/>
      <c r="L775" s="966"/>
      <c r="M775" s="971"/>
    </row>
    <row r="776" spans="1:13">
      <c r="A776" s="966"/>
      <c r="B776" s="966"/>
      <c r="C776" s="966"/>
      <c r="D776" s="966"/>
      <c r="E776" s="966"/>
      <c r="F776" s="966"/>
      <c r="G776" s="966"/>
      <c r="H776" s="995"/>
      <c r="I776" s="966"/>
      <c r="J776" s="966"/>
      <c r="K776" s="966"/>
      <c r="L776" s="966"/>
      <c r="M776" s="971"/>
    </row>
    <row r="777" spans="1:13">
      <c r="A777" s="966"/>
      <c r="B777" s="966"/>
      <c r="C777" s="966"/>
      <c r="D777" s="966"/>
      <c r="E777" s="966"/>
      <c r="F777" s="966"/>
      <c r="G777" s="966"/>
      <c r="H777" s="995"/>
      <c r="I777" s="966"/>
      <c r="J777" s="966"/>
      <c r="K777" s="966"/>
      <c r="L777" s="966"/>
      <c r="M777" s="971"/>
    </row>
    <row r="778" spans="1:13">
      <c r="A778" s="966"/>
      <c r="B778" s="966"/>
      <c r="C778" s="966"/>
      <c r="D778" s="966"/>
      <c r="E778" s="966"/>
      <c r="F778" s="966"/>
      <c r="G778" s="966"/>
      <c r="H778" s="995"/>
      <c r="I778" s="966"/>
      <c r="J778" s="966"/>
      <c r="K778" s="966"/>
      <c r="L778" s="966"/>
      <c r="M778" s="971"/>
    </row>
    <row r="779" spans="1:13">
      <c r="A779" s="966"/>
      <c r="B779" s="966"/>
      <c r="C779" s="966"/>
      <c r="D779" s="966"/>
      <c r="E779" s="966"/>
      <c r="F779" s="966"/>
      <c r="G779" s="966"/>
      <c r="H779" s="995"/>
      <c r="I779" s="966"/>
      <c r="J779" s="966"/>
      <c r="K779" s="966"/>
      <c r="L779" s="966"/>
      <c r="M779" s="971"/>
    </row>
    <row r="780" spans="1:13">
      <c r="A780" s="966"/>
      <c r="B780" s="966"/>
      <c r="C780" s="966"/>
      <c r="D780" s="966"/>
      <c r="E780" s="966"/>
      <c r="F780" s="966"/>
      <c r="G780" s="966"/>
      <c r="H780" s="995"/>
      <c r="I780" s="966"/>
      <c r="J780" s="966"/>
      <c r="K780" s="966"/>
      <c r="L780" s="966"/>
      <c r="M780" s="971"/>
    </row>
    <row r="781" spans="1:13">
      <c r="A781" s="966"/>
      <c r="B781" s="966"/>
      <c r="C781" s="966"/>
      <c r="D781" s="966"/>
      <c r="E781" s="966"/>
      <c r="F781" s="966"/>
      <c r="G781" s="966"/>
      <c r="H781" s="995"/>
      <c r="I781" s="966"/>
      <c r="J781" s="966"/>
      <c r="K781" s="966"/>
      <c r="L781" s="966"/>
      <c r="M781" s="971"/>
    </row>
    <row r="782" spans="1:13">
      <c r="A782" s="966"/>
      <c r="B782" s="966"/>
      <c r="C782" s="966"/>
      <c r="D782" s="966"/>
      <c r="E782" s="966"/>
      <c r="F782" s="966"/>
      <c r="G782" s="966"/>
      <c r="H782" s="995"/>
      <c r="I782" s="966"/>
      <c r="J782" s="966"/>
      <c r="K782" s="966"/>
      <c r="L782" s="966"/>
      <c r="M782" s="971"/>
    </row>
    <row r="783" spans="1:13">
      <c r="A783" s="966"/>
      <c r="B783" s="966"/>
      <c r="C783" s="966"/>
      <c r="D783" s="966"/>
      <c r="E783" s="966"/>
      <c r="F783" s="966"/>
      <c r="G783" s="966"/>
      <c r="H783" s="995"/>
      <c r="I783" s="966"/>
      <c r="J783" s="966"/>
      <c r="K783" s="966"/>
      <c r="L783" s="966"/>
      <c r="M783" s="971"/>
    </row>
    <row r="784" spans="1:13">
      <c r="A784" s="966"/>
      <c r="B784" s="966"/>
      <c r="C784" s="966"/>
      <c r="D784" s="966"/>
      <c r="E784" s="966"/>
      <c r="F784" s="966"/>
      <c r="G784" s="966"/>
      <c r="H784" s="995"/>
      <c r="I784" s="966"/>
      <c r="J784" s="966"/>
      <c r="K784" s="966"/>
      <c r="L784" s="966"/>
      <c r="M784" s="971"/>
    </row>
    <row r="785" spans="1:13">
      <c r="A785" s="966"/>
      <c r="B785" s="966"/>
      <c r="C785" s="966"/>
      <c r="D785" s="966"/>
      <c r="E785" s="966"/>
      <c r="F785" s="966"/>
      <c r="G785" s="966"/>
      <c r="H785" s="995"/>
      <c r="I785" s="966"/>
      <c r="J785" s="966"/>
      <c r="K785" s="966"/>
      <c r="L785" s="966"/>
      <c r="M785" s="971"/>
    </row>
    <row r="786" spans="1:13">
      <c r="A786" s="966"/>
      <c r="B786" s="966"/>
      <c r="C786" s="966"/>
      <c r="D786" s="966"/>
      <c r="E786" s="966"/>
      <c r="F786" s="966"/>
      <c r="G786" s="966"/>
      <c r="H786" s="995"/>
      <c r="I786" s="966"/>
      <c r="J786" s="966"/>
      <c r="K786" s="966"/>
      <c r="L786" s="966"/>
      <c r="M786" s="971"/>
    </row>
    <row r="787" spans="1:13">
      <c r="A787" s="966"/>
      <c r="B787" s="966"/>
      <c r="C787" s="966"/>
      <c r="D787" s="966"/>
      <c r="E787" s="966"/>
      <c r="F787" s="966"/>
      <c r="G787" s="966"/>
      <c r="H787" s="995"/>
      <c r="I787" s="966"/>
      <c r="J787" s="966"/>
      <c r="K787" s="966"/>
      <c r="L787" s="966"/>
      <c r="M787" s="971"/>
    </row>
    <row r="788" spans="1:13">
      <c r="A788" s="966"/>
      <c r="B788" s="966"/>
      <c r="C788" s="966"/>
      <c r="D788" s="966"/>
      <c r="E788" s="966"/>
      <c r="F788" s="966"/>
      <c r="G788" s="966"/>
      <c r="H788" s="995"/>
      <c r="I788" s="966"/>
      <c r="J788" s="966"/>
      <c r="K788" s="966"/>
      <c r="L788" s="966"/>
      <c r="M788" s="971"/>
    </row>
    <row r="789" spans="1:13">
      <c r="A789" s="966"/>
      <c r="B789" s="966"/>
      <c r="C789" s="966"/>
      <c r="D789" s="966"/>
      <c r="E789" s="966"/>
      <c r="F789" s="966"/>
      <c r="G789" s="966"/>
      <c r="H789" s="995"/>
      <c r="I789" s="966"/>
      <c r="J789" s="966"/>
      <c r="K789" s="966"/>
      <c r="L789" s="966"/>
      <c r="M789" s="971"/>
    </row>
    <row r="790" spans="1:13">
      <c r="A790" s="966"/>
      <c r="B790" s="966"/>
      <c r="C790" s="966"/>
      <c r="D790" s="966"/>
      <c r="E790" s="966"/>
      <c r="F790" s="966"/>
      <c r="G790" s="966"/>
      <c r="H790" s="995"/>
      <c r="I790" s="966"/>
      <c r="J790" s="966"/>
      <c r="K790" s="966"/>
      <c r="L790" s="966"/>
      <c r="M790" s="971"/>
    </row>
    <row r="791" spans="1:13">
      <c r="A791" s="966"/>
      <c r="B791" s="966"/>
      <c r="C791" s="966"/>
      <c r="D791" s="966"/>
      <c r="E791" s="966"/>
      <c r="F791" s="966"/>
      <c r="G791" s="966"/>
      <c r="H791" s="995"/>
      <c r="I791" s="966"/>
      <c r="J791" s="966"/>
      <c r="K791" s="966"/>
      <c r="L791" s="966"/>
      <c r="M791" s="971"/>
    </row>
    <row r="792" spans="1:13">
      <c r="A792" s="966"/>
      <c r="B792" s="966"/>
      <c r="C792" s="966"/>
      <c r="D792" s="966"/>
      <c r="E792" s="966"/>
      <c r="F792" s="966"/>
      <c r="G792" s="966"/>
      <c r="H792" s="995"/>
      <c r="I792" s="966"/>
      <c r="J792" s="966"/>
      <c r="K792" s="966"/>
      <c r="L792" s="966"/>
      <c r="M792" s="971"/>
    </row>
    <row r="793" spans="1:13">
      <c r="A793" s="966"/>
      <c r="B793" s="966"/>
      <c r="C793" s="966"/>
      <c r="D793" s="966"/>
      <c r="E793" s="966"/>
      <c r="F793" s="966"/>
      <c r="G793" s="966"/>
      <c r="H793" s="995"/>
      <c r="I793" s="966"/>
      <c r="J793" s="966"/>
      <c r="K793" s="966"/>
      <c r="L793" s="966"/>
      <c r="M793" s="971"/>
    </row>
    <row r="794" spans="1:13">
      <c r="A794" s="966"/>
      <c r="B794" s="966"/>
      <c r="C794" s="966"/>
      <c r="D794" s="966"/>
      <c r="E794" s="966"/>
      <c r="F794" s="966"/>
      <c r="G794" s="966"/>
      <c r="H794" s="995"/>
      <c r="I794" s="966"/>
      <c r="J794" s="966"/>
      <c r="K794" s="966"/>
      <c r="L794" s="966"/>
      <c r="M794" s="971"/>
    </row>
    <row r="795" spans="1:13">
      <c r="A795" s="966"/>
      <c r="B795" s="966"/>
      <c r="C795" s="966"/>
      <c r="D795" s="966"/>
      <c r="E795" s="966"/>
      <c r="F795" s="966"/>
      <c r="G795" s="966"/>
      <c r="H795" s="995"/>
      <c r="I795" s="966"/>
      <c r="J795" s="966"/>
      <c r="K795" s="966"/>
      <c r="L795" s="966"/>
      <c r="M795" s="971"/>
    </row>
    <row r="796" spans="1:13">
      <c r="A796" s="966"/>
      <c r="B796" s="966"/>
      <c r="C796" s="966"/>
      <c r="D796" s="966"/>
      <c r="E796" s="966"/>
      <c r="F796" s="966"/>
      <c r="G796" s="966"/>
      <c r="H796" s="995"/>
      <c r="I796" s="966"/>
      <c r="J796" s="966"/>
      <c r="K796" s="966"/>
      <c r="L796" s="966"/>
      <c r="M796" s="971"/>
    </row>
    <row r="797" spans="1:13">
      <c r="A797" s="966"/>
      <c r="B797" s="966"/>
      <c r="C797" s="966"/>
      <c r="D797" s="966"/>
      <c r="E797" s="966"/>
      <c r="F797" s="966"/>
      <c r="G797" s="966"/>
      <c r="H797" s="995"/>
      <c r="I797" s="966"/>
      <c r="J797" s="966"/>
      <c r="K797" s="966"/>
      <c r="L797" s="966"/>
      <c r="M797" s="971"/>
    </row>
    <row r="798" spans="1:13">
      <c r="A798" s="966"/>
      <c r="B798" s="966"/>
      <c r="C798" s="966"/>
      <c r="D798" s="966"/>
      <c r="E798" s="966"/>
      <c r="F798" s="966"/>
      <c r="G798" s="966"/>
      <c r="H798" s="995"/>
      <c r="I798" s="966"/>
      <c r="J798" s="966"/>
      <c r="K798" s="966"/>
      <c r="L798" s="966"/>
      <c r="M798" s="971"/>
    </row>
    <row r="799" spans="1:13">
      <c r="A799" s="966"/>
      <c r="B799" s="966"/>
      <c r="C799" s="966"/>
      <c r="D799" s="966"/>
      <c r="E799" s="966"/>
      <c r="F799" s="966"/>
      <c r="G799" s="966"/>
      <c r="H799" s="995"/>
      <c r="I799" s="966"/>
      <c r="J799" s="966"/>
      <c r="K799" s="966"/>
      <c r="L799" s="966"/>
      <c r="M799" s="971"/>
    </row>
    <row r="800" spans="1:13">
      <c r="A800" s="966"/>
      <c r="B800" s="966"/>
      <c r="C800" s="966"/>
      <c r="D800" s="966"/>
      <c r="E800" s="966"/>
      <c r="F800" s="966"/>
      <c r="G800" s="966"/>
      <c r="H800" s="995"/>
      <c r="I800" s="966"/>
      <c r="J800" s="966"/>
      <c r="K800" s="966"/>
      <c r="L800" s="966"/>
      <c r="M800" s="971"/>
    </row>
    <row r="801" spans="1:13">
      <c r="A801" s="966"/>
      <c r="B801" s="966"/>
      <c r="C801" s="966"/>
      <c r="D801" s="966"/>
      <c r="E801" s="966"/>
      <c r="F801" s="966"/>
      <c r="G801" s="966"/>
      <c r="H801" s="995"/>
      <c r="I801" s="966"/>
      <c r="J801" s="966"/>
      <c r="K801" s="966"/>
      <c r="L801" s="966"/>
      <c r="M801" s="971"/>
    </row>
    <row r="802" spans="1:13">
      <c r="A802" s="966"/>
      <c r="B802" s="966"/>
      <c r="C802" s="966"/>
      <c r="D802" s="966"/>
      <c r="E802" s="966"/>
      <c r="F802" s="966"/>
      <c r="G802" s="966"/>
      <c r="H802" s="995"/>
      <c r="I802" s="966"/>
      <c r="J802" s="966"/>
      <c r="K802" s="966"/>
      <c r="L802" s="966"/>
      <c r="M802" s="971"/>
    </row>
    <row r="803" spans="1:13">
      <c r="A803" s="966"/>
      <c r="B803" s="966"/>
      <c r="C803" s="966"/>
      <c r="D803" s="966"/>
      <c r="E803" s="966"/>
      <c r="F803" s="966"/>
      <c r="G803" s="966"/>
      <c r="H803" s="995"/>
      <c r="I803" s="966"/>
      <c r="J803" s="966"/>
      <c r="K803" s="966"/>
      <c r="L803" s="966"/>
      <c r="M803" s="971"/>
    </row>
    <row r="804" spans="1:13">
      <c r="A804" s="966"/>
      <c r="B804" s="966"/>
      <c r="C804" s="966"/>
      <c r="D804" s="966"/>
      <c r="E804" s="966"/>
      <c r="F804" s="966"/>
      <c r="G804" s="966"/>
      <c r="H804" s="995"/>
      <c r="I804" s="966"/>
      <c r="J804" s="966"/>
      <c r="K804" s="966"/>
      <c r="L804" s="966"/>
      <c r="M804" s="971"/>
    </row>
    <row r="805" spans="1:13">
      <c r="A805" s="966"/>
      <c r="B805" s="966"/>
      <c r="C805" s="966"/>
      <c r="D805" s="966"/>
      <c r="E805" s="966"/>
      <c r="F805" s="966"/>
      <c r="G805" s="966"/>
      <c r="H805" s="995"/>
      <c r="I805" s="966"/>
      <c r="J805" s="966"/>
      <c r="K805" s="966"/>
      <c r="L805" s="966"/>
      <c r="M805" s="971"/>
    </row>
    <row r="806" spans="1:13">
      <c r="A806" s="966"/>
      <c r="B806" s="966"/>
      <c r="C806" s="966"/>
      <c r="D806" s="966"/>
      <c r="E806" s="966"/>
      <c r="F806" s="966"/>
      <c r="G806" s="966"/>
      <c r="H806" s="995"/>
      <c r="I806" s="966"/>
      <c r="J806" s="966"/>
      <c r="K806" s="966"/>
      <c r="L806" s="966"/>
      <c r="M806" s="971"/>
    </row>
    <row r="807" spans="1:13">
      <c r="A807" s="966"/>
      <c r="B807" s="966"/>
      <c r="C807" s="966"/>
      <c r="D807" s="966"/>
      <c r="E807" s="966"/>
      <c r="F807" s="966"/>
      <c r="G807" s="966"/>
      <c r="H807" s="995"/>
      <c r="I807" s="966"/>
      <c r="J807" s="966"/>
      <c r="K807" s="966"/>
      <c r="L807" s="966"/>
      <c r="M807" s="971"/>
    </row>
    <row r="808" spans="1:13">
      <c r="A808" s="966"/>
      <c r="B808" s="966"/>
      <c r="C808" s="966"/>
      <c r="D808" s="966"/>
      <c r="E808" s="966"/>
      <c r="F808" s="966"/>
      <c r="G808" s="966"/>
      <c r="H808" s="995"/>
      <c r="I808" s="966"/>
      <c r="J808" s="966"/>
      <c r="K808" s="966"/>
      <c r="L808" s="966"/>
      <c r="M808" s="971"/>
    </row>
    <row r="809" spans="1:13">
      <c r="A809" s="966"/>
      <c r="B809" s="966"/>
      <c r="C809" s="966"/>
      <c r="D809" s="966"/>
      <c r="E809" s="966"/>
      <c r="F809" s="966"/>
      <c r="G809" s="966"/>
      <c r="H809" s="995"/>
      <c r="I809" s="966"/>
      <c r="J809" s="966"/>
      <c r="K809" s="966"/>
      <c r="L809" s="966"/>
      <c r="M809" s="971"/>
    </row>
    <row r="810" spans="1:13">
      <c r="A810" s="966"/>
      <c r="B810" s="966"/>
      <c r="C810" s="966"/>
      <c r="D810" s="966"/>
      <c r="E810" s="966"/>
      <c r="F810" s="966"/>
      <c r="G810" s="966"/>
      <c r="H810" s="995"/>
      <c r="I810" s="966"/>
      <c r="J810" s="966"/>
      <c r="K810" s="966"/>
      <c r="L810" s="966"/>
      <c r="M810" s="971"/>
    </row>
    <row r="811" spans="1:13">
      <c r="A811" s="966"/>
      <c r="B811" s="966"/>
      <c r="C811" s="966"/>
      <c r="D811" s="966"/>
      <c r="E811" s="966"/>
      <c r="F811" s="966"/>
      <c r="G811" s="966"/>
      <c r="H811" s="995"/>
      <c r="I811" s="966"/>
      <c r="J811" s="966"/>
      <c r="K811" s="966"/>
      <c r="L811" s="966"/>
      <c r="M811" s="971"/>
    </row>
    <row r="812" spans="1:13">
      <c r="A812" s="966"/>
      <c r="B812" s="966"/>
      <c r="C812" s="966"/>
      <c r="D812" s="966"/>
      <c r="E812" s="966"/>
      <c r="F812" s="966"/>
      <c r="G812" s="966"/>
      <c r="H812" s="995"/>
      <c r="I812" s="966"/>
      <c r="J812" s="966"/>
      <c r="K812" s="966"/>
      <c r="L812" s="966"/>
      <c r="M812" s="971"/>
    </row>
    <row r="813" spans="1:13">
      <c r="A813" s="966"/>
      <c r="B813" s="966"/>
      <c r="C813" s="966"/>
      <c r="D813" s="966"/>
      <c r="E813" s="966"/>
      <c r="F813" s="966"/>
      <c r="G813" s="966"/>
      <c r="H813" s="995"/>
      <c r="I813" s="966"/>
      <c r="J813" s="966"/>
      <c r="K813" s="966"/>
      <c r="L813" s="966"/>
      <c r="M813" s="971"/>
    </row>
    <row r="814" spans="1:13">
      <c r="A814" s="966"/>
      <c r="B814" s="966"/>
      <c r="C814" s="966"/>
      <c r="D814" s="966"/>
      <c r="E814" s="966"/>
      <c r="F814" s="966"/>
      <c r="G814" s="966"/>
      <c r="H814" s="995"/>
      <c r="I814" s="966"/>
      <c r="J814" s="966"/>
      <c r="K814" s="966"/>
      <c r="L814" s="966"/>
      <c r="M814" s="971"/>
    </row>
    <row r="815" spans="1:13">
      <c r="A815" s="966"/>
      <c r="B815" s="966"/>
      <c r="C815" s="966"/>
      <c r="D815" s="966"/>
      <c r="E815" s="966"/>
      <c r="F815" s="966"/>
      <c r="G815" s="966"/>
      <c r="H815" s="995"/>
      <c r="I815" s="966"/>
      <c r="J815" s="966"/>
      <c r="K815" s="966"/>
      <c r="L815" s="966"/>
      <c r="M815" s="971"/>
    </row>
    <row r="816" spans="1:13">
      <c r="A816" s="966"/>
      <c r="B816" s="966"/>
      <c r="C816" s="966"/>
      <c r="D816" s="966"/>
      <c r="E816" s="966"/>
      <c r="F816" s="966"/>
      <c r="G816" s="966"/>
      <c r="H816" s="995"/>
      <c r="I816" s="966"/>
      <c r="J816" s="966"/>
      <c r="K816" s="966"/>
      <c r="L816" s="966"/>
      <c r="M816" s="971"/>
    </row>
    <row r="817" spans="1:13">
      <c r="A817" s="966"/>
      <c r="B817" s="966"/>
      <c r="C817" s="966"/>
      <c r="D817" s="966"/>
      <c r="E817" s="966"/>
      <c r="F817" s="966"/>
      <c r="G817" s="966"/>
      <c r="H817" s="995"/>
      <c r="I817" s="966"/>
      <c r="J817" s="966"/>
      <c r="K817" s="966"/>
      <c r="L817" s="966"/>
      <c r="M817" s="971"/>
    </row>
    <row r="818" spans="1:13">
      <c r="A818" s="966"/>
      <c r="B818" s="966"/>
      <c r="C818" s="966"/>
      <c r="D818" s="966"/>
      <c r="E818" s="966"/>
      <c r="F818" s="966"/>
      <c r="G818" s="966"/>
      <c r="H818" s="995"/>
      <c r="I818" s="966"/>
      <c r="J818" s="966"/>
      <c r="K818" s="966"/>
      <c r="L818" s="966"/>
      <c r="M818" s="971"/>
    </row>
    <row r="819" spans="1:13">
      <c r="A819" s="966"/>
      <c r="B819" s="966"/>
      <c r="C819" s="966"/>
      <c r="D819" s="966"/>
      <c r="E819" s="966"/>
      <c r="F819" s="966"/>
      <c r="G819" s="966"/>
      <c r="H819" s="995"/>
      <c r="I819" s="966"/>
      <c r="J819" s="966"/>
      <c r="K819" s="966"/>
      <c r="L819" s="966"/>
      <c r="M819" s="971"/>
    </row>
    <row r="820" spans="1:13">
      <c r="A820" s="966"/>
      <c r="B820" s="966"/>
      <c r="C820" s="966"/>
      <c r="D820" s="966"/>
      <c r="E820" s="966"/>
      <c r="F820" s="966"/>
      <c r="G820" s="966"/>
      <c r="H820" s="995"/>
      <c r="I820" s="966"/>
      <c r="J820" s="966"/>
      <c r="K820" s="966"/>
      <c r="L820" s="966"/>
      <c r="M820" s="971"/>
    </row>
    <row r="821" spans="1:13">
      <c r="A821" s="966"/>
      <c r="B821" s="966"/>
      <c r="C821" s="966"/>
      <c r="D821" s="966"/>
      <c r="E821" s="966"/>
      <c r="F821" s="966"/>
      <c r="G821" s="966"/>
      <c r="H821" s="995"/>
      <c r="I821" s="966"/>
      <c r="J821" s="966"/>
      <c r="K821" s="966"/>
      <c r="L821" s="966"/>
      <c r="M821" s="971"/>
    </row>
    <row r="822" spans="1:13">
      <c r="A822" s="966"/>
      <c r="B822" s="966"/>
      <c r="C822" s="966"/>
      <c r="D822" s="966"/>
      <c r="E822" s="966"/>
      <c r="F822" s="966"/>
      <c r="G822" s="966"/>
      <c r="H822" s="995"/>
      <c r="I822" s="966"/>
      <c r="J822" s="966"/>
      <c r="K822" s="966"/>
      <c r="L822" s="966"/>
      <c r="M822" s="971"/>
    </row>
    <row r="823" spans="1:13">
      <c r="A823" s="966"/>
      <c r="B823" s="966"/>
      <c r="C823" s="966"/>
      <c r="D823" s="966"/>
      <c r="E823" s="966"/>
      <c r="F823" s="966"/>
      <c r="G823" s="966"/>
      <c r="H823" s="995"/>
      <c r="I823" s="966"/>
      <c r="J823" s="966"/>
      <c r="K823" s="966"/>
      <c r="L823" s="966"/>
      <c r="M823" s="971"/>
    </row>
    <row r="824" spans="1:13">
      <c r="A824" s="966"/>
      <c r="B824" s="966"/>
      <c r="C824" s="966"/>
      <c r="D824" s="966"/>
      <c r="E824" s="966"/>
      <c r="F824" s="966"/>
      <c r="G824" s="966"/>
      <c r="H824" s="995"/>
      <c r="I824" s="966"/>
      <c r="J824" s="966"/>
      <c r="K824" s="966"/>
      <c r="L824" s="966"/>
      <c r="M824" s="971"/>
    </row>
    <row r="825" spans="1:13">
      <c r="A825" s="966"/>
      <c r="B825" s="966"/>
      <c r="C825" s="966"/>
      <c r="D825" s="966"/>
      <c r="E825" s="966"/>
      <c r="F825" s="966"/>
      <c r="G825" s="966"/>
      <c r="H825" s="995"/>
      <c r="I825" s="966"/>
      <c r="J825" s="966"/>
      <c r="K825" s="966"/>
      <c r="L825" s="966"/>
      <c r="M825" s="971"/>
    </row>
    <row r="826" spans="1:13">
      <c r="A826" s="966"/>
      <c r="B826" s="966"/>
      <c r="C826" s="966"/>
      <c r="D826" s="966"/>
      <c r="E826" s="966"/>
      <c r="F826" s="966"/>
      <c r="G826" s="966"/>
      <c r="H826" s="995"/>
      <c r="I826" s="966"/>
      <c r="J826" s="966"/>
      <c r="K826" s="966"/>
      <c r="L826" s="966"/>
      <c r="M826" s="971"/>
    </row>
    <row r="827" spans="1:13">
      <c r="A827" s="966"/>
      <c r="B827" s="966"/>
      <c r="C827" s="966"/>
      <c r="D827" s="966"/>
      <c r="E827" s="966"/>
      <c r="F827" s="966"/>
      <c r="G827" s="966"/>
      <c r="H827" s="995"/>
      <c r="I827" s="966"/>
      <c r="J827" s="966"/>
      <c r="K827" s="966"/>
      <c r="L827" s="966"/>
      <c r="M827" s="971"/>
    </row>
    <row r="828" spans="1:13">
      <c r="A828" s="966"/>
      <c r="B828" s="966"/>
      <c r="C828" s="966"/>
      <c r="D828" s="966"/>
      <c r="E828" s="966"/>
      <c r="F828" s="966"/>
      <c r="G828" s="966"/>
      <c r="H828" s="995"/>
      <c r="I828" s="966"/>
      <c r="J828" s="966"/>
      <c r="K828" s="966"/>
      <c r="L828" s="966"/>
      <c r="M828" s="971"/>
    </row>
    <row r="829" spans="1:13">
      <c r="A829" s="966"/>
      <c r="B829" s="966"/>
      <c r="C829" s="966"/>
      <c r="D829" s="966"/>
      <c r="E829" s="966"/>
      <c r="F829" s="966"/>
      <c r="G829" s="966"/>
      <c r="H829" s="995"/>
      <c r="I829" s="966"/>
      <c r="J829" s="966"/>
      <c r="K829" s="966"/>
      <c r="L829" s="966"/>
      <c r="M829" s="971"/>
    </row>
    <row r="830" spans="1:13">
      <c r="A830" s="966"/>
      <c r="B830" s="966"/>
      <c r="C830" s="966"/>
      <c r="D830" s="966"/>
      <c r="E830" s="966"/>
      <c r="F830" s="966"/>
      <c r="G830" s="966"/>
      <c r="H830" s="995"/>
      <c r="I830" s="966"/>
      <c r="J830" s="966"/>
      <c r="K830" s="966"/>
      <c r="L830" s="966"/>
      <c r="M830" s="971"/>
    </row>
    <row r="831" spans="1:13">
      <c r="A831" s="966"/>
      <c r="B831" s="966"/>
      <c r="C831" s="966"/>
      <c r="D831" s="966"/>
      <c r="E831" s="966"/>
      <c r="F831" s="966"/>
      <c r="G831" s="966"/>
      <c r="H831" s="995"/>
      <c r="I831" s="966"/>
      <c r="J831" s="966"/>
      <c r="K831" s="966"/>
      <c r="L831" s="966"/>
      <c r="M831" s="971"/>
    </row>
    <row r="832" spans="1:13">
      <c r="A832" s="966"/>
      <c r="B832" s="966"/>
      <c r="C832" s="966"/>
      <c r="D832" s="966"/>
      <c r="E832" s="966"/>
      <c r="F832" s="966"/>
      <c r="G832" s="966"/>
      <c r="H832" s="995"/>
      <c r="I832" s="966"/>
      <c r="J832" s="966"/>
      <c r="K832" s="966"/>
      <c r="L832" s="966"/>
      <c r="M832" s="971"/>
    </row>
    <row r="833" spans="1:13">
      <c r="A833" s="966"/>
      <c r="B833" s="966"/>
      <c r="C833" s="966"/>
      <c r="D833" s="966"/>
      <c r="E833" s="966"/>
      <c r="F833" s="966"/>
      <c r="G833" s="966"/>
      <c r="H833" s="995"/>
      <c r="I833" s="966"/>
      <c r="J833" s="966"/>
      <c r="K833" s="966"/>
      <c r="L833" s="966"/>
      <c r="M833" s="971"/>
    </row>
    <row r="834" spans="1:13">
      <c r="A834" s="966"/>
      <c r="B834" s="966"/>
      <c r="C834" s="966"/>
      <c r="D834" s="966"/>
      <c r="E834" s="966"/>
      <c r="F834" s="966"/>
      <c r="G834" s="966"/>
      <c r="H834" s="995"/>
      <c r="I834" s="966"/>
      <c r="J834" s="966"/>
      <c r="K834" s="966"/>
      <c r="L834" s="966"/>
      <c r="M834" s="971"/>
    </row>
    <row r="835" spans="1:13">
      <c r="A835" s="966"/>
      <c r="B835" s="966"/>
      <c r="C835" s="966"/>
      <c r="D835" s="966"/>
      <c r="E835" s="966"/>
      <c r="F835" s="966"/>
      <c r="G835" s="966"/>
      <c r="H835" s="995"/>
      <c r="I835" s="966"/>
      <c r="J835" s="966"/>
      <c r="K835" s="966"/>
      <c r="L835" s="966"/>
      <c r="M835" s="971"/>
    </row>
    <row r="836" spans="1:13">
      <c r="A836" s="966"/>
      <c r="B836" s="966"/>
      <c r="C836" s="966"/>
      <c r="D836" s="966"/>
      <c r="E836" s="966"/>
      <c r="F836" s="966"/>
      <c r="G836" s="966"/>
      <c r="H836" s="995"/>
      <c r="I836" s="966"/>
      <c r="J836" s="966"/>
      <c r="K836" s="966"/>
      <c r="L836" s="966"/>
      <c r="M836" s="971"/>
    </row>
    <row r="837" spans="1:13">
      <c r="A837" s="966"/>
      <c r="B837" s="966"/>
      <c r="C837" s="966"/>
      <c r="D837" s="966"/>
      <c r="E837" s="966"/>
      <c r="F837" s="966"/>
      <c r="G837" s="966"/>
      <c r="H837" s="995"/>
      <c r="I837" s="966"/>
      <c r="J837" s="966"/>
      <c r="K837" s="966"/>
      <c r="L837" s="966"/>
      <c r="M837" s="971"/>
    </row>
    <row r="838" spans="1:13">
      <c r="A838" s="966"/>
      <c r="B838" s="966"/>
      <c r="C838" s="966"/>
      <c r="D838" s="966"/>
      <c r="E838" s="966"/>
      <c r="F838" s="966"/>
      <c r="G838" s="966"/>
      <c r="H838" s="995"/>
      <c r="I838" s="966"/>
      <c r="J838" s="966"/>
      <c r="K838" s="966"/>
      <c r="L838" s="966"/>
      <c r="M838" s="971"/>
    </row>
    <row r="839" spans="1:13">
      <c r="A839" s="966"/>
      <c r="B839" s="966"/>
      <c r="C839" s="966"/>
      <c r="D839" s="966"/>
      <c r="E839" s="966"/>
      <c r="F839" s="966"/>
      <c r="G839" s="966"/>
      <c r="H839" s="995"/>
      <c r="I839" s="966"/>
      <c r="J839" s="966"/>
      <c r="K839" s="966"/>
      <c r="L839" s="966"/>
      <c r="M839" s="971"/>
    </row>
    <row r="840" spans="1:13">
      <c r="A840" s="966"/>
      <c r="B840" s="966"/>
      <c r="C840" s="966"/>
      <c r="D840" s="966"/>
      <c r="E840" s="966"/>
      <c r="F840" s="966"/>
      <c r="G840" s="966"/>
      <c r="H840" s="995"/>
      <c r="I840" s="966"/>
      <c r="J840" s="966"/>
      <c r="K840" s="966"/>
      <c r="L840" s="966"/>
      <c r="M840" s="971"/>
    </row>
    <row r="841" spans="1:13">
      <c r="A841" s="966"/>
      <c r="B841" s="966"/>
      <c r="C841" s="966"/>
      <c r="D841" s="966"/>
      <c r="E841" s="966"/>
      <c r="F841" s="966"/>
      <c r="G841" s="966"/>
      <c r="H841" s="995"/>
      <c r="I841" s="966"/>
      <c r="J841" s="966"/>
      <c r="K841" s="966"/>
      <c r="L841" s="966"/>
      <c r="M841" s="971"/>
    </row>
    <row r="842" spans="1:13">
      <c r="A842" s="966"/>
      <c r="B842" s="966"/>
      <c r="C842" s="966"/>
      <c r="D842" s="966"/>
      <c r="E842" s="966"/>
      <c r="F842" s="966"/>
      <c r="G842" s="966"/>
      <c r="H842" s="995"/>
      <c r="I842" s="966"/>
      <c r="J842" s="966"/>
      <c r="K842" s="966"/>
      <c r="L842" s="966"/>
      <c r="M842" s="971"/>
    </row>
    <row r="843" spans="1:13">
      <c r="A843" s="966"/>
      <c r="B843" s="966"/>
      <c r="C843" s="966"/>
      <c r="D843" s="966"/>
      <c r="E843" s="966"/>
      <c r="F843" s="966"/>
      <c r="G843" s="966"/>
      <c r="H843" s="995"/>
      <c r="I843" s="966"/>
      <c r="J843" s="966"/>
      <c r="K843" s="966"/>
      <c r="L843" s="966"/>
      <c r="M843" s="971"/>
    </row>
    <row r="844" spans="1:13">
      <c r="A844" s="966"/>
      <c r="B844" s="966"/>
      <c r="C844" s="966"/>
      <c r="D844" s="966"/>
      <c r="E844" s="966"/>
      <c r="F844" s="966"/>
      <c r="G844" s="966"/>
      <c r="H844" s="995"/>
      <c r="I844" s="966"/>
      <c r="J844" s="966"/>
      <c r="K844" s="966"/>
      <c r="L844" s="966"/>
      <c r="M844" s="971"/>
    </row>
    <row r="845" spans="1:13">
      <c r="A845" s="966"/>
      <c r="B845" s="966"/>
      <c r="C845" s="966"/>
      <c r="D845" s="966"/>
      <c r="E845" s="966"/>
      <c r="F845" s="966"/>
      <c r="G845" s="966"/>
      <c r="H845" s="995"/>
      <c r="I845" s="966"/>
      <c r="J845" s="966"/>
      <c r="K845" s="966"/>
      <c r="L845" s="966"/>
      <c r="M845" s="971"/>
    </row>
    <row r="846" spans="1:13">
      <c r="A846" s="966"/>
      <c r="B846" s="966"/>
      <c r="C846" s="966"/>
      <c r="D846" s="966"/>
      <c r="E846" s="966"/>
      <c r="F846" s="966"/>
      <c r="G846" s="966"/>
      <c r="H846" s="995"/>
      <c r="I846" s="966"/>
      <c r="J846" s="966"/>
      <c r="K846" s="966"/>
      <c r="L846" s="966"/>
      <c r="M846" s="971"/>
    </row>
    <row r="847" spans="1:13">
      <c r="A847" s="966"/>
      <c r="B847" s="966"/>
      <c r="C847" s="966"/>
      <c r="D847" s="966"/>
      <c r="E847" s="966"/>
      <c r="F847" s="966"/>
      <c r="G847" s="966"/>
      <c r="H847" s="995"/>
      <c r="I847" s="966"/>
      <c r="J847" s="966"/>
      <c r="K847" s="966"/>
      <c r="L847" s="966"/>
      <c r="M847" s="971"/>
    </row>
    <row r="848" spans="1:13">
      <c r="A848" s="966"/>
      <c r="B848" s="966"/>
      <c r="C848" s="966"/>
      <c r="D848" s="966"/>
      <c r="E848" s="966"/>
      <c r="F848" s="966"/>
      <c r="G848" s="966"/>
      <c r="H848" s="995"/>
      <c r="I848" s="966"/>
      <c r="J848" s="966"/>
      <c r="K848" s="966"/>
      <c r="L848" s="966"/>
      <c r="M848" s="971"/>
    </row>
    <row r="849" spans="1:13">
      <c r="A849" s="966"/>
      <c r="B849" s="966"/>
      <c r="C849" s="966"/>
      <c r="D849" s="966"/>
      <c r="E849" s="966"/>
      <c r="F849" s="966"/>
      <c r="G849" s="966"/>
      <c r="H849" s="995"/>
      <c r="I849" s="966"/>
      <c r="J849" s="966"/>
      <c r="K849" s="966"/>
      <c r="L849" s="966"/>
      <c r="M849" s="971"/>
    </row>
    <row r="850" spans="1:13">
      <c r="A850" s="966"/>
      <c r="B850" s="966"/>
      <c r="C850" s="966"/>
      <c r="D850" s="966"/>
      <c r="E850" s="966"/>
      <c r="F850" s="966"/>
      <c r="G850" s="966"/>
      <c r="H850" s="995"/>
      <c r="I850" s="966"/>
      <c r="J850" s="966"/>
      <c r="K850" s="966"/>
      <c r="L850" s="966"/>
      <c r="M850" s="971"/>
    </row>
    <row r="851" spans="1:13">
      <c r="A851" s="966"/>
      <c r="B851" s="966"/>
      <c r="C851" s="966"/>
      <c r="D851" s="966"/>
      <c r="E851" s="966"/>
      <c r="F851" s="966"/>
      <c r="G851" s="966"/>
      <c r="H851" s="995"/>
      <c r="I851" s="966"/>
      <c r="J851" s="966"/>
      <c r="K851" s="966"/>
      <c r="L851" s="966"/>
      <c r="M851" s="971"/>
    </row>
    <row r="852" spans="1:13">
      <c r="A852" s="966"/>
      <c r="B852" s="966"/>
      <c r="C852" s="966"/>
      <c r="D852" s="966"/>
      <c r="E852" s="966"/>
      <c r="F852" s="966"/>
      <c r="G852" s="966"/>
      <c r="H852" s="995"/>
      <c r="I852" s="966"/>
      <c r="J852" s="966"/>
      <c r="K852" s="966"/>
      <c r="L852" s="966"/>
      <c r="M852" s="971"/>
    </row>
    <row r="853" spans="1:13">
      <c r="A853" s="966"/>
      <c r="B853" s="966"/>
      <c r="C853" s="966"/>
      <c r="D853" s="966"/>
      <c r="E853" s="966"/>
      <c r="F853" s="966"/>
      <c r="G853" s="966"/>
      <c r="H853" s="995"/>
      <c r="I853" s="966"/>
      <c r="J853" s="966"/>
      <c r="K853" s="966"/>
      <c r="L853" s="966"/>
      <c r="M853" s="971"/>
    </row>
    <row r="854" spans="1:13">
      <c r="A854" s="966"/>
      <c r="B854" s="966"/>
      <c r="C854" s="966"/>
      <c r="D854" s="966"/>
      <c r="E854" s="966"/>
      <c r="F854" s="966"/>
      <c r="G854" s="966"/>
      <c r="H854" s="995"/>
      <c r="I854" s="966"/>
      <c r="J854" s="966"/>
      <c r="K854" s="966"/>
      <c r="L854" s="966"/>
      <c r="M854" s="971"/>
    </row>
    <row r="855" spans="1:13">
      <c r="A855" s="966"/>
      <c r="B855" s="966"/>
      <c r="C855" s="966"/>
      <c r="D855" s="966"/>
      <c r="E855" s="966"/>
      <c r="F855" s="966"/>
      <c r="G855" s="966"/>
      <c r="H855" s="995"/>
      <c r="I855" s="966"/>
      <c r="J855" s="966"/>
      <c r="K855" s="966"/>
      <c r="L855" s="966"/>
      <c r="M855" s="971"/>
    </row>
    <row r="856" spans="1:13">
      <c r="A856" s="966"/>
      <c r="B856" s="966"/>
      <c r="C856" s="966"/>
      <c r="D856" s="966"/>
      <c r="E856" s="966"/>
      <c r="F856" s="966"/>
      <c r="G856" s="966"/>
      <c r="H856" s="995"/>
      <c r="I856" s="966"/>
      <c r="J856" s="966"/>
      <c r="K856" s="966"/>
      <c r="L856" s="966"/>
      <c r="M856" s="971"/>
    </row>
    <row r="857" spans="1:13">
      <c r="A857" s="966"/>
      <c r="B857" s="966"/>
      <c r="C857" s="966"/>
      <c r="D857" s="966"/>
      <c r="E857" s="966"/>
      <c r="F857" s="966"/>
      <c r="G857" s="966"/>
      <c r="H857" s="995"/>
      <c r="I857" s="966"/>
      <c r="J857" s="966"/>
      <c r="K857" s="966"/>
      <c r="L857" s="966"/>
      <c r="M857" s="971"/>
    </row>
    <row r="858" spans="1:13">
      <c r="A858" s="966"/>
      <c r="B858" s="966"/>
      <c r="C858" s="966"/>
      <c r="D858" s="966"/>
      <c r="E858" s="966"/>
      <c r="F858" s="966"/>
      <c r="G858" s="966"/>
      <c r="H858" s="995"/>
      <c r="I858" s="966"/>
      <c r="J858" s="966"/>
      <c r="K858" s="966"/>
      <c r="L858" s="966"/>
      <c r="M858" s="971"/>
    </row>
    <row r="859" spans="1:13">
      <c r="A859" s="966"/>
      <c r="B859" s="966"/>
      <c r="C859" s="966"/>
      <c r="D859" s="966"/>
      <c r="E859" s="966"/>
      <c r="F859" s="966"/>
      <c r="G859" s="966"/>
      <c r="H859" s="995"/>
      <c r="I859" s="966"/>
      <c r="J859" s="966"/>
      <c r="K859" s="966"/>
      <c r="L859" s="966"/>
      <c r="M859" s="971"/>
    </row>
    <row r="860" spans="1:13">
      <c r="A860" s="966"/>
      <c r="B860" s="966"/>
      <c r="C860" s="966"/>
      <c r="D860" s="966"/>
      <c r="E860" s="966"/>
      <c r="F860" s="966"/>
      <c r="G860" s="966"/>
      <c r="H860" s="995"/>
      <c r="I860" s="966"/>
      <c r="J860" s="966"/>
      <c r="K860" s="966"/>
      <c r="L860" s="966"/>
      <c r="M860" s="971"/>
    </row>
    <row r="861" spans="1:13">
      <c r="A861" s="966"/>
      <c r="B861" s="966"/>
      <c r="C861" s="966"/>
      <c r="D861" s="966"/>
      <c r="E861" s="966"/>
      <c r="F861" s="966"/>
      <c r="G861" s="966"/>
      <c r="H861" s="995"/>
      <c r="I861" s="966"/>
      <c r="J861" s="966"/>
      <c r="K861" s="966"/>
      <c r="L861" s="966"/>
      <c r="M861" s="971"/>
    </row>
    <row r="862" spans="1:13">
      <c r="A862" s="966"/>
      <c r="B862" s="966"/>
      <c r="C862" s="966"/>
      <c r="D862" s="966"/>
      <c r="E862" s="966"/>
      <c r="F862" s="966"/>
      <c r="G862" s="966"/>
      <c r="H862" s="995"/>
      <c r="I862" s="966"/>
      <c r="J862" s="966"/>
      <c r="K862" s="966"/>
      <c r="L862" s="966"/>
      <c r="M862" s="971"/>
    </row>
    <row r="863" spans="1:13">
      <c r="A863" s="966"/>
      <c r="B863" s="966"/>
      <c r="C863" s="966"/>
      <c r="D863" s="966"/>
      <c r="E863" s="966"/>
      <c r="F863" s="966"/>
      <c r="G863" s="966"/>
      <c r="H863" s="995"/>
      <c r="I863" s="966"/>
      <c r="J863" s="966"/>
      <c r="K863" s="966"/>
      <c r="L863" s="966"/>
      <c r="M863" s="971"/>
    </row>
    <row r="864" spans="1:13">
      <c r="A864" s="966"/>
      <c r="B864" s="966"/>
      <c r="C864" s="966"/>
      <c r="D864" s="966"/>
      <c r="E864" s="966"/>
      <c r="F864" s="966"/>
      <c r="G864" s="966"/>
      <c r="H864" s="995"/>
      <c r="I864" s="966"/>
      <c r="J864" s="966"/>
      <c r="K864" s="966"/>
      <c r="L864" s="966"/>
      <c r="M864" s="971"/>
    </row>
    <row r="865" spans="1:13">
      <c r="A865" s="966"/>
      <c r="B865" s="966"/>
      <c r="C865" s="966"/>
      <c r="D865" s="966"/>
      <c r="E865" s="966"/>
      <c r="F865" s="966"/>
      <c r="G865" s="966"/>
      <c r="H865" s="995"/>
      <c r="I865" s="966"/>
      <c r="J865" s="966"/>
      <c r="K865" s="966"/>
      <c r="L865" s="966"/>
      <c r="M865" s="971"/>
    </row>
    <row r="866" spans="1:13">
      <c r="A866" s="966"/>
      <c r="B866" s="966"/>
      <c r="C866" s="966"/>
      <c r="D866" s="966"/>
      <c r="E866" s="966"/>
      <c r="F866" s="966"/>
      <c r="G866" s="966"/>
      <c r="H866" s="995"/>
      <c r="I866" s="966"/>
      <c r="J866" s="966"/>
      <c r="K866" s="966"/>
      <c r="L866" s="966"/>
      <c r="M866" s="971"/>
    </row>
    <row r="867" spans="1:13">
      <c r="A867" s="966"/>
      <c r="B867" s="966"/>
      <c r="C867" s="966"/>
      <c r="D867" s="966"/>
      <c r="E867" s="966"/>
      <c r="F867" s="966"/>
      <c r="G867" s="966"/>
      <c r="H867" s="995"/>
      <c r="I867" s="966"/>
      <c r="J867" s="966"/>
      <c r="K867" s="966"/>
      <c r="L867" s="966"/>
      <c r="M867" s="971"/>
    </row>
    <row r="868" spans="1:13">
      <c r="A868" s="966"/>
      <c r="B868" s="966"/>
      <c r="C868" s="966"/>
      <c r="D868" s="966"/>
      <c r="E868" s="966"/>
      <c r="F868" s="966"/>
      <c r="G868" s="966"/>
      <c r="H868" s="995"/>
      <c r="I868" s="966"/>
      <c r="J868" s="966"/>
      <c r="K868" s="966"/>
      <c r="L868" s="966"/>
      <c r="M868" s="971"/>
    </row>
    <row r="869" spans="1:13">
      <c r="A869" s="966"/>
      <c r="B869" s="966"/>
      <c r="C869" s="966"/>
      <c r="D869" s="966"/>
      <c r="E869" s="966"/>
      <c r="F869" s="966"/>
      <c r="G869" s="966"/>
      <c r="H869" s="995"/>
      <c r="I869" s="966"/>
      <c r="J869" s="966"/>
      <c r="K869" s="966"/>
      <c r="L869" s="966"/>
      <c r="M869" s="971"/>
    </row>
    <row r="870" spans="1:13">
      <c r="A870" s="966"/>
      <c r="B870" s="966"/>
      <c r="C870" s="966"/>
      <c r="D870" s="966"/>
      <c r="E870" s="966"/>
      <c r="F870" s="966"/>
      <c r="G870" s="966"/>
      <c r="H870" s="995"/>
      <c r="I870" s="966"/>
      <c r="J870" s="966"/>
      <c r="K870" s="966"/>
      <c r="L870" s="966"/>
      <c r="M870" s="971"/>
    </row>
    <row r="871" spans="1:13">
      <c r="A871" s="966"/>
      <c r="B871" s="966"/>
      <c r="C871" s="966"/>
      <c r="D871" s="966"/>
      <c r="E871" s="966"/>
      <c r="F871" s="966"/>
      <c r="G871" s="966"/>
      <c r="H871" s="995"/>
      <c r="I871" s="966"/>
      <c r="J871" s="966"/>
      <c r="K871" s="966"/>
      <c r="L871" s="966"/>
      <c r="M871" s="971"/>
    </row>
    <row r="872" spans="1:13">
      <c r="A872" s="966"/>
      <c r="B872" s="966"/>
      <c r="C872" s="966"/>
      <c r="D872" s="966"/>
      <c r="E872" s="966"/>
      <c r="F872" s="966"/>
      <c r="G872" s="966"/>
      <c r="H872" s="995"/>
      <c r="I872" s="966"/>
      <c r="J872" s="966"/>
      <c r="K872" s="966"/>
      <c r="L872" s="966"/>
      <c r="M872" s="971"/>
    </row>
    <row r="873" spans="1:13">
      <c r="A873" s="966"/>
      <c r="B873" s="966"/>
      <c r="C873" s="966"/>
      <c r="D873" s="966"/>
      <c r="E873" s="966"/>
      <c r="F873" s="966"/>
      <c r="G873" s="966"/>
      <c r="H873" s="995"/>
      <c r="I873" s="966"/>
      <c r="J873" s="966"/>
      <c r="K873" s="966"/>
      <c r="L873" s="966"/>
      <c r="M873" s="971"/>
    </row>
    <row r="874" spans="1:13">
      <c r="A874" s="966"/>
      <c r="B874" s="966"/>
      <c r="C874" s="966"/>
      <c r="D874" s="966"/>
      <c r="E874" s="966"/>
      <c r="F874" s="966"/>
      <c r="G874" s="966"/>
      <c r="H874" s="995"/>
      <c r="I874" s="966"/>
      <c r="J874" s="966"/>
      <c r="K874" s="966"/>
      <c r="L874" s="966"/>
      <c r="M874" s="971"/>
    </row>
    <row r="875" spans="1:13">
      <c r="A875" s="966"/>
      <c r="B875" s="966"/>
      <c r="C875" s="966"/>
      <c r="D875" s="966"/>
      <c r="E875" s="966"/>
      <c r="F875" s="966"/>
      <c r="G875" s="966"/>
      <c r="H875" s="995"/>
      <c r="I875" s="966"/>
      <c r="J875" s="966"/>
      <c r="K875" s="966"/>
      <c r="L875" s="966"/>
      <c r="M875" s="971"/>
    </row>
    <row r="876" spans="1:13">
      <c r="A876" s="966"/>
      <c r="B876" s="966"/>
      <c r="C876" s="966"/>
      <c r="D876" s="966"/>
      <c r="E876" s="966"/>
      <c r="F876" s="966"/>
      <c r="G876" s="966"/>
      <c r="H876" s="995"/>
      <c r="I876" s="966"/>
      <c r="J876" s="966"/>
      <c r="K876" s="966"/>
      <c r="L876" s="966"/>
      <c r="M876" s="971"/>
    </row>
    <row r="877" spans="1:13">
      <c r="A877" s="966"/>
      <c r="B877" s="966"/>
      <c r="C877" s="966"/>
      <c r="D877" s="966"/>
      <c r="E877" s="966"/>
      <c r="F877" s="966"/>
      <c r="G877" s="966"/>
      <c r="H877" s="995"/>
      <c r="I877" s="966"/>
      <c r="J877" s="966"/>
      <c r="K877" s="966"/>
      <c r="L877" s="966"/>
      <c r="M877" s="971"/>
    </row>
    <row r="878" spans="1:13">
      <c r="A878" s="966"/>
      <c r="B878" s="966"/>
      <c r="C878" s="966"/>
      <c r="D878" s="966"/>
      <c r="E878" s="966"/>
      <c r="F878" s="966"/>
      <c r="G878" s="966"/>
      <c r="H878" s="995"/>
      <c r="I878" s="966"/>
      <c r="J878" s="966"/>
      <c r="K878" s="966"/>
      <c r="L878" s="966"/>
      <c r="M878" s="971"/>
    </row>
    <row r="879" spans="1:13">
      <c r="A879" s="966"/>
      <c r="B879" s="966"/>
      <c r="C879" s="966"/>
      <c r="D879" s="966"/>
      <c r="E879" s="966"/>
      <c r="F879" s="966"/>
      <c r="G879" s="966"/>
      <c r="H879" s="995"/>
      <c r="I879" s="966"/>
      <c r="J879" s="966"/>
      <c r="K879" s="966"/>
      <c r="L879" s="966"/>
      <c r="M879" s="971"/>
    </row>
    <row r="880" spans="1:13">
      <c r="A880" s="966"/>
      <c r="B880" s="966"/>
      <c r="C880" s="966"/>
      <c r="D880" s="966"/>
      <c r="E880" s="966"/>
      <c r="F880" s="966"/>
      <c r="G880" s="966"/>
      <c r="H880" s="995"/>
      <c r="I880" s="966"/>
      <c r="J880" s="966"/>
      <c r="K880" s="966"/>
      <c r="L880" s="966"/>
      <c r="M880" s="971"/>
    </row>
    <row r="881" spans="1:13">
      <c r="A881" s="966"/>
      <c r="B881" s="966"/>
      <c r="C881" s="966"/>
      <c r="D881" s="966"/>
      <c r="E881" s="966"/>
      <c r="F881" s="966"/>
      <c r="G881" s="966"/>
      <c r="H881" s="995"/>
      <c r="I881" s="966"/>
      <c r="J881" s="966"/>
      <c r="K881" s="966"/>
      <c r="L881" s="966"/>
      <c r="M881" s="971"/>
    </row>
    <row r="882" spans="1:13">
      <c r="A882" s="966"/>
      <c r="B882" s="966"/>
      <c r="C882" s="966"/>
      <c r="D882" s="966"/>
      <c r="E882" s="966"/>
      <c r="F882" s="966"/>
      <c r="G882" s="966"/>
      <c r="H882" s="995"/>
      <c r="I882" s="966"/>
      <c r="J882" s="966"/>
      <c r="K882" s="966"/>
      <c r="L882" s="966"/>
      <c r="M882" s="971"/>
    </row>
    <row r="883" spans="1:13">
      <c r="A883" s="966"/>
      <c r="B883" s="966"/>
      <c r="C883" s="966"/>
      <c r="D883" s="966"/>
      <c r="E883" s="966"/>
      <c r="F883" s="966"/>
      <c r="G883" s="966"/>
      <c r="H883" s="995"/>
      <c r="I883" s="966"/>
      <c r="J883" s="966"/>
      <c r="K883" s="966"/>
      <c r="L883" s="966"/>
      <c r="M883" s="971"/>
    </row>
    <row r="884" spans="1:13">
      <c r="A884" s="966"/>
      <c r="B884" s="966"/>
      <c r="C884" s="966"/>
      <c r="D884" s="966"/>
      <c r="E884" s="966"/>
      <c r="F884" s="966"/>
      <c r="G884" s="966"/>
      <c r="H884" s="995"/>
      <c r="I884" s="966"/>
      <c r="J884" s="966"/>
      <c r="K884" s="966"/>
      <c r="L884" s="966"/>
      <c r="M884" s="971"/>
    </row>
    <row r="885" spans="1:13">
      <c r="A885" s="966"/>
      <c r="B885" s="966"/>
      <c r="C885" s="966"/>
      <c r="D885" s="966"/>
      <c r="E885" s="966"/>
      <c r="F885" s="966"/>
      <c r="G885" s="966"/>
      <c r="H885" s="995"/>
      <c r="I885" s="966"/>
      <c r="J885" s="966"/>
      <c r="K885" s="966"/>
      <c r="L885" s="966"/>
      <c r="M885" s="971"/>
    </row>
    <row r="886" spans="1:13">
      <c r="A886" s="966"/>
      <c r="B886" s="966"/>
      <c r="C886" s="966"/>
      <c r="D886" s="966"/>
      <c r="E886" s="966"/>
      <c r="F886" s="966"/>
      <c r="G886" s="966"/>
      <c r="H886" s="995"/>
      <c r="I886" s="966"/>
      <c r="J886" s="966"/>
      <c r="K886" s="966"/>
      <c r="L886" s="966"/>
      <c r="M886" s="971"/>
    </row>
    <row r="887" spans="1:13">
      <c r="A887" s="966"/>
      <c r="B887" s="966"/>
      <c r="C887" s="966"/>
      <c r="D887" s="966"/>
      <c r="E887" s="966"/>
      <c r="F887" s="966"/>
      <c r="G887" s="966"/>
      <c r="H887" s="995"/>
      <c r="I887" s="966"/>
      <c r="J887" s="966"/>
      <c r="K887" s="966"/>
      <c r="L887" s="966"/>
      <c r="M887" s="971"/>
    </row>
    <row r="888" spans="1:13">
      <c r="A888" s="966"/>
      <c r="B888" s="966"/>
      <c r="C888" s="966"/>
      <c r="D888" s="966"/>
      <c r="E888" s="966"/>
      <c r="F888" s="966"/>
      <c r="G888" s="966"/>
      <c r="H888" s="995"/>
      <c r="I888" s="966"/>
      <c r="J888" s="966"/>
      <c r="K888" s="966"/>
      <c r="L888" s="966"/>
      <c r="M888" s="971"/>
    </row>
    <row r="889" spans="1:13">
      <c r="A889" s="966"/>
      <c r="B889" s="966"/>
      <c r="C889" s="966"/>
      <c r="D889" s="966"/>
      <c r="E889" s="966"/>
      <c r="F889" s="966"/>
      <c r="G889" s="966"/>
      <c r="H889" s="995"/>
      <c r="I889" s="966"/>
      <c r="J889" s="966"/>
      <c r="K889" s="966"/>
      <c r="L889" s="966"/>
      <c r="M889" s="971"/>
    </row>
    <row r="890" spans="1:13">
      <c r="A890" s="966"/>
      <c r="B890" s="966"/>
      <c r="C890" s="966"/>
      <c r="D890" s="966"/>
      <c r="E890" s="966"/>
      <c r="F890" s="966"/>
      <c r="G890" s="966"/>
      <c r="H890" s="995"/>
      <c r="I890" s="966"/>
      <c r="J890" s="966"/>
      <c r="K890" s="966"/>
      <c r="L890" s="966"/>
      <c r="M890" s="971"/>
    </row>
    <row r="891" spans="1:13">
      <c r="A891" s="966"/>
      <c r="B891" s="966"/>
      <c r="C891" s="966"/>
      <c r="D891" s="966"/>
      <c r="E891" s="966"/>
      <c r="F891" s="966"/>
      <c r="G891" s="966"/>
      <c r="H891" s="995"/>
      <c r="I891" s="966"/>
      <c r="J891" s="966"/>
      <c r="K891" s="966"/>
      <c r="L891" s="966"/>
      <c r="M891" s="971"/>
    </row>
    <row r="892" spans="1:13">
      <c r="A892" s="966"/>
      <c r="B892" s="966"/>
      <c r="C892" s="966"/>
      <c r="D892" s="966"/>
      <c r="E892" s="966"/>
      <c r="F892" s="966"/>
      <c r="G892" s="966"/>
      <c r="H892" s="995"/>
      <c r="I892" s="966"/>
      <c r="J892" s="966"/>
      <c r="K892" s="966"/>
      <c r="L892" s="966"/>
      <c r="M892" s="971"/>
    </row>
    <row r="893" spans="1:13">
      <c r="A893" s="966"/>
      <c r="B893" s="966"/>
      <c r="C893" s="966"/>
      <c r="D893" s="966"/>
      <c r="E893" s="966"/>
      <c r="F893" s="966"/>
      <c r="G893" s="966"/>
      <c r="H893" s="995"/>
      <c r="I893" s="966"/>
      <c r="J893" s="966"/>
      <c r="K893" s="966"/>
      <c r="L893" s="966"/>
      <c r="M893" s="971"/>
    </row>
    <row r="894" spans="1:13">
      <c r="A894" s="966"/>
      <c r="B894" s="966"/>
      <c r="C894" s="966"/>
      <c r="D894" s="966"/>
      <c r="E894" s="966"/>
      <c r="F894" s="966"/>
      <c r="G894" s="966"/>
      <c r="H894" s="995"/>
      <c r="I894" s="966"/>
      <c r="J894" s="966"/>
      <c r="K894" s="966"/>
      <c r="L894" s="966"/>
      <c r="M894" s="971"/>
    </row>
    <row r="895" spans="1:13">
      <c r="A895" s="966"/>
      <c r="B895" s="966"/>
      <c r="C895" s="966"/>
      <c r="D895" s="966"/>
      <c r="E895" s="966"/>
      <c r="F895" s="966"/>
      <c r="G895" s="966"/>
      <c r="H895" s="995"/>
      <c r="I895" s="966"/>
      <c r="J895" s="966"/>
      <c r="K895" s="966"/>
      <c r="L895" s="966"/>
      <c r="M895" s="971"/>
    </row>
    <row r="896" spans="1:13">
      <c r="A896" s="966"/>
      <c r="B896" s="966"/>
      <c r="C896" s="966"/>
      <c r="D896" s="966"/>
      <c r="E896" s="966"/>
      <c r="F896" s="966"/>
      <c r="G896" s="966"/>
      <c r="H896" s="995"/>
      <c r="I896" s="966"/>
      <c r="J896" s="966"/>
      <c r="K896" s="966"/>
      <c r="L896" s="966"/>
      <c r="M896" s="971"/>
    </row>
    <row r="897" spans="1:13">
      <c r="A897" s="966"/>
      <c r="B897" s="966"/>
      <c r="C897" s="966"/>
      <c r="D897" s="966"/>
      <c r="E897" s="966"/>
      <c r="F897" s="966"/>
      <c r="G897" s="966"/>
      <c r="H897" s="995"/>
      <c r="I897" s="966"/>
      <c r="J897" s="966"/>
      <c r="K897" s="966"/>
      <c r="L897" s="966"/>
      <c r="M897" s="971"/>
    </row>
    <row r="898" spans="1:13">
      <c r="A898" s="966"/>
      <c r="B898" s="966"/>
      <c r="C898" s="966"/>
      <c r="D898" s="966"/>
      <c r="E898" s="966"/>
      <c r="F898" s="966"/>
      <c r="G898" s="966"/>
      <c r="H898" s="995"/>
      <c r="I898" s="966"/>
      <c r="J898" s="966"/>
      <c r="K898" s="966"/>
      <c r="L898" s="966"/>
      <c r="M898" s="971"/>
    </row>
    <row r="899" spans="1:13">
      <c r="A899" s="966"/>
      <c r="B899" s="966"/>
      <c r="C899" s="966"/>
      <c r="D899" s="966"/>
      <c r="E899" s="966"/>
      <c r="F899" s="966"/>
      <c r="G899" s="966"/>
      <c r="H899" s="995"/>
      <c r="I899" s="966"/>
      <c r="J899" s="966"/>
      <c r="K899" s="966"/>
      <c r="L899" s="966"/>
      <c r="M899" s="971"/>
    </row>
    <row r="900" spans="1:13">
      <c r="A900" s="966"/>
      <c r="B900" s="966"/>
      <c r="C900" s="966"/>
      <c r="D900" s="966"/>
      <c r="E900" s="966"/>
      <c r="F900" s="966"/>
      <c r="G900" s="966"/>
      <c r="H900" s="995"/>
      <c r="I900" s="966"/>
      <c r="J900" s="966"/>
      <c r="K900" s="966"/>
      <c r="L900" s="966"/>
      <c r="M900" s="971"/>
    </row>
    <row r="901" spans="1:13">
      <c r="A901" s="966"/>
      <c r="B901" s="966"/>
      <c r="C901" s="966"/>
      <c r="D901" s="966"/>
      <c r="E901" s="966"/>
      <c r="F901" s="966"/>
      <c r="G901" s="966"/>
      <c r="H901" s="995"/>
      <c r="I901" s="966"/>
      <c r="J901" s="966"/>
      <c r="K901" s="966"/>
      <c r="L901" s="966"/>
      <c r="M901" s="971"/>
    </row>
    <row r="902" spans="1:13">
      <c r="A902" s="966"/>
      <c r="B902" s="966"/>
      <c r="C902" s="966"/>
      <c r="D902" s="966"/>
      <c r="E902" s="966"/>
      <c r="F902" s="966"/>
      <c r="G902" s="966"/>
      <c r="H902" s="995"/>
      <c r="I902" s="966"/>
      <c r="J902" s="966"/>
      <c r="K902" s="966"/>
      <c r="L902" s="966"/>
      <c r="M902" s="971"/>
    </row>
    <row r="903" spans="1:13">
      <c r="A903" s="966"/>
      <c r="B903" s="966"/>
      <c r="C903" s="966"/>
      <c r="D903" s="966"/>
      <c r="E903" s="966"/>
      <c r="F903" s="966"/>
      <c r="G903" s="966"/>
      <c r="H903" s="995"/>
      <c r="I903" s="966"/>
      <c r="J903" s="966"/>
      <c r="K903" s="966"/>
      <c r="L903" s="966"/>
      <c r="M903" s="971"/>
    </row>
    <row r="904" spans="1:13">
      <c r="A904" s="966"/>
      <c r="B904" s="966"/>
      <c r="C904" s="966"/>
      <c r="D904" s="966"/>
      <c r="E904" s="966"/>
      <c r="F904" s="966"/>
      <c r="G904" s="966"/>
      <c r="H904" s="995"/>
      <c r="I904" s="966"/>
      <c r="J904" s="966"/>
      <c r="K904" s="966"/>
      <c r="L904" s="966"/>
      <c r="M904" s="971"/>
    </row>
    <row r="905" spans="1:13">
      <c r="A905" s="966"/>
      <c r="B905" s="966"/>
      <c r="C905" s="966"/>
      <c r="D905" s="966"/>
      <c r="E905" s="966"/>
      <c r="F905" s="966"/>
      <c r="G905" s="966"/>
      <c r="H905" s="995"/>
      <c r="I905" s="966"/>
      <c r="J905" s="966"/>
      <c r="K905" s="966"/>
      <c r="L905" s="966"/>
      <c r="M905" s="971"/>
    </row>
    <row r="906" spans="1:13">
      <c r="A906" s="966"/>
      <c r="B906" s="966"/>
      <c r="C906" s="966"/>
      <c r="D906" s="966"/>
      <c r="E906" s="966"/>
      <c r="F906" s="966"/>
      <c r="G906" s="966"/>
      <c r="H906" s="995"/>
      <c r="I906" s="966"/>
      <c r="J906" s="966"/>
      <c r="K906" s="966"/>
      <c r="L906" s="966"/>
      <c r="M906" s="971"/>
    </row>
    <row r="907" spans="1:13">
      <c r="A907" s="966"/>
      <c r="B907" s="966"/>
      <c r="C907" s="966"/>
      <c r="D907" s="966"/>
      <c r="E907" s="966"/>
      <c r="F907" s="966"/>
      <c r="G907" s="966"/>
      <c r="H907" s="995"/>
      <c r="I907" s="966"/>
      <c r="J907" s="966"/>
      <c r="K907" s="966"/>
      <c r="L907" s="966"/>
      <c r="M907" s="971"/>
    </row>
    <row r="908" spans="1:13">
      <c r="A908" s="966"/>
      <c r="B908" s="966"/>
      <c r="C908" s="966"/>
      <c r="D908" s="966"/>
      <c r="E908" s="966"/>
      <c r="F908" s="966"/>
      <c r="G908" s="966"/>
      <c r="H908" s="995"/>
      <c r="I908" s="966"/>
      <c r="J908" s="966"/>
      <c r="K908" s="966"/>
      <c r="L908" s="966"/>
      <c r="M908" s="971"/>
    </row>
    <row r="909" spans="1:13">
      <c r="A909" s="966"/>
      <c r="B909" s="966"/>
      <c r="C909" s="966"/>
      <c r="D909" s="966"/>
      <c r="E909" s="966"/>
      <c r="F909" s="966"/>
      <c r="G909" s="966"/>
      <c r="H909" s="995"/>
      <c r="I909" s="966"/>
      <c r="J909" s="966"/>
      <c r="K909" s="966"/>
      <c r="L909" s="966"/>
      <c r="M909" s="971"/>
    </row>
    <row r="910" spans="1:13">
      <c r="A910" s="966"/>
      <c r="B910" s="966"/>
      <c r="C910" s="966"/>
      <c r="D910" s="966"/>
      <c r="E910" s="966"/>
      <c r="F910" s="966"/>
      <c r="G910" s="966"/>
      <c r="H910" s="995"/>
      <c r="I910" s="966"/>
      <c r="J910" s="966"/>
      <c r="K910" s="966"/>
      <c r="L910" s="966"/>
      <c r="M910" s="971"/>
    </row>
    <row r="911" spans="1:13">
      <c r="A911" s="966"/>
      <c r="B911" s="966"/>
      <c r="C911" s="966"/>
      <c r="D911" s="966"/>
      <c r="E911" s="966"/>
      <c r="F911" s="966"/>
      <c r="G911" s="966"/>
      <c r="H911" s="995"/>
      <c r="I911" s="966"/>
      <c r="J911" s="966"/>
      <c r="K911" s="966"/>
      <c r="L911" s="966"/>
      <c r="M911" s="971"/>
    </row>
    <row r="912" spans="1:13">
      <c r="A912" s="966"/>
      <c r="B912" s="966"/>
      <c r="C912" s="966"/>
      <c r="D912" s="966"/>
      <c r="E912" s="966"/>
      <c r="F912" s="966"/>
      <c r="G912" s="966"/>
      <c r="H912" s="995"/>
      <c r="I912" s="966"/>
      <c r="J912" s="966"/>
      <c r="K912" s="966"/>
      <c r="L912" s="966"/>
      <c r="M912" s="971"/>
    </row>
    <row r="913" spans="1:13">
      <c r="A913" s="966"/>
      <c r="B913" s="966"/>
      <c r="C913" s="966"/>
      <c r="D913" s="966"/>
      <c r="E913" s="966"/>
      <c r="F913" s="966"/>
      <c r="G913" s="966"/>
      <c r="H913" s="995"/>
      <c r="I913" s="966"/>
      <c r="J913" s="966"/>
      <c r="K913" s="966"/>
      <c r="L913" s="966"/>
      <c r="M913" s="971"/>
    </row>
    <row r="914" spans="1:13">
      <c r="A914" s="966"/>
      <c r="B914" s="966"/>
      <c r="C914" s="966"/>
      <c r="D914" s="966"/>
      <c r="E914" s="966"/>
      <c r="F914" s="966"/>
      <c r="G914" s="966"/>
      <c r="H914" s="995"/>
      <c r="I914" s="966"/>
      <c r="J914" s="966"/>
      <c r="K914" s="966"/>
      <c r="L914" s="966"/>
      <c r="M914" s="971"/>
    </row>
    <row r="915" spans="1:13">
      <c r="A915" s="966"/>
      <c r="B915" s="966"/>
      <c r="C915" s="966"/>
      <c r="D915" s="966"/>
      <c r="E915" s="966"/>
      <c r="F915" s="966"/>
      <c r="G915" s="966"/>
      <c r="H915" s="995"/>
      <c r="I915" s="966"/>
      <c r="J915" s="966"/>
      <c r="K915" s="966"/>
      <c r="L915" s="966"/>
      <c r="M915" s="971"/>
    </row>
    <row r="916" spans="1:13">
      <c r="A916" s="966"/>
      <c r="B916" s="966"/>
      <c r="C916" s="966"/>
      <c r="D916" s="966"/>
      <c r="E916" s="966"/>
      <c r="F916" s="966"/>
      <c r="G916" s="966"/>
      <c r="H916" s="995"/>
      <c r="I916" s="966"/>
      <c r="J916" s="966"/>
      <c r="K916" s="966"/>
      <c r="L916" s="966"/>
      <c r="M916" s="971"/>
    </row>
    <row r="917" spans="1:13">
      <c r="A917" s="966"/>
      <c r="B917" s="966"/>
      <c r="C917" s="966"/>
      <c r="D917" s="966"/>
      <c r="E917" s="966"/>
      <c r="F917" s="966"/>
      <c r="G917" s="966"/>
      <c r="H917" s="995"/>
      <c r="I917" s="966"/>
      <c r="J917" s="966"/>
      <c r="K917" s="966"/>
      <c r="L917" s="966"/>
      <c r="M917" s="971"/>
    </row>
    <row r="918" spans="1:13">
      <c r="A918" s="966"/>
      <c r="B918" s="966"/>
      <c r="C918" s="966"/>
      <c r="D918" s="966"/>
      <c r="E918" s="966"/>
      <c r="F918" s="966"/>
      <c r="G918" s="966"/>
      <c r="H918" s="995"/>
      <c r="I918" s="966"/>
      <c r="J918" s="966"/>
      <c r="K918" s="966"/>
      <c r="L918" s="966"/>
      <c r="M918" s="971"/>
    </row>
    <row r="919" spans="1:13">
      <c r="A919" s="966"/>
      <c r="B919" s="966"/>
      <c r="C919" s="966"/>
      <c r="D919" s="966"/>
      <c r="E919" s="966"/>
      <c r="F919" s="966"/>
      <c r="G919" s="966"/>
      <c r="H919" s="995"/>
      <c r="I919" s="966"/>
      <c r="J919" s="966"/>
      <c r="K919" s="966"/>
      <c r="L919" s="966"/>
      <c r="M919" s="971"/>
    </row>
    <row r="920" spans="1:13">
      <c r="A920" s="966"/>
      <c r="B920" s="966"/>
      <c r="C920" s="966"/>
      <c r="D920" s="966"/>
      <c r="E920" s="966"/>
      <c r="F920" s="966"/>
      <c r="G920" s="966"/>
      <c r="H920" s="995"/>
      <c r="I920" s="966"/>
      <c r="J920" s="966"/>
      <c r="K920" s="966"/>
      <c r="L920" s="966"/>
      <c r="M920" s="971"/>
    </row>
    <row r="921" spans="1:13">
      <c r="A921" s="966"/>
      <c r="B921" s="966"/>
      <c r="C921" s="966"/>
      <c r="D921" s="966"/>
      <c r="E921" s="966"/>
      <c r="F921" s="966"/>
      <c r="G921" s="966"/>
      <c r="H921" s="995"/>
      <c r="I921" s="966"/>
      <c r="J921" s="966"/>
      <c r="K921" s="966"/>
      <c r="L921" s="966"/>
      <c r="M921" s="971"/>
    </row>
    <row r="922" spans="1:13">
      <c r="A922" s="966"/>
      <c r="B922" s="966"/>
      <c r="C922" s="966"/>
      <c r="D922" s="966"/>
      <c r="E922" s="966"/>
      <c r="F922" s="966"/>
      <c r="G922" s="966"/>
      <c r="H922" s="995"/>
      <c r="I922" s="966"/>
      <c r="J922" s="966"/>
      <c r="K922" s="966"/>
      <c r="L922" s="966"/>
      <c r="M922" s="971"/>
    </row>
    <row r="923" spans="1:13">
      <c r="A923" s="966"/>
      <c r="B923" s="966"/>
      <c r="C923" s="966"/>
      <c r="D923" s="966"/>
      <c r="E923" s="966"/>
      <c r="F923" s="966"/>
      <c r="G923" s="966"/>
      <c r="H923" s="995"/>
      <c r="I923" s="966"/>
      <c r="J923" s="966"/>
      <c r="K923" s="966"/>
      <c r="L923" s="966"/>
      <c r="M923" s="971"/>
    </row>
    <row r="924" spans="1:13">
      <c r="A924" s="966"/>
      <c r="B924" s="966"/>
      <c r="C924" s="966"/>
      <c r="D924" s="966"/>
      <c r="E924" s="966"/>
      <c r="F924" s="966"/>
      <c r="G924" s="966"/>
      <c r="H924" s="995"/>
      <c r="I924" s="966"/>
      <c r="J924" s="966"/>
      <c r="K924" s="966"/>
      <c r="L924" s="966"/>
      <c r="M924" s="971"/>
    </row>
    <row r="925" spans="1:13">
      <c r="A925" s="966"/>
      <c r="B925" s="966"/>
      <c r="C925" s="966"/>
      <c r="D925" s="966"/>
      <c r="E925" s="966"/>
      <c r="F925" s="966"/>
      <c r="G925" s="966"/>
      <c r="H925" s="995"/>
      <c r="I925" s="966"/>
      <c r="J925" s="966"/>
      <c r="K925" s="966"/>
      <c r="L925" s="966"/>
      <c r="M925" s="971"/>
    </row>
    <row r="926" spans="1:13">
      <c r="A926" s="966"/>
      <c r="B926" s="966"/>
      <c r="C926" s="966"/>
      <c r="D926" s="966"/>
      <c r="E926" s="966"/>
      <c r="F926" s="966"/>
      <c r="G926" s="966"/>
      <c r="H926" s="995"/>
      <c r="I926" s="966"/>
      <c r="J926" s="966"/>
      <c r="K926" s="966"/>
      <c r="L926" s="966"/>
      <c r="M926" s="971"/>
    </row>
    <row r="927" spans="1:13">
      <c r="A927" s="966"/>
      <c r="B927" s="966"/>
      <c r="C927" s="966"/>
      <c r="D927" s="966"/>
      <c r="E927" s="966"/>
      <c r="F927" s="966"/>
      <c r="G927" s="966"/>
      <c r="H927" s="995"/>
      <c r="I927" s="966"/>
      <c r="J927" s="966"/>
      <c r="K927" s="966"/>
      <c r="L927" s="966"/>
      <c r="M927" s="971"/>
    </row>
    <row r="928" spans="1:13">
      <c r="A928" s="966"/>
      <c r="B928" s="966"/>
      <c r="C928" s="966"/>
      <c r="D928" s="966"/>
      <c r="E928" s="966"/>
      <c r="F928" s="966"/>
      <c r="G928" s="966"/>
      <c r="H928" s="995"/>
      <c r="I928" s="966"/>
      <c r="J928" s="966"/>
      <c r="K928" s="966"/>
      <c r="L928" s="966"/>
      <c r="M928" s="971"/>
    </row>
    <row r="929" spans="1:13">
      <c r="A929" s="966"/>
      <c r="B929" s="966"/>
      <c r="C929" s="966"/>
      <c r="D929" s="966"/>
      <c r="E929" s="966"/>
      <c r="F929" s="966"/>
      <c r="G929" s="966"/>
      <c r="H929" s="995"/>
      <c r="I929" s="966"/>
      <c r="J929" s="966"/>
      <c r="K929" s="966"/>
      <c r="L929" s="966"/>
      <c r="M929" s="971"/>
    </row>
    <row r="930" spans="1:13">
      <c r="A930" s="966"/>
      <c r="B930" s="966"/>
      <c r="C930" s="966"/>
      <c r="D930" s="966"/>
      <c r="E930" s="966"/>
      <c r="F930" s="966"/>
      <c r="G930" s="966"/>
      <c r="H930" s="995"/>
      <c r="I930" s="966"/>
      <c r="J930" s="966"/>
      <c r="K930" s="966"/>
      <c r="L930" s="966"/>
      <c r="M930" s="971"/>
    </row>
    <row r="931" spans="1:13">
      <c r="A931" s="966"/>
      <c r="B931" s="966"/>
      <c r="C931" s="966"/>
      <c r="D931" s="966"/>
      <c r="E931" s="966"/>
      <c r="F931" s="966"/>
      <c r="G931" s="966"/>
      <c r="H931" s="995"/>
      <c r="I931" s="966"/>
      <c r="J931" s="966"/>
      <c r="K931" s="966"/>
      <c r="L931" s="966"/>
      <c r="M931" s="971"/>
    </row>
    <row r="932" spans="1:13">
      <c r="A932" s="966"/>
      <c r="B932" s="966"/>
      <c r="C932" s="966"/>
      <c r="D932" s="966"/>
      <c r="E932" s="966"/>
      <c r="F932" s="966"/>
      <c r="G932" s="966"/>
      <c r="H932" s="995"/>
      <c r="I932" s="966"/>
      <c r="J932" s="966"/>
      <c r="K932" s="966"/>
      <c r="L932" s="966"/>
      <c r="M932" s="971"/>
    </row>
    <row r="933" spans="1:13">
      <c r="A933" s="966"/>
      <c r="B933" s="966"/>
      <c r="C933" s="966"/>
      <c r="D933" s="966"/>
      <c r="E933" s="966"/>
      <c r="F933" s="966"/>
      <c r="G933" s="966"/>
      <c r="H933" s="995"/>
      <c r="I933" s="966"/>
      <c r="J933" s="966"/>
      <c r="K933" s="966"/>
      <c r="L933" s="966"/>
      <c r="M933" s="971"/>
    </row>
    <row r="934" spans="1:13">
      <c r="A934" s="966"/>
      <c r="B934" s="966"/>
      <c r="C934" s="966"/>
      <c r="D934" s="966"/>
      <c r="E934" s="966"/>
      <c r="F934" s="966"/>
      <c r="G934" s="966"/>
      <c r="H934" s="995"/>
      <c r="I934" s="966"/>
      <c r="J934" s="966"/>
      <c r="K934" s="966"/>
      <c r="L934" s="966"/>
      <c r="M934" s="971"/>
    </row>
    <row r="935" spans="1:13">
      <c r="A935" s="966"/>
      <c r="B935" s="966"/>
      <c r="C935" s="966"/>
      <c r="D935" s="966"/>
      <c r="E935" s="966"/>
      <c r="F935" s="966"/>
      <c r="G935" s="966"/>
      <c r="H935" s="995"/>
      <c r="I935" s="966"/>
      <c r="J935" s="966"/>
      <c r="K935" s="966"/>
      <c r="L935" s="966"/>
      <c r="M935" s="971"/>
    </row>
    <row r="936" spans="1:13">
      <c r="A936" s="966"/>
      <c r="B936" s="966"/>
      <c r="C936" s="966"/>
      <c r="D936" s="966"/>
      <c r="E936" s="966"/>
      <c r="F936" s="966"/>
      <c r="G936" s="966"/>
      <c r="H936" s="995"/>
      <c r="I936" s="966"/>
      <c r="J936" s="966"/>
      <c r="K936" s="966"/>
      <c r="L936" s="966"/>
      <c r="M936" s="971"/>
    </row>
    <row r="937" spans="1:13">
      <c r="A937" s="966"/>
      <c r="B937" s="966"/>
      <c r="C937" s="966"/>
      <c r="D937" s="966"/>
      <c r="E937" s="966"/>
      <c r="F937" s="966"/>
      <c r="G937" s="966"/>
      <c r="H937" s="995"/>
      <c r="I937" s="966"/>
      <c r="J937" s="966"/>
      <c r="K937" s="966"/>
      <c r="L937" s="966"/>
      <c r="M937" s="971"/>
    </row>
    <row r="938" spans="1:13">
      <c r="A938" s="966"/>
      <c r="B938" s="966"/>
      <c r="C938" s="966"/>
      <c r="D938" s="966"/>
      <c r="E938" s="966"/>
      <c r="F938" s="966"/>
      <c r="G938" s="966"/>
      <c r="H938" s="995"/>
      <c r="I938" s="966"/>
      <c r="J938" s="966"/>
      <c r="K938" s="966"/>
      <c r="L938" s="966"/>
      <c r="M938" s="971"/>
    </row>
    <row r="939" spans="1:13">
      <c r="A939" s="966"/>
      <c r="B939" s="966"/>
      <c r="C939" s="966"/>
      <c r="D939" s="966"/>
      <c r="E939" s="966"/>
      <c r="F939" s="966"/>
      <c r="G939" s="966"/>
      <c r="H939" s="995"/>
      <c r="I939" s="966"/>
      <c r="J939" s="966"/>
      <c r="K939" s="966"/>
      <c r="L939" s="966"/>
      <c r="M939" s="971"/>
    </row>
    <row r="940" spans="1:13">
      <c r="A940" s="966"/>
      <c r="B940" s="966"/>
      <c r="C940" s="966"/>
      <c r="D940" s="966"/>
      <c r="E940" s="966"/>
      <c r="F940" s="966"/>
      <c r="G940" s="966"/>
      <c r="H940" s="995"/>
      <c r="I940" s="966"/>
      <c r="J940" s="966"/>
      <c r="K940" s="966"/>
      <c r="L940" s="966"/>
      <c r="M940" s="971"/>
    </row>
    <row r="941" spans="1:13">
      <c r="A941" s="966"/>
      <c r="B941" s="966"/>
      <c r="C941" s="966"/>
      <c r="D941" s="966"/>
      <c r="E941" s="966"/>
      <c r="F941" s="966"/>
      <c r="G941" s="966"/>
      <c r="H941" s="995"/>
      <c r="I941" s="966"/>
      <c r="J941" s="966"/>
      <c r="K941" s="966"/>
      <c r="L941" s="966"/>
      <c r="M941" s="971"/>
    </row>
    <row r="942" spans="1:13">
      <c r="A942" s="966"/>
      <c r="B942" s="966"/>
      <c r="C942" s="966"/>
      <c r="D942" s="966"/>
      <c r="E942" s="966"/>
      <c r="F942" s="966"/>
      <c r="G942" s="966"/>
      <c r="H942" s="995"/>
      <c r="I942" s="966"/>
      <c r="J942" s="966"/>
      <c r="K942" s="966"/>
      <c r="L942" s="966"/>
      <c r="M942" s="971"/>
    </row>
    <row r="943" spans="1:13">
      <c r="A943" s="966"/>
      <c r="B943" s="966"/>
      <c r="C943" s="966"/>
      <c r="D943" s="966"/>
      <c r="E943" s="966"/>
      <c r="F943" s="966"/>
      <c r="G943" s="966"/>
      <c r="H943" s="995"/>
      <c r="I943" s="966"/>
      <c r="J943" s="966"/>
      <c r="K943" s="966"/>
      <c r="L943" s="966"/>
      <c r="M943" s="971"/>
    </row>
    <row r="944" spans="1:13">
      <c r="A944" s="966"/>
      <c r="B944" s="966"/>
      <c r="C944" s="966"/>
      <c r="D944" s="966"/>
      <c r="E944" s="966"/>
      <c r="F944" s="966"/>
      <c r="G944" s="966"/>
      <c r="H944" s="995"/>
      <c r="I944" s="966"/>
      <c r="J944" s="966"/>
      <c r="K944" s="966"/>
      <c r="L944" s="966"/>
      <c r="M944" s="971"/>
    </row>
    <row r="945" spans="1:13">
      <c r="A945" s="966"/>
      <c r="B945" s="966"/>
      <c r="C945" s="966"/>
      <c r="D945" s="966"/>
      <c r="E945" s="966"/>
      <c r="F945" s="966"/>
      <c r="G945" s="966"/>
      <c r="H945" s="995"/>
      <c r="I945" s="966"/>
      <c r="J945" s="966"/>
      <c r="K945" s="966"/>
      <c r="L945" s="966"/>
      <c r="M945" s="971"/>
    </row>
    <row r="946" spans="1:13">
      <c r="A946" s="966"/>
      <c r="B946" s="966"/>
      <c r="C946" s="966"/>
      <c r="D946" s="966"/>
      <c r="E946" s="966"/>
      <c r="F946" s="966"/>
      <c r="G946" s="966"/>
      <c r="H946" s="995"/>
      <c r="I946" s="966"/>
      <c r="J946" s="966"/>
      <c r="K946" s="966"/>
      <c r="L946" s="966"/>
      <c r="M946" s="971"/>
    </row>
    <row r="947" spans="1:13">
      <c r="A947" s="966"/>
      <c r="B947" s="966"/>
      <c r="C947" s="966"/>
      <c r="D947" s="966"/>
      <c r="E947" s="966"/>
      <c r="F947" s="966"/>
      <c r="G947" s="966"/>
      <c r="H947" s="995"/>
      <c r="I947" s="966"/>
      <c r="J947" s="966"/>
      <c r="K947" s="966"/>
      <c r="L947" s="966"/>
      <c r="M947" s="971"/>
    </row>
    <row r="948" spans="1:13">
      <c r="A948" s="966"/>
      <c r="B948" s="966"/>
      <c r="C948" s="966"/>
      <c r="D948" s="966"/>
      <c r="E948" s="966"/>
      <c r="F948" s="966"/>
      <c r="G948" s="966"/>
      <c r="H948" s="995"/>
      <c r="I948" s="966"/>
      <c r="J948" s="966"/>
      <c r="K948" s="966"/>
      <c r="L948" s="966"/>
      <c r="M948" s="971"/>
    </row>
    <row r="949" spans="1:13">
      <c r="A949" s="966"/>
      <c r="B949" s="966"/>
      <c r="C949" s="966"/>
      <c r="D949" s="966"/>
      <c r="E949" s="966"/>
      <c r="F949" s="966"/>
      <c r="G949" s="966"/>
      <c r="H949" s="995"/>
      <c r="I949" s="966"/>
      <c r="J949" s="966"/>
      <c r="K949" s="966"/>
      <c r="L949" s="966"/>
      <c r="M949" s="971"/>
    </row>
    <row r="950" spans="1:13">
      <c r="A950" s="966"/>
      <c r="B950" s="966"/>
      <c r="C950" s="966"/>
      <c r="D950" s="966"/>
      <c r="E950" s="966"/>
      <c r="F950" s="966"/>
      <c r="G950" s="966"/>
      <c r="H950" s="995"/>
      <c r="I950" s="966"/>
      <c r="J950" s="966"/>
      <c r="K950" s="966"/>
      <c r="L950" s="966"/>
      <c r="M950" s="971"/>
    </row>
    <row r="951" spans="1:13">
      <c r="A951" s="966"/>
      <c r="B951" s="966"/>
      <c r="C951" s="966"/>
      <c r="D951" s="966"/>
      <c r="E951" s="966"/>
      <c r="F951" s="966"/>
      <c r="G951" s="966"/>
      <c r="H951" s="995"/>
      <c r="I951" s="966"/>
      <c r="J951" s="966"/>
      <c r="K951" s="966"/>
      <c r="L951" s="966"/>
      <c r="M951" s="971"/>
    </row>
    <row r="952" spans="1:13">
      <c r="A952" s="966"/>
      <c r="B952" s="966"/>
      <c r="C952" s="966"/>
      <c r="D952" s="966"/>
      <c r="E952" s="966"/>
      <c r="F952" s="966"/>
      <c r="G952" s="966"/>
      <c r="H952" s="995"/>
      <c r="I952" s="966"/>
      <c r="J952" s="966"/>
      <c r="K952" s="966"/>
      <c r="L952" s="966"/>
      <c r="M952" s="971"/>
    </row>
    <row r="953" spans="1:13">
      <c r="A953" s="966"/>
      <c r="B953" s="966"/>
      <c r="C953" s="966"/>
      <c r="D953" s="966"/>
      <c r="E953" s="966"/>
      <c r="F953" s="966"/>
      <c r="G953" s="966"/>
      <c r="H953" s="995"/>
      <c r="I953" s="966"/>
      <c r="J953" s="966"/>
      <c r="K953" s="966"/>
      <c r="L953" s="966"/>
      <c r="M953" s="971"/>
    </row>
    <row r="954" spans="1:13">
      <c r="A954" s="966"/>
      <c r="B954" s="966"/>
      <c r="C954" s="966"/>
      <c r="D954" s="966"/>
      <c r="E954" s="966"/>
      <c r="F954" s="966"/>
      <c r="G954" s="966"/>
      <c r="H954" s="995"/>
      <c r="I954" s="966"/>
      <c r="J954" s="966"/>
      <c r="K954" s="966"/>
      <c r="L954" s="966"/>
      <c r="M954" s="971"/>
    </row>
    <row r="955" spans="1:13">
      <c r="A955" s="966"/>
      <c r="B955" s="966"/>
      <c r="C955" s="966"/>
      <c r="D955" s="966"/>
      <c r="E955" s="966"/>
      <c r="F955" s="966"/>
      <c r="G955" s="966"/>
      <c r="H955" s="995"/>
      <c r="I955" s="966"/>
      <c r="J955" s="966"/>
      <c r="K955" s="966"/>
      <c r="L955" s="966"/>
      <c r="M955" s="971"/>
    </row>
    <row r="956" spans="1:13">
      <c r="A956" s="966"/>
      <c r="B956" s="966"/>
      <c r="C956" s="966"/>
      <c r="D956" s="966"/>
      <c r="E956" s="966"/>
      <c r="F956" s="966"/>
      <c r="G956" s="966"/>
      <c r="H956" s="995"/>
      <c r="I956" s="966"/>
      <c r="J956" s="966"/>
      <c r="K956" s="966"/>
      <c r="L956" s="966"/>
      <c r="M956" s="971"/>
    </row>
    <row r="957" spans="1:13">
      <c r="A957" s="966"/>
      <c r="B957" s="966"/>
      <c r="C957" s="966"/>
      <c r="D957" s="966"/>
      <c r="E957" s="966"/>
      <c r="F957" s="966"/>
      <c r="G957" s="966"/>
      <c r="H957" s="995"/>
      <c r="I957" s="966"/>
      <c r="J957" s="966"/>
      <c r="K957" s="966"/>
      <c r="L957" s="966"/>
      <c r="M957" s="971"/>
    </row>
    <row r="958" spans="1:13">
      <c r="A958" s="966"/>
      <c r="B958" s="966"/>
      <c r="C958" s="966"/>
      <c r="D958" s="966"/>
      <c r="E958" s="966"/>
      <c r="F958" s="966"/>
      <c r="G958" s="966"/>
      <c r="H958" s="995"/>
      <c r="I958" s="966"/>
      <c r="J958" s="966"/>
      <c r="K958" s="966"/>
      <c r="L958" s="966"/>
      <c r="M958" s="971"/>
    </row>
    <row r="959" spans="1:13">
      <c r="A959" s="966"/>
      <c r="B959" s="966"/>
      <c r="C959" s="966"/>
      <c r="D959" s="966"/>
      <c r="E959" s="966"/>
      <c r="F959" s="966"/>
      <c r="G959" s="966"/>
      <c r="H959" s="995"/>
      <c r="I959" s="966"/>
      <c r="J959" s="966"/>
      <c r="K959" s="966"/>
      <c r="L959" s="966"/>
      <c r="M959" s="971"/>
    </row>
    <row r="960" spans="1:13">
      <c r="A960" s="966"/>
      <c r="B960" s="966"/>
      <c r="C960" s="966"/>
      <c r="D960" s="966"/>
      <c r="E960" s="966"/>
      <c r="F960" s="966"/>
      <c r="G960" s="966"/>
      <c r="H960" s="995"/>
      <c r="I960" s="966"/>
      <c r="J960" s="966"/>
      <c r="K960" s="966"/>
      <c r="L960" s="966"/>
      <c r="M960" s="971"/>
    </row>
    <row r="961" spans="1:13">
      <c r="A961" s="966"/>
      <c r="B961" s="966"/>
      <c r="C961" s="966"/>
      <c r="D961" s="966"/>
      <c r="E961" s="966"/>
      <c r="F961" s="966"/>
      <c r="G961" s="966"/>
      <c r="H961" s="995"/>
      <c r="I961" s="966"/>
      <c r="J961" s="966"/>
      <c r="K961" s="966"/>
      <c r="L961" s="966"/>
      <c r="M961" s="971"/>
    </row>
    <row r="962" spans="1:13">
      <c r="A962" s="966"/>
      <c r="B962" s="966"/>
      <c r="C962" s="966"/>
      <c r="D962" s="966"/>
      <c r="E962" s="966"/>
      <c r="F962" s="966"/>
      <c r="G962" s="966"/>
      <c r="H962" s="995"/>
      <c r="I962" s="966"/>
      <c r="J962" s="966"/>
      <c r="K962" s="966"/>
      <c r="L962" s="966"/>
      <c r="M962" s="971"/>
    </row>
    <row r="963" spans="1:13">
      <c r="A963" s="966"/>
      <c r="B963" s="966"/>
      <c r="C963" s="966"/>
      <c r="D963" s="966"/>
      <c r="E963" s="966"/>
      <c r="F963" s="966"/>
      <c r="G963" s="966"/>
      <c r="H963" s="995"/>
      <c r="I963" s="966"/>
      <c r="J963" s="966"/>
      <c r="K963" s="966"/>
      <c r="L963" s="966"/>
      <c r="M963" s="971"/>
    </row>
    <row r="964" spans="1:13">
      <c r="A964" s="966"/>
      <c r="B964" s="966"/>
      <c r="C964" s="966"/>
      <c r="D964" s="966"/>
      <c r="E964" s="966"/>
      <c r="F964" s="966"/>
      <c r="G964" s="966"/>
      <c r="H964" s="995"/>
      <c r="I964" s="966"/>
      <c r="J964" s="966"/>
      <c r="K964" s="966"/>
      <c r="L964" s="966"/>
      <c r="M964" s="971"/>
    </row>
    <row r="965" spans="1:13">
      <c r="A965" s="966"/>
      <c r="B965" s="966"/>
      <c r="C965" s="966"/>
      <c r="D965" s="966"/>
      <c r="E965" s="966"/>
      <c r="F965" s="966"/>
      <c r="G965" s="966"/>
      <c r="H965" s="995"/>
      <c r="I965" s="966"/>
      <c r="J965" s="966"/>
      <c r="K965" s="966"/>
      <c r="L965" s="966"/>
      <c r="M965" s="971"/>
    </row>
    <row r="966" spans="1:13">
      <c r="A966" s="966"/>
      <c r="B966" s="966"/>
      <c r="C966" s="966"/>
      <c r="D966" s="966"/>
      <c r="E966" s="966"/>
      <c r="F966" s="966"/>
      <c r="G966" s="966"/>
      <c r="H966" s="995"/>
      <c r="I966" s="966"/>
      <c r="J966" s="966"/>
      <c r="K966" s="966"/>
      <c r="L966" s="966"/>
      <c r="M966" s="971"/>
    </row>
    <row r="967" spans="1:13">
      <c r="A967" s="966"/>
      <c r="B967" s="966"/>
      <c r="C967" s="966"/>
      <c r="D967" s="966"/>
      <c r="E967" s="966"/>
      <c r="F967" s="966"/>
      <c r="G967" s="966"/>
      <c r="H967" s="995"/>
      <c r="I967" s="966"/>
      <c r="J967" s="966"/>
      <c r="K967" s="966"/>
      <c r="L967" s="966"/>
      <c r="M967" s="971"/>
    </row>
    <row r="968" spans="1:13">
      <c r="A968" s="966"/>
      <c r="B968" s="966"/>
      <c r="C968" s="966"/>
      <c r="D968" s="966"/>
      <c r="E968" s="966"/>
      <c r="F968" s="966"/>
      <c r="G968" s="966"/>
      <c r="H968" s="995"/>
      <c r="I968" s="966"/>
      <c r="J968" s="966"/>
      <c r="K968" s="966"/>
      <c r="L968" s="966"/>
      <c r="M968" s="971"/>
    </row>
    <row r="969" spans="1:13">
      <c r="A969" s="966"/>
      <c r="B969" s="966"/>
      <c r="C969" s="966"/>
      <c r="D969" s="966"/>
      <c r="E969" s="966"/>
      <c r="F969" s="966"/>
      <c r="G969" s="966"/>
      <c r="H969" s="995"/>
      <c r="I969" s="966"/>
      <c r="J969" s="966"/>
      <c r="K969" s="966"/>
      <c r="L969" s="966"/>
      <c r="M969" s="971"/>
    </row>
    <row r="970" spans="1:13">
      <c r="A970" s="966"/>
      <c r="B970" s="966"/>
      <c r="C970" s="966"/>
      <c r="D970" s="966"/>
      <c r="E970" s="966"/>
      <c r="F970" s="966"/>
      <c r="G970" s="966"/>
      <c r="H970" s="995"/>
      <c r="I970" s="966"/>
      <c r="J970" s="966"/>
      <c r="K970" s="966"/>
      <c r="L970" s="966"/>
      <c r="M970" s="971"/>
    </row>
    <row r="971" spans="1:13">
      <c r="A971" s="966"/>
      <c r="B971" s="966"/>
      <c r="C971" s="966"/>
      <c r="D971" s="966"/>
      <c r="E971" s="966"/>
      <c r="F971" s="966"/>
      <c r="G971" s="966"/>
      <c r="H971" s="995"/>
      <c r="I971" s="966"/>
      <c r="J971" s="966"/>
      <c r="K971" s="966"/>
      <c r="L971" s="966"/>
      <c r="M971" s="971"/>
    </row>
    <row r="972" spans="1:13">
      <c r="A972" s="966"/>
      <c r="B972" s="966"/>
      <c r="C972" s="966"/>
      <c r="D972" s="966"/>
      <c r="E972" s="966"/>
      <c r="F972" s="966"/>
      <c r="G972" s="966"/>
      <c r="H972" s="995"/>
      <c r="I972" s="966"/>
      <c r="J972" s="966"/>
      <c r="K972" s="966"/>
      <c r="L972" s="966"/>
      <c r="M972" s="971"/>
    </row>
    <row r="973" spans="1:13">
      <c r="A973" s="966"/>
      <c r="B973" s="966"/>
      <c r="C973" s="966"/>
      <c r="D973" s="966"/>
      <c r="E973" s="966"/>
      <c r="F973" s="966"/>
      <c r="G973" s="966"/>
      <c r="H973" s="995"/>
      <c r="I973" s="966"/>
      <c r="J973" s="966"/>
      <c r="K973" s="966"/>
      <c r="L973" s="966"/>
      <c r="M973" s="971"/>
    </row>
    <row r="974" spans="1:13">
      <c r="A974" s="966"/>
      <c r="B974" s="966"/>
      <c r="C974" s="966"/>
      <c r="D974" s="966"/>
      <c r="E974" s="966"/>
      <c r="F974" s="966"/>
      <c r="G974" s="966"/>
      <c r="H974" s="995"/>
      <c r="I974" s="966"/>
      <c r="J974" s="966"/>
      <c r="K974" s="966"/>
      <c r="L974" s="966"/>
      <c r="M974" s="971"/>
    </row>
    <row r="975" spans="1:13">
      <c r="A975" s="966"/>
      <c r="B975" s="966"/>
      <c r="C975" s="966"/>
      <c r="D975" s="966"/>
      <c r="E975" s="966"/>
      <c r="F975" s="966"/>
      <c r="G975" s="966"/>
      <c r="H975" s="995"/>
      <c r="I975" s="966"/>
      <c r="J975" s="966"/>
      <c r="K975" s="966"/>
      <c r="L975" s="966"/>
      <c r="M975" s="971"/>
    </row>
    <row r="976" spans="1:13">
      <c r="A976" s="966"/>
      <c r="B976" s="966"/>
      <c r="C976" s="966"/>
      <c r="D976" s="966"/>
      <c r="E976" s="966"/>
      <c r="F976" s="966"/>
      <c r="G976" s="966"/>
      <c r="H976" s="995"/>
      <c r="I976" s="966"/>
      <c r="J976" s="966"/>
      <c r="K976" s="966"/>
      <c r="L976" s="966"/>
      <c r="M976" s="971"/>
    </row>
    <row r="977" spans="1:13">
      <c r="A977" s="966"/>
      <c r="B977" s="966"/>
      <c r="C977" s="966"/>
      <c r="D977" s="966"/>
      <c r="E977" s="966"/>
      <c r="F977" s="966"/>
      <c r="G977" s="966"/>
      <c r="H977" s="995"/>
      <c r="I977" s="966"/>
      <c r="J977" s="966"/>
      <c r="K977" s="966"/>
      <c r="L977" s="966"/>
      <c r="M977" s="971"/>
    </row>
    <row r="978" spans="1:13">
      <c r="A978" s="966"/>
      <c r="B978" s="966"/>
      <c r="C978" s="966"/>
      <c r="D978" s="966"/>
      <c r="E978" s="966"/>
      <c r="F978" s="966"/>
      <c r="G978" s="966"/>
      <c r="H978" s="995"/>
      <c r="I978" s="966"/>
      <c r="J978" s="966"/>
      <c r="K978" s="966"/>
      <c r="L978" s="966"/>
      <c r="M978" s="971"/>
    </row>
    <row r="979" spans="1:13">
      <c r="A979" s="966"/>
      <c r="B979" s="966"/>
      <c r="C979" s="966"/>
      <c r="D979" s="966"/>
      <c r="E979" s="966"/>
      <c r="F979" s="966"/>
      <c r="G979" s="966"/>
      <c r="H979" s="995"/>
      <c r="I979" s="966"/>
      <c r="J979" s="966"/>
      <c r="K979" s="966"/>
      <c r="L979" s="966"/>
      <c r="M979" s="971"/>
    </row>
    <row r="980" spans="1:13">
      <c r="A980" s="966"/>
      <c r="B980" s="966"/>
      <c r="C980" s="966"/>
      <c r="D980" s="966"/>
      <c r="E980" s="966"/>
      <c r="F980" s="966"/>
      <c r="G980" s="966"/>
      <c r="H980" s="995"/>
      <c r="I980" s="966"/>
      <c r="J980" s="966"/>
      <c r="K980" s="966"/>
      <c r="L980" s="966"/>
      <c r="M980" s="971"/>
    </row>
    <row r="981" spans="1:13">
      <c r="A981" s="966"/>
      <c r="B981" s="966"/>
      <c r="C981" s="966"/>
      <c r="D981" s="966"/>
      <c r="E981" s="966"/>
      <c r="F981" s="966"/>
      <c r="G981" s="966"/>
      <c r="H981" s="995"/>
      <c r="I981" s="966"/>
      <c r="J981" s="966"/>
      <c r="K981" s="966"/>
      <c r="L981" s="966"/>
      <c r="M981" s="971"/>
    </row>
    <row r="982" spans="1:13">
      <c r="A982" s="966"/>
      <c r="B982" s="966"/>
      <c r="C982" s="966"/>
      <c r="D982" s="966"/>
      <c r="E982" s="966"/>
      <c r="F982" s="966"/>
      <c r="G982" s="966"/>
      <c r="H982" s="995"/>
      <c r="I982" s="966"/>
      <c r="J982" s="966"/>
      <c r="K982" s="966"/>
      <c r="L982" s="966"/>
      <c r="M982" s="971"/>
    </row>
    <row r="983" spans="1:13">
      <c r="A983" s="966"/>
      <c r="B983" s="966"/>
      <c r="C983" s="966"/>
      <c r="D983" s="966"/>
      <c r="E983" s="966"/>
      <c r="F983" s="966"/>
      <c r="G983" s="966"/>
      <c r="H983" s="995"/>
      <c r="I983" s="966"/>
      <c r="J983" s="966"/>
      <c r="K983" s="966"/>
      <c r="L983" s="966"/>
      <c r="M983" s="971"/>
    </row>
    <row r="984" spans="1:13">
      <c r="A984" s="966"/>
      <c r="B984" s="966"/>
      <c r="C984" s="966"/>
      <c r="D984" s="966"/>
      <c r="E984" s="966"/>
      <c r="F984" s="966"/>
      <c r="G984" s="966"/>
      <c r="H984" s="995"/>
      <c r="I984" s="966"/>
      <c r="J984" s="966"/>
      <c r="K984" s="966"/>
      <c r="L984" s="966"/>
      <c r="M984" s="971"/>
    </row>
    <row r="985" spans="1:13">
      <c r="A985" s="966"/>
      <c r="B985" s="966"/>
      <c r="C985" s="966"/>
      <c r="D985" s="966"/>
      <c r="E985" s="966"/>
      <c r="F985" s="966"/>
      <c r="G985" s="966"/>
      <c r="H985" s="995"/>
      <c r="I985" s="966"/>
      <c r="J985" s="966"/>
      <c r="K985" s="966"/>
      <c r="L985" s="966"/>
      <c r="M985" s="971"/>
    </row>
    <row r="986" spans="1:13">
      <c r="A986" s="966"/>
      <c r="B986" s="966"/>
      <c r="C986" s="966"/>
      <c r="D986" s="966"/>
      <c r="E986" s="966"/>
      <c r="F986" s="966"/>
      <c r="G986" s="966"/>
      <c r="H986" s="995"/>
      <c r="I986" s="966"/>
      <c r="J986" s="966"/>
      <c r="K986" s="966"/>
      <c r="L986" s="966"/>
      <c r="M986" s="971"/>
    </row>
    <row r="987" spans="1:13">
      <c r="A987" s="966"/>
      <c r="B987" s="966"/>
      <c r="C987" s="966"/>
      <c r="D987" s="966"/>
      <c r="E987" s="966"/>
      <c r="F987" s="966"/>
      <c r="G987" s="966"/>
      <c r="H987" s="995"/>
      <c r="I987" s="966"/>
      <c r="J987" s="966"/>
      <c r="K987" s="966"/>
      <c r="L987" s="966"/>
      <c r="M987" s="971"/>
    </row>
    <row r="988" spans="1:13">
      <c r="A988" s="966"/>
      <c r="B988" s="966"/>
      <c r="C988" s="966"/>
      <c r="D988" s="966"/>
      <c r="E988" s="966"/>
      <c r="F988" s="966"/>
      <c r="G988" s="966"/>
      <c r="H988" s="995"/>
      <c r="I988" s="966"/>
      <c r="J988" s="966"/>
      <c r="K988" s="966"/>
      <c r="L988" s="966"/>
      <c r="M988" s="971"/>
    </row>
    <row r="989" spans="1:13">
      <c r="A989" s="966"/>
      <c r="B989" s="966"/>
      <c r="C989" s="966"/>
      <c r="D989" s="966"/>
      <c r="E989" s="966"/>
      <c r="F989" s="966"/>
      <c r="G989" s="966"/>
      <c r="H989" s="995"/>
      <c r="I989" s="966"/>
      <c r="J989" s="966"/>
      <c r="K989" s="966"/>
      <c r="L989" s="966"/>
      <c r="M989" s="971"/>
    </row>
    <row r="990" spans="1:13">
      <c r="A990" s="966"/>
      <c r="B990" s="966"/>
      <c r="C990" s="966"/>
      <c r="D990" s="966"/>
      <c r="E990" s="966"/>
      <c r="F990" s="966"/>
      <c r="G990" s="966"/>
      <c r="H990" s="995"/>
      <c r="I990" s="966"/>
      <c r="J990" s="966"/>
      <c r="K990" s="966"/>
      <c r="L990" s="966"/>
      <c r="M990" s="971"/>
    </row>
    <row r="991" spans="1:13">
      <c r="A991" s="966"/>
      <c r="B991" s="966"/>
      <c r="C991" s="966"/>
      <c r="D991" s="966"/>
      <c r="E991" s="966"/>
      <c r="F991" s="966"/>
      <c r="G991" s="966"/>
      <c r="H991" s="995"/>
      <c r="I991" s="966"/>
      <c r="J991" s="966"/>
      <c r="K991" s="966"/>
      <c r="L991" s="966"/>
      <c r="M991" s="971"/>
    </row>
    <row r="992" spans="1:13">
      <c r="A992" s="966"/>
      <c r="B992" s="966"/>
      <c r="C992" s="966"/>
      <c r="D992" s="966"/>
      <c r="E992" s="966"/>
      <c r="F992" s="966"/>
      <c r="G992" s="966"/>
      <c r="H992" s="995"/>
      <c r="I992" s="966"/>
      <c r="J992" s="966"/>
      <c r="K992" s="966"/>
      <c r="L992" s="966"/>
      <c r="M992" s="971"/>
    </row>
    <row r="993" spans="1:13">
      <c r="A993" s="966"/>
      <c r="B993" s="966"/>
      <c r="C993" s="966"/>
      <c r="D993" s="966"/>
      <c r="E993" s="966"/>
      <c r="F993" s="966"/>
      <c r="G993" s="966"/>
      <c r="H993" s="995"/>
      <c r="I993" s="966"/>
      <c r="J993" s="966"/>
      <c r="K993" s="966"/>
      <c r="L993" s="966"/>
      <c r="M993" s="971"/>
    </row>
    <row r="994" spans="1:13">
      <c r="A994" s="966"/>
      <c r="B994" s="966"/>
      <c r="C994" s="966"/>
      <c r="D994" s="966"/>
      <c r="E994" s="966"/>
      <c r="F994" s="966"/>
      <c r="G994" s="966"/>
      <c r="H994" s="995"/>
      <c r="I994" s="966"/>
      <c r="J994" s="966"/>
      <c r="K994" s="966"/>
      <c r="L994" s="966"/>
      <c r="M994" s="971"/>
    </row>
    <row r="995" spans="1:13">
      <c r="A995" s="966"/>
      <c r="B995" s="966"/>
      <c r="C995" s="966"/>
      <c r="D995" s="966"/>
      <c r="E995" s="966"/>
      <c r="F995" s="966"/>
      <c r="G995" s="966"/>
      <c r="H995" s="995"/>
      <c r="I995" s="966"/>
      <c r="J995" s="966"/>
      <c r="K995" s="966"/>
      <c r="L995" s="966"/>
      <c r="M995" s="971"/>
    </row>
    <row r="996" spans="1:13">
      <c r="A996" s="966"/>
      <c r="B996" s="966"/>
      <c r="C996" s="966"/>
      <c r="D996" s="966"/>
      <c r="E996" s="966"/>
      <c r="F996" s="966"/>
      <c r="G996" s="966"/>
      <c r="H996" s="995"/>
      <c r="I996" s="966"/>
      <c r="J996" s="966"/>
      <c r="K996" s="966"/>
      <c r="L996" s="966"/>
      <c r="M996" s="971"/>
    </row>
    <row r="997" spans="1:13">
      <c r="A997" s="966"/>
      <c r="B997" s="966"/>
      <c r="C997" s="966"/>
      <c r="D997" s="966"/>
      <c r="E997" s="966"/>
      <c r="F997" s="966"/>
      <c r="G997" s="966"/>
      <c r="H997" s="995"/>
      <c r="I997" s="966"/>
      <c r="J997" s="966"/>
      <c r="K997" s="966"/>
      <c r="L997" s="966"/>
      <c r="M997" s="971"/>
    </row>
    <row r="998" spans="1:13">
      <c r="A998" s="966"/>
      <c r="B998" s="966"/>
      <c r="C998" s="966"/>
      <c r="D998" s="966"/>
      <c r="E998" s="966"/>
      <c r="F998" s="966"/>
      <c r="G998" s="966"/>
      <c r="H998" s="995"/>
      <c r="I998" s="966"/>
      <c r="J998" s="966"/>
      <c r="K998" s="966"/>
      <c r="L998" s="966"/>
      <c r="M998" s="971"/>
    </row>
    <row r="999" spans="1:13">
      <c r="A999" s="966"/>
      <c r="B999" s="966"/>
      <c r="C999" s="966"/>
      <c r="D999" s="966"/>
      <c r="E999" s="966"/>
      <c r="F999" s="966"/>
      <c r="G999" s="966"/>
      <c r="H999" s="995"/>
      <c r="I999" s="966"/>
      <c r="J999" s="966"/>
      <c r="K999" s="966"/>
      <c r="L999" s="966"/>
      <c r="M999" s="971"/>
    </row>
    <row r="1000" spans="1:13">
      <c r="A1000" s="966"/>
      <c r="B1000" s="966"/>
      <c r="C1000" s="966"/>
      <c r="D1000" s="966"/>
      <c r="E1000" s="966"/>
      <c r="F1000" s="966"/>
      <c r="G1000" s="966"/>
      <c r="H1000" s="995"/>
      <c r="I1000" s="966"/>
      <c r="J1000" s="966"/>
      <c r="K1000" s="966"/>
      <c r="L1000" s="966"/>
      <c r="M1000" s="971"/>
    </row>
    <row r="1001" spans="1:13">
      <c r="A1001" s="966"/>
      <c r="B1001" s="966"/>
      <c r="C1001" s="966"/>
      <c r="D1001" s="966"/>
      <c r="E1001" s="966"/>
      <c r="F1001" s="966"/>
      <c r="G1001" s="966"/>
      <c r="H1001" s="995"/>
      <c r="I1001" s="966"/>
      <c r="J1001" s="966"/>
      <c r="K1001" s="966"/>
      <c r="L1001" s="966"/>
      <c r="M1001" s="971"/>
    </row>
    <row r="1002" spans="1:13">
      <c r="A1002" s="966"/>
      <c r="B1002" s="966"/>
      <c r="C1002" s="966"/>
      <c r="D1002" s="966"/>
      <c r="E1002" s="966"/>
      <c r="F1002" s="966"/>
      <c r="G1002" s="966"/>
      <c r="H1002" s="995"/>
      <c r="I1002" s="966"/>
      <c r="J1002" s="966"/>
      <c r="K1002" s="966"/>
      <c r="L1002" s="966"/>
      <c r="M1002" s="971"/>
    </row>
    <row r="1003" spans="1:13">
      <c r="A1003" s="966"/>
      <c r="B1003" s="966"/>
      <c r="C1003" s="966"/>
      <c r="D1003" s="966"/>
      <c r="E1003" s="966"/>
      <c r="F1003" s="966"/>
      <c r="G1003" s="966"/>
      <c r="H1003" s="995"/>
      <c r="I1003" s="966"/>
      <c r="J1003" s="966"/>
      <c r="K1003" s="966"/>
      <c r="L1003" s="966"/>
      <c r="M1003" s="971"/>
    </row>
    <row r="1004" spans="1:13">
      <c r="A1004" s="966"/>
      <c r="B1004" s="966"/>
      <c r="C1004" s="966"/>
      <c r="D1004" s="966"/>
      <c r="E1004" s="966"/>
      <c r="F1004" s="966"/>
      <c r="G1004" s="966"/>
      <c r="H1004" s="995"/>
      <c r="I1004" s="966"/>
      <c r="J1004" s="966"/>
      <c r="K1004" s="966"/>
      <c r="L1004" s="966"/>
      <c r="M1004" s="971"/>
    </row>
    <row r="1005" spans="1:13">
      <c r="A1005" s="966"/>
      <c r="B1005" s="966"/>
      <c r="C1005" s="966"/>
      <c r="D1005" s="966"/>
      <c r="E1005" s="966"/>
      <c r="F1005" s="966"/>
      <c r="G1005" s="966"/>
      <c r="H1005" s="995"/>
      <c r="I1005" s="966"/>
      <c r="J1005" s="966"/>
      <c r="K1005" s="966"/>
      <c r="L1005" s="966"/>
      <c r="M1005" s="971"/>
    </row>
    <row r="1006" spans="1:13">
      <c r="A1006" s="966"/>
      <c r="B1006" s="966"/>
      <c r="C1006" s="966"/>
      <c r="D1006" s="966"/>
      <c r="E1006" s="966"/>
      <c r="F1006" s="966"/>
      <c r="G1006" s="966"/>
      <c r="H1006" s="995"/>
      <c r="I1006" s="966"/>
      <c r="J1006" s="966"/>
      <c r="K1006" s="966"/>
      <c r="L1006" s="966"/>
      <c r="M1006" s="971"/>
    </row>
    <row r="1007" spans="1:13">
      <c r="A1007" s="966"/>
      <c r="B1007" s="966"/>
      <c r="C1007" s="966"/>
      <c r="D1007" s="966"/>
      <c r="E1007" s="966"/>
      <c r="F1007" s="966"/>
      <c r="G1007" s="966"/>
      <c r="H1007" s="995"/>
      <c r="I1007" s="966"/>
      <c r="J1007" s="966"/>
      <c r="K1007" s="966"/>
      <c r="L1007" s="966"/>
      <c r="M1007" s="971"/>
    </row>
    <row r="1008" spans="1:13">
      <c r="A1008" s="966"/>
      <c r="B1008" s="966"/>
      <c r="C1008" s="966"/>
      <c r="D1008" s="966"/>
      <c r="E1008" s="966"/>
      <c r="F1008" s="966"/>
      <c r="G1008" s="966"/>
      <c r="H1008" s="995"/>
      <c r="I1008" s="966"/>
      <c r="J1008" s="966"/>
      <c r="K1008" s="966"/>
      <c r="L1008" s="966"/>
      <c r="M1008" s="971"/>
    </row>
    <row r="1009" spans="1:13">
      <c r="A1009" s="966"/>
      <c r="B1009" s="966"/>
      <c r="C1009" s="966"/>
      <c r="D1009" s="966"/>
      <c r="E1009" s="966"/>
      <c r="F1009" s="966"/>
      <c r="G1009" s="966"/>
      <c r="H1009" s="995"/>
      <c r="I1009" s="966"/>
      <c r="J1009" s="966"/>
      <c r="K1009" s="966"/>
      <c r="L1009" s="966"/>
      <c r="M1009" s="971"/>
    </row>
    <row r="1010" spans="1:13">
      <c r="A1010" s="966"/>
      <c r="B1010" s="966"/>
      <c r="C1010" s="966"/>
      <c r="D1010" s="966"/>
      <c r="E1010" s="966"/>
      <c r="F1010" s="966"/>
      <c r="G1010" s="966"/>
      <c r="H1010" s="995"/>
      <c r="I1010" s="966"/>
      <c r="J1010" s="966"/>
      <c r="K1010" s="966"/>
      <c r="L1010" s="966"/>
      <c r="M1010" s="971"/>
    </row>
    <row r="1011" spans="1:13">
      <c r="A1011" s="966"/>
      <c r="B1011" s="966"/>
      <c r="C1011" s="966"/>
      <c r="D1011" s="966"/>
      <c r="E1011" s="966"/>
      <c r="F1011" s="966"/>
      <c r="G1011" s="966"/>
      <c r="H1011" s="995"/>
      <c r="I1011" s="966"/>
      <c r="J1011" s="966"/>
      <c r="K1011" s="966"/>
      <c r="L1011" s="966"/>
      <c r="M1011" s="971"/>
    </row>
    <row r="1012" spans="1:13">
      <c r="A1012" s="966"/>
      <c r="B1012" s="966"/>
      <c r="C1012" s="966"/>
      <c r="D1012" s="966"/>
      <c r="E1012" s="966"/>
      <c r="F1012" s="966"/>
      <c r="G1012" s="966"/>
      <c r="H1012" s="995"/>
      <c r="I1012" s="966"/>
      <c r="J1012" s="966"/>
      <c r="K1012" s="966"/>
      <c r="L1012" s="966"/>
      <c r="M1012" s="971"/>
    </row>
    <row r="1013" spans="1:13">
      <c r="A1013" s="966"/>
      <c r="B1013" s="966"/>
      <c r="C1013" s="966"/>
      <c r="D1013" s="966"/>
      <c r="E1013" s="966"/>
      <c r="F1013" s="966"/>
      <c r="G1013" s="966"/>
      <c r="H1013" s="995"/>
      <c r="I1013" s="966"/>
      <c r="J1013" s="966"/>
      <c r="K1013" s="966"/>
      <c r="L1013" s="966"/>
      <c r="M1013" s="971"/>
    </row>
    <row r="1014" spans="1:13">
      <c r="A1014" s="966"/>
      <c r="B1014" s="966"/>
      <c r="C1014" s="966"/>
      <c r="D1014" s="966"/>
      <c r="E1014" s="966"/>
      <c r="F1014" s="966"/>
      <c r="G1014" s="966"/>
      <c r="H1014" s="995"/>
      <c r="I1014" s="966"/>
      <c r="J1014" s="966"/>
      <c r="K1014" s="966"/>
      <c r="L1014" s="966"/>
      <c r="M1014" s="971"/>
    </row>
    <row r="1015" spans="1:13">
      <c r="A1015" s="966"/>
      <c r="B1015" s="966"/>
      <c r="C1015" s="966"/>
      <c r="D1015" s="966"/>
      <c r="E1015" s="966"/>
      <c r="F1015" s="966"/>
      <c r="G1015" s="966"/>
      <c r="H1015" s="995"/>
      <c r="I1015" s="966"/>
      <c r="J1015" s="966"/>
      <c r="K1015" s="966"/>
      <c r="L1015" s="966"/>
      <c r="M1015" s="971"/>
    </row>
    <row r="1016" spans="1:13">
      <c r="A1016" s="966"/>
      <c r="B1016" s="966"/>
      <c r="C1016" s="966"/>
      <c r="D1016" s="966"/>
      <c r="E1016" s="966"/>
      <c r="F1016" s="966"/>
      <c r="G1016" s="966"/>
      <c r="H1016" s="995"/>
      <c r="I1016" s="966"/>
      <c r="J1016" s="966"/>
      <c r="K1016" s="966"/>
      <c r="L1016" s="966"/>
      <c r="M1016" s="971"/>
    </row>
    <row r="1017" spans="1:13">
      <c r="A1017" s="966"/>
      <c r="B1017" s="966"/>
      <c r="C1017" s="966"/>
      <c r="D1017" s="966"/>
      <c r="E1017" s="966"/>
      <c r="F1017" s="966"/>
      <c r="G1017" s="966"/>
      <c r="H1017" s="995"/>
      <c r="I1017" s="966"/>
      <c r="J1017" s="966"/>
      <c r="K1017" s="966"/>
      <c r="L1017" s="966"/>
      <c r="M1017" s="971"/>
    </row>
    <row r="1018" spans="1:13">
      <c r="A1018" s="966"/>
      <c r="B1018" s="966"/>
      <c r="C1018" s="966"/>
      <c r="D1018" s="966"/>
      <c r="E1018" s="966"/>
      <c r="F1018" s="966"/>
      <c r="G1018" s="966"/>
      <c r="H1018" s="995"/>
      <c r="I1018" s="966"/>
      <c r="J1018" s="966"/>
      <c r="K1018" s="966"/>
      <c r="L1018" s="966"/>
      <c r="M1018" s="971"/>
    </row>
    <row r="1019" spans="1:13">
      <c r="A1019" s="966"/>
      <c r="B1019" s="966"/>
      <c r="C1019" s="966"/>
      <c r="D1019" s="966"/>
      <c r="E1019" s="966"/>
      <c r="F1019" s="966"/>
      <c r="G1019" s="966"/>
      <c r="H1019" s="995"/>
      <c r="I1019" s="966"/>
      <c r="J1019" s="966"/>
      <c r="K1019" s="966"/>
      <c r="L1019" s="966"/>
      <c r="M1019" s="971"/>
    </row>
    <row r="1020" spans="1:13">
      <c r="A1020" s="966"/>
      <c r="B1020" s="966"/>
      <c r="C1020" s="966"/>
      <c r="D1020" s="966"/>
      <c r="E1020" s="966"/>
      <c r="F1020" s="966"/>
      <c r="G1020" s="966"/>
      <c r="H1020" s="995"/>
      <c r="I1020" s="966"/>
      <c r="J1020" s="966"/>
      <c r="K1020" s="966"/>
      <c r="L1020" s="966"/>
      <c r="M1020" s="971"/>
    </row>
    <row r="1021" spans="1:13">
      <c r="A1021" s="966"/>
      <c r="B1021" s="966"/>
      <c r="C1021" s="966"/>
      <c r="D1021" s="966"/>
      <c r="E1021" s="966"/>
      <c r="F1021" s="966"/>
      <c r="G1021" s="966"/>
      <c r="H1021" s="995"/>
      <c r="I1021" s="966"/>
      <c r="J1021" s="966"/>
      <c r="K1021" s="966"/>
      <c r="L1021" s="966"/>
      <c r="M1021" s="971"/>
    </row>
    <row r="1022" spans="1:13">
      <c r="A1022" s="966"/>
      <c r="B1022" s="966"/>
      <c r="C1022" s="966"/>
      <c r="D1022" s="966"/>
      <c r="E1022" s="966"/>
      <c r="F1022" s="966"/>
      <c r="G1022" s="966"/>
      <c r="H1022" s="995"/>
      <c r="I1022" s="966"/>
      <c r="J1022" s="966"/>
      <c r="K1022" s="966"/>
      <c r="L1022" s="966"/>
      <c r="M1022" s="971"/>
    </row>
    <row r="1023" spans="1:13">
      <c r="A1023" s="966"/>
      <c r="B1023" s="966"/>
      <c r="C1023" s="966"/>
      <c r="D1023" s="966"/>
      <c r="E1023" s="966"/>
      <c r="F1023" s="966"/>
      <c r="G1023" s="966"/>
      <c r="H1023" s="995"/>
      <c r="I1023" s="966"/>
      <c r="J1023" s="966"/>
      <c r="K1023" s="966"/>
      <c r="L1023" s="966"/>
      <c r="M1023" s="971"/>
    </row>
    <row r="1024" spans="1:13">
      <c r="A1024" s="966"/>
      <c r="B1024" s="966"/>
      <c r="C1024" s="966"/>
      <c r="D1024" s="966"/>
      <c r="E1024" s="966"/>
      <c r="F1024" s="966"/>
      <c r="G1024" s="966"/>
      <c r="H1024" s="995"/>
      <c r="I1024" s="966"/>
      <c r="J1024" s="966"/>
      <c r="K1024" s="966"/>
      <c r="L1024" s="966"/>
      <c r="M1024" s="971"/>
    </row>
    <row r="1025" spans="1:13">
      <c r="A1025" s="966"/>
      <c r="B1025" s="966"/>
      <c r="C1025" s="966"/>
      <c r="D1025" s="966"/>
      <c r="E1025" s="966"/>
      <c r="F1025" s="966"/>
      <c r="G1025" s="966"/>
      <c r="H1025" s="995"/>
      <c r="I1025" s="966"/>
      <c r="J1025" s="966"/>
      <c r="K1025" s="966"/>
      <c r="L1025" s="966"/>
      <c r="M1025" s="971"/>
    </row>
    <row r="1026" spans="1:13">
      <c r="A1026" s="966"/>
      <c r="B1026" s="966"/>
      <c r="C1026" s="966"/>
      <c r="D1026" s="966"/>
      <c r="E1026" s="966"/>
      <c r="F1026" s="966"/>
      <c r="G1026" s="966"/>
      <c r="H1026" s="995"/>
      <c r="I1026" s="966"/>
      <c r="J1026" s="966"/>
      <c r="K1026" s="966"/>
      <c r="L1026" s="966"/>
      <c r="M1026" s="971"/>
    </row>
    <row r="1027" spans="1:13">
      <c r="A1027" s="966"/>
      <c r="B1027" s="966"/>
      <c r="C1027" s="966"/>
      <c r="D1027" s="966"/>
      <c r="E1027" s="966"/>
      <c r="F1027" s="966"/>
      <c r="G1027" s="966"/>
      <c r="H1027" s="995"/>
      <c r="I1027" s="966"/>
      <c r="J1027" s="966"/>
      <c r="K1027" s="966"/>
      <c r="L1027" s="966"/>
      <c r="M1027" s="971"/>
    </row>
    <row r="1028" spans="1:13">
      <c r="A1028" s="966"/>
      <c r="B1028" s="966"/>
      <c r="C1028" s="966"/>
      <c r="D1028" s="966"/>
      <c r="E1028" s="966"/>
      <c r="F1028" s="966"/>
      <c r="G1028" s="966"/>
      <c r="H1028" s="995"/>
      <c r="I1028" s="966"/>
      <c r="J1028" s="966"/>
      <c r="K1028" s="966"/>
      <c r="L1028" s="966"/>
      <c r="M1028" s="971"/>
    </row>
    <row r="1029" spans="1:13">
      <c r="A1029" s="966"/>
      <c r="B1029" s="966"/>
      <c r="C1029" s="966"/>
      <c r="D1029" s="966"/>
      <c r="E1029" s="966"/>
      <c r="F1029" s="966"/>
      <c r="G1029" s="966"/>
      <c r="H1029" s="995"/>
      <c r="I1029" s="966"/>
      <c r="J1029" s="966"/>
      <c r="K1029" s="966"/>
      <c r="L1029" s="966"/>
      <c r="M1029" s="971"/>
    </row>
    <row r="1030" spans="1:13">
      <c r="A1030" s="966"/>
      <c r="B1030" s="966"/>
      <c r="C1030" s="966"/>
      <c r="D1030" s="966"/>
      <c r="E1030" s="966"/>
      <c r="F1030" s="966"/>
      <c r="G1030" s="966"/>
      <c r="H1030" s="995"/>
      <c r="I1030" s="966"/>
      <c r="J1030" s="966"/>
      <c r="K1030" s="966"/>
      <c r="L1030" s="966"/>
      <c r="M1030" s="971"/>
    </row>
    <row r="1031" spans="1:13">
      <c r="A1031" s="966"/>
      <c r="B1031" s="966"/>
      <c r="C1031" s="966"/>
      <c r="D1031" s="966"/>
      <c r="E1031" s="966"/>
      <c r="F1031" s="966"/>
      <c r="G1031" s="966"/>
      <c r="H1031" s="995"/>
      <c r="I1031" s="966"/>
      <c r="J1031" s="966"/>
      <c r="K1031" s="966"/>
      <c r="L1031" s="966"/>
      <c r="M1031" s="971"/>
    </row>
    <row r="1032" spans="1:13">
      <c r="A1032" s="966"/>
      <c r="B1032" s="966"/>
      <c r="C1032" s="966"/>
      <c r="D1032" s="966"/>
      <c r="E1032" s="966"/>
      <c r="F1032" s="966"/>
      <c r="G1032" s="966"/>
      <c r="H1032" s="995"/>
      <c r="I1032" s="966"/>
      <c r="J1032" s="966"/>
      <c r="K1032" s="966"/>
      <c r="L1032" s="966"/>
      <c r="M1032" s="971"/>
    </row>
    <row r="1033" spans="1:13">
      <c r="A1033" s="966"/>
      <c r="B1033" s="966"/>
      <c r="C1033" s="966"/>
      <c r="D1033" s="966"/>
      <c r="E1033" s="966"/>
      <c r="F1033" s="966"/>
      <c r="G1033" s="966"/>
      <c r="H1033" s="995"/>
      <c r="I1033" s="966"/>
      <c r="J1033" s="966"/>
      <c r="K1033" s="966"/>
      <c r="L1033" s="966"/>
      <c r="M1033" s="971"/>
    </row>
    <row r="1034" spans="1:13">
      <c r="A1034" s="966"/>
      <c r="B1034" s="966"/>
      <c r="C1034" s="966"/>
      <c r="D1034" s="966"/>
      <c r="E1034" s="966"/>
      <c r="F1034" s="966"/>
      <c r="G1034" s="966"/>
      <c r="H1034" s="995"/>
      <c r="I1034" s="966"/>
      <c r="J1034" s="966"/>
      <c r="K1034" s="966"/>
      <c r="L1034" s="966"/>
      <c r="M1034" s="971"/>
    </row>
    <row r="1035" spans="1:13">
      <c r="A1035" s="966"/>
      <c r="B1035" s="966"/>
      <c r="C1035" s="966"/>
      <c r="D1035" s="966"/>
      <c r="E1035" s="966"/>
      <c r="F1035" s="966"/>
      <c r="G1035" s="966"/>
      <c r="H1035" s="995"/>
      <c r="I1035" s="966"/>
      <c r="J1035" s="966"/>
      <c r="K1035" s="966"/>
      <c r="L1035" s="966"/>
      <c r="M1035" s="971"/>
    </row>
    <row r="1036" spans="1:13">
      <c r="A1036" s="966"/>
      <c r="B1036" s="966"/>
      <c r="C1036" s="966"/>
      <c r="D1036" s="966"/>
      <c r="E1036" s="966"/>
      <c r="F1036" s="966"/>
      <c r="G1036" s="966"/>
      <c r="H1036" s="995"/>
      <c r="I1036" s="966"/>
      <c r="J1036" s="966"/>
      <c r="K1036" s="966"/>
      <c r="L1036" s="966"/>
      <c r="M1036" s="971"/>
    </row>
    <row r="1037" spans="1:13">
      <c r="A1037" s="966"/>
      <c r="B1037" s="966"/>
      <c r="C1037" s="966"/>
      <c r="D1037" s="966"/>
      <c r="E1037" s="966"/>
      <c r="F1037" s="966"/>
      <c r="G1037" s="966"/>
      <c r="H1037" s="995"/>
      <c r="I1037" s="966"/>
      <c r="J1037" s="966"/>
      <c r="K1037" s="966"/>
      <c r="L1037" s="966"/>
      <c r="M1037" s="971"/>
    </row>
    <row r="1038" spans="1:13">
      <c r="A1038" s="966"/>
      <c r="B1038" s="966"/>
      <c r="C1038" s="966"/>
      <c r="D1038" s="966"/>
      <c r="E1038" s="966"/>
      <c r="F1038" s="966"/>
      <c r="G1038" s="966"/>
      <c r="H1038" s="995"/>
      <c r="I1038" s="966"/>
      <c r="J1038" s="966"/>
      <c r="K1038" s="966"/>
      <c r="L1038" s="966"/>
      <c r="M1038" s="971"/>
    </row>
    <row r="1039" spans="1:13">
      <c r="A1039" s="966"/>
      <c r="B1039" s="966"/>
      <c r="C1039" s="966"/>
      <c r="D1039" s="966"/>
      <c r="E1039" s="966"/>
      <c r="F1039" s="966"/>
      <c r="G1039" s="966"/>
      <c r="H1039" s="995"/>
      <c r="I1039" s="966"/>
      <c r="J1039" s="966"/>
      <c r="K1039" s="966"/>
      <c r="L1039" s="966"/>
      <c r="M1039" s="971"/>
    </row>
    <row r="1040" spans="1:13">
      <c r="A1040" s="966"/>
      <c r="B1040" s="966"/>
      <c r="C1040" s="966"/>
      <c r="D1040" s="966"/>
      <c r="E1040" s="966"/>
      <c r="F1040" s="966"/>
      <c r="G1040" s="966"/>
      <c r="H1040" s="995"/>
      <c r="I1040" s="966"/>
      <c r="J1040" s="966"/>
      <c r="K1040" s="966"/>
      <c r="L1040" s="966"/>
      <c r="M1040" s="971"/>
    </row>
    <row r="1041" spans="1:13">
      <c r="A1041" s="966"/>
      <c r="B1041" s="966"/>
      <c r="C1041" s="966"/>
      <c r="D1041" s="966"/>
      <c r="E1041" s="966"/>
      <c r="F1041" s="966"/>
      <c r="G1041" s="966"/>
      <c r="H1041" s="995"/>
      <c r="I1041" s="966"/>
      <c r="J1041" s="966"/>
      <c r="K1041" s="966"/>
      <c r="L1041" s="966"/>
      <c r="M1041" s="971"/>
    </row>
    <row r="1042" spans="1:13">
      <c r="A1042" s="966"/>
      <c r="B1042" s="966"/>
      <c r="C1042" s="966"/>
      <c r="D1042" s="966"/>
      <c r="E1042" s="966"/>
      <c r="F1042" s="966"/>
      <c r="G1042" s="966"/>
      <c r="H1042" s="995"/>
      <c r="I1042" s="966"/>
      <c r="J1042" s="966"/>
      <c r="K1042" s="966"/>
      <c r="L1042" s="966"/>
      <c r="M1042" s="971"/>
    </row>
    <row r="1043" spans="1:13">
      <c r="A1043" s="966"/>
      <c r="B1043" s="966"/>
      <c r="C1043" s="966"/>
      <c r="D1043" s="966"/>
      <c r="E1043" s="966"/>
      <c r="F1043" s="966"/>
      <c r="G1043" s="966"/>
      <c r="H1043" s="995"/>
      <c r="I1043" s="966"/>
      <c r="J1043" s="966"/>
      <c r="K1043" s="966"/>
      <c r="L1043" s="966"/>
      <c r="M1043" s="971"/>
    </row>
    <row r="1044" spans="1:13">
      <c r="A1044" s="966"/>
      <c r="B1044" s="966"/>
      <c r="C1044" s="966"/>
      <c r="D1044" s="966"/>
      <c r="E1044" s="966"/>
      <c r="F1044" s="966"/>
      <c r="G1044" s="966"/>
      <c r="H1044" s="995"/>
      <c r="I1044" s="966"/>
      <c r="J1044" s="966"/>
      <c r="K1044" s="966"/>
      <c r="L1044" s="966"/>
      <c r="M1044" s="971"/>
    </row>
    <row r="1045" spans="1:13">
      <c r="A1045" s="966"/>
      <c r="B1045" s="966"/>
      <c r="C1045" s="966"/>
      <c r="D1045" s="966"/>
      <c r="E1045" s="966"/>
      <c r="F1045" s="966"/>
      <c r="G1045" s="966"/>
      <c r="H1045" s="995"/>
      <c r="I1045" s="966"/>
      <c r="J1045" s="966"/>
      <c r="K1045" s="966"/>
      <c r="L1045" s="966"/>
      <c r="M1045" s="971"/>
    </row>
    <row r="1046" spans="1:13">
      <c r="A1046" s="966"/>
      <c r="B1046" s="966"/>
      <c r="C1046" s="966"/>
      <c r="D1046" s="966"/>
      <c r="E1046" s="966"/>
      <c r="F1046" s="966"/>
      <c r="G1046" s="966"/>
      <c r="H1046" s="995"/>
      <c r="I1046" s="966"/>
      <c r="J1046" s="966"/>
      <c r="K1046" s="966"/>
      <c r="L1046" s="966"/>
      <c r="M1046" s="971"/>
    </row>
    <row r="1047" spans="1:13">
      <c r="A1047" s="966"/>
      <c r="B1047" s="966"/>
      <c r="C1047" s="966"/>
      <c r="D1047" s="966"/>
      <c r="E1047" s="966"/>
      <c r="F1047" s="966"/>
      <c r="G1047" s="966"/>
      <c r="H1047" s="995"/>
      <c r="I1047" s="966"/>
      <c r="J1047" s="966"/>
      <c r="K1047" s="966"/>
      <c r="L1047" s="966"/>
      <c r="M1047" s="971"/>
    </row>
    <row r="1048" spans="1:13">
      <c r="A1048" s="966"/>
      <c r="B1048" s="966"/>
      <c r="C1048" s="966"/>
      <c r="D1048" s="966"/>
      <c r="E1048" s="966"/>
      <c r="F1048" s="966"/>
      <c r="G1048" s="966"/>
      <c r="H1048" s="995"/>
      <c r="I1048" s="966"/>
      <c r="J1048" s="966"/>
      <c r="K1048" s="966"/>
      <c r="L1048" s="966"/>
      <c r="M1048" s="971"/>
    </row>
    <row r="1049" spans="1:13">
      <c r="A1049" s="966"/>
      <c r="B1049" s="966"/>
      <c r="C1049" s="966"/>
      <c r="D1049" s="966"/>
      <c r="E1049" s="966"/>
      <c r="F1049" s="966"/>
      <c r="G1049" s="966"/>
      <c r="H1049" s="995"/>
      <c r="I1049" s="966"/>
      <c r="J1049" s="966"/>
      <c r="K1049" s="966"/>
      <c r="L1049" s="966"/>
      <c r="M1049" s="971"/>
    </row>
    <row r="1050" spans="1:13">
      <c r="A1050" s="966"/>
      <c r="B1050" s="966"/>
      <c r="C1050" s="966"/>
      <c r="D1050" s="966"/>
      <c r="E1050" s="966"/>
      <c r="F1050" s="966"/>
      <c r="G1050" s="966"/>
      <c r="H1050" s="995"/>
      <c r="I1050" s="966"/>
      <c r="J1050" s="966"/>
      <c r="K1050" s="966"/>
      <c r="L1050" s="966"/>
      <c r="M1050" s="971"/>
    </row>
    <row r="1051" spans="1:13">
      <c r="A1051" s="966"/>
      <c r="B1051" s="966"/>
      <c r="C1051" s="966"/>
      <c r="D1051" s="966"/>
      <c r="E1051" s="966"/>
      <c r="F1051" s="966"/>
      <c r="G1051" s="966"/>
      <c r="H1051" s="995"/>
      <c r="I1051" s="966"/>
      <c r="J1051" s="966"/>
      <c r="K1051" s="966"/>
      <c r="L1051" s="966"/>
      <c r="M1051" s="971"/>
    </row>
    <row r="1052" spans="1:13">
      <c r="A1052" s="966"/>
      <c r="B1052" s="966"/>
      <c r="C1052" s="966"/>
      <c r="D1052" s="966"/>
      <c r="E1052" s="966"/>
      <c r="F1052" s="966"/>
      <c r="G1052" s="966"/>
      <c r="H1052" s="995"/>
      <c r="I1052" s="966"/>
      <c r="J1052" s="966"/>
      <c r="K1052" s="966"/>
      <c r="L1052" s="966"/>
      <c r="M1052" s="971"/>
    </row>
    <row r="1053" spans="1:13">
      <c r="A1053" s="966"/>
      <c r="B1053" s="966"/>
      <c r="C1053" s="966"/>
      <c r="D1053" s="966"/>
      <c r="E1053" s="966"/>
      <c r="F1053" s="966"/>
      <c r="G1053" s="966"/>
      <c r="H1053" s="995"/>
      <c r="I1053" s="966"/>
      <c r="J1053" s="966"/>
      <c r="K1053" s="966"/>
      <c r="L1053" s="966"/>
      <c r="M1053" s="971"/>
    </row>
    <row r="1054" spans="1:13">
      <c r="A1054" s="966"/>
      <c r="B1054" s="966"/>
      <c r="C1054" s="966"/>
      <c r="D1054" s="966"/>
      <c r="E1054" s="966"/>
      <c r="F1054" s="966"/>
      <c r="G1054" s="966"/>
      <c r="H1054" s="995"/>
      <c r="I1054" s="966"/>
      <c r="J1054" s="966"/>
      <c r="K1054" s="966"/>
      <c r="L1054" s="966"/>
      <c r="M1054" s="971"/>
    </row>
    <row r="1055" spans="1:13">
      <c r="A1055" s="966"/>
      <c r="B1055" s="966"/>
      <c r="C1055" s="966"/>
      <c r="D1055" s="966"/>
      <c r="E1055" s="966"/>
      <c r="F1055" s="966"/>
      <c r="G1055" s="966"/>
      <c r="H1055" s="995"/>
      <c r="I1055" s="966"/>
      <c r="J1055" s="966"/>
      <c r="K1055" s="966"/>
      <c r="L1055" s="966"/>
      <c r="M1055" s="971"/>
    </row>
    <row r="1056" spans="1:13">
      <c r="A1056" s="966"/>
      <c r="B1056" s="966"/>
      <c r="C1056" s="966"/>
      <c r="D1056" s="966"/>
      <c r="E1056" s="966"/>
      <c r="F1056" s="966"/>
      <c r="G1056" s="966"/>
      <c r="H1056" s="995"/>
      <c r="I1056" s="966"/>
      <c r="J1056" s="966"/>
      <c r="K1056" s="966"/>
      <c r="L1056" s="966"/>
      <c r="M1056" s="971"/>
    </row>
    <row r="1057" spans="1:13">
      <c r="A1057" s="966"/>
      <c r="B1057" s="966"/>
      <c r="C1057" s="966"/>
      <c r="D1057" s="966"/>
      <c r="E1057" s="966"/>
      <c r="F1057" s="966"/>
      <c r="G1057" s="966"/>
      <c r="H1057" s="995"/>
      <c r="I1057" s="966"/>
      <c r="J1057" s="966"/>
      <c r="K1057" s="966"/>
      <c r="L1057" s="966"/>
      <c r="M1057" s="971"/>
    </row>
    <row r="1058" spans="1:13">
      <c r="A1058" s="966"/>
      <c r="B1058" s="966"/>
      <c r="C1058" s="966"/>
      <c r="D1058" s="966"/>
      <c r="E1058" s="966"/>
      <c r="F1058" s="966"/>
      <c r="G1058" s="966"/>
      <c r="H1058" s="995"/>
      <c r="I1058" s="966"/>
      <c r="J1058" s="966"/>
      <c r="K1058" s="966"/>
      <c r="L1058" s="966"/>
      <c r="M1058" s="971"/>
    </row>
    <row r="1059" spans="1:13">
      <c r="A1059" s="966"/>
      <c r="B1059" s="966"/>
      <c r="C1059" s="966"/>
      <c r="D1059" s="966"/>
      <c r="E1059" s="966"/>
      <c r="F1059" s="966"/>
      <c r="G1059" s="966"/>
      <c r="H1059" s="995"/>
      <c r="I1059" s="966"/>
      <c r="J1059" s="966"/>
      <c r="K1059" s="966"/>
      <c r="L1059" s="966"/>
      <c r="M1059" s="971"/>
    </row>
    <row r="1060" spans="1:13">
      <c r="A1060" s="966"/>
      <c r="B1060" s="966"/>
      <c r="C1060" s="966"/>
      <c r="D1060" s="966"/>
      <c r="E1060" s="966"/>
      <c r="F1060" s="966"/>
      <c r="G1060" s="966"/>
      <c r="H1060" s="995"/>
      <c r="I1060" s="966"/>
      <c r="J1060" s="966"/>
      <c r="K1060" s="966"/>
      <c r="L1060" s="966"/>
      <c r="M1060" s="971"/>
    </row>
    <row r="1061" spans="1:13">
      <c r="A1061" s="966"/>
      <c r="B1061" s="966"/>
      <c r="C1061" s="966"/>
      <c r="D1061" s="966"/>
      <c r="E1061" s="966"/>
      <c r="F1061" s="966"/>
      <c r="G1061" s="966"/>
      <c r="H1061" s="995"/>
      <c r="I1061" s="966"/>
      <c r="J1061" s="966"/>
      <c r="K1061" s="966"/>
      <c r="L1061" s="966"/>
      <c r="M1061" s="971"/>
    </row>
    <row r="1062" spans="1:13">
      <c r="A1062" s="966"/>
      <c r="B1062" s="966"/>
      <c r="C1062" s="966"/>
      <c r="D1062" s="966"/>
      <c r="E1062" s="966"/>
      <c r="F1062" s="966"/>
      <c r="G1062" s="966"/>
      <c r="H1062" s="995"/>
      <c r="I1062" s="966"/>
      <c r="J1062" s="966"/>
      <c r="K1062" s="966"/>
      <c r="L1062" s="966"/>
      <c r="M1062" s="971"/>
    </row>
    <row r="1063" spans="1:13">
      <c r="A1063" s="966"/>
      <c r="B1063" s="966"/>
      <c r="C1063" s="966"/>
      <c r="D1063" s="966"/>
      <c r="E1063" s="966"/>
      <c r="F1063" s="966"/>
      <c r="G1063" s="966"/>
      <c r="H1063" s="995"/>
      <c r="I1063" s="966"/>
      <c r="J1063" s="966"/>
      <c r="K1063" s="966"/>
      <c r="L1063" s="966"/>
      <c r="M1063" s="971"/>
    </row>
    <row r="1064" spans="1:13">
      <c r="A1064" s="966"/>
      <c r="B1064" s="966"/>
      <c r="C1064" s="966"/>
      <c r="D1064" s="966"/>
      <c r="E1064" s="966"/>
      <c r="F1064" s="966"/>
      <c r="G1064" s="966"/>
      <c r="H1064" s="995"/>
      <c r="I1064" s="966"/>
      <c r="J1064" s="966"/>
      <c r="K1064" s="966"/>
      <c r="L1064" s="966"/>
      <c r="M1064" s="971"/>
    </row>
    <row r="1065" spans="1:13">
      <c r="A1065" s="966"/>
      <c r="B1065" s="966"/>
      <c r="C1065" s="966"/>
      <c r="D1065" s="966"/>
      <c r="E1065" s="966"/>
      <c r="F1065" s="966"/>
      <c r="G1065" s="966"/>
      <c r="H1065" s="995"/>
      <c r="I1065" s="966"/>
      <c r="J1065" s="966"/>
      <c r="K1065" s="966"/>
      <c r="L1065" s="966"/>
      <c r="M1065" s="971"/>
    </row>
    <row r="1066" spans="1:13">
      <c r="A1066" s="966"/>
      <c r="B1066" s="966"/>
      <c r="C1066" s="966"/>
      <c r="D1066" s="966"/>
      <c r="E1066" s="966"/>
      <c r="F1066" s="966"/>
      <c r="G1066" s="966"/>
      <c r="H1066" s="995"/>
      <c r="I1066" s="966"/>
      <c r="J1066" s="966"/>
      <c r="K1066" s="966"/>
      <c r="L1066" s="966"/>
      <c r="M1066" s="971"/>
    </row>
    <row r="1067" spans="1:13">
      <c r="A1067" s="966"/>
      <c r="B1067" s="966"/>
      <c r="C1067" s="966"/>
      <c r="D1067" s="966"/>
      <c r="E1067" s="966"/>
      <c r="F1067" s="966"/>
      <c r="G1067" s="966"/>
      <c r="H1067" s="995"/>
      <c r="I1067" s="966"/>
      <c r="J1067" s="966"/>
      <c r="K1067" s="966"/>
      <c r="L1067" s="966"/>
      <c r="M1067" s="971"/>
    </row>
    <row r="1068" spans="1:13">
      <c r="A1068" s="966"/>
      <c r="B1068" s="966"/>
      <c r="C1068" s="966"/>
      <c r="D1068" s="966"/>
      <c r="E1068" s="966"/>
      <c r="F1068" s="966"/>
      <c r="G1068" s="966"/>
      <c r="H1068" s="995"/>
      <c r="I1068" s="966"/>
      <c r="J1068" s="966"/>
      <c r="K1068" s="966"/>
      <c r="L1068" s="966"/>
      <c r="M1068" s="971"/>
    </row>
    <row r="1069" spans="1:13">
      <c r="A1069" s="966"/>
      <c r="B1069" s="966"/>
      <c r="C1069" s="966"/>
      <c r="D1069" s="966"/>
      <c r="E1069" s="966"/>
      <c r="F1069" s="966"/>
      <c r="G1069" s="966"/>
      <c r="H1069" s="995"/>
      <c r="I1069" s="966"/>
      <c r="J1069" s="966"/>
      <c r="K1069" s="966"/>
      <c r="L1069" s="966"/>
      <c r="M1069" s="971"/>
    </row>
    <row r="1070" spans="1:13">
      <c r="A1070" s="966"/>
      <c r="B1070" s="966"/>
      <c r="C1070" s="966"/>
      <c r="D1070" s="966"/>
      <c r="E1070" s="966"/>
      <c r="F1070" s="966"/>
      <c r="G1070" s="966"/>
      <c r="H1070" s="995"/>
      <c r="I1070" s="966"/>
      <c r="J1070" s="966"/>
      <c r="K1070" s="966"/>
      <c r="L1070" s="966"/>
      <c r="M1070" s="971"/>
    </row>
    <row r="1071" spans="1:13">
      <c r="A1071" s="966"/>
      <c r="B1071" s="966"/>
      <c r="C1071" s="966"/>
      <c r="D1071" s="966"/>
      <c r="E1071" s="966"/>
      <c r="F1071" s="966"/>
      <c r="G1071" s="966"/>
      <c r="H1071" s="995"/>
      <c r="I1071" s="966"/>
      <c r="J1071" s="966"/>
      <c r="K1071" s="966"/>
      <c r="L1071" s="966"/>
      <c r="M1071" s="971"/>
    </row>
    <row r="1072" spans="1:13">
      <c r="A1072" s="966"/>
      <c r="B1072" s="966"/>
      <c r="C1072" s="966"/>
      <c r="D1072" s="966"/>
      <c r="E1072" s="966"/>
      <c r="F1072" s="966"/>
      <c r="G1072" s="966"/>
      <c r="H1072" s="995"/>
      <c r="I1072" s="966"/>
      <c r="J1072" s="966"/>
      <c r="K1072" s="966"/>
      <c r="L1072" s="966"/>
      <c r="M1072" s="971"/>
    </row>
    <row r="1073" spans="1:13">
      <c r="A1073" s="966"/>
      <c r="B1073" s="966"/>
      <c r="C1073" s="966"/>
      <c r="D1073" s="966"/>
      <c r="E1073" s="966"/>
      <c r="F1073" s="966"/>
      <c r="G1073" s="966"/>
      <c r="H1073" s="995"/>
      <c r="I1073" s="966"/>
      <c r="J1073" s="966"/>
      <c r="K1073" s="966"/>
      <c r="L1073" s="966"/>
      <c r="M1073" s="971"/>
    </row>
    <row r="1074" spans="1:13">
      <c r="A1074" s="966"/>
      <c r="B1074" s="966"/>
      <c r="C1074" s="966"/>
      <c r="D1074" s="966"/>
      <c r="E1074" s="966"/>
      <c r="F1074" s="966"/>
      <c r="G1074" s="966"/>
      <c r="H1074" s="995"/>
      <c r="I1074" s="966"/>
      <c r="J1074" s="966"/>
      <c r="K1074" s="966"/>
      <c r="L1074" s="966"/>
      <c r="M1074" s="971"/>
    </row>
    <row r="1075" spans="1:13">
      <c r="A1075" s="966"/>
      <c r="B1075" s="966"/>
      <c r="C1075" s="966"/>
      <c r="D1075" s="966"/>
      <c r="E1075" s="966"/>
      <c r="F1075" s="966"/>
      <c r="G1075" s="966"/>
      <c r="H1075" s="995"/>
      <c r="I1075" s="966"/>
      <c r="J1075" s="966"/>
      <c r="K1075" s="966"/>
      <c r="L1075" s="966"/>
      <c r="M1075" s="971"/>
    </row>
    <row r="1076" spans="1:13">
      <c r="A1076" s="966"/>
      <c r="B1076" s="966"/>
      <c r="C1076" s="966"/>
      <c r="D1076" s="966"/>
      <c r="E1076" s="966"/>
      <c r="F1076" s="966"/>
      <c r="G1076" s="966"/>
      <c r="H1076" s="995"/>
      <c r="I1076" s="966"/>
      <c r="J1076" s="966"/>
      <c r="K1076" s="966"/>
      <c r="L1076" s="966"/>
      <c r="M1076" s="971"/>
    </row>
    <row r="1077" spans="1:13">
      <c r="A1077" s="966"/>
      <c r="B1077" s="966"/>
      <c r="C1077" s="966"/>
      <c r="D1077" s="966"/>
      <c r="E1077" s="966"/>
      <c r="F1077" s="966"/>
      <c r="G1077" s="966"/>
      <c r="H1077" s="995"/>
      <c r="I1077" s="966"/>
      <c r="J1077" s="966"/>
      <c r="K1077" s="966"/>
      <c r="L1077" s="966"/>
      <c r="M1077" s="971"/>
    </row>
    <row r="1078" spans="1:13">
      <c r="A1078" s="966"/>
      <c r="B1078" s="966"/>
      <c r="C1078" s="966"/>
      <c r="D1078" s="966"/>
      <c r="E1078" s="966"/>
      <c r="F1078" s="966"/>
      <c r="G1078" s="966"/>
      <c r="H1078" s="995"/>
      <c r="I1078" s="966"/>
      <c r="J1078" s="966"/>
      <c r="K1078" s="966"/>
      <c r="L1078" s="966"/>
      <c r="M1078" s="971"/>
    </row>
    <row r="1079" spans="1:13">
      <c r="A1079" s="966"/>
      <c r="B1079" s="966"/>
      <c r="C1079" s="966"/>
      <c r="D1079" s="966"/>
      <c r="E1079" s="966"/>
      <c r="F1079" s="966"/>
      <c r="G1079" s="966"/>
      <c r="H1079" s="995"/>
      <c r="I1079" s="966"/>
      <c r="J1079" s="966"/>
      <c r="K1079" s="966"/>
      <c r="L1079" s="966"/>
      <c r="M1079" s="971"/>
    </row>
    <row r="1080" spans="1:13">
      <c r="A1080" s="966"/>
      <c r="B1080" s="966"/>
      <c r="C1080" s="966"/>
      <c r="D1080" s="966"/>
      <c r="E1080" s="966"/>
      <c r="F1080" s="966"/>
      <c r="G1080" s="966"/>
      <c r="H1080" s="995"/>
      <c r="I1080" s="966"/>
      <c r="J1080" s="966"/>
      <c r="K1080" s="966"/>
      <c r="L1080" s="966"/>
      <c r="M1080" s="971"/>
    </row>
    <row r="1081" spans="1:13">
      <c r="A1081" s="966"/>
      <c r="B1081" s="966"/>
      <c r="C1081" s="966"/>
      <c r="D1081" s="966"/>
      <c r="E1081" s="966"/>
      <c r="F1081" s="966"/>
      <c r="G1081" s="966"/>
      <c r="H1081" s="995"/>
      <c r="I1081" s="966"/>
      <c r="J1081" s="966"/>
      <c r="K1081" s="966"/>
      <c r="L1081" s="966"/>
      <c r="M1081" s="971"/>
    </row>
    <row r="1082" spans="1:13">
      <c r="A1082" s="966"/>
      <c r="B1082" s="966"/>
      <c r="C1082" s="966"/>
      <c r="D1082" s="966"/>
      <c r="E1082" s="966"/>
      <c r="F1082" s="966"/>
      <c r="G1082" s="966"/>
      <c r="H1082" s="995"/>
      <c r="I1082" s="966"/>
      <c r="J1082" s="966"/>
      <c r="K1082" s="966"/>
      <c r="L1082" s="966"/>
      <c r="M1082" s="971"/>
    </row>
    <row r="1083" spans="1:13">
      <c r="A1083" s="966"/>
      <c r="B1083" s="966"/>
      <c r="C1083" s="966"/>
      <c r="D1083" s="966"/>
      <c r="E1083" s="966"/>
      <c r="F1083" s="966"/>
      <c r="G1083" s="966"/>
      <c r="H1083" s="995"/>
      <c r="I1083" s="966"/>
      <c r="J1083" s="966"/>
      <c r="K1083" s="966"/>
      <c r="L1083" s="966"/>
      <c r="M1083" s="971"/>
    </row>
    <row r="1084" spans="1:13">
      <c r="A1084" s="966"/>
      <c r="B1084" s="966"/>
      <c r="C1084" s="966"/>
      <c r="D1084" s="966"/>
      <c r="E1084" s="966"/>
      <c r="F1084" s="966"/>
      <c r="G1084" s="966"/>
      <c r="H1084" s="995"/>
      <c r="I1084" s="966"/>
      <c r="J1084" s="966"/>
      <c r="K1084" s="966"/>
      <c r="L1084" s="966"/>
      <c r="M1084" s="971"/>
    </row>
    <row r="1085" spans="1:13">
      <c r="A1085" s="966"/>
      <c r="B1085" s="966"/>
      <c r="C1085" s="966"/>
      <c r="D1085" s="966"/>
      <c r="E1085" s="966"/>
      <c r="F1085" s="966"/>
      <c r="G1085" s="966"/>
      <c r="H1085" s="995"/>
      <c r="I1085" s="966"/>
      <c r="J1085" s="966"/>
      <c r="K1085" s="966"/>
      <c r="L1085" s="966"/>
      <c r="M1085" s="971"/>
    </row>
    <row r="1086" spans="1:13">
      <c r="A1086" s="966"/>
      <c r="B1086" s="966"/>
      <c r="C1086" s="966"/>
      <c r="D1086" s="966"/>
      <c r="E1086" s="966"/>
      <c r="F1086" s="966"/>
      <c r="G1086" s="966"/>
      <c r="H1086" s="995"/>
      <c r="I1086" s="966"/>
      <c r="J1086" s="966"/>
      <c r="K1086" s="966"/>
      <c r="L1086" s="966"/>
      <c r="M1086" s="971"/>
    </row>
    <row r="1087" spans="1:13">
      <c r="A1087" s="966"/>
      <c r="B1087" s="966"/>
      <c r="C1087" s="966"/>
      <c r="D1087" s="966"/>
      <c r="E1087" s="966"/>
      <c r="F1087" s="966"/>
      <c r="G1087" s="966"/>
      <c r="H1087" s="995"/>
      <c r="I1087" s="966"/>
      <c r="J1087" s="966"/>
      <c r="K1087" s="966"/>
      <c r="L1087" s="966"/>
      <c r="M1087" s="971"/>
    </row>
    <row r="1088" spans="1:13">
      <c r="A1088" s="966"/>
      <c r="B1088" s="966"/>
      <c r="C1088" s="966"/>
      <c r="D1088" s="966"/>
      <c r="E1088" s="966"/>
      <c r="F1088" s="966"/>
      <c r="G1088" s="966"/>
      <c r="H1088" s="995"/>
      <c r="I1088" s="966"/>
      <c r="J1088" s="966"/>
      <c r="K1088" s="966"/>
      <c r="L1088" s="966"/>
      <c r="M1088" s="971"/>
    </row>
    <row r="1089" spans="1:13">
      <c r="A1089" s="966"/>
      <c r="B1089" s="966"/>
      <c r="C1089" s="966"/>
      <c r="D1089" s="966"/>
      <c r="E1089" s="966"/>
      <c r="F1089" s="966"/>
      <c r="G1089" s="966"/>
      <c r="H1089" s="995"/>
      <c r="I1089" s="966"/>
      <c r="J1089" s="966"/>
      <c r="K1089" s="966"/>
      <c r="L1089" s="966"/>
      <c r="M1089" s="971"/>
    </row>
    <row r="1090" spans="1:13">
      <c r="A1090" s="966"/>
      <c r="B1090" s="966"/>
      <c r="C1090" s="966"/>
      <c r="D1090" s="966"/>
      <c r="E1090" s="966"/>
      <c r="F1090" s="966"/>
      <c r="G1090" s="966"/>
      <c r="H1090" s="995"/>
      <c r="I1090" s="966"/>
      <c r="J1090" s="966"/>
      <c r="K1090" s="966"/>
      <c r="L1090" s="966"/>
      <c r="M1090" s="971"/>
    </row>
    <row r="1091" spans="1:13">
      <c r="A1091" s="966"/>
      <c r="B1091" s="966"/>
      <c r="C1091" s="966"/>
      <c r="D1091" s="966"/>
      <c r="E1091" s="966"/>
      <c r="F1091" s="966"/>
      <c r="G1091" s="966"/>
      <c r="H1091" s="995"/>
      <c r="I1091" s="966"/>
      <c r="J1091" s="966"/>
      <c r="K1091" s="966"/>
      <c r="L1091" s="966"/>
      <c r="M1091" s="971"/>
    </row>
    <row r="1092" spans="1:13">
      <c r="A1092" s="966"/>
      <c r="B1092" s="966"/>
      <c r="C1092" s="966"/>
      <c r="D1092" s="966"/>
      <c r="E1092" s="966"/>
      <c r="F1092" s="966"/>
      <c r="G1092" s="966"/>
      <c r="H1092" s="995"/>
      <c r="I1092" s="966"/>
      <c r="J1092" s="966"/>
      <c r="K1092" s="966"/>
      <c r="L1092" s="966"/>
      <c r="M1092" s="971"/>
    </row>
    <row r="1093" spans="1:13">
      <c r="A1093" s="966"/>
      <c r="B1093" s="966"/>
      <c r="C1093" s="966"/>
      <c r="D1093" s="966"/>
      <c r="E1093" s="966"/>
      <c r="F1093" s="966"/>
      <c r="G1093" s="966"/>
      <c r="H1093" s="995"/>
      <c r="I1093" s="966"/>
      <c r="J1093" s="966"/>
      <c r="K1093" s="966"/>
      <c r="L1093" s="966"/>
      <c r="M1093" s="971"/>
    </row>
    <row r="1094" spans="1:13">
      <c r="A1094" s="966"/>
      <c r="B1094" s="966"/>
      <c r="C1094" s="966"/>
      <c r="D1094" s="966"/>
      <c r="E1094" s="966"/>
      <c r="F1094" s="966"/>
      <c r="G1094" s="966"/>
      <c r="H1094" s="995"/>
      <c r="I1094" s="966"/>
      <c r="J1094" s="966"/>
      <c r="K1094" s="966"/>
      <c r="L1094" s="966"/>
      <c r="M1094" s="971"/>
    </row>
    <row r="1095" spans="1:13">
      <c r="A1095" s="966"/>
      <c r="B1095" s="966"/>
      <c r="C1095" s="966"/>
      <c r="D1095" s="966"/>
      <c r="E1095" s="966"/>
      <c r="F1095" s="966"/>
      <c r="G1095" s="966"/>
      <c r="H1095" s="995"/>
      <c r="I1095" s="966"/>
      <c r="J1095" s="966"/>
      <c r="K1095" s="966"/>
      <c r="L1095" s="966"/>
      <c r="M1095" s="971"/>
    </row>
    <row r="1096" spans="1:13">
      <c r="A1096" s="966"/>
      <c r="B1096" s="966"/>
      <c r="C1096" s="966"/>
      <c r="D1096" s="966"/>
      <c r="E1096" s="966"/>
      <c r="F1096" s="966"/>
      <c r="G1096" s="966"/>
      <c r="H1096" s="995"/>
      <c r="I1096" s="966"/>
      <c r="J1096" s="966"/>
      <c r="K1096" s="966"/>
      <c r="L1096" s="966"/>
      <c r="M1096" s="971"/>
    </row>
    <row r="1097" spans="1:13">
      <c r="A1097" s="966"/>
      <c r="B1097" s="966"/>
      <c r="C1097" s="966"/>
      <c r="D1097" s="966"/>
      <c r="E1097" s="966"/>
      <c r="F1097" s="966"/>
      <c r="G1097" s="966"/>
      <c r="H1097" s="995"/>
      <c r="I1097" s="966"/>
      <c r="J1097" s="966"/>
      <c r="K1097" s="966"/>
      <c r="L1097" s="966"/>
      <c r="M1097" s="971"/>
    </row>
    <row r="1098" spans="1:13">
      <c r="A1098" s="966"/>
      <c r="B1098" s="966"/>
      <c r="C1098" s="966"/>
      <c r="D1098" s="966"/>
      <c r="E1098" s="966"/>
      <c r="F1098" s="966"/>
      <c r="G1098" s="966"/>
      <c r="H1098" s="995"/>
      <c r="I1098" s="966"/>
      <c r="J1098" s="966"/>
      <c r="K1098" s="966"/>
      <c r="L1098" s="966"/>
      <c r="M1098" s="971"/>
    </row>
    <row r="1099" spans="1:13">
      <c r="A1099" s="966"/>
      <c r="B1099" s="966"/>
      <c r="C1099" s="966"/>
      <c r="D1099" s="966"/>
      <c r="E1099" s="966"/>
      <c r="F1099" s="966"/>
      <c r="G1099" s="966"/>
      <c r="H1099" s="995"/>
      <c r="I1099" s="966"/>
      <c r="J1099" s="966"/>
      <c r="K1099" s="966"/>
      <c r="L1099" s="966"/>
      <c r="M1099" s="971"/>
    </row>
    <row r="1100" spans="1:13">
      <c r="A1100" s="966"/>
      <c r="B1100" s="966"/>
      <c r="C1100" s="966"/>
      <c r="D1100" s="966"/>
      <c r="E1100" s="966"/>
      <c r="F1100" s="966"/>
      <c r="G1100" s="966"/>
      <c r="H1100" s="995"/>
      <c r="I1100" s="966"/>
      <c r="J1100" s="966"/>
      <c r="K1100" s="966"/>
      <c r="L1100" s="966"/>
      <c r="M1100" s="971"/>
    </row>
    <row r="1101" spans="1:13">
      <c r="A1101" s="966"/>
      <c r="B1101" s="966"/>
      <c r="C1101" s="966"/>
      <c r="D1101" s="966"/>
      <c r="E1101" s="966"/>
      <c r="F1101" s="966"/>
      <c r="G1101" s="966"/>
      <c r="H1101" s="995"/>
      <c r="I1101" s="966"/>
      <c r="J1101" s="966"/>
      <c r="K1101" s="966"/>
      <c r="L1101" s="966"/>
      <c r="M1101" s="971"/>
    </row>
    <row r="1102" spans="1:13">
      <c r="A1102" s="966"/>
      <c r="B1102" s="966"/>
      <c r="C1102" s="966"/>
      <c r="D1102" s="966"/>
      <c r="E1102" s="966"/>
      <c r="F1102" s="966"/>
      <c r="G1102" s="966"/>
      <c r="H1102" s="995"/>
      <c r="I1102" s="966"/>
      <c r="J1102" s="966"/>
      <c r="K1102" s="966"/>
      <c r="L1102" s="966"/>
      <c r="M1102" s="971"/>
    </row>
    <row r="1103" spans="1:13">
      <c r="A1103" s="966"/>
      <c r="B1103" s="966"/>
      <c r="C1103" s="966"/>
      <c r="D1103" s="966"/>
      <c r="E1103" s="966"/>
      <c r="F1103" s="966"/>
      <c r="G1103" s="966"/>
      <c r="H1103" s="995"/>
      <c r="I1103" s="966"/>
      <c r="J1103" s="966"/>
      <c r="K1103" s="966"/>
      <c r="L1103" s="966"/>
      <c r="M1103" s="971"/>
    </row>
    <row r="1104" spans="1:13">
      <c r="A1104" s="966"/>
      <c r="B1104" s="966"/>
      <c r="C1104" s="966"/>
      <c r="D1104" s="966"/>
      <c r="E1104" s="966"/>
      <c r="F1104" s="966"/>
      <c r="G1104" s="966"/>
      <c r="H1104" s="995"/>
      <c r="I1104" s="966"/>
      <c r="J1104" s="966"/>
      <c r="K1104" s="966"/>
      <c r="L1104" s="966"/>
      <c r="M1104" s="971"/>
    </row>
    <row r="1105" spans="1:13">
      <c r="A1105" s="966"/>
      <c r="B1105" s="966"/>
      <c r="C1105" s="966"/>
      <c r="D1105" s="966"/>
      <c r="E1105" s="966"/>
      <c r="F1105" s="966"/>
      <c r="G1105" s="966"/>
      <c r="H1105" s="995"/>
      <c r="I1105" s="966"/>
      <c r="J1105" s="966"/>
      <c r="K1105" s="966"/>
      <c r="L1105" s="966"/>
      <c r="M1105" s="971"/>
    </row>
    <row r="1106" spans="1:13">
      <c r="A1106" s="966"/>
      <c r="B1106" s="966"/>
      <c r="C1106" s="966"/>
      <c r="D1106" s="966"/>
      <c r="E1106" s="966"/>
      <c r="F1106" s="966"/>
      <c r="G1106" s="966"/>
      <c r="H1106" s="995"/>
      <c r="I1106" s="966"/>
      <c r="J1106" s="966"/>
      <c r="K1106" s="966"/>
      <c r="L1106" s="966"/>
      <c r="M1106" s="971"/>
    </row>
    <row r="1107" spans="1:13">
      <c r="A1107" s="966"/>
      <c r="B1107" s="966"/>
      <c r="C1107" s="966"/>
      <c r="D1107" s="966"/>
      <c r="E1107" s="966"/>
      <c r="F1107" s="966"/>
      <c r="G1107" s="966"/>
      <c r="H1107" s="995"/>
      <c r="I1107" s="966"/>
      <c r="J1107" s="966"/>
      <c r="K1107" s="966"/>
      <c r="L1107" s="966"/>
      <c r="M1107" s="971"/>
    </row>
    <row r="1108" spans="1:13">
      <c r="A1108" s="966"/>
      <c r="B1108" s="966"/>
      <c r="C1108" s="966"/>
      <c r="D1108" s="966"/>
      <c r="E1108" s="966"/>
      <c r="F1108" s="966"/>
      <c r="G1108" s="966"/>
      <c r="H1108" s="995"/>
      <c r="I1108" s="966"/>
      <c r="J1108" s="966"/>
      <c r="K1108" s="966"/>
      <c r="L1108" s="966"/>
      <c r="M1108" s="971"/>
    </row>
    <row r="1109" spans="1:13">
      <c r="A1109" s="966"/>
      <c r="B1109" s="966"/>
      <c r="C1109" s="966"/>
      <c r="D1109" s="966"/>
      <c r="E1109" s="966"/>
      <c r="F1109" s="966"/>
      <c r="G1109" s="966"/>
      <c r="H1109" s="995"/>
      <c r="I1109" s="966"/>
      <c r="J1109" s="966"/>
      <c r="K1109" s="966"/>
      <c r="L1109" s="966"/>
      <c r="M1109" s="971"/>
    </row>
    <row r="1110" spans="1:13">
      <c r="A1110" s="966"/>
      <c r="B1110" s="966"/>
      <c r="C1110" s="966"/>
      <c r="D1110" s="966"/>
      <c r="E1110" s="966"/>
      <c r="F1110" s="966"/>
      <c r="G1110" s="966"/>
      <c r="H1110" s="995"/>
      <c r="I1110" s="966"/>
      <c r="J1110" s="966"/>
      <c r="K1110" s="966"/>
      <c r="L1110" s="966"/>
      <c r="M1110" s="971"/>
    </row>
    <row r="1111" spans="1:13">
      <c r="A1111" s="966"/>
      <c r="B1111" s="966"/>
      <c r="C1111" s="966"/>
      <c r="D1111" s="966"/>
      <c r="E1111" s="966"/>
      <c r="F1111" s="966"/>
      <c r="G1111" s="966"/>
      <c r="H1111" s="995"/>
      <c r="I1111" s="966"/>
      <c r="J1111" s="966"/>
      <c r="K1111" s="966"/>
      <c r="L1111" s="966"/>
      <c r="M1111" s="971"/>
    </row>
    <row r="1112" spans="1:13">
      <c r="A1112" s="966"/>
      <c r="B1112" s="966"/>
      <c r="C1112" s="966"/>
      <c r="D1112" s="966"/>
      <c r="E1112" s="966"/>
      <c r="F1112" s="966"/>
      <c r="G1112" s="966"/>
      <c r="H1112" s="995"/>
      <c r="I1112" s="966"/>
      <c r="J1112" s="966"/>
      <c r="K1112" s="966"/>
      <c r="L1112" s="966"/>
      <c r="M1112" s="971"/>
    </row>
    <row r="1113" spans="1:13">
      <c r="A1113" s="966"/>
      <c r="B1113" s="966"/>
      <c r="C1113" s="966"/>
      <c r="D1113" s="966"/>
      <c r="E1113" s="966"/>
      <c r="F1113" s="966"/>
      <c r="G1113" s="966"/>
      <c r="H1113" s="995"/>
      <c r="I1113" s="966"/>
      <c r="J1113" s="966"/>
      <c r="K1113" s="966"/>
      <c r="L1113" s="966"/>
      <c r="M1113" s="971"/>
    </row>
    <row r="1114" spans="1:13">
      <c r="A1114" s="966"/>
      <c r="B1114" s="966"/>
      <c r="C1114" s="966"/>
      <c r="D1114" s="966"/>
      <c r="E1114" s="966"/>
      <c r="F1114" s="966"/>
      <c r="G1114" s="966"/>
      <c r="H1114" s="995"/>
      <c r="I1114" s="966"/>
      <c r="J1114" s="966"/>
      <c r="K1114" s="966"/>
      <c r="L1114" s="966"/>
      <c r="M1114" s="971"/>
    </row>
    <row r="1115" spans="1:13">
      <c r="A1115" s="966"/>
      <c r="B1115" s="966"/>
      <c r="C1115" s="966"/>
      <c r="D1115" s="966"/>
      <c r="E1115" s="966"/>
      <c r="F1115" s="966"/>
      <c r="G1115" s="966"/>
      <c r="H1115" s="995"/>
      <c r="I1115" s="966"/>
      <c r="J1115" s="966"/>
      <c r="K1115" s="966"/>
      <c r="L1115" s="966"/>
      <c r="M1115" s="971"/>
    </row>
    <row r="1116" spans="1:13">
      <c r="A1116" s="966"/>
      <c r="B1116" s="966"/>
      <c r="C1116" s="966"/>
      <c r="D1116" s="966"/>
      <c r="E1116" s="966"/>
      <c r="F1116" s="966"/>
      <c r="G1116" s="966"/>
      <c r="H1116" s="995"/>
      <c r="I1116" s="966"/>
      <c r="J1116" s="966"/>
      <c r="K1116" s="966"/>
      <c r="L1116" s="966"/>
      <c r="M1116" s="971"/>
    </row>
    <row r="1117" spans="1:13">
      <c r="A1117" s="966"/>
      <c r="B1117" s="966"/>
      <c r="C1117" s="966"/>
      <c r="D1117" s="966"/>
      <c r="E1117" s="966"/>
      <c r="F1117" s="966"/>
      <c r="G1117" s="966"/>
      <c r="H1117" s="995"/>
      <c r="I1117" s="966"/>
      <c r="J1117" s="966"/>
      <c r="K1117" s="966"/>
      <c r="L1117" s="966"/>
      <c r="M1117" s="971"/>
    </row>
    <row r="1118" spans="1:13">
      <c r="A1118" s="966"/>
      <c r="B1118" s="966"/>
      <c r="C1118" s="966"/>
      <c r="D1118" s="966"/>
      <c r="E1118" s="966"/>
      <c r="F1118" s="966"/>
      <c r="G1118" s="966"/>
      <c r="H1118" s="995"/>
      <c r="I1118" s="966"/>
      <c r="J1118" s="966"/>
      <c r="K1118" s="966"/>
      <c r="L1118" s="966"/>
      <c r="M1118" s="971"/>
    </row>
    <row r="1119" spans="1:13">
      <c r="A1119" s="966"/>
      <c r="B1119" s="966"/>
      <c r="C1119" s="966"/>
      <c r="D1119" s="966"/>
      <c r="E1119" s="966"/>
      <c r="F1119" s="966"/>
      <c r="G1119" s="966"/>
      <c r="H1119" s="995"/>
      <c r="I1119" s="966"/>
      <c r="J1119" s="966"/>
      <c r="K1119" s="966"/>
      <c r="L1119" s="966"/>
      <c r="M1119" s="971"/>
    </row>
    <row r="1120" spans="1:13">
      <c r="A1120" s="966"/>
      <c r="B1120" s="966"/>
      <c r="C1120" s="966"/>
      <c r="D1120" s="966"/>
      <c r="E1120" s="966"/>
      <c r="F1120" s="966"/>
      <c r="G1120" s="966"/>
      <c r="H1120" s="995"/>
      <c r="I1120" s="966"/>
      <c r="J1120" s="966"/>
      <c r="K1120" s="966"/>
      <c r="L1120" s="966"/>
      <c r="M1120" s="971"/>
    </row>
    <row r="1121" spans="1:13">
      <c r="A1121" s="966"/>
      <c r="B1121" s="966"/>
      <c r="C1121" s="966"/>
      <c r="D1121" s="966"/>
      <c r="E1121" s="966"/>
      <c r="F1121" s="966"/>
      <c r="G1121" s="966"/>
      <c r="H1121" s="995"/>
      <c r="I1121" s="966"/>
      <c r="J1121" s="966"/>
      <c r="K1121" s="966"/>
      <c r="L1121" s="966"/>
      <c r="M1121" s="971"/>
    </row>
    <row r="1122" spans="1:13">
      <c r="A1122" s="966"/>
      <c r="B1122" s="966"/>
      <c r="C1122" s="966"/>
      <c r="D1122" s="966"/>
      <c r="E1122" s="966"/>
      <c r="F1122" s="966"/>
      <c r="G1122" s="966"/>
      <c r="H1122" s="995"/>
      <c r="I1122" s="966"/>
      <c r="J1122" s="966"/>
      <c r="K1122" s="966"/>
      <c r="L1122" s="966"/>
      <c r="M1122" s="971"/>
    </row>
    <row r="1123" spans="1:13">
      <c r="A1123" s="966"/>
      <c r="B1123" s="966"/>
      <c r="C1123" s="966"/>
      <c r="D1123" s="966"/>
      <c r="E1123" s="966"/>
      <c r="F1123" s="966"/>
      <c r="G1123" s="966"/>
      <c r="H1123" s="995"/>
      <c r="I1123" s="966"/>
      <c r="J1123" s="966"/>
      <c r="K1123" s="966"/>
      <c r="L1123" s="966"/>
      <c r="M1123" s="971"/>
    </row>
    <row r="1124" spans="1:13">
      <c r="A1124" s="966"/>
      <c r="B1124" s="966"/>
      <c r="C1124" s="966"/>
      <c r="D1124" s="966"/>
      <c r="E1124" s="966"/>
      <c r="F1124" s="966"/>
      <c r="G1124" s="966"/>
      <c r="H1124" s="995"/>
      <c r="I1124" s="966"/>
      <c r="J1124" s="966"/>
      <c r="K1124" s="966"/>
      <c r="L1124" s="966"/>
      <c r="M1124" s="971"/>
    </row>
    <row r="1125" spans="1:13">
      <c r="A1125" s="966"/>
      <c r="B1125" s="966"/>
      <c r="C1125" s="966"/>
      <c r="D1125" s="966"/>
      <c r="E1125" s="966"/>
      <c r="F1125" s="966"/>
      <c r="G1125" s="966"/>
      <c r="H1125" s="995"/>
      <c r="I1125" s="966"/>
      <c r="J1125" s="966"/>
      <c r="K1125" s="966"/>
      <c r="L1125" s="966"/>
      <c r="M1125" s="971"/>
    </row>
    <row r="1126" spans="1:13">
      <c r="A1126" s="966"/>
      <c r="B1126" s="966"/>
      <c r="C1126" s="966"/>
      <c r="D1126" s="966"/>
      <c r="E1126" s="966"/>
      <c r="F1126" s="966"/>
      <c r="G1126" s="966"/>
      <c r="H1126" s="995"/>
      <c r="I1126" s="966"/>
      <c r="J1126" s="966"/>
      <c r="K1126" s="966"/>
      <c r="L1126" s="966"/>
      <c r="M1126" s="971"/>
    </row>
    <row r="1127" spans="1:13">
      <c r="A1127" s="966"/>
      <c r="B1127" s="966"/>
      <c r="C1127" s="966"/>
      <c r="D1127" s="966"/>
      <c r="E1127" s="966"/>
      <c r="F1127" s="966"/>
      <c r="G1127" s="966"/>
      <c r="H1127" s="995"/>
      <c r="I1127" s="966"/>
      <c r="J1127" s="966"/>
      <c r="K1127" s="966"/>
      <c r="L1127" s="966"/>
      <c r="M1127" s="971"/>
    </row>
    <row r="1128" spans="1:13">
      <c r="A1128" s="966"/>
      <c r="B1128" s="966"/>
      <c r="C1128" s="966"/>
      <c r="D1128" s="966"/>
      <c r="E1128" s="966"/>
      <c r="F1128" s="966"/>
      <c r="G1128" s="966"/>
      <c r="H1128" s="995"/>
      <c r="I1128" s="966"/>
      <c r="J1128" s="966"/>
      <c r="K1128" s="966"/>
      <c r="L1128" s="966"/>
      <c r="M1128" s="971"/>
    </row>
    <row r="1129" spans="1:13">
      <c r="A1129" s="966"/>
      <c r="B1129" s="966"/>
      <c r="C1129" s="966"/>
      <c r="D1129" s="966"/>
      <c r="E1129" s="966"/>
      <c r="F1129" s="966"/>
      <c r="G1129" s="966"/>
      <c r="H1129" s="995"/>
      <c r="I1129" s="966"/>
      <c r="J1129" s="966"/>
      <c r="K1129" s="966"/>
      <c r="L1129" s="966"/>
      <c r="M1129" s="971"/>
    </row>
    <row r="1130" spans="1:13">
      <c r="A1130" s="966"/>
      <c r="B1130" s="966"/>
      <c r="C1130" s="966"/>
      <c r="D1130" s="966"/>
      <c r="E1130" s="966"/>
      <c r="F1130" s="966"/>
      <c r="G1130" s="966"/>
      <c r="H1130" s="995"/>
      <c r="I1130" s="966"/>
      <c r="J1130" s="966"/>
      <c r="K1130" s="966"/>
      <c r="L1130" s="966"/>
      <c r="M1130" s="971"/>
    </row>
    <row r="1131" spans="1:13">
      <c r="A1131" s="966"/>
      <c r="B1131" s="966"/>
      <c r="C1131" s="966"/>
      <c r="D1131" s="966"/>
      <c r="E1131" s="966"/>
      <c r="F1131" s="966"/>
      <c r="G1131" s="966"/>
      <c r="H1131" s="995"/>
      <c r="I1131" s="966"/>
      <c r="J1131" s="966"/>
      <c r="K1131" s="966"/>
      <c r="L1131" s="966"/>
      <c r="M1131" s="971"/>
    </row>
    <row r="1132" spans="1:13">
      <c r="A1132" s="966"/>
      <c r="B1132" s="966"/>
      <c r="C1132" s="966"/>
      <c r="D1132" s="966"/>
      <c r="E1132" s="966"/>
      <c r="F1132" s="966"/>
      <c r="G1132" s="966"/>
      <c r="H1132" s="995"/>
      <c r="I1132" s="966"/>
      <c r="J1132" s="966"/>
      <c r="K1132" s="966"/>
      <c r="L1132" s="966"/>
      <c r="M1132" s="971"/>
    </row>
    <row r="1133" spans="1:13">
      <c r="A1133" s="966"/>
      <c r="B1133" s="966"/>
      <c r="C1133" s="966"/>
      <c r="D1133" s="966"/>
      <c r="E1133" s="966"/>
      <c r="F1133" s="966"/>
      <c r="G1133" s="966"/>
      <c r="H1133" s="995"/>
      <c r="I1133" s="966"/>
      <c r="J1133" s="966"/>
      <c r="K1133" s="966"/>
      <c r="L1133" s="966"/>
      <c r="M1133" s="971"/>
    </row>
    <row r="1134" spans="1:13">
      <c r="A1134" s="966"/>
      <c r="B1134" s="966"/>
      <c r="C1134" s="966"/>
      <c r="D1134" s="966"/>
      <c r="E1134" s="966"/>
      <c r="F1134" s="966"/>
      <c r="G1134" s="966"/>
      <c r="H1134" s="995"/>
      <c r="I1134" s="966"/>
      <c r="J1134" s="966"/>
      <c r="K1134" s="966"/>
      <c r="L1134" s="966"/>
      <c r="M1134" s="971"/>
    </row>
    <row r="1135" spans="1:13">
      <c r="A1135" s="966"/>
      <c r="B1135" s="966"/>
      <c r="C1135" s="966"/>
      <c r="D1135" s="966"/>
      <c r="E1135" s="966"/>
      <c r="F1135" s="966"/>
      <c r="G1135" s="966"/>
      <c r="H1135" s="995"/>
      <c r="I1135" s="966"/>
      <c r="J1135" s="966"/>
      <c r="K1135" s="966"/>
      <c r="L1135" s="966"/>
      <c r="M1135" s="971"/>
    </row>
    <row r="1136" spans="1:13">
      <c r="A1136" s="966"/>
      <c r="B1136" s="966"/>
      <c r="C1136" s="966"/>
      <c r="D1136" s="966"/>
      <c r="E1136" s="966"/>
      <c r="F1136" s="966"/>
      <c r="G1136" s="966"/>
      <c r="H1136" s="995"/>
      <c r="I1136" s="966"/>
      <c r="J1136" s="966"/>
      <c r="K1136" s="966"/>
      <c r="L1136" s="966"/>
      <c r="M1136" s="971"/>
    </row>
    <row r="1137" spans="1:13">
      <c r="A1137" s="966"/>
      <c r="B1137" s="966"/>
      <c r="C1137" s="966"/>
      <c r="D1137" s="966"/>
      <c r="E1137" s="966"/>
      <c r="F1137" s="966"/>
      <c r="G1137" s="966"/>
      <c r="H1137" s="995"/>
      <c r="I1137" s="966"/>
      <c r="J1137" s="966"/>
      <c r="K1137" s="966"/>
      <c r="L1137" s="966"/>
      <c r="M1137" s="971"/>
    </row>
    <row r="1138" spans="1:13">
      <c r="A1138" s="966"/>
      <c r="B1138" s="966"/>
      <c r="C1138" s="966"/>
      <c r="D1138" s="966"/>
      <c r="E1138" s="966"/>
      <c r="F1138" s="966"/>
      <c r="G1138" s="966"/>
      <c r="H1138" s="995"/>
      <c r="I1138" s="966"/>
      <c r="J1138" s="966"/>
      <c r="K1138" s="966"/>
      <c r="L1138" s="966"/>
      <c r="M1138" s="971"/>
    </row>
    <row r="1139" spans="1:13">
      <c r="A1139" s="966"/>
      <c r="B1139" s="966"/>
      <c r="C1139" s="966"/>
      <c r="D1139" s="966"/>
      <c r="E1139" s="966"/>
      <c r="F1139" s="966"/>
      <c r="G1139" s="966"/>
      <c r="H1139" s="995"/>
      <c r="I1139" s="966"/>
      <c r="J1139" s="966"/>
      <c r="K1139" s="966"/>
      <c r="L1139" s="966"/>
      <c r="M1139" s="971"/>
    </row>
    <row r="1140" spans="1:13">
      <c r="A1140" s="966"/>
      <c r="B1140" s="966"/>
      <c r="C1140" s="966"/>
      <c r="D1140" s="966"/>
      <c r="E1140" s="966"/>
      <c r="F1140" s="966"/>
      <c r="G1140" s="966"/>
      <c r="H1140" s="995"/>
      <c r="I1140" s="966"/>
      <c r="J1140" s="966"/>
      <c r="K1140" s="966"/>
      <c r="L1140" s="966"/>
      <c r="M1140" s="971"/>
    </row>
    <row r="1141" spans="1:13">
      <c r="A1141" s="966"/>
      <c r="B1141" s="966"/>
      <c r="C1141" s="966"/>
      <c r="D1141" s="966"/>
      <c r="E1141" s="966"/>
      <c r="F1141" s="966"/>
      <c r="G1141" s="966"/>
      <c r="H1141" s="995"/>
      <c r="I1141" s="966"/>
      <c r="J1141" s="966"/>
      <c r="K1141" s="966"/>
      <c r="L1141" s="966"/>
      <c r="M1141" s="971"/>
    </row>
    <row r="1142" spans="1:13">
      <c r="A1142" s="966"/>
      <c r="B1142" s="966"/>
      <c r="C1142" s="966"/>
      <c r="D1142" s="966"/>
      <c r="E1142" s="966"/>
      <c r="F1142" s="966"/>
      <c r="G1142" s="966"/>
      <c r="H1142" s="995"/>
      <c r="I1142" s="966"/>
      <c r="J1142" s="966"/>
      <c r="K1142" s="966"/>
      <c r="L1142" s="966"/>
      <c r="M1142" s="971"/>
    </row>
    <row r="1143" spans="1:13">
      <c r="A1143" s="966"/>
      <c r="B1143" s="966"/>
      <c r="C1143" s="966"/>
      <c r="D1143" s="966"/>
      <c r="E1143" s="966"/>
      <c r="F1143" s="966"/>
      <c r="G1143" s="966"/>
      <c r="H1143" s="995"/>
      <c r="I1143" s="966"/>
      <c r="J1143" s="966"/>
      <c r="K1143" s="966"/>
      <c r="L1143" s="966"/>
      <c r="M1143" s="971"/>
    </row>
    <row r="1144" spans="1:13">
      <c r="A1144" s="966"/>
      <c r="B1144" s="966"/>
      <c r="C1144" s="966"/>
      <c r="D1144" s="966"/>
      <c r="E1144" s="966"/>
      <c r="F1144" s="966"/>
      <c r="G1144" s="966"/>
      <c r="H1144" s="995"/>
      <c r="I1144" s="966"/>
      <c r="J1144" s="966"/>
      <c r="K1144" s="966"/>
      <c r="L1144" s="966"/>
      <c r="M1144" s="971"/>
    </row>
    <row r="1145" spans="1:13">
      <c r="A1145" s="966"/>
      <c r="B1145" s="966"/>
      <c r="C1145" s="966"/>
      <c r="D1145" s="966"/>
      <c r="E1145" s="966"/>
      <c r="F1145" s="966"/>
      <c r="G1145" s="966"/>
      <c r="H1145" s="995"/>
      <c r="I1145" s="966"/>
      <c r="J1145" s="966"/>
      <c r="K1145" s="966"/>
      <c r="L1145" s="966"/>
      <c r="M1145" s="971"/>
    </row>
    <row r="1146" spans="1:13">
      <c r="A1146" s="966"/>
      <c r="B1146" s="966"/>
      <c r="C1146" s="966"/>
      <c r="D1146" s="966"/>
      <c r="E1146" s="966"/>
      <c r="F1146" s="966"/>
      <c r="G1146" s="966"/>
      <c r="H1146" s="995"/>
      <c r="I1146" s="966"/>
      <c r="J1146" s="966"/>
      <c r="K1146" s="966"/>
      <c r="L1146" s="966"/>
      <c r="M1146" s="971"/>
    </row>
    <row r="1147" spans="1:13">
      <c r="A1147" s="966"/>
      <c r="B1147" s="966"/>
      <c r="C1147" s="966"/>
      <c r="D1147" s="966"/>
      <c r="E1147" s="966"/>
      <c r="F1147" s="966"/>
      <c r="G1147" s="966"/>
      <c r="H1147" s="995"/>
      <c r="I1147" s="966"/>
      <c r="J1147" s="966"/>
      <c r="K1147" s="966"/>
      <c r="L1147" s="966"/>
      <c r="M1147" s="971"/>
    </row>
    <row r="1148" spans="1:13">
      <c r="A1148" s="966"/>
      <c r="B1148" s="966"/>
      <c r="C1148" s="966"/>
      <c r="D1148" s="966"/>
      <c r="E1148" s="966"/>
      <c r="F1148" s="966"/>
      <c r="G1148" s="966"/>
      <c r="H1148" s="995"/>
      <c r="I1148" s="966"/>
      <c r="J1148" s="966"/>
      <c r="K1148" s="966"/>
      <c r="L1148" s="966"/>
      <c r="M1148" s="971"/>
    </row>
    <row r="1149" spans="1:13">
      <c r="A1149" s="966"/>
      <c r="B1149" s="966"/>
      <c r="C1149" s="966"/>
      <c r="D1149" s="966"/>
      <c r="E1149" s="966"/>
      <c r="F1149" s="966"/>
      <c r="G1149" s="966"/>
      <c r="H1149" s="995"/>
      <c r="I1149" s="966"/>
      <c r="J1149" s="966"/>
      <c r="K1149" s="966"/>
      <c r="L1149" s="966"/>
      <c r="M1149" s="971"/>
    </row>
    <row r="1150" spans="1:13">
      <c r="A1150" s="966"/>
      <c r="B1150" s="966"/>
      <c r="C1150" s="966"/>
      <c r="D1150" s="966"/>
      <c r="E1150" s="966"/>
      <c r="F1150" s="966"/>
      <c r="G1150" s="966"/>
      <c r="H1150" s="995"/>
      <c r="I1150" s="966"/>
      <c r="J1150" s="966"/>
      <c r="K1150" s="966"/>
      <c r="L1150" s="966"/>
      <c r="M1150" s="971"/>
    </row>
    <row r="1151" spans="1:13">
      <c r="A1151" s="966"/>
      <c r="B1151" s="966"/>
      <c r="C1151" s="966"/>
      <c r="D1151" s="966"/>
      <c r="E1151" s="966"/>
      <c r="F1151" s="966"/>
      <c r="G1151" s="966"/>
      <c r="H1151" s="995"/>
      <c r="I1151" s="966"/>
      <c r="J1151" s="966"/>
      <c r="K1151" s="966"/>
      <c r="L1151" s="966"/>
      <c r="M1151" s="971"/>
    </row>
    <row r="1152" spans="1:13">
      <c r="A1152" s="966"/>
      <c r="B1152" s="966"/>
      <c r="C1152" s="966"/>
      <c r="D1152" s="966"/>
      <c r="E1152" s="966"/>
      <c r="F1152" s="966"/>
      <c r="G1152" s="966"/>
      <c r="H1152" s="995"/>
      <c r="I1152" s="966"/>
      <c r="J1152" s="966"/>
      <c r="K1152" s="966"/>
      <c r="L1152" s="966"/>
      <c r="M1152" s="971"/>
    </row>
    <row r="1153" spans="1:13">
      <c r="A1153" s="966"/>
      <c r="B1153" s="966"/>
      <c r="C1153" s="966"/>
      <c r="D1153" s="966"/>
      <c r="E1153" s="966"/>
      <c r="F1153" s="966"/>
      <c r="G1153" s="966"/>
      <c r="H1153" s="995"/>
      <c r="I1153" s="966"/>
      <c r="J1153" s="966"/>
      <c r="K1153" s="966"/>
      <c r="L1153" s="966"/>
      <c r="M1153" s="971"/>
    </row>
    <row r="1154" spans="1:13">
      <c r="A1154" s="966"/>
      <c r="B1154" s="966"/>
      <c r="C1154" s="966"/>
      <c r="D1154" s="966"/>
      <c r="E1154" s="966"/>
      <c r="F1154" s="966"/>
      <c r="G1154" s="966"/>
      <c r="H1154" s="995"/>
      <c r="I1154" s="966"/>
      <c r="J1154" s="966"/>
      <c r="K1154" s="966"/>
      <c r="L1154" s="966"/>
      <c r="M1154" s="971"/>
    </row>
    <row r="1155" spans="1:13">
      <c r="A1155" s="966"/>
      <c r="B1155" s="966"/>
      <c r="C1155" s="966"/>
      <c r="D1155" s="966"/>
      <c r="E1155" s="966"/>
      <c r="F1155" s="966"/>
      <c r="G1155" s="966"/>
      <c r="H1155" s="995"/>
      <c r="I1155" s="966"/>
      <c r="J1155" s="966"/>
      <c r="K1155" s="966"/>
      <c r="L1155" s="966"/>
      <c r="M1155" s="971"/>
    </row>
    <row r="1156" spans="1:13">
      <c r="A1156" s="966"/>
      <c r="B1156" s="966"/>
      <c r="C1156" s="966"/>
      <c r="D1156" s="966"/>
      <c r="E1156" s="966"/>
      <c r="F1156" s="966"/>
      <c r="G1156" s="966"/>
      <c r="H1156" s="995"/>
      <c r="I1156" s="966"/>
      <c r="J1156" s="966"/>
      <c r="K1156" s="966"/>
      <c r="L1156" s="966"/>
      <c r="M1156" s="971"/>
    </row>
    <row r="1157" spans="1:13">
      <c r="A1157" s="966"/>
      <c r="B1157" s="966"/>
      <c r="C1157" s="966"/>
      <c r="D1157" s="966"/>
      <c r="E1157" s="966"/>
      <c r="F1157" s="966"/>
      <c r="G1157" s="966"/>
      <c r="H1157" s="995"/>
      <c r="I1157" s="966"/>
      <c r="J1157" s="966"/>
      <c r="K1157" s="966"/>
      <c r="L1157" s="966"/>
      <c r="M1157" s="971"/>
    </row>
    <row r="1158" spans="1:13">
      <c r="A1158" s="966"/>
      <c r="B1158" s="966"/>
      <c r="C1158" s="966"/>
      <c r="D1158" s="966"/>
      <c r="E1158" s="966"/>
      <c r="F1158" s="966"/>
      <c r="G1158" s="966"/>
      <c r="H1158" s="995"/>
      <c r="I1158" s="966"/>
      <c r="J1158" s="966"/>
      <c r="K1158" s="966"/>
      <c r="L1158" s="966"/>
      <c r="M1158" s="971"/>
    </row>
    <row r="1159" spans="1:13">
      <c r="A1159" s="966"/>
      <c r="B1159" s="966"/>
      <c r="C1159" s="966"/>
      <c r="D1159" s="966"/>
      <c r="E1159" s="966"/>
      <c r="F1159" s="966"/>
      <c r="G1159" s="966"/>
      <c r="H1159" s="995"/>
      <c r="I1159" s="966"/>
      <c r="J1159" s="966"/>
      <c r="K1159" s="966"/>
      <c r="L1159" s="966"/>
      <c r="M1159" s="971"/>
    </row>
    <row r="1160" spans="1:13">
      <c r="A1160" s="966"/>
      <c r="B1160" s="966"/>
      <c r="C1160" s="966"/>
      <c r="D1160" s="966"/>
      <c r="E1160" s="966"/>
      <c r="F1160" s="966"/>
      <c r="G1160" s="966"/>
      <c r="H1160" s="995"/>
      <c r="I1160" s="966"/>
      <c r="J1160" s="966"/>
      <c r="K1160" s="966"/>
      <c r="L1160" s="966"/>
      <c r="M1160" s="971"/>
    </row>
    <row r="1161" spans="1:13">
      <c r="A1161" s="966"/>
      <c r="B1161" s="966"/>
      <c r="C1161" s="966"/>
      <c r="D1161" s="966"/>
      <c r="E1161" s="966"/>
      <c r="F1161" s="966"/>
      <c r="G1161" s="966"/>
      <c r="H1161" s="995"/>
      <c r="I1161" s="966"/>
      <c r="J1161" s="966"/>
      <c r="K1161" s="966"/>
      <c r="L1161" s="966"/>
      <c r="M1161" s="971"/>
    </row>
    <row r="1162" spans="1:13">
      <c r="A1162" s="966"/>
      <c r="B1162" s="966"/>
      <c r="C1162" s="966"/>
      <c r="D1162" s="966"/>
      <c r="E1162" s="966"/>
      <c r="F1162" s="966"/>
      <c r="G1162" s="966"/>
      <c r="H1162" s="995"/>
      <c r="I1162" s="966"/>
      <c r="J1162" s="966"/>
      <c r="K1162" s="966"/>
      <c r="L1162" s="966"/>
      <c r="M1162" s="971"/>
    </row>
    <row r="1163" spans="1:13">
      <c r="A1163" s="966"/>
      <c r="B1163" s="966"/>
      <c r="C1163" s="966"/>
      <c r="D1163" s="966"/>
      <c r="E1163" s="966"/>
      <c r="F1163" s="966"/>
      <c r="G1163" s="966"/>
      <c r="H1163" s="995"/>
      <c r="I1163" s="966"/>
      <c r="J1163" s="966"/>
      <c r="K1163" s="966"/>
      <c r="L1163" s="966"/>
      <c r="M1163" s="971"/>
    </row>
    <row r="1164" spans="1:13">
      <c r="A1164" s="966"/>
      <c r="B1164" s="966"/>
      <c r="C1164" s="966"/>
      <c r="D1164" s="966"/>
      <c r="E1164" s="966"/>
      <c r="F1164" s="966"/>
      <c r="G1164" s="966"/>
      <c r="H1164" s="995"/>
      <c r="I1164" s="966"/>
      <c r="J1164" s="966"/>
      <c r="K1164" s="966"/>
      <c r="L1164" s="966"/>
      <c r="M1164" s="971"/>
    </row>
    <row r="1165" spans="1:13">
      <c r="A1165" s="966"/>
      <c r="B1165" s="966"/>
      <c r="C1165" s="966"/>
      <c r="D1165" s="966"/>
      <c r="E1165" s="966"/>
      <c r="F1165" s="966"/>
      <c r="G1165" s="966"/>
      <c r="H1165" s="995"/>
      <c r="I1165" s="966"/>
      <c r="J1165" s="966"/>
      <c r="K1165" s="966"/>
      <c r="L1165" s="966"/>
      <c r="M1165" s="971"/>
    </row>
    <row r="1166" spans="1:13">
      <c r="A1166" s="966"/>
      <c r="B1166" s="966"/>
      <c r="C1166" s="966"/>
      <c r="D1166" s="966"/>
      <c r="E1166" s="966"/>
      <c r="F1166" s="966"/>
      <c r="G1166" s="966"/>
      <c r="H1166" s="995"/>
      <c r="I1166" s="966"/>
      <c r="J1166" s="966"/>
      <c r="K1166" s="966"/>
      <c r="L1166" s="966"/>
      <c r="M1166" s="971"/>
    </row>
    <row r="1167" spans="1:13">
      <c r="A1167" s="966"/>
      <c r="B1167" s="966"/>
      <c r="C1167" s="966"/>
      <c r="D1167" s="966"/>
      <c r="E1167" s="966"/>
      <c r="F1167" s="966"/>
      <c r="G1167" s="966"/>
      <c r="H1167" s="995"/>
      <c r="I1167" s="966"/>
      <c r="J1167" s="966"/>
      <c r="K1167" s="966"/>
      <c r="L1167" s="966"/>
      <c r="M1167" s="971"/>
    </row>
    <row r="1168" spans="1:13">
      <c r="A1168" s="966"/>
      <c r="B1168" s="966"/>
      <c r="C1168" s="966"/>
      <c r="D1168" s="966"/>
      <c r="E1168" s="966"/>
      <c r="F1168" s="966"/>
      <c r="G1168" s="966"/>
      <c r="H1168" s="995"/>
      <c r="I1168" s="966"/>
      <c r="J1168" s="966"/>
      <c r="K1168" s="966"/>
      <c r="L1168" s="966"/>
      <c r="M1168" s="971"/>
    </row>
    <row r="1169" spans="1:13">
      <c r="A1169" s="966"/>
      <c r="B1169" s="966"/>
      <c r="C1169" s="966"/>
      <c r="D1169" s="966"/>
      <c r="E1169" s="966"/>
      <c r="F1169" s="966"/>
      <c r="G1169" s="966"/>
      <c r="H1169" s="995"/>
      <c r="I1169" s="966"/>
      <c r="J1169" s="966"/>
      <c r="K1169" s="966"/>
      <c r="L1169" s="966"/>
      <c r="M1169" s="971"/>
    </row>
    <row r="1170" spans="1:13">
      <c r="A1170" s="966"/>
      <c r="B1170" s="966"/>
      <c r="C1170" s="966"/>
      <c r="D1170" s="966"/>
      <c r="E1170" s="966"/>
      <c r="F1170" s="966"/>
      <c r="G1170" s="966"/>
      <c r="H1170" s="995"/>
      <c r="I1170" s="966"/>
      <c r="J1170" s="966"/>
      <c r="K1170" s="966"/>
      <c r="L1170" s="966"/>
      <c r="M1170" s="971"/>
    </row>
    <row r="1171" spans="1:13">
      <c r="A1171" s="966"/>
      <c r="B1171" s="966"/>
      <c r="C1171" s="966"/>
      <c r="D1171" s="966"/>
      <c r="E1171" s="966"/>
      <c r="F1171" s="966"/>
      <c r="G1171" s="966"/>
      <c r="H1171" s="995"/>
      <c r="I1171" s="966"/>
      <c r="J1171" s="966"/>
      <c r="K1171" s="966"/>
      <c r="L1171" s="966"/>
      <c r="M1171" s="971"/>
    </row>
    <row r="1172" spans="1:13">
      <c r="A1172" s="966"/>
      <c r="B1172" s="966"/>
      <c r="C1172" s="966"/>
      <c r="D1172" s="966"/>
      <c r="E1172" s="966"/>
      <c r="F1172" s="966"/>
      <c r="G1172" s="966"/>
      <c r="H1172" s="995"/>
      <c r="I1172" s="966"/>
      <c r="J1172" s="966"/>
      <c r="K1172" s="966"/>
      <c r="L1172" s="966"/>
      <c r="M1172" s="971"/>
    </row>
    <row r="1173" spans="1:13">
      <c r="A1173" s="966"/>
      <c r="B1173" s="966"/>
      <c r="C1173" s="966"/>
      <c r="D1173" s="966"/>
      <c r="E1173" s="966"/>
      <c r="F1173" s="966"/>
      <c r="G1173" s="966"/>
      <c r="H1173" s="995"/>
      <c r="I1173" s="966"/>
      <c r="J1173" s="966"/>
      <c r="K1173" s="966"/>
      <c r="L1173" s="966"/>
      <c r="M1173" s="971"/>
    </row>
    <row r="1174" spans="1:13">
      <c r="A1174" s="966"/>
      <c r="B1174" s="966"/>
      <c r="C1174" s="966"/>
      <c r="D1174" s="966"/>
      <c r="E1174" s="966"/>
      <c r="F1174" s="966"/>
      <c r="G1174" s="966"/>
      <c r="H1174" s="995"/>
      <c r="I1174" s="966"/>
      <c r="J1174" s="966"/>
      <c r="K1174" s="966"/>
      <c r="L1174" s="966"/>
      <c r="M1174" s="971"/>
    </row>
    <row r="1175" spans="1:13">
      <c r="A1175" s="966"/>
      <c r="B1175" s="966"/>
      <c r="C1175" s="966"/>
      <c r="D1175" s="966"/>
      <c r="E1175" s="966"/>
      <c r="F1175" s="966"/>
      <c r="G1175" s="966"/>
      <c r="H1175" s="995"/>
      <c r="I1175" s="966"/>
      <c r="J1175" s="966"/>
      <c r="K1175" s="966"/>
      <c r="L1175" s="966"/>
      <c r="M1175" s="971"/>
    </row>
    <row r="1176" spans="1:13">
      <c r="A1176" s="966"/>
      <c r="B1176" s="966"/>
      <c r="C1176" s="966"/>
      <c r="D1176" s="966"/>
      <c r="E1176" s="966"/>
      <c r="F1176" s="966"/>
      <c r="G1176" s="966"/>
      <c r="H1176" s="995"/>
      <c r="I1176" s="966"/>
      <c r="J1176" s="966"/>
      <c r="K1176" s="966"/>
      <c r="L1176" s="966"/>
      <c r="M1176" s="971"/>
    </row>
    <row r="1177" spans="1:13">
      <c r="A1177" s="966"/>
      <c r="B1177" s="966"/>
      <c r="C1177" s="966"/>
      <c r="D1177" s="966"/>
      <c r="E1177" s="966"/>
      <c r="F1177" s="966"/>
      <c r="G1177" s="966"/>
      <c r="H1177" s="995"/>
      <c r="I1177" s="966"/>
      <c r="J1177" s="966"/>
      <c r="K1177" s="966"/>
      <c r="L1177" s="966"/>
      <c r="M1177" s="971"/>
    </row>
    <row r="1178" spans="1:13">
      <c r="A1178" s="966"/>
      <c r="B1178" s="966"/>
      <c r="C1178" s="966"/>
      <c r="D1178" s="966"/>
      <c r="E1178" s="966"/>
      <c r="F1178" s="966"/>
      <c r="G1178" s="966"/>
      <c r="H1178" s="995"/>
      <c r="I1178" s="966"/>
      <c r="J1178" s="966"/>
      <c r="K1178" s="966"/>
      <c r="L1178" s="966"/>
      <c r="M1178" s="971"/>
    </row>
    <row r="1179" spans="1:13">
      <c r="A1179" s="966"/>
      <c r="B1179" s="966"/>
      <c r="C1179" s="966"/>
      <c r="D1179" s="966"/>
      <c r="E1179" s="966"/>
      <c r="F1179" s="966"/>
      <c r="G1179" s="966"/>
      <c r="H1179" s="995"/>
      <c r="I1179" s="966"/>
      <c r="J1179" s="966"/>
      <c r="K1179" s="966"/>
      <c r="L1179" s="966"/>
      <c r="M1179" s="971"/>
    </row>
    <row r="1180" spans="1:13">
      <c r="A1180" s="966"/>
      <c r="B1180" s="966"/>
      <c r="C1180" s="966"/>
      <c r="D1180" s="966"/>
      <c r="E1180" s="966"/>
      <c r="F1180" s="966"/>
      <c r="G1180" s="966"/>
      <c r="H1180" s="995"/>
      <c r="I1180" s="966"/>
      <c r="J1180" s="966"/>
      <c r="K1180" s="966"/>
      <c r="L1180" s="966"/>
      <c r="M1180" s="971"/>
    </row>
    <row r="1181" spans="1:13">
      <c r="A1181" s="966"/>
      <c r="B1181" s="966"/>
      <c r="C1181" s="966"/>
      <c r="D1181" s="966"/>
      <c r="E1181" s="966"/>
      <c r="F1181" s="966"/>
      <c r="G1181" s="966"/>
      <c r="H1181" s="995"/>
      <c r="I1181" s="966"/>
      <c r="J1181" s="966"/>
      <c r="K1181" s="966"/>
      <c r="L1181" s="966"/>
      <c r="M1181" s="971"/>
    </row>
    <row r="1182" spans="1:13">
      <c r="A1182" s="966"/>
      <c r="B1182" s="966"/>
      <c r="C1182" s="966"/>
      <c r="D1182" s="966"/>
      <c r="E1182" s="966"/>
      <c r="F1182" s="966"/>
      <c r="G1182" s="966"/>
      <c r="H1182" s="995"/>
      <c r="I1182" s="966"/>
      <c r="J1182" s="966"/>
      <c r="K1182" s="966"/>
      <c r="L1182" s="966"/>
      <c r="M1182" s="971"/>
    </row>
    <row r="1183" spans="1:13">
      <c r="A1183" s="966"/>
      <c r="B1183" s="966"/>
      <c r="C1183" s="966"/>
      <c r="D1183" s="966"/>
      <c r="E1183" s="966"/>
      <c r="F1183" s="966"/>
      <c r="G1183" s="966"/>
      <c r="H1183" s="995"/>
      <c r="I1183" s="966"/>
      <c r="J1183" s="966"/>
      <c r="K1183" s="966"/>
      <c r="L1183" s="966"/>
      <c r="M1183" s="971"/>
    </row>
    <row r="1184" spans="1:13">
      <c r="A1184" s="966"/>
      <c r="B1184" s="966"/>
      <c r="C1184" s="966"/>
      <c r="D1184" s="966"/>
      <c r="E1184" s="966"/>
      <c r="F1184" s="966"/>
      <c r="G1184" s="966"/>
      <c r="H1184" s="995"/>
      <c r="I1184" s="966"/>
      <c r="J1184" s="966"/>
      <c r="K1184" s="966"/>
      <c r="L1184" s="966"/>
      <c r="M1184" s="971"/>
    </row>
    <row r="1185" spans="1:13">
      <c r="A1185" s="966"/>
      <c r="B1185" s="966"/>
      <c r="C1185" s="966"/>
      <c r="D1185" s="966"/>
      <c r="E1185" s="966"/>
      <c r="F1185" s="966"/>
      <c r="G1185" s="966"/>
      <c r="H1185" s="995"/>
      <c r="I1185" s="966"/>
      <c r="J1185" s="966"/>
      <c r="K1185" s="966"/>
      <c r="L1185" s="966"/>
      <c r="M1185" s="971"/>
    </row>
    <row r="1186" spans="1:13">
      <c r="A1186" s="966"/>
      <c r="B1186" s="966"/>
      <c r="C1186" s="966"/>
      <c r="D1186" s="966"/>
      <c r="E1186" s="966"/>
      <c r="F1186" s="966"/>
      <c r="G1186" s="966"/>
      <c r="H1186" s="995"/>
      <c r="I1186" s="966"/>
      <c r="J1186" s="966"/>
      <c r="K1186" s="966"/>
      <c r="L1186" s="966"/>
      <c r="M1186" s="971"/>
    </row>
    <row r="1187" spans="1:13">
      <c r="A1187" s="966"/>
      <c r="B1187" s="966"/>
      <c r="C1187" s="966"/>
      <c r="D1187" s="966"/>
      <c r="E1187" s="966"/>
      <c r="F1187" s="966"/>
      <c r="G1187" s="966"/>
      <c r="H1187" s="995"/>
      <c r="I1187" s="966"/>
      <c r="J1187" s="966"/>
      <c r="K1187" s="966"/>
      <c r="L1187" s="966"/>
      <c r="M1187" s="971"/>
    </row>
    <row r="1188" spans="1:13">
      <c r="A1188" s="966"/>
      <c r="B1188" s="966"/>
      <c r="C1188" s="966"/>
      <c r="D1188" s="966"/>
      <c r="E1188" s="966"/>
      <c r="F1188" s="966"/>
      <c r="G1188" s="966"/>
      <c r="H1188" s="995"/>
      <c r="I1188" s="966"/>
      <c r="J1188" s="966"/>
      <c r="K1188" s="966"/>
      <c r="L1188" s="966"/>
      <c r="M1188" s="971"/>
    </row>
    <row r="1189" spans="1:13">
      <c r="A1189" s="966"/>
      <c r="B1189" s="966"/>
      <c r="C1189" s="966"/>
      <c r="D1189" s="966"/>
      <c r="E1189" s="966"/>
      <c r="F1189" s="966"/>
      <c r="G1189" s="966"/>
      <c r="H1189" s="995"/>
      <c r="I1189" s="966"/>
      <c r="J1189" s="966"/>
      <c r="K1189" s="966"/>
      <c r="L1189" s="966"/>
      <c r="M1189" s="971"/>
    </row>
    <row r="1190" spans="1:13">
      <c r="A1190" s="966"/>
      <c r="B1190" s="966"/>
      <c r="C1190" s="966"/>
      <c r="D1190" s="966"/>
      <c r="E1190" s="966"/>
      <c r="F1190" s="966"/>
      <c r="G1190" s="966"/>
      <c r="H1190" s="995"/>
      <c r="I1190" s="966"/>
      <c r="J1190" s="966"/>
      <c r="K1190" s="966"/>
      <c r="L1190" s="966"/>
      <c r="M1190" s="971"/>
    </row>
    <row r="1191" spans="1:13">
      <c r="A1191" s="966"/>
      <c r="B1191" s="966"/>
      <c r="C1191" s="966"/>
      <c r="D1191" s="966"/>
      <c r="E1191" s="966"/>
      <c r="F1191" s="966"/>
      <c r="G1191" s="966"/>
      <c r="H1191" s="995"/>
      <c r="I1191" s="966"/>
      <c r="J1191" s="966"/>
      <c r="K1191" s="966"/>
      <c r="L1191" s="966"/>
      <c r="M1191" s="971"/>
    </row>
    <row r="1192" spans="1:13">
      <c r="A1192" s="966"/>
      <c r="B1192" s="966"/>
      <c r="C1192" s="966"/>
      <c r="D1192" s="966"/>
      <c r="E1192" s="966"/>
      <c r="F1192" s="966"/>
      <c r="G1192" s="966"/>
      <c r="H1192" s="995"/>
      <c r="I1192" s="966"/>
      <c r="J1192" s="966"/>
      <c r="K1192" s="966"/>
      <c r="L1192" s="966"/>
      <c r="M1192" s="971"/>
    </row>
    <row r="1193" spans="1:13">
      <c r="A1193" s="966"/>
      <c r="B1193" s="966"/>
      <c r="C1193" s="966"/>
      <c r="D1193" s="966"/>
      <c r="E1193" s="966"/>
      <c r="F1193" s="966"/>
      <c r="G1193" s="966"/>
      <c r="H1193" s="995"/>
      <c r="I1193" s="966"/>
      <c r="J1193" s="966"/>
      <c r="K1193" s="966"/>
      <c r="L1193" s="966"/>
      <c r="M1193" s="971"/>
    </row>
    <row r="1194" spans="1:13">
      <c r="A1194" s="966"/>
      <c r="B1194" s="966"/>
      <c r="C1194" s="966"/>
      <c r="D1194" s="966"/>
      <c r="E1194" s="966"/>
      <c r="F1194" s="966"/>
      <c r="G1194" s="966"/>
      <c r="H1194" s="995"/>
      <c r="I1194" s="966"/>
      <c r="J1194" s="966"/>
      <c r="K1194" s="966"/>
      <c r="L1194" s="966"/>
      <c r="M1194" s="971"/>
    </row>
    <row r="1195" spans="1:13">
      <c r="A1195" s="966"/>
      <c r="B1195" s="966"/>
      <c r="C1195" s="966"/>
      <c r="D1195" s="966"/>
      <c r="E1195" s="966"/>
      <c r="F1195" s="966"/>
      <c r="G1195" s="966"/>
      <c r="H1195" s="995"/>
      <c r="I1195" s="966"/>
      <c r="J1195" s="966"/>
      <c r="K1195" s="966"/>
      <c r="L1195" s="966"/>
      <c r="M1195" s="971"/>
    </row>
    <row r="1196" spans="1:13">
      <c r="A1196" s="966"/>
      <c r="B1196" s="966"/>
      <c r="C1196" s="966"/>
      <c r="D1196" s="966"/>
      <c r="E1196" s="966"/>
      <c r="F1196" s="966"/>
      <c r="G1196" s="966"/>
      <c r="H1196" s="995"/>
      <c r="I1196" s="966"/>
      <c r="J1196" s="966"/>
      <c r="K1196" s="966"/>
      <c r="L1196" s="966"/>
      <c r="M1196" s="971"/>
    </row>
    <row r="1197" spans="1:13">
      <c r="A1197" s="966"/>
      <c r="B1197" s="966"/>
      <c r="C1197" s="966"/>
      <c r="D1197" s="966"/>
      <c r="E1197" s="966"/>
      <c r="F1197" s="966"/>
      <c r="G1197" s="966"/>
      <c r="H1197" s="995"/>
      <c r="I1197" s="966"/>
      <c r="J1197" s="966"/>
      <c r="K1197" s="966"/>
      <c r="L1197" s="966"/>
      <c r="M1197" s="971"/>
    </row>
    <row r="1198" spans="1:13">
      <c r="A1198" s="966"/>
      <c r="B1198" s="966"/>
      <c r="C1198" s="966"/>
      <c r="D1198" s="966"/>
      <c r="E1198" s="966"/>
      <c r="F1198" s="966"/>
      <c r="G1198" s="966"/>
      <c r="H1198" s="995"/>
      <c r="I1198" s="966"/>
      <c r="J1198" s="966"/>
      <c r="K1198" s="966"/>
      <c r="L1198" s="966"/>
      <c r="M1198" s="971"/>
    </row>
    <row r="1199" spans="1:13">
      <c r="A1199" s="966"/>
      <c r="B1199" s="966"/>
      <c r="C1199" s="966"/>
      <c r="D1199" s="966"/>
      <c r="E1199" s="966"/>
      <c r="F1199" s="966"/>
      <c r="G1199" s="966"/>
      <c r="H1199" s="995"/>
      <c r="I1199" s="966"/>
      <c r="J1199" s="966"/>
      <c r="K1199" s="966"/>
      <c r="L1199" s="966"/>
      <c r="M1199" s="971"/>
    </row>
    <row r="1200" spans="1:13">
      <c r="A1200" s="966"/>
      <c r="B1200" s="966"/>
      <c r="C1200" s="966"/>
      <c r="D1200" s="966"/>
      <c r="E1200" s="966"/>
      <c r="F1200" s="966"/>
      <c r="G1200" s="966"/>
      <c r="H1200" s="995"/>
      <c r="I1200" s="966"/>
      <c r="J1200" s="966"/>
      <c r="K1200" s="966"/>
      <c r="L1200" s="966"/>
      <c r="M1200" s="971"/>
    </row>
    <row r="1201" spans="1:13">
      <c r="A1201" s="966"/>
      <c r="B1201" s="966"/>
      <c r="C1201" s="966"/>
      <c r="D1201" s="966"/>
      <c r="E1201" s="966"/>
      <c r="F1201" s="966"/>
      <c r="G1201" s="966"/>
      <c r="H1201" s="995"/>
      <c r="I1201" s="966"/>
      <c r="J1201" s="966"/>
      <c r="K1201" s="966"/>
      <c r="L1201" s="966"/>
      <c r="M1201" s="971"/>
    </row>
    <row r="1202" spans="1:13">
      <c r="A1202" s="966"/>
      <c r="B1202" s="966"/>
      <c r="C1202" s="966"/>
      <c r="D1202" s="966"/>
      <c r="E1202" s="966"/>
      <c r="F1202" s="966"/>
      <c r="G1202" s="966"/>
      <c r="H1202" s="995"/>
      <c r="I1202" s="966"/>
      <c r="J1202" s="966"/>
      <c r="K1202" s="966"/>
      <c r="L1202" s="966"/>
      <c r="M1202" s="971"/>
    </row>
    <row r="1203" spans="1:13">
      <c r="A1203" s="966"/>
      <c r="B1203" s="966"/>
      <c r="C1203" s="966"/>
      <c r="D1203" s="966"/>
      <c r="E1203" s="966"/>
      <c r="F1203" s="966"/>
      <c r="G1203" s="966"/>
      <c r="H1203" s="995"/>
      <c r="I1203" s="966"/>
      <c r="J1203" s="966"/>
      <c r="K1203" s="966"/>
      <c r="L1203" s="966"/>
      <c r="M1203" s="971"/>
    </row>
    <row r="1204" spans="1:13">
      <c r="A1204" s="966"/>
      <c r="B1204" s="966"/>
      <c r="C1204" s="966"/>
      <c r="D1204" s="966"/>
      <c r="E1204" s="966"/>
      <c r="F1204" s="966"/>
      <c r="G1204" s="966"/>
      <c r="H1204" s="995"/>
      <c r="I1204" s="966"/>
      <c r="J1204" s="966"/>
      <c r="K1204" s="966"/>
      <c r="L1204" s="966"/>
      <c r="M1204" s="971"/>
    </row>
    <row r="1205" spans="1:13">
      <c r="A1205" s="966"/>
      <c r="B1205" s="966"/>
      <c r="C1205" s="966"/>
      <c r="D1205" s="966"/>
      <c r="E1205" s="966"/>
      <c r="F1205" s="966"/>
      <c r="G1205" s="966"/>
      <c r="H1205" s="995"/>
      <c r="I1205" s="966"/>
      <c r="J1205" s="966"/>
      <c r="K1205" s="966"/>
      <c r="L1205" s="966"/>
      <c r="M1205" s="971"/>
    </row>
    <row r="1206" spans="1:13">
      <c r="A1206" s="966"/>
      <c r="B1206" s="966"/>
      <c r="C1206" s="966"/>
      <c r="D1206" s="966"/>
      <c r="E1206" s="966"/>
      <c r="F1206" s="966"/>
      <c r="G1206" s="966"/>
      <c r="H1206" s="995"/>
      <c r="I1206" s="966"/>
      <c r="J1206" s="966"/>
      <c r="K1206" s="966"/>
      <c r="L1206" s="966"/>
      <c r="M1206" s="971"/>
    </row>
    <row r="1207" spans="1:13">
      <c r="A1207" s="966"/>
      <c r="B1207" s="966"/>
      <c r="C1207" s="966"/>
      <c r="D1207" s="966"/>
      <c r="E1207" s="966"/>
      <c r="F1207" s="966"/>
      <c r="G1207" s="966"/>
      <c r="H1207" s="995"/>
      <c r="I1207" s="966"/>
      <c r="J1207" s="966"/>
      <c r="K1207" s="966"/>
      <c r="L1207" s="966"/>
      <c r="M1207" s="971"/>
    </row>
    <row r="1208" spans="1:13">
      <c r="A1208" s="966"/>
      <c r="B1208" s="966"/>
      <c r="C1208" s="966"/>
      <c r="D1208" s="966"/>
      <c r="E1208" s="966"/>
      <c r="F1208" s="966"/>
      <c r="G1208" s="966"/>
      <c r="H1208" s="995"/>
      <c r="I1208" s="966"/>
      <c r="J1208" s="966"/>
      <c r="K1208" s="966"/>
      <c r="L1208" s="966"/>
      <c r="M1208" s="971"/>
    </row>
    <row r="1209" spans="1:13">
      <c r="A1209" s="966"/>
      <c r="B1209" s="966"/>
      <c r="C1209" s="966"/>
      <c r="D1209" s="966"/>
      <c r="E1209" s="966"/>
      <c r="F1209" s="966"/>
      <c r="G1209" s="966"/>
      <c r="H1209" s="995"/>
      <c r="I1209" s="966"/>
      <c r="J1209" s="966"/>
      <c r="K1209" s="966"/>
      <c r="L1209" s="966"/>
      <c r="M1209" s="971"/>
    </row>
    <row r="1210" spans="1:13">
      <c r="A1210" s="966"/>
      <c r="B1210" s="966"/>
      <c r="C1210" s="966"/>
      <c r="D1210" s="966"/>
      <c r="E1210" s="966"/>
      <c r="F1210" s="966"/>
      <c r="G1210" s="966"/>
      <c r="H1210" s="995"/>
      <c r="I1210" s="966"/>
      <c r="J1210" s="966"/>
      <c r="K1210" s="966"/>
      <c r="L1210" s="966"/>
      <c r="M1210" s="971"/>
    </row>
    <row r="1211" spans="1:13">
      <c r="A1211" s="966"/>
      <c r="B1211" s="966"/>
      <c r="C1211" s="966"/>
      <c r="D1211" s="966"/>
      <c r="E1211" s="966"/>
      <c r="F1211" s="966"/>
      <c r="G1211" s="966"/>
      <c r="H1211" s="995"/>
      <c r="I1211" s="966"/>
      <c r="J1211" s="966"/>
      <c r="K1211" s="966"/>
      <c r="L1211" s="966"/>
      <c r="M1211" s="971"/>
    </row>
    <row r="1212" spans="1:13">
      <c r="A1212" s="966"/>
      <c r="B1212" s="966"/>
      <c r="C1212" s="966"/>
      <c r="D1212" s="966"/>
      <c r="E1212" s="966"/>
      <c r="F1212" s="966"/>
      <c r="G1212" s="966"/>
      <c r="H1212" s="995"/>
      <c r="I1212" s="966"/>
      <c r="J1212" s="966"/>
      <c r="K1212" s="966"/>
      <c r="L1212" s="966"/>
      <c r="M1212" s="971"/>
    </row>
    <row r="1213" spans="1:13">
      <c r="A1213" s="966"/>
      <c r="B1213" s="966"/>
      <c r="C1213" s="966"/>
      <c r="D1213" s="966"/>
      <c r="E1213" s="966"/>
      <c r="F1213" s="966"/>
      <c r="G1213" s="966"/>
      <c r="H1213" s="995"/>
      <c r="I1213" s="966"/>
      <c r="J1213" s="966"/>
      <c r="K1213" s="966"/>
      <c r="L1213" s="966"/>
      <c r="M1213" s="971"/>
    </row>
    <row r="1214" spans="1:13">
      <c r="A1214" s="966"/>
      <c r="B1214" s="966"/>
      <c r="C1214" s="966"/>
      <c r="D1214" s="966"/>
      <c r="E1214" s="966"/>
      <c r="F1214" s="966"/>
      <c r="G1214" s="966"/>
      <c r="H1214" s="995"/>
      <c r="I1214" s="966"/>
      <c r="J1214" s="966"/>
      <c r="K1214" s="966"/>
      <c r="L1214" s="966"/>
      <c r="M1214" s="971"/>
    </row>
    <row r="1215" spans="1:13">
      <c r="A1215" s="966"/>
      <c r="B1215" s="966"/>
      <c r="C1215" s="966"/>
      <c r="D1215" s="966"/>
      <c r="E1215" s="966"/>
      <c r="F1215" s="966"/>
      <c r="G1215" s="966"/>
      <c r="H1215" s="995"/>
      <c r="I1215" s="966"/>
      <c r="J1215" s="966"/>
      <c r="K1215" s="966"/>
      <c r="L1215" s="966"/>
      <c r="M1215" s="971"/>
    </row>
    <row r="1216" spans="1:13">
      <c r="A1216" s="966"/>
      <c r="B1216" s="966"/>
      <c r="C1216" s="966"/>
      <c r="D1216" s="966"/>
      <c r="E1216" s="966"/>
      <c r="F1216" s="966"/>
      <c r="G1216" s="966"/>
      <c r="H1216" s="995"/>
      <c r="I1216" s="966"/>
      <c r="J1216" s="966"/>
      <c r="K1216" s="966"/>
      <c r="L1216" s="966"/>
      <c r="M1216" s="971"/>
    </row>
    <row r="1217" spans="1:13">
      <c r="A1217" s="966"/>
      <c r="B1217" s="966"/>
      <c r="C1217" s="966"/>
      <c r="D1217" s="966"/>
      <c r="E1217" s="966"/>
      <c r="F1217" s="966"/>
      <c r="G1217" s="966"/>
      <c r="H1217" s="995"/>
      <c r="I1217" s="966"/>
      <c r="J1217" s="966"/>
      <c r="K1217" s="966"/>
      <c r="L1217" s="966"/>
      <c r="M1217" s="971"/>
    </row>
    <row r="1218" spans="1:13">
      <c r="A1218" s="966"/>
      <c r="B1218" s="966"/>
      <c r="C1218" s="966"/>
      <c r="D1218" s="966"/>
      <c r="E1218" s="966"/>
      <c r="F1218" s="966"/>
      <c r="G1218" s="966"/>
      <c r="H1218" s="995"/>
      <c r="I1218" s="966"/>
      <c r="J1218" s="966"/>
      <c r="K1218" s="966"/>
      <c r="L1218" s="966"/>
      <c r="M1218" s="971"/>
    </row>
    <row r="1219" spans="1:13">
      <c r="A1219" s="966"/>
      <c r="B1219" s="966"/>
      <c r="C1219" s="966"/>
      <c r="D1219" s="966"/>
      <c r="E1219" s="966"/>
      <c r="F1219" s="966"/>
      <c r="G1219" s="966"/>
      <c r="H1219" s="995"/>
      <c r="I1219" s="966"/>
      <c r="J1219" s="966"/>
      <c r="K1219" s="966"/>
      <c r="L1219" s="966"/>
      <c r="M1219" s="971"/>
    </row>
    <row r="1220" spans="1:13">
      <c r="A1220" s="966"/>
      <c r="B1220" s="966"/>
      <c r="C1220" s="966"/>
      <c r="D1220" s="966"/>
      <c r="E1220" s="966"/>
      <c r="F1220" s="966"/>
      <c r="G1220" s="966"/>
      <c r="H1220" s="995"/>
      <c r="I1220" s="966"/>
      <c r="J1220" s="966"/>
      <c r="K1220" s="966"/>
      <c r="L1220" s="966"/>
      <c r="M1220" s="971"/>
    </row>
    <row r="1221" spans="1:13">
      <c r="A1221" s="966"/>
      <c r="B1221" s="966"/>
      <c r="C1221" s="966"/>
      <c r="D1221" s="966"/>
      <c r="E1221" s="966"/>
      <c r="F1221" s="966"/>
      <c r="G1221" s="966"/>
      <c r="H1221" s="995"/>
      <c r="I1221" s="966"/>
      <c r="J1221" s="966"/>
      <c r="K1221" s="966"/>
      <c r="L1221" s="966"/>
      <c r="M1221" s="971"/>
    </row>
    <row r="1222" spans="1:13">
      <c r="A1222" s="966"/>
      <c r="B1222" s="966"/>
      <c r="C1222" s="966"/>
      <c r="D1222" s="966"/>
      <c r="E1222" s="966"/>
      <c r="F1222" s="966"/>
      <c r="G1222" s="966"/>
      <c r="H1222" s="995"/>
      <c r="I1222" s="966"/>
      <c r="J1222" s="966"/>
      <c r="K1222" s="966"/>
      <c r="L1222" s="966"/>
      <c r="M1222" s="971"/>
    </row>
    <row r="1223" spans="1:13">
      <c r="A1223" s="966"/>
      <c r="B1223" s="966"/>
      <c r="C1223" s="966"/>
      <c r="D1223" s="966"/>
      <c r="E1223" s="966"/>
      <c r="F1223" s="966"/>
      <c r="G1223" s="966"/>
      <c r="H1223" s="995"/>
      <c r="I1223" s="966"/>
      <c r="J1223" s="966"/>
      <c r="K1223" s="966"/>
      <c r="L1223" s="966"/>
      <c r="M1223" s="971"/>
    </row>
    <row r="1224" spans="1:13">
      <c r="A1224" s="966"/>
      <c r="B1224" s="966"/>
      <c r="C1224" s="966"/>
      <c r="D1224" s="966"/>
      <c r="E1224" s="966"/>
      <c r="F1224" s="966"/>
      <c r="G1224" s="966"/>
      <c r="H1224" s="995"/>
      <c r="I1224" s="966"/>
      <c r="J1224" s="966"/>
      <c r="K1224" s="966"/>
      <c r="L1224" s="966"/>
      <c r="M1224" s="971"/>
    </row>
    <row r="1225" spans="1:13">
      <c r="A1225" s="966"/>
      <c r="B1225" s="966"/>
      <c r="C1225" s="966"/>
      <c r="D1225" s="966"/>
      <c r="E1225" s="966"/>
      <c r="F1225" s="966"/>
      <c r="G1225" s="966"/>
      <c r="H1225" s="995"/>
      <c r="I1225" s="966"/>
      <c r="J1225" s="966"/>
      <c r="K1225" s="966"/>
      <c r="L1225" s="966"/>
      <c r="M1225" s="971"/>
    </row>
    <row r="1226" spans="1:13">
      <c r="A1226" s="966"/>
      <c r="B1226" s="966"/>
      <c r="C1226" s="966"/>
      <c r="D1226" s="966"/>
      <c r="E1226" s="966"/>
      <c r="F1226" s="966"/>
      <c r="G1226" s="966"/>
      <c r="H1226" s="995"/>
      <c r="I1226" s="966"/>
      <c r="J1226" s="966"/>
      <c r="K1226" s="966"/>
      <c r="L1226" s="966"/>
      <c r="M1226" s="971"/>
    </row>
    <row r="1227" spans="1:13">
      <c r="A1227" s="966"/>
      <c r="B1227" s="966"/>
      <c r="C1227" s="966"/>
      <c r="D1227" s="966"/>
      <c r="E1227" s="966"/>
      <c r="F1227" s="966"/>
      <c r="G1227" s="966"/>
      <c r="H1227" s="995"/>
      <c r="I1227" s="966"/>
      <c r="J1227" s="966"/>
      <c r="K1227" s="966"/>
      <c r="L1227" s="966"/>
      <c r="M1227" s="971"/>
    </row>
    <row r="1228" spans="1:13">
      <c r="A1228" s="966"/>
      <c r="B1228" s="966"/>
      <c r="C1228" s="966"/>
      <c r="D1228" s="966"/>
      <c r="E1228" s="966"/>
      <c r="F1228" s="966"/>
      <c r="G1228" s="966"/>
      <c r="H1228" s="995"/>
      <c r="I1228" s="966"/>
      <c r="J1228" s="966"/>
      <c r="K1228" s="966"/>
      <c r="L1228" s="966"/>
      <c r="M1228" s="971"/>
    </row>
    <row r="1229" spans="1:13">
      <c r="A1229" s="966"/>
      <c r="B1229" s="966"/>
      <c r="C1229" s="966"/>
      <c r="D1229" s="966"/>
      <c r="E1229" s="966"/>
      <c r="F1229" s="966"/>
      <c r="G1229" s="966"/>
      <c r="H1229" s="995"/>
      <c r="I1229" s="966"/>
      <c r="J1229" s="966"/>
      <c r="K1229" s="966"/>
      <c r="L1229" s="966"/>
      <c r="M1229" s="971"/>
    </row>
    <row r="1230" spans="1:13">
      <c r="A1230" s="966"/>
      <c r="B1230" s="966"/>
      <c r="C1230" s="966"/>
      <c r="D1230" s="966"/>
      <c r="E1230" s="966"/>
      <c r="F1230" s="966"/>
      <c r="G1230" s="966"/>
      <c r="H1230" s="995"/>
      <c r="I1230" s="966"/>
      <c r="J1230" s="966"/>
      <c r="K1230" s="966"/>
      <c r="L1230" s="966"/>
      <c r="M1230" s="971"/>
    </row>
    <row r="1231" spans="1:13">
      <c r="A1231" s="966"/>
      <c r="B1231" s="966"/>
      <c r="C1231" s="966"/>
      <c r="D1231" s="966"/>
      <c r="E1231" s="966"/>
      <c r="F1231" s="966"/>
      <c r="G1231" s="966"/>
      <c r="H1231" s="995"/>
      <c r="I1231" s="966"/>
      <c r="J1231" s="966"/>
      <c r="K1231" s="966"/>
      <c r="L1231" s="966"/>
      <c r="M1231" s="971"/>
    </row>
    <row r="1232" spans="1:13">
      <c r="A1232" s="966"/>
      <c r="B1232" s="966"/>
      <c r="C1232" s="966"/>
      <c r="D1232" s="966"/>
      <c r="E1232" s="966"/>
      <c r="F1232" s="966"/>
      <c r="G1232" s="966"/>
      <c r="H1232" s="995"/>
      <c r="I1232" s="966"/>
      <c r="J1232" s="966"/>
      <c r="K1232" s="966"/>
      <c r="L1232" s="966"/>
      <c r="M1232" s="971"/>
    </row>
    <row r="1233" spans="1:13">
      <c r="A1233" s="966"/>
      <c r="B1233" s="966"/>
      <c r="C1233" s="966"/>
      <c r="D1233" s="966"/>
      <c r="E1233" s="966"/>
      <c r="F1233" s="966"/>
      <c r="G1233" s="966"/>
      <c r="H1233" s="995"/>
      <c r="I1233" s="966"/>
      <c r="J1233" s="966"/>
      <c r="K1233" s="966"/>
      <c r="L1233" s="966"/>
      <c r="M1233" s="971"/>
    </row>
    <row r="1234" spans="1:13">
      <c r="A1234" s="966"/>
      <c r="B1234" s="966"/>
      <c r="C1234" s="966"/>
      <c r="D1234" s="966"/>
      <c r="E1234" s="966"/>
      <c r="F1234" s="966"/>
      <c r="G1234" s="966"/>
      <c r="H1234" s="995"/>
      <c r="I1234" s="966"/>
      <c r="J1234" s="966"/>
      <c r="K1234" s="966"/>
      <c r="L1234" s="966"/>
      <c r="M1234" s="971"/>
    </row>
    <row r="1235" spans="1:13">
      <c r="A1235" s="966"/>
      <c r="B1235" s="966"/>
      <c r="C1235" s="966"/>
      <c r="D1235" s="966"/>
      <c r="E1235" s="966"/>
      <c r="F1235" s="966"/>
      <c r="G1235" s="966"/>
      <c r="H1235" s="995"/>
      <c r="I1235" s="966"/>
      <c r="J1235" s="966"/>
      <c r="K1235" s="966"/>
      <c r="L1235" s="966"/>
      <c r="M1235" s="971"/>
    </row>
    <row r="1236" spans="1:13">
      <c r="A1236" s="966"/>
      <c r="B1236" s="966"/>
      <c r="C1236" s="966"/>
      <c r="D1236" s="966"/>
      <c r="E1236" s="966"/>
      <c r="F1236" s="966"/>
      <c r="G1236" s="966"/>
      <c r="H1236" s="995"/>
      <c r="I1236" s="966"/>
      <c r="J1236" s="966"/>
      <c r="K1236" s="966"/>
      <c r="L1236" s="966"/>
      <c r="M1236" s="971"/>
    </row>
    <row r="1237" spans="1:13">
      <c r="A1237" s="966"/>
      <c r="B1237" s="966"/>
      <c r="C1237" s="966"/>
      <c r="D1237" s="966"/>
      <c r="E1237" s="966"/>
      <c r="F1237" s="966"/>
      <c r="G1237" s="966"/>
      <c r="H1237" s="995"/>
      <c r="I1237" s="966"/>
      <c r="J1237" s="966"/>
      <c r="K1237" s="966"/>
      <c r="L1237" s="966"/>
      <c r="M1237" s="971"/>
    </row>
    <row r="1238" spans="1:13">
      <c r="A1238" s="966"/>
      <c r="B1238" s="966"/>
      <c r="C1238" s="966"/>
      <c r="D1238" s="966"/>
      <c r="E1238" s="966"/>
      <c r="F1238" s="966"/>
      <c r="G1238" s="966"/>
      <c r="H1238" s="995"/>
      <c r="I1238" s="966"/>
      <c r="J1238" s="966"/>
      <c r="K1238" s="966"/>
      <c r="L1238" s="966"/>
      <c r="M1238" s="971"/>
    </row>
    <row r="1239" spans="1:13">
      <c r="A1239" s="966"/>
      <c r="B1239" s="966"/>
      <c r="C1239" s="966"/>
      <c r="D1239" s="966"/>
      <c r="E1239" s="966"/>
      <c r="F1239" s="966"/>
      <c r="G1239" s="966"/>
      <c r="H1239" s="995"/>
      <c r="I1239" s="966"/>
      <c r="J1239" s="966"/>
      <c r="K1239" s="966"/>
      <c r="L1239" s="966"/>
      <c r="M1239" s="971"/>
    </row>
    <row r="1240" spans="1:13">
      <c r="A1240" s="966"/>
      <c r="B1240" s="966"/>
      <c r="C1240" s="966"/>
      <c r="D1240" s="966"/>
      <c r="E1240" s="966"/>
      <c r="F1240" s="966"/>
      <c r="G1240" s="966"/>
      <c r="H1240" s="995"/>
      <c r="I1240" s="966"/>
      <c r="J1240" s="966"/>
      <c r="K1240" s="966"/>
      <c r="L1240" s="966"/>
      <c r="M1240" s="971"/>
    </row>
    <row r="1241" spans="1:13">
      <c r="A1241" s="966"/>
      <c r="B1241" s="966"/>
      <c r="C1241" s="966"/>
      <c r="D1241" s="966"/>
      <c r="E1241" s="966"/>
      <c r="F1241" s="966"/>
      <c r="G1241" s="966"/>
      <c r="H1241" s="995"/>
      <c r="I1241" s="966"/>
      <c r="J1241" s="966"/>
      <c r="K1241" s="966"/>
      <c r="L1241" s="966"/>
      <c r="M1241" s="971"/>
    </row>
    <row r="1242" spans="1:13">
      <c r="A1242" s="966"/>
      <c r="B1242" s="966"/>
      <c r="C1242" s="966"/>
      <c r="D1242" s="966"/>
      <c r="E1242" s="966"/>
      <c r="F1242" s="966"/>
      <c r="G1242" s="966"/>
      <c r="H1242" s="995"/>
      <c r="I1242" s="966"/>
      <c r="J1242" s="966"/>
      <c r="K1242" s="966"/>
      <c r="L1242" s="966"/>
      <c r="M1242" s="971"/>
    </row>
    <row r="1243" spans="1:13">
      <c r="A1243" s="966"/>
      <c r="B1243" s="966"/>
      <c r="C1243" s="966"/>
      <c r="D1243" s="966"/>
      <c r="E1243" s="966"/>
      <c r="F1243" s="966"/>
      <c r="G1243" s="966"/>
      <c r="H1243" s="995"/>
      <c r="I1243" s="966"/>
      <c r="J1243" s="966"/>
      <c r="K1243" s="966"/>
      <c r="L1243" s="966"/>
      <c r="M1243" s="971"/>
    </row>
    <row r="1244" spans="1:13">
      <c r="A1244" s="966"/>
      <c r="B1244" s="966"/>
      <c r="C1244" s="966"/>
      <c r="D1244" s="966"/>
      <c r="E1244" s="966"/>
      <c r="F1244" s="966"/>
      <c r="G1244" s="966"/>
      <c r="H1244" s="995"/>
      <c r="I1244" s="966"/>
      <c r="J1244" s="966"/>
      <c r="K1244" s="966"/>
      <c r="L1244" s="966"/>
      <c r="M1244" s="971"/>
    </row>
    <row r="1245" spans="1:13">
      <c r="A1245" s="966"/>
      <c r="B1245" s="966"/>
      <c r="C1245" s="966"/>
      <c r="D1245" s="966"/>
      <c r="E1245" s="966"/>
      <c r="F1245" s="966"/>
      <c r="G1245" s="966"/>
      <c r="H1245" s="995"/>
      <c r="I1245" s="966"/>
      <c r="J1245" s="966"/>
      <c r="K1245" s="966"/>
      <c r="L1245" s="966"/>
      <c r="M1245" s="971"/>
    </row>
    <row r="1246" spans="1:13">
      <c r="A1246" s="966"/>
      <c r="B1246" s="966"/>
      <c r="C1246" s="966"/>
      <c r="D1246" s="966"/>
      <c r="E1246" s="966"/>
      <c r="F1246" s="966"/>
      <c r="G1246" s="966"/>
      <c r="H1246" s="995"/>
      <c r="I1246" s="966"/>
      <c r="J1246" s="966"/>
      <c r="K1246" s="966"/>
      <c r="L1246" s="966"/>
      <c r="M1246" s="971"/>
    </row>
    <row r="1247" spans="1:13">
      <c r="A1247" s="966"/>
      <c r="B1247" s="966"/>
      <c r="C1247" s="966"/>
      <c r="D1247" s="966"/>
      <c r="E1247" s="966"/>
      <c r="F1247" s="966"/>
      <c r="G1247" s="966"/>
      <c r="H1247" s="995"/>
      <c r="I1247" s="966"/>
      <c r="J1247" s="966"/>
      <c r="K1247" s="966"/>
      <c r="L1247" s="966"/>
      <c r="M1247" s="971"/>
    </row>
    <row r="1248" spans="1:13">
      <c r="A1248" s="966"/>
      <c r="B1248" s="966"/>
      <c r="C1248" s="966"/>
      <c r="D1248" s="966"/>
      <c r="E1248" s="966"/>
      <c r="F1248" s="966"/>
      <c r="G1248" s="966"/>
      <c r="H1248" s="995"/>
      <c r="I1248" s="966"/>
      <c r="J1248" s="966"/>
      <c r="K1248" s="966"/>
      <c r="L1248" s="966"/>
      <c r="M1248" s="971"/>
    </row>
    <row r="1249" spans="1:13">
      <c r="A1249" s="966"/>
      <c r="B1249" s="966"/>
      <c r="C1249" s="966"/>
      <c r="D1249" s="966"/>
      <c r="E1249" s="966"/>
      <c r="F1249" s="966"/>
      <c r="G1249" s="966"/>
      <c r="H1249" s="995"/>
      <c r="I1249" s="966"/>
      <c r="J1249" s="966"/>
      <c r="K1249" s="966"/>
      <c r="L1249" s="966"/>
      <c r="M1249" s="971"/>
    </row>
    <row r="1250" spans="1:13">
      <c r="A1250" s="966"/>
      <c r="B1250" s="966"/>
      <c r="C1250" s="966"/>
      <c r="D1250" s="966"/>
      <c r="E1250" s="966"/>
      <c r="F1250" s="966"/>
      <c r="G1250" s="966"/>
      <c r="H1250" s="995"/>
      <c r="I1250" s="966"/>
      <c r="J1250" s="966"/>
      <c r="K1250" s="966"/>
      <c r="L1250" s="966"/>
      <c r="M1250" s="971"/>
    </row>
    <row r="1251" spans="1:13">
      <c r="A1251" s="966"/>
      <c r="B1251" s="966"/>
      <c r="C1251" s="966"/>
      <c r="D1251" s="966"/>
      <c r="E1251" s="966"/>
      <c r="F1251" s="966"/>
      <c r="G1251" s="966"/>
      <c r="H1251" s="995"/>
      <c r="I1251" s="966"/>
      <c r="J1251" s="966"/>
      <c r="K1251" s="966"/>
      <c r="L1251" s="966"/>
      <c r="M1251" s="971"/>
    </row>
    <row r="1252" spans="1:13">
      <c r="A1252" s="966"/>
      <c r="B1252" s="966"/>
      <c r="C1252" s="966"/>
      <c r="D1252" s="966"/>
      <c r="E1252" s="966"/>
      <c r="F1252" s="966"/>
      <c r="G1252" s="966"/>
      <c r="H1252" s="995"/>
      <c r="I1252" s="966"/>
      <c r="J1252" s="966"/>
      <c r="K1252" s="966"/>
      <c r="L1252" s="966"/>
      <c r="M1252" s="971"/>
    </row>
    <row r="1253" spans="1:13">
      <c r="A1253" s="966"/>
      <c r="B1253" s="966"/>
      <c r="C1253" s="966"/>
      <c r="D1253" s="966"/>
      <c r="E1253" s="966"/>
      <c r="F1253" s="966"/>
      <c r="G1253" s="966"/>
      <c r="H1253" s="995"/>
      <c r="I1253" s="966"/>
      <c r="J1253" s="966"/>
      <c r="K1253" s="966"/>
      <c r="L1253" s="966"/>
      <c r="M1253" s="971"/>
    </row>
    <row r="1254" spans="1:13">
      <c r="A1254" s="966"/>
      <c r="B1254" s="966"/>
      <c r="C1254" s="966"/>
      <c r="D1254" s="966"/>
      <c r="E1254" s="966"/>
      <c r="F1254" s="966"/>
      <c r="G1254" s="966"/>
      <c r="H1254" s="995"/>
      <c r="I1254" s="966"/>
      <c r="J1254" s="966"/>
      <c r="K1254" s="966"/>
      <c r="L1254" s="966"/>
      <c r="M1254" s="971"/>
    </row>
    <row r="1255" spans="1:13">
      <c r="A1255" s="966"/>
      <c r="B1255" s="966"/>
      <c r="C1255" s="966"/>
      <c r="D1255" s="966"/>
      <c r="E1255" s="966"/>
      <c r="F1255" s="966"/>
      <c r="G1255" s="966"/>
      <c r="H1255" s="995"/>
      <c r="I1255" s="966"/>
      <c r="J1255" s="966"/>
      <c r="K1255" s="966"/>
      <c r="L1255" s="966"/>
      <c r="M1255" s="971"/>
    </row>
    <row r="1256" spans="1:13">
      <c r="A1256" s="966"/>
      <c r="B1256" s="966"/>
      <c r="C1256" s="966"/>
      <c r="D1256" s="966"/>
      <c r="E1256" s="966"/>
      <c r="F1256" s="966"/>
      <c r="G1256" s="966"/>
      <c r="H1256" s="995"/>
      <c r="I1256" s="966"/>
      <c r="J1256" s="966"/>
      <c r="K1256" s="966"/>
      <c r="L1256" s="966"/>
      <c r="M1256" s="971"/>
    </row>
    <row r="1257" spans="1:13">
      <c r="A1257" s="966"/>
      <c r="B1257" s="966"/>
      <c r="C1257" s="966"/>
      <c r="D1257" s="966"/>
      <c r="E1257" s="966"/>
      <c r="F1257" s="966"/>
      <c r="G1257" s="966"/>
      <c r="H1257" s="995"/>
      <c r="I1257" s="966"/>
      <c r="J1257" s="966"/>
      <c r="K1257" s="966"/>
      <c r="L1257" s="966"/>
      <c r="M1257" s="971"/>
    </row>
    <row r="1258" spans="1:13">
      <c r="A1258" s="966"/>
      <c r="B1258" s="966"/>
      <c r="C1258" s="966"/>
      <c r="D1258" s="966"/>
      <c r="E1258" s="966"/>
      <c r="F1258" s="966"/>
      <c r="G1258" s="966"/>
      <c r="H1258" s="995"/>
      <c r="I1258" s="966"/>
      <c r="J1258" s="966"/>
      <c r="K1258" s="966"/>
      <c r="L1258" s="966"/>
      <c r="M1258" s="971"/>
    </row>
    <row r="1259" spans="1:13">
      <c r="A1259" s="966"/>
      <c r="B1259" s="966"/>
      <c r="C1259" s="966"/>
      <c r="D1259" s="966"/>
      <c r="E1259" s="966"/>
      <c r="F1259" s="966"/>
      <c r="G1259" s="966"/>
      <c r="H1259" s="995"/>
      <c r="I1259" s="966"/>
      <c r="J1259" s="966"/>
      <c r="K1259" s="966"/>
      <c r="L1259" s="966"/>
      <c r="M1259" s="971"/>
    </row>
    <row r="1260" spans="1:13">
      <c r="A1260" s="966"/>
      <c r="B1260" s="966"/>
      <c r="C1260" s="966"/>
      <c r="D1260" s="966"/>
      <c r="E1260" s="966"/>
      <c r="F1260" s="966"/>
      <c r="G1260" s="966"/>
      <c r="H1260" s="995"/>
      <c r="I1260" s="966"/>
      <c r="J1260" s="966"/>
      <c r="K1260" s="966"/>
      <c r="L1260" s="966"/>
      <c r="M1260" s="971"/>
    </row>
    <row r="1261" spans="1:13">
      <c r="A1261" s="966"/>
      <c r="B1261" s="966"/>
      <c r="C1261" s="966"/>
      <c r="D1261" s="966"/>
      <c r="E1261" s="966"/>
      <c r="F1261" s="966"/>
      <c r="G1261" s="966"/>
      <c r="H1261" s="995"/>
      <c r="I1261" s="966"/>
      <c r="J1261" s="966"/>
      <c r="K1261" s="966"/>
      <c r="L1261" s="966"/>
      <c r="M1261" s="971"/>
    </row>
    <row r="1262" spans="1:13">
      <c r="A1262" s="966"/>
      <c r="B1262" s="966"/>
      <c r="C1262" s="966"/>
      <c r="D1262" s="966"/>
      <c r="E1262" s="966"/>
      <c r="F1262" s="966"/>
      <c r="G1262" s="966"/>
      <c r="H1262" s="995"/>
      <c r="I1262" s="966"/>
      <c r="J1262" s="966"/>
      <c r="K1262" s="966"/>
      <c r="L1262" s="966"/>
      <c r="M1262" s="971"/>
    </row>
    <row r="1263" spans="1:13">
      <c r="A1263" s="966"/>
      <c r="B1263" s="966"/>
      <c r="C1263" s="966"/>
      <c r="D1263" s="966"/>
      <c r="E1263" s="966"/>
      <c r="F1263" s="966"/>
      <c r="G1263" s="966"/>
      <c r="H1263" s="995"/>
      <c r="I1263" s="966"/>
      <c r="J1263" s="966"/>
      <c r="K1263" s="966"/>
      <c r="L1263" s="966"/>
      <c r="M1263" s="971"/>
    </row>
    <row r="1264" spans="1:13">
      <c r="A1264" s="966"/>
      <c r="B1264" s="966"/>
      <c r="C1264" s="966"/>
      <c r="D1264" s="966"/>
      <c r="E1264" s="966"/>
      <c r="F1264" s="966"/>
      <c r="G1264" s="966"/>
      <c r="H1264" s="995"/>
      <c r="I1264" s="966"/>
      <c r="J1264" s="966"/>
      <c r="K1264" s="966"/>
      <c r="L1264" s="966"/>
      <c r="M1264" s="971"/>
    </row>
    <row r="1265" spans="1:13">
      <c r="A1265" s="966"/>
      <c r="B1265" s="966"/>
      <c r="C1265" s="966"/>
      <c r="D1265" s="966"/>
      <c r="E1265" s="966"/>
      <c r="F1265" s="966"/>
      <c r="G1265" s="966"/>
      <c r="H1265" s="995"/>
      <c r="I1265" s="966"/>
      <c r="J1265" s="966"/>
      <c r="K1265" s="966"/>
      <c r="L1265" s="966"/>
      <c r="M1265" s="971"/>
    </row>
    <row r="1266" spans="1:13">
      <c r="A1266" s="966"/>
      <c r="B1266" s="966"/>
      <c r="C1266" s="966"/>
      <c r="D1266" s="966"/>
      <c r="E1266" s="966"/>
      <c r="F1266" s="966"/>
      <c r="G1266" s="966"/>
      <c r="H1266" s="995"/>
      <c r="I1266" s="966"/>
      <c r="J1266" s="966"/>
      <c r="K1266" s="966"/>
      <c r="L1266" s="966"/>
      <c r="M1266" s="971"/>
    </row>
    <row r="1267" spans="1:13">
      <c r="A1267" s="966"/>
      <c r="B1267" s="966"/>
      <c r="C1267" s="966"/>
      <c r="D1267" s="966"/>
      <c r="E1267" s="966"/>
      <c r="F1267" s="966"/>
      <c r="G1267" s="966"/>
      <c r="H1267" s="995"/>
      <c r="I1267" s="966"/>
      <c r="J1267" s="966"/>
      <c r="K1267" s="966"/>
      <c r="L1267" s="966"/>
      <c r="M1267" s="971"/>
    </row>
    <row r="1268" spans="1:13">
      <c r="A1268" s="966"/>
      <c r="B1268" s="966"/>
      <c r="C1268" s="966"/>
      <c r="D1268" s="966"/>
      <c r="E1268" s="966"/>
      <c r="F1268" s="966"/>
      <c r="G1268" s="966"/>
      <c r="H1268" s="995"/>
      <c r="I1268" s="966"/>
      <c r="J1268" s="966"/>
      <c r="K1268" s="966"/>
      <c r="L1268" s="966"/>
      <c r="M1268" s="971"/>
    </row>
    <row r="1269" spans="1:13">
      <c r="A1269" s="966"/>
      <c r="B1269" s="966"/>
      <c r="C1269" s="966"/>
      <c r="D1269" s="966"/>
      <c r="E1269" s="966"/>
      <c r="F1269" s="966"/>
      <c r="G1269" s="966"/>
      <c r="H1269" s="995"/>
      <c r="I1269" s="966"/>
      <c r="J1269" s="966"/>
      <c r="K1269" s="966"/>
      <c r="L1269" s="966"/>
      <c r="M1269" s="971"/>
    </row>
    <row r="1270" spans="1:13">
      <c r="A1270" s="966"/>
      <c r="B1270" s="966"/>
      <c r="C1270" s="966"/>
      <c r="D1270" s="966"/>
      <c r="E1270" s="966"/>
      <c r="F1270" s="966"/>
      <c r="G1270" s="966"/>
      <c r="H1270" s="995"/>
      <c r="I1270" s="966"/>
      <c r="J1270" s="966"/>
      <c r="K1270" s="966"/>
      <c r="L1270" s="966"/>
      <c r="M1270" s="971"/>
    </row>
    <row r="1271" spans="1:13">
      <c r="A1271" s="966"/>
      <c r="B1271" s="966"/>
      <c r="C1271" s="966"/>
      <c r="D1271" s="966"/>
      <c r="E1271" s="966"/>
      <c r="F1271" s="966"/>
      <c r="G1271" s="966"/>
      <c r="H1271" s="995"/>
      <c r="I1271" s="966"/>
      <c r="J1271" s="966"/>
      <c r="K1271" s="966"/>
      <c r="L1271" s="966"/>
      <c r="M1271" s="971"/>
    </row>
    <row r="1272" spans="1:13">
      <c r="A1272" s="966"/>
      <c r="B1272" s="966"/>
      <c r="C1272" s="966"/>
      <c r="D1272" s="966"/>
      <c r="E1272" s="966"/>
      <c r="F1272" s="966"/>
      <c r="G1272" s="966"/>
      <c r="H1272" s="995"/>
      <c r="I1272" s="966"/>
      <c r="J1272" s="966"/>
      <c r="K1272" s="966"/>
      <c r="L1272" s="966"/>
      <c r="M1272" s="971"/>
    </row>
    <row r="1273" spans="1:13">
      <c r="A1273" s="966"/>
      <c r="B1273" s="966"/>
      <c r="C1273" s="966"/>
      <c r="D1273" s="966"/>
      <c r="E1273" s="966"/>
      <c r="F1273" s="966"/>
      <c r="G1273" s="966"/>
      <c r="H1273" s="995"/>
      <c r="I1273" s="966"/>
      <c r="J1273" s="966"/>
      <c r="K1273" s="966"/>
      <c r="L1273" s="966"/>
      <c r="M1273" s="971"/>
    </row>
    <row r="1274" spans="1:13">
      <c r="A1274" s="966"/>
      <c r="B1274" s="966"/>
      <c r="C1274" s="966"/>
      <c r="D1274" s="966"/>
      <c r="E1274" s="966"/>
      <c r="F1274" s="966"/>
      <c r="G1274" s="966"/>
      <c r="H1274" s="995"/>
      <c r="I1274" s="966"/>
      <c r="J1274" s="966"/>
      <c r="K1274" s="966"/>
      <c r="L1274" s="966"/>
      <c r="M1274" s="971"/>
    </row>
    <row r="1275" spans="1:13">
      <c r="A1275" s="966"/>
      <c r="B1275" s="966"/>
      <c r="C1275" s="966"/>
      <c r="D1275" s="966"/>
      <c r="E1275" s="966"/>
      <c r="F1275" s="966"/>
      <c r="G1275" s="966"/>
      <c r="H1275" s="995"/>
      <c r="I1275" s="966"/>
      <c r="J1275" s="966"/>
      <c r="K1275" s="966"/>
      <c r="L1275" s="966"/>
      <c r="M1275" s="971"/>
    </row>
    <row r="1276" spans="1:13">
      <c r="A1276" s="966"/>
      <c r="B1276" s="966"/>
      <c r="C1276" s="966"/>
      <c r="D1276" s="966"/>
      <c r="E1276" s="966"/>
      <c r="F1276" s="966"/>
      <c r="G1276" s="966"/>
      <c r="H1276" s="995"/>
      <c r="I1276" s="966"/>
      <c r="J1276" s="966"/>
      <c r="K1276" s="966"/>
      <c r="L1276" s="966"/>
      <c r="M1276" s="971"/>
    </row>
    <row r="1277" spans="1:13">
      <c r="A1277" s="966"/>
      <c r="B1277" s="966"/>
      <c r="C1277" s="966"/>
      <c r="D1277" s="966"/>
      <c r="E1277" s="966"/>
      <c r="F1277" s="966"/>
      <c r="G1277" s="966"/>
      <c r="H1277" s="995"/>
      <c r="I1277" s="966"/>
      <c r="J1277" s="966"/>
      <c r="K1277" s="966"/>
      <c r="L1277" s="966"/>
      <c r="M1277" s="971"/>
    </row>
    <row r="1278" spans="1:13">
      <c r="A1278" s="966"/>
      <c r="B1278" s="966"/>
      <c r="C1278" s="966"/>
      <c r="D1278" s="966"/>
      <c r="E1278" s="966"/>
      <c r="F1278" s="966"/>
      <c r="G1278" s="966"/>
      <c r="H1278" s="995"/>
      <c r="I1278" s="966"/>
      <c r="J1278" s="966"/>
      <c r="K1278" s="966"/>
      <c r="L1278" s="966"/>
      <c r="M1278" s="971"/>
    </row>
    <row r="1279" spans="1:13">
      <c r="A1279" s="966"/>
      <c r="B1279" s="966"/>
      <c r="C1279" s="966"/>
      <c r="D1279" s="966"/>
      <c r="E1279" s="966"/>
      <c r="F1279" s="966"/>
      <c r="G1279" s="966"/>
      <c r="H1279" s="995"/>
      <c r="I1279" s="966"/>
      <c r="J1279" s="966"/>
      <c r="K1279" s="966"/>
      <c r="L1279" s="966"/>
      <c r="M1279" s="971"/>
    </row>
    <row r="1280" spans="1:13">
      <c r="A1280" s="966"/>
      <c r="B1280" s="966"/>
      <c r="C1280" s="966"/>
      <c r="D1280" s="966"/>
      <c r="E1280" s="966"/>
      <c r="F1280" s="966"/>
      <c r="G1280" s="966"/>
      <c r="H1280" s="995"/>
      <c r="I1280" s="966"/>
      <c r="J1280" s="966"/>
      <c r="K1280" s="966"/>
      <c r="L1280" s="966"/>
      <c r="M1280" s="971"/>
    </row>
    <row r="1281" spans="1:13">
      <c r="A1281" s="966"/>
      <c r="B1281" s="966"/>
      <c r="C1281" s="966"/>
      <c r="D1281" s="966"/>
      <c r="E1281" s="966"/>
      <c r="F1281" s="966"/>
      <c r="G1281" s="966"/>
      <c r="H1281" s="995"/>
      <c r="I1281" s="966"/>
      <c r="J1281" s="966"/>
      <c r="K1281" s="966"/>
      <c r="L1281" s="966"/>
      <c r="M1281" s="971"/>
    </row>
    <row r="1282" spans="1:13">
      <c r="A1282" s="966"/>
      <c r="B1282" s="966"/>
      <c r="C1282" s="966"/>
      <c r="D1282" s="966"/>
      <c r="E1282" s="966"/>
      <c r="F1282" s="966"/>
      <c r="G1282" s="966"/>
      <c r="H1282" s="995"/>
      <c r="I1282" s="966"/>
      <c r="J1282" s="966"/>
      <c r="K1282" s="966"/>
      <c r="L1282" s="966"/>
      <c r="M1282" s="971"/>
    </row>
    <row r="1283" spans="1:13">
      <c r="A1283" s="966"/>
      <c r="B1283" s="966"/>
      <c r="C1283" s="966"/>
      <c r="D1283" s="966"/>
      <c r="E1283" s="966"/>
      <c r="F1283" s="966"/>
      <c r="G1283" s="966"/>
      <c r="H1283" s="995"/>
      <c r="I1283" s="966"/>
      <c r="J1283" s="966"/>
      <c r="K1283" s="966"/>
      <c r="L1283" s="966"/>
      <c r="M1283" s="971"/>
    </row>
    <row r="1284" spans="1:13">
      <c r="A1284" s="966"/>
      <c r="B1284" s="966"/>
      <c r="C1284" s="966"/>
      <c r="D1284" s="966"/>
      <c r="E1284" s="966"/>
      <c r="F1284" s="966"/>
      <c r="G1284" s="966"/>
      <c r="H1284" s="995"/>
      <c r="I1284" s="966"/>
      <c r="J1284" s="966"/>
      <c r="K1284" s="966"/>
      <c r="L1284" s="966"/>
      <c r="M1284" s="971"/>
    </row>
    <row r="1285" spans="1:13">
      <c r="A1285" s="966"/>
      <c r="B1285" s="966"/>
      <c r="C1285" s="966"/>
      <c r="D1285" s="966"/>
      <c r="E1285" s="966"/>
      <c r="F1285" s="966"/>
      <c r="G1285" s="966"/>
      <c r="H1285" s="995"/>
      <c r="I1285" s="966"/>
      <c r="J1285" s="966"/>
      <c r="K1285" s="966"/>
      <c r="L1285" s="966"/>
      <c r="M1285" s="971"/>
    </row>
    <row r="1286" spans="1:13">
      <c r="A1286" s="966"/>
      <c r="B1286" s="966"/>
      <c r="C1286" s="966"/>
      <c r="D1286" s="966"/>
      <c r="E1286" s="966"/>
      <c r="F1286" s="966"/>
      <c r="G1286" s="966"/>
      <c r="H1286" s="995"/>
      <c r="I1286" s="966"/>
      <c r="J1286" s="966"/>
      <c r="K1286" s="966"/>
      <c r="L1286" s="966"/>
      <c r="M1286" s="971"/>
    </row>
    <row r="1287" spans="1:13">
      <c r="A1287" s="966"/>
      <c r="B1287" s="966"/>
      <c r="C1287" s="966"/>
      <c r="D1287" s="966"/>
      <c r="E1287" s="966"/>
      <c r="F1287" s="966"/>
      <c r="G1287" s="966"/>
      <c r="H1287" s="995"/>
      <c r="I1287" s="966"/>
      <c r="J1287" s="966"/>
      <c r="K1287" s="966"/>
      <c r="L1287" s="966"/>
      <c r="M1287" s="971"/>
    </row>
    <row r="1288" spans="1:13">
      <c r="A1288" s="966"/>
      <c r="B1288" s="966"/>
      <c r="C1288" s="966"/>
      <c r="D1288" s="966"/>
      <c r="E1288" s="966"/>
      <c r="F1288" s="966"/>
      <c r="G1288" s="966"/>
      <c r="H1288" s="995"/>
      <c r="I1288" s="966"/>
      <c r="J1288" s="966"/>
      <c r="K1288" s="966"/>
      <c r="L1288" s="966"/>
      <c r="M1288" s="971"/>
    </row>
    <row r="1289" spans="1:13">
      <c r="A1289" s="966"/>
      <c r="B1289" s="966"/>
      <c r="C1289" s="966"/>
      <c r="D1289" s="966"/>
      <c r="E1289" s="966"/>
      <c r="F1289" s="966"/>
      <c r="G1289" s="966"/>
      <c r="H1289" s="995"/>
      <c r="I1289" s="966"/>
      <c r="J1289" s="966"/>
      <c r="K1289" s="966"/>
      <c r="L1289" s="966"/>
      <c r="M1289" s="971"/>
    </row>
    <row r="1290" spans="1:13">
      <c r="A1290" s="966"/>
      <c r="B1290" s="966"/>
      <c r="C1290" s="966"/>
      <c r="D1290" s="966"/>
      <c r="E1290" s="966"/>
      <c r="F1290" s="966"/>
      <c r="G1290" s="966"/>
      <c r="H1290" s="995"/>
      <c r="I1290" s="966"/>
      <c r="J1290" s="966"/>
      <c r="K1290" s="966"/>
      <c r="L1290" s="966"/>
      <c r="M1290" s="971"/>
    </row>
    <row r="1291" spans="1:13">
      <c r="A1291" s="966"/>
      <c r="B1291" s="966"/>
      <c r="C1291" s="966"/>
      <c r="D1291" s="966"/>
      <c r="E1291" s="966"/>
      <c r="F1291" s="966"/>
      <c r="G1291" s="966"/>
      <c r="H1291" s="995"/>
      <c r="I1291" s="966"/>
      <c r="J1291" s="966"/>
      <c r="K1291" s="966"/>
      <c r="L1291" s="966"/>
      <c r="M1291" s="971"/>
    </row>
    <row r="1292" spans="1:13">
      <c r="A1292" s="966"/>
      <c r="B1292" s="966"/>
      <c r="C1292" s="966"/>
      <c r="D1292" s="966"/>
      <c r="E1292" s="966"/>
      <c r="F1292" s="966"/>
      <c r="G1292" s="966"/>
      <c r="H1292" s="995"/>
      <c r="I1292" s="966"/>
      <c r="J1292" s="966"/>
      <c r="K1292" s="966"/>
      <c r="L1292" s="966"/>
      <c r="M1292" s="971"/>
    </row>
    <row r="1293" spans="1:13">
      <c r="A1293" s="966"/>
      <c r="B1293" s="966"/>
      <c r="C1293" s="966"/>
      <c r="D1293" s="966"/>
      <c r="E1293" s="966"/>
      <c r="F1293" s="966"/>
      <c r="G1293" s="966"/>
      <c r="H1293" s="995"/>
      <c r="I1293" s="966"/>
      <c r="J1293" s="966"/>
      <c r="K1293" s="966"/>
      <c r="L1293" s="966"/>
      <c r="M1293" s="971"/>
    </row>
    <row r="1294" spans="1:13">
      <c r="A1294" s="966"/>
      <c r="B1294" s="966"/>
      <c r="C1294" s="966"/>
      <c r="D1294" s="966"/>
      <c r="E1294" s="966"/>
      <c r="F1294" s="966"/>
      <c r="G1294" s="966"/>
      <c r="H1294" s="995"/>
      <c r="I1294" s="966"/>
      <c r="J1294" s="966"/>
      <c r="K1294" s="966"/>
      <c r="L1294" s="966"/>
      <c r="M1294" s="971"/>
    </row>
    <row r="1295" spans="1:13">
      <c r="A1295" s="966"/>
      <c r="B1295" s="966"/>
      <c r="C1295" s="966"/>
      <c r="D1295" s="966"/>
      <c r="E1295" s="966"/>
      <c r="F1295" s="966"/>
      <c r="G1295" s="966"/>
      <c r="H1295" s="995"/>
      <c r="I1295" s="966"/>
      <c r="J1295" s="966"/>
      <c r="K1295" s="966"/>
      <c r="L1295" s="966"/>
      <c r="M1295" s="971"/>
    </row>
    <row r="1296" spans="1:13">
      <c r="A1296" s="966"/>
      <c r="B1296" s="966"/>
      <c r="C1296" s="966"/>
      <c r="D1296" s="966"/>
      <c r="E1296" s="966"/>
      <c r="F1296" s="966"/>
      <c r="G1296" s="966"/>
      <c r="H1296" s="995"/>
      <c r="I1296" s="966"/>
      <c r="J1296" s="966"/>
      <c r="K1296" s="966"/>
      <c r="L1296" s="966"/>
      <c r="M1296" s="971"/>
    </row>
    <row r="1297" spans="1:13">
      <c r="A1297" s="966"/>
      <c r="B1297" s="966"/>
      <c r="C1297" s="966"/>
      <c r="D1297" s="966"/>
      <c r="E1297" s="966"/>
      <c r="F1297" s="966"/>
      <c r="G1297" s="966"/>
      <c r="H1297" s="995"/>
      <c r="I1297" s="966"/>
      <c r="J1297" s="966"/>
      <c r="K1297" s="966"/>
      <c r="L1297" s="966"/>
      <c r="M1297" s="971"/>
    </row>
    <row r="1298" spans="1:13">
      <c r="A1298" s="966"/>
      <c r="B1298" s="966"/>
      <c r="C1298" s="966"/>
      <c r="D1298" s="966"/>
      <c r="E1298" s="966"/>
      <c r="F1298" s="966"/>
      <c r="G1298" s="966"/>
      <c r="H1298" s="995"/>
      <c r="I1298" s="966"/>
      <c r="J1298" s="966"/>
      <c r="K1298" s="966"/>
      <c r="L1298" s="966"/>
      <c r="M1298" s="971"/>
    </row>
    <row r="1299" spans="1:13">
      <c r="A1299" s="966"/>
      <c r="B1299" s="966"/>
      <c r="C1299" s="966"/>
      <c r="D1299" s="966"/>
      <c r="E1299" s="966"/>
      <c r="F1299" s="966"/>
      <c r="G1299" s="966"/>
      <c r="H1299" s="995"/>
      <c r="I1299" s="966"/>
      <c r="J1299" s="966"/>
      <c r="K1299" s="966"/>
      <c r="L1299" s="966"/>
      <c r="M1299" s="971"/>
    </row>
    <row r="1300" spans="1:13">
      <c r="A1300" s="966"/>
      <c r="B1300" s="966"/>
      <c r="C1300" s="966"/>
      <c r="D1300" s="966"/>
      <c r="E1300" s="966"/>
      <c r="F1300" s="966"/>
      <c r="G1300" s="966"/>
      <c r="H1300" s="995"/>
      <c r="I1300" s="966"/>
      <c r="J1300" s="966"/>
      <c r="K1300" s="966"/>
      <c r="L1300" s="966"/>
      <c r="M1300" s="971"/>
    </row>
    <row r="1301" spans="1:13">
      <c r="A1301" s="966"/>
      <c r="B1301" s="966"/>
      <c r="C1301" s="966"/>
      <c r="D1301" s="966"/>
      <c r="E1301" s="966"/>
      <c r="F1301" s="966"/>
      <c r="G1301" s="966"/>
      <c r="H1301" s="995"/>
      <c r="I1301" s="966"/>
      <c r="J1301" s="966"/>
      <c r="K1301" s="966"/>
      <c r="L1301" s="966"/>
      <c r="M1301" s="971"/>
    </row>
    <row r="1302" spans="1:13">
      <c r="A1302" s="966"/>
      <c r="B1302" s="966"/>
      <c r="C1302" s="966"/>
      <c r="D1302" s="966"/>
      <c r="E1302" s="966"/>
      <c r="F1302" s="966"/>
      <c r="G1302" s="966"/>
      <c r="H1302" s="995"/>
      <c r="I1302" s="966"/>
      <c r="J1302" s="966"/>
      <c r="K1302" s="966"/>
      <c r="L1302" s="966"/>
      <c r="M1302" s="971"/>
    </row>
    <row r="1303" spans="1:13">
      <c r="A1303" s="966"/>
      <c r="B1303" s="966"/>
      <c r="C1303" s="966"/>
      <c r="D1303" s="966"/>
      <c r="E1303" s="966"/>
      <c r="F1303" s="966"/>
      <c r="G1303" s="966"/>
      <c r="H1303" s="995"/>
      <c r="I1303" s="966"/>
      <c r="J1303" s="966"/>
      <c r="K1303" s="966"/>
      <c r="L1303" s="966"/>
      <c r="M1303" s="971"/>
    </row>
    <row r="1304" spans="1:13">
      <c r="A1304" s="966"/>
      <c r="B1304" s="966"/>
      <c r="C1304" s="966"/>
      <c r="D1304" s="966"/>
      <c r="E1304" s="966"/>
      <c r="F1304" s="966"/>
      <c r="G1304" s="966"/>
      <c r="H1304" s="995"/>
      <c r="I1304" s="966"/>
      <c r="J1304" s="966"/>
      <c r="K1304" s="966"/>
      <c r="L1304" s="966"/>
      <c r="M1304" s="971"/>
    </row>
    <row r="1305" spans="1:13">
      <c r="A1305" s="966"/>
      <c r="B1305" s="966"/>
      <c r="C1305" s="966"/>
      <c r="D1305" s="966"/>
      <c r="E1305" s="966"/>
      <c r="F1305" s="966"/>
      <c r="G1305" s="966"/>
      <c r="H1305" s="995"/>
      <c r="I1305" s="966"/>
      <c r="J1305" s="966"/>
      <c r="K1305" s="966"/>
      <c r="L1305" s="966"/>
      <c r="M1305" s="971"/>
    </row>
    <row r="1306" spans="1:13">
      <c r="A1306" s="966"/>
      <c r="B1306" s="966"/>
      <c r="C1306" s="966"/>
      <c r="D1306" s="966"/>
      <c r="E1306" s="966"/>
      <c r="F1306" s="966"/>
      <c r="G1306" s="966"/>
      <c r="H1306" s="995"/>
      <c r="I1306" s="966"/>
      <c r="J1306" s="966"/>
      <c r="K1306" s="966"/>
      <c r="L1306" s="966"/>
      <c r="M1306" s="971"/>
    </row>
    <row r="1307" spans="1:13">
      <c r="A1307" s="966"/>
      <c r="B1307" s="966"/>
      <c r="C1307" s="966"/>
      <c r="D1307" s="966"/>
      <c r="E1307" s="966"/>
      <c r="F1307" s="966"/>
      <c r="G1307" s="966"/>
      <c r="H1307" s="995"/>
      <c r="I1307" s="966"/>
      <c r="J1307" s="966"/>
      <c r="K1307" s="966"/>
      <c r="L1307" s="966"/>
      <c r="M1307" s="971"/>
    </row>
    <row r="1308" spans="1:13">
      <c r="A1308" s="966"/>
      <c r="B1308" s="966"/>
      <c r="C1308" s="966"/>
      <c r="D1308" s="966"/>
      <c r="E1308" s="966"/>
      <c r="F1308" s="966"/>
      <c r="G1308" s="966"/>
      <c r="H1308" s="995"/>
      <c r="I1308" s="966"/>
      <c r="J1308" s="966"/>
      <c r="K1308" s="966"/>
      <c r="L1308" s="966"/>
      <c r="M1308" s="971"/>
    </row>
    <row r="1309" spans="1:13">
      <c r="A1309" s="966"/>
      <c r="B1309" s="966"/>
      <c r="C1309" s="966"/>
      <c r="D1309" s="966"/>
      <c r="E1309" s="966"/>
      <c r="F1309" s="966"/>
      <c r="G1309" s="966"/>
      <c r="H1309" s="995"/>
      <c r="I1309" s="966"/>
      <c r="J1309" s="966"/>
      <c r="K1309" s="966"/>
      <c r="L1309" s="966"/>
      <c r="M1309" s="971"/>
    </row>
    <row r="1310" spans="1:13">
      <c r="A1310" s="966"/>
      <c r="B1310" s="966"/>
      <c r="C1310" s="966"/>
      <c r="D1310" s="966"/>
      <c r="E1310" s="966"/>
      <c r="F1310" s="966"/>
      <c r="G1310" s="966"/>
      <c r="H1310" s="995"/>
      <c r="I1310" s="966"/>
      <c r="J1310" s="966"/>
      <c r="K1310" s="966"/>
      <c r="L1310" s="966"/>
      <c r="M1310" s="971"/>
    </row>
    <row r="1311" spans="1:13">
      <c r="A1311" s="966"/>
      <c r="B1311" s="966"/>
      <c r="C1311" s="966"/>
      <c r="D1311" s="966"/>
      <c r="E1311" s="966"/>
      <c r="F1311" s="966"/>
      <c r="G1311" s="966"/>
      <c r="H1311" s="995"/>
      <c r="I1311" s="966"/>
      <c r="J1311" s="966"/>
      <c r="K1311" s="966"/>
      <c r="L1311" s="966"/>
      <c r="M1311" s="971"/>
    </row>
    <row r="1312" spans="1:13">
      <c r="A1312" s="966"/>
      <c r="B1312" s="966"/>
      <c r="C1312" s="966"/>
      <c r="D1312" s="966"/>
      <c r="E1312" s="966"/>
      <c r="F1312" s="966"/>
      <c r="G1312" s="966"/>
      <c r="H1312" s="995"/>
      <c r="I1312" s="966"/>
      <c r="J1312" s="966"/>
      <c r="K1312" s="966"/>
      <c r="L1312" s="966"/>
      <c r="M1312" s="971"/>
    </row>
    <row r="1313" spans="1:13">
      <c r="A1313" s="966"/>
      <c r="B1313" s="966"/>
      <c r="C1313" s="966"/>
      <c r="D1313" s="966"/>
      <c r="E1313" s="966"/>
      <c r="F1313" s="966"/>
      <c r="G1313" s="966"/>
      <c r="H1313" s="995"/>
      <c r="I1313" s="966"/>
      <c r="J1313" s="966"/>
      <c r="K1313" s="966"/>
      <c r="L1313" s="966"/>
      <c r="M1313" s="971"/>
    </row>
    <row r="1314" spans="1:13">
      <c r="A1314" s="966"/>
      <c r="B1314" s="966"/>
      <c r="C1314" s="966"/>
      <c r="D1314" s="966"/>
      <c r="E1314" s="966"/>
      <c r="F1314" s="966"/>
      <c r="G1314" s="966"/>
      <c r="H1314" s="995"/>
      <c r="I1314" s="966"/>
      <c r="J1314" s="966"/>
      <c r="K1314" s="966"/>
      <c r="L1314" s="966"/>
      <c r="M1314" s="971"/>
    </row>
    <row r="1315" spans="1:13">
      <c r="A1315" s="966"/>
      <c r="B1315" s="966"/>
      <c r="C1315" s="966"/>
      <c r="D1315" s="966"/>
      <c r="E1315" s="966"/>
      <c r="F1315" s="966"/>
      <c r="G1315" s="966"/>
      <c r="H1315" s="995"/>
      <c r="I1315" s="966"/>
      <c r="J1315" s="966"/>
      <c r="K1315" s="966"/>
      <c r="L1315" s="966"/>
      <c r="M1315" s="971"/>
    </row>
    <row r="1316" spans="1:13">
      <c r="A1316" s="966"/>
      <c r="B1316" s="966"/>
      <c r="C1316" s="966"/>
      <c r="D1316" s="966"/>
      <c r="E1316" s="966"/>
      <c r="F1316" s="966"/>
      <c r="G1316" s="966"/>
      <c r="H1316" s="995"/>
      <c r="I1316" s="966"/>
      <c r="J1316" s="966"/>
      <c r="K1316" s="966"/>
      <c r="L1316" s="966"/>
      <c r="M1316" s="971"/>
    </row>
    <row r="1317" spans="1:13">
      <c r="A1317" s="966"/>
      <c r="B1317" s="966"/>
      <c r="C1317" s="966"/>
      <c r="D1317" s="966"/>
      <c r="E1317" s="966"/>
      <c r="F1317" s="966"/>
      <c r="G1317" s="966"/>
      <c r="H1317" s="995"/>
      <c r="I1317" s="966"/>
      <c r="J1317" s="966"/>
      <c r="K1317" s="966"/>
      <c r="L1317" s="966"/>
      <c r="M1317" s="971"/>
    </row>
    <row r="1318" spans="1:13">
      <c r="A1318" s="966"/>
      <c r="B1318" s="966"/>
      <c r="C1318" s="966"/>
      <c r="D1318" s="966"/>
      <c r="E1318" s="966"/>
      <c r="F1318" s="966"/>
      <c r="G1318" s="966"/>
      <c r="H1318" s="995"/>
      <c r="I1318" s="966"/>
      <c r="J1318" s="966"/>
      <c r="K1318" s="966"/>
      <c r="L1318" s="966"/>
      <c r="M1318" s="971"/>
    </row>
    <row r="1319" spans="1:13">
      <c r="A1319" s="966"/>
      <c r="B1319" s="966"/>
      <c r="C1319" s="966"/>
      <c r="D1319" s="966"/>
      <c r="E1319" s="966"/>
      <c r="F1319" s="966"/>
      <c r="G1319" s="966"/>
      <c r="H1319" s="995"/>
      <c r="I1319" s="966"/>
      <c r="J1319" s="966"/>
      <c r="K1319" s="966"/>
      <c r="L1319" s="966"/>
      <c r="M1319" s="971"/>
    </row>
    <row r="1320" spans="1:13">
      <c r="A1320" s="966"/>
      <c r="B1320" s="966"/>
      <c r="C1320" s="966"/>
      <c r="D1320" s="966"/>
      <c r="E1320" s="966"/>
      <c r="F1320" s="966"/>
      <c r="G1320" s="966"/>
      <c r="H1320" s="995"/>
      <c r="I1320" s="966"/>
      <c r="J1320" s="966"/>
      <c r="K1320" s="966"/>
      <c r="L1320" s="966"/>
      <c r="M1320" s="971"/>
    </row>
    <row r="1321" spans="1:13">
      <c r="A1321" s="966"/>
      <c r="B1321" s="966"/>
      <c r="C1321" s="966"/>
      <c r="D1321" s="966"/>
      <c r="E1321" s="966"/>
      <c r="F1321" s="966"/>
      <c r="G1321" s="966"/>
      <c r="H1321" s="995"/>
      <c r="I1321" s="966"/>
      <c r="J1321" s="966"/>
      <c r="K1321" s="966"/>
      <c r="L1321" s="966"/>
      <c r="M1321" s="971"/>
    </row>
    <row r="1322" spans="1:13">
      <c r="A1322" s="966"/>
      <c r="B1322" s="966"/>
      <c r="C1322" s="966"/>
      <c r="D1322" s="966"/>
      <c r="E1322" s="966"/>
      <c r="F1322" s="966"/>
      <c r="G1322" s="966"/>
      <c r="H1322" s="995"/>
      <c r="I1322" s="966"/>
      <c r="J1322" s="966"/>
      <c r="K1322" s="966"/>
      <c r="L1322" s="966"/>
      <c r="M1322" s="971"/>
    </row>
    <row r="1323" spans="1:13">
      <c r="A1323" s="966"/>
      <c r="B1323" s="966"/>
      <c r="C1323" s="966"/>
      <c r="D1323" s="966"/>
      <c r="E1323" s="966"/>
      <c r="F1323" s="966"/>
      <c r="G1323" s="966"/>
      <c r="H1323" s="995"/>
      <c r="I1323" s="966"/>
      <c r="J1323" s="966"/>
      <c r="K1323" s="966"/>
      <c r="L1323" s="966"/>
      <c r="M1323" s="971"/>
    </row>
    <row r="1324" spans="1:13">
      <c r="A1324" s="966"/>
      <c r="B1324" s="966"/>
      <c r="C1324" s="966"/>
      <c r="D1324" s="966"/>
      <c r="E1324" s="966"/>
      <c r="F1324" s="966"/>
      <c r="G1324" s="966"/>
      <c r="H1324" s="995"/>
      <c r="I1324" s="966"/>
      <c r="J1324" s="966"/>
      <c r="K1324" s="966"/>
      <c r="L1324" s="966"/>
      <c r="M1324" s="971"/>
    </row>
    <row r="1325" spans="1:13">
      <c r="A1325" s="966"/>
      <c r="B1325" s="966"/>
      <c r="C1325" s="966"/>
      <c r="D1325" s="966"/>
      <c r="E1325" s="966"/>
      <c r="F1325" s="966"/>
      <c r="G1325" s="966"/>
      <c r="H1325" s="995"/>
      <c r="I1325" s="966"/>
      <c r="J1325" s="966"/>
      <c r="K1325" s="966"/>
      <c r="L1325" s="966"/>
      <c r="M1325" s="971"/>
    </row>
    <row r="1326" spans="1:13">
      <c r="A1326" s="966"/>
      <c r="B1326" s="966"/>
      <c r="C1326" s="966"/>
      <c r="D1326" s="966"/>
      <c r="E1326" s="966"/>
      <c r="F1326" s="966"/>
      <c r="G1326" s="966"/>
      <c r="H1326" s="995"/>
      <c r="I1326" s="966"/>
      <c r="J1326" s="966"/>
      <c r="K1326" s="966"/>
      <c r="L1326" s="966"/>
      <c r="M1326" s="971"/>
    </row>
    <row r="1327" spans="1:13">
      <c r="A1327" s="966"/>
      <c r="B1327" s="966"/>
      <c r="C1327" s="966"/>
      <c r="D1327" s="966"/>
      <c r="E1327" s="966"/>
      <c r="F1327" s="966"/>
      <c r="G1327" s="966"/>
      <c r="H1327" s="995"/>
      <c r="I1327" s="966"/>
      <c r="J1327" s="966"/>
      <c r="K1327" s="966"/>
      <c r="L1327" s="966"/>
      <c r="M1327" s="971"/>
    </row>
    <row r="1328" spans="1:13">
      <c r="A1328" s="966"/>
      <c r="B1328" s="966"/>
      <c r="C1328" s="966"/>
      <c r="D1328" s="966"/>
      <c r="E1328" s="966"/>
      <c r="F1328" s="966"/>
      <c r="G1328" s="966"/>
      <c r="H1328" s="995"/>
      <c r="I1328" s="966"/>
      <c r="J1328" s="966"/>
      <c r="K1328" s="966"/>
      <c r="L1328" s="966"/>
      <c r="M1328" s="971"/>
    </row>
    <row r="1329" spans="1:13">
      <c r="A1329" s="966"/>
      <c r="B1329" s="966"/>
      <c r="C1329" s="966"/>
      <c r="D1329" s="966"/>
      <c r="E1329" s="966"/>
      <c r="F1329" s="966"/>
      <c r="G1329" s="966"/>
      <c r="H1329" s="995"/>
      <c r="I1329" s="966"/>
      <c r="J1329" s="966"/>
      <c r="K1329" s="966"/>
      <c r="L1329" s="966"/>
      <c r="M1329" s="971"/>
    </row>
    <row r="1330" spans="1:13">
      <c r="A1330" s="966"/>
      <c r="B1330" s="966"/>
      <c r="C1330" s="966"/>
      <c r="D1330" s="966"/>
      <c r="E1330" s="966"/>
      <c r="F1330" s="966"/>
      <c r="G1330" s="966"/>
      <c r="H1330" s="995"/>
      <c r="I1330" s="966"/>
      <c r="J1330" s="966"/>
      <c r="K1330" s="966"/>
      <c r="L1330" s="966"/>
      <c r="M1330" s="971"/>
    </row>
    <row r="1331" spans="1:13">
      <c r="A1331" s="966"/>
      <c r="B1331" s="966"/>
      <c r="C1331" s="966"/>
      <c r="D1331" s="966"/>
      <c r="E1331" s="966"/>
      <c r="F1331" s="966"/>
      <c r="G1331" s="966"/>
      <c r="H1331" s="995"/>
      <c r="I1331" s="966"/>
      <c r="J1331" s="966"/>
      <c r="K1331" s="966"/>
      <c r="L1331" s="966"/>
      <c r="M1331" s="971"/>
    </row>
    <row r="1332" spans="1:13">
      <c r="A1332" s="966"/>
      <c r="B1332" s="966"/>
      <c r="C1332" s="966"/>
      <c r="D1332" s="966"/>
      <c r="E1332" s="966"/>
      <c r="F1332" s="966"/>
      <c r="G1332" s="966"/>
      <c r="H1332" s="995"/>
      <c r="I1332" s="966"/>
      <c r="J1332" s="966"/>
      <c r="K1332" s="966"/>
      <c r="L1332" s="966"/>
      <c r="M1332" s="971"/>
    </row>
    <row r="1333" spans="1:13">
      <c r="A1333" s="966"/>
      <c r="B1333" s="966"/>
      <c r="C1333" s="966"/>
      <c r="D1333" s="966"/>
      <c r="E1333" s="966"/>
      <c r="F1333" s="966"/>
      <c r="G1333" s="966"/>
      <c r="H1333" s="995"/>
      <c r="I1333" s="966"/>
      <c r="J1333" s="966"/>
      <c r="K1333" s="966"/>
      <c r="L1333" s="966"/>
      <c r="M1333" s="971"/>
    </row>
    <row r="1334" spans="1:13">
      <c r="A1334" s="966"/>
      <c r="B1334" s="966"/>
      <c r="C1334" s="966"/>
      <c r="D1334" s="966"/>
      <c r="E1334" s="966"/>
      <c r="F1334" s="966"/>
      <c r="G1334" s="966"/>
      <c r="H1334" s="995"/>
      <c r="I1334" s="966"/>
      <c r="J1334" s="966"/>
      <c r="K1334" s="966"/>
      <c r="L1334" s="966"/>
      <c r="M1334" s="971"/>
    </row>
    <row r="1335" spans="1:13">
      <c r="A1335" s="966"/>
      <c r="B1335" s="966"/>
      <c r="C1335" s="966"/>
      <c r="D1335" s="966"/>
      <c r="E1335" s="966"/>
      <c r="F1335" s="966"/>
      <c r="G1335" s="966"/>
      <c r="H1335" s="995"/>
      <c r="I1335" s="966"/>
      <c r="J1335" s="966"/>
      <c r="K1335" s="966"/>
      <c r="L1335" s="966"/>
      <c r="M1335" s="971"/>
    </row>
    <row r="1336" spans="1:13">
      <c r="A1336" s="966"/>
      <c r="B1336" s="966"/>
      <c r="C1336" s="966"/>
      <c r="D1336" s="966"/>
      <c r="E1336" s="966"/>
      <c r="F1336" s="966"/>
      <c r="G1336" s="966"/>
      <c r="H1336" s="995"/>
      <c r="I1336" s="966"/>
      <c r="J1336" s="966"/>
      <c r="K1336" s="966"/>
      <c r="L1336" s="966"/>
      <c r="M1336" s="971"/>
    </row>
    <row r="1337" spans="1:13">
      <c r="A1337" s="966"/>
      <c r="B1337" s="966"/>
      <c r="C1337" s="966"/>
      <c r="D1337" s="966"/>
      <c r="E1337" s="966"/>
      <c r="F1337" s="966"/>
      <c r="G1337" s="966"/>
      <c r="H1337" s="995"/>
      <c r="I1337" s="966"/>
      <c r="J1337" s="966"/>
      <c r="K1337" s="966"/>
      <c r="L1337" s="966"/>
      <c r="M1337" s="971"/>
    </row>
    <row r="1338" spans="1:13">
      <c r="A1338" s="966"/>
      <c r="B1338" s="966"/>
      <c r="C1338" s="966"/>
      <c r="D1338" s="966"/>
      <c r="E1338" s="966"/>
      <c r="F1338" s="966"/>
      <c r="G1338" s="966"/>
      <c r="H1338" s="995"/>
      <c r="I1338" s="966"/>
      <c r="J1338" s="966"/>
      <c r="K1338" s="966"/>
      <c r="L1338" s="966"/>
      <c r="M1338" s="971"/>
    </row>
    <row r="1339" spans="1:13">
      <c r="A1339" s="966"/>
      <c r="B1339" s="966"/>
      <c r="C1339" s="966"/>
      <c r="D1339" s="966"/>
      <c r="E1339" s="966"/>
      <c r="F1339" s="966"/>
      <c r="G1339" s="966"/>
      <c r="H1339" s="995"/>
      <c r="I1339" s="966"/>
      <c r="J1339" s="966"/>
      <c r="K1339" s="966"/>
      <c r="L1339" s="966"/>
      <c r="M1339" s="971"/>
    </row>
    <row r="1340" spans="1:13">
      <c r="A1340" s="966"/>
      <c r="B1340" s="966"/>
      <c r="C1340" s="966"/>
      <c r="D1340" s="966"/>
      <c r="E1340" s="966"/>
      <c r="F1340" s="966"/>
      <c r="G1340" s="966"/>
      <c r="H1340" s="995"/>
      <c r="I1340" s="966"/>
      <c r="J1340" s="966"/>
      <c r="K1340" s="966"/>
      <c r="L1340" s="966"/>
      <c r="M1340" s="971"/>
    </row>
    <row r="1341" spans="1:13">
      <c r="A1341" s="966"/>
      <c r="B1341" s="966"/>
      <c r="C1341" s="966"/>
      <c r="D1341" s="966"/>
      <c r="E1341" s="966"/>
      <c r="F1341" s="966"/>
      <c r="G1341" s="966"/>
      <c r="H1341" s="995"/>
      <c r="I1341" s="966"/>
      <c r="J1341" s="966"/>
      <c r="K1341" s="966"/>
      <c r="L1341" s="966"/>
      <c r="M1341" s="971"/>
    </row>
    <row r="1342" spans="1:13">
      <c r="A1342" s="966"/>
      <c r="B1342" s="966"/>
      <c r="C1342" s="966"/>
      <c r="D1342" s="966"/>
      <c r="E1342" s="966"/>
      <c r="F1342" s="966"/>
      <c r="G1342" s="966"/>
      <c r="H1342" s="995"/>
      <c r="I1342" s="966"/>
      <c r="J1342" s="966"/>
      <c r="K1342" s="966"/>
      <c r="L1342" s="966"/>
      <c r="M1342" s="971"/>
    </row>
    <row r="1343" spans="1:13">
      <c r="A1343" s="966"/>
      <c r="B1343" s="966"/>
      <c r="C1343" s="966"/>
      <c r="D1343" s="966"/>
      <c r="E1343" s="966"/>
      <c r="F1343" s="966"/>
      <c r="G1343" s="966"/>
      <c r="H1343" s="995"/>
      <c r="I1343" s="966"/>
      <c r="J1343" s="966"/>
      <c r="K1343" s="966"/>
      <c r="L1343" s="966"/>
      <c r="M1343" s="971"/>
    </row>
    <row r="1344" spans="1:13">
      <c r="A1344" s="966"/>
      <c r="B1344" s="966"/>
      <c r="C1344" s="966"/>
      <c r="D1344" s="966"/>
      <c r="E1344" s="966"/>
      <c r="F1344" s="966"/>
      <c r="G1344" s="966"/>
      <c r="H1344" s="995"/>
      <c r="I1344" s="966"/>
      <c r="J1344" s="966"/>
      <c r="K1344" s="966"/>
      <c r="L1344" s="966"/>
      <c r="M1344" s="971"/>
    </row>
    <row r="1345" spans="1:13">
      <c r="A1345" s="966"/>
      <c r="B1345" s="966"/>
      <c r="C1345" s="966"/>
      <c r="D1345" s="966"/>
      <c r="E1345" s="966"/>
      <c r="F1345" s="966"/>
      <c r="G1345" s="966"/>
      <c r="H1345" s="995"/>
      <c r="I1345" s="966"/>
      <c r="J1345" s="966"/>
      <c r="K1345" s="966"/>
      <c r="L1345" s="966"/>
      <c r="M1345" s="971"/>
    </row>
    <row r="1346" spans="1:13">
      <c r="A1346" s="966"/>
      <c r="B1346" s="966"/>
      <c r="C1346" s="966"/>
      <c r="D1346" s="966"/>
      <c r="E1346" s="966"/>
      <c r="F1346" s="966"/>
      <c r="G1346" s="966"/>
      <c r="H1346" s="995"/>
      <c r="I1346" s="966"/>
      <c r="J1346" s="966"/>
      <c r="K1346" s="966"/>
      <c r="L1346" s="966"/>
      <c r="M1346" s="971"/>
    </row>
    <row r="1347" spans="1:13">
      <c r="A1347" s="966"/>
      <c r="B1347" s="966"/>
      <c r="C1347" s="966"/>
      <c r="D1347" s="966"/>
      <c r="E1347" s="966"/>
      <c r="F1347" s="966"/>
      <c r="G1347" s="966"/>
      <c r="H1347" s="995"/>
      <c r="I1347" s="966"/>
      <c r="J1347" s="966"/>
      <c r="K1347" s="966"/>
      <c r="L1347" s="966"/>
      <c r="M1347" s="971"/>
    </row>
    <row r="1348" spans="1:13">
      <c r="A1348" s="966"/>
      <c r="B1348" s="966"/>
      <c r="C1348" s="966"/>
      <c r="D1348" s="966"/>
      <c r="E1348" s="966"/>
      <c r="F1348" s="966"/>
      <c r="G1348" s="966"/>
      <c r="H1348" s="995"/>
      <c r="I1348" s="966"/>
      <c r="J1348" s="966"/>
      <c r="K1348" s="966"/>
      <c r="L1348" s="966"/>
      <c r="M1348" s="971"/>
    </row>
    <row r="1349" spans="1:13">
      <c r="A1349" s="966"/>
      <c r="B1349" s="966"/>
      <c r="C1349" s="966"/>
      <c r="D1349" s="966"/>
      <c r="E1349" s="966"/>
      <c r="F1349" s="966"/>
      <c r="G1349" s="966"/>
      <c r="H1349" s="995"/>
      <c r="I1349" s="966"/>
      <c r="J1349" s="966"/>
      <c r="K1349" s="966"/>
      <c r="L1349" s="966"/>
      <c r="M1349" s="971"/>
    </row>
    <row r="1350" spans="1:13">
      <c r="A1350" s="966"/>
      <c r="B1350" s="966"/>
      <c r="C1350" s="966"/>
      <c r="D1350" s="966"/>
      <c r="E1350" s="966"/>
      <c r="F1350" s="966"/>
      <c r="G1350" s="966"/>
      <c r="H1350" s="995"/>
      <c r="I1350" s="966"/>
      <c r="J1350" s="966"/>
      <c r="K1350" s="966"/>
      <c r="L1350" s="966"/>
      <c r="M1350" s="971"/>
    </row>
    <row r="1351" spans="1:13">
      <c r="A1351" s="966"/>
      <c r="B1351" s="966"/>
      <c r="C1351" s="966"/>
      <c r="D1351" s="966"/>
      <c r="E1351" s="966"/>
      <c r="F1351" s="966"/>
      <c r="G1351" s="966"/>
      <c r="H1351" s="995"/>
      <c r="I1351" s="966"/>
      <c r="J1351" s="966"/>
      <c r="K1351" s="966"/>
      <c r="L1351" s="966"/>
      <c r="M1351" s="971"/>
    </row>
    <row r="1352" spans="1:13">
      <c r="A1352" s="966"/>
      <c r="B1352" s="966"/>
      <c r="C1352" s="966"/>
      <c r="D1352" s="966"/>
      <c r="E1352" s="966"/>
      <c r="F1352" s="966"/>
      <c r="G1352" s="966"/>
      <c r="H1352" s="995"/>
      <c r="I1352" s="966"/>
      <c r="J1352" s="966"/>
      <c r="K1352" s="966"/>
      <c r="L1352" s="966"/>
      <c r="M1352" s="971"/>
    </row>
    <row r="1353" spans="1:13">
      <c r="A1353" s="966"/>
      <c r="B1353" s="966"/>
      <c r="C1353" s="966"/>
      <c r="D1353" s="966"/>
      <c r="E1353" s="966"/>
      <c r="F1353" s="966"/>
      <c r="G1353" s="966"/>
      <c r="H1353" s="995"/>
      <c r="I1353" s="966"/>
      <c r="J1353" s="966"/>
      <c r="K1353" s="966"/>
      <c r="L1353" s="966"/>
      <c r="M1353" s="971"/>
    </row>
    <row r="1354" spans="1:13">
      <c r="A1354" s="966"/>
      <c r="B1354" s="966"/>
      <c r="C1354" s="966"/>
      <c r="D1354" s="966"/>
      <c r="E1354" s="966"/>
      <c r="F1354" s="966"/>
      <c r="G1354" s="966"/>
      <c r="H1354" s="995"/>
      <c r="I1354" s="966"/>
      <c r="J1354" s="966"/>
      <c r="K1354" s="966"/>
      <c r="L1354" s="966"/>
      <c r="M1354" s="971"/>
    </row>
    <row r="1355" spans="1:13">
      <c r="A1355" s="966"/>
      <c r="B1355" s="966"/>
      <c r="C1355" s="966"/>
      <c r="D1355" s="966"/>
      <c r="E1355" s="966"/>
      <c r="F1355" s="966"/>
      <c r="G1355" s="966"/>
      <c r="H1355" s="995"/>
      <c r="I1355" s="966"/>
      <c r="J1355" s="966"/>
      <c r="K1355" s="966"/>
      <c r="L1355" s="966"/>
      <c r="M1355" s="971"/>
    </row>
    <row r="1356" spans="1:13">
      <c r="A1356" s="966"/>
      <c r="B1356" s="966"/>
      <c r="C1356" s="966"/>
      <c r="D1356" s="966"/>
      <c r="E1356" s="966"/>
      <c r="F1356" s="966"/>
      <c r="G1356" s="966"/>
      <c r="H1356" s="995"/>
      <c r="I1356" s="966"/>
      <c r="J1356" s="966"/>
      <c r="K1356" s="966"/>
      <c r="L1356" s="966"/>
      <c r="M1356" s="971"/>
    </row>
    <row r="1357" spans="1:13">
      <c r="A1357" s="966"/>
      <c r="B1357" s="966"/>
      <c r="C1357" s="966"/>
      <c r="D1357" s="966"/>
      <c r="E1357" s="966"/>
      <c r="F1357" s="966"/>
      <c r="G1357" s="966"/>
      <c r="H1357" s="995"/>
      <c r="I1357" s="966"/>
      <c r="J1357" s="966"/>
      <c r="K1357" s="966"/>
      <c r="L1357" s="966"/>
      <c r="M1357" s="971"/>
    </row>
    <row r="1358" spans="1:13">
      <c r="A1358" s="966"/>
      <c r="B1358" s="966"/>
      <c r="C1358" s="966"/>
      <c r="D1358" s="966"/>
      <c r="E1358" s="966"/>
      <c r="F1358" s="966"/>
      <c r="G1358" s="966"/>
      <c r="H1358" s="995"/>
      <c r="I1358" s="966"/>
      <c r="J1358" s="966"/>
      <c r="K1358" s="966"/>
      <c r="L1358" s="966"/>
      <c r="M1358" s="971"/>
    </row>
    <row r="1359" spans="1:13">
      <c r="A1359" s="966"/>
      <c r="B1359" s="966"/>
      <c r="C1359" s="966"/>
      <c r="D1359" s="966"/>
      <c r="E1359" s="966"/>
      <c r="F1359" s="966"/>
      <c r="G1359" s="966"/>
      <c r="H1359" s="995"/>
      <c r="I1359" s="966"/>
      <c r="J1359" s="966"/>
      <c r="K1359" s="966"/>
      <c r="L1359" s="966"/>
      <c r="M1359" s="971"/>
    </row>
    <row r="1360" spans="1:13">
      <c r="A1360" s="966"/>
      <c r="B1360" s="966"/>
      <c r="C1360" s="966"/>
      <c r="D1360" s="966"/>
      <c r="E1360" s="966"/>
      <c r="F1360" s="966"/>
      <c r="G1360" s="966"/>
      <c r="H1360" s="995"/>
      <c r="I1360" s="966"/>
      <c r="J1360" s="966"/>
      <c r="K1360" s="966"/>
      <c r="L1360" s="966"/>
      <c r="M1360" s="971"/>
    </row>
    <row r="1361" spans="1:13">
      <c r="A1361" s="966"/>
      <c r="B1361" s="966"/>
      <c r="C1361" s="966"/>
      <c r="D1361" s="966"/>
      <c r="E1361" s="966"/>
      <c r="F1361" s="966"/>
      <c r="G1361" s="966"/>
      <c r="H1361" s="995"/>
      <c r="I1361" s="966"/>
      <c r="J1361" s="966"/>
      <c r="K1361" s="966"/>
      <c r="L1361" s="966"/>
      <c r="M1361" s="971"/>
    </row>
    <row r="1362" spans="1:13">
      <c r="A1362" s="966"/>
      <c r="B1362" s="966"/>
      <c r="C1362" s="966"/>
      <c r="D1362" s="966"/>
      <c r="E1362" s="966"/>
      <c r="F1362" s="966"/>
      <c r="G1362" s="966"/>
      <c r="H1362" s="995"/>
      <c r="I1362" s="966"/>
      <c r="J1362" s="966"/>
      <c r="K1362" s="966"/>
      <c r="L1362" s="966"/>
      <c r="M1362" s="971"/>
    </row>
    <row r="1363" spans="1:13">
      <c r="A1363" s="966"/>
      <c r="B1363" s="966"/>
      <c r="C1363" s="966"/>
      <c r="D1363" s="966"/>
      <c r="E1363" s="966"/>
      <c r="F1363" s="966"/>
      <c r="G1363" s="966"/>
      <c r="H1363" s="995"/>
      <c r="I1363" s="966"/>
      <c r="J1363" s="966"/>
      <c r="K1363" s="966"/>
      <c r="L1363" s="966"/>
      <c r="M1363" s="971"/>
    </row>
    <row r="1364" spans="1:13">
      <c r="A1364" s="966"/>
      <c r="B1364" s="966"/>
      <c r="C1364" s="966"/>
      <c r="D1364" s="966"/>
      <c r="E1364" s="966"/>
      <c r="F1364" s="966"/>
      <c r="G1364" s="966"/>
      <c r="H1364" s="995"/>
      <c r="I1364" s="966"/>
      <c r="J1364" s="966"/>
      <c r="K1364" s="966"/>
      <c r="L1364" s="966"/>
      <c r="M1364" s="971"/>
    </row>
    <row r="1365" spans="1:13">
      <c r="A1365" s="966"/>
      <c r="B1365" s="966"/>
      <c r="C1365" s="966"/>
      <c r="D1365" s="966"/>
      <c r="E1365" s="966"/>
      <c r="F1365" s="966"/>
      <c r="G1365" s="966"/>
      <c r="H1365" s="995"/>
      <c r="I1365" s="966"/>
      <c r="J1365" s="966"/>
      <c r="K1365" s="966"/>
      <c r="L1365" s="966"/>
      <c r="M1365" s="971"/>
    </row>
    <row r="1366" spans="1:13">
      <c r="A1366" s="966"/>
      <c r="B1366" s="966"/>
      <c r="C1366" s="966"/>
      <c r="D1366" s="966"/>
      <c r="E1366" s="966"/>
      <c r="F1366" s="966"/>
      <c r="G1366" s="966"/>
      <c r="H1366" s="995"/>
      <c r="I1366" s="966"/>
      <c r="J1366" s="966"/>
      <c r="K1366" s="966"/>
      <c r="L1366" s="966"/>
      <c r="M1366" s="971"/>
    </row>
    <row r="1367" spans="1:13">
      <c r="A1367" s="966"/>
      <c r="B1367" s="966"/>
      <c r="C1367" s="966"/>
      <c r="D1367" s="966"/>
      <c r="E1367" s="966"/>
      <c r="F1367" s="966"/>
      <c r="G1367" s="966"/>
      <c r="H1367" s="995"/>
      <c r="I1367" s="966"/>
      <c r="J1367" s="966"/>
      <c r="K1367" s="966"/>
      <c r="L1367" s="966"/>
      <c r="M1367" s="971"/>
    </row>
    <row r="1368" spans="1:13">
      <c r="A1368" s="966"/>
      <c r="B1368" s="966"/>
      <c r="C1368" s="966"/>
      <c r="D1368" s="966"/>
      <c r="E1368" s="966"/>
      <c r="F1368" s="966"/>
      <c r="G1368" s="966"/>
      <c r="H1368" s="995"/>
      <c r="I1368" s="966"/>
      <c r="J1368" s="966"/>
      <c r="K1368" s="966"/>
      <c r="L1368" s="966"/>
      <c r="M1368" s="971"/>
    </row>
    <row r="1369" spans="1:13">
      <c r="A1369" s="966"/>
      <c r="B1369" s="966"/>
      <c r="C1369" s="966"/>
      <c r="D1369" s="966"/>
      <c r="E1369" s="966"/>
      <c r="F1369" s="966"/>
      <c r="G1369" s="966"/>
      <c r="H1369" s="995"/>
      <c r="I1369" s="966"/>
      <c r="J1369" s="966"/>
      <c r="K1369" s="966"/>
      <c r="L1369" s="966"/>
      <c r="M1369" s="971"/>
    </row>
    <row r="1370" spans="1:13">
      <c r="A1370" s="966"/>
      <c r="B1370" s="966"/>
      <c r="C1370" s="966"/>
      <c r="D1370" s="966"/>
      <c r="E1370" s="966"/>
      <c r="F1370" s="966"/>
      <c r="G1370" s="966"/>
      <c r="H1370" s="995"/>
      <c r="I1370" s="966"/>
      <c r="J1370" s="966"/>
      <c r="K1370" s="966"/>
      <c r="L1370" s="966"/>
      <c r="M1370" s="971"/>
    </row>
    <row r="1371" spans="1:13">
      <c r="A1371" s="966"/>
      <c r="B1371" s="966"/>
      <c r="C1371" s="966"/>
      <c r="D1371" s="966"/>
      <c r="E1371" s="966"/>
      <c r="F1371" s="966"/>
      <c r="G1371" s="966"/>
      <c r="H1371" s="995"/>
      <c r="I1371" s="966"/>
      <c r="J1371" s="966"/>
      <c r="K1371" s="966"/>
      <c r="L1371" s="966"/>
      <c r="M1371" s="971"/>
    </row>
    <row r="1372" spans="1:13">
      <c r="A1372" s="966"/>
      <c r="B1372" s="966"/>
      <c r="C1372" s="966"/>
      <c r="D1372" s="966"/>
      <c r="E1372" s="966"/>
      <c r="F1372" s="966"/>
      <c r="G1372" s="966"/>
      <c r="H1372" s="995"/>
      <c r="I1372" s="966"/>
      <c r="J1372" s="966"/>
      <c r="K1372" s="966"/>
      <c r="L1372" s="966"/>
      <c r="M1372" s="971"/>
    </row>
    <row r="1373" spans="1:13">
      <c r="A1373" s="966"/>
      <c r="B1373" s="966"/>
      <c r="C1373" s="966"/>
      <c r="D1373" s="966"/>
      <c r="E1373" s="966"/>
      <c r="F1373" s="966"/>
      <c r="G1373" s="966"/>
      <c r="H1373" s="995"/>
      <c r="I1373" s="966"/>
      <c r="J1373" s="966"/>
      <c r="K1373" s="966"/>
      <c r="L1373" s="966"/>
      <c r="M1373" s="971"/>
    </row>
    <row r="1374" spans="1:13">
      <c r="A1374" s="966"/>
      <c r="B1374" s="966"/>
      <c r="C1374" s="966"/>
      <c r="D1374" s="966"/>
      <c r="E1374" s="966"/>
      <c r="F1374" s="966"/>
      <c r="G1374" s="966"/>
      <c r="H1374" s="995"/>
      <c r="I1374" s="966"/>
      <c r="J1374" s="966"/>
      <c r="K1374" s="966"/>
      <c r="L1374" s="966"/>
      <c r="M1374" s="971"/>
    </row>
    <row r="1375" spans="1:13">
      <c r="A1375" s="966"/>
      <c r="B1375" s="966"/>
      <c r="C1375" s="966"/>
      <c r="D1375" s="966"/>
      <c r="E1375" s="966"/>
      <c r="F1375" s="966"/>
      <c r="G1375" s="966"/>
      <c r="H1375" s="995"/>
      <c r="I1375" s="966"/>
      <c r="J1375" s="966"/>
      <c r="K1375" s="966"/>
      <c r="L1375" s="966"/>
      <c r="M1375" s="971"/>
    </row>
    <row r="1376" spans="1:13">
      <c r="A1376" s="966"/>
      <c r="B1376" s="966"/>
      <c r="C1376" s="966"/>
      <c r="D1376" s="966"/>
      <c r="E1376" s="966"/>
      <c r="F1376" s="966"/>
      <c r="G1376" s="966"/>
      <c r="H1376" s="995"/>
      <c r="I1376" s="966"/>
      <c r="J1376" s="966"/>
      <c r="K1376" s="966"/>
      <c r="L1376" s="966"/>
      <c r="M1376" s="971"/>
    </row>
    <row r="1377" spans="1:13">
      <c r="A1377" s="966"/>
      <c r="B1377" s="966"/>
      <c r="C1377" s="966"/>
      <c r="D1377" s="966"/>
      <c r="E1377" s="966"/>
      <c r="F1377" s="966"/>
      <c r="G1377" s="966"/>
      <c r="H1377" s="995"/>
      <c r="I1377" s="966"/>
      <c r="J1377" s="966"/>
      <c r="K1377" s="966"/>
      <c r="L1377" s="966"/>
      <c r="M1377" s="971"/>
    </row>
    <row r="1378" spans="1:13">
      <c r="A1378" s="966"/>
      <c r="B1378" s="966"/>
      <c r="C1378" s="966"/>
      <c r="D1378" s="966"/>
      <c r="E1378" s="966"/>
      <c r="F1378" s="966"/>
      <c r="G1378" s="966"/>
      <c r="H1378" s="995"/>
      <c r="I1378" s="966"/>
      <c r="J1378" s="966"/>
      <c r="K1378" s="966"/>
      <c r="L1378" s="966"/>
      <c r="M1378" s="971"/>
    </row>
    <row r="1379" spans="1:13">
      <c r="A1379" s="966"/>
      <c r="B1379" s="966"/>
      <c r="C1379" s="966"/>
      <c r="D1379" s="966"/>
      <c r="E1379" s="966"/>
      <c r="F1379" s="966"/>
      <c r="G1379" s="966"/>
      <c r="H1379" s="995"/>
      <c r="I1379" s="966"/>
      <c r="J1379" s="966"/>
      <c r="K1379" s="966"/>
      <c r="L1379" s="966"/>
      <c r="M1379" s="971"/>
    </row>
    <row r="1380" spans="1:13">
      <c r="A1380" s="966"/>
      <c r="B1380" s="966"/>
      <c r="C1380" s="966"/>
      <c r="D1380" s="966"/>
      <c r="E1380" s="966"/>
      <c r="F1380" s="966"/>
      <c r="G1380" s="966"/>
      <c r="H1380" s="995"/>
      <c r="I1380" s="966"/>
      <c r="J1380" s="966"/>
      <c r="K1380" s="966"/>
      <c r="L1380" s="966"/>
      <c r="M1380" s="971"/>
    </row>
    <row r="1381" spans="1:13">
      <c r="A1381" s="966"/>
      <c r="B1381" s="966"/>
      <c r="C1381" s="966"/>
      <c r="D1381" s="966"/>
      <c r="E1381" s="966"/>
      <c r="F1381" s="966"/>
      <c r="G1381" s="966"/>
      <c r="H1381" s="995"/>
      <c r="I1381" s="966"/>
      <c r="J1381" s="966"/>
      <c r="K1381" s="966"/>
      <c r="L1381" s="966"/>
      <c r="M1381" s="971"/>
    </row>
    <row r="1382" spans="1:13">
      <c r="A1382" s="966"/>
      <c r="B1382" s="966"/>
      <c r="C1382" s="966"/>
      <c r="D1382" s="966"/>
      <c r="E1382" s="966"/>
      <c r="F1382" s="966"/>
      <c r="G1382" s="966"/>
      <c r="H1382" s="995"/>
      <c r="I1382" s="966"/>
      <c r="J1382" s="966"/>
      <c r="K1382" s="966"/>
      <c r="L1382" s="966"/>
      <c r="M1382" s="971"/>
    </row>
    <row r="1383" spans="1:13">
      <c r="A1383" s="966"/>
      <c r="B1383" s="966"/>
      <c r="C1383" s="966"/>
      <c r="D1383" s="966"/>
      <c r="E1383" s="966"/>
      <c r="F1383" s="966"/>
      <c r="G1383" s="966"/>
      <c r="H1383" s="995"/>
      <c r="I1383" s="966"/>
      <c r="J1383" s="966"/>
      <c r="K1383" s="966"/>
      <c r="L1383" s="966"/>
      <c r="M1383" s="971"/>
    </row>
    <row r="1384" spans="1:13">
      <c r="A1384" s="966"/>
      <c r="B1384" s="966"/>
      <c r="C1384" s="966"/>
      <c r="D1384" s="966"/>
      <c r="E1384" s="966"/>
      <c r="F1384" s="966"/>
      <c r="G1384" s="966"/>
      <c r="H1384" s="995"/>
      <c r="I1384" s="966"/>
      <c r="J1384" s="966"/>
      <c r="K1384" s="966"/>
      <c r="L1384" s="966"/>
      <c r="M1384" s="971"/>
    </row>
    <row r="1385" spans="1:13">
      <c r="A1385" s="966"/>
      <c r="B1385" s="966"/>
      <c r="C1385" s="966"/>
      <c r="D1385" s="966"/>
      <c r="E1385" s="966"/>
      <c r="F1385" s="966"/>
      <c r="G1385" s="966"/>
      <c r="H1385" s="995"/>
      <c r="I1385" s="966"/>
      <c r="J1385" s="966"/>
      <c r="K1385" s="966"/>
      <c r="L1385" s="966"/>
      <c r="M1385" s="971"/>
    </row>
    <row r="1386" spans="1:13">
      <c r="A1386" s="966"/>
      <c r="B1386" s="966"/>
      <c r="C1386" s="966"/>
      <c r="D1386" s="966"/>
      <c r="E1386" s="966"/>
      <c r="F1386" s="966"/>
      <c r="G1386" s="966"/>
      <c r="H1386" s="995"/>
      <c r="I1386" s="966"/>
      <c r="J1386" s="966"/>
      <c r="K1386" s="966"/>
      <c r="L1386" s="966"/>
      <c r="M1386" s="971"/>
    </row>
    <row r="1387" spans="1:13">
      <c r="A1387" s="966"/>
      <c r="B1387" s="966"/>
      <c r="C1387" s="966"/>
      <c r="D1387" s="966"/>
      <c r="E1387" s="966"/>
      <c r="F1387" s="966"/>
      <c r="G1387" s="966"/>
      <c r="H1387" s="995"/>
      <c r="I1387" s="966"/>
      <c r="J1387" s="966"/>
      <c r="K1387" s="966"/>
      <c r="L1387" s="966"/>
      <c r="M1387" s="971"/>
    </row>
    <row r="1388" spans="1:13">
      <c r="A1388" s="966"/>
      <c r="B1388" s="966"/>
      <c r="C1388" s="966"/>
      <c r="D1388" s="966"/>
      <c r="E1388" s="966"/>
      <c r="F1388" s="966"/>
      <c r="G1388" s="966"/>
      <c r="H1388" s="995"/>
      <c r="I1388" s="966"/>
      <c r="J1388" s="966"/>
      <c r="K1388" s="966"/>
      <c r="L1388" s="966"/>
      <c r="M1388" s="971"/>
    </row>
    <row r="1389" spans="1:13">
      <c r="A1389" s="966"/>
      <c r="B1389" s="966"/>
      <c r="C1389" s="966"/>
      <c r="D1389" s="966"/>
      <c r="E1389" s="966"/>
      <c r="F1389" s="966"/>
      <c r="G1389" s="966"/>
      <c r="H1389" s="995"/>
      <c r="I1389" s="966"/>
      <c r="J1389" s="966"/>
      <c r="K1389" s="966"/>
      <c r="L1389" s="966"/>
      <c r="M1389" s="971"/>
    </row>
    <row r="1390" spans="1:13">
      <c r="A1390" s="966"/>
      <c r="B1390" s="966"/>
      <c r="C1390" s="966"/>
      <c r="D1390" s="966"/>
      <c r="E1390" s="966"/>
      <c r="F1390" s="966"/>
      <c r="G1390" s="966"/>
      <c r="H1390" s="995"/>
      <c r="I1390" s="966"/>
      <c r="J1390" s="966"/>
      <c r="K1390" s="966"/>
      <c r="L1390" s="966"/>
      <c r="M1390" s="971"/>
    </row>
    <row r="1391" spans="1:13">
      <c r="A1391" s="966"/>
      <c r="B1391" s="966"/>
      <c r="C1391" s="966"/>
      <c r="D1391" s="966"/>
      <c r="E1391" s="966"/>
      <c r="F1391" s="966"/>
      <c r="G1391" s="966"/>
      <c r="H1391" s="995"/>
      <c r="I1391" s="966"/>
      <c r="J1391" s="966"/>
      <c r="K1391" s="966"/>
      <c r="L1391" s="966"/>
      <c r="M1391" s="971"/>
    </row>
    <row r="1392" spans="1:13">
      <c r="A1392" s="966"/>
      <c r="B1392" s="966"/>
      <c r="C1392" s="966"/>
      <c r="D1392" s="966"/>
      <c r="E1392" s="966"/>
      <c r="F1392" s="966"/>
      <c r="G1392" s="966"/>
      <c r="H1392" s="995"/>
      <c r="I1392" s="966"/>
      <c r="J1392" s="966"/>
      <c r="K1392" s="966"/>
      <c r="L1392" s="966"/>
      <c r="M1392" s="971"/>
    </row>
    <row r="1393" spans="1:13">
      <c r="A1393" s="966"/>
      <c r="B1393" s="966"/>
      <c r="C1393" s="966"/>
      <c r="D1393" s="966"/>
      <c r="E1393" s="966"/>
      <c r="F1393" s="966"/>
      <c r="G1393" s="966"/>
      <c r="H1393" s="995"/>
      <c r="I1393" s="966"/>
      <c r="J1393" s="966"/>
      <c r="K1393" s="966"/>
      <c r="L1393" s="966"/>
      <c r="M1393" s="971"/>
    </row>
    <row r="1394" spans="1:13">
      <c r="A1394" s="966"/>
      <c r="B1394" s="966"/>
      <c r="C1394" s="966"/>
      <c r="D1394" s="966"/>
      <c r="E1394" s="966"/>
      <c r="F1394" s="966"/>
      <c r="G1394" s="966"/>
      <c r="H1394" s="995"/>
      <c r="I1394" s="966"/>
      <c r="J1394" s="966"/>
      <c r="K1394" s="966"/>
      <c r="L1394" s="966"/>
      <c r="M1394" s="971"/>
    </row>
    <row r="1395" spans="1:13">
      <c r="A1395" s="966"/>
      <c r="B1395" s="966"/>
      <c r="C1395" s="966"/>
      <c r="D1395" s="966"/>
      <c r="E1395" s="966"/>
      <c r="F1395" s="966"/>
      <c r="G1395" s="966"/>
      <c r="H1395" s="995"/>
      <c r="I1395" s="966"/>
      <c r="J1395" s="966"/>
      <c r="K1395" s="966"/>
      <c r="L1395" s="966"/>
      <c r="M1395" s="971"/>
    </row>
    <row r="1396" spans="1:13">
      <c r="A1396" s="966"/>
      <c r="B1396" s="966"/>
      <c r="C1396" s="966"/>
      <c r="D1396" s="966"/>
      <c r="E1396" s="966"/>
      <c r="F1396" s="966"/>
      <c r="G1396" s="966"/>
      <c r="H1396" s="995"/>
      <c r="I1396" s="966"/>
      <c r="J1396" s="966"/>
      <c r="K1396" s="966"/>
      <c r="L1396" s="966"/>
      <c r="M1396" s="971"/>
    </row>
    <row r="1397" spans="1:13">
      <c r="A1397" s="966"/>
      <c r="B1397" s="966"/>
      <c r="C1397" s="966"/>
      <c r="D1397" s="966"/>
      <c r="E1397" s="966"/>
      <c r="F1397" s="966"/>
      <c r="G1397" s="966"/>
      <c r="H1397" s="995"/>
      <c r="I1397" s="966"/>
      <c r="J1397" s="966"/>
      <c r="K1397" s="966"/>
      <c r="L1397" s="966"/>
      <c r="M1397" s="971"/>
    </row>
    <row r="1398" spans="1:13">
      <c r="A1398" s="966"/>
      <c r="B1398" s="966"/>
      <c r="C1398" s="966"/>
      <c r="D1398" s="966"/>
      <c r="E1398" s="966"/>
      <c r="F1398" s="966"/>
      <c r="G1398" s="966"/>
      <c r="H1398" s="995"/>
      <c r="I1398" s="966"/>
      <c r="J1398" s="966"/>
      <c r="K1398" s="966"/>
      <c r="L1398" s="966"/>
      <c r="M1398" s="971"/>
    </row>
    <row r="1399" spans="1:13">
      <c r="A1399" s="966"/>
      <c r="B1399" s="966"/>
      <c r="C1399" s="966"/>
      <c r="D1399" s="966"/>
      <c r="E1399" s="966"/>
      <c r="F1399" s="966"/>
      <c r="G1399" s="966"/>
      <c r="H1399" s="995"/>
      <c r="I1399" s="966"/>
      <c r="J1399" s="966"/>
      <c r="K1399" s="966"/>
      <c r="L1399" s="966"/>
      <c r="M1399" s="971"/>
    </row>
    <row r="1400" spans="1:13">
      <c r="A1400" s="966"/>
      <c r="B1400" s="966"/>
      <c r="C1400" s="966"/>
      <c r="D1400" s="966"/>
      <c r="E1400" s="966"/>
      <c r="F1400" s="966"/>
      <c r="G1400" s="966"/>
      <c r="H1400" s="995"/>
      <c r="I1400" s="966"/>
      <c r="J1400" s="966"/>
      <c r="K1400" s="966"/>
      <c r="L1400" s="966"/>
      <c r="M1400" s="971"/>
    </row>
    <row r="1401" spans="1:13">
      <c r="A1401" s="966"/>
      <c r="B1401" s="966"/>
      <c r="C1401" s="966"/>
      <c r="D1401" s="966"/>
      <c r="E1401" s="966"/>
      <c r="F1401" s="966"/>
      <c r="G1401" s="966"/>
      <c r="H1401" s="995"/>
      <c r="I1401" s="966"/>
      <c r="J1401" s="966"/>
      <c r="K1401" s="966"/>
      <c r="L1401" s="966"/>
      <c r="M1401" s="971"/>
    </row>
    <row r="1402" spans="1:13">
      <c r="A1402" s="966"/>
      <c r="B1402" s="966"/>
      <c r="C1402" s="966"/>
      <c r="D1402" s="966"/>
      <c r="E1402" s="966"/>
      <c r="F1402" s="966"/>
      <c r="G1402" s="966"/>
      <c r="H1402" s="995"/>
      <c r="I1402" s="966"/>
      <c r="J1402" s="966"/>
      <c r="K1402" s="966"/>
      <c r="L1402" s="966"/>
      <c r="M1402" s="971"/>
    </row>
    <row r="1403" spans="1:13">
      <c r="A1403" s="966"/>
      <c r="B1403" s="966"/>
      <c r="C1403" s="966"/>
      <c r="D1403" s="966"/>
      <c r="E1403" s="966"/>
      <c r="F1403" s="966"/>
      <c r="G1403" s="966"/>
      <c r="H1403" s="995"/>
      <c r="I1403" s="966"/>
      <c r="J1403" s="966"/>
      <c r="K1403" s="966"/>
      <c r="L1403" s="966"/>
      <c r="M1403" s="971"/>
    </row>
    <row r="1404" spans="1:13">
      <c r="A1404" s="966"/>
      <c r="B1404" s="966"/>
      <c r="C1404" s="966"/>
      <c r="D1404" s="966"/>
      <c r="E1404" s="966"/>
      <c r="F1404" s="966"/>
      <c r="G1404" s="966"/>
      <c r="H1404" s="995"/>
      <c r="I1404" s="966"/>
      <c r="J1404" s="966"/>
      <c r="K1404" s="966"/>
      <c r="L1404" s="966"/>
      <c r="M1404" s="971"/>
    </row>
    <row r="1405" spans="1:13">
      <c r="A1405" s="966"/>
      <c r="B1405" s="966"/>
      <c r="C1405" s="966"/>
      <c r="D1405" s="966"/>
      <c r="E1405" s="966"/>
      <c r="F1405" s="966"/>
      <c r="G1405" s="966"/>
      <c r="H1405" s="995"/>
      <c r="I1405" s="966"/>
      <c r="J1405" s="966"/>
      <c r="K1405" s="966"/>
      <c r="L1405" s="966"/>
      <c r="M1405" s="971"/>
    </row>
    <row r="1406" spans="1:13">
      <c r="A1406" s="966"/>
      <c r="B1406" s="966"/>
      <c r="C1406" s="966"/>
      <c r="D1406" s="966"/>
      <c r="E1406" s="966"/>
      <c r="F1406" s="966"/>
      <c r="G1406" s="966"/>
      <c r="H1406" s="995"/>
      <c r="I1406" s="966"/>
      <c r="J1406" s="966"/>
      <c r="K1406" s="966"/>
      <c r="L1406" s="966"/>
      <c r="M1406" s="971"/>
    </row>
    <row r="1407" spans="1:13">
      <c r="A1407" s="966"/>
      <c r="B1407" s="966"/>
      <c r="C1407" s="966"/>
      <c r="D1407" s="966"/>
      <c r="E1407" s="966"/>
      <c r="F1407" s="966"/>
      <c r="G1407" s="966"/>
      <c r="H1407" s="995"/>
      <c r="I1407" s="966"/>
      <c r="J1407" s="966"/>
      <c r="K1407" s="966"/>
      <c r="L1407" s="966"/>
      <c r="M1407" s="971"/>
    </row>
    <row r="1408" spans="1:13">
      <c r="A1408" s="966"/>
      <c r="B1408" s="966"/>
      <c r="C1408" s="966"/>
      <c r="D1408" s="966"/>
      <c r="E1408" s="966"/>
      <c r="F1408" s="966"/>
      <c r="G1408" s="966"/>
      <c r="H1408" s="995"/>
      <c r="I1408" s="966"/>
      <c r="J1408" s="966"/>
      <c r="K1408" s="966"/>
      <c r="L1408" s="966"/>
      <c r="M1408" s="971"/>
    </row>
    <row r="1409" spans="1:13">
      <c r="A1409" s="966"/>
      <c r="B1409" s="966"/>
      <c r="C1409" s="966"/>
      <c r="D1409" s="966"/>
      <c r="E1409" s="966"/>
      <c r="F1409" s="966"/>
      <c r="G1409" s="966"/>
      <c r="H1409" s="995"/>
      <c r="I1409" s="966"/>
      <c r="J1409" s="966"/>
      <c r="K1409" s="966"/>
      <c r="L1409" s="966"/>
      <c r="M1409" s="971"/>
    </row>
    <row r="1410" spans="1:13">
      <c r="A1410" s="966"/>
      <c r="B1410" s="966"/>
      <c r="C1410" s="966"/>
      <c r="D1410" s="966"/>
      <c r="E1410" s="966"/>
      <c r="F1410" s="966"/>
      <c r="G1410" s="966"/>
      <c r="H1410" s="995"/>
      <c r="I1410" s="966"/>
      <c r="J1410" s="966"/>
      <c r="K1410" s="966"/>
      <c r="L1410" s="966"/>
      <c r="M1410" s="971"/>
    </row>
    <row r="1411" spans="1:13">
      <c r="A1411" s="966"/>
      <c r="B1411" s="966"/>
      <c r="C1411" s="966"/>
      <c r="D1411" s="966"/>
      <c r="E1411" s="966"/>
      <c r="F1411" s="966"/>
      <c r="G1411" s="966"/>
      <c r="H1411" s="995"/>
      <c r="I1411" s="966"/>
      <c r="J1411" s="966"/>
      <c r="K1411" s="966"/>
      <c r="L1411" s="966"/>
      <c r="M1411" s="971"/>
    </row>
    <row r="1412" spans="1:13">
      <c r="A1412" s="966"/>
      <c r="B1412" s="966"/>
      <c r="C1412" s="966"/>
      <c r="D1412" s="966"/>
      <c r="E1412" s="966"/>
      <c r="F1412" s="966"/>
      <c r="G1412" s="966"/>
      <c r="H1412" s="995"/>
      <c r="I1412" s="966"/>
      <c r="J1412" s="966"/>
      <c r="K1412" s="966"/>
      <c r="L1412" s="966"/>
      <c r="M1412" s="971"/>
    </row>
    <row r="1413" spans="1:13">
      <c r="A1413" s="966"/>
      <c r="B1413" s="966"/>
      <c r="C1413" s="966"/>
      <c r="D1413" s="966"/>
      <c r="E1413" s="966"/>
      <c r="F1413" s="966"/>
      <c r="G1413" s="966"/>
      <c r="H1413" s="995"/>
      <c r="I1413" s="966"/>
      <c r="J1413" s="966"/>
      <c r="K1413" s="966"/>
      <c r="L1413" s="966"/>
      <c r="M1413" s="971"/>
    </row>
    <row r="1414" spans="1:13">
      <c r="A1414" s="966"/>
      <c r="B1414" s="966"/>
      <c r="C1414" s="966"/>
      <c r="D1414" s="966"/>
      <c r="E1414" s="966"/>
      <c r="F1414" s="966"/>
      <c r="G1414" s="966"/>
      <c r="H1414" s="995"/>
      <c r="I1414" s="966"/>
      <c r="J1414" s="966"/>
      <c r="K1414" s="966"/>
      <c r="L1414" s="966"/>
      <c r="M1414" s="971"/>
    </row>
    <row r="1415" spans="1:13">
      <c r="A1415" s="966"/>
      <c r="B1415" s="966"/>
      <c r="C1415" s="966"/>
      <c r="D1415" s="966"/>
      <c r="E1415" s="966"/>
      <c r="F1415" s="966"/>
      <c r="G1415" s="966"/>
      <c r="H1415" s="995"/>
      <c r="I1415" s="966"/>
      <c r="J1415" s="966"/>
      <c r="K1415" s="966"/>
      <c r="L1415" s="966"/>
      <c r="M1415" s="971"/>
    </row>
    <row r="1416" spans="1:13">
      <c r="A1416" s="966"/>
      <c r="B1416" s="966"/>
      <c r="C1416" s="966"/>
      <c r="D1416" s="966"/>
      <c r="E1416" s="966"/>
      <c r="F1416" s="966"/>
      <c r="G1416" s="966"/>
      <c r="H1416" s="995"/>
      <c r="I1416" s="966"/>
      <c r="J1416" s="966"/>
      <c r="K1416" s="966"/>
      <c r="L1416" s="966"/>
      <c r="M1416" s="971"/>
    </row>
    <row r="1417" spans="1:13">
      <c r="A1417" s="966"/>
      <c r="B1417" s="966"/>
      <c r="C1417" s="966"/>
      <c r="D1417" s="966"/>
      <c r="E1417" s="966"/>
      <c r="F1417" s="966"/>
      <c r="G1417" s="966"/>
      <c r="H1417" s="995"/>
      <c r="I1417" s="966"/>
      <c r="J1417" s="966"/>
      <c r="K1417" s="966"/>
      <c r="L1417" s="966"/>
      <c r="M1417" s="971"/>
    </row>
    <row r="1418" spans="1:13">
      <c r="A1418" s="966"/>
      <c r="B1418" s="966"/>
      <c r="C1418" s="966"/>
      <c r="D1418" s="966"/>
      <c r="E1418" s="966"/>
      <c r="F1418" s="966"/>
      <c r="G1418" s="966"/>
      <c r="H1418" s="995"/>
      <c r="I1418" s="966"/>
      <c r="J1418" s="966"/>
      <c r="K1418" s="966"/>
      <c r="L1418" s="966"/>
      <c r="M1418" s="971"/>
    </row>
    <row r="1419" spans="1:13">
      <c r="A1419" s="966"/>
      <c r="B1419" s="966"/>
      <c r="C1419" s="966"/>
      <c r="D1419" s="966"/>
      <c r="E1419" s="966"/>
      <c r="F1419" s="966"/>
      <c r="G1419" s="966"/>
      <c r="H1419" s="995"/>
      <c r="I1419" s="966"/>
      <c r="J1419" s="966"/>
      <c r="K1419" s="966"/>
      <c r="L1419" s="966"/>
      <c r="M1419" s="971"/>
    </row>
    <row r="1420" spans="1:13">
      <c r="A1420" s="966"/>
      <c r="B1420" s="966"/>
      <c r="C1420" s="966"/>
      <c r="D1420" s="966"/>
      <c r="E1420" s="966"/>
      <c r="F1420" s="966"/>
      <c r="G1420" s="966"/>
      <c r="H1420" s="995"/>
      <c r="I1420" s="966"/>
      <c r="J1420" s="966"/>
      <c r="K1420" s="966"/>
      <c r="L1420" s="966"/>
      <c r="M1420" s="971"/>
    </row>
    <row r="1421" spans="1:13">
      <c r="A1421" s="966"/>
      <c r="B1421" s="966"/>
      <c r="C1421" s="966"/>
      <c r="D1421" s="966"/>
      <c r="E1421" s="966"/>
      <c r="F1421" s="966"/>
      <c r="G1421" s="966"/>
      <c r="H1421" s="995"/>
      <c r="I1421" s="966"/>
      <c r="J1421" s="966"/>
      <c r="K1421" s="966"/>
      <c r="L1421" s="966"/>
      <c r="M1421" s="971"/>
    </row>
    <row r="1422" spans="1:13">
      <c r="A1422" s="966"/>
      <c r="B1422" s="966"/>
      <c r="C1422" s="966"/>
      <c r="D1422" s="966"/>
      <c r="E1422" s="966"/>
      <c r="F1422" s="966"/>
      <c r="G1422" s="966"/>
      <c r="H1422" s="995"/>
      <c r="I1422" s="966"/>
      <c r="J1422" s="966"/>
      <c r="K1422" s="966"/>
      <c r="L1422" s="966"/>
      <c r="M1422" s="971"/>
    </row>
    <row r="1423" spans="1:13">
      <c r="A1423" s="966"/>
      <c r="B1423" s="966"/>
      <c r="C1423" s="966"/>
      <c r="D1423" s="966"/>
      <c r="E1423" s="966"/>
      <c r="F1423" s="966"/>
      <c r="G1423" s="966"/>
      <c r="H1423" s="995"/>
      <c r="I1423" s="966"/>
      <c r="J1423" s="966"/>
      <c r="K1423" s="966"/>
      <c r="L1423" s="966"/>
      <c r="M1423" s="971"/>
    </row>
    <row r="1424" spans="1:13">
      <c r="A1424" s="966"/>
      <c r="B1424" s="966"/>
      <c r="C1424" s="966"/>
      <c r="D1424" s="966"/>
      <c r="E1424" s="966"/>
      <c r="F1424" s="966"/>
      <c r="G1424" s="966"/>
      <c r="H1424" s="995"/>
      <c r="I1424" s="966"/>
      <c r="J1424" s="966"/>
      <c r="K1424" s="966"/>
      <c r="L1424" s="966"/>
      <c r="M1424" s="971"/>
    </row>
    <row r="1425" spans="1:13">
      <c r="A1425" s="966"/>
      <c r="B1425" s="966"/>
      <c r="C1425" s="966"/>
      <c r="D1425" s="966"/>
      <c r="E1425" s="966"/>
      <c r="F1425" s="966"/>
      <c r="G1425" s="966"/>
      <c r="H1425" s="995"/>
      <c r="I1425" s="966"/>
      <c r="J1425" s="966"/>
      <c r="K1425" s="966"/>
      <c r="L1425" s="966"/>
      <c r="M1425" s="971"/>
    </row>
    <row r="1426" spans="1:13">
      <c r="A1426" s="966"/>
      <c r="B1426" s="966"/>
      <c r="C1426" s="966"/>
      <c r="D1426" s="966"/>
      <c r="E1426" s="966"/>
      <c r="F1426" s="966"/>
      <c r="G1426" s="966"/>
      <c r="H1426" s="995"/>
      <c r="I1426" s="966"/>
      <c r="J1426" s="966"/>
      <c r="K1426" s="966"/>
      <c r="L1426" s="966"/>
      <c r="M1426" s="971"/>
    </row>
    <row r="1427" spans="1:13">
      <c r="A1427" s="966"/>
      <c r="B1427" s="966"/>
      <c r="C1427" s="966"/>
      <c r="D1427" s="966"/>
      <c r="E1427" s="966"/>
      <c r="F1427" s="966"/>
      <c r="G1427" s="966"/>
      <c r="H1427" s="995"/>
      <c r="I1427" s="966"/>
      <c r="J1427" s="966"/>
      <c r="K1427" s="966"/>
      <c r="L1427" s="966"/>
      <c r="M1427" s="971"/>
    </row>
    <row r="1428" spans="1:13">
      <c r="A1428" s="966"/>
      <c r="B1428" s="966"/>
      <c r="C1428" s="966"/>
      <c r="D1428" s="966"/>
      <c r="E1428" s="966"/>
      <c r="F1428" s="966"/>
      <c r="G1428" s="966"/>
      <c r="H1428" s="995"/>
      <c r="I1428" s="966"/>
      <c r="J1428" s="966"/>
      <c r="K1428" s="966"/>
      <c r="L1428" s="966"/>
      <c r="M1428" s="971"/>
    </row>
    <row r="1429" spans="1:13">
      <c r="A1429" s="966"/>
      <c r="B1429" s="966"/>
      <c r="C1429" s="966"/>
      <c r="D1429" s="966"/>
      <c r="E1429" s="966"/>
      <c r="F1429" s="966"/>
      <c r="G1429" s="966"/>
      <c r="H1429" s="995"/>
      <c r="I1429" s="966"/>
      <c r="J1429" s="966"/>
      <c r="K1429" s="966"/>
      <c r="L1429" s="966"/>
      <c r="M1429" s="971"/>
    </row>
    <row r="1430" spans="1:13">
      <c r="A1430" s="966"/>
      <c r="B1430" s="966"/>
      <c r="C1430" s="966"/>
      <c r="D1430" s="966"/>
      <c r="E1430" s="966"/>
      <c r="F1430" s="966"/>
      <c r="G1430" s="966"/>
      <c r="H1430" s="995"/>
      <c r="I1430" s="966"/>
      <c r="J1430" s="966"/>
      <c r="K1430" s="966"/>
      <c r="L1430" s="966"/>
      <c r="M1430" s="971"/>
    </row>
    <row r="1431" spans="1:13">
      <c r="A1431" s="966"/>
      <c r="B1431" s="966"/>
      <c r="C1431" s="966"/>
      <c r="D1431" s="966"/>
      <c r="E1431" s="966"/>
      <c r="F1431" s="966"/>
      <c r="G1431" s="966"/>
      <c r="H1431" s="995"/>
      <c r="I1431" s="966"/>
      <c r="J1431" s="966"/>
      <c r="K1431" s="966"/>
      <c r="L1431" s="966"/>
      <c r="M1431" s="971"/>
    </row>
    <row r="1432" spans="1:13">
      <c r="A1432" s="966"/>
      <c r="B1432" s="966"/>
      <c r="C1432" s="966"/>
      <c r="D1432" s="966"/>
      <c r="E1432" s="966"/>
      <c r="F1432" s="966"/>
      <c r="G1432" s="966"/>
      <c r="H1432" s="995"/>
      <c r="I1432" s="966"/>
      <c r="J1432" s="966"/>
      <c r="K1432" s="966"/>
      <c r="L1432" s="966"/>
      <c r="M1432" s="971"/>
    </row>
    <row r="1433" spans="1:13">
      <c r="A1433" s="966"/>
      <c r="B1433" s="966"/>
      <c r="C1433" s="966"/>
      <c r="D1433" s="966"/>
      <c r="E1433" s="966"/>
      <c r="F1433" s="966"/>
      <c r="G1433" s="966"/>
      <c r="H1433" s="995"/>
      <c r="I1433" s="966"/>
      <c r="J1433" s="966"/>
      <c r="K1433" s="966"/>
      <c r="L1433" s="966"/>
      <c r="M1433" s="971"/>
    </row>
    <row r="1434" spans="1:13">
      <c r="A1434" s="966"/>
      <c r="B1434" s="966"/>
      <c r="C1434" s="966"/>
      <c r="D1434" s="966"/>
      <c r="E1434" s="966"/>
      <c r="F1434" s="966"/>
      <c r="G1434" s="966"/>
      <c r="H1434" s="995"/>
      <c r="I1434" s="966"/>
      <c r="J1434" s="966"/>
      <c r="K1434" s="966"/>
      <c r="L1434" s="966"/>
      <c r="M1434" s="971"/>
    </row>
    <row r="1435" spans="1:13">
      <c r="A1435" s="966"/>
      <c r="B1435" s="966"/>
      <c r="C1435" s="966"/>
      <c r="D1435" s="966"/>
      <c r="E1435" s="966"/>
      <c r="F1435" s="966"/>
      <c r="G1435" s="966"/>
      <c r="H1435" s="995"/>
      <c r="I1435" s="966"/>
      <c r="J1435" s="966"/>
      <c r="K1435" s="966"/>
      <c r="L1435" s="966"/>
      <c r="M1435" s="971"/>
    </row>
    <row r="1436" spans="1:13">
      <c r="A1436" s="966"/>
      <c r="B1436" s="966"/>
      <c r="C1436" s="966"/>
      <c r="D1436" s="966"/>
      <c r="E1436" s="966"/>
      <c r="F1436" s="966"/>
      <c r="G1436" s="966"/>
      <c r="H1436" s="995"/>
      <c r="I1436" s="966"/>
      <c r="J1436" s="966"/>
      <c r="K1436" s="966"/>
      <c r="L1436" s="966"/>
      <c r="M1436" s="971"/>
    </row>
    <row r="1437" spans="1:13">
      <c r="A1437" s="966"/>
      <c r="B1437" s="966"/>
      <c r="C1437" s="966"/>
      <c r="D1437" s="966"/>
      <c r="E1437" s="966"/>
      <c r="F1437" s="966"/>
      <c r="G1437" s="966"/>
      <c r="H1437" s="995"/>
      <c r="I1437" s="966"/>
      <c r="J1437" s="966"/>
      <c r="K1437" s="966"/>
      <c r="L1437" s="966"/>
      <c r="M1437" s="971"/>
    </row>
    <row r="1438" spans="1:13">
      <c r="A1438" s="966"/>
      <c r="B1438" s="966"/>
      <c r="C1438" s="966"/>
      <c r="D1438" s="966"/>
      <c r="E1438" s="966"/>
      <c r="F1438" s="966"/>
      <c r="G1438" s="966"/>
      <c r="H1438" s="995"/>
      <c r="I1438" s="966"/>
      <c r="J1438" s="966"/>
      <c r="K1438" s="966"/>
      <c r="L1438" s="966"/>
      <c r="M1438" s="971"/>
    </row>
    <row r="1439" spans="1:13">
      <c r="A1439" s="966"/>
      <c r="B1439" s="966"/>
      <c r="C1439" s="966"/>
      <c r="D1439" s="966"/>
      <c r="E1439" s="966"/>
      <c r="F1439" s="966"/>
      <c r="G1439" s="966"/>
      <c r="H1439" s="995"/>
      <c r="I1439" s="966"/>
      <c r="J1439" s="966"/>
      <c r="K1439" s="966"/>
      <c r="L1439" s="966"/>
      <c r="M1439" s="971"/>
    </row>
    <row r="1440" spans="1:13">
      <c r="A1440" s="966"/>
      <c r="B1440" s="966"/>
      <c r="C1440" s="966"/>
      <c r="D1440" s="966"/>
      <c r="E1440" s="966"/>
      <c r="F1440" s="966"/>
      <c r="G1440" s="966"/>
      <c r="H1440" s="995"/>
      <c r="I1440" s="966"/>
      <c r="J1440" s="966"/>
      <c r="K1440" s="966"/>
      <c r="L1440" s="966"/>
      <c r="M1440" s="971"/>
    </row>
    <row r="1441" spans="1:13">
      <c r="A1441" s="966"/>
      <c r="B1441" s="966"/>
      <c r="C1441" s="966"/>
      <c r="D1441" s="966"/>
      <c r="E1441" s="966"/>
      <c r="F1441" s="966"/>
      <c r="G1441" s="966"/>
      <c r="H1441" s="995"/>
      <c r="I1441" s="966"/>
      <c r="J1441" s="966"/>
      <c r="K1441" s="966"/>
      <c r="L1441" s="966"/>
      <c r="M1441" s="971"/>
    </row>
    <row r="1442" spans="1:13">
      <c r="A1442" s="966"/>
      <c r="B1442" s="966"/>
      <c r="C1442" s="966"/>
      <c r="D1442" s="966"/>
      <c r="E1442" s="966"/>
      <c r="F1442" s="966"/>
      <c r="G1442" s="966"/>
      <c r="H1442" s="995"/>
      <c r="I1442" s="966"/>
      <c r="J1442" s="966"/>
      <c r="K1442" s="966"/>
      <c r="L1442" s="966"/>
      <c r="M1442" s="971"/>
    </row>
    <row r="1443" spans="1:13">
      <c r="A1443" s="966"/>
      <c r="B1443" s="966"/>
      <c r="C1443" s="966"/>
      <c r="D1443" s="966"/>
      <c r="E1443" s="966"/>
      <c r="F1443" s="966"/>
      <c r="G1443" s="966"/>
      <c r="H1443" s="995"/>
      <c r="I1443" s="966"/>
      <c r="J1443" s="966"/>
      <c r="K1443" s="966"/>
      <c r="L1443" s="966"/>
      <c r="M1443" s="971"/>
    </row>
    <row r="1444" spans="1:13">
      <c r="A1444" s="966"/>
      <c r="B1444" s="966"/>
      <c r="C1444" s="966"/>
      <c r="D1444" s="966"/>
      <c r="E1444" s="966"/>
      <c r="F1444" s="966"/>
      <c r="G1444" s="966"/>
      <c r="H1444" s="995"/>
      <c r="I1444" s="966"/>
      <c r="J1444" s="966"/>
      <c r="K1444" s="966"/>
      <c r="L1444" s="966"/>
      <c r="M1444" s="971"/>
    </row>
    <row r="1445" spans="1:13">
      <c r="A1445" s="966"/>
      <c r="B1445" s="966"/>
      <c r="C1445" s="966"/>
      <c r="D1445" s="966"/>
      <c r="E1445" s="966"/>
      <c r="F1445" s="966"/>
      <c r="G1445" s="966"/>
      <c r="H1445" s="995"/>
      <c r="I1445" s="966"/>
      <c r="J1445" s="966"/>
      <c r="K1445" s="966"/>
      <c r="L1445" s="966"/>
      <c r="M1445" s="971"/>
    </row>
    <row r="1446" spans="1:13">
      <c r="A1446" s="966"/>
      <c r="B1446" s="966"/>
      <c r="C1446" s="966"/>
      <c r="D1446" s="966"/>
      <c r="E1446" s="966"/>
      <c r="F1446" s="966"/>
      <c r="G1446" s="966"/>
      <c r="H1446" s="995"/>
      <c r="I1446" s="966"/>
      <c r="J1446" s="966"/>
      <c r="K1446" s="966"/>
      <c r="L1446" s="966"/>
      <c r="M1446" s="971"/>
    </row>
    <row r="1447" spans="1:13">
      <c r="A1447" s="966"/>
      <c r="B1447" s="966"/>
      <c r="C1447" s="966"/>
      <c r="D1447" s="966"/>
      <c r="E1447" s="966"/>
      <c r="F1447" s="966"/>
      <c r="G1447" s="966"/>
      <c r="H1447" s="995"/>
      <c r="I1447" s="966"/>
      <c r="J1447" s="966"/>
      <c r="K1447" s="966"/>
      <c r="L1447" s="966"/>
      <c r="M1447" s="971"/>
    </row>
    <row r="1448" spans="1:13">
      <c r="A1448" s="966"/>
      <c r="B1448" s="966"/>
      <c r="C1448" s="966"/>
      <c r="D1448" s="966"/>
      <c r="E1448" s="966"/>
      <c r="F1448" s="966"/>
      <c r="G1448" s="966"/>
      <c r="H1448" s="995"/>
      <c r="I1448" s="966"/>
      <c r="J1448" s="966"/>
      <c r="K1448" s="966"/>
      <c r="L1448" s="966"/>
      <c r="M1448" s="971"/>
    </row>
    <row r="1449" spans="1:13">
      <c r="A1449" s="966"/>
      <c r="B1449" s="966"/>
      <c r="C1449" s="966"/>
      <c r="D1449" s="966"/>
      <c r="E1449" s="966"/>
      <c r="F1449" s="966"/>
      <c r="G1449" s="966"/>
      <c r="H1449" s="995"/>
      <c r="I1449" s="966"/>
      <c r="J1449" s="966"/>
      <c r="K1449" s="966"/>
      <c r="L1449" s="966"/>
      <c r="M1449" s="971"/>
    </row>
    <row r="1450" spans="1:13">
      <c r="A1450" s="966"/>
      <c r="B1450" s="966"/>
      <c r="C1450" s="966"/>
      <c r="D1450" s="966"/>
      <c r="E1450" s="966"/>
      <c r="F1450" s="966"/>
      <c r="G1450" s="966"/>
      <c r="H1450" s="995"/>
      <c r="I1450" s="966"/>
      <c r="J1450" s="966"/>
      <c r="K1450" s="966"/>
      <c r="L1450" s="966"/>
      <c r="M1450" s="971"/>
    </row>
    <row r="1451" spans="1:13">
      <c r="A1451" s="966"/>
      <c r="B1451" s="966"/>
      <c r="C1451" s="966"/>
      <c r="D1451" s="966"/>
      <c r="E1451" s="966"/>
      <c r="F1451" s="966"/>
      <c r="G1451" s="966"/>
      <c r="H1451" s="995"/>
      <c r="I1451" s="966"/>
      <c r="J1451" s="966"/>
      <c r="K1451" s="966"/>
      <c r="L1451" s="966"/>
      <c r="M1451" s="971"/>
    </row>
    <row r="1452" spans="1:13">
      <c r="A1452" s="966"/>
      <c r="B1452" s="966"/>
      <c r="C1452" s="966"/>
      <c r="D1452" s="966"/>
      <c r="E1452" s="966"/>
      <c r="F1452" s="966"/>
      <c r="G1452" s="966"/>
      <c r="H1452" s="995"/>
      <c r="I1452" s="966"/>
      <c r="J1452" s="966"/>
      <c r="K1452" s="966"/>
      <c r="L1452" s="966"/>
      <c r="M1452" s="971"/>
    </row>
    <row r="1453" spans="1:13">
      <c r="A1453" s="966"/>
      <c r="B1453" s="966"/>
      <c r="C1453" s="966"/>
      <c r="D1453" s="966"/>
      <c r="E1453" s="966"/>
      <c r="F1453" s="966"/>
      <c r="G1453" s="966"/>
      <c r="H1453" s="995"/>
      <c r="I1453" s="966"/>
      <c r="J1453" s="966"/>
      <c r="K1453" s="966"/>
      <c r="L1453" s="966"/>
      <c r="M1453" s="971"/>
    </row>
    <row r="1454" spans="1:13">
      <c r="A1454" s="966"/>
      <c r="B1454" s="966"/>
      <c r="C1454" s="966"/>
      <c r="D1454" s="966"/>
      <c r="E1454" s="966"/>
      <c r="F1454" s="966"/>
      <c r="G1454" s="966"/>
      <c r="H1454" s="995"/>
      <c r="I1454" s="966"/>
      <c r="J1454" s="966"/>
      <c r="K1454" s="966"/>
      <c r="L1454" s="966"/>
      <c r="M1454" s="971"/>
    </row>
    <row r="1455" spans="1:13">
      <c r="A1455" s="966"/>
      <c r="B1455" s="966"/>
      <c r="C1455" s="966"/>
      <c r="D1455" s="966"/>
      <c r="E1455" s="966"/>
      <c r="F1455" s="966"/>
      <c r="G1455" s="966"/>
      <c r="H1455" s="995"/>
      <c r="I1455" s="966"/>
      <c r="J1455" s="966"/>
      <c r="K1455" s="966"/>
      <c r="L1455" s="966"/>
      <c r="M1455" s="971"/>
    </row>
    <row r="1456" spans="1:13">
      <c r="A1456" s="966"/>
      <c r="B1456" s="966"/>
      <c r="C1456" s="966"/>
      <c r="D1456" s="966"/>
      <c r="E1456" s="966"/>
      <c r="F1456" s="966"/>
      <c r="G1456" s="966"/>
      <c r="H1456" s="995"/>
      <c r="I1456" s="966"/>
      <c r="J1456" s="966"/>
      <c r="K1456" s="966"/>
      <c r="L1456" s="966"/>
      <c r="M1456" s="971"/>
    </row>
    <row r="1457" spans="1:13">
      <c r="A1457" s="966"/>
      <c r="B1457" s="966"/>
      <c r="C1457" s="966"/>
      <c r="D1457" s="966"/>
      <c r="E1457" s="966"/>
      <c r="F1457" s="966"/>
      <c r="G1457" s="966"/>
      <c r="H1457" s="995"/>
      <c r="I1457" s="966"/>
      <c r="J1457" s="966"/>
      <c r="K1457" s="966"/>
      <c r="L1457" s="966"/>
      <c r="M1457" s="971"/>
    </row>
    <row r="1458" spans="1:13">
      <c r="A1458" s="966"/>
      <c r="B1458" s="966"/>
      <c r="C1458" s="966"/>
      <c r="D1458" s="966"/>
      <c r="E1458" s="966"/>
      <c r="F1458" s="966"/>
      <c r="G1458" s="966"/>
      <c r="H1458" s="995"/>
      <c r="I1458" s="966"/>
      <c r="J1458" s="966"/>
      <c r="K1458" s="966"/>
      <c r="L1458" s="966"/>
      <c r="M1458" s="971"/>
    </row>
    <row r="1459" spans="1:13">
      <c r="A1459" s="966"/>
      <c r="B1459" s="966"/>
      <c r="C1459" s="966"/>
      <c r="D1459" s="966"/>
      <c r="E1459" s="966"/>
      <c r="F1459" s="966"/>
      <c r="G1459" s="966"/>
      <c r="H1459" s="995"/>
      <c r="I1459" s="966"/>
      <c r="J1459" s="966"/>
      <c r="K1459" s="966"/>
      <c r="L1459" s="966"/>
      <c r="M1459" s="971"/>
    </row>
    <row r="1460" spans="1:13">
      <c r="A1460" s="966"/>
      <c r="B1460" s="966"/>
      <c r="C1460" s="966"/>
      <c r="D1460" s="966"/>
      <c r="E1460" s="966"/>
      <c r="F1460" s="966"/>
      <c r="G1460" s="966"/>
      <c r="H1460" s="995"/>
      <c r="I1460" s="966"/>
      <c r="J1460" s="966"/>
      <c r="K1460" s="966"/>
      <c r="L1460" s="966"/>
      <c r="M1460" s="971"/>
    </row>
    <row r="1461" spans="1:13">
      <c r="A1461" s="966"/>
      <c r="B1461" s="966"/>
      <c r="C1461" s="966"/>
      <c r="D1461" s="966"/>
      <c r="E1461" s="966"/>
      <c r="F1461" s="966"/>
      <c r="G1461" s="966"/>
      <c r="H1461" s="995"/>
      <c r="I1461" s="966"/>
      <c r="J1461" s="966"/>
      <c r="K1461" s="966"/>
      <c r="L1461" s="966"/>
      <c r="M1461" s="971"/>
    </row>
    <row r="1462" spans="1:13">
      <c r="A1462" s="966"/>
      <c r="B1462" s="966"/>
      <c r="C1462" s="966"/>
      <c r="D1462" s="966"/>
      <c r="E1462" s="966"/>
      <c r="F1462" s="966"/>
      <c r="G1462" s="966"/>
      <c r="H1462" s="995"/>
      <c r="I1462" s="966"/>
      <c r="J1462" s="966"/>
      <c r="K1462" s="966"/>
      <c r="L1462" s="966"/>
      <c r="M1462" s="971"/>
    </row>
    <row r="1463" spans="1:13">
      <c r="A1463" s="966"/>
      <c r="B1463" s="966"/>
      <c r="C1463" s="966"/>
      <c r="D1463" s="966"/>
      <c r="E1463" s="966"/>
      <c r="F1463" s="966"/>
      <c r="G1463" s="966"/>
      <c r="H1463" s="995"/>
      <c r="I1463" s="966"/>
      <c r="J1463" s="966"/>
      <c r="K1463" s="966"/>
      <c r="L1463" s="966"/>
      <c r="M1463" s="971"/>
    </row>
    <row r="1464" spans="1:13">
      <c r="A1464" s="966"/>
      <c r="B1464" s="966"/>
      <c r="C1464" s="966"/>
      <c r="D1464" s="966"/>
      <c r="E1464" s="966"/>
      <c r="F1464" s="966"/>
      <c r="G1464" s="966"/>
      <c r="H1464" s="995"/>
      <c r="I1464" s="966"/>
      <c r="J1464" s="966"/>
      <c r="K1464" s="966"/>
      <c r="L1464" s="966"/>
      <c r="M1464" s="971"/>
    </row>
    <row r="1465" spans="1:13">
      <c r="A1465" s="966"/>
      <c r="B1465" s="966"/>
      <c r="C1465" s="966"/>
      <c r="D1465" s="966"/>
      <c r="E1465" s="966"/>
      <c r="F1465" s="966"/>
      <c r="G1465" s="966"/>
      <c r="H1465" s="995"/>
      <c r="I1465" s="966"/>
      <c r="J1465" s="966"/>
      <c r="K1465" s="966"/>
      <c r="L1465" s="966"/>
      <c r="M1465" s="971"/>
    </row>
    <row r="1466" spans="1:13">
      <c r="A1466" s="966"/>
      <c r="B1466" s="966"/>
      <c r="C1466" s="966"/>
      <c r="D1466" s="966"/>
      <c r="E1466" s="966"/>
      <c r="F1466" s="966"/>
      <c r="G1466" s="966"/>
      <c r="H1466" s="995"/>
      <c r="I1466" s="966"/>
      <c r="J1466" s="966"/>
      <c r="K1466" s="966"/>
      <c r="L1466" s="966"/>
      <c r="M1466" s="971"/>
    </row>
    <row r="1467" spans="1:13">
      <c r="A1467" s="966"/>
      <c r="B1467" s="966"/>
      <c r="C1467" s="966"/>
      <c r="D1467" s="966"/>
      <c r="E1467" s="966"/>
      <c r="F1467" s="966"/>
      <c r="G1467" s="966"/>
      <c r="H1467" s="995"/>
      <c r="I1467" s="966"/>
      <c r="J1467" s="966"/>
      <c r="K1467" s="966"/>
      <c r="L1467" s="966"/>
      <c r="M1467" s="971"/>
    </row>
    <row r="1468" spans="1:13">
      <c r="A1468" s="966"/>
      <c r="B1468" s="966"/>
      <c r="C1468" s="966"/>
      <c r="D1468" s="966"/>
      <c r="E1468" s="966"/>
      <c r="F1468" s="966"/>
      <c r="G1468" s="966"/>
      <c r="H1468" s="995"/>
      <c r="I1468" s="966"/>
      <c r="J1468" s="966"/>
      <c r="K1468" s="966"/>
      <c r="L1468" s="966"/>
      <c r="M1468" s="971"/>
    </row>
    <row r="1469" spans="1:13">
      <c r="A1469" s="966"/>
      <c r="B1469" s="966"/>
      <c r="C1469" s="966"/>
      <c r="D1469" s="966"/>
      <c r="E1469" s="966"/>
      <c r="F1469" s="966"/>
      <c r="G1469" s="966"/>
      <c r="H1469" s="995"/>
      <c r="I1469" s="966"/>
      <c r="J1469" s="966"/>
      <c r="K1469" s="966"/>
      <c r="L1469" s="966"/>
      <c r="M1469" s="971"/>
    </row>
    <row r="1470" spans="1:13">
      <c r="A1470" s="966"/>
      <c r="B1470" s="966"/>
      <c r="C1470" s="966"/>
      <c r="D1470" s="966"/>
      <c r="E1470" s="966"/>
      <c r="F1470" s="966"/>
      <c r="G1470" s="966"/>
      <c r="H1470" s="995"/>
      <c r="I1470" s="966"/>
      <c r="J1470" s="966"/>
      <c r="K1470" s="966"/>
      <c r="L1470" s="966"/>
      <c r="M1470" s="971"/>
    </row>
    <row r="1471" spans="1:13">
      <c r="A1471" s="966"/>
      <c r="B1471" s="966"/>
      <c r="C1471" s="966"/>
      <c r="D1471" s="966"/>
      <c r="E1471" s="966"/>
      <c r="F1471" s="966"/>
      <c r="G1471" s="966"/>
      <c r="H1471" s="995"/>
      <c r="I1471" s="966"/>
      <c r="J1471" s="966"/>
      <c r="K1471" s="966"/>
      <c r="L1471" s="966"/>
      <c r="M1471" s="971"/>
    </row>
    <row r="1472" spans="1:13">
      <c r="A1472" s="966"/>
      <c r="B1472" s="966"/>
      <c r="C1472" s="966"/>
      <c r="D1472" s="966"/>
      <c r="E1472" s="966"/>
      <c r="F1472" s="966"/>
      <c r="G1472" s="966"/>
      <c r="H1472" s="995"/>
      <c r="I1472" s="966"/>
      <c r="J1472" s="966"/>
      <c r="K1472" s="966"/>
      <c r="L1472" s="966"/>
      <c r="M1472" s="971"/>
    </row>
    <row r="1473" spans="1:13">
      <c r="A1473" s="966"/>
      <c r="B1473" s="966"/>
      <c r="C1473" s="966"/>
      <c r="D1473" s="966"/>
      <c r="E1473" s="966"/>
      <c r="F1473" s="966"/>
      <c r="G1473" s="966"/>
      <c r="H1473" s="995"/>
      <c r="I1473" s="966"/>
      <c r="J1473" s="966"/>
      <c r="K1473" s="966"/>
      <c r="L1473" s="966"/>
      <c r="M1473" s="971"/>
    </row>
    <row r="1474" spans="1:13">
      <c r="A1474" s="966"/>
      <c r="B1474" s="966"/>
      <c r="C1474" s="966"/>
      <c r="D1474" s="966"/>
      <c r="E1474" s="966"/>
      <c r="F1474" s="966"/>
      <c r="G1474" s="966"/>
      <c r="H1474" s="995"/>
      <c r="I1474" s="966"/>
      <c r="J1474" s="966"/>
      <c r="K1474" s="966"/>
      <c r="L1474" s="966"/>
      <c r="M1474" s="971"/>
    </row>
    <row r="1475" spans="1:13">
      <c r="A1475" s="966"/>
      <c r="B1475" s="966"/>
      <c r="C1475" s="966"/>
      <c r="D1475" s="966"/>
      <c r="E1475" s="966"/>
      <c r="F1475" s="966"/>
      <c r="G1475" s="966"/>
      <c r="H1475" s="995"/>
      <c r="I1475" s="966"/>
      <c r="J1475" s="966"/>
      <c r="K1475" s="966"/>
      <c r="L1475" s="966"/>
      <c r="M1475" s="971"/>
    </row>
    <row r="1476" spans="1:13">
      <c r="A1476" s="966"/>
      <c r="B1476" s="966"/>
      <c r="C1476" s="966"/>
      <c r="D1476" s="966"/>
      <c r="E1476" s="966"/>
      <c r="F1476" s="966"/>
      <c r="G1476" s="966"/>
      <c r="H1476" s="995"/>
      <c r="I1476" s="966"/>
      <c r="J1476" s="966"/>
      <c r="K1476" s="966"/>
      <c r="L1476" s="966"/>
      <c r="M1476" s="971"/>
    </row>
    <row r="1477" spans="1:13">
      <c r="A1477" s="966"/>
      <c r="B1477" s="966"/>
      <c r="C1477" s="966"/>
      <c r="D1477" s="966"/>
      <c r="E1477" s="966"/>
      <c r="F1477" s="966"/>
      <c r="G1477" s="966"/>
      <c r="H1477" s="995"/>
      <c r="I1477" s="966"/>
      <c r="J1477" s="966"/>
      <c r="K1477" s="966"/>
      <c r="L1477" s="966"/>
      <c r="M1477" s="971"/>
    </row>
    <row r="1478" spans="1:13">
      <c r="A1478" s="966"/>
      <c r="B1478" s="966"/>
      <c r="C1478" s="966"/>
      <c r="D1478" s="966"/>
      <c r="E1478" s="966"/>
      <c r="F1478" s="966"/>
      <c r="G1478" s="966"/>
      <c r="H1478" s="995"/>
      <c r="I1478" s="966"/>
      <c r="J1478" s="966"/>
      <c r="K1478" s="966"/>
      <c r="L1478" s="966"/>
      <c r="M1478" s="971"/>
    </row>
    <row r="1479" spans="1:13">
      <c r="A1479" s="966"/>
      <c r="B1479" s="966"/>
      <c r="C1479" s="966"/>
      <c r="D1479" s="966"/>
      <c r="E1479" s="966"/>
      <c r="F1479" s="966"/>
      <c r="G1479" s="966"/>
      <c r="H1479" s="995"/>
      <c r="I1479" s="966"/>
      <c r="J1479" s="966"/>
      <c r="K1479" s="966"/>
      <c r="L1479" s="966"/>
      <c r="M1479" s="971"/>
    </row>
    <row r="1480" spans="1:13">
      <c r="A1480" s="966"/>
      <c r="B1480" s="966"/>
      <c r="C1480" s="966"/>
      <c r="D1480" s="966"/>
      <c r="E1480" s="966"/>
      <c r="F1480" s="966"/>
      <c r="G1480" s="966"/>
      <c r="H1480" s="995"/>
      <c r="I1480" s="966"/>
      <c r="J1480" s="966"/>
      <c r="K1480" s="966"/>
      <c r="L1480" s="966"/>
      <c r="M1480" s="971"/>
    </row>
    <row r="1481" spans="1:13">
      <c r="A1481" s="966"/>
      <c r="B1481" s="966"/>
      <c r="C1481" s="966"/>
      <c r="D1481" s="966"/>
      <c r="E1481" s="966"/>
      <c r="F1481" s="966"/>
      <c r="G1481" s="966"/>
      <c r="H1481" s="995"/>
      <c r="I1481" s="966"/>
      <c r="J1481" s="966"/>
      <c r="K1481" s="966"/>
      <c r="L1481" s="966"/>
      <c r="M1481" s="971"/>
    </row>
    <row r="1482" spans="1:13">
      <c r="A1482" s="966"/>
      <c r="B1482" s="966"/>
      <c r="C1482" s="966"/>
      <c r="D1482" s="966"/>
      <c r="E1482" s="966"/>
      <c r="F1482" s="966"/>
      <c r="G1482" s="966"/>
      <c r="H1482" s="995"/>
      <c r="I1482" s="966"/>
      <c r="J1482" s="966"/>
      <c r="K1482" s="966"/>
      <c r="L1482" s="966"/>
      <c r="M1482" s="971"/>
    </row>
    <row r="1483" spans="1:13">
      <c r="A1483" s="966"/>
      <c r="B1483" s="966"/>
      <c r="C1483" s="966"/>
      <c r="D1483" s="966"/>
      <c r="E1483" s="966"/>
      <c r="F1483" s="966"/>
      <c r="G1483" s="966"/>
      <c r="H1483" s="995"/>
      <c r="I1483" s="966"/>
      <c r="J1483" s="966"/>
      <c r="K1483" s="966"/>
      <c r="L1483" s="966"/>
      <c r="M1483" s="971"/>
    </row>
    <row r="1484" spans="1:13">
      <c r="A1484" s="966"/>
      <c r="B1484" s="966"/>
      <c r="C1484" s="966"/>
      <c r="D1484" s="966"/>
      <c r="E1484" s="966"/>
      <c r="F1484" s="966"/>
      <c r="G1484" s="966"/>
      <c r="H1484" s="995"/>
      <c r="I1484" s="966"/>
      <c r="J1484" s="966"/>
      <c r="K1484" s="966"/>
      <c r="L1484" s="966"/>
      <c r="M1484" s="971"/>
    </row>
    <row r="1485" spans="1:13">
      <c r="A1485" s="966"/>
      <c r="B1485" s="966"/>
      <c r="C1485" s="966"/>
      <c r="D1485" s="966"/>
      <c r="E1485" s="966"/>
      <c r="F1485" s="966"/>
      <c r="G1485" s="966"/>
      <c r="H1485" s="995"/>
      <c r="I1485" s="966"/>
      <c r="J1485" s="966"/>
      <c r="K1485" s="966"/>
      <c r="L1485" s="966"/>
      <c r="M1485" s="971"/>
    </row>
    <row r="1486" spans="1:13">
      <c r="A1486" s="966"/>
      <c r="B1486" s="966"/>
      <c r="C1486" s="966"/>
      <c r="D1486" s="966"/>
      <c r="E1486" s="966"/>
      <c r="F1486" s="966"/>
      <c r="G1486" s="966"/>
      <c r="H1486" s="995"/>
      <c r="I1486" s="966"/>
      <c r="J1486" s="966"/>
      <c r="K1486" s="966"/>
      <c r="L1486" s="966"/>
      <c r="M1486" s="971"/>
    </row>
    <row r="1487" spans="1:13">
      <c r="A1487" s="966"/>
      <c r="B1487" s="966"/>
      <c r="C1487" s="966"/>
      <c r="D1487" s="966"/>
      <c r="E1487" s="966"/>
      <c r="F1487" s="966"/>
      <c r="G1487" s="966"/>
      <c r="H1487" s="995"/>
      <c r="I1487" s="966"/>
      <c r="J1487" s="966"/>
      <c r="K1487" s="966"/>
      <c r="L1487" s="966"/>
      <c r="M1487" s="971"/>
    </row>
    <row r="1488" spans="1:13">
      <c r="A1488" s="966"/>
      <c r="B1488" s="966"/>
      <c r="C1488" s="966"/>
      <c r="D1488" s="966"/>
      <c r="E1488" s="966"/>
      <c r="F1488" s="966"/>
      <c r="G1488" s="966"/>
      <c r="H1488" s="995"/>
      <c r="I1488" s="966"/>
      <c r="J1488" s="966"/>
      <c r="K1488" s="966"/>
      <c r="L1488" s="966"/>
      <c r="M1488" s="971"/>
    </row>
    <row r="1489" spans="1:13">
      <c r="A1489" s="966"/>
      <c r="B1489" s="966"/>
      <c r="C1489" s="966"/>
      <c r="D1489" s="966"/>
      <c r="E1489" s="966"/>
      <c r="F1489" s="966"/>
      <c r="G1489" s="966"/>
      <c r="H1489" s="995"/>
      <c r="I1489" s="966"/>
      <c r="J1489" s="966"/>
      <c r="K1489" s="966"/>
      <c r="L1489" s="966"/>
      <c r="M1489" s="971"/>
    </row>
    <row r="1490" spans="1:13">
      <c r="A1490" s="966"/>
      <c r="B1490" s="966"/>
      <c r="C1490" s="966"/>
      <c r="D1490" s="966"/>
      <c r="E1490" s="966"/>
      <c r="F1490" s="966"/>
      <c r="G1490" s="966"/>
      <c r="H1490" s="995"/>
      <c r="I1490" s="966"/>
      <c r="J1490" s="966"/>
      <c r="K1490" s="966"/>
      <c r="L1490" s="966"/>
      <c r="M1490" s="971"/>
    </row>
    <row r="1491" spans="1:13">
      <c r="A1491" s="966"/>
      <c r="B1491" s="966"/>
      <c r="C1491" s="966"/>
      <c r="D1491" s="966"/>
      <c r="E1491" s="966"/>
      <c r="F1491" s="966"/>
      <c r="G1491" s="966"/>
      <c r="H1491" s="995"/>
      <c r="I1491" s="966"/>
      <c r="J1491" s="966"/>
      <c r="K1491" s="966"/>
      <c r="L1491" s="966"/>
      <c r="M1491" s="971"/>
    </row>
    <row r="1492" spans="1:13">
      <c r="A1492" s="966"/>
      <c r="B1492" s="966"/>
      <c r="C1492" s="966"/>
      <c r="D1492" s="966"/>
      <c r="E1492" s="966"/>
      <c r="F1492" s="966"/>
      <c r="G1492" s="966"/>
      <c r="H1492" s="995"/>
      <c r="I1492" s="966"/>
      <c r="J1492" s="966"/>
      <c r="K1492" s="966"/>
      <c r="L1492" s="966"/>
      <c r="M1492" s="971"/>
    </row>
    <row r="1493" spans="1:13">
      <c r="A1493" s="966"/>
      <c r="B1493" s="966"/>
      <c r="C1493" s="966"/>
      <c r="D1493" s="966"/>
      <c r="E1493" s="966"/>
      <c r="F1493" s="966"/>
      <c r="G1493" s="966"/>
      <c r="H1493" s="995"/>
      <c r="I1493" s="966"/>
      <c r="J1493" s="966"/>
      <c r="K1493" s="966"/>
      <c r="L1493" s="966"/>
      <c r="M1493" s="971"/>
    </row>
    <row r="1494" spans="1:13">
      <c r="A1494" s="966"/>
      <c r="B1494" s="966"/>
      <c r="C1494" s="966"/>
      <c r="D1494" s="966"/>
      <c r="E1494" s="966"/>
      <c r="F1494" s="966"/>
      <c r="G1494" s="966"/>
      <c r="H1494" s="995"/>
      <c r="I1494" s="966"/>
      <c r="J1494" s="966"/>
      <c r="K1494" s="966"/>
      <c r="L1494" s="966"/>
      <c r="M1494" s="971"/>
    </row>
    <row r="1495" spans="1:13">
      <c r="A1495" s="966"/>
      <c r="B1495" s="966"/>
      <c r="C1495" s="966"/>
      <c r="D1495" s="966"/>
      <c r="E1495" s="966"/>
      <c r="F1495" s="966"/>
      <c r="G1495" s="966"/>
      <c r="H1495" s="995"/>
      <c r="I1495" s="966"/>
      <c r="J1495" s="966"/>
      <c r="K1495" s="966"/>
      <c r="L1495" s="966"/>
      <c r="M1495" s="971"/>
    </row>
    <row r="1496" spans="1:13">
      <c r="A1496" s="966"/>
      <c r="B1496" s="966"/>
      <c r="C1496" s="966"/>
      <c r="D1496" s="966"/>
      <c r="E1496" s="966"/>
      <c r="F1496" s="966"/>
      <c r="G1496" s="966"/>
      <c r="H1496" s="995"/>
      <c r="I1496" s="966"/>
      <c r="J1496" s="966"/>
      <c r="K1496" s="966"/>
      <c r="L1496" s="966"/>
      <c r="M1496" s="971"/>
    </row>
    <row r="1497" spans="1:13">
      <c r="A1497" s="966"/>
      <c r="B1497" s="966"/>
      <c r="C1497" s="966"/>
      <c r="D1497" s="966"/>
      <c r="E1497" s="966"/>
      <c r="F1497" s="966"/>
      <c r="G1497" s="966"/>
      <c r="H1497" s="995"/>
      <c r="I1497" s="966"/>
      <c r="J1497" s="966"/>
      <c r="K1497" s="966"/>
      <c r="L1497" s="966"/>
      <c r="M1497" s="971"/>
    </row>
    <row r="1498" spans="1:13">
      <c r="A1498" s="966"/>
      <c r="B1498" s="966"/>
      <c r="C1498" s="966"/>
      <c r="D1498" s="966"/>
      <c r="E1498" s="966"/>
      <c r="F1498" s="966"/>
      <c r="G1498" s="966"/>
      <c r="H1498" s="995"/>
      <c r="I1498" s="966"/>
      <c r="J1498" s="966"/>
      <c r="K1498" s="966"/>
      <c r="L1498" s="966"/>
      <c r="M1498" s="971"/>
    </row>
    <row r="1499" spans="1:13">
      <c r="A1499" s="966"/>
      <c r="B1499" s="966"/>
      <c r="C1499" s="966"/>
      <c r="D1499" s="966"/>
      <c r="E1499" s="966"/>
      <c r="F1499" s="966"/>
      <c r="G1499" s="966"/>
      <c r="H1499" s="995"/>
      <c r="I1499" s="966"/>
      <c r="J1499" s="966"/>
      <c r="K1499" s="966"/>
      <c r="L1499" s="966"/>
      <c r="M1499" s="971"/>
    </row>
    <row r="1500" spans="1:13">
      <c r="A1500" s="966"/>
      <c r="B1500" s="966"/>
      <c r="C1500" s="966"/>
      <c r="D1500" s="966"/>
      <c r="E1500" s="966"/>
      <c r="F1500" s="966"/>
      <c r="G1500" s="966"/>
      <c r="H1500" s="995"/>
      <c r="I1500" s="966"/>
      <c r="J1500" s="966"/>
      <c r="K1500" s="966"/>
      <c r="L1500" s="966"/>
      <c r="M1500" s="971"/>
    </row>
    <row r="1501" spans="1:13">
      <c r="A1501" s="966"/>
      <c r="B1501" s="966"/>
      <c r="C1501" s="966"/>
      <c r="D1501" s="966"/>
      <c r="E1501" s="966"/>
      <c r="F1501" s="966"/>
      <c r="G1501" s="966"/>
      <c r="H1501" s="995"/>
      <c r="I1501" s="966"/>
      <c r="J1501" s="966"/>
      <c r="K1501" s="966"/>
      <c r="L1501" s="966"/>
      <c r="M1501" s="971"/>
    </row>
    <row r="1502" spans="1:13">
      <c r="A1502" s="966"/>
      <c r="B1502" s="966"/>
      <c r="C1502" s="966"/>
      <c r="D1502" s="966"/>
      <c r="E1502" s="966"/>
      <c r="F1502" s="966"/>
      <c r="G1502" s="966"/>
      <c r="H1502" s="995"/>
      <c r="I1502" s="966"/>
      <c r="J1502" s="966"/>
      <c r="K1502" s="966"/>
      <c r="L1502" s="966"/>
      <c r="M1502" s="971"/>
    </row>
    <row r="1503" spans="1:13">
      <c r="A1503" s="966"/>
      <c r="B1503" s="966"/>
      <c r="C1503" s="966"/>
      <c r="D1503" s="966"/>
      <c r="E1503" s="966"/>
      <c r="F1503" s="966"/>
      <c r="G1503" s="966"/>
      <c r="H1503" s="995"/>
      <c r="I1503" s="966"/>
      <c r="J1503" s="966"/>
      <c r="K1503" s="966"/>
      <c r="L1503" s="966"/>
      <c r="M1503" s="971"/>
    </row>
    <row r="1504" spans="1:13">
      <c r="A1504" s="966"/>
      <c r="B1504" s="966"/>
      <c r="C1504" s="966"/>
      <c r="D1504" s="966"/>
      <c r="E1504" s="966"/>
      <c r="F1504" s="966"/>
      <c r="G1504" s="966"/>
      <c r="H1504" s="995"/>
      <c r="I1504" s="966"/>
      <c r="J1504" s="966"/>
      <c r="K1504" s="966"/>
      <c r="L1504" s="966"/>
      <c r="M1504" s="971"/>
    </row>
    <row r="1505" spans="1:13">
      <c r="A1505" s="966"/>
      <c r="B1505" s="966"/>
      <c r="C1505" s="966"/>
      <c r="D1505" s="966"/>
      <c r="E1505" s="966"/>
      <c r="F1505" s="966"/>
      <c r="G1505" s="966"/>
      <c r="H1505" s="995"/>
      <c r="I1505" s="966"/>
      <c r="J1505" s="966"/>
      <c r="K1505" s="966"/>
      <c r="L1505" s="966"/>
      <c r="M1505" s="971"/>
    </row>
    <row r="1506" spans="1:13">
      <c r="A1506" s="966"/>
      <c r="B1506" s="966"/>
      <c r="C1506" s="966"/>
      <c r="D1506" s="966"/>
      <c r="E1506" s="966"/>
      <c r="F1506" s="966"/>
      <c r="G1506" s="966"/>
      <c r="H1506" s="995"/>
      <c r="I1506" s="966"/>
      <c r="J1506" s="966"/>
      <c r="K1506" s="966"/>
      <c r="L1506" s="966"/>
      <c r="M1506" s="971"/>
    </row>
    <row r="1507" spans="1:13">
      <c r="A1507" s="966"/>
      <c r="B1507" s="966"/>
      <c r="C1507" s="966"/>
      <c r="D1507" s="966"/>
      <c r="E1507" s="966"/>
      <c r="F1507" s="966"/>
      <c r="G1507" s="966"/>
      <c r="H1507" s="995"/>
      <c r="I1507" s="966"/>
      <c r="J1507" s="966"/>
      <c r="K1507" s="966"/>
      <c r="L1507" s="966"/>
      <c r="M1507" s="971"/>
    </row>
    <row r="1508" spans="1:13">
      <c r="A1508" s="966"/>
      <c r="B1508" s="966"/>
      <c r="C1508" s="966"/>
      <c r="D1508" s="966"/>
      <c r="E1508" s="966"/>
      <c r="F1508" s="966"/>
      <c r="G1508" s="966"/>
      <c r="H1508" s="995"/>
      <c r="I1508" s="966"/>
      <c r="J1508" s="966"/>
      <c r="K1508" s="966"/>
      <c r="L1508" s="966"/>
      <c r="M1508" s="971"/>
    </row>
    <row r="1509" spans="1:13">
      <c r="A1509" s="966"/>
      <c r="B1509" s="966"/>
      <c r="C1509" s="966"/>
      <c r="D1509" s="966"/>
      <c r="E1509" s="966"/>
      <c r="F1509" s="966"/>
      <c r="G1509" s="966"/>
      <c r="H1509" s="995"/>
      <c r="I1509" s="966"/>
      <c r="J1509" s="966"/>
      <c r="K1509" s="966"/>
      <c r="L1509" s="966"/>
      <c r="M1509" s="971"/>
    </row>
    <row r="1510" spans="1:13">
      <c r="A1510" s="966"/>
      <c r="B1510" s="966"/>
      <c r="C1510" s="966"/>
      <c r="D1510" s="966"/>
      <c r="E1510" s="966"/>
      <c r="F1510" s="966"/>
      <c r="G1510" s="966"/>
      <c r="H1510" s="995"/>
      <c r="I1510" s="966"/>
      <c r="J1510" s="966"/>
      <c r="K1510" s="966"/>
      <c r="L1510" s="966"/>
      <c r="M1510" s="971"/>
    </row>
    <row r="1511" spans="1:13">
      <c r="A1511" s="966"/>
      <c r="B1511" s="966"/>
      <c r="C1511" s="966"/>
      <c r="D1511" s="966"/>
      <c r="E1511" s="966"/>
      <c r="F1511" s="966"/>
      <c r="G1511" s="966"/>
      <c r="H1511" s="995"/>
      <c r="I1511" s="966"/>
      <c r="J1511" s="966"/>
      <c r="K1511" s="966"/>
      <c r="L1511" s="966"/>
      <c r="M1511" s="971"/>
    </row>
    <row r="1512" spans="1:13">
      <c r="A1512" s="966"/>
      <c r="B1512" s="966"/>
      <c r="C1512" s="966"/>
      <c r="D1512" s="966"/>
      <c r="E1512" s="966"/>
      <c r="F1512" s="966"/>
      <c r="G1512" s="966"/>
      <c r="H1512" s="995"/>
      <c r="I1512" s="966"/>
      <c r="J1512" s="966"/>
      <c r="K1512" s="966"/>
      <c r="L1512" s="966"/>
      <c r="M1512" s="971"/>
    </row>
    <row r="1513" spans="1:13">
      <c r="A1513" s="966"/>
      <c r="B1513" s="966"/>
      <c r="C1513" s="966"/>
      <c r="D1513" s="966"/>
      <c r="E1513" s="966"/>
      <c r="F1513" s="966"/>
      <c r="G1513" s="966"/>
      <c r="H1513" s="995"/>
      <c r="I1513" s="966"/>
      <c r="J1513" s="966"/>
      <c r="K1513" s="966"/>
      <c r="L1513" s="966"/>
      <c r="M1513" s="971"/>
    </row>
    <row r="1514" spans="1:13">
      <c r="A1514" s="966"/>
      <c r="B1514" s="966"/>
      <c r="C1514" s="966"/>
      <c r="D1514" s="966"/>
      <c r="E1514" s="966"/>
      <c r="F1514" s="966"/>
      <c r="G1514" s="966"/>
      <c r="H1514" s="995"/>
      <c r="I1514" s="966"/>
      <c r="J1514" s="966"/>
      <c r="K1514" s="966"/>
      <c r="L1514" s="966"/>
      <c r="M1514" s="971"/>
    </row>
    <row r="1515" spans="1:13">
      <c r="A1515" s="966"/>
      <c r="B1515" s="966"/>
      <c r="C1515" s="966"/>
      <c r="D1515" s="966"/>
      <c r="E1515" s="966"/>
      <c r="F1515" s="966"/>
      <c r="G1515" s="966"/>
      <c r="H1515" s="995"/>
      <c r="I1515" s="966"/>
      <c r="J1515" s="966"/>
      <c r="K1515" s="966"/>
      <c r="L1515" s="966"/>
      <c r="M1515" s="971"/>
    </row>
    <row r="1516" spans="1:13">
      <c r="A1516" s="966"/>
      <c r="B1516" s="966"/>
      <c r="C1516" s="966"/>
      <c r="D1516" s="966"/>
      <c r="E1516" s="966"/>
      <c r="F1516" s="966"/>
      <c r="G1516" s="966"/>
      <c r="H1516" s="995"/>
      <c r="I1516" s="966"/>
      <c r="J1516" s="966"/>
      <c r="K1516" s="966"/>
      <c r="L1516" s="966"/>
      <c r="M1516" s="971"/>
    </row>
    <row r="1517" spans="1:13">
      <c r="A1517" s="966"/>
      <c r="B1517" s="966"/>
      <c r="C1517" s="966"/>
      <c r="D1517" s="966"/>
      <c r="E1517" s="966"/>
      <c r="F1517" s="966"/>
      <c r="G1517" s="966"/>
      <c r="H1517" s="995"/>
      <c r="I1517" s="966"/>
      <c r="J1517" s="966"/>
      <c r="K1517" s="966"/>
      <c r="L1517" s="966"/>
      <c r="M1517" s="971"/>
    </row>
    <row r="1518" spans="1:13">
      <c r="A1518" s="966"/>
      <c r="B1518" s="966"/>
      <c r="C1518" s="966"/>
      <c r="D1518" s="966"/>
      <c r="E1518" s="966"/>
      <c r="F1518" s="966"/>
      <c r="G1518" s="966"/>
      <c r="H1518" s="995"/>
      <c r="I1518" s="966"/>
      <c r="J1518" s="966"/>
      <c r="K1518" s="966"/>
      <c r="L1518" s="966"/>
      <c r="M1518" s="971"/>
    </row>
    <row r="1519" spans="1:13">
      <c r="A1519" s="966"/>
      <c r="B1519" s="966"/>
      <c r="C1519" s="966"/>
      <c r="D1519" s="966"/>
      <c r="E1519" s="966"/>
      <c r="F1519" s="966"/>
      <c r="G1519" s="966"/>
      <c r="H1519" s="995"/>
      <c r="I1519" s="966"/>
      <c r="J1519" s="966"/>
      <c r="K1519" s="966"/>
      <c r="L1519" s="966"/>
      <c r="M1519" s="971"/>
    </row>
    <row r="1520" spans="1:13">
      <c r="A1520" s="966"/>
      <c r="B1520" s="966"/>
      <c r="C1520" s="966"/>
      <c r="D1520" s="966"/>
      <c r="E1520" s="966"/>
      <c r="F1520" s="966"/>
      <c r="G1520" s="966"/>
      <c r="H1520" s="995"/>
      <c r="I1520" s="966"/>
      <c r="J1520" s="966"/>
      <c r="K1520" s="966"/>
      <c r="L1520" s="966"/>
      <c r="M1520" s="971"/>
    </row>
    <row r="1521" spans="1:13">
      <c r="A1521" s="966"/>
      <c r="B1521" s="966"/>
      <c r="C1521" s="966"/>
      <c r="D1521" s="966"/>
      <c r="E1521" s="966"/>
      <c r="F1521" s="966"/>
      <c r="G1521" s="966"/>
      <c r="H1521" s="995"/>
      <c r="I1521" s="966"/>
      <c r="J1521" s="966"/>
      <c r="K1521" s="966"/>
      <c r="L1521" s="966"/>
      <c r="M1521" s="971"/>
    </row>
    <row r="1522" spans="1:13">
      <c r="A1522" s="966"/>
      <c r="B1522" s="966"/>
      <c r="C1522" s="966"/>
      <c r="D1522" s="966"/>
      <c r="E1522" s="966"/>
      <c r="F1522" s="966"/>
      <c r="G1522" s="966"/>
      <c r="H1522" s="995"/>
      <c r="I1522" s="966"/>
      <c r="J1522" s="966"/>
      <c r="K1522" s="966"/>
      <c r="L1522" s="966"/>
      <c r="M1522" s="971"/>
    </row>
    <row r="1523" spans="1:13">
      <c r="A1523" s="966"/>
      <c r="B1523" s="966"/>
      <c r="C1523" s="966"/>
      <c r="D1523" s="966"/>
      <c r="E1523" s="966"/>
      <c r="F1523" s="966"/>
      <c r="G1523" s="966"/>
      <c r="H1523" s="995"/>
      <c r="I1523" s="966"/>
      <c r="J1523" s="966"/>
      <c r="K1523" s="966"/>
      <c r="L1523" s="966"/>
      <c r="M1523" s="971"/>
    </row>
    <row r="1524" spans="1:13">
      <c r="A1524" s="966"/>
      <c r="B1524" s="966"/>
      <c r="C1524" s="966"/>
      <c r="D1524" s="966"/>
      <c r="E1524" s="966"/>
      <c r="F1524" s="966"/>
      <c r="G1524" s="966"/>
      <c r="H1524" s="995"/>
      <c r="I1524" s="966"/>
      <c r="J1524" s="966"/>
      <c r="K1524" s="966"/>
      <c r="L1524" s="966"/>
      <c r="M1524" s="971"/>
    </row>
    <row r="1525" spans="1:13">
      <c r="A1525" s="966"/>
      <c r="B1525" s="966"/>
      <c r="C1525" s="966"/>
      <c r="D1525" s="966"/>
      <c r="E1525" s="966"/>
      <c r="F1525" s="966"/>
      <c r="G1525" s="966"/>
      <c r="H1525" s="995"/>
      <c r="I1525" s="966"/>
      <c r="J1525" s="966"/>
      <c r="K1525" s="966"/>
      <c r="L1525" s="966"/>
      <c r="M1525" s="971"/>
    </row>
    <row r="1526" spans="1:13">
      <c r="A1526" s="966"/>
      <c r="B1526" s="966"/>
      <c r="C1526" s="966"/>
      <c r="D1526" s="966"/>
      <c r="E1526" s="966"/>
      <c r="F1526" s="966"/>
      <c r="G1526" s="966"/>
      <c r="H1526" s="995"/>
      <c r="I1526" s="966"/>
      <c r="J1526" s="966"/>
      <c r="K1526" s="966"/>
      <c r="L1526" s="966"/>
      <c r="M1526" s="971"/>
    </row>
    <row r="1527" spans="1:13">
      <c r="A1527" s="966"/>
      <c r="B1527" s="966"/>
      <c r="C1527" s="966"/>
      <c r="D1527" s="966"/>
      <c r="E1527" s="966"/>
      <c r="F1527" s="966"/>
      <c r="G1527" s="966"/>
      <c r="H1527" s="995"/>
      <c r="I1527" s="966"/>
      <c r="J1527" s="966"/>
      <c r="K1527" s="966"/>
      <c r="L1527" s="966"/>
      <c r="M1527" s="971"/>
    </row>
    <row r="1528" spans="1:13">
      <c r="A1528" s="966"/>
      <c r="B1528" s="966"/>
      <c r="C1528" s="966"/>
      <c r="D1528" s="966"/>
      <c r="E1528" s="966"/>
      <c r="F1528" s="966"/>
      <c r="G1528" s="966"/>
      <c r="H1528" s="995"/>
      <c r="I1528" s="966"/>
      <c r="J1528" s="966"/>
      <c r="K1528" s="966"/>
      <c r="L1528" s="966"/>
      <c r="M1528" s="971"/>
    </row>
    <row r="1529" spans="1:13">
      <c r="A1529" s="966"/>
      <c r="B1529" s="966"/>
      <c r="C1529" s="966"/>
      <c r="D1529" s="966"/>
      <c r="E1529" s="966"/>
      <c r="F1529" s="966"/>
      <c r="G1529" s="966"/>
      <c r="H1529" s="995"/>
      <c r="I1529" s="966"/>
      <c r="J1529" s="966"/>
      <c r="K1529" s="966"/>
      <c r="L1529" s="966"/>
      <c r="M1529" s="971"/>
    </row>
    <row r="1530" spans="1:13">
      <c r="A1530" s="966"/>
      <c r="B1530" s="966"/>
      <c r="C1530" s="966"/>
      <c r="D1530" s="966"/>
      <c r="E1530" s="966"/>
      <c r="F1530" s="966"/>
      <c r="G1530" s="966"/>
      <c r="H1530" s="995"/>
      <c r="I1530" s="966"/>
      <c r="J1530" s="966"/>
      <c r="K1530" s="966"/>
      <c r="L1530" s="966"/>
      <c r="M1530" s="971"/>
    </row>
    <row r="1531" spans="1:13">
      <c r="A1531" s="966"/>
      <c r="B1531" s="966"/>
      <c r="C1531" s="966"/>
      <c r="D1531" s="966"/>
      <c r="E1531" s="966"/>
      <c r="F1531" s="966"/>
      <c r="G1531" s="966"/>
      <c r="H1531" s="995"/>
      <c r="I1531" s="966"/>
      <c r="J1531" s="966"/>
      <c r="K1531" s="966"/>
      <c r="L1531" s="966"/>
      <c r="M1531" s="971"/>
    </row>
    <row r="1532" spans="1:13">
      <c r="A1532" s="966"/>
      <c r="B1532" s="966"/>
      <c r="C1532" s="966"/>
      <c r="D1532" s="966"/>
      <c r="E1532" s="966"/>
      <c r="F1532" s="966"/>
      <c r="G1532" s="966"/>
      <c r="H1532" s="995"/>
      <c r="I1532" s="966"/>
      <c r="J1532" s="966"/>
      <c r="K1532" s="966"/>
      <c r="L1532" s="966"/>
      <c r="M1532" s="971"/>
    </row>
    <row r="1533" spans="1:13">
      <c r="A1533" s="966"/>
      <c r="B1533" s="966"/>
      <c r="C1533" s="966"/>
      <c r="D1533" s="966"/>
      <c r="E1533" s="966"/>
      <c r="F1533" s="966"/>
      <c r="G1533" s="966"/>
      <c r="H1533" s="995"/>
      <c r="I1533" s="966"/>
      <c r="J1533" s="966"/>
      <c r="K1533" s="966"/>
      <c r="L1533" s="966"/>
      <c r="M1533" s="971"/>
    </row>
    <row r="1534" spans="1:13">
      <c r="A1534" s="966"/>
      <c r="B1534" s="966"/>
      <c r="C1534" s="966"/>
      <c r="D1534" s="966"/>
      <c r="E1534" s="966"/>
      <c r="F1534" s="966"/>
      <c r="G1534" s="966"/>
      <c r="H1534" s="995"/>
      <c r="I1534" s="966"/>
      <c r="J1534" s="966"/>
      <c r="K1534" s="966"/>
      <c r="L1534" s="966"/>
      <c r="M1534" s="971"/>
    </row>
    <row r="1535" spans="1:13">
      <c r="A1535" s="966"/>
      <c r="B1535" s="966"/>
      <c r="C1535" s="966"/>
      <c r="D1535" s="966"/>
      <c r="E1535" s="966"/>
      <c r="F1535" s="966"/>
      <c r="G1535" s="966"/>
      <c r="H1535" s="995"/>
      <c r="I1535" s="966"/>
      <c r="J1535" s="966"/>
      <c r="K1535" s="966"/>
      <c r="L1535" s="966"/>
      <c r="M1535" s="971"/>
    </row>
    <row r="1536" spans="1:13">
      <c r="A1536" s="966"/>
      <c r="B1536" s="966"/>
      <c r="C1536" s="966"/>
      <c r="D1536" s="966"/>
      <c r="E1536" s="966"/>
      <c r="F1536" s="966"/>
      <c r="G1536" s="966"/>
      <c r="H1536" s="995"/>
      <c r="I1536" s="966"/>
      <c r="J1536" s="966"/>
      <c r="K1536" s="966"/>
      <c r="L1536" s="966"/>
      <c r="M1536" s="971"/>
    </row>
    <row r="1537" spans="1:13">
      <c r="A1537" s="966"/>
      <c r="B1537" s="966"/>
      <c r="C1537" s="966"/>
      <c r="D1537" s="966"/>
      <c r="E1537" s="966"/>
      <c r="F1537" s="966"/>
      <c r="G1537" s="966"/>
      <c r="H1537" s="995"/>
      <c r="I1537" s="966"/>
      <c r="J1537" s="966"/>
      <c r="K1537" s="966"/>
      <c r="L1537" s="966"/>
      <c r="M1537" s="971"/>
    </row>
    <row r="1538" spans="1:13">
      <c r="A1538" s="966"/>
      <c r="B1538" s="966"/>
      <c r="C1538" s="966"/>
      <c r="D1538" s="966"/>
      <c r="E1538" s="966"/>
      <c r="F1538" s="966"/>
      <c r="G1538" s="966"/>
      <c r="H1538" s="995"/>
      <c r="I1538" s="966"/>
      <c r="J1538" s="966"/>
      <c r="K1538" s="966"/>
      <c r="L1538" s="966"/>
      <c r="M1538" s="971"/>
    </row>
    <row r="1539" spans="1:13">
      <c r="A1539" s="966"/>
      <c r="B1539" s="966"/>
      <c r="C1539" s="966"/>
      <c r="D1539" s="966"/>
      <c r="E1539" s="966"/>
      <c r="F1539" s="966"/>
      <c r="G1539" s="966"/>
      <c r="H1539" s="995"/>
      <c r="I1539" s="966"/>
      <c r="J1539" s="966"/>
      <c r="K1539" s="966"/>
      <c r="L1539" s="966"/>
      <c r="M1539" s="971"/>
    </row>
    <row r="1540" spans="1:13">
      <c r="A1540" s="966"/>
      <c r="B1540" s="966"/>
      <c r="C1540" s="966"/>
      <c r="D1540" s="966"/>
      <c r="E1540" s="966"/>
      <c r="F1540" s="966"/>
      <c r="G1540" s="966"/>
      <c r="H1540" s="995"/>
      <c r="I1540" s="966"/>
      <c r="J1540" s="966"/>
      <c r="K1540" s="966"/>
      <c r="L1540" s="966"/>
      <c r="M1540" s="971"/>
    </row>
    <row r="1541" spans="1:13">
      <c r="A1541" s="966"/>
      <c r="B1541" s="966"/>
      <c r="C1541" s="966"/>
      <c r="D1541" s="966"/>
      <c r="E1541" s="966"/>
      <c r="F1541" s="966"/>
      <c r="G1541" s="966"/>
      <c r="H1541" s="995"/>
      <c r="I1541" s="966"/>
      <c r="J1541" s="966"/>
      <c r="K1541" s="966"/>
      <c r="L1541" s="966"/>
      <c r="M1541" s="971"/>
    </row>
    <row r="1542" spans="1:13">
      <c r="A1542" s="966"/>
      <c r="B1542" s="966"/>
      <c r="C1542" s="966"/>
      <c r="D1542" s="966"/>
      <c r="E1542" s="966"/>
      <c r="F1542" s="966"/>
      <c r="G1542" s="966"/>
      <c r="H1542" s="995"/>
      <c r="I1542" s="966"/>
      <c r="J1542" s="966"/>
      <c r="K1542" s="966"/>
      <c r="L1542" s="966"/>
      <c r="M1542" s="971"/>
    </row>
    <row r="1543" spans="1:13">
      <c r="A1543" s="966"/>
      <c r="B1543" s="966"/>
      <c r="C1543" s="966"/>
      <c r="D1543" s="966"/>
      <c r="E1543" s="966"/>
      <c r="F1543" s="966"/>
      <c r="G1543" s="966"/>
      <c r="H1543" s="995"/>
      <c r="I1543" s="966"/>
      <c r="J1543" s="966"/>
      <c r="K1543" s="966"/>
      <c r="L1543" s="966"/>
      <c r="M1543" s="971"/>
    </row>
    <row r="1544" spans="1:13">
      <c r="A1544" s="966"/>
      <c r="B1544" s="966"/>
      <c r="C1544" s="966"/>
      <c r="D1544" s="966"/>
      <c r="E1544" s="966"/>
      <c r="F1544" s="966"/>
      <c r="G1544" s="966"/>
      <c r="H1544" s="995"/>
      <c r="I1544" s="966"/>
      <c r="J1544" s="966"/>
      <c r="K1544" s="966"/>
      <c r="L1544" s="966"/>
      <c r="M1544" s="971"/>
    </row>
    <row r="1545" spans="1:13">
      <c r="A1545" s="966"/>
      <c r="B1545" s="966"/>
      <c r="C1545" s="966"/>
      <c r="D1545" s="966"/>
      <c r="E1545" s="966"/>
      <c r="F1545" s="966"/>
      <c r="G1545" s="966"/>
      <c r="H1545" s="995"/>
      <c r="I1545" s="966"/>
      <c r="J1545" s="966"/>
      <c r="K1545" s="966"/>
      <c r="L1545" s="966"/>
      <c r="M1545" s="971"/>
    </row>
    <row r="1546" spans="1:13">
      <c r="A1546" s="966"/>
      <c r="B1546" s="966"/>
      <c r="C1546" s="966"/>
      <c r="D1546" s="966"/>
      <c r="E1546" s="966"/>
      <c r="F1546" s="966"/>
      <c r="G1546" s="966"/>
      <c r="H1546" s="995"/>
      <c r="I1546" s="966"/>
      <c r="J1546" s="966"/>
      <c r="K1546" s="966"/>
      <c r="L1546" s="966"/>
      <c r="M1546" s="971"/>
    </row>
    <row r="1547" spans="1:13">
      <c r="A1547" s="966"/>
      <c r="B1547" s="966"/>
      <c r="C1547" s="966"/>
      <c r="D1547" s="966"/>
      <c r="E1547" s="966"/>
      <c r="F1547" s="966"/>
      <c r="G1547" s="966"/>
      <c r="H1547" s="995"/>
      <c r="I1547" s="966"/>
      <c r="J1547" s="966"/>
      <c r="K1547" s="966"/>
      <c r="L1547" s="966"/>
      <c r="M1547" s="971"/>
    </row>
    <row r="1548" spans="1:13">
      <c r="A1548" s="966"/>
      <c r="B1548" s="966"/>
      <c r="C1548" s="966"/>
      <c r="D1548" s="966"/>
      <c r="E1548" s="966"/>
      <c r="F1548" s="966"/>
      <c r="G1548" s="966"/>
      <c r="H1548" s="995"/>
      <c r="I1548" s="966"/>
      <c r="J1548" s="966"/>
      <c r="K1548" s="966"/>
      <c r="L1548" s="966"/>
      <c r="M1548" s="971"/>
    </row>
    <row r="1549" spans="1:13">
      <c r="A1549" s="966"/>
      <c r="B1549" s="966"/>
      <c r="C1549" s="966"/>
      <c r="D1549" s="966"/>
      <c r="E1549" s="966"/>
      <c r="F1549" s="966"/>
      <c r="G1549" s="966"/>
      <c r="H1549" s="995"/>
      <c r="I1549" s="966"/>
      <c r="J1549" s="966"/>
      <c r="K1549" s="966"/>
      <c r="L1549" s="966"/>
      <c r="M1549" s="971"/>
    </row>
    <row r="1550" spans="1:13">
      <c r="A1550" s="966"/>
      <c r="B1550" s="966"/>
      <c r="C1550" s="966"/>
      <c r="D1550" s="966"/>
      <c r="E1550" s="966"/>
      <c r="F1550" s="966"/>
      <c r="G1550" s="966"/>
      <c r="H1550" s="995"/>
      <c r="I1550" s="966"/>
      <c r="J1550" s="966"/>
      <c r="K1550" s="966"/>
      <c r="L1550" s="966"/>
      <c r="M1550" s="971"/>
    </row>
    <row r="1551" spans="1:13">
      <c r="A1551" s="966"/>
      <c r="B1551" s="966"/>
      <c r="C1551" s="966"/>
      <c r="D1551" s="966"/>
      <c r="E1551" s="966"/>
      <c r="F1551" s="966"/>
      <c r="G1551" s="966"/>
      <c r="H1551" s="995"/>
      <c r="I1551" s="966"/>
      <c r="J1551" s="966"/>
      <c r="K1551" s="966"/>
      <c r="L1551" s="966"/>
      <c r="M1551" s="971"/>
    </row>
    <row r="1552" spans="1:13">
      <c r="A1552" s="966"/>
      <c r="B1552" s="966"/>
      <c r="C1552" s="966"/>
      <c r="D1552" s="966"/>
      <c r="E1552" s="966"/>
      <c r="F1552" s="966"/>
      <c r="G1552" s="966"/>
      <c r="H1552" s="995"/>
      <c r="I1552" s="966"/>
      <c r="J1552" s="966"/>
      <c r="K1552" s="966"/>
      <c r="L1552" s="966"/>
      <c r="M1552" s="971"/>
    </row>
    <row r="1553" spans="1:13">
      <c r="A1553" s="966"/>
      <c r="B1553" s="966"/>
      <c r="C1553" s="966"/>
      <c r="D1553" s="966"/>
      <c r="E1553" s="966"/>
      <c r="F1553" s="966"/>
      <c r="G1553" s="966"/>
      <c r="H1553" s="995"/>
      <c r="I1553" s="966"/>
      <c r="J1553" s="966"/>
      <c r="K1553" s="966"/>
      <c r="L1553" s="966"/>
      <c r="M1553" s="971"/>
    </row>
    <row r="1554" spans="1:13">
      <c r="A1554" s="966"/>
      <c r="B1554" s="966"/>
      <c r="C1554" s="966"/>
      <c r="D1554" s="966"/>
      <c r="E1554" s="966"/>
      <c r="F1554" s="966"/>
      <c r="G1554" s="966"/>
      <c r="H1554" s="995"/>
      <c r="I1554" s="966"/>
      <c r="J1554" s="966"/>
      <c r="K1554" s="966"/>
      <c r="L1554" s="966"/>
      <c r="M1554" s="971"/>
    </row>
    <row r="1555" spans="1:13">
      <c r="A1555" s="966"/>
      <c r="B1555" s="966"/>
      <c r="C1555" s="966"/>
      <c r="D1555" s="966"/>
      <c r="E1555" s="966"/>
      <c r="F1555" s="966"/>
      <c r="G1555" s="966"/>
      <c r="H1555" s="995"/>
      <c r="I1555" s="966"/>
      <c r="J1555" s="966"/>
      <c r="K1555" s="966"/>
      <c r="L1555" s="966"/>
      <c r="M1555" s="971"/>
    </row>
    <row r="1556" spans="1:13">
      <c r="A1556" s="966"/>
      <c r="B1556" s="966"/>
      <c r="C1556" s="966"/>
      <c r="D1556" s="966"/>
      <c r="E1556" s="966"/>
      <c r="F1556" s="966"/>
      <c r="G1556" s="966"/>
      <c r="H1556" s="995"/>
      <c r="I1556" s="966"/>
      <c r="J1556" s="966"/>
      <c r="K1556" s="966"/>
      <c r="L1556" s="966"/>
      <c r="M1556" s="971"/>
    </row>
    <row r="1557" spans="1:13">
      <c r="A1557" s="966"/>
      <c r="B1557" s="966"/>
      <c r="C1557" s="966"/>
      <c r="D1557" s="966"/>
      <c r="E1557" s="966"/>
      <c r="F1557" s="966"/>
      <c r="G1557" s="966"/>
      <c r="H1557" s="995"/>
      <c r="I1557" s="966"/>
      <c r="J1557" s="966"/>
      <c r="K1557" s="966"/>
      <c r="L1557" s="966"/>
      <c r="M1557" s="971"/>
    </row>
    <row r="1558" spans="1:13">
      <c r="A1558" s="966"/>
      <c r="B1558" s="966"/>
      <c r="C1558" s="966"/>
      <c r="D1558" s="966"/>
      <c r="E1558" s="966"/>
      <c r="F1558" s="966"/>
      <c r="G1558" s="966"/>
      <c r="H1558" s="995"/>
      <c r="I1558" s="966"/>
      <c r="J1558" s="966"/>
      <c r="K1558" s="966"/>
      <c r="L1558" s="966"/>
      <c r="M1558" s="971"/>
    </row>
    <row r="1559" spans="1:13">
      <c r="A1559" s="966"/>
      <c r="B1559" s="966"/>
      <c r="C1559" s="966"/>
      <c r="D1559" s="966"/>
      <c r="E1559" s="966"/>
      <c r="F1559" s="966"/>
      <c r="G1559" s="966"/>
      <c r="H1559" s="995"/>
      <c r="I1559" s="966"/>
      <c r="J1559" s="966"/>
      <c r="K1559" s="966"/>
      <c r="L1559" s="966"/>
      <c r="M1559" s="971"/>
    </row>
    <row r="1560" spans="1:13">
      <c r="A1560" s="966"/>
      <c r="B1560" s="966"/>
      <c r="C1560" s="966"/>
      <c r="D1560" s="966"/>
      <c r="E1560" s="966"/>
      <c r="F1560" s="966"/>
      <c r="G1560" s="966"/>
      <c r="H1560" s="995"/>
      <c r="I1560" s="966"/>
      <c r="J1560" s="966"/>
      <c r="K1560" s="966"/>
      <c r="L1560" s="966"/>
      <c r="M1560" s="971"/>
    </row>
    <row r="1561" spans="1:13">
      <c r="A1561" s="966"/>
      <c r="B1561" s="966"/>
      <c r="C1561" s="966"/>
      <c r="D1561" s="966"/>
      <c r="E1561" s="966"/>
      <c r="F1561" s="966"/>
      <c r="G1561" s="966"/>
      <c r="H1561" s="995"/>
      <c r="I1561" s="966"/>
      <c r="J1561" s="966"/>
      <c r="K1561" s="966"/>
      <c r="L1561" s="966"/>
      <c r="M1561" s="971"/>
    </row>
    <row r="1562" spans="1:13">
      <c r="A1562" s="966"/>
      <c r="B1562" s="966"/>
      <c r="C1562" s="966"/>
      <c r="D1562" s="966"/>
      <c r="E1562" s="966"/>
      <c r="F1562" s="966"/>
      <c r="G1562" s="966"/>
      <c r="H1562" s="995"/>
      <c r="I1562" s="966"/>
      <c r="J1562" s="966"/>
      <c r="K1562" s="966"/>
      <c r="L1562" s="966"/>
      <c r="M1562" s="971"/>
    </row>
    <row r="1563" spans="1:13">
      <c r="A1563" s="966"/>
      <c r="B1563" s="966"/>
      <c r="C1563" s="966"/>
      <c r="D1563" s="966"/>
      <c r="E1563" s="966"/>
      <c r="F1563" s="966"/>
      <c r="G1563" s="966"/>
      <c r="H1563" s="995"/>
      <c r="I1563" s="966"/>
      <c r="J1563" s="966"/>
      <c r="K1563" s="966"/>
      <c r="L1563" s="966"/>
      <c r="M1563" s="971"/>
    </row>
    <row r="1564" spans="1:13">
      <c r="A1564" s="966"/>
      <c r="B1564" s="966"/>
      <c r="C1564" s="966"/>
      <c r="D1564" s="966"/>
      <c r="E1564" s="966"/>
      <c r="F1564" s="966"/>
      <c r="G1564" s="966"/>
      <c r="H1564" s="995"/>
      <c r="I1564" s="966"/>
      <c r="J1564" s="966"/>
      <c r="K1564" s="966"/>
      <c r="L1564" s="966"/>
      <c r="M1564" s="971"/>
    </row>
    <row r="1565" spans="1:13">
      <c r="A1565" s="966"/>
      <c r="B1565" s="966"/>
      <c r="C1565" s="966"/>
      <c r="D1565" s="966"/>
      <c r="E1565" s="966"/>
      <c r="F1565" s="966"/>
      <c r="G1565" s="966"/>
      <c r="H1565" s="995"/>
      <c r="I1565" s="966"/>
      <c r="J1565" s="966"/>
      <c r="K1565" s="966"/>
      <c r="L1565" s="966"/>
      <c r="M1565" s="971"/>
    </row>
    <row r="1566" spans="1:13">
      <c r="A1566" s="966"/>
      <c r="B1566" s="966"/>
      <c r="C1566" s="966"/>
      <c r="D1566" s="966"/>
      <c r="E1566" s="966"/>
      <c r="F1566" s="966"/>
      <c r="G1566" s="966"/>
      <c r="H1566" s="995"/>
      <c r="I1566" s="966"/>
      <c r="J1566" s="966"/>
      <c r="K1566" s="966"/>
      <c r="L1566" s="966"/>
      <c r="M1566" s="971"/>
    </row>
    <row r="1567" spans="1:13">
      <c r="A1567" s="966"/>
      <c r="B1567" s="966"/>
      <c r="C1567" s="966"/>
      <c r="D1567" s="966"/>
      <c r="E1567" s="966"/>
      <c r="F1567" s="966"/>
      <c r="G1567" s="966"/>
      <c r="H1567" s="995"/>
      <c r="I1567" s="966"/>
      <c r="J1567" s="966"/>
      <c r="K1567" s="966"/>
      <c r="L1567" s="966"/>
      <c r="M1567" s="971"/>
    </row>
    <row r="1568" spans="1:13">
      <c r="A1568" s="966"/>
      <c r="B1568" s="966"/>
      <c r="C1568" s="966"/>
      <c r="D1568" s="966"/>
      <c r="E1568" s="966"/>
      <c r="F1568" s="966"/>
      <c r="G1568" s="966"/>
      <c r="H1568" s="995"/>
      <c r="I1568" s="966"/>
      <c r="J1568" s="966"/>
      <c r="K1568" s="966"/>
      <c r="L1568" s="966"/>
      <c r="M1568" s="971"/>
    </row>
    <row r="1569" spans="1:13">
      <c r="A1569" s="966"/>
      <c r="B1569" s="966"/>
      <c r="C1569" s="966"/>
      <c r="D1569" s="966"/>
      <c r="E1569" s="966"/>
      <c r="F1569" s="966"/>
      <c r="G1569" s="966"/>
      <c r="H1569" s="995"/>
      <c r="I1569" s="966"/>
      <c r="J1569" s="966"/>
      <c r="K1569" s="966"/>
      <c r="L1569" s="966"/>
      <c r="M1569" s="971"/>
    </row>
    <row r="1570" spans="1:13">
      <c r="A1570" s="966"/>
      <c r="B1570" s="966"/>
      <c r="C1570" s="966"/>
      <c r="D1570" s="966"/>
      <c r="E1570" s="966"/>
      <c r="F1570" s="966"/>
      <c r="G1570" s="966"/>
      <c r="H1570" s="995"/>
      <c r="I1570" s="966"/>
      <c r="J1570" s="966"/>
      <c r="K1570" s="966"/>
      <c r="L1570" s="966"/>
      <c r="M1570" s="971"/>
    </row>
    <row r="1571" spans="1:13">
      <c r="A1571" s="966"/>
      <c r="B1571" s="966"/>
      <c r="C1571" s="966"/>
      <c r="D1571" s="966"/>
      <c r="E1571" s="966"/>
      <c r="F1571" s="966"/>
      <c r="G1571" s="966"/>
      <c r="H1571" s="995"/>
      <c r="I1571" s="966"/>
      <c r="J1571" s="966"/>
      <c r="K1571" s="966"/>
      <c r="L1571" s="966"/>
      <c r="M1571" s="971"/>
    </row>
    <row r="1572" spans="1:13">
      <c r="A1572" s="966"/>
      <c r="B1572" s="966"/>
      <c r="C1572" s="966"/>
      <c r="D1572" s="966"/>
      <c r="E1572" s="966"/>
      <c r="F1572" s="966"/>
      <c r="G1572" s="966"/>
      <c r="H1572" s="995"/>
      <c r="I1572" s="966"/>
      <c r="J1572" s="966"/>
      <c r="K1572" s="966"/>
      <c r="L1572" s="966"/>
      <c r="M1572" s="971"/>
    </row>
    <row r="1573" spans="1:13">
      <c r="A1573" s="966"/>
      <c r="B1573" s="966"/>
      <c r="C1573" s="966"/>
      <c r="D1573" s="966"/>
      <c r="E1573" s="966"/>
      <c r="F1573" s="966"/>
      <c r="G1573" s="966"/>
      <c r="H1573" s="995"/>
      <c r="I1573" s="966"/>
      <c r="J1573" s="966"/>
      <c r="K1573" s="966"/>
      <c r="L1573" s="966"/>
      <c r="M1573" s="971"/>
    </row>
    <row r="1574" spans="1:13">
      <c r="A1574" s="966"/>
      <c r="B1574" s="966"/>
      <c r="C1574" s="966"/>
      <c r="D1574" s="966"/>
      <c r="E1574" s="966"/>
      <c r="F1574" s="966"/>
      <c r="G1574" s="966"/>
      <c r="H1574" s="995"/>
      <c r="I1574" s="966"/>
      <c r="J1574" s="966"/>
      <c r="K1574" s="966"/>
      <c r="L1574" s="966"/>
      <c r="M1574" s="971"/>
    </row>
    <row r="1575" spans="1:13">
      <c r="A1575" s="966"/>
      <c r="B1575" s="966"/>
      <c r="C1575" s="966"/>
      <c r="D1575" s="966"/>
      <c r="E1575" s="966"/>
      <c r="F1575" s="966"/>
      <c r="G1575" s="966"/>
      <c r="H1575" s="995"/>
      <c r="I1575" s="966"/>
      <c r="J1575" s="966"/>
      <c r="K1575" s="966"/>
      <c r="L1575" s="966"/>
      <c r="M1575" s="971"/>
    </row>
    <row r="1576" spans="1:13">
      <c r="A1576" s="966"/>
      <c r="B1576" s="966"/>
      <c r="C1576" s="966"/>
      <c r="D1576" s="966"/>
      <c r="E1576" s="966"/>
      <c r="F1576" s="966"/>
      <c r="G1576" s="966"/>
      <c r="H1576" s="995"/>
      <c r="I1576" s="966"/>
      <c r="J1576" s="966"/>
      <c r="K1576" s="966"/>
      <c r="L1576" s="966"/>
      <c r="M1576" s="971"/>
    </row>
    <row r="1577" spans="1:13">
      <c r="A1577" s="966"/>
      <c r="B1577" s="966"/>
      <c r="C1577" s="966"/>
      <c r="D1577" s="966"/>
      <c r="E1577" s="966"/>
      <c r="F1577" s="966"/>
      <c r="G1577" s="966"/>
      <c r="H1577" s="995"/>
      <c r="I1577" s="966"/>
      <c r="J1577" s="966"/>
      <c r="K1577" s="966"/>
      <c r="L1577" s="966"/>
      <c r="M1577" s="971"/>
    </row>
    <row r="1578" spans="1:13">
      <c r="A1578" s="966"/>
      <c r="B1578" s="966"/>
      <c r="C1578" s="966"/>
      <c r="D1578" s="966"/>
      <c r="E1578" s="966"/>
      <c r="F1578" s="966"/>
      <c r="G1578" s="966"/>
      <c r="H1578" s="995"/>
      <c r="I1578" s="966"/>
      <c r="J1578" s="966"/>
      <c r="K1578" s="966"/>
      <c r="L1578" s="966"/>
      <c r="M1578" s="971"/>
    </row>
    <row r="1579" spans="1:13">
      <c r="A1579" s="966"/>
      <c r="B1579" s="966"/>
      <c r="C1579" s="966"/>
      <c r="D1579" s="966"/>
      <c r="E1579" s="966"/>
      <c r="F1579" s="966"/>
      <c r="G1579" s="966"/>
      <c r="H1579" s="995"/>
      <c r="I1579" s="966"/>
      <c r="J1579" s="966"/>
      <c r="K1579" s="966"/>
      <c r="L1579" s="966"/>
      <c r="M1579" s="971"/>
    </row>
    <row r="1580" spans="1:13">
      <c r="A1580" s="966"/>
      <c r="B1580" s="966"/>
      <c r="C1580" s="966"/>
      <c r="D1580" s="966"/>
      <c r="E1580" s="966"/>
      <c r="F1580" s="966"/>
      <c r="G1580" s="966"/>
      <c r="H1580" s="995"/>
      <c r="I1580" s="966"/>
      <c r="J1580" s="966"/>
      <c r="K1580" s="966"/>
      <c r="L1580" s="966"/>
      <c r="M1580" s="971"/>
    </row>
    <row r="1581" spans="1:13">
      <c r="A1581" s="966"/>
      <c r="B1581" s="966"/>
      <c r="C1581" s="966"/>
      <c r="D1581" s="966"/>
      <c r="E1581" s="966"/>
      <c r="F1581" s="966"/>
      <c r="G1581" s="966"/>
      <c r="H1581" s="995"/>
      <c r="I1581" s="966"/>
      <c r="J1581" s="966"/>
      <c r="K1581" s="966"/>
      <c r="L1581" s="966"/>
      <c r="M1581" s="971"/>
    </row>
    <row r="1582" spans="1:13">
      <c r="A1582" s="966"/>
      <c r="B1582" s="966"/>
      <c r="C1582" s="966"/>
      <c r="D1582" s="966"/>
      <c r="E1582" s="966"/>
      <c r="F1582" s="966"/>
      <c r="G1582" s="966"/>
      <c r="H1582" s="995"/>
      <c r="I1582" s="966"/>
      <c r="J1582" s="966"/>
      <c r="K1582" s="966"/>
      <c r="L1582" s="966"/>
      <c r="M1582" s="971"/>
    </row>
    <row r="1583" spans="1:13">
      <c r="A1583" s="966"/>
      <c r="B1583" s="966"/>
      <c r="C1583" s="966"/>
      <c r="D1583" s="966"/>
      <c r="E1583" s="966"/>
      <c r="F1583" s="966"/>
      <c r="G1583" s="966"/>
      <c r="H1583" s="995"/>
      <c r="I1583" s="966"/>
      <c r="J1583" s="966"/>
      <c r="K1583" s="966"/>
      <c r="L1583" s="966"/>
      <c r="M1583" s="971"/>
    </row>
    <row r="1584" spans="1:13">
      <c r="A1584" s="966"/>
      <c r="B1584" s="966"/>
      <c r="C1584" s="966"/>
      <c r="D1584" s="966"/>
      <c r="E1584" s="966"/>
      <c r="F1584" s="966"/>
      <c r="G1584" s="966"/>
      <c r="H1584" s="995"/>
      <c r="I1584" s="966"/>
      <c r="J1584" s="966"/>
      <c r="K1584" s="966"/>
      <c r="L1584" s="966"/>
      <c r="M1584" s="971"/>
    </row>
    <row r="1585" spans="1:13">
      <c r="A1585" s="966"/>
      <c r="B1585" s="966"/>
      <c r="C1585" s="966"/>
      <c r="D1585" s="966"/>
      <c r="E1585" s="966"/>
      <c r="F1585" s="966"/>
      <c r="G1585" s="966"/>
      <c r="H1585" s="995"/>
      <c r="I1585" s="966"/>
      <c r="J1585" s="966"/>
      <c r="K1585" s="966"/>
      <c r="L1585" s="966"/>
      <c r="M1585" s="971"/>
    </row>
    <row r="1586" spans="1:13">
      <c r="A1586" s="966"/>
      <c r="B1586" s="966"/>
      <c r="C1586" s="966"/>
      <c r="D1586" s="966"/>
      <c r="E1586" s="966"/>
      <c r="F1586" s="966"/>
      <c r="G1586" s="966"/>
      <c r="H1586" s="995"/>
      <c r="I1586" s="966"/>
      <c r="J1586" s="966"/>
      <c r="K1586" s="966"/>
      <c r="L1586" s="966"/>
      <c r="M1586" s="971"/>
    </row>
    <row r="1587" spans="1:13">
      <c r="A1587" s="966"/>
      <c r="B1587" s="966"/>
      <c r="C1587" s="966"/>
      <c r="D1587" s="966"/>
      <c r="E1587" s="966"/>
      <c r="F1587" s="966"/>
      <c r="G1587" s="966"/>
      <c r="H1587" s="995"/>
      <c r="I1587" s="966"/>
      <c r="J1587" s="966"/>
      <c r="K1587" s="966"/>
      <c r="L1587" s="966"/>
      <c r="M1587" s="971"/>
    </row>
    <row r="1588" spans="1:13">
      <c r="A1588" s="966"/>
      <c r="B1588" s="966"/>
      <c r="C1588" s="966"/>
      <c r="D1588" s="966"/>
      <c r="E1588" s="966"/>
      <c r="F1588" s="966"/>
      <c r="G1588" s="966"/>
      <c r="H1588" s="995"/>
      <c r="I1588" s="966"/>
      <c r="J1588" s="966"/>
      <c r="K1588" s="966"/>
      <c r="L1588" s="966"/>
      <c r="M1588" s="971"/>
    </row>
    <row r="1589" spans="1:13">
      <c r="A1589" s="966"/>
      <c r="B1589" s="966"/>
      <c r="C1589" s="966"/>
      <c r="D1589" s="966"/>
      <c r="E1589" s="966"/>
      <c r="F1589" s="966"/>
      <c r="G1589" s="966"/>
      <c r="H1589" s="995"/>
      <c r="I1589" s="966"/>
      <c r="J1589" s="966"/>
      <c r="K1589" s="966"/>
      <c r="L1589" s="966"/>
      <c r="M1589" s="971"/>
    </row>
    <row r="1590" spans="1:13">
      <c r="A1590" s="966"/>
      <c r="B1590" s="966"/>
      <c r="C1590" s="966"/>
      <c r="D1590" s="966"/>
      <c r="E1590" s="966"/>
      <c r="F1590" s="966"/>
      <c r="G1590" s="966"/>
      <c r="H1590" s="995"/>
      <c r="I1590" s="966"/>
      <c r="J1590" s="966"/>
      <c r="K1590" s="966"/>
      <c r="L1590" s="966"/>
      <c r="M1590" s="971"/>
    </row>
    <row r="1591" spans="1:13">
      <c r="A1591" s="966"/>
      <c r="B1591" s="966"/>
      <c r="C1591" s="966"/>
      <c r="D1591" s="966"/>
      <c r="E1591" s="966"/>
      <c r="F1591" s="966"/>
      <c r="G1591" s="966"/>
      <c r="H1591" s="995"/>
      <c r="I1591" s="966"/>
      <c r="J1591" s="966"/>
      <c r="K1591" s="966"/>
      <c r="L1591" s="966"/>
      <c r="M1591" s="971"/>
    </row>
    <row r="1592" spans="1:13">
      <c r="A1592" s="966"/>
      <c r="B1592" s="966"/>
      <c r="C1592" s="966"/>
      <c r="D1592" s="966"/>
      <c r="E1592" s="966"/>
      <c r="F1592" s="966"/>
      <c r="G1592" s="966"/>
      <c r="H1592" s="995"/>
      <c r="I1592" s="966"/>
      <c r="J1592" s="966"/>
      <c r="K1592" s="966"/>
      <c r="L1592" s="966"/>
      <c r="M1592" s="971"/>
    </row>
    <row r="1593" spans="1:13">
      <c r="A1593" s="966"/>
      <c r="B1593" s="966"/>
      <c r="C1593" s="966"/>
      <c r="D1593" s="966"/>
      <c r="E1593" s="966"/>
      <c r="F1593" s="966"/>
      <c r="G1593" s="966"/>
      <c r="H1593" s="995"/>
      <c r="I1593" s="966"/>
      <c r="J1593" s="966"/>
      <c r="K1593" s="966"/>
      <c r="L1593" s="966"/>
      <c r="M1593" s="971"/>
    </row>
    <row r="1594" spans="1:13">
      <c r="A1594" s="966"/>
      <c r="B1594" s="966"/>
      <c r="C1594" s="966"/>
      <c r="D1594" s="966"/>
      <c r="E1594" s="966"/>
      <c r="F1594" s="966"/>
      <c r="G1594" s="966"/>
      <c r="H1594" s="995"/>
      <c r="I1594" s="966"/>
      <c r="J1594" s="966"/>
      <c r="K1594" s="966"/>
      <c r="L1594" s="966"/>
      <c r="M1594" s="971"/>
    </row>
    <row r="1595" spans="1:13">
      <c r="A1595" s="966"/>
      <c r="B1595" s="966"/>
      <c r="C1595" s="966"/>
      <c r="D1595" s="966"/>
      <c r="E1595" s="966"/>
      <c r="F1595" s="966"/>
      <c r="G1595" s="966"/>
      <c r="H1595" s="995"/>
      <c r="I1595" s="966"/>
      <c r="J1595" s="966"/>
      <c r="K1595" s="966"/>
      <c r="L1595" s="966"/>
      <c r="M1595" s="971"/>
    </row>
    <row r="1596" spans="1:13">
      <c r="A1596" s="966"/>
      <c r="B1596" s="966"/>
      <c r="C1596" s="966"/>
      <c r="D1596" s="966"/>
      <c r="E1596" s="966"/>
      <c r="F1596" s="966"/>
      <c r="G1596" s="966"/>
      <c r="H1596" s="995"/>
      <c r="I1596" s="966"/>
      <c r="J1596" s="966"/>
      <c r="K1596" s="966"/>
      <c r="L1596" s="966"/>
      <c r="M1596" s="971"/>
    </row>
    <row r="1597" spans="1:13">
      <c r="A1597" s="966"/>
      <c r="B1597" s="966"/>
      <c r="C1597" s="966"/>
      <c r="D1597" s="966"/>
      <c r="E1597" s="966"/>
      <c r="F1597" s="966"/>
      <c r="G1597" s="966"/>
      <c r="H1597" s="995"/>
      <c r="I1597" s="966"/>
      <c r="J1597" s="966"/>
      <c r="K1597" s="966"/>
      <c r="L1597" s="966"/>
      <c r="M1597" s="971"/>
    </row>
    <row r="1598" spans="1:13">
      <c r="A1598" s="966"/>
      <c r="B1598" s="966"/>
      <c r="C1598" s="966"/>
      <c r="D1598" s="966"/>
      <c r="E1598" s="966"/>
      <c r="F1598" s="966"/>
      <c r="G1598" s="966"/>
      <c r="H1598" s="995"/>
      <c r="I1598" s="966"/>
      <c r="J1598" s="966"/>
      <c r="K1598" s="966"/>
      <c r="L1598" s="966"/>
      <c r="M1598" s="971"/>
    </row>
    <row r="1599" spans="1:13">
      <c r="A1599" s="966"/>
      <c r="B1599" s="966"/>
      <c r="C1599" s="966"/>
      <c r="D1599" s="966"/>
      <c r="E1599" s="966"/>
      <c r="F1599" s="966"/>
      <c r="G1599" s="966"/>
      <c r="H1599" s="995"/>
      <c r="I1599" s="966"/>
      <c r="J1599" s="966"/>
      <c r="K1599" s="966"/>
      <c r="L1599" s="966"/>
      <c r="M1599" s="971"/>
    </row>
    <row r="1600" spans="1:13">
      <c r="A1600" s="966"/>
      <c r="B1600" s="966"/>
      <c r="C1600" s="966"/>
      <c r="D1600" s="966"/>
      <c r="E1600" s="966"/>
      <c r="F1600" s="966"/>
      <c r="G1600" s="966"/>
      <c r="H1600" s="995"/>
      <c r="I1600" s="966"/>
      <c r="J1600" s="966"/>
      <c r="K1600" s="966"/>
      <c r="L1600" s="966"/>
      <c r="M1600" s="971"/>
    </row>
    <row r="1601" spans="1:13">
      <c r="A1601" s="966"/>
      <c r="B1601" s="966"/>
      <c r="C1601" s="966"/>
      <c r="D1601" s="966"/>
      <c r="E1601" s="966"/>
      <c r="F1601" s="966"/>
      <c r="G1601" s="966"/>
      <c r="H1601" s="995"/>
      <c r="I1601" s="966"/>
      <c r="J1601" s="966"/>
      <c r="K1601" s="966"/>
      <c r="L1601" s="966"/>
      <c r="M1601" s="971"/>
    </row>
    <row r="1602" spans="1:13">
      <c r="A1602" s="966"/>
      <c r="B1602" s="966"/>
      <c r="C1602" s="966"/>
      <c r="D1602" s="966"/>
      <c r="E1602" s="966"/>
      <c r="F1602" s="966"/>
      <c r="G1602" s="966"/>
      <c r="H1602" s="995"/>
      <c r="I1602" s="966"/>
      <c r="J1602" s="966"/>
      <c r="K1602" s="966"/>
      <c r="L1602" s="966"/>
      <c r="M1602" s="971"/>
    </row>
    <row r="1603" spans="1:13">
      <c r="A1603" s="966"/>
      <c r="B1603" s="966"/>
      <c r="C1603" s="966"/>
      <c r="D1603" s="966"/>
      <c r="E1603" s="966"/>
      <c r="F1603" s="966"/>
      <c r="G1603" s="966"/>
      <c r="H1603" s="995"/>
      <c r="I1603" s="966"/>
      <c r="J1603" s="966"/>
      <c r="K1603" s="966"/>
      <c r="L1603" s="966"/>
      <c r="M1603" s="971"/>
    </row>
    <row r="1604" spans="1:13">
      <c r="A1604" s="966"/>
      <c r="B1604" s="966"/>
      <c r="C1604" s="966"/>
      <c r="D1604" s="966"/>
      <c r="E1604" s="966"/>
      <c r="F1604" s="966"/>
      <c r="G1604" s="966"/>
      <c r="H1604" s="995"/>
      <c r="I1604" s="966"/>
      <c r="J1604" s="966"/>
      <c r="K1604" s="966"/>
      <c r="L1604" s="966"/>
      <c r="M1604" s="971"/>
    </row>
    <row r="1605" spans="1:13">
      <c r="A1605" s="966"/>
      <c r="B1605" s="966"/>
      <c r="C1605" s="966"/>
      <c r="D1605" s="966"/>
      <c r="E1605" s="966"/>
      <c r="F1605" s="966"/>
      <c r="G1605" s="966"/>
      <c r="H1605" s="995"/>
      <c r="I1605" s="966"/>
      <c r="J1605" s="966"/>
      <c r="K1605" s="966"/>
      <c r="L1605" s="966"/>
      <c r="M1605" s="971"/>
    </row>
    <row r="1606" spans="1:13">
      <c r="A1606" s="966"/>
      <c r="B1606" s="966"/>
      <c r="C1606" s="966"/>
      <c r="D1606" s="966"/>
      <c r="E1606" s="966"/>
      <c r="F1606" s="966"/>
      <c r="G1606" s="966"/>
      <c r="H1606" s="995"/>
      <c r="I1606" s="966"/>
      <c r="J1606" s="966"/>
      <c r="K1606" s="966"/>
      <c r="L1606" s="966"/>
      <c r="M1606" s="971"/>
    </row>
    <row r="1607" spans="1:13">
      <c r="A1607" s="966"/>
      <c r="B1607" s="966"/>
      <c r="C1607" s="966"/>
      <c r="D1607" s="966"/>
      <c r="E1607" s="966"/>
      <c r="F1607" s="966"/>
      <c r="G1607" s="966"/>
      <c r="H1607" s="995"/>
      <c r="I1607" s="966"/>
      <c r="J1607" s="966"/>
      <c r="K1607" s="966"/>
      <c r="L1607" s="966"/>
      <c r="M1607" s="971"/>
    </row>
    <row r="1608" spans="1:13">
      <c r="A1608" s="966"/>
      <c r="B1608" s="966"/>
      <c r="C1608" s="966"/>
      <c r="D1608" s="966"/>
      <c r="E1608" s="966"/>
      <c r="F1608" s="966"/>
      <c r="G1608" s="966"/>
      <c r="H1608" s="995"/>
      <c r="I1608" s="966"/>
      <c r="J1608" s="966"/>
      <c r="K1608" s="966"/>
      <c r="L1608" s="966"/>
      <c r="M1608" s="971"/>
    </row>
    <row r="1609" spans="1:13">
      <c r="A1609" s="966"/>
      <c r="B1609" s="966"/>
      <c r="C1609" s="966"/>
      <c r="D1609" s="966"/>
      <c r="E1609" s="966"/>
      <c r="F1609" s="966"/>
      <c r="G1609" s="966"/>
      <c r="H1609" s="995"/>
      <c r="I1609" s="966"/>
      <c r="J1609" s="966"/>
      <c r="K1609" s="966"/>
      <c r="L1609" s="966"/>
      <c r="M1609" s="971"/>
    </row>
    <row r="1610" spans="1:13">
      <c r="A1610" s="966"/>
      <c r="B1610" s="966"/>
      <c r="C1610" s="966"/>
      <c r="D1610" s="966"/>
      <c r="E1610" s="966"/>
      <c r="F1610" s="966"/>
      <c r="G1610" s="966"/>
      <c r="H1610" s="995"/>
      <c r="I1610" s="966"/>
      <c r="J1610" s="966"/>
      <c r="K1610" s="966"/>
      <c r="L1610" s="966"/>
      <c r="M1610" s="971"/>
    </row>
    <row r="1611" spans="1:13">
      <c r="A1611" s="966"/>
      <c r="B1611" s="966"/>
      <c r="C1611" s="966"/>
      <c r="D1611" s="966"/>
      <c r="E1611" s="966"/>
      <c r="F1611" s="966"/>
      <c r="G1611" s="966"/>
      <c r="H1611" s="995"/>
      <c r="I1611" s="966"/>
      <c r="J1611" s="966"/>
      <c r="K1611" s="966"/>
      <c r="L1611" s="966"/>
      <c r="M1611" s="971"/>
    </row>
    <row r="1612" spans="1:13">
      <c r="A1612" s="966"/>
      <c r="B1612" s="966"/>
      <c r="C1612" s="966"/>
      <c r="D1612" s="966"/>
      <c r="E1612" s="966"/>
      <c r="F1612" s="966"/>
      <c r="G1612" s="966"/>
      <c r="H1612" s="995"/>
      <c r="I1612" s="966"/>
      <c r="J1612" s="966"/>
      <c r="K1612" s="966"/>
      <c r="L1612" s="966"/>
      <c r="M1612" s="971"/>
    </row>
    <row r="1613" spans="1:13">
      <c r="A1613" s="966"/>
      <c r="B1613" s="966"/>
      <c r="C1613" s="966"/>
      <c r="D1613" s="966"/>
      <c r="E1613" s="966"/>
      <c r="F1613" s="966"/>
      <c r="G1613" s="966"/>
      <c r="H1613" s="995"/>
      <c r="I1613" s="966"/>
      <c r="J1613" s="966"/>
      <c r="K1613" s="966"/>
      <c r="L1613" s="966"/>
      <c r="M1613" s="971"/>
    </row>
    <row r="1614" spans="1:13">
      <c r="A1614" s="966"/>
      <c r="B1614" s="966"/>
      <c r="C1614" s="966"/>
      <c r="D1614" s="966"/>
      <c r="E1614" s="966"/>
      <c r="F1614" s="966"/>
      <c r="G1614" s="966"/>
      <c r="H1614" s="995"/>
      <c r="I1614" s="966"/>
      <c r="J1614" s="966"/>
      <c r="K1614" s="966"/>
      <c r="L1614" s="966"/>
      <c r="M1614" s="971"/>
    </row>
    <row r="1615" spans="1:13">
      <c r="A1615" s="966"/>
      <c r="B1615" s="966"/>
      <c r="C1615" s="966"/>
      <c r="D1615" s="966"/>
      <c r="E1615" s="966"/>
      <c r="F1615" s="966"/>
      <c r="G1615" s="966"/>
      <c r="H1615" s="995"/>
      <c r="I1615" s="966"/>
      <c r="J1615" s="966"/>
      <c r="K1615" s="966"/>
      <c r="L1615" s="966"/>
      <c r="M1615" s="971"/>
    </row>
    <row r="1616" spans="1:13">
      <c r="A1616" s="966"/>
      <c r="B1616" s="966"/>
      <c r="C1616" s="966"/>
      <c r="D1616" s="966"/>
      <c r="E1616" s="966"/>
      <c r="F1616" s="966"/>
      <c r="G1616" s="966"/>
      <c r="H1616" s="995"/>
      <c r="I1616" s="966"/>
      <c r="J1616" s="966"/>
      <c r="K1616" s="966"/>
      <c r="L1616" s="966"/>
      <c r="M1616" s="971"/>
    </row>
    <row r="1617" spans="1:13">
      <c r="A1617" s="966"/>
      <c r="B1617" s="966"/>
      <c r="C1617" s="966"/>
      <c r="D1617" s="966"/>
      <c r="E1617" s="966"/>
      <c r="F1617" s="966"/>
      <c r="G1617" s="966"/>
      <c r="H1617" s="995"/>
      <c r="I1617" s="966"/>
      <c r="J1617" s="966"/>
      <c r="K1617" s="966"/>
      <c r="L1617" s="966"/>
      <c r="M1617" s="971"/>
    </row>
    <row r="1618" spans="1:13">
      <c r="A1618" s="966"/>
      <c r="B1618" s="966"/>
      <c r="C1618" s="966"/>
      <c r="D1618" s="966"/>
      <c r="E1618" s="966"/>
      <c r="F1618" s="966"/>
      <c r="G1618" s="966"/>
      <c r="H1618" s="995"/>
      <c r="I1618" s="966"/>
      <c r="J1618" s="966"/>
      <c r="K1618" s="966"/>
      <c r="L1618" s="966"/>
      <c r="M1618" s="971"/>
    </row>
    <row r="1619" spans="1:13">
      <c r="A1619" s="966"/>
      <c r="B1619" s="966"/>
      <c r="C1619" s="966"/>
      <c r="D1619" s="966"/>
      <c r="E1619" s="966"/>
      <c r="F1619" s="966"/>
      <c r="G1619" s="966"/>
      <c r="H1619" s="995"/>
      <c r="I1619" s="966"/>
      <c r="J1619" s="966"/>
      <c r="K1619" s="966"/>
      <c r="L1619" s="966"/>
      <c r="M1619" s="971"/>
    </row>
    <row r="1620" spans="1:13">
      <c r="A1620" s="966"/>
      <c r="B1620" s="966"/>
      <c r="C1620" s="966"/>
      <c r="D1620" s="966"/>
      <c r="E1620" s="966"/>
      <c r="F1620" s="966"/>
      <c r="G1620" s="966"/>
      <c r="H1620" s="995"/>
      <c r="I1620" s="966"/>
      <c r="J1620" s="966"/>
      <c r="K1620" s="966"/>
      <c r="L1620" s="966"/>
      <c r="M1620" s="971"/>
    </row>
    <row r="1621" spans="1:13">
      <c r="A1621" s="966"/>
      <c r="B1621" s="966"/>
      <c r="C1621" s="966"/>
      <c r="D1621" s="966"/>
      <c r="E1621" s="966"/>
      <c r="F1621" s="966"/>
      <c r="G1621" s="966"/>
      <c r="H1621" s="995"/>
      <c r="I1621" s="966"/>
      <c r="J1621" s="966"/>
      <c r="K1621" s="966"/>
      <c r="L1621" s="966"/>
      <c r="M1621" s="971"/>
    </row>
    <row r="1622" spans="1:13">
      <c r="A1622" s="966"/>
      <c r="B1622" s="966"/>
      <c r="C1622" s="966"/>
      <c r="D1622" s="966"/>
      <c r="E1622" s="966"/>
      <c r="F1622" s="966"/>
      <c r="G1622" s="966"/>
      <c r="H1622" s="995"/>
      <c r="I1622" s="966"/>
      <c r="J1622" s="966"/>
      <c r="K1622" s="966"/>
      <c r="L1622" s="966"/>
      <c r="M1622" s="971"/>
    </row>
    <row r="1623" spans="1:13">
      <c r="A1623" s="966"/>
      <c r="B1623" s="966"/>
      <c r="C1623" s="966"/>
      <c r="D1623" s="966"/>
      <c r="E1623" s="966"/>
      <c r="F1623" s="966"/>
      <c r="G1623" s="966"/>
      <c r="H1623" s="995"/>
      <c r="I1623" s="966"/>
      <c r="J1623" s="966"/>
      <c r="K1623" s="966"/>
      <c r="L1623" s="966"/>
      <c r="M1623" s="971"/>
    </row>
    <row r="1624" spans="1:13">
      <c r="A1624" s="966"/>
      <c r="B1624" s="966"/>
      <c r="C1624" s="966"/>
      <c r="D1624" s="966"/>
      <c r="E1624" s="966"/>
      <c r="F1624" s="966"/>
      <c r="G1624" s="966"/>
      <c r="H1624" s="995"/>
      <c r="I1624" s="966"/>
      <c r="J1624" s="966"/>
      <c r="K1624" s="966"/>
      <c r="L1624" s="966"/>
      <c r="M1624" s="971"/>
    </row>
    <row r="1625" spans="1:13">
      <c r="A1625" s="966"/>
      <c r="B1625" s="966"/>
      <c r="C1625" s="966"/>
      <c r="D1625" s="966"/>
      <c r="E1625" s="966"/>
      <c r="F1625" s="966"/>
      <c r="G1625" s="966"/>
      <c r="H1625" s="995"/>
      <c r="I1625" s="966"/>
      <c r="J1625" s="966"/>
      <c r="K1625" s="966"/>
      <c r="L1625" s="966"/>
      <c r="M1625" s="971"/>
    </row>
    <row r="1626" spans="1:13">
      <c r="A1626" s="966"/>
      <c r="B1626" s="966"/>
      <c r="C1626" s="966"/>
      <c r="D1626" s="966"/>
      <c r="E1626" s="966"/>
      <c r="F1626" s="966"/>
      <c r="G1626" s="966"/>
      <c r="H1626" s="995"/>
      <c r="I1626" s="966"/>
      <c r="J1626" s="966"/>
      <c r="K1626" s="966"/>
      <c r="L1626" s="966"/>
      <c r="M1626" s="971"/>
    </row>
    <row r="1627" spans="1:13">
      <c r="A1627" s="966"/>
      <c r="B1627" s="966"/>
      <c r="C1627" s="966"/>
      <c r="D1627" s="966"/>
      <c r="E1627" s="966"/>
      <c r="F1627" s="966"/>
      <c r="G1627" s="966"/>
      <c r="H1627" s="995"/>
      <c r="I1627" s="966"/>
      <c r="J1627" s="966"/>
      <c r="K1627" s="966"/>
      <c r="L1627" s="966"/>
      <c r="M1627" s="971"/>
    </row>
    <row r="1628" spans="1:13">
      <c r="A1628" s="966"/>
      <c r="B1628" s="966"/>
      <c r="C1628" s="966"/>
      <c r="D1628" s="966"/>
      <c r="E1628" s="966"/>
      <c r="F1628" s="966"/>
      <c r="G1628" s="966"/>
      <c r="H1628" s="995"/>
      <c r="I1628" s="966"/>
      <c r="J1628" s="966"/>
      <c r="K1628" s="966"/>
      <c r="L1628" s="966"/>
      <c r="M1628" s="971"/>
    </row>
    <row r="1629" spans="1:13">
      <c r="A1629" s="966"/>
      <c r="B1629" s="966"/>
      <c r="C1629" s="966"/>
      <c r="D1629" s="966"/>
      <c r="E1629" s="966"/>
      <c r="F1629" s="966"/>
      <c r="G1629" s="966"/>
      <c r="H1629" s="995"/>
      <c r="I1629" s="966"/>
      <c r="J1629" s="966"/>
      <c r="K1629" s="966"/>
      <c r="L1629" s="966"/>
      <c r="M1629" s="971"/>
    </row>
    <row r="1630" spans="1:13">
      <c r="A1630" s="966"/>
      <c r="B1630" s="966"/>
      <c r="C1630" s="966"/>
      <c r="D1630" s="966"/>
      <c r="E1630" s="966"/>
      <c r="F1630" s="966"/>
      <c r="G1630" s="966"/>
      <c r="H1630" s="995"/>
      <c r="I1630" s="966"/>
      <c r="J1630" s="966"/>
      <c r="K1630" s="966"/>
      <c r="L1630" s="966"/>
      <c r="M1630" s="971"/>
    </row>
    <row r="1631" spans="1:13">
      <c r="A1631" s="966"/>
      <c r="B1631" s="966"/>
      <c r="C1631" s="966"/>
      <c r="D1631" s="966"/>
      <c r="E1631" s="966"/>
      <c r="F1631" s="966"/>
      <c r="G1631" s="966"/>
      <c r="H1631" s="995"/>
      <c r="I1631" s="966"/>
      <c r="J1631" s="966"/>
      <c r="K1631" s="966"/>
      <c r="L1631" s="966"/>
      <c r="M1631" s="971"/>
    </row>
    <row r="1632" spans="1:13">
      <c r="A1632" s="966"/>
      <c r="B1632" s="966"/>
      <c r="C1632" s="966"/>
      <c r="D1632" s="966"/>
      <c r="E1632" s="966"/>
      <c r="F1632" s="966"/>
      <c r="G1632" s="966"/>
      <c r="H1632" s="995"/>
      <c r="I1632" s="966"/>
      <c r="J1632" s="966"/>
      <c r="K1632" s="966"/>
      <c r="L1632" s="966"/>
      <c r="M1632" s="971"/>
    </row>
    <row r="1633" spans="1:13">
      <c r="A1633" s="966"/>
      <c r="B1633" s="966"/>
      <c r="C1633" s="966"/>
      <c r="D1633" s="966"/>
      <c r="E1633" s="966"/>
      <c r="F1633" s="966"/>
      <c r="G1633" s="966"/>
      <c r="H1633" s="995"/>
      <c r="I1633" s="966"/>
      <c r="J1633" s="966"/>
      <c r="K1633" s="966"/>
      <c r="L1633" s="966"/>
      <c r="M1633" s="971"/>
    </row>
    <row r="1634" spans="1:13">
      <c r="A1634" s="966"/>
      <c r="B1634" s="966"/>
      <c r="C1634" s="966"/>
      <c r="D1634" s="966"/>
      <c r="E1634" s="966"/>
      <c r="F1634" s="966"/>
      <c r="G1634" s="966"/>
      <c r="H1634" s="995"/>
      <c r="I1634" s="966"/>
      <c r="J1634" s="966"/>
      <c r="K1634" s="966"/>
      <c r="L1634" s="966"/>
      <c r="M1634" s="971"/>
    </row>
    <row r="1635" spans="1:13">
      <c r="A1635" s="966"/>
      <c r="B1635" s="966"/>
      <c r="C1635" s="966"/>
      <c r="D1635" s="966"/>
      <c r="E1635" s="966"/>
      <c r="F1635" s="966"/>
      <c r="G1635" s="966"/>
      <c r="H1635" s="995"/>
      <c r="I1635" s="966"/>
      <c r="J1635" s="966"/>
      <c r="K1635" s="966"/>
      <c r="L1635" s="966"/>
      <c r="M1635" s="971"/>
    </row>
    <row r="1636" spans="1:13">
      <c r="A1636" s="966"/>
      <c r="B1636" s="966"/>
      <c r="C1636" s="966"/>
      <c r="D1636" s="966"/>
      <c r="E1636" s="966"/>
      <c r="F1636" s="966"/>
      <c r="G1636" s="966"/>
      <c r="H1636" s="995"/>
      <c r="I1636" s="966"/>
      <c r="J1636" s="966"/>
      <c r="K1636" s="966"/>
      <c r="L1636" s="966"/>
      <c r="M1636" s="971"/>
    </row>
    <row r="1637" spans="1:13">
      <c r="A1637" s="966"/>
      <c r="B1637" s="966"/>
      <c r="C1637" s="966"/>
      <c r="D1637" s="966"/>
      <c r="E1637" s="966"/>
      <c r="F1637" s="966"/>
      <c r="G1637" s="966"/>
      <c r="H1637" s="995"/>
      <c r="I1637" s="966"/>
      <c r="J1637" s="966"/>
      <c r="K1637" s="966"/>
      <c r="L1637" s="966"/>
      <c r="M1637" s="971"/>
    </row>
    <row r="1638" spans="1:13">
      <c r="A1638" s="966"/>
      <c r="B1638" s="966"/>
      <c r="C1638" s="966"/>
      <c r="D1638" s="966"/>
      <c r="E1638" s="966"/>
      <c r="F1638" s="966"/>
      <c r="G1638" s="966"/>
      <c r="H1638" s="995"/>
      <c r="I1638" s="966"/>
      <c r="J1638" s="966"/>
      <c r="K1638" s="966"/>
      <c r="L1638" s="966"/>
      <c r="M1638" s="971"/>
    </row>
    <row r="1639" spans="1:13">
      <c r="A1639" s="966"/>
      <c r="B1639" s="966"/>
      <c r="C1639" s="966"/>
      <c r="D1639" s="966"/>
      <c r="E1639" s="966"/>
      <c r="F1639" s="966"/>
      <c r="G1639" s="966"/>
      <c r="H1639" s="995"/>
      <c r="I1639" s="966"/>
      <c r="J1639" s="966"/>
      <c r="K1639" s="966"/>
      <c r="L1639" s="966"/>
      <c r="M1639" s="971"/>
    </row>
    <row r="1640" spans="1:13">
      <c r="A1640" s="966"/>
      <c r="B1640" s="966"/>
      <c r="C1640" s="966"/>
      <c r="D1640" s="966"/>
      <c r="E1640" s="966"/>
      <c r="F1640" s="966"/>
      <c r="G1640" s="966"/>
      <c r="H1640" s="995"/>
      <c r="I1640" s="966"/>
      <c r="J1640" s="966"/>
      <c r="K1640" s="966"/>
      <c r="L1640" s="966"/>
      <c r="M1640" s="971"/>
    </row>
    <row r="1641" spans="1:13">
      <c r="A1641" s="966"/>
      <c r="B1641" s="966"/>
      <c r="C1641" s="966"/>
      <c r="D1641" s="966"/>
      <c r="E1641" s="966"/>
      <c r="F1641" s="966"/>
      <c r="G1641" s="966"/>
      <c r="H1641" s="995"/>
      <c r="I1641" s="966"/>
      <c r="J1641" s="966"/>
      <c r="K1641" s="966"/>
      <c r="L1641" s="966"/>
      <c r="M1641" s="971"/>
    </row>
    <row r="1642" spans="1:13">
      <c r="A1642" s="966"/>
      <c r="B1642" s="966"/>
      <c r="C1642" s="966"/>
      <c r="D1642" s="966"/>
      <c r="E1642" s="966"/>
      <c r="F1642" s="966"/>
      <c r="G1642" s="966"/>
      <c r="H1642" s="995"/>
      <c r="I1642" s="966"/>
      <c r="J1642" s="966"/>
      <c r="K1642" s="966"/>
      <c r="L1642" s="966"/>
      <c r="M1642" s="971"/>
    </row>
    <row r="1643" spans="1:13">
      <c r="A1643" s="966"/>
      <c r="B1643" s="966"/>
      <c r="C1643" s="966"/>
      <c r="D1643" s="966"/>
      <c r="E1643" s="966"/>
      <c r="F1643" s="966"/>
      <c r="G1643" s="966"/>
      <c r="H1643" s="995"/>
      <c r="I1643" s="966"/>
      <c r="J1643" s="966"/>
      <c r="K1643" s="966"/>
      <c r="L1643" s="966"/>
      <c r="M1643" s="971"/>
    </row>
    <row r="1644" spans="1:13">
      <c r="A1644" s="966"/>
      <c r="B1644" s="966"/>
      <c r="C1644" s="966"/>
      <c r="D1644" s="966"/>
      <c r="E1644" s="966"/>
      <c r="F1644" s="966"/>
      <c r="G1644" s="966"/>
      <c r="H1644" s="995"/>
      <c r="I1644" s="966"/>
      <c r="J1644" s="966"/>
      <c r="K1644" s="966"/>
      <c r="L1644" s="966"/>
      <c r="M1644" s="971"/>
    </row>
    <row r="1645" spans="1:13">
      <c r="A1645" s="966"/>
      <c r="B1645" s="966"/>
      <c r="C1645" s="966"/>
      <c r="D1645" s="966"/>
      <c r="E1645" s="966"/>
      <c r="F1645" s="966"/>
      <c r="G1645" s="966"/>
      <c r="H1645" s="995"/>
      <c r="I1645" s="966"/>
      <c r="J1645" s="966"/>
      <c r="K1645" s="966"/>
      <c r="L1645" s="966"/>
      <c r="M1645" s="971"/>
    </row>
    <row r="1646" spans="1:13">
      <c r="A1646" s="966"/>
      <c r="B1646" s="966"/>
      <c r="C1646" s="966"/>
      <c r="D1646" s="966"/>
      <c r="E1646" s="966"/>
      <c r="F1646" s="966"/>
      <c r="G1646" s="966"/>
      <c r="H1646" s="995"/>
      <c r="I1646" s="966"/>
      <c r="J1646" s="966"/>
      <c r="K1646" s="966"/>
      <c r="L1646" s="966"/>
      <c r="M1646" s="971"/>
    </row>
    <row r="1647" spans="1:13">
      <c r="A1647" s="966"/>
      <c r="B1647" s="966"/>
      <c r="C1647" s="966"/>
      <c r="D1647" s="966"/>
      <c r="E1647" s="966"/>
      <c r="F1647" s="966"/>
      <c r="G1647" s="966"/>
      <c r="H1647" s="995"/>
      <c r="I1647" s="966"/>
      <c r="J1647" s="966"/>
      <c r="K1647" s="966"/>
      <c r="L1647" s="966"/>
      <c r="M1647" s="971"/>
    </row>
    <row r="1648" spans="1:13">
      <c r="A1648" s="966"/>
      <c r="B1648" s="966"/>
      <c r="C1648" s="966"/>
      <c r="D1648" s="966"/>
      <c r="E1648" s="966"/>
      <c r="F1648" s="966"/>
      <c r="G1648" s="966"/>
      <c r="H1648" s="995"/>
      <c r="I1648" s="966"/>
      <c r="J1648" s="966"/>
      <c r="K1648" s="966"/>
      <c r="L1648" s="966"/>
      <c r="M1648" s="971"/>
    </row>
    <row r="1649" spans="1:13">
      <c r="A1649" s="966"/>
      <c r="B1649" s="966"/>
      <c r="C1649" s="966"/>
      <c r="D1649" s="966"/>
      <c r="E1649" s="966"/>
      <c r="F1649" s="966"/>
      <c r="G1649" s="966"/>
      <c r="H1649" s="995"/>
      <c r="I1649" s="966"/>
      <c r="J1649" s="966"/>
      <c r="K1649" s="966"/>
      <c r="L1649" s="966"/>
      <c r="M1649" s="971"/>
    </row>
    <row r="1650" spans="1:13">
      <c r="A1650" s="966"/>
      <c r="B1650" s="966"/>
      <c r="C1650" s="966"/>
      <c r="D1650" s="966"/>
      <c r="E1650" s="966"/>
      <c r="F1650" s="966"/>
      <c r="G1650" s="966"/>
      <c r="H1650" s="995"/>
      <c r="I1650" s="966"/>
      <c r="J1650" s="966"/>
      <c r="K1650" s="966"/>
      <c r="L1650" s="966"/>
      <c r="M1650" s="971"/>
    </row>
    <row r="1651" spans="1:13">
      <c r="A1651" s="966"/>
      <c r="B1651" s="966"/>
      <c r="C1651" s="966"/>
      <c r="D1651" s="966"/>
      <c r="E1651" s="966"/>
      <c r="F1651" s="966"/>
      <c r="G1651" s="966"/>
      <c r="H1651" s="995"/>
      <c r="I1651" s="966"/>
      <c r="J1651" s="966"/>
      <c r="K1651" s="966"/>
      <c r="L1651" s="966"/>
      <c r="M1651" s="971"/>
    </row>
    <row r="1652" spans="1:13">
      <c r="A1652" s="966"/>
      <c r="B1652" s="966"/>
      <c r="C1652" s="966"/>
      <c r="D1652" s="966"/>
      <c r="E1652" s="966"/>
      <c r="F1652" s="966"/>
      <c r="G1652" s="966"/>
      <c r="H1652" s="995"/>
      <c r="I1652" s="966"/>
      <c r="J1652" s="966"/>
      <c r="K1652" s="966"/>
      <c r="L1652" s="966"/>
      <c r="M1652" s="971"/>
    </row>
    <row r="1653" spans="1:13">
      <c r="A1653" s="966"/>
      <c r="B1653" s="966"/>
      <c r="C1653" s="966"/>
      <c r="D1653" s="966"/>
      <c r="E1653" s="966"/>
      <c r="F1653" s="966"/>
      <c r="G1653" s="966"/>
      <c r="H1653" s="995"/>
      <c r="I1653" s="966"/>
      <c r="J1653" s="966"/>
      <c r="K1653" s="966"/>
      <c r="L1653" s="966"/>
      <c r="M1653" s="971"/>
    </row>
    <row r="1654" spans="1:13">
      <c r="A1654" s="966"/>
      <c r="B1654" s="966"/>
      <c r="C1654" s="966"/>
      <c r="D1654" s="966"/>
      <c r="E1654" s="966"/>
      <c r="F1654" s="966"/>
      <c r="G1654" s="966"/>
      <c r="H1654" s="995"/>
      <c r="I1654" s="966"/>
      <c r="J1654" s="966"/>
      <c r="K1654" s="966"/>
      <c r="L1654" s="966"/>
      <c r="M1654" s="971"/>
    </row>
    <row r="1655" spans="1:13">
      <c r="A1655" s="966"/>
      <c r="B1655" s="966"/>
      <c r="C1655" s="966"/>
      <c r="D1655" s="966"/>
      <c r="E1655" s="966"/>
      <c r="F1655" s="966"/>
      <c r="G1655" s="966"/>
      <c r="H1655" s="995"/>
      <c r="I1655" s="966"/>
      <c r="J1655" s="966"/>
      <c r="K1655" s="966"/>
      <c r="L1655" s="966"/>
      <c r="M1655" s="971"/>
    </row>
    <row r="1656" spans="1:13">
      <c r="A1656" s="966"/>
      <c r="B1656" s="966"/>
      <c r="C1656" s="966"/>
      <c r="D1656" s="966"/>
      <c r="E1656" s="966"/>
      <c r="F1656" s="966"/>
      <c r="G1656" s="966"/>
      <c r="H1656" s="995"/>
      <c r="I1656" s="966"/>
      <c r="J1656" s="966"/>
      <c r="K1656" s="966"/>
      <c r="L1656" s="966"/>
      <c r="M1656" s="971"/>
    </row>
    <row r="1657" spans="1:13">
      <c r="A1657" s="966"/>
      <c r="B1657" s="966"/>
      <c r="C1657" s="966"/>
      <c r="D1657" s="966"/>
      <c r="E1657" s="966"/>
      <c r="F1657" s="966"/>
      <c r="G1657" s="966"/>
      <c r="H1657" s="995"/>
      <c r="I1657" s="966"/>
      <c r="J1657" s="966"/>
      <c r="K1657" s="966"/>
      <c r="L1657" s="966"/>
      <c r="M1657" s="971"/>
    </row>
    <row r="1658" spans="1:13">
      <c r="A1658" s="966"/>
      <c r="B1658" s="966"/>
      <c r="C1658" s="966"/>
      <c r="D1658" s="966"/>
      <c r="E1658" s="966"/>
      <c r="F1658" s="966"/>
      <c r="G1658" s="966"/>
      <c r="H1658" s="995"/>
      <c r="I1658" s="966"/>
      <c r="J1658" s="966"/>
      <c r="K1658" s="966"/>
      <c r="L1658" s="966"/>
      <c r="M1658" s="971"/>
    </row>
    <row r="1659" spans="1:13">
      <c r="A1659" s="966"/>
      <c r="B1659" s="966"/>
      <c r="C1659" s="966"/>
      <c r="D1659" s="966"/>
      <c r="E1659" s="966"/>
      <c r="F1659" s="966"/>
      <c r="G1659" s="966"/>
      <c r="H1659" s="995"/>
      <c r="I1659" s="966"/>
      <c r="J1659" s="966"/>
      <c r="K1659" s="966"/>
      <c r="L1659" s="966"/>
      <c r="M1659" s="971"/>
    </row>
    <row r="1660" spans="1:13">
      <c r="A1660" s="966"/>
      <c r="B1660" s="966"/>
      <c r="C1660" s="966"/>
      <c r="D1660" s="966"/>
      <c r="E1660" s="966"/>
      <c r="F1660" s="966"/>
      <c r="G1660" s="966"/>
      <c r="H1660" s="995"/>
      <c r="I1660" s="966"/>
      <c r="J1660" s="966"/>
      <c r="K1660" s="966"/>
      <c r="L1660" s="966"/>
      <c r="M1660" s="971"/>
    </row>
    <row r="1661" spans="1:13">
      <c r="A1661" s="966"/>
      <c r="B1661" s="966"/>
      <c r="C1661" s="966"/>
      <c r="D1661" s="966"/>
      <c r="E1661" s="966"/>
      <c r="F1661" s="966"/>
      <c r="G1661" s="966"/>
      <c r="H1661" s="995"/>
      <c r="I1661" s="966"/>
      <c r="J1661" s="966"/>
      <c r="K1661" s="966"/>
      <c r="L1661" s="966"/>
      <c r="M1661" s="971"/>
    </row>
    <row r="1662" spans="1:13">
      <c r="A1662" s="966"/>
      <c r="B1662" s="966"/>
      <c r="C1662" s="966"/>
      <c r="D1662" s="966"/>
      <c r="E1662" s="966"/>
      <c r="F1662" s="966"/>
      <c r="G1662" s="966"/>
      <c r="H1662" s="995"/>
      <c r="I1662" s="966"/>
      <c r="J1662" s="966"/>
      <c r="K1662" s="966"/>
      <c r="L1662" s="966"/>
      <c r="M1662" s="971"/>
    </row>
    <row r="1663" spans="1:13">
      <c r="A1663" s="966"/>
      <c r="B1663" s="966"/>
      <c r="C1663" s="966"/>
      <c r="D1663" s="966"/>
      <c r="E1663" s="966"/>
      <c r="F1663" s="966"/>
      <c r="G1663" s="966"/>
      <c r="H1663" s="995"/>
      <c r="I1663" s="966"/>
      <c r="J1663" s="966"/>
      <c r="K1663" s="966"/>
      <c r="L1663" s="966"/>
      <c r="M1663" s="971"/>
    </row>
    <row r="1664" spans="1:13">
      <c r="A1664" s="966"/>
      <c r="B1664" s="966"/>
      <c r="C1664" s="966"/>
      <c r="D1664" s="966"/>
      <c r="E1664" s="966"/>
      <c r="F1664" s="966"/>
      <c r="G1664" s="966"/>
      <c r="H1664" s="995"/>
      <c r="I1664" s="966"/>
      <c r="J1664" s="966"/>
      <c r="K1664" s="966"/>
      <c r="L1664" s="966"/>
      <c r="M1664" s="971"/>
    </row>
    <row r="1665" spans="1:13">
      <c r="A1665" s="966"/>
      <c r="B1665" s="966"/>
      <c r="C1665" s="966"/>
      <c r="D1665" s="966"/>
      <c r="E1665" s="966"/>
      <c r="F1665" s="966"/>
      <c r="G1665" s="966"/>
      <c r="H1665" s="995"/>
      <c r="I1665" s="966"/>
      <c r="J1665" s="966"/>
      <c r="K1665" s="966"/>
      <c r="L1665" s="966"/>
      <c r="M1665" s="971"/>
    </row>
    <row r="1666" spans="1:13">
      <c r="A1666" s="966"/>
      <c r="B1666" s="966"/>
      <c r="C1666" s="966"/>
      <c r="D1666" s="966"/>
      <c r="E1666" s="966"/>
      <c r="F1666" s="966"/>
      <c r="G1666" s="966"/>
      <c r="H1666" s="995"/>
      <c r="I1666" s="966"/>
      <c r="J1666" s="966"/>
      <c r="K1666" s="966"/>
      <c r="L1666" s="966"/>
      <c r="M1666" s="971"/>
    </row>
    <row r="1667" spans="1:13">
      <c r="A1667" s="966"/>
      <c r="B1667" s="966"/>
      <c r="C1667" s="966"/>
      <c r="D1667" s="966"/>
      <c r="E1667" s="966"/>
      <c r="F1667" s="966"/>
      <c r="G1667" s="966"/>
      <c r="H1667" s="995"/>
      <c r="I1667" s="966"/>
      <c r="J1667" s="966"/>
      <c r="K1667" s="966"/>
      <c r="L1667" s="966"/>
      <c r="M1667" s="971"/>
    </row>
    <row r="1668" spans="1:13">
      <c r="A1668" s="966"/>
      <c r="B1668" s="966"/>
      <c r="C1668" s="966"/>
      <c r="D1668" s="966"/>
      <c r="E1668" s="966"/>
      <c r="F1668" s="966"/>
      <c r="G1668" s="966"/>
      <c r="H1668" s="995"/>
      <c r="I1668" s="966"/>
      <c r="J1668" s="966"/>
      <c r="K1668" s="966"/>
      <c r="L1668" s="966"/>
      <c r="M1668" s="971"/>
    </row>
    <row r="1669" spans="1:13">
      <c r="A1669" s="966"/>
      <c r="B1669" s="966"/>
      <c r="C1669" s="966"/>
      <c r="D1669" s="966"/>
      <c r="E1669" s="966"/>
      <c r="F1669" s="966"/>
      <c r="G1669" s="966"/>
      <c r="H1669" s="995"/>
      <c r="I1669" s="966"/>
      <c r="J1669" s="966"/>
      <c r="K1669" s="966"/>
      <c r="L1669" s="966"/>
      <c r="M1669" s="971"/>
    </row>
    <row r="1670" spans="1:13">
      <c r="A1670" s="966"/>
      <c r="B1670" s="966"/>
      <c r="C1670" s="966"/>
      <c r="D1670" s="966"/>
      <c r="E1670" s="966"/>
      <c r="F1670" s="966"/>
      <c r="G1670" s="966"/>
      <c r="H1670" s="995"/>
      <c r="I1670" s="966"/>
      <c r="J1670" s="966"/>
      <c r="K1670" s="966"/>
      <c r="L1670" s="966"/>
      <c r="M1670" s="971"/>
    </row>
    <row r="1671" spans="1:13">
      <c r="A1671" s="966"/>
      <c r="B1671" s="966"/>
      <c r="C1671" s="966"/>
      <c r="D1671" s="966"/>
      <c r="E1671" s="966"/>
      <c r="F1671" s="966"/>
      <c r="G1671" s="966"/>
      <c r="H1671" s="995"/>
      <c r="I1671" s="966"/>
      <c r="J1671" s="966"/>
      <c r="K1671" s="966"/>
      <c r="L1671" s="966"/>
      <c r="M1671" s="971"/>
    </row>
    <row r="1672" spans="1:13">
      <c r="A1672" s="966"/>
      <c r="B1672" s="966"/>
      <c r="C1672" s="966"/>
      <c r="D1672" s="966"/>
      <c r="E1672" s="966"/>
      <c r="F1672" s="966"/>
      <c r="G1672" s="966"/>
      <c r="H1672" s="995"/>
      <c r="I1672" s="966"/>
      <c r="J1672" s="966"/>
      <c r="K1672" s="966"/>
      <c r="L1672" s="966"/>
      <c r="M1672" s="971"/>
    </row>
    <row r="1673" spans="1:13">
      <c r="A1673" s="966"/>
      <c r="B1673" s="966"/>
      <c r="C1673" s="966"/>
      <c r="D1673" s="966"/>
      <c r="E1673" s="966"/>
      <c r="F1673" s="966"/>
      <c r="G1673" s="966"/>
      <c r="H1673" s="995"/>
      <c r="I1673" s="966"/>
      <c r="J1673" s="966"/>
      <c r="K1673" s="966"/>
      <c r="L1673" s="966"/>
      <c r="M1673" s="971"/>
    </row>
    <row r="1674" spans="1:13">
      <c r="A1674" s="966"/>
      <c r="B1674" s="966"/>
      <c r="C1674" s="966"/>
      <c r="D1674" s="966"/>
      <c r="E1674" s="966"/>
      <c r="F1674" s="966"/>
      <c r="G1674" s="966"/>
      <c r="H1674" s="995"/>
      <c r="I1674" s="966"/>
      <c r="J1674" s="966"/>
      <c r="K1674" s="966"/>
      <c r="L1674" s="966"/>
      <c r="M1674" s="971"/>
    </row>
    <row r="1675" spans="1:13">
      <c r="A1675" s="966"/>
      <c r="B1675" s="966"/>
      <c r="C1675" s="966"/>
      <c r="D1675" s="966"/>
      <c r="E1675" s="966"/>
      <c r="F1675" s="966"/>
      <c r="G1675" s="966"/>
      <c r="H1675" s="995"/>
      <c r="I1675" s="966"/>
      <c r="J1675" s="966"/>
      <c r="K1675" s="966"/>
      <c r="L1675" s="966"/>
      <c r="M1675" s="971"/>
    </row>
    <row r="1676" spans="1:13">
      <c r="A1676" s="966"/>
      <c r="B1676" s="966"/>
      <c r="C1676" s="966"/>
      <c r="D1676" s="966"/>
      <c r="E1676" s="966"/>
      <c r="F1676" s="966"/>
      <c r="G1676" s="966"/>
      <c r="H1676" s="995"/>
      <c r="I1676" s="966"/>
      <c r="J1676" s="966"/>
      <c r="K1676" s="966"/>
      <c r="L1676" s="966"/>
      <c r="M1676" s="971"/>
    </row>
    <row r="1677" spans="1:13">
      <c r="A1677" s="966"/>
      <c r="B1677" s="966"/>
      <c r="C1677" s="966"/>
      <c r="D1677" s="966"/>
      <c r="E1677" s="966"/>
      <c r="F1677" s="966"/>
      <c r="G1677" s="966"/>
      <c r="H1677" s="995"/>
      <c r="I1677" s="966"/>
      <c r="J1677" s="966"/>
      <c r="K1677" s="966"/>
      <c r="L1677" s="966"/>
      <c r="M1677" s="971"/>
    </row>
    <row r="1678" spans="1:13">
      <c r="A1678" s="966"/>
      <c r="B1678" s="966"/>
      <c r="C1678" s="966"/>
      <c r="D1678" s="966"/>
      <c r="E1678" s="966"/>
      <c r="F1678" s="966"/>
      <c r="G1678" s="966"/>
      <c r="H1678" s="995"/>
      <c r="I1678" s="966"/>
      <c r="J1678" s="966"/>
      <c r="K1678" s="966"/>
      <c r="L1678" s="966"/>
      <c r="M1678" s="971"/>
    </row>
    <row r="1679" spans="1:13">
      <c r="A1679" s="966"/>
      <c r="B1679" s="966"/>
      <c r="C1679" s="966"/>
      <c r="D1679" s="966"/>
      <c r="E1679" s="966"/>
      <c r="F1679" s="966"/>
      <c r="G1679" s="966"/>
      <c r="H1679" s="995"/>
      <c r="I1679" s="966"/>
      <c r="J1679" s="966"/>
      <c r="K1679" s="966"/>
      <c r="L1679" s="966"/>
      <c r="M1679" s="971"/>
    </row>
    <row r="1680" spans="1:13">
      <c r="A1680" s="966"/>
      <c r="B1680" s="966"/>
      <c r="C1680" s="966"/>
      <c r="D1680" s="966"/>
      <c r="E1680" s="966"/>
      <c r="F1680" s="966"/>
      <c r="G1680" s="966"/>
      <c r="H1680" s="995"/>
      <c r="I1680" s="966"/>
      <c r="J1680" s="966"/>
      <c r="K1680" s="966"/>
      <c r="L1680" s="966"/>
      <c r="M1680" s="971"/>
    </row>
    <row r="1681" spans="1:13">
      <c r="A1681" s="966"/>
      <c r="B1681" s="966"/>
      <c r="C1681" s="966"/>
      <c r="D1681" s="966"/>
      <c r="E1681" s="966"/>
      <c r="F1681" s="966"/>
      <c r="G1681" s="966"/>
      <c r="H1681" s="995"/>
      <c r="I1681" s="966"/>
      <c r="J1681" s="966"/>
      <c r="K1681" s="966"/>
      <c r="L1681" s="966"/>
      <c r="M1681" s="971"/>
    </row>
    <row r="1682" spans="1:13">
      <c r="A1682" s="966"/>
      <c r="B1682" s="966"/>
      <c r="C1682" s="966"/>
      <c r="D1682" s="966"/>
      <c r="E1682" s="966"/>
      <c r="F1682" s="966"/>
      <c r="G1682" s="966"/>
      <c r="H1682" s="995"/>
      <c r="I1682" s="966"/>
      <c r="J1682" s="966"/>
      <c r="K1682" s="966"/>
      <c r="L1682" s="966"/>
      <c r="M1682" s="971"/>
    </row>
    <row r="1683" spans="1:13">
      <c r="A1683" s="966"/>
      <c r="B1683" s="966"/>
      <c r="C1683" s="966"/>
      <c r="D1683" s="966"/>
      <c r="E1683" s="966"/>
      <c r="F1683" s="966"/>
      <c r="G1683" s="966"/>
      <c r="H1683" s="995"/>
      <c r="I1683" s="966"/>
      <c r="J1683" s="966"/>
      <c r="K1683" s="966"/>
      <c r="L1683" s="966"/>
      <c r="M1683" s="971"/>
    </row>
    <row r="1684" spans="1:13">
      <c r="A1684" s="966"/>
      <c r="B1684" s="966"/>
      <c r="C1684" s="966"/>
      <c r="D1684" s="966"/>
      <c r="E1684" s="966"/>
      <c r="F1684" s="966"/>
      <c r="G1684" s="966"/>
      <c r="H1684" s="995"/>
      <c r="I1684" s="966"/>
      <c r="J1684" s="966"/>
      <c r="K1684" s="966"/>
      <c r="L1684" s="966"/>
      <c r="M1684" s="971"/>
    </row>
    <row r="1685" spans="1:13">
      <c r="A1685" s="966"/>
      <c r="B1685" s="966"/>
      <c r="C1685" s="966"/>
      <c r="D1685" s="966"/>
      <c r="E1685" s="966"/>
      <c r="F1685" s="966"/>
      <c r="G1685" s="966"/>
      <c r="H1685" s="995"/>
      <c r="I1685" s="966"/>
      <c r="J1685" s="966"/>
      <c r="K1685" s="966"/>
      <c r="L1685" s="966"/>
      <c r="M1685" s="971"/>
    </row>
    <row r="1686" spans="1:13">
      <c r="A1686" s="966"/>
      <c r="B1686" s="966"/>
      <c r="C1686" s="966"/>
      <c r="D1686" s="966"/>
      <c r="E1686" s="966"/>
      <c r="F1686" s="966"/>
      <c r="G1686" s="966"/>
      <c r="H1686" s="995"/>
      <c r="I1686" s="966"/>
      <c r="J1686" s="966"/>
      <c r="K1686" s="966"/>
      <c r="L1686" s="966"/>
      <c r="M1686" s="971"/>
    </row>
    <row r="1687" spans="1:13">
      <c r="A1687" s="966"/>
      <c r="B1687" s="966"/>
      <c r="C1687" s="966"/>
      <c r="D1687" s="966"/>
      <c r="E1687" s="966"/>
      <c r="F1687" s="966"/>
      <c r="G1687" s="966"/>
      <c r="H1687" s="995"/>
      <c r="I1687" s="966"/>
      <c r="J1687" s="966"/>
      <c r="K1687" s="966"/>
      <c r="L1687" s="966"/>
      <c r="M1687" s="971"/>
    </row>
    <row r="1688" spans="1:13">
      <c r="A1688" s="966"/>
      <c r="B1688" s="966"/>
      <c r="C1688" s="966"/>
      <c r="D1688" s="966"/>
      <c r="E1688" s="966"/>
      <c r="F1688" s="966"/>
      <c r="G1688" s="966"/>
      <c r="H1688" s="995"/>
      <c r="I1688" s="966"/>
      <c r="J1688" s="966"/>
      <c r="K1688" s="966"/>
      <c r="L1688" s="966"/>
      <c r="M1688" s="971"/>
    </row>
    <row r="1689" spans="1:13">
      <c r="A1689" s="966"/>
      <c r="B1689" s="966"/>
      <c r="C1689" s="966"/>
      <c r="D1689" s="966"/>
      <c r="E1689" s="966"/>
      <c r="F1689" s="966"/>
      <c r="G1689" s="966"/>
      <c r="H1689" s="995"/>
      <c r="I1689" s="966"/>
      <c r="J1689" s="966"/>
      <c r="K1689" s="966"/>
      <c r="L1689" s="966"/>
      <c r="M1689" s="971"/>
    </row>
    <row r="1690" spans="1:13">
      <c r="A1690" s="966"/>
      <c r="B1690" s="966"/>
      <c r="C1690" s="966"/>
      <c r="D1690" s="966"/>
      <c r="E1690" s="966"/>
      <c r="F1690" s="966"/>
      <c r="G1690" s="966"/>
      <c r="H1690" s="995"/>
      <c r="I1690" s="966"/>
      <c r="J1690" s="966"/>
      <c r="K1690" s="966"/>
      <c r="L1690" s="966"/>
      <c r="M1690" s="971"/>
    </row>
    <row r="1691" spans="1:13">
      <c r="A1691" s="966"/>
      <c r="B1691" s="966"/>
      <c r="C1691" s="966"/>
      <c r="D1691" s="966"/>
      <c r="E1691" s="966"/>
      <c r="F1691" s="966"/>
      <c r="G1691" s="966"/>
      <c r="H1691" s="995"/>
      <c r="I1691" s="966"/>
      <c r="J1691" s="966"/>
      <c r="K1691" s="966"/>
      <c r="L1691" s="966"/>
      <c r="M1691" s="971"/>
    </row>
    <row r="1692" spans="1:13">
      <c r="A1692" s="966"/>
      <c r="B1692" s="966"/>
      <c r="C1692" s="966"/>
      <c r="D1692" s="966"/>
      <c r="E1692" s="966"/>
      <c r="F1692" s="966"/>
      <c r="G1692" s="966"/>
      <c r="H1692" s="995"/>
      <c r="I1692" s="966"/>
      <c r="J1692" s="966"/>
      <c r="K1692" s="966"/>
      <c r="L1692" s="966"/>
      <c r="M1692" s="971"/>
    </row>
    <row r="1693" spans="1:13">
      <c r="A1693" s="966"/>
      <c r="B1693" s="966"/>
      <c r="C1693" s="966"/>
      <c r="D1693" s="966"/>
      <c r="E1693" s="966"/>
      <c r="F1693" s="966"/>
      <c r="G1693" s="966"/>
      <c r="H1693" s="995"/>
      <c r="I1693" s="966"/>
      <c r="J1693" s="966"/>
      <c r="K1693" s="966"/>
      <c r="L1693" s="966"/>
      <c r="M1693" s="971"/>
    </row>
    <row r="1694" spans="1:13">
      <c r="A1694" s="966"/>
      <c r="B1694" s="966"/>
      <c r="C1694" s="966"/>
      <c r="D1694" s="966"/>
      <c r="E1694" s="966"/>
      <c r="F1694" s="966"/>
      <c r="G1694" s="966"/>
      <c r="H1694" s="995"/>
      <c r="I1694" s="966"/>
      <c r="J1694" s="966"/>
      <c r="K1694" s="966"/>
      <c r="L1694" s="966"/>
      <c r="M1694" s="971"/>
    </row>
    <row r="1695" spans="1:13">
      <c r="A1695" s="966"/>
      <c r="B1695" s="966"/>
      <c r="C1695" s="966"/>
      <c r="D1695" s="966"/>
      <c r="E1695" s="966"/>
      <c r="F1695" s="966"/>
      <c r="G1695" s="966"/>
      <c r="H1695" s="995"/>
      <c r="I1695" s="966"/>
      <c r="J1695" s="966"/>
      <c r="K1695" s="966"/>
      <c r="L1695" s="966"/>
      <c r="M1695" s="971"/>
    </row>
    <row r="1696" spans="1:13">
      <c r="A1696" s="966"/>
      <c r="B1696" s="966"/>
      <c r="C1696" s="966"/>
      <c r="D1696" s="966"/>
      <c r="E1696" s="966"/>
      <c r="F1696" s="966"/>
      <c r="G1696" s="966"/>
      <c r="H1696" s="995"/>
      <c r="I1696" s="966"/>
      <c r="J1696" s="966"/>
      <c r="K1696" s="966"/>
      <c r="L1696" s="966"/>
      <c r="M1696" s="971"/>
    </row>
    <row r="1697" spans="1:13">
      <c r="A1697" s="966"/>
      <c r="B1697" s="966"/>
      <c r="C1697" s="966"/>
      <c r="D1697" s="966"/>
      <c r="E1697" s="966"/>
      <c r="F1697" s="966"/>
      <c r="G1697" s="966"/>
      <c r="H1697" s="995"/>
      <c r="I1697" s="966"/>
      <c r="J1697" s="966"/>
      <c r="K1697" s="966"/>
      <c r="L1697" s="966"/>
      <c r="M1697" s="971"/>
    </row>
    <row r="1698" spans="1:13">
      <c r="A1698" s="966"/>
      <c r="B1698" s="966"/>
      <c r="C1698" s="966"/>
      <c r="D1698" s="966"/>
      <c r="E1698" s="966"/>
      <c r="F1698" s="966"/>
      <c r="G1698" s="966"/>
      <c r="H1698" s="995"/>
      <c r="I1698" s="966"/>
      <c r="J1698" s="966"/>
      <c r="K1698" s="966"/>
      <c r="L1698" s="966"/>
      <c r="M1698" s="971"/>
    </row>
    <row r="1699" spans="1:13">
      <c r="A1699" s="966"/>
      <c r="B1699" s="966"/>
      <c r="C1699" s="966"/>
      <c r="D1699" s="966"/>
      <c r="E1699" s="966"/>
      <c r="F1699" s="966"/>
      <c r="G1699" s="966"/>
      <c r="H1699" s="995"/>
      <c r="I1699" s="966"/>
      <c r="J1699" s="966"/>
      <c r="K1699" s="966"/>
      <c r="L1699" s="966"/>
      <c r="M1699" s="971"/>
    </row>
    <row r="1700" spans="1:13">
      <c r="A1700" s="966"/>
      <c r="B1700" s="966"/>
      <c r="C1700" s="966"/>
      <c r="D1700" s="966"/>
      <c r="E1700" s="966"/>
      <c r="F1700" s="966"/>
      <c r="G1700" s="966"/>
      <c r="H1700" s="995"/>
      <c r="I1700" s="966"/>
      <c r="J1700" s="966"/>
      <c r="K1700" s="966"/>
      <c r="L1700" s="966"/>
      <c r="M1700" s="971"/>
    </row>
    <row r="1701" spans="1:13">
      <c r="A1701" s="966"/>
      <c r="B1701" s="966"/>
      <c r="C1701" s="966"/>
      <c r="D1701" s="966"/>
      <c r="E1701" s="966"/>
      <c r="F1701" s="966"/>
      <c r="G1701" s="966"/>
      <c r="H1701" s="995"/>
      <c r="I1701" s="966"/>
      <c r="J1701" s="966"/>
      <c r="K1701" s="966"/>
      <c r="L1701" s="966"/>
      <c r="M1701" s="971"/>
    </row>
    <row r="1702" spans="1:13">
      <c r="A1702" s="966"/>
      <c r="B1702" s="966"/>
      <c r="C1702" s="966"/>
      <c r="D1702" s="966"/>
      <c r="E1702" s="966"/>
      <c r="F1702" s="966"/>
      <c r="G1702" s="966"/>
      <c r="H1702" s="995"/>
      <c r="I1702" s="966"/>
      <c r="J1702" s="966"/>
      <c r="K1702" s="966"/>
      <c r="L1702" s="966"/>
      <c r="M1702" s="971"/>
    </row>
    <row r="1703" spans="1:13">
      <c r="A1703" s="966"/>
      <c r="B1703" s="966"/>
      <c r="C1703" s="966"/>
      <c r="D1703" s="966"/>
      <c r="E1703" s="966"/>
      <c r="F1703" s="966"/>
      <c r="G1703" s="966"/>
      <c r="H1703" s="995"/>
      <c r="I1703" s="966"/>
      <c r="J1703" s="966"/>
      <c r="K1703" s="966"/>
      <c r="L1703" s="966"/>
      <c r="M1703" s="971"/>
    </row>
    <row r="1704" spans="1:13">
      <c r="A1704" s="966"/>
      <c r="B1704" s="966"/>
      <c r="C1704" s="966"/>
      <c r="D1704" s="966"/>
      <c r="E1704" s="966"/>
      <c r="F1704" s="966"/>
      <c r="G1704" s="966"/>
      <c r="H1704" s="995"/>
      <c r="I1704" s="966"/>
      <c r="J1704" s="966"/>
      <c r="K1704" s="966"/>
      <c r="L1704" s="966"/>
      <c r="M1704" s="971"/>
    </row>
    <row r="1705" spans="1:13">
      <c r="A1705" s="966"/>
      <c r="B1705" s="966"/>
      <c r="C1705" s="966"/>
      <c r="D1705" s="966"/>
      <c r="E1705" s="966"/>
      <c r="F1705" s="966"/>
      <c r="G1705" s="966"/>
      <c r="H1705" s="995"/>
      <c r="I1705" s="966"/>
      <c r="J1705" s="966"/>
      <c r="K1705" s="966"/>
      <c r="L1705" s="966"/>
      <c r="M1705" s="971"/>
    </row>
    <row r="1706" spans="1:13">
      <c r="A1706" s="966"/>
      <c r="B1706" s="966"/>
      <c r="C1706" s="966"/>
      <c r="D1706" s="966"/>
      <c r="E1706" s="966"/>
      <c r="F1706" s="966"/>
      <c r="G1706" s="966"/>
      <c r="H1706" s="995"/>
      <c r="I1706" s="966"/>
      <c r="J1706" s="966"/>
      <c r="K1706" s="966"/>
      <c r="L1706" s="966"/>
      <c r="M1706" s="971"/>
    </row>
    <row r="1707" spans="1:13">
      <c r="A1707" s="966"/>
      <c r="B1707" s="966"/>
      <c r="C1707" s="966"/>
      <c r="D1707" s="966"/>
      <c r="E1707" s="966"/>
      <c r="F1707" s="966"/>
      <c r="G1707" s="966"/>
      <c r="H1707" s="995"/>
      <c r="I1707" s="966"/>
      <c r="J1707" s="966"/>
      <c r="K1707" s="966"/>
      <c r="L1707" s="966"/>
      <c r="M1707" s="971"/>
    </row>
    <row r="1708" spans="1:13">
      <c r="A1708" s="966"/>
      <c r="B1708" s="966"/>
      <c r="C1708" s="966"/>
      <c r="D1708" s="966"/>
      <c r="E1708" s="966"/>
      <c r="F1708" s="966"/>
      <c r="G1708" s="966"/>
      <c r="H1708" s="995"/>
      <c r="I1708" s="966"/>
      <c r="J1708" s="966"/>
      <c r="K1708" s="966"/>
      <c r="L1708" s="966"/>
      <c r="M1708" s="971"/>
    </row>
    <row r="1709" spans="1:13">
      <c r="A1709" s="966"/>
      <c r="B1709" s="966"/>
      <c r="C1709" s="966"/>
      <c r="D1709" s="966"/>
      <c r="E1709" s="966"/>
      <c r="F1709" s="966"/>
      <c r="G1709" s="966"/>
      <c r="H1709" s="995"/>
      <c r="I1709" s="966"/>
      <c r="J1709" s="966"/>
      <c r="K1709" s="966"/>
      <c r="L1709" s="966"/>
      <c r="M1709" s="971"/>
    </row>
    <row r="1710" spans="1:13">
      <c r="A1710" s="966"/>
      <c r="B1710" s="966"/>
      <c r="C1710" s="966"/>
      <c r="D1710" s="966"/>
      <c r="E1710" s="966"/>
      <c r="F1710" s="966"/>
      <c r="G1710" s="966"/>
      <c r="H1710" s="995"/>
      <c r="I1710" s="966"/>
      <c r="J1710" s="966"/>
      <c r="K1710" s="966"/>
      <c r="L1710" s="966"/>
      <c r="M1710" s="971"/>
    </row>
    <row r="1711" spans="1:13">
      <c r="A1711" s="966"/>
      <c r="B1711" s="966"/>
      <c r="C1711" s="966"/>
      <c r="D1711" s="966"/>
      <c r="E1711" s="966"/>
      <c r="F1711" s="966"/>
      <c r="G1711" s="966"/>
      <c r="H1711" s="995"/>
      <c r="I1711" s="966"/>
      <c r="J1711" s="966"/>
      <c r="K1711" s="966"/>
      <c r="L1711" s="966"/>
      <c r="M1711" s="971"/>
    </row>
    <row r="1712" spans="1:13">
      <c r="A1712" s="966"/>
      <c r="B1712" s="966"/>
      <c r="C1712" s="966"/>
      <c r="D1712" s="966"/>
      <c r="E1712" s="966"/>
      <c r="F1712" s="966"/>
      <c r="G1712" s="966"/>
      <c r="H1712" s="995"/>
      <c r="I1712" s="966"/>
      <c r="J1712" s="966"/>
      <c r="K1712" s="966"/>
      <c r="L1712" s="966"/>
      <c r="M1712" s="971"/>
    </row>
    <row r="1713" spans="1:13">
      <c r="A1713" s="966"/>
      <c r="B1713" s="966"/>
      <c r="C1713" s="966"/>
      <c r="D1713" s="966"/>
      <c r="E1713" s="966"/>
      <c r="F1713" s="966"/>
      <c r="G1713" s="966"/>
      <c r="H1713" s="995"/>
      <c r="I1713" s="966"/>
      <c r="J1713" s="966"/>
      <c r="K1713" s="966"/>
      <c r="L1713" s="966"/>
      <c r="M1713" s="971"/>
    </row>
    <row r="1714" spans="1:13">
      <c r="A1714" s="966"/>
      <c r="B1714" s="966"/>
      <c r="C1714" s="966"/>
      <c r="D1714" s="966"/>
      <c r="E1714" s="966"/>
      <c r="F1714" s="966"/>
      <c r="G1714" s="966"/>
      <c r="H1714" s="995"/>
      <c r="I1714" s="966"/>
      <c r="J1714" s="966"/>
      <c r="K1714" s="966"/>
      <c r="L1714" s="966"/>
      <c r="M1714" s="971"/>
    </row>
    <row r="1715" spans="1:13">
      <c r="A1715" s="966"/>
      <c r="B1715" s="966"/>
      <c r="C1715" s="966"/>
      <c r="D1715" s="966"/>
      <c r="E1715" s="966"/>
      <c r="F1715" s="966"/>
      <c r="G1715" s="966"/>
      <c r="H1715" s="995"/>
      <c r="I1715" s="966"/>
      <c r="J1715" s="966"/>
      <c r="K1715" s="966"/>
      <c r="L1715" s="966"/>
      <c r="M1715" s="971"/>
    </row>
    <row r="1716" spans="1:13">
      <c r="A1716" s="966"/>
      <c r="B1716" s="966"/>
      <c r="C1716" s="966"/>
      <c r="D1716" s="966"/>
      <c r="E1716" s="966"/>
      <c r="F1716" s="966"/>
      <c r="G1716" s="966"/>
      <c r="H1716" s="995"/>
      <c r="I1716" s="966"/>
      <c r="J1716" s="966"/>
      <c r="K1716" s="966"/>
      <c r="L1716" s="966"/>
      <c r="M1716" s="971"/>
    </row>
    <row r="1717" spans="1:13">
      <c r="A1717" s="966"/>
      <c r="B1717" s="966"/>
      <c r="C1717" s="966"/>
      <c r="D1717" s="966"/>
      <c r="E1717" s="966"/>
      <c r="F1717" s="966"/>
      <c r="G1717" s="966"/>
      <c r="H1717" s="995"/>
      <c r="I1717" s="966"/>
      <c r="J1717" s="966"/>
      <c r="K1717" s="966"/>
      <c r="L1717" s="966"/>
      <c r="M1717" s="971"/>
    </row>
    <row r="1718" spans="1:13">
      <c r="A1718" s="966"/>
      <c r="B1718" s="966"/>
      <c r="C1718" s="966"/>
      <c r="D1718" s="966"/>
      <c r="E1718" s="966"/>
      <c r="F1718" s="966"/>
      <c r="G1718" s="966"/>
      <c r="H1718" s="995"/>
      <c r="I1718" s="966"/>
      <c r="J1718" s="966"/>
      <c r="K1718" s="966"/>
      <c r="L1718" s="966"/>
      <c r="M1718" s="971"/>
    </row>
    <row r="1719" spans="1:13">
      <c r="A1719" s="966"/>
      <c r="B1719" s="966"/>
      <c r="C1719" s="966"/>
      <c r="D1719" s="966"/>
      <c r="E1719" s="966"/>
      <c r="F1719" s="966"/>
      <c r="G1719" s="966"/>
      <c r="H1719" s="995"/>
      <c r="I1719" s="966"/>
      <c r="J1719" s="966"/>
      <c r="K1719" s="966"/>
      <c r="L1719" s="966"/>
      <c r="M1719" s="971"/>
    </row>
    <row r="1720" spans="1:13">
      <c r="A1720" s="966"/>
      <c r="B1720" s="966"/>
      <c r="C1720" s="966"/>
      <c r="D1720" s="966"/>
      <c r="E1720" s="966"/>
      <c r="F1720" s="966"/>
      <c r="G1720" s="966"/>
      <c r="H1720" s="995"/>
      <c r="I1720" s="966"/>
      <c r="J1720" s="966"/>
      <c r="K1720" s="966"/>
      <c r="L1720" s="966"/>
      <c r="M1720" s="971"/>
    </row>
    <row r="1721" spans="1:13">
      <c r="A1721" s="966"/>
      <c r="B1721" s="966"/>
      <c r="C1721" s="966"/>
      <c r="D1721" s="966"/>
      <c r="E1721" s="966"/>
      <c r="F1721" s="966"/>
      <c r="G1721" s="966"/>
      <c r="H1721" s="995"/>
      <c r="I1721" s="966"/>
      <c r="J1721" s="966"/>
      <c r="K1721" s="966"/>
      <c r="L1721" s="966"/>
      <c r="M1721" s="971"/>
    </row>
    <row r="1722" spans="1:13">
      <c r="A1722" s="966"/>
      <c r="B1722" s="966"/>
      <c r="C1722" s="966"/>
      <c r="D1722" s="966"/>
      <c r="E1722" s="966"/>
      <c r="F1722" s="966"/>
      <c r="G1722" s="966"/>
      <c r="H1722" s="995"/>
      <c r="I1722" s="966"/>
      <c r="J1722" s="966"/>
      <c r="K1722" s="966"/>
      <c r="L1722" s="966"/>
      <c r="M1722" s="971"/>
    </row>
    <row r="1723" spans="1:13">
      <c r="A1723" s="966"/>
      <c r="B1723" s="966"/>
      <c r="C1723" s="966"/>
      <c r="D1723" s="966"/>
      <c r="E1723" s="966"/>
      <c r="F1723" s="966"/>
      <c r="G1723" s="966"/>
      <c r="H1723" s="995"/>
      <c r="I1723" s="966"/>
      <c r="J1723" s="966"/>
      <c r="K1723" s="966"/>
      <c r="L1723" s="966"/>
      <c r="M1723" s="971"/>
    </row>
    <row r="1724" spans="1:13">
      <c r="A1724" s="966"/>
      <c r="B1724" s="966"/>
      <c r="C1724" s="966"/>
      <c r="D1724" s="966"/>
      <c r="E1724" s="966"/>
      <c r="F1724" s="966"/>
      <c r="G1724" s="966"/>
      <c r="H1724" s="995"/>
      <c r="I1724" s="966"/>
      <c r="J1724" s="966"/>
      <c r="K1724" s="966"/>
      <c r="L1724" s="966"/>
      <c r="M1724" s="971"/>
    </row>
    <row r="1725" spans="1:13">
      <c r="A1725" s="966"/>
      <c r="B1725" s="966"/>
      <c r="C1725" s="966"/>
      <c r="D1725" s="966"/>
      <c r="E1725" s="966"/>
      <c r="F1725" s="966"/>
      <c r="G1725" s="966"/>
      <c r="H1725" s="995"/>
      <c r="I1725" s="966"/>
      <c r="J1725" s="966"/>
      <c r="K1725" s="966"/>
      <c r="L1725" s="966"/>
      <c r="M1725" s="971"/>
    </row>
    <row r="1726" spans="1:13">
      <c r="A1726" s="966"/>
      <c r="B1726" s="966"/>
      <c r="C1726" s="966"/>
      <c r="D1726" s="966"/>
      <c r="E1726" s="966"/>
      <c r="F1726" s="966"/>
      <c r="G1726" s="966"/>
      <c r="H1726" s="995"/>
      <c r="I1726" s="966"/>
      <c r="J1726" s="966"/>
      <c r="K1726" s="966"/>
      <c r="L1726" s="966"/>
      <c r="M1726" s="971"/>
    </row>
    <row r="1727" spans="1:13">
      <c r="A1727" s="966"/>
      <c r="B1727" s="966"/>
      <c r="C1727" s="966"/>
      <c r="D1727" s="966"/>
      <c r="E1727" s="966"/>
      <c r="F1727" s="966"/>
      <c r="G1727" s="966"/>
      <c r="H1727" s="995"/>
      <c r="I1727" s="966"/>
      <c r="J1727" s="966"/>
      <c r="K1727" s="966"/>
      <c r="L1727" s="966"/>
      <c r="M1727" s="971"/>
    </row>
    <row r="1728" spans="1:13">
      <c r="A1728" s="966"/>
      <c r="B1728" s="966"/>
      <c r="C1728" s="966"/>
      <c r="D1728" s="966"/>
      <c r="E1728" s="966"/>
      <c r="F1728" s="966"/>
      <c r="G1728" s="966"/>
      <c r="H1728" s="995"/>
      <c r="I1728" s="966"/>
      <c r="J1728" s="966"/>
      <c r="K1728" s="966"/>
      <c r="L1728" s="966"/>
      <c r="M1728" s="971"/>
    </row>
    <row r="1729" spans="1:13">
      <c r="A1729" s="966"/>
      <c r="B1729" s="966"/>
      <c r="C1729" s="966"/>
      <c r="D1729" s="966"/>
      <c r="E1729" s="966"/>
      <c r="F1729" s="966"/>
      <c r="G1729" s="966"/>
      <c r="H1729" s="995"/>
      <c r="I1729" s="966"/>
      <c r="J1729" s="966"/>
      <c r="K1729" s="966"/>
      <c r="L1729" s="966"/>
      <c r="M1729" s="971"/>
    </row>
    <row r="1730" spans="1:13">
      <c r="A1730" s="966"/>
      <c r="B1730" s="966"/>
      <c r="C1730" s="966"/>
      <c r="D1730" s="966"/>
      <c r="E1730" s="966"/>
      <c r="F1730" s="966"/>
      <c r="G1730" s="966"/>
      <c r="H1730" s="995"/>
      <c r="I1730" s="966"/>
      <c r="J1730" s="966"/>
      <c r="K1730" s="966"/>
      <c r="L1730" s="966"/>
      <c r="M1730" s="971"/>
    </row>
    <row r="1731" spans="1:13">
      <c r="A1731" s="966"/>
      <c r="B1731" s="966"/>
      <c r="C1731" s="966"/>
      <c r="D1731" s="966"/>
      <c r="E1731" s="966"/>
      <c r="F1731" s="966"/>
      <c r="G1731" s="966"/>
      <c r="H1731" s="995"/>
      <c r="I1731" s="966"/>
      <c r="J1731" s="966"/>
      <c r="K1731" s="966"/>
      <c r="L1731" s="966"/>
      <c r="M1731" s="971"/>
    </row>
    <row r="1732" spans="1:13">
      <c r="A1732" s="966"/>
      <c r="B1732" s="966"/>
      <c r="C1732" s="966"/>
      <c r="D1732" s="966"/>
      <c r="E1732" s="966"/>
      <c r="F1732" s="966"/>
      <c r="G1732" s="966"/>
      <c r="H1732" s="995"/>
      <c r="I1732" s="966"/>
      <c r="J1732" s="966"/>
      <c r="K1732" s="966"/>
      <c r="L1732" s="966"/>
      <c r="M1732" s="971"/>
    </row>
    <row r="1733" spans="1:13">
      <c r="A1733" s="966"/>
      <c r="B1733" s="966"/>
      <c r="C1733" s="966"/>
      <c r="D1733" s="966"/>
      <c r="E1733" s="966"/>
      <c r="F1733" s="966"/>
      <c r="G1733" s="966"/>
      <c r="H1733" s="995"/>
      <c r="I1733" s="966"/>
      <c r="J1733" s="966"/>
      <c r="K1733" s="966"/>
      <c r="L1733" s="966"/>
      <c r="M1733" s="971"/>
    </row>
    <row r="1734" spans="1:13">
      <c r="A1734" s="966"/>
      <c r="B1734" s="966"/>
      <c r="C1734" s="966"/>
      <c r="D1734" s="966"/>
      <c r="E1734" s="966"/>
      <c r="F1734" s="966"/>
      <c r="G1734" s="966"/>
      <c r="H1734" s="995"/>
      <c r="I1734" s="966"/>
      <c r="J1734" s="966"/>
      <c r="K1734" s="966"/>
      <c r="L1734" s="966"/>
      <c r="M1734" s="971"/>
    </row>
    <row r="1735" spans="1:13">
      <c r="A1735" s="966"/>
      <c r="B1735" s="966"/>
      <c r="C1735" s="966"/>
      <c r="D1735" s="966"/>
      <c r="E1735" s="966"/>
      <c r="F1735" s="966"/>
      <c r="G1735" s="966"/>
      <c r="H1735" s="995"/>
      <c r="I1735" s="966"/>
      <c r="J1735" s="966"/>
      <c r="K1735" s="966"/>
      <c r="L1735" s="966"/>
      <c r="M1735" s="971"/>
    </row>
    <row r="1736" spans="1:13">
      <c r="A1736" s="966"/>
      <c r="B1736" s="966"/>
      <c r="C1736" s="966"/>
      <c r="D1736" s="966"/>
      <c r="E1736" s="966"/>
      <c r="F1736" s="966"/>
      <c r="G1736" s="966"/>
      <c r="H1736" s="995"/>
      <c r="I1736" s="966"/>
      <c r="J1736" s="966"/>
      <c r="K1736" s="966"/>
      <c r="L1736" s="966"/>
      <c r="M1736" s="971"/>
    </row>
    <row r="1737" spans="1:13">
      <c r="A1737" s="966"/>
      <c r="B1737" s="966"/>
      <c r="C1737" s="966"/>
      <c r="D1737" s="966"/>
      <c r="E1737" s="966"/>
      <c r="F1737" s="966"/>
      <c r="G1737" s="966"/>
      <c r="H1737" s="995"/>
      <c r="I1737" s="966"/>
      <c r="J1737" s="966"/>
      <c r="K1737" s="966"/>
      <c r="L1737" s="966"/>
      <c r="M1737" s="971"/>
    </row>
    <row r="1738" spans="1:13">
      <c r="A1738" s="966"/>
      <c r="B1738" s="966"/>
      <c r="C1738" s="966"/>
      <c r="D1738" s="966"/>
      <c r="E1738" s="966"/>
      <c r="F1738" s="966"/>
      <c r="G1738" s="966"/>
      <c r="H1738" s="995"/>
      <c r="I1738" s="966"/>
      <c r="J1738" s="966"/>
      <c r="K1738" s="966"/>
      <c r="L1738" s="966"/>
      <c r="M1738" s="971"/>
    </row>
    <row r="1739" spans="1:13">
      <c r="A1739" s="966"/>
      <c r="B1739" s="966"/>
      <c r="C1739" s="966"/>
      <c r="D1739" s="966"/>
      <c r="E1739" s="966"/>
      <c r="F1739" s="966"/>
      <c r="G1739" s="966"/>
      <c r="H1739" s="995"/>
      <c r="I1739" s="966"/>
      <c r="J1739" s="966"/>
      <c r="K1739" s="966"/>
      <c r="L1739" s="966"/>
      <c r="M1739" s="971"/>
    </row>
    <row r="1740" spans="1:13">
      <c r="A1740" s="966"/>
      <c r="B1740" s="966"/>
      <c r="C1740" s="966"/>
      <c r="D1740" s="966"/>
      <c r="E1740" s="966"/>
      <c r="F1740" s="966"/>
      <c r="G1740" s="966"/>
      <c r="H1740" s="995"/>
      <c r="I1740" s="966"/>
      <c r="J1740" s="966"/>
      <c r="K1740" s="966"/>
      <c r="L1740" s="966"/>
      <c r="M1740" s="971"/>
    </row>
    <row r="1741" spans="1:13">
      <c r="A1741" s="966"/>
      <c r="B1741" s="966"/>
      <c r="C1741" s="966"/>
      <c r="D1741" s="966"/>
      <c r="E1741" s="966"/>
      <c r="F1741" s="966"/>
      <c r="G1741" s="966"/>
      <c r="H1741" s="995"/>
      <c r="I1741" s="966"/>
      <c r="J1741" s="966"/>
      <c r="K1741" s="966"/>
      <c r="L1741" s="966"/>
      <c r="M1741" s="971"/>
    </row>
    <row r="1742" spans="1:13">
      <c r="A1742" s="966"/>
      <c r="B1742" s="966"/>
      <c r="C1742" s="966"/>
      <c r="D1742" s="966"/>
      <c r="E1742" s="966"/>
      <c r="F1742" s="966"/>
      <c r="G1742" s="966"/>
      <c r="H1742" s="995"/>
      <c r="I1742" s="966"/>
      <c r="J1742" s="966"/>
      <c r="K1742" s="966"/>
      <c r="L1742" s="966"/>
      <c r="M1742" s="971"/>
    </row>
    <row r="1743" spans="1:13">
      <c r="A1743" s="966"/>
      <c r="B1743" s="966"/>
      <c r="C1743" s="966"/>
      <c r="D1743" s="966"/>
      <c r="E1743" s="966"/>
      <c r="F1743" s="966"/>
      <c r="G1743" s="966"/>
      <c r="H1743" s="995"/>
      <c r="I1743" s="966"/>
      <c r="J1743" s="966"/>
      <c r="K1743" s="966"/>
      <c r="L1743" s="966"/>
      <c r="M1743" s="971"/>
    </row>
    <row r="1744" spans="1:13">
      <c r="A1744" s="966"/>
      <c r="B1744" s="966"/>
      <c r="C1744" s="966"/>
      <c r="D1744" s="966"/>
      <c r="E1744" s="966"/>
      <c r="F1744" s="966"/>
      <c r="G1744" s="966"/>
      <c r="H1744" s="995"/>
      <c r="I1744" s="966"/>
      <c r="J1744" s="966"/>
      <c r="K1744" s="966"/>
      <c r="L1744" s="966"/>
      <c r="M1744" s="971"/>
    </row>
    <row r="1745" spans="1:13">
      <c r="A1745" s="966"/>
      <c r="B1745" s="966"/>
      <c r="C1745" s="966"/>
      <c r="D1745" s="966"/>
      <c r="E1745" s="966"/>
      <c r="F1745" s="966"/>
      <c r="G1745" s="966"/>
      <c r="H1745" s="995"/>
      <c r="I1745" s="966"/>
      <c r="J1745" s="966"/>
      <c r="K1745" s="966"/>
      <c r="L1745" s="966"/>
      <c r="M1745" s="971"/>
    </row>
    <row r="1746" spans="1:13">
      <c r="A1746" s="966"/>
      <c r="B1746" s="966"/>
      <c r="C1746" s="966"/>
      <c r="D1746" s="966"/>
      <c r="E1746" s="966"/>
      <c r="F1746" s="966"/>
      <c r="G1746" s="966"/>
      <c r="H1746" s="995"/>
      <c r="I1746" s="966"/>
      <c r="J1746" s="966"/>
      <c r="K1746" s="966"/>
      <c r="L1746" s="966"/>
      <c r="M1746" s="971"/>
    </row>
    <row r="1747" spans="1:13">
      <c r="A1747" s="966"/>
      <c r="B1747" s="966"/>
      <c r="C1747" s="966"/>
      <c r="D1747" s="966"/>
      <c r="E1747" s="966"/>
      <c r="F1747" s="966"/>
      <c r="G1747" s="966"/>
      <c r="H1747" s="995"/>
      <c r="I1747" s="966"/>
      <c r="J1747" s="966"/>
      <c r="K1747" s="966"/>
      <c r="L1747" s="966"/>
      <c r="M1747" s="971"/>
    </row>
    <row r="1748" spans="1:13">
      <c r="A1748" s="966"/>
      <c r="B1748" s="966"/>
      <c r="C1748" s="966"/>
      <c r="D1748" s="966"/>
      <c r="E1748" s="966"/>
      <c r="F1748" s="966"/>
      <c r="G1748" s="966"/>
      <c r="H1748" s="995"/>
      <c r="I1748" s="966"/>
      <c r="J1748" s="966"/>
      <c r="K1748" s="966"/>
      <c r="L1748" s="966"/>
      <c r="M1748" s="971"/>
    </row>
    <row r="1749" spans="1:13">
      <c r="A1749" s="966"/>
      <c r="B1749" s="966"/>
      <c r="C1749" s="966"/>
      <c r="D1749" s="966"/>
      <c r="E1749" s="966"/>
      <c r="F1749" s="966"/>
      <c r="G1749" s="966"/>
      <c r="H1749" s="995"/>
      <c r="I1749" s="966"/>
      <c r="J1749" s="966"/>
      <c r="K1749" s="966"/>
      <c r="L1749" s="966"/>
      <c r="M1749" s="971"/>
    </row>
    <row r="1750" spans="1:13">
      <c r="A1750" s="966"/>
      <c r="B1750" s="966"/>
      <c r="C1750" s="966"/>
      <c r="D1750" s="966"/>
      <c r="E1750" s="966"/>
      <c r="F1750" s="966"/>
      <c r="G1750" s="966"/>
      <c r="H1750" s="995"/>
      <c r="I1750" s="966"/>
      <c r="J1750" s="966"/>
      <c r="K1750" s="966"/>
      <c r="L1750" s="966"/>
      <c r="M1750" s="971"/>
    </row>
    <row r="1751" spans="1:13">
      <c r="A1751" s="966"/>
      <c r="B1751" s="966"/>
      <c r="C1751" s="966"/>
      <c r="D1751" s="966"/>
      <c r="E1751" s="966"/>
      <c r="F1751" s="966"/>
      <c r="G1751" s="966"/>
      <c r="H1751" s="995"/>
      <c r="I1751" s="966"/>
      <c r="J1751" s="966"/>
      <c r="K1751" s="966"/>
      <c r="L1751" s="966"/>
      <c r="M1751" s="971"/>
    </row>
    <row r="1752" spans="1:13">
      <c r="A1752" s="966"/>
      <c r="B1752" s="966"/>
      <c r="C1752" s="966"/>
      <c r="D1752" s="966"/>
      <c r="E1752" s="966"/>
      <c r="F1752" s="966"/>
      <c r="G1752" s="966"/>
      <c r="H1752" s="995"/>
      <c r="I1752" s="966"/>
      <c r="J1752" s="966"/>
      <c r="K1752" s="966"/>
      <c r="L1752" s="966"/>
      <c r="M1752" s="971"/>
    </row>
    <row r="1753" spans="1:13">
      <c r="A1753" s="966"/>
      <c r="B1753" s="966"/>
      <c r="C1753" s="966"/>
      <c r="D1753" s="966"/>
      <c r="E1753" s="966"/>
      <c r="F1753" s="966"/>
      <c r="G1753" s="966"/>
      <c r="H1753" s="995"/>
      <c r="I1753" s="966"/>
      <c r="J1753" s="966"/>
      <c r="K1753" s="966"/>
      <c r="L1753" s="966"/>
      <c r="M1753" s="971"/>
    </row>
    <row r="1754" spans="1:13">
      <c r="A1754" s="966"/>
      <c r="B1754" s="966"/>
      <c r="C1754" s="966"/>
      <c r="D1754" s="966"/>
      <c r="E1754" s="966"/>
      <c r="F1754" s="966"/>
      <c r="G1754" s="966"/>
      <c r="H1754" s="995"/>
      <c r="I1754" s="966"/>
      <c r="J1754" s="966"/>
      <c r="K1754" s="966"/>
      <c r="L1754" s="966"/>
      <c r="M1754" s="971"/>
    </row>
    <row r="1755" spans="1:13">
      <c r="A1755" s="966"/>
      <c r="B1755" s="966"/>
      <c r="C1755" s="966"/>
      <c r="D1755" s="966"/>
      <c r="E1755" s="966"/>
      <c r="F1755" s="966"/>
      <c r="G1755" s="966"/>
      <c r="H1755" s="995"/>
      <c r="I1755" s="966"/>
      <c r="J1755" s="966"/>
      <c r="K1755" s="966"/>
      <c r="L1755" s="966"/>
      <c r="M1755" s="971"/>
    </row>
    <row r="1756" spans="1:13">
      <c r="A1756" s="966"/>
      <c r="B1756" s="966"/>
      <c r="C1756" s="966"/>
      <c r="D1756" s="966"/>
      <c r="E1756" s="966"/>
      <c r="F1756" s="966"/>
      <c r="G1756" s="966"/>
      <c r="H1756" s="995"/>
      <c r="I1756" s="966"/>
      <c r="J1756" s="966"/>
      <c r="K1756" s="966"/>
      <c r="L1756" s="966"/>
      <c r="M1756" s="971"/>
    </row>
    <row r="1757" spans="1:13">
      <c r="A1757" s="966"/>
      <c r="B1757" s="966"/>
      <c r="C1757" s="966"/>
      <c r="D1757" s="966"/>
      <c r="E1757" s="966"/>
      <c r="F1757" s="966"/>
      <c r="G1757" s="966"/>
      <c r="H1757" s="995"/>
      <c r="I1757" s="966"/>
      <c r="J1757" s="966"/>
      <c r="K1757" s="966"/>
      <c r="L1757" s="966"/>
      <c r="M1757" s="971"/>
    </row>
    <row r="1758" spans="1:13">
      <c r="A1758" s="966"/>
      <c r="B1758" s="966"/>
      <c r="C1758" s="966"/>
      <c r="D1758" s="966"/>
      <c r="E1758" s="966"/>
      <c r="F1758" s="966"/>
      <c r="G1758" s="966"/>
      <c r="H1758" s="995"/>
      <c r="I1758" s="966"/>
      <c r="J1758" s="966"/>
      <c r="K1758" s="966"/>
      <c r="L1758" s="966"/>
      <c r="M1758" s="971"/>
    </row>
    <row r="1759" spans="1:13">
      <c r="A1759" s="966"/>
      <c r="B1759" s="966"/>
      <c r="C1759" s="966"/>
      <c r="D1759" s="966"/>
      <c r="E1759" s="966"/>
      <c r="F1759" s="966"/>
      <c r="G1759" s="966"/>
      <c r="H1759" s="995"/>
      <c r="I1759" s="966"/>
      <c r="J1759" s="966"/>
      <c r="K1759" s="966"/>
      <c r="L1759" s="966"/>
      <c r="M1759" s="971"/>
    </row>
    <row r="1760" spans="1:13">
      <c r="A1760" s="966"/>
      <c r="B1760" s="966"/>
      <c r="C1760" s="966"/>
      <c r="D1760" s="966"/>
      <c r="E1760" s="966"/>
      <c r="F1760" s="966"/>
      <c r="G1760" s="966"/>
      <c r="H1760" s="995"/>
      <c r="I1760" s="966"/>
      <c r="J1760" s="966"/>
      <c r="K1760" s="966"/>
      <c r="L1760" s="966"/>
      <c r="M1760" s="971"/>
    </row>
    <row r="1761" spans="1:13">
      <c r="A1761" s="966"/>
      <c r="B1761" s="966"/>
      <c r="C1761" s="966"/>
      <c r="D1761" s="966"/>
      <c r="E1761" s="966"/>
      <c r="F1761" s="966"/>
      <c r="G1761" s="966"/>
      <c r="H1761" s="995"/>
      <c r="I1761" s="966"/>
      <c r="J1761" s="966"/>
      <c r="K1761" s="966"/>
      <c r="L1761" s="966"/>
      <c r="M1761" s="971"/>
    </row>
    <row r="1762" spans="1:13">
      <c r="A1762" s="966"/>
      <c r="B1762" s="966"/>
      <c r="C1762" s="966"/>
      <c r="D1762" s="966"/>
      <c r="E1762" s="966"/>
      <c r="F1762" s="966"/>
      <c r="G1762" s="966"/>
      <c r="H1762" s="995"/>
      <c r="I1762" s="966"/>
      <c r="J1762" s="966"/>
      <c r="K1762" s="966"/>
      <c r="L1762" s="966"/>
      <c r="M1762" s="971"/>
    </row>
    <row r="1763" spans="1:13">
      <c r="A1763" s="966"/>
      <c r="B1763" s="966"/>
      <c r="C1763" s="966"/>
      <c r="D1763" s="966"/>
      <c r="E1763" s="966"/>
      <c r="F1763" s="966"/>
      <c r="G1763" s="966"/>
      <c r="H1763" s="995"/>
      <c r="I1763" s="966"/>
      <c r="J1763" s="966"/>
      <c r="K1763" s="966"/>
      <c r="L1763" s="966"/>
      <c r="M1763" s="971"/>
    </row>
    <row r="1764" spans="1:13">
      <c r="A1764" s="966"/>
      <c r="B1764" s="966"/>
      <c r="C1764" s="966"/>
      <c r="D1764" s="966"/>
      <c r="E1764" s="966"/>
      <c r="F1764" s="966"/>
      <c r="G1764" s="966"/>
      <c r="H1764" s="995"/>
      <c r="I1764" s="966"/>
      <c r="J1764" s="966"/>
      <c r="K1764" s="966"/>
      <c r="L1764" s="966"/>
      <c r="M1764" s="971"/>
    </row>
    <row r="1765" spans="1:13">
      <c r="A1765" s="966"/>
      <c r="B1765" s="966"/>
      <c r="C1765" s="966"/>
      <c r="D1765" s="966"/>
      <c r="E1765" s="966"/>
      <c r="F1765" s="966"/>
      <c r="G1765" s="966"/>
      <c r="H1765" s="995"/>
      <c r="I1765" s="966"/>
      <c r="J1765" s="966"/>
      <c r="K1765" s="966"/>
      <c r="L1765" s="966"/>
      <c r="M1765" s="971"/>
    </row>
    <row r="1766" spans="1:13">
      <c r="A1766" s="966"/>
      <c r="B1766" s="966"/>
      <c r="C1766" s="966"/>
      <c r="D1766" s="966"/>
      <c r="E1766" s="966"/>
      <c r="F1766" s="966"/>
      <c r="G1766" s="966"/>
      <c r="H1766" s="995"/>
      <c r="I1766" s="966"/>
      <c r="J1766" s="966"/>
      <c r="K1766" s="966"/>
      <c r="L1766" s="966"/>
      <c r="M1766" s="971"/>
    </row>
    <row r="1767" spans="1:13">
      <c r="A1767" s="966"/>
      <c r="B1767" s="966"/>
      <c r="C1767" s="966"/>
      <c r="D1767" s="966"/>
      <c r="E1767" s="966"/>
      <c r="F1767" s="966"/>
      <c r="G1767" s="966"/>
      <c r="H1767" s="995"/>
      <c r="I1767" s="966"/>
      <c r="J1767" s="966"/>
      <c r="K1767" s="966"/>
      <c r="L1767" s="966"/>
      <c r="M1767" s="971"/>
    </row>
    <row r="1768" spans="1:13">
      <c r="A1768" s="966"/>
      <c r="B1768" s="966"/>
      <c r="C1768" s="966"/>
      <c r="D1768" s="966"/>
      <c r="E1768" s="966"/>
      <c r="F1768" s="966"/>
      <c r="G1768" s="966"/>
      <c r="H1768" s="995"/>
      <c r="I1768" s="966"/>
      <c r="J1768" s="966"/>
      <c r="K1768" s="966"/>
      <c r="L1768" s="966"/>
      <c r="M1768" s="971"/>
    </row>
    <row r="1769" spans="1:13">
      <c r="A1769" s="966"/>
      <c r="B1769" s="966"/>
      <c r="C1769" s="966"/>
      <c r="D1769" s="966"/>
      <c r="E1769" s="966"/>
      <c r="F1769" s="966"/>
      <c r="G1769" s="966"/>
      <c r="H1769" s="995"/>
      <c r="I1769" s="966"/>
      <c r="J1769" s="966"/>
      <c r="K1769" s="966"/>
      <c r="L1769" s="966"/>
      <c r="M1769" s="971"/>
    </row>
    <row r="1770" spans="1:13">
      <c r="A1770" s="966"/>
      <c r="B1770" s="966"/>
      <c r="C1770" s="966"/>
      <c r="D1770" s="966"/>
      <c r="E1770" s="966"/>
      <c r="F1770" s="966"/>
      <c r="G1770" s="966"/>
      <c r="H1770" s="995"/>
      <c r="I1770" s="966"/>
      <c r="J1770" s="966"/>
      <c r="K1770" s="966"/>
      <c r="L1770" s="966"/>
      <c r="M1770" s="971"/>
    </row>
    <row r="1771" spans="1:13">
      <c r="A1771" s="966"/>
      <c r="B1771" s="966"/>
      <c r="C1771" s="966"/>
      <c r="D1771" s="966"/>
      <c r="E1771" s="966"/>
      <c r="F1771" s="966"/>
      <c r="G1771" s="966"/>
      <c r="H1771" s="995"/>
      <c r="I1771" s="966"/>
      <c r="J1771" s="966"/>
      <c r="K1771" s="966"/>
      <c r="L1771" s="966"/>
      <c r="M1771" s="971"/>
    </row>
    <row r="1772" spans="1:13">
      <c r="A1772" s="966"/>
      <c r="B1772" s="966"/>
      <c r="C1772" s="966"/>
      <c r="D1772" s="966"/>
      <c r="E1772" s="966"/>
      <c r="F1772" s="966"/>
      <c r="G1772" s="966"/>
      <c r="H1772" s="995"/>
      <c r="I1772" s="966"/>
      <c r="J1772" s="966"/>
      <c r="K1772" s="966"/>
      <c r="L1772" s="966"/>
      <c r="M1772" s="971"/>
    </row>
    <row r="1773" spans="1:13">
      <c r="A1773" s="966"/>
      <c r="B1773" s="966"/>
      <c r="C1773" s="966"/>
      <c r="D1773" s="966"/>
      <c r="E1773" s="966"/>
      <c r="F1773" s="966"/>
      <c r="G1773" s="966"/>
      <c r="H1773" s="995"/>
      <c r="I1773" s="966"/>
      <c r="J1773" s="966"/>
      <c r="K1773" s="966"/>
      <c r="L1773" s="966"/>
      <c r="M1773" s="971"/>
    </row>
    <row r="1774" spans="1:13">
      <c r="A1774" s="966"/>
      <c r="B1774" s="966"/>
      <c r="C1774" s="966"/>
      <c r="D1774" s="966"/>
      <c r="E1774" s="966"/>
      <c r="F1774" s="966"/>
      <c r="G1774" s="966"/>
      <c r="H1774" s="995"/>
      <c r="I1774" s="966"/>
      <c r="J1774" s="966"/>
      <c r="K1774" s="966"/>
      <c r="L1774" s="966"/>
      <c r="M1774" s="971"/>
    </row>
    <row r="1775" spans="1:13">
      <c r="A1775" s="966"/>
      <c r="B1775" s="966"/>
      <c r="C1775" s="966"/>
      <c r="D1775" s="966"/>
      <c r="E1775" s="966"/>
      <c r="F1775" s="966"/>
      <c r="G1775" s="966"/>
      <c r="H1775" s="995"/>
      <c r="I1775" s="966"/>
      <c r="J1775" s="966"/>
      <c r="K1775" s="966"/>
      <c r="L1775" s="966"/>
      <c r="M1775" s="971"/>
    </row>
    <row r="1776" spans="1:13">
      <c r="A1776" s="966"/>
      <c r="B1776" s="966"/>
      <c r="C1776" s="966"/>
      <c r="D1776" s="966"/>
      <c r="E1776" s="966"/>
      <c r="F1776" s="966"/>
      <c r="G1776" s="966"/>
      <c r="H1776" s="995"/>
      <c r="I1776" s="966"/>
      <c r="J1776" s="966"/>
      <c r="K1776" s="966"/>
      <c r="L1776" s="966"/>
      <c r="M1776" s="971"/>
    </row>
    <row r="1777" spans="1:13">
      <c r="A1777" s="966"/>
      <c r="B1777" s="966"/>
      <c r="C1777" s="966"/>
      <c r="D1777" s="966"/>
      <c r="E1777" s="966"/>
      <c r="F1777" s="966"/>
      <c r="G1777" s="966"/>
      <c r="H1777" s="995"/>
      <c r="I1777" s="966"/>
      <c r="J1777" s="966"/>
      <c r="K1777" s="966"/>
      <c r="L1777" s="966"/>
      <c r="M1777" s="971"/>
    </row>
    <row r="1778" spans="1:13">
      <c r="A1778" s="966"/>
      <c r="B1778" s="966"/>
      <c r="C1778" s="966"/>
      <c r="D1778" s="966"/>
      <c r="E1778" s="966"/>
      <c r="F1778" s="966"/>
      <c r="G1778" s="966"/>
      <c r="H1778" s="995"/>
      <c r="I1778" s="966"/>
      <c r="J1778" s="966"/>
      <c r="K1778" s="966"/>
      <c r="L1778" s="966"/>
      <c r="M1778" s="971"/>
    </row>
    <row r="1779" spans="1:13">
      <c r="A1779" s="966"/>
      <c r="B1779" s="966"/>
      <c r="C1779" s="966"/>
      <c r="D1779" s="966"/>
      <c r="E1779" s="966"/>
      <c r="F1779" s="966"/>
      <c r="G1779" s="966"/>
      <c r="H1779" s="995"/>
      <c r="I1779" s="966"/>
      <c r="J1779" s="966"/>
      <c r="K1779" s="966"/>
      <c r="L1779" s="966"/>
      <c r="M1779" s="971"/>
    </row>
    <row r="1780" spans="1:13">
      <c r="A1780" s="966"/>
      <c r="B1780" s="966"/>
      <c r="C1780" s="966"/>
      <c r="D1780" s="966"/>
      <c r="E1780" s="966"/>
      <c r="F1780" s="966"/>
      <c r="G1780" s="966"/>
      <c r="H1780" s="995"/>
      <c r="I1780" s="966"/>
      <c r="J1780" s="966"/>
      <c r="K1780" s="966"/>
      <c r="L1780" s="966"/>
      <c r="M1780" s="971"/>
    </row>
    <row r="1781" spans="1:13">
      <c r="A1781" s="966"/>
      <c r="B1781" s="966"/>
      <c r="C1781" s="966"/>
      <c r="D1781" s="966"/>
      <c r="E1781" s="966"/>
      <c r="F1781" s="966"/>
      <c r="G1781" s="966"/>
      <c r="H1781" s="995"/>
      <c r="I1781" s="966"/>
      <c r="J1781" s="966"/>
      <c r="K1781" s="966"/>
      <c r="L1781" s="966"/>
      <c r="M1781" s="971"/>
    </row>
    <row r="1782" spans="1:13">
      <c r="A1782" s="966"/>
      <c r="B1782" s="966"/>
      <c r="C1782" s="966"/>
      <c r="D1782" s="966"/>
      <c r="E1782" s="966"/>
      <c r="F1782" s="966"/>
      <c r="G1782" s="966"/>
      <c r="H1782" s="995"/>
      <c r="I1782" s="966"/>
      <c r="J1782" s="966"/>
      <c r="K1782" s="966"/>
      <c r="L1782" s="966"/>
      <c r="M1782" s="971"/>
    </row>
    <row r="1783" spans="1:13">
      <c r="A1783" s="966"/>
      <c r="B1783" s="966"/>
      <c r="C1783" s="966"/>
      <c r="D1783" s="966"/>
      <c r="E1783" s="966"/>
      <c r="F1783" s="966"/>
      <c r="G1783" s="966"/>
      <c r="H1783" s="995"/>
      <c r="I1783" s="966"/>
      <c r="J1783" s="966"/>
      <c r="K1783" s="966"/>
      <c r="L1783" s="966"/>
      <c r="M1783" s="971"/>
    </row>
    <row r="1784" spans="1:13">
      <c r="A1784" s="966"/>
      <c r="B1784" s="966"/>
      <c r="C1784" s="966"/>
      <c r="D1784" s="966"/>
      <c r="E1784" s="966"/>
      <c r="F1784" s="966"/>
      <c r="G1784" s="966"/>
      <c r="H1784" s="995"/>
      <c r="I1784" s="966"/>
      <c r="J1784" s="966"/>
      <c r="K1784" s="966"/>
      <c r="L1784" s="966"/>
      <c r="M1784" s="971"/>
    </row>
    <row r="1785" spans="1:13">
      <c r="A1785" s="966"/>
      <c r="B1785" s="966"/>
      <c r="C1785" s="966"/>
      <c r="D1785" s="966"/>
      <c r="E1785" s="966"/>
      <c r="F1785" s="966"/>
      <c r="G1785" s="966"/>
      <c r="H1785" s="995"/>
      <c r="I1785" s="966"/>
      <c r="J1785" s="966"/>
      <c r="K1785" s="966"/>
      <c r="L1785" s="966"/>
      <c r="M1785" s="971"/>
    </row>
    <row r="1786" spans="1:13">
      <c r="A1786" s="966"/>
      <c r="B1786" s="966"/>
      <c r="C1786" s="966"/>
      <c r="D1786" s="966"/>
      <c r="E1786" s="966"/>
      <c r="F1786" s="966"/>
      <c r="G1786" s="966"/>
      <c r="H1786" s="995"/>
      <c r="I1786" s="966"/>
      <c r="J1786" s="966"/>
      <c r="K1786" s="966"/>
      <c r="L1786" s="966"/>
      <c r="M1786" s="971"/>
    </row>
    <row r="1787" spans="1:13">
      <c r="A1787" s="966"/>
      <c r="B1787" s="966"/>
      <c r="C1787" s="966"/>
      <c r="D1787" s="966"/>
      <c r="E1787" s="966"/>
      <c r="F1787" s="966"/>
      <c r="G1787" s="966"/>
      <c r="H1787" s="995"/>
      <c r="I1787" s="966"/>
      <c r="J1787" s="966"/>
      <c r="K1787" s="966"/>
      <c r="L1787" s="966"/>
      <c r="M1787" s="971"/>
    </row>
    <row r="1788" spans="1:13">
      <c r="A1788" s="966"/>
      <c r="B1788" s="966"/>
      <c r="C1788" s="966"/>
      <c r="D1788" s="966"/>
      <c r="E1788" s="966"/>
      <c r="F1788" s="966"/>
      <c r="G1788" s="966"/>
      <c r="H1788" s="995"/>
      <c r="I1788" s="966"/>
      <c r="J1788" s="966"/>
      <c r="K1788" s="966"/>
      <c r="L1788" s="966"/>
      <c r="M1788" s="971"/>
    </row>
    <row r="1789" spans="1:13">
      <c r="A1789" s="966"/>
      <c r="B1789" s="966"/>
      <c r="C1789" s="966"/>
      <c r="D1789" s="966"/>
      <c r="E1789" s="966"/>
      <c r="F1789" s="966"/>
      <c r="G1789" s="966"/>
      <c r="H1789" s="995"/>
      <c r="I1789" s="966"/>
      <c r="J1789" s="966"/>
      <c r="K1789" s="966"/>
      <c r="L1789" s="966"/>
      <c r="M1789" s="971"/>
    </row>
    <row r="1790" spans="1:13">
      <c r="A1790" s="966"/>
      <c r="B1790" s="966"/>
      <c r="C1790" s="966"/>
      <c r="D1790" s="966"/>
      <c r="E1790" s="966"/>
      <c r="F1790" s="966"/>
      <c r="G1790" s="966"/>
      <c r="H1790" s="995"/>
      <c r="I1790" s="966"/>
      <c r="J1790" s="966"/>
      <c r="K1790" s="966"/>
      <c r="L1790" s="966"/>
      <c r="M1790" s="971"/>
    </row>
    <row r="1791" spans="1:13">
      <c r="A1791" s="966"/>
      <c r="B1791" s="966"/>
      <c r="C1791" s="966"/>
      <c r="D1791" s="966"/>
      <c r="E1791" s="966"/>
      <c r="F1791" s="966"/>
      <c r="G1791" s="966"/>
      <c r="H1791" s="995"/>
      <c r="I1791" s="966"/>
      <c r="J1791" s="966"/>
      <c r="K1791" s="966"/>
      <c r="L1791" s="966"/>
      <c r="M1791" s="971"/>
    </row>
    <row r="1792" spans="1:13">
      <c r="A1792" s="966"/>
      <c r="B1792" s="966"/>
      <c r="C1792" s="966"/>
      <c r="D1792" s="966"/>
      <c r="E1792" s="966"/>
      <c r="F1792" s="966"/>
      <c r="G1792" s="966"/>
      <c r="H1792" s="995"/>
      <c r="I1792" s="966"/>
      <c r="J1792" s="966"/>
      <c r="K1792" s="966"/>
      <c r="L1792" s="966"/>
      <c r="M1792" s="971"/>
    </row>
    <row r="1793" spans="1:13">
      <c r="A1793" s="966"/>
      <c r="B1793" s="966"/>
      <c r="C1793" s="966"/>
      <c r="D1793" s="966"/>
      <c r="E1793" s="966"/>
      <c r="F1793" s="966"/>
      <c r="G1793" s="966"/>
      <c r="H1793" s="995"/>
      <c r="I1793" s="966"/>
      <c r="J1793" s="966"/>
      <c r="K1793" s="966"/>
      <c r="L1793" s="966"/>
      <c r="M1793" s="971"/>
    </row>
    <row r="1794" spans="1:13">
      <c r="A1794" s="966"/>
      <c r="B1794" s="966"/>
      <c r="C1794" s="966"/>
      <c r="D1794" s="966"/>
      <c r="E1794" s="966"/>
      <c r="F1794" s="966"/>
      <c r="G1794" s="966"/>
      <c r="H1794" s="995"/>
      <c r="I1794" s="966"/>
      <c r="J1794" s="966"/>
      <c r="K1794" s="966"/>
      <c r="L1794" s="966"/>
      <c r="M1794" s="971"/>
    </row>
    <row r="1795" spans="1:13">
      <c r="A1795" s="966"/>
      <c r="B1795" s="966"/>
      <c r="C1795" s="966"/>
      <c r="D1795" s="966"/>
      <c r="E1795" s="966"/>
      <c r="F1795" s="966"/>
      <c r="G1795" s="966"/>
      <c r="H1795" s="995"/>
      <c r="I1795" s="966"/>
      <c r="J1795" s="966"/>
      <c r="K1795" s="966"/>
      <c r="L1795" s="966"/>
      <c r="M1795" s="971"/>
    </row>
    <row r="1796" spans="1:13">
      <c r="A1796" s="966"/>
      <c r="B1796" s="966"/>
      <c r="C1796" s="966"/>
      <c r="D1796" s="966"/>
      <c r="E1796" s="966"/>
      <c r="F1796" s="966"/>
      <c r="G1796" s="966"/>
      <c r="H1796" s="995"/>
      <c r="I1796" s="966"/>
      <c r="J1796" s="966"/>
      <c r="K1796" s="966"/>
      <c r="L1796" s="966"/>
      <c r="M1796" s="971"/>
    </row>
    <row r="1797" spans="1:13">
      <c r="A1797" s="966"/>
      <c r="B1797" s="966"/>
      <c r="C1797" s="966"/>
      <c r="D1797" s="966"/>
      <c r="E1797" s="966"/>
      <c r="F1797" s="966"/>
      <c r="G1797" s="966"/>
      <c r="H1797" s="995"/>
      <c r="I1797" s="966"/>
      <c r="J1797" s="966"/>
      <c r="K1797" s="966"/>
      <c r="L1797" s="966"/>
      <c r="M1797" s="971"/>
    </row>
    <row r="1798" spans="1:13">
      <c r="A1798" s="966"/>
      <c r="B1798" s="966"/>
      <c r="C1798" s="966"/>
      <c r="D1798" s="966"/>
      <c r="E1798" s="966"/>
      <c r="F1798" s="966"/>
      <c r="G1798" s="966"/>
      <c r="H1798" s="995"/>
      <c r="I1798" s="966"/>
      <c r="J1798" s="966"/>
      <c r="K1798" s="966"/>
      <c r="L1798" s="966"/>
      <c r="M1798" s="971"/>
    </row>
    <row r="1799" spans="1:13">
      <c r="A1799" s="966"/>
      <c r="B1799" s="966"/>
      <c r="C1799" s="966"/>
      <c r="D1799" s="966"/>
      <c r="E1799" s="966"/>
      <c r="F1799" s="966"/>
      <c r="G1799" s="966"/>
      <c r="H1799" s="995"/>
      <c r="I1799" s="966"/>
      <c r="J1799" s="966"/>
      <c r="K1799" s="966"/>
      <c r="L1799" s="966"/>
      <c r="M1799" s="971"/>
    </row>
    <row r="1800" spans="1:13">
      <c r="A1800" s="966"/>
      <c r="B1800" s="966"/>
      <c r="C1800" s="966"/>
      <c r="D1800" s="966"/>
      <c r="E1800" s="966"/>
      <c r="F1800" s="966"/>
      <c r="G1800" s="966"/>
      <c r="H1800" s="995"/>
      <c r="I1800" s="966"/>
      <c r="J1800" s="966"/>
      <c r="K1800" s="966"/>
      <c r="L1800" s="966"/>
      <c r="M1800" s="971"/>
    </row>
    <row r="1801" spans="1:13">
      <c r="A1801" s="966"/>
      <c r="B1801" s="966"/>
      <c r="C1801" s="966"/>
      <c r="D1801" s="966"/>
      <c r="E1801" s="966"/>
      <c r="F1801" s="966"/>
      <c r="G1801" s="966"/>
      <c r="H1801" s="995"/>
      <c r="I1801" s="966"/>
      <c r="J1801" s="966"/>
      <c r="K1801" s="966"/>
      <c r="L1801" s="966"/>
      <c r="M1801" s="971"/>
    </row>
    <row r="1802" spans="1:13">
      <c r="A1802" s="966"/>
      <c r="B1802" s="966"/>
      <c r="C1802" s="966"/>
      <c r="D1802" s="966"/>
      <c r="E1802" s="966"/>
      <c r="F1802" s="966"/>
      <c r="G1802" s="966"/>
      <c r="H1802" s="995"/>
      <c r="I1802" s="966"/>
      <c r="J1802" s="966"/>
      <c r="K1802" s="966"/>
      <c r="L1802" s="966"/>
      <c r="M1802" s="971"/>
    </row>
    <row r="1803" spans="1:13">
      <c r="A1803" s="966"/>
      <c r="B1803" s="966"/>
      <c r="C1803" s="966"/>
      <c r="D1803" s="966"/>
      <c r="E1803" s="966"/>
      <c r="F1803" s="966"/>
      <c r="G1803" s="966"/>
      <c r="H1803" s="995"/>
      <c r="I1803" s="966"/>
      <c r="J1803" s="966"/>
      <c r="K1803" s="966"/>
      <c r="L1803" s="966"/>
      <c r="M1803" s="971"/>
    </row>
    <row r="1804" spans="1:13">
      <c r="A1804" s="966"/>
      <c r="B1804" s="966"/>
      <c r="C1804" s="966"/>
      <c r="D1804" s="966"/>
      <c r="E1804" s="966"/>
      <c r="F1804" s="966"/>
      <c r="G1804" s="966"/>
      <c r="H1804" s="995"/>
      <c r="I1804" s="966"/>
      <c r="J1804" s="966"/>
      <c r="K1804" s="966"/>
      <c r="L1804" s="966"/>
      <c r="M1804" s="971"/>
    </row>
    <row r="1805" spans="1:13">
      <c r="A1805" s="966"/>
      <c r="B1805" s="966"/>
      <c r="C1805" s="966"/>
      <c r="D1805" s="966"/>
      <c r="E1805" s="966"/>
      <c r="F1805" s="966"/>
      <c r="G1805" s="966"/>
      <c r="H1805" s="995"/>
      <c r="I1805" s="966"/>
      <c r="J1805" s="966"/>
      <c r="K1805" s="966"/>
      <c r="L1805" s="966"/>
      <c r="M1805" s="971"/>
    </row>
    <row r="1806" spans="1:13">
      <c r="A1806" s="966"/>
      <c r="B1806" s="966"/>
      <c r="C1806" s="966"/>
      <c r="D1806" s="966"/>
      <c r="E1806" s="966"/>
      <c r="F1806" s="966"/>
      <c r="G1806" s="966"/>
      <c r="H1806" s="995"/>
      <c r="I1806" s="966"/>
      <c r="J1806" s="966"/>
      <c r="K1806" s="966"/>
      <c r="L1806" s="966"/>
      <c r="M1806" s="971"/>
    </row>
    <row r="1807" spans="1:13">
      <c r="A1807" s="966"/>
      <c r="B1807" s="966"/>
      <c r="C1807" s="966"/>
      <c r="D1807" s="966"/>
      <c r="E1807" s="966"/>
      <c r="F1807" s="966"/>
      <c r="G1807" s="966"/>
      <c r="H1807" s="995"/>
      <c r="I1807" s="966"/>
      <c r="J1807" s="966"/>
      <c r="K1807" s="966"/>
      <c r="L1807" s="966"/>
      <c r="M1807" s="971"/>
    </row>
    <row r="1808" spans="1:13">
      <c r="A1808" s="966"/>
      <c r="B1808" s="966"/>
      <c r="C1808" s="966"/>
      <c r="D1808" s="966"/>
      <c r="E1808" s="966"/>
      <c r="F1808" s="966"/>
      <c r="G1808" s="966"/>
      <c r="H1808" s="995"/>
      <c r="I1808" s="966"/>
      <c r="J1808" s="966"/>
      <c r="K1808" s="966"/>
      <c r="L1808" s="966"/>
      <c r="M1808" s="971"/>
    </row>
    <row r="1809" spans="1:13">
      <c r="A1809" s="966"/>
      <c r="B1809" s="966"/>
      <c r="C1809" s="966"/>
      <c r="D1809" s="966"/>
      <c r="E1809" s="966"/>
      <c r="F1809" s="966"/>
      <c r="G1809" s="966"/>
      <c r="H1809" s="995"/>
      <c r="I1809" s="966"/>
      <c r="J1809" s="966"/>
      <c r="K1809" s="966"/>
      <c r="L1809" s="966"/>
      <c r="M1809" s="971"/>
    </row>
    <row r="1810" spans="1:13">
      <c r="A1810" s="966"/>
      <c r="B1810" s="966"/>
      <c r="C1810" s="966"/>
      <c r="D1810" s="966"/>
      <c r="E1810" s="966"/>
      <c r="F1810" s="966"/>
      <c r="G1810" s="966"/>
      <c r="H1810" s="995"/>
      <c r="I1810" s="966"/>
      <c r="J1810" s="966"/>
      <c r="K1810" s="966"/>
      <c r="L1810" s="966"/>
      <c r="M1810" s="971"/>
    </row>
    <row r="1811" spans="1:13">
      <c r="A1811" s="966"/>
      <c r="B1811" s="966"/>
      <c r="C1811" s="966"/>
      <c r="D1811" s="966"/>
      <c r="E1811" s="966"/>
      <c r="F1811" s="966"/>
      <c r="G1811" s="966"/>
      <c r="H1811" s="995"/>
      <c r="I1811" s="966"/>
      <c r="J1811" s="966"/>
      <c r="K1811" s="966"/>
      <c r="L1811" s="966"/>
      <c r="M1811" s="971"/>
    </row>
    <row r="1812" spans="1:13">
      <c r="A1812" s="966"/>
      <c r="B1812" s="966"/>
      <c r="C1812" s="966"/>
      <c r="D1812" s="966"/>
      <c r="E1812" s="966"/>
      <c r="F1812" s="966"/>
      <c r="G1812" s="966"/>
      <c r="H1812" s="995"/>
      <c r="I1812" s="966"/>
      <c r="J1812" s="966"/>
      <c r="K1812" s="966"/>
      <c r="L1812" s="966"/>
      <c r="M1812" s="971"/>
    </row>
    <row r="1813" spans="1:13">
      <c r="A1813" s="966"/>
      <c r="B1813" s="966"/>
      <c r="C1813" s="966"/>
      <c r="D1813" s="966"/>
      <c r="E1813" s="966"/>
      <c r="F1813" s="966"/>
      <c r="G1813" s="966"/>
      <c r="H1813" s="995"/>
      <c r="I1813" s="966"/>
      <c r="J1813" s="966"/>
      <c r="K1813" s="966"/>
      <c r="L1813" s="966"/>
      <c r="M1813" s="971"/>
    </row>
    <row r="1814" spans="1:13">
      <c r="A1814" s="966"/>
      <c r="B1814" s="966"/>
      <c r="C1814" s="966"/>
      <c r="D1814" s="966"/>
      <c r="E1814" s="966"/>
      <c r="F1814" s="966"/>
      <c r="G1814" s="966"/>
      <c r="H1814" s="995"/>
      <c r="I1814" s="966"/>
      <c r="J1814" s="966"/>
      <c r="K1814" s="966"/>
      <c r="L1814" s="966"/>
      <c r="M1814" s="971"/>
    </row>
    <row r="1815" spans="1:13">
      <c r="A1815" s="966"/>
      <c r="B1815" s="966"/>
      <c r="C1815" s="966"/>
      <c r="D1815" s="966"/>
      <c r="E1815" s="966"/>
      <c r="F1815" s="966"/>
      <c r="G1815" s="966"/>
      <c r="H1815" s="995"/>
      <c r="I1815" s="966"/>
      <c r="J1815" s="966"/>
      <c r="K1815" s="966"/>
      <c r="L1815" s="966"/>
      <c r="M1815" s="971"/>
    </row>
    <row r="1816" spans="1:13">
      <c r="A1816" s="966"/>
      <c r="B1816" s="966"/>
      <c r="C1816" s="966"/>
      <c r="D1816" s="966"/>
      <c r="E1816" s="966"/>
      <c r="F1816" s="966"/>
      <c r="G1816" s="966"/>
      <c r="H1816" s="995"/>
      <c r="I1816" s="966"/>
      <c r="J1816" s="966"/>
      <c r="K1816" s="966"/>
      <c r="L1816" s="966"/>
      <c r="M1816" s="971"/>
    </row>
    <row r="1817" spans="1:13">
      <c r="A1817" s="966"/>
      <c r="B1817" s="966"/>
      <c r="C1817" s="966"/>
      <c r="D1817" s="966"/>
      <c r="E1817" s="966"/>
      <c r="F1817" s="966"/>
      <c r="G1817" s="966"/>
      <c r="H1817" s="995"/>
      <c r="I1817" s="966"/>
      <c r="J1817" s="966"/>
      <c r="K1817" s="966"/>
      <c r="L1817" s="966"/>
      <c r="M1817" s="971"/>
    </row>
    <row r="1818" spans="1:13">
      <c r="A1818" s="966"/>
      <c r="B1818" s="966"/>
      <c r="C1818" s="966"/>
      <c r="D1818" s="966"/>
      <c r="E1818" s="966"/>
      <c r="F1818" s="966"/>
      <c r="G1818" s="966"/>
      <c r="H1818" s="995"/>
      <c r="I1818" s="966"/>
      <c r="J1818" s="966"/>
      <c r="K1818" s="966"/>
      <c r="L1818" s="966"/>
      <c r="M1818" s="971"/>
    </row>
    <row r="1819" spans="1:13">
      <c r="A1819" s="966"/>
      <c r="B1819" s="966"/>
      <c r="C1819" s="966"/>
      <c r="D1819" s="966"/>
      <c r="E1819" s="966"/>
      <c r="F1819" s="966"/>
      <c r="G1819" s="966"/>
      <c r="H1819" s="995"/>
      <c r="I1819" s="966"/>
      <c r="J1819" s="966"/>
      <c r="K1819" s="966"/>
      <c r="L1819" s="966"/>
      <c r="M1819" s="971"/>
    </row>
    <row r="1820" spans="1:13">
      <c r="A1820" s="966"/>
      <c r="B1820" s="966"/>
      <c r="C1820" s="966"/>
      <c r="D1820" s="966"/>
      <c r="E1820" s="966"/>
      <c r="F1820" s="966"/>
      <c r="G1820" s="966"/>
      <c r="H1820" s="995"/>
      <c r="I1820" s="966"/>
      <c r="J1820" s="966"/>
      <c r="K1820" s="966"/>
      <c r="L1820" s="966"/>
      <c r="M1820" s="971"/>
    </row>
    <row r="1821" spans="1:13">
      <c r="A1821" s="966"/>
      <c r="B1821" s="966"/>
      <c r="C1821" s="966"/>
      <c r="D1821" s="966"/>
      <c r="E1821" s="966"/>
      <c r="F1821" s="966"/>
      <c r="G1821" s="966"/>
      <c r="H1821" s="995"/>
      <c r="I1821" s="966"/>
      <c r="J1821" s="966"/>
      <c r="K1821" s="966"/>
      <c r="L1821" s="966"/>
      <c r="M1821" s="971"/>
    </row>
    <row r="1822" spans="1:13">
      <c r="A1822" s="966"/>
      <c r="B1822" s="966"/>
      <c r="C1822" s="966"/>
      <c r="D1822" s="966"/>
      <c r="E1822" s="966"/>
      <c r="F1822" s="966"/>
      <c r="G1822" s="966"/>
      <c r="H1822" s="995"/>
      <c r="I1822" s="966"/>
      <c r="J1822" s="966"/>
      <c r="K1822" s="966"/>
      <c r="L1822" s="966"/>
      <c r="M1822" s="971"/>
    </row>
    <row r="1823" spans="1:13">
      <c r="A1823" s="966"/>
      <c r="B1823" s="966"/>
      <c r="C1823" s="966"/>
      <c r="D1823" s="966"/>
      <c r="E1823" s="966"/>
      <c r="F1823" s="966"/>
      <c r="G1823" s="966"/>
      <c r="H1823" s="995"/>
      <c r="I1823" s="966"/>
      <c r="J1823" s="966"/>
      <c r="K1823" s="966"/>
      <c r="L1823" s="966"/>
      <c r="M1823" s="971"/>
    </row>
    <row r="1824" spans="1:13">
      <c r="A1824" s="966"/>
      <c r="B1824" s="966"/>
      <c r="C1824" s="966"/>
      <c r="D1824" s="966"/>
      <c r="E1824" s="966"/>
      <c r="F1824" s="966"/>
      <c r="G1824" s="966"/>
      <c r="H1824" s="995"/>
      <c r="I1824" s="966"/>
      <c r="J1824" s="966"/>
      <c r="K1824" s="966"/>
      <c r="L1824" s="966"/>
      <c r="M1824" s="971"/>
    </row>
    <row r="1825" spans="1:13">
      <c r="A1825" s="966"/>
      <c r="B1825" s="966"/>
      <c r="C1825" s="966"/>
      <c r="D1825" s="966"/>
      <c r="E1825" s="966"/>
      <c r="F1825" s="966"/>
      <c r="G1825" s="966"/>
      <c r="H1825" s="995"/>
      <c r="I1825" s="966"/>
      <c r="J1825" s="966"/>
      <c r="K1825" s="966"/>
      <c r="L1825" s="966"/>
      <c r="M1825" s="971"/>
    </row>
    <row r="1826" spans="1:13">
      <c r="A1826" s="966"/>
      <c r="B1826" s="966"/>
      <c r="C1826" s="966"/>
      <c r="D1826" s="966"/>
      <c r="E1826" s="966"/>
      <c r="F1826" s="966"/>
      <c r="G1826" s="966"/>
      <c r="H1826" s="995"/>
      <c r="I1826" s="966"/>
      <c r="J1826" s="966"/>
      <c r="K1826" s="966"/>
      <c r="L1826" s="966"/>
      <c r="M1826" s="971"/>
    </row>
    <row r="1827" spans="1:13">
      <c r="A1827" s="966"/>
      <c r="B1827" s="966"/>
      <c r="C1827" s="966"/>
      <c r="D1827" s="966"/>
      <c r="E1827" s="966"/>
      <c r="F1827" s="966"/>
      <c r="G1827" s="966"/>
      <c r="H1827" s="995"/>
      <c r="I1827" s="966"/>
      <c r="J1827" s="966"/>
      <c r="K1827" s="966"/>
      <c r="L1827" s="966"/>
      <c r="M1827" s="971"/>
    </row>
    <row r="1828" spans="1:13">
      <c r="A1828" s="966"/>
      <c r="B1828" s="966"/>
      <c r="C1828" s="966"/>
      <c r="D1828" s="966"/>
      <c r="E1828" s="966"/>
      <c r="F1828" s="966"/>
      <c r="G1828" s="966"/>
      <c r="H1828" s="995"/>
      <c r="I1828" s="966"/>
      <c r="J1828" s="966"/>
      <c r="K1828" s="966"/>
      <c r="L1828" s="966"/>
      <c r="M1828" s="971"/>
    </row>
    <row r="1829" spans="1:13">
      <c r="A1829" s="966"/>
      <c r="B1829" s="966"/>
      <c r="C1829" s="966"/>
      <c r="D1829" s="966"/>
      <c r="E1829" s="966"/>
      <c r="F1829" s="966"/>
      <c r="G1829" s="966"/>
      <c r="H1829" s="995"/>
      <c r="I1829" s="966"/>
      <c r="J1829" s="966"/>
      <c r="K1829" s="966"/>
      <c r="L1829" s="966"/>
      <c r="M1829" s="971"/>
    </row>
    <row r="1830" spans="1:13">
      <c r="A1830" s="966"/>
      <c r="B1830" s="966"/>
      <c r="C1830" s="966"/>
      <c r="D1830" s="966"/>
      <c r="E1830" s="966"/>
      <c r="F1830" s="966"/>
      <c r="G1830" s="966"/>
      <c r="H1830" s="995"/>
      <c r="I1830" s="966"/>
      <c r="J1830" s="966"/>
      <c r="K1830" s="966"/>
      <c r="L1830" s="966"/>
      <c r="M1830" s="971"/>
    </row>
    <row r="1831" spans="1:13">
      <c r="A1831" s="966"/>
      <c r="B1831" s="966"/>
      <c r="C1831" s="966"/>
      <c r="D1831" s="966"/>
      <c r="E1831" s="966"/>
      <c r="F1831" s="966"/>
      <c r="G1831" s="966"/>
      <c r="H1831" s="995"/>
      <c r="I1831" s="966"/>
      <c r="J1831" s="966"/>
      <c r="K1831" s="966"/>
      <c r="L1831" s="966"/>
      <c r="M1831" s="971"/>
    </row>
    <row r="1832" spans="1:13">
      <c r="A1832" s="966"/>
      <c r="B1832" s="966"/>
      <c r="C1832" s="966"/>
      <c r="D1832" s="966"/>
      <c r="E1832" s="966"/>
      <c r="F1832" s="966"/>
      <c r="G1832" s="966"/>
      <c r="H1832" s="995"/>
      <c r="I1832" s="966"/>
      <c r="J1832" s="966"/>
      <c r="K1832" s="966"/>
      <c r="L1832" s="966"/>
      <c r="M1832" s="971"/>
    </row>
    <row r="1833" spans="1:13">
      <c r="A1833" s="966"/>
      <c r="B1833" s="966"/>
      <c r="C1833" s="966"/>
      <c r="D1833" s="966"/>
      <c r="E1833" s="966"/>
      <c r="F1833" s="966"/>
      <c r="G1833" s="966"/>
      <c r="H1833" s="995"/>
      <c r="I1833" s="966"/>
      <c r="J1833" s="966"/>
      <c r="K1833" s="966"/>
      <c r="L1833" s="966"/>
      <c r="M1833" s="971"/>
    </row>
    <row r="1834" spans="1:13">
      <c r="A1834" s="966"/>
      <c r="B1834" s="966"/>
      <c r="C1834" s="966"/>
      <c r="D1834" s="966"/>
      <c r="E1834" s="966"/>
      <c r="F1834" s="966"/>
      <c r="G1834" s="966"/>
      <c r="H1834" s="995"/>
      <c r="I1834" s="966"/>
      <c r="J1834" s="966"/>
      <c r="K1834" s="966"/>
      <c r="L1834" s="966"/>
      <c r="M1834" s="971"/>
    </row>
    <row r="1835" spans="1:13">
      <c r="A1835" s="966"/>
      <c r="B1835" s="966"/>
      <c r="C1835" s="966"/>
      <c r="D1835" s="966"/>
      <c r="E1835" s="966"/>
      <c r="F1835" s="966"/>
      <c r="G1835" s="966"/>
      <c r="H1835" s="995"/>
      <c r="I1835" s="966"/>
      <c r="J1835" s="966"/>
      <c r="K1835" s="966"/>
      <c r="L1835" s="966"/>
      <c r="M1835" s="971"/>
    </row>
    <row r="1836" spans="1:13">
      <c r="A1836" s="966"/>
      <c r="B1836" s="966"/>
      <c r="C1836" s="966"/>
      <c r="D1836" s="966"/>
      <c r="E1836" s="966"/>
      <c r="F1836" s="966"/>
      <c r="G1836" s="966"/>
      <c r="H1836" s="995"/>
      <c r="I1836" s="966"/>
      <c r="J1836" s="966"/>
      <c r="K1836" s="966"/>
      <c r="L1836" s="966"/>
      <c r="M1836" s="971"/>
    </row>
    <row r="1837" spans="1:13">
      <c r="A1837" s="966"/>
      <c r="B1837" s="966"/>
      <c r="C1837" s="966"/>
      <c r="D1837" s="966"/>
      <c r="E1837" s="966"/>
      <c r="F1837" s="966"/>
      <c r="G1837" s="966"/>
      <c r="H1837" s="995"/>
      <c r="I1837" s="966"/>
      <c r="J1837" s="966"/>
      <c r="K1837" s="966"/>
      <c r="L1837" s="966"/>
      <c r="M1837" s="971"/>
    </row>
    <row r="1838" spans="1:13">
      <c r="A1838" s="966"/>
      <c r="B1838" s="966"/>
      <c r="C1838" s="966"/>
      <c r="D1838" s="966"/>
      <c r="E1838" s="966"/>
      <c r="F1838" s="966"/>
      <c r="G1838" s="966"/>
      <c r="H1838" s="995"/>
      <c r="I1838" s="966"/>
      <c r="J1838" s="966"/>
      <c r="K1838" s="966"/>
      <c r="L1838" s="966"/>
      <c r="M1838" s="971"/>
    </row>
    <row r="1839" spans="1:13">
      <c r="A1839" s="966"/>
      <c r="B1839" s="966"/>
      <c r="C1839" s="966"/>
      <c r="D1839" s="966"/>
      <c r="E1839" s="966"/>
      <c r="F1839" s="966"/>
      <c r="G1839" s="966"/>
      <c r="H1839" s="995"/>
      <c r="I1839" s="966"/>
      <c r="J1839" s="966"/>
      <c r="K1839" s="966"/>
      <c r="L1839" s="966"/>
      <c r="M1839" s="971"/>
    </row>
    <row r="1840" spans="1:13">
      <c r="A1840" s="966"/>
      <c r="B1840" s="966"/>
      <c r="C1840" s="966"/>
      <c r="D1840" s="966"/>
      <c r="E1840" s="966"/>
      <c r="F1840" s="966"/>
      <c r="G1840" s="966"/>
      <c r="H1840" s="995"/>
      <c r="I1840" s="966"/>
      <c r="J1840" s="966"/>
      <c r="K1840" s="966"/>
      <c r="L1840" s="966"/>
      <c r="M1840" s="971"/>
    </row>
    <row r="1841" spans="1:13">
      <c r="A1841" s="966"/>
      <c r="B1841" s="966"/>
      <c r="C1841" s="966"/>
      <c r="D1841" s="966"/>
      <c r="E1841" s="966"/>
      <c r="F1841" s="966"/>
      <c r="G1841" s="966"/>
      <c r="H1841" s="995"/>
      <c r="I1841" s="966"/>
      <c r="J1841" s="966"/>
      <c r="K1841" s="966"/>
      <c r="L1841" s="966"/>
      <c r="M1841" s="971"/>
    </row>
    <row r="1842" spans="1:13">
      <c r="A1842" s="966"/>
      <c r="B1842" s="966"/>
      <c r="C1842" s="966"/>
      <c r="D1842" s="966"/>
      <c r="E1842" s="966"/>
      <c r="F1842" s="966"/>
      <c r="G1842" s="966"/>
      <c r="H1842" s="995"/>
      <c r="I1842" s="966"/>
      <c r="J1842" s="966"/>
      <c r="K1842" s="966"/>
      <c r="L1842" s="966"/>
      <c r="M1842" s="971"/>
    </row>
    <row r="1843" spans="1:13">
      <c r="A1843" s="966"/>
      <c r="B1843" s="966"/>
      <c r="C1843" s="966"/>
      <c r="D1843" s="966"/>
      <c r="E1843" s="966"/>
      <c r="F1843" s="966"/>
      <c r="G1843" s="966"/>
      <c r="H1843" s="995"/>
      <c r="I1843" s="966"/>
      <c r="J1843" s="966"/>
      <c r="K1843" s="966"/>
      <c r="L1843" s="966"/>
      <c r="M1843" s="971"/>
    </row>
    <row r="1844" spans="1:13">
      <c r="A1844" s="966"/>
      <c r="B1844" s="966"/>
      <c r="C1844" s="966"/>
      <c r="D1844" s="966"/>
      <c r="E1844" s="966"/>
      <c r="F1844" s="966"/>
      <c r="G1844" s="966"/>
      <c r="H1844" s="995"/>
      <c r="I1844" s="966"/>
      <c r="J1844" s="966"/>
      <c r="K1844" s="966"/>
      <c r="L1844" s="966"/>
      <c r="M1844" s="971"/>
    </row>
    <row r="1845" spans="1:13">
      <c r="A1845" s="966"/>
      <c r="B1845" s="966"/>
      <c r="C1845" s="966"/>
      <c r="D1845" s="966"/>
      <c r="E1845" s="966"/>
      <c r="F1845" s="966"/>
      <c r="G1845" s="966"/>
      <c r="H1845" s="995"/>
      <c r="I1845" s="966"/>
      <c r="J1845" s="966"/>
      <c r="K1845" s="966"/>
      <c r="L1845" s="966"/>
      <c r="M1845" s="971"/>
    </row>
    <row r="1846" spans="1:13">
      <c r="A1846" s="966"/>
      <c r="B1846" s="966"/>
      <c r="C1846" s="966"/>
      <c r="D1846" s="966"/>
      <c r="E1846" s="966"/>
      <c r="F1846" s="966"/>
      <c r="G1846" s="966"/>
      <c r="H1846" s="995"/>
      <c r="I1846" s="966"/>
      <c r="J1846" s="966"/>
      <c r="K1846" s="966"/>
      <c r="L1846" s="966"/>
      <c r="M1846" s="971"/>
    </row>
    <row r="1847" spans="1:13">
      <c r="A1847" s="966"/>
      <c r="B1847" s="966"/>
      <c r="C1847" s="966"/>
      <c r="D1847" s="966"/>
      <c r="E1847" s="966"/>
      <c r="F1847" s="966"/>
      <c r="G1847" s="966"/>
      <c r="H1847" s="995"/>
      <c r="I1847" s="966"/>
      <c r="J1847" s="966"/>
      <c r="K1847" s="966"/>
      <c r="L1847" s="966"/>
      <c r="M1847" s="971"/>
    </row>
    <row r="1848" spans="1:13">
      <c r="A1848" s="966"/>
      <c r="B1848" s="966"/>
      <c r="C1848" s="966"/>
      <c r="D1848" s="966"/>
      <c r="E1848" s="966"/>
      <c r="F1848" s="966"/>
      <c r="G1848" s="966"/>
      <c r="H1848" s="995"/>
      <c r="I1848" s="966"/>
      <c r="J1848" s="966"/>
      <c r="K1848" s="966"/>
      <c r="L1848" s="966"/>
      <c r="M1848" s="971"/>
    </row>
    <row r="1849" spans="1:13">
      <c r="A1849" s="966"/>
      <c r="B1849" s="966"/>
      <c r="C1849" s="966"/>
      <c r="D1849" s="966"/>
      <c r="E1849" s="966"/>
      <c r="F1849" s="966"/>
      <c r="G1849" s="966"/>
      <c r="H1849" s="995"/>
      <c r="I1849" s="966"/>
      <c r="J1849" s="966"/>
      <c r="K1849" s="966"/>
      <c r="L1849" s="966"/>
      <c r="M1849" s="971"/>
    </row>
    <row r="1850" spans="1:13">
      <c r="A1850" s="966"/>
      <c r="B1850" s="966"/>
      <c r="C1850" s="966"/>
      <c r="D1850" s="966"/>
      <c r="E1850" s="966"/>
      <c r="F1850" s="966"/>
      <c r="G1850" s="966"/>
      <c r="H1850" s="995"/>
      <c r="I1850" s="966"/>
      <c r="J1850" s="966"/>
      <c r="K1850" s="966"/>
      <c r="L1850" s="966"/>
      <c r="M1850" s="971"/>
    </row>
    <row r="1851" spans="1:13">
      <c r="A1851" s="966"/>
      <c r="B1851" s="966"/>
      <c r="C1851" s="966"/>
      <c r="D1851" s="966"/>
      <c r="E1851" s="966"/>
      <c r="F1851" s="966"/>
      <c r="G1851" s="966"/>
      <c r="H1851" s="995"/>
      <c r="I1851" s="966"/>
      <c r="J1851" s="966"/>
      <c r="K1851" s="966"/>
      <c r="L1851" s="966"/>
      <c r="M1851" s="971"/>
    </row>
    <row r="1852" spans="1:13">
      <c r="A1852" s="966"/>
      <c r="B1852" s="966"/>
      <c r="C1852" s="966"/>
      <c r="D1852" s="966"/>
      <c r="E1852" s="966"/>
      <c r="F1852" s="966"/>
      <c r="G1852" s="966"/>
      <c r="H1852" s="995"/>
      <c r="I1852" s="966"/>
      <c r="J1852" s="966"/>
      <c r="K1852" s="966"/>
      <c r="L1852" s="966"/>
      <c r="M1852" s="971"/>
    </row>
    <row r="1853" spans="1:13">
      <c r="A1853" s="966"/>
      <c r="B1853" s="966"/>
      <c r="C1853" s="966"/>
      <c r="D1853" s="966"/>
      <c r="E1853" s="966"/>
      <c r="F1853" s="966"/>
      <c r="G1853" s="966"/>
      <c r="H1853" s="995"/>
      <c r="I1853" s="966"/>
      <c r="J1853" s="966"/>
      <c r="K1853" s="966"/>
      <c r="L1853" s="966"/>
      <c r="M1853" s="971"/>
    </row>
    <row r="1854" spans="1:13">
      <c r="A1854" s="966"/>
      <c r="B1854" s="966"/>
      <c r="C1854" s="966"/>
      <c r="D1854" s="966"/>
      <c r="E1854" s="966"/>
      <c r="F1854" s="966"/>
      <c r="G1854" s="966"/>
      <c r="H1854" s="995"/>
      <c r="I1854" s="966"/>
      <c r="J1854" s="966"/>
      <c r="K1854" s="966"/>
      <c r="L1854" s="966"/>
      <c r="M1854" s="971"/>
    </row>
    <row r="1855" spans="1:13">
      <c r="A1855" s="966"/>
      <c r="B1855" s="966"/>
      <c r="C1855" s="966"/>
      <c r="D1855" s="966"/>
      <c r="E1855" s="966"/>
      <c r="F1855" s="966"/>
      <c r="G1855" s="966"/>
      <c r="H1855" s="995"/>
      <c r="I1855" s="966"/>
      <c r="J1855" s="966"/>
      <c r="K1855" s="966"/>
      <c r="L1855" s="966"/>
      <c r="M1855" s="971"/>
    </row>
    <row r="1856" spans="1:13">
      <c r="A1856" s="966"/>
      <c r="B1856" s="966"/>
      <c r="C1856" s="966"/>
      <c r="D1856" s="966"/>
      <c r="E1856" s="966"/>
      <c r="F1856" s="966"/>
      <c r="G1856" s="966"/>
      <c r="H1856" s="995"/>
      <c r="I1856" s="966"/>
      <c r="J1856" s="966"/>
      <c r="K1856" s="966"/>
      <c r="L1856" s="966"/>
      <c r="M1856" s="971"/>
    </row>
    <row r="1857" spans="1:13">
      <c r="A1857" s="966"/>
      <c r="B1857" s="966"/>
      <c r="C1857" s="966"/>
      <c r="D1857" s="966"/>
      <c r="E1857" s="966"/>
      <c r="F1857" s="966"/>
      <c r="G1857" s="966"/>
      <c r="H1857" s="995"/>
      <c r="I1857" s="966"/>
      <c r="J1857" s="966"/>
      <c r="K1857" s="966"/>
      <c r="L1857" s="966"/>
      <c r="M1857" s="971"/>
    </row>
    <row r="1858" spans="1:13">
      <c r="A1858" s="966"/>
      <c r="B1858" s="966"/>
      <c r="C1858" s="966"/>
      <c r="D1858" s="966"/>
      <c r="E1858" s="966"/>
      <c r="F1858" s="966"/>
      <c r="G1858" s="966"/>
      <c r="H1858" s="995"/>
      <c r="I1858" s="966"/>
      <c r="J1858" s="966"/>
      <c r="K1858" s="966"/>
      <c r="L1858" s="966"/>
      <c r="M1858" s="971"/>
    </row>
    <row r="1859" spans="1:13">
      <c r="A1859" s="966"/>
      <c r="B1859" s="966"/>
      <c r="C1859" s="966"/>
      <c r="D1859" s="966"/>
      <c r="E1859" s="966"/>
      <c r="F1859" s="966"/>
      <c r="G1859" s="966"/>
      <c r="H1859" s="995"/>
      <c r="I1859" s="966"/>
      <c r="J1859" s="966"/>
      <c r="K1859" s="966"/>
      <c r="L1859" s="966"/>
      <c r="M1859" s="971"/>
    </row>
    <row r="1860" spans="1:13">
      <c r="A1860" s="966"/>
      <c r="B1860" s="966"/>
      <c r="C1860" s="966"/>
      <c r="D1860" s="966"/>
      <c r="E1860" s="966"/>
      <c r="F1860" s="966"/>
      <c r="G1860" s="966"/>
      <c r="H1860" s="995"/>
      <c r="I1860" s="966"/>
      <c r="J1860" s="966"/>
      <c r="K1860" s="966"/>
      <c r="L1860" s="966"/>
      <c r="M1860" s="971"/>
    </row>
    <row r="1861" spans="1:13">
      <c r="A1861" s="966"/>
      <c r="B1861" s="966"/>
      <c r="C1861" s="966"/>
      <c r="D1861" s="966"/>
      <c r="E1861" s="966"/>
      <c r="F1861" s="966"/>
      <c r="G1861" s="966"/>
      <c r="H1861" s="995"/>
      <c r="I1861" s="966"/>
      <c r="J1861" s="966"/>
      <c r="K1861" s="966"/>
      <c r="L1861" s="966"/>
      <c r="M1861" s="971"/>
    </row>
    <row r="1862" spans="1:13">
      <c r="A1862" s="966"/>
      <c r="B1862" s="966"/>
      <c r="C1862" s="966"/>
      <c r="D1862" s="966"/>
      <c r="E1862" s="966"/>
      <c r="F1862" s="966"/>
      <c r="G1862" s="966"/>
      <c r="H1862" s="995"/>
      <c r="I1862" s="966"/>
      <c r="J1862" s="966"/>
      <c r="K1862" s="966"/>
      <c r="L1862" s="966"/>
      <c r="M1862" s="971"/>
    </row>
    <row r="1863" spans="1:13">
      <c r="A1863" s="966"/>
      <c r="B1863" s="966"/>
      <c r="C1863" s="966"/>
      <c r="D1863" s="966"/>
      <c r="E1863" s="966"/>
      <c r="F1863" s="966"/>
      <c r="G1863" s="966"/>
      <c r="H1863" s="995"/>
      <c r="I1863" s="966"/>
      <c r="J1863" s="966"/>
      <c r="K1863" s="966"/>
      <c r="L1863" s="966"/>
      <c r="M1863" s="971"/>
    </row>
    <row r="1864" spans="1:13">
      <c r="A1864" s="966"/>
      <c r="B1864" s="966"/>
      <c r="C1864" s="966"/>
      <c r="D1864" s="966"/>
      <c r="E1864" s="966"/>
      <c r="F1864" s="966"/>
      <c r="G1864" s="966"/>
      <c r="H1864" s="995"/>
      <c r="I1864" s="966"/>
      <c r="J1864" s="966"/>
      <c r="K1864" s="966"/>
      <c r="L1864" s="966"/>
      <c r="M1864" s="971"/>
    </row>
    <row r="1865" spans="1:13">
      <c r="A1865" s="966"/>
      <c r="B1865" s="966"/>
      <c r="C1865" s="966"/>
      <c r="D1865" s="966"/>
      <c r="E1865" s="966"/>
      <c r="F1865" s="966"/>
      <c r="G1865" s="966"/>
      <c r="H1865" s="995"/>
      <c r="I1865" s="966"/>
      <c r="J1865" s="966"/>
      <c r="K1865" s="966"/>
      <c r="L1865" s="966"/>
      <c r="M1865" s="971"/>
    </row>
    <row r="1866" spans="1:13">
      <c r="A1866" s="966"/>
      <c r="B1866" s="966"/>
      <c r="C1866" s="966"/>
      <c r="D1866" s="966"/>
      <c r="E1866" s="966"/>
      <c r="F1866" s="966"/>
      <c r="G1866" s="966"/>
      <c r="H1866" s="995"/>
      <c r="I1866" s="966"/>
      <c r="J1866" s="966"/>
      <c r="K1866" s="966"/>
      <c r="L1866" s="966"/>
      <c r="M1866" s="971"/>
    </row>
    <row r="1867" spans="1:13">
      <c r="A1867" s="966"/>
      <c r="B1867" s="966"/>
      <c r="C1867" s="966"/>
      <c r="D1867" s="966"/>
      <c r="E1867" s="966"/>
      <c r="F1867" s="966"/>
      <c r="G1867" s="966"/>
      <c r="H1867" s="995"/>
      <c r="I1867" s="966"/>
      <c r="J1867" s="966"/>
      <c r="K1867" s="966"/>
      <c r="L1867" s="966"/>
      <c r="M1867" s="971"/>
    </row>
    <row r="1868" spans="1:13">
      <c r="A1868" s="966"/>
      <c r="B1868" s="966"/>
      <c r="C1868" s="966"/>
      <c r="D1868" s="966"/>
      <c r="E1868" s="966"/>
      <c r="F1868" s="966"/>
      <c r="G1868" s="966"/>
      <c r="H1868" s="995"/>
      <c r="I1868" s="966"/>
      <c r="J1868" s="966"/>
      <c r="K1868" s="966"/>
      <c r="L1868" s="966"/>
      <c r="M1868" s="971"/>
    </row>
    <row r="1869" spans="1:13">
      <c r="A1869" s="966"/>
      <c r="B1869" s="966"/>
      <c r="C1869" s="966"/>
      <c r="D1869" s="966"/>
      <c r="E1869" s="966"/>
      <c r="F1869" s="966"/>
      <c r="G1869" s="966"/>
      <c r="H1869" s="995"/>
      <c r="I1869" s="966"/>
      <c r="J1869" s="966"/>
      <c r="K1869" s="966"/>
      <c r="L1869" s="966"/>
      <c r="M1869" s="971"/>
    </row>
    <row r="1870" spans="1:13">
      <c r="A1870" s="966"/>
      <c r="B1870" s="966"/>
      <c r="C1870" s="966"/>
      <c r="D1870" s="966"/>
      <c r="E1870" s="966"/>
      <c r="F1870" s="966"/>
      <c r="G1870" s="966"/>
      <c r="H1870" s="995"/>
      <c r="I1870" s="966"/>
      <c r="J1870" s="966"/>
      <c r="K1870" s="966"/>
      <c r="L1870" s="966"/>
      <c r="M1870" s="971"/>
    </row>
    <row r="1871" spans="1:13">
      <c r="A1871" s="966"/>
      <c r="B1871" s="966"/>
      <c r="C1871" s="966"/>
      <c r="D1871" s="966"/>
      <c r="E1871" s="966"/>
      <c r="F1871" s="966"/>
      <c r="G1871" s="966"/>
      <c r="H1871" s="995"/>
      <c r="I1871" s="966"/>
      <c r="J1871" s="966"/>
      <c r="K1871" s="966"/>
      <c r="L1871" s="966"/>
      <c r="M1871" s="971"/>
    </row>
    <row r="1872" spans="1:13">
      <c r="A1872" s="966"/>
      <c r="B1872" s="966"/>
      <c r="C1872" s="966"/>
      <c r="D1872" s="966"/>
      <c r="E1872" s="966"/>
      <c r="F1872" s="966"/>
      <c r="G1872" s="966"/>
      <c r="H1872" s="995"/>
      <c r="I1872" s="966"/>
      <c r="J1872" s="966"/>
      <c r="K1872" s="966"/>
      <c r="L1872" s="966"/>
      <c r="M1872" s="971"/>
    </row>
    <row r="1873" spans="1:13">
      <c r="A1873" s="966"/>
      <c r="B1873" s="966"/>
      <c r="C1873" s="966"/>
      <c r="D1873" s="966"/>
      <c r="E1873" s="966"/>
      <c r="F1873" s="966"/>
      <c r="G1873" s="966"/>
      <c r="H1873" s="995"/>
      <c r="I1873" s="966"/>
      <c r="J1873" s="966"/>
      <c r="K1873" s="966"/>
      <c r="L1873" s="966"/>
      <c r="M1873" s="971"/>
    </row>
    <row r="1874" spans="1:13">
      <c r="A1874" s="966"/>
      <c r="B1874" s="966"/>
      <c r="C1874" s="966"/>
      <c r="D1874" s="966"/>
      <c r="E1874" s="966"/>
      <c r="F1874" s="966"/>
      <c r="G1874" s="966"/>
      <c r="H1874" s="995"/>
      <c r="I1874" s="966"/>
      <c r="J1874" s="966"/>
      <c r="K1874" s="966"/>
      <c r="L1874" s="966"/>
      <c r="M1874" s="971"/>
    </row>
    <row r="1875" spans="1:13">
      <c r="A1875" s="966"/>
      <c r="B1875" s="966"/>
      <c r="C1875" s="966"/>
      <c r="D1875" s="966"/>
      <c r="E1875" s="966"/>
      <c r="F1875" s="966"/>
      <c r="G1875" s="966"/>
      <c r="H1875" s="995"/>
      <c r="I1875" s="966"/>
      <c r="J1875" s="966"/>
      <c r="K1875" s="966"/>
      <c r="L1875" s="966"/>
      <c r="M1875" s="971"/>
    </row>
    <row r="1876" spans="1:13">
      <c r="A1876" s="966"/>
      <c r="B1876" s="966"/>
      <c r="C1876" s="966"/>
      <c r="D1876" s="966"/>
      <c r="E1876" s="966"/>
      <c r="F1876" s="966"/>
      <c r="G1876" s="966"/>
      <c r="H1876" s="995"/>
      <c r="I1876" s="966"/>
      <c r="J1876" s="966"/>
      <c r="K1876" s="966"/>
      <c r="L1876" s="966"/>
      <c r="M1876" s="971"/>
    </row>
    <row r="1877" spans="1:13">
      <c r="A1877" s="966"/>
      <c r="B1877" s="966"/>
      <c r="C1877" s="966"/>
      <c r="D1877" s="966"/>
      <c r="E1877" s="966"/>
      <c r="F1877" s="966"/>
      <c r="G1877" s="966"/>
      <c r="H1877" s="995"/>
      <c r="I1877" s="966"/>
      <c r="J1877" s="966"/>
      <c r="K1877" s="966"/>
      <c r="L1877" s="966"/>
      <c r="M1877" s="971"/>
    </row>
    <row r="1878" spans="1:13">
      <c r="A1878" s="966"/>
      <c r="B1878" s="966"/>
      <c r="C1878" s="966"/>
      <c r="D1878" s="966"/>
      <c r="E1878" s="966"/>
      <c r="F1878" s="966"/>
      <c r="G1878" s="966"/>
      <c r="H1878" s="995"/>
      <c r="I1878" s="966"/>
      <c r="J1878" s="966"/>
      <c r="K1878" s="966"/>
      <c r="L1878" s="966"/>
      <c r="M1878" s="971"/>
    </row>
    <row r="1879" spans="1:13">
      <c r="A1879" s="966"/>
      <c r="B1879" s="966"/>
      <c r="C1879" s="966"/>
      <c r="D1879" s="966"/>
      <c r="E1879" s="966"/>
      <c r="F1879" s="966"/>
      <c r="G1879" s="966"/>
      <c r="H1879" s="995"/>
      <c r="I1879" s="966"/>
      <c r="J1879" s="966"/>
      <c r="K1879" s="966"/>
      <c r="L1879" s="966"/>
      <c r="M1879" s="971"/>
    </row>
    <row r="1880" spans="1:13">
      <c r="A1880" s="966"/>
      <c r="B1880" s="966"/>
      <c r="C1880" s="966"/>
      <c r="D1880" s="966"/>
      <c r="E1880" s="966"/>
      <c r="F1880" s="966"/>
      <c r="G1880" s="966"/>
      <c r="H1880" s="995"/>
      <c r="I1880" s="966"/>
      <c r="J1880" s="966"/>
      <c r="K1880" s="966"/>
      <c r="L1880" s="966"/>
      <c r="M1880" s="971"/>
    </row>
    <row r="1881" spans="1:13">
      <c r="A1881" s="966"/>
      <c r="B1881" s="966"/>
      <c r="C1881" s="966"/>
      <c r="D1881" s="966"/>
      <c r="E1881" s="966"/>
      <c r="F1881" s="966"/>
      <c r="G1881" s="966"/>
      <c r="H1881" s="995"/>
      <c r="I1881" s="966"/>
      <c r="J1881" s="966"/>
      <c r="K1881" s="966"/>
      <c r="L1881" s="966"/>
      <c r="M1881" s="971"/>
    </row>
    <row r="1882" spans="1:13">
      <c r="A1882" s="966"/>
      <c r="B1882" s="966"/>
      <c r="C1882" s="966"/>
      <c r="D1882" s="966"/>
      <c r="E1882" s="966"/>
      <c r="F1882" s="966"/>
      <c r="G1882" s="966"/>
      <c r="H1882" s="995"/>
      <c r="I1882" s="966"/>
      <c r="J1882" s="966"/>
      <c r="K1882" s="966"/>
      <c r="L1882" s="966"/>
      <c r="M1882" s="971"/>
    </row>
    <row r="1883" spans="1:13">
      <c r="A1883" s="966"/>
      <c r="B1883" s="966"/>
      <c r="C1883" s="966"/>
      <c r="D1883" s="966"/>
      <c r="E1883" s="966"/>
      <c r="F1883" s="966"/>
      <c r="G1883" s="966"/>
      <c r="H1883" s="995"/>
      <c r="I1883" s="966"/>
      <c r="J1883" s="966"/>
      <c r="K1883" s="966"/>
      <c r="L1883" s="966"/>
      <c r="M1883" s="971"/>
    </row>
    <row r="1884" spans="1:13">
      <c r="A1884" s="966"/>
      <c r="B1884" s="966"/>
      <c r="C1884" s="966"/>
      <c r="D1884" s="966"/>
      <c r="E1884" s="966"/>
      <c r="F1884" s="966"/>
      <c r="G1884" s="966"/>
      <c r="H1884" s="995"/>
      <c r="I1884" s="966"/>
      <c r="J1884" s="966"/>
      <c r="K1884" s="966"/>
      <c r="L1884" s="966"/>
      <c r="M1884" s="971"/>
    </row>
    <row r="1885" spans="1:13">
      <c r="A1885" s="966"/>
      <c r="B1885" s="966"/>
      <c r="C1885" s="966"/>
      <c r="D1885" s="966"/>
      <c r="E1885" s="966"/>
      <c r="F1885" s="966"/>
      <c r="G1885" s="966"/>
      <c r="H1885" s="995"/>
      <c r="I1885" s="966"/>
      <c r="J1885" s="966"/>
      <c r="K1885" s="966"/>
      <c r="L1885" s="966"/>
      <c r="M1885" s="971"/>
    </row>
    <row r="1886" spans="1:13">
      <c r="A1886" s="966"/>
      <c r="B1886" s="966"/>
      <c r="C1886" s="966"/>
      <c r="D1886" s="966"/>
      <c r="E1886" s="966"/>
      <c r="F1886" s="966"/>
      <c r="G1886" s="966"/>
      <c r="H1886" s="995"/>
      <c r="I1886" s="966"/>
      <c r="J1886" s="966"/>
      <c r="K1886" s="966"/>
      <c r="L1886" s="966"/>
      <c r="M1886" s="971"/>
    </row>
    <row r="1887" spans="1:13">
      <c r="A1887" s="966"/>
      <c r="B1887" s="966"/>
      <c r="C1887" s="966"/>
      <c r="D1887" s="966"/>
      <c r="E1887" s="966"/>
      <c r="F1887" s="966"/>
      <c r="G1887" s="966"/>
      <c r="H1887" s="995"/>
      <c r="I1887" s="966"/>
      <c r="J1887" s="966"/>
      <c r="K1887" s="966"/>
      <c r="L1887" s="966"/>
      <c r="M1887" s="971"/>
    </row>
    <row r="1888" spans="1:13">
      <c r="A1888" s="966"/>
      <c r="B1888" s="966"/>
      <c r="C1888" s="966"/>
      <c r="D1888" s="966"/>
      <c r="E1888" s="966"/>
      <c r="F1888" s="966"/>
      <c r="G1888" s="966"/>
      <c r="H1888" s="995"/>
      <c r="I1888" s="966"/>
      <c r="J1888" s="966"/>
      <c r="K1888" s="966"/>
      <c r="L1888" s="966"/>
      <c r="M1888" s="971"/>
    </row>
    <row r="1889" spans="1:13">
      <c r="A1889" s="966"/>
      <c r="B1889" s="966"/>
      <c r="C1889" s="966"/>
      <c r="D1889" s="966"/>
      <c r="E1889" s="966"/>
      <c r="F1889" s="966"/>
      <c r="G1889" s="966"/>
      <c r="H1889" s="995"/>
      <c r="I1889" s="966"/>
      <c r="J1889" s="966"/>
      <c r="K1889" s="966"/>
      <c r="L1889" s="966"/>
      <c r="M1889" s="971"/>
    </row>
    <row r="1890" spans="1:13">
      <c r="A1890" s="966"/>
      <c r="B1890" s="966"/>
      <c r="C1890" s="966"/>
      <c r="D1890" s="966"/>
      <c r="E1890" s="966"/>
      <c r="F1890" s="966"/>
      <c r="G1890" s="966"/>
      <c r="H1890" s="995"/>
      <c r="I1890" s="966"/>
      <c r="J1890" s="966"/>
      <c r="K1890" s="966"/>
      <c r="L1890" s="966"/>
      <c r="M1890" s="971"/>
    </row>
    <row r="1891" spans="1:13">
      <c r="A1891" s="966"/>
      <c r="B1891" s="966"/>
      <c r="C1891" s="966"/>
      <c r="D1891" s="966"/>
      <c r="E1891" s="966"/>
      <c r="F1891" s="966"/>
      <c r="G1891" s="966"/>
      <c r="H1891" s="995"/>
      <c r="I1891" s="966"/>
      <c r="J1891" s="966"/>
      <c r="K1891" s="966"/>
      <c r="L1891" s="966"/>
      <c r="M1891" s="971"/>
    </row>
    <row r="1892" spans="1:13">
      <c r="A1892" s="966"/>
      <c r="B1892" s="966"/>
      <c r="C1892" s="966"/>
      <c r="D1892" s="966"/>
      <c r="E1892" s="966"/>
      <c r="F1892" s="966"/>
      <c r="G1892" s="966"/>
      <c r="H1892" s="995"/>
      <c r="I1892" s="966"/>
      <c r="J1892" s="966"/>
      <c r="K1892" s="966"/>
      <c r="L1892" s="966"/>
      <c r="M1892" s="971"/>
    </row>
    <row r="1893" spans="1:13">
      <c r="A1893" s="966"/>
      <c r="B1893" s="966"/>
      <c r="C1893" s="966"/>
      <c r="D1893" s="966"/>
      <c r="E1893" s="966"/>
      <c r="F1893" s="966"/>
      <c r="G1893" s="966"/>
      <c r="H1893" s="995"/>
      <c r="I1893" s="966"/>
      <c r="J1893" s="966"/>
      <c r="K1893" s="966"/>
      <c r="L1893" s="966"/>
      <c r="M1893" s="971"/>
    </row>
    <row r="1894" spans="1:13">
      <c r="A1894" s="966"/>
      <c r="B1894" s="966"/>
      <c r="C1894" s="966"/>
      <c r="D1894" s="966"/>
      <c r="E1894" s="966"/>
      <c r="F1894" s="966"/>
      <c r="G1894" s="966"/>
      <c r="H1894" s="995"/>
      <c r="I1894" s="966"/>
      <c r="J1894" s="966"/>
      <c r="K1894" s="966"/>
      <c r="L1894" s="966"/>
      <c r="M1894" s="971"/>
    </row>
    <row r="1895" spans="1:13">
      <c r="A1895" s="966"/>
      <c r="B1895" s="966"/>
      <c r="C1895" s="966"/>
      <c r="D1895" s="966"/>
      <c r="E1895" s="966"/>
      <c r="F1895" s="966"/>
      <c r="G1895" s="966"/>
      <c r="H1895" s="995"/>
      <c r="I1895" s="966"/>
      <c r="J1895" s="966"/>
      <c r="K1895" s="966"/>
      <c r="L1895" s="966"/>
      <c r="M1895" s="971"/>
    </row>
    <row r="1896" spans="1:13">
      <c r="A1896" s="966"/>
      <c r="B1896" s="966"/>
      <c r="C1896" s="966"/>
      <c r="D1896" s="966"/>
      <c r="E1896" s="966"/>
      <c r="F1896" s="966"/>
      <c r="G1896" s="966"/>
      <c r="H1896" s="995"/>
      <c r="I1896" s="966"/>
      <c r="J1896" s="966"/>
      <c r="K1896" s="966"/>
      <c r="L1896" s="966"/>
      <c r="M1896" s="971"/>
    </row>
    <row r="1897" spans="1:13">
      <c r="A1897" s="966"/>
      <c r="B1897" s="966"/>
      <c r="C1897" s="966"/>
      <c r="D1897" s="966"/>
      <c r="E1897" s="966"/>
      <c r="F1897" s="966"/>
      <c r="G1897" s="966"/>
      <c r="H1897" s="995"/>
      <c r="I1897" s="966"/>
      <c r="J1897" s="966"/>
      <c r="K1897" s="966"/>
      <c r="L1897" s="966"/>
      <c r="M1897" s="971"/>
    </row>
    <row r="1898" spans="1:13">
      <c r="A1898" s="966"/>
      <c r="B1898" s="966"/>
      <c r="C1898" s="966"/>
      <c r="D1898" s="966"/>
      <c r="E1898" s="966"/>
      <c r="F1898" s="966"/>
      <c r="G1898" s="966"/>
      <c r="H1898" s="995"/>
      <c r="I1898" s="966"/>
      <c r="J1898" s="966"/>
      <c r="K1898" s="966"/>
      <c r="L1898" s="966"/>
      <c r="M1898" s="971"/>
    </row>
    <row r="1899" spans="1:13">
      <c r="A1899" s="966"/>
      <c r="B1899" s="966"/>
      <c r="C1899" s="966"/>
      <c r="D1899" s="966"/>
      <c r="E1899" s="966"/>
      <c r="F1899" s="966"/>
      <c r="G1899" s="966"/>
      <c r="H1899" s="995"/>
      <c r="I1899" s="966"/>
      <c r="J1899" s="966"/>
      <c r="K1899" s="966"/>
      <c r="L1899" s="966"/>
      <c r="M1899" s="971"/>
    </row>
    <row r="1900" spans="1:13">
      <c r="A1900" s="966"/>
      <c r="B1900" s="966"/>
      <c r="C1900" s="966"/>
      <c r="D1900" s="966"/>
      <c r="E1900" s="966"/>
      <c r="F1900" s="966"/>
      <c r="G1900" s="966"/>
      <c r="H1900" s="995"/>
      <c r="I1900" s="966"/>
      <c r="J1900" s="966"/>
      <c r="K1900" s="966"/>
      <c r="L1900" s="966"/>
      <c r="M1900" s="971"/>
    </row>
    <row r="1901" spans="1:13">
      <c r="A1901" s="966"/>
      <c r="B1901" s="966"/>
      <c r="C1901" s="966"/>
      <c r="D1901" s="966"/>
      <c r="E1901" s="966"/>
      <c r="F1901" s="966"/>
      <c r="G1901" s="966"/>
      <c r="H1901" s="995"/>
      <c r="I1901" s="966"/>
      <c r="J1901" s="966"/>
      <c r="K1901" s="966"/>
      <c r="L1901" s="966"/>
      <c r="M1901" s="971"/>
    </row>
    <row r="1902" spans="1:13">
      <c r="A1902" s="966"/>
      <c r="B1902" s="966"/>
      <c r="C1902" s="966"/>
      <c r="D1902" s="966"/>
      <c r="E1902" s="966"/>
      <c r="F1902" s="966"/>
      <c r="G1902" s="966"/>
      <c r="H1902" s="995"/>
      <c r="I1902" s="966"/>
      <c r="J1902" s="966"/>
      <c r="K1902" s="966"/>
      <c r="L1902" s="966"/>
      <c r="M1902" s="971"/>
    </row>
    <row r="1903" spans="1:13">
      <c r="A1903" s="966"/>
      <c r="B1903" s="966"/>
      <c r="C1903" s="966"/>
      <c r="D1903" s="966"/>
      <c r="E1903" s="966"/>
      <c r="F1903" s="966"/>
      <c r="G1903" s="966"/>
      <c r="H1903" s="995"/>
      <c r="I1903" s="966"/>
      <c r="J1903" s="966"/>
      <c r="K1903" s="966"/>
      <c r="L1903" s="966"/>
      <c r="M1903" s="971"/>
    </row>
    <row r="1904" spans="1:13">
      <c r="A1904" s="966"/>
      <c r="B1904" s="966"/>
      <c r="C1904" s="966"/>
      <c r="D1904" s="966"/>
      <c r="E1904" s="966"/>
      <c r="F1904" s="966"/>
      <c r="G1904" s="966"/>
      <c r="H1904" s="995"/>
      <c r="I1904" s="966"/>
      <c r="J1904" s="966"/>
      <c r="K1904" s="966"/>
      <c r="L1904" s="966"/>
      <c r="M1904" s="971"/>
    </row>
    <row r="1905" spans="1:13">
      <c r="A1905" s="966"/>
      <c r="B1905" s="966"/>
      <c r="C1905" s="966"/>
      <c r="D1905" s="966"/>
      <c r="E1905" s="966"/>
      <c r="F1905" s="966"/>
      <c r="G1905" s="966"/>
      <c r="H1905" s="995"/>
      <c r="I1905" s="966"/>
      <c r="J1905" s="966"/>
      <c r="K1905" s="966"/>
      <c r="L1905" s="966"/>
      <c r="M1905" s="971"/>
    </row>
    <row r="1906" spans="1:13">
      <c r="A1906" s="966"/>
      <c r="B1906" s="966"/>
      <c r="C1906" s="966"/>
      <c r="D1906" s="966"/>
      <c r="E1906" s="966"/>
      <c r="F1906" s="966"/>
      <c r="G1906" s="966"/>
      <c r="H1906" s="995"/>
      <c r="I1906" s="966"/>
      <c r="J1906" s="966"/>
      <c r="K1906" s="966"/>
      <c r="L1906" s="966"/>
      <c r="M1906" s="971"/>
    </row>
    <row r="1907" spans="1:13">
      <c r="A1907" s="966"/>
      <c r="B1907" s="966"/>
      <c r="C1907" s="966"/>
      <c r="D1907" s="966"/>
      <c r="E1907" s="966"/>
      <c r="F1907" s="966"/>
      <c r="G1907" s="966"/>
      <c r="H1907" s="995"/>
      <c r="I1907" s="966"/>
      <c r="J1907" s="966"/>
      <c r="K1907" s="966"/>
      <c r="L1907" s="966"/>
      <c r="M1907" s="971"/>
    </row>
    <row r="1908" spans="1:13">
      <c r="A1908" s="966"/>
      <c r="B1908" s="966"/>
      <c r="C1908" s="966"/>
      <c r="D1908" s="966"/>
      <c r="E1908" s="966"/>
      <c r="F1908" s="966"/>
      <c r="G1908" s="966"/>
      <c r="H1908" s="995"/>
      <c r="I1908" s="966"/>
      <c r="J1908" s="966"/>
      <c r="K1908" s="966"/>
      <c r="L1908" s="966"/>
      <c r="M1908" s="971"/>
    </row>
    <row r="1909" spans="1:13">
      <c r="A1909" s="966"/>
      <c r="B1909" s="966"/>
      <c r="C1909" s="966"/>
      <c r="D1909" s="966"/>
      <c r="E1909" s="966"/>
      <c r="F1909" s="966"/>
      <c r="G1909" s="966"/>
      <c r="H1909" s="995"/>
      <c r="I1909" s="966"/>
      <c r="J1909" s="966"/>
      <c r="K1909" s="966"/>
      <c r="L1909" s="966"/>
      <c r="M1909" s="971"/>
    </row>
    <row r="1910" spans="1:13">
      <c r="A1910" s="966"/>
      <c r="B1910" s="966"/>
      <c r="C1910" s="966"/>
      <c r="D1910" s="966"/>
      <c r="E1910" s="966"/>
      <c r="F1910" s="966"/>
      <c r="G1910" s="966"/>
      <c r="H1910" s="995"/>
      <c r="I1910" s="966"/>
      <c r="J1910" s="966"/>
      <c r="K1910" s="966"/>
      <c r="L1910" s="966"/>
      <c r="M1910" s="971"/>
    </row>
    <row r="1911" spans="1:13">
      <c r="A1911" s="966"/>
      <c r="B1911" s="966"/>
      <c r="C1911" s="966"/>
      <c r="D1911" s="966"/>
      <c r="E1911" s="966"/>
      <c r="F1911" s="966"/>
      <c r="G1911" s="966"/>
      <c r="H1911" s="995"/>
      <c r="I1911" s="966"/>
      <c r="J1911" s="966"/>
      <c r="K1911" s="966"/>
      <c r="L1911" s="966"/>
      <c r="M1911" s="971"/>
    </row>
    <row r="1912" spans="1:13">
      <c r="A1912" s="966"/>
      <c r="B1912" s="966"/>
      <c r="C1912" s="966"/>
      <c r="D1912" s="966"/>
      <c r="E1912" s="966"/>
      <c r="F1912" s="966"/>
      <c r="G1912" s="966"/>
      <c r="H1912" s="995"/>
      <c r="I1912" s="966"/>
      <c r="J1912" s="966"/>
      <c r="K1912" s="966"/>
      <c r="L1912" s="966"/>
      <c r="M1912" s="971"/>
    </row>
    <row r="1913" spans="1:13">
      <c r="A1913" s="966"/>
      <c r="B1913" s="966"/>
      <c r="C1913" s="966"/>
      <c r="D1913" s="966"/>
      <c r="E1913" s="966"/>
      <c r="F1913" s="966"/>
      <c r="G1913" s="966"/>
      <c r="H1913" s="995"/>
      <c r="I1913" s="966"/>
      <c r="J1913" s="966"/>
      <c r="K1913" s="966"/>
      <c r="L1913" s="966"/>
      <c r="M1913" s="971"/>
    </row>
    <row r="1914" spans="1:13">
      <c r="A1914" s="966"/>
      <c r="B1914" s="966"/>
      <c r="C1914" s="966"/>
      <c r="D1914" s="966"/>
      <c r="E1914" s="966"/>
      <c r="F1914" s="966"/>
      <c r="G1914" s="966"/>
      <c r="H1914" s="995"/>
      <c r="I1914" s="966"/>
      <c r="J1914" s="966"/>
      <c r="K1914" s="966"/>
      <c r="L1914" s="966"/>
      <c r="M1914" s="971"/>
    </row>
    <row r="1915" spans="1:13">
      <c r="A1915" s="966"/>
      <c r="B1915" s="966"/>
      <c r="C1915" s="966"/>
      <c r="D1915" s="966"/>
      <c r="E1915" s="966"/>
      <c r="F1915" s="966"/>
      <c r="G1915" s="966"/>
      <c r="H1915" s="995"/>
      <c r="I1915" s="966"/>
      <c r="J1915" s="966"/>
      <c r="K1915" s="966"/>
      <c r="L1915" s="966"/>
      <c r="M1915" s="971"/>
    </row>
    <row r="1916" spans="1:13">
      <c r="A1916" s="966"/>
      <c r="B1916" s="966"/>
      <c r="C1916" s="966"/>
      <c r="D1916" s="966"/>
      <c r="E1916" s="966"/>
      <c r="F1916" s="966"/>
      <c r="G1916" s="966"/>
      <c r="H1916" s="995"/>
      <c r="I1916" s="966"/>
      <c r="J1916" s="966"/>
      <c r="K1916" s="966"/>
      <c r="L1916" s="966"/>
      <c r="M1916" s="971"/>
    </row>
    <row r="1917" spans="1:13">
      <c r="A1917" s="966"/>
      <c r="B1917" s="966"/>
      <c r="C1917" s="966"/>
      <c r="D1917" s="966"/>
      <c r="E1917" s="966"/>
      <c r="F1917" s="966"/>
      <c r="G1917" s="966"/>
      <c r="H1917" s="995"/>
      <c r="I1917" s="966"/>
      <c r="J1917" s="966"/>
      <c r="K1917" s="966"/>
      <c r="L1917" s="966"/>
      <c r="M1917" s="971"/>
    </row>
    <row r="1918" spans="1:13">
      <c r="A1918" s="966"/>
      <c r="B1918" s="966"/>
      <c r="C1918" s="966"/>
      <c r="D1918" s="966"/>
      <c r="E1918" s="966"/>
      <c r="F1918" s="966"/>
      <c r="G1918" s="966"/>
      <c r="H1918" s="995"/>
      <c r="I1918" s="966"/>
      <c r="J1918" s="966"/>
      <c r="K1918" s="966"/>
      <c r="L1918" s="966"/>
      <c r="M1918" s="971"/>
    </row>
    <row r="1919" spans="1:13">
      <c r="A1919" s="966"/>
      <c r="B1919" s="966"/>
      <c r="C1919" s="966"/>
      <c r="D1919" s="966"/>
      <c r="E1919" s="966"/>
      <c r="F1919" s="966"/>
      <c r="G1919" s="966"/>
      <c r="H1919" s="995"/>
      <c r="I1919" s="966"/>
      <c r="J1919" s="966"/>
      <c r="K1919" s="966"/>
      <c r="L1919" s="966"/>
      <c r="M1919" s="971"/>
    </row>
    <row r="1920" spans="1:13">
      <c r="A1920" s="966"/>
      <c r="B1920" s="966"/>
      <c r="C1920" s="966"/>
      <c r="D1920" s="966"/>
      <c r="E1920" s="966"/>
      <c r="F1920" s="966"/>
      <c r="G1920" s="966"/>
      <c r="H1920" s="995"/>
      <c r="I1920" s="966"/>
      <c r="J1920" s="966"/>
      <c r="K1920" s="966"/>
      <c r="L1920" s="966"/>
      <c r="M1920" s="971"/>
    </row>
    <row r="1921" spans="1:13">
      <c r="A1921" s="966"/>
      <c r="B1921" s="966"/>
      <c r="C1921" s="966"/>
      <c r="D1921" s="966"/>
      <c r="E1921" s="966"/>
      <c r="F1921" s="966"/>
      <c r="G1921" s="966"/>
      <c r="H1921" s="995"/>
      <c r="I1921" s="966"/>
      <c r="J1921" s="966"/>
      <c r="K1921" s="966"/>
      <c r="L1921" s="966"/>
      <c r="M1921" s="971"/>
    </row>
    <row r="1922" spans="1:13">
      <c r="A1922" s="966"/>
      <c r="B1922" s="966"/>
      <c r="C1922" s="966"/>
      <c r="D1922" s="966"/>
      <c r="E1922" s="966"/>
      <c r="F1922" s="966"/>
      <c r="G1922" s="966"/>
      <c r="H1922" s="995"/>
      <c r="I1922" s="966"/>
      <c r="J1922" s="966"/>
      <c r="K1922" s="966"/>
      <c r="L1922" s="966"/>
      <c r="M1922" s="971"/>
    </row>
    <row r="1923" spans="1:13">
      <c r="A1923" s="966"/>
      <c r="B1923" s="966"/>
      <c r="C1923" s="966"/>
      <c r="D1923" s="966"/>
      <c r="E1923" s="966"/>
      <c r="F1923" s="966"/>
      <c r="G1923" s="966"/>
      <c r="H1923" s="995"/>
      <c r="I1923" s="966"/>
      <c r="J1923" s="966"/>
      <c r="K1923" s="966"/>
      <c r="L1923" s="966"/>
      <c r="M1923" s="971"/>
    </row>
    <row r="1924" spans="1:13">
      <c r="A1924" s="966"/>
      <c r="B1924" s="966"/>
      <c r="C1924" s="966"/>
      <c r="D1924" s="966"/>
      <c r="E1924" s="966"/>
      <c r="F1924" s="966"/>
      <c r="G1924" s="966"/>
      <c r="H1924" s="995"/>
      <c r="I1924" s="966"/>
      <c r="J1924" s="966"/>
      <c r="K1924" s="966"/>
      <c r="L1924" s="966"/>
      <c r="M1924" s="971"/>
    </row>
    <row r="1925" spans="1:13">
      <c r="A1925" s="966"/>
      <c r="B1925" s="966"/>
      <c r="C1925" s="966"/>
      <c r="D1925" s="966"/>
      <c r="E1925" s="966"/>
      <c r="F1925" s="966"/>
      <c r="G1925" s="966"/>
      <c r="H1925" s="995"/>
      <c r="I1925" s="966"/>
      <c r="J1925" s="966"/>
      <c r="K1925" s="966"/>
      <c r="L1925" s="966"/>
      <c r="M1925" s="971"/>
    </row>
    <row r="1926" spans="1:13">
      <c r="A1926" s="966"/>
      <c r="B1926" s="966"/>
      <c r="C1926" s="966"/>
      <c r="D1926" s="966"/>
      <c r="E1926" s="966"/>
      <c r="F1926" s="966"/>
      <c r="G1926" s="966"/>
      <c r="H1926" s="995"/>
      <c r="I1926" s="966"/>
      <c r="J1926" s="966"/>
      <c r="K1926" s="966"/>
      <c r="L1926" s="966"/>
      <c r="M1926" s="971"/>
    </row>
    <row r="1927" spans="1:13">
      <c r="A1927" s="966"/>
      <c r="B1927" s="966"/>
      <c r="C1927" s="966"/>
      <c r="D1927" s="966"/>
      <c r="E1927" s="966"/>
      <c r="F1927" s="966"/>
      <c r="G1927" s="966"/>
      <c r="H1927" s="995"/>
      <c r="I1927" s="966"/>
      <c r="J1927" s="966"/>
      <c r="K1927" s="966"/>
      <c r="L1927" s="966"/>
      <c r="M1927" s="971"/>
    </row>
    <row r="1928" spans="1:13">
      <c r="A1928" s="966"/>
      <c r="B1928" s="966"/>
      <c r="C1928" s="966"/>
      <c r="D1928" s="966"/>
      <c r="E1928" s="966"/>
      <c r="F1928" s="966"/>
      <c r="G1928" s="966"/>
      <c r="H1928" s="995"/>
      <c r="I1928" s="966"/>
      <c r="J1928" s="966"/>
      <c r="K1928" s="966"/>
      <c r="L1928" s="966"/>
      <c r="M1928" s="971"/>
    </row>
    <row r="1929" spans="1:13">
      <c r="A1929" s="966"/>
      <c r="B1929" s="966"/>
      <c r="C1929" s="966"/>
      <c r="D1929" s="966"/>
      <c r="E1929" s="966"/>
      <c r="F1929" s="966"/>
      <c r="G1929" s="966"/>
      <c r="H1929" s="995"/>
      <c r="I1929" s="966"/>
      <c r="J1929" s="966"/>
      <c r="K1929" s="966"/>
      <c r="L1929" s="966"/>
      <c r="M1929" s="971"/>
    </row>
    <row r="1930" spans="1:13">
      <c r="A1930" s="966"/>
      <c r="B1930" s="966"/>
      <c r="C1930" s="966"/>
      <c r="D1930" s="966"/>
      <c r="E1930" s="966"/>
      <c r="F1930" s="966"/>
      <c r="G1930" s="966"/>
      <c r="H1930" s="995"/>
      <c r="I1930" s="966"/>
      <c r="J1930" s="966"/>
      <c r="K1930" s="966"/>
      <c r="L1930" s="966"/>
      <c r="M1930" s="971"/>
    </row>
    <row r="1931" spans="1:13">
      <c r="A1931" s="966"/>
      <c r="B1931" s="966"/>
      <c r="C1931" s="966"/>
      <c r="D1931" s="966"/>
      <c r="E1931" s="966"/>
      <c r="F1931" s="966"/>
      <c r="G1931" s="966"/>
      <c r="H1931" s="995"/>
      <c r="I1931" s="966"/>
      <c r="J1931" s="966"/>
      <c r="K1931" s="966"/>
      <c r="L1931" s="966"/>
      <c r="M1931" s="971"/>
    </row>
    <row r="1932" spans="1:13">
      <c r="A1932" s="966"/>
      <c r="B1932" s="966"/>
      <c r="C1932" s="966"/>
      <c r="D1932" s="966"/>
      <c r="E1932" s="966"/>
      <c r="F1932" s="966"/>
      <c r="G1932" s="966"/>
      <c r="H1932" s="995"/>
      <c r="I1932" s="966"/>
      <c r="J1932" s="966"/>
      <c r="K1932" s="966"/>
      <c r="L1932" s="966"/>
      <c r="M1932" s="971"/>
    </row>
    <row r="1933" spans="1:13">
      <c r="A1933" s="966"/>
      <c r="B1933" s="966"/>
      <c r="C1933" s="966"/>
      <c r="D1933" s="966"/>
      <c r="E1933" s="966"/>
      <c r="F1933" s="966"/>
      <c r="G1933" s="966"/>
      <c r="H1933" s="995"/>
      <c r="I1933" s="966"/>
      <c r="J1933" s="966"/>
      <c r="K1933" s="966"/>
      <c r="L1933" s="966"/>
      <c r="M1933" s="971"/>
    </row>
    <row r="1934" spans="1:13">
      <c r="A1934" s="966"/>
      <c r="B1934" s="966"/>
      <c r="C1934" s="966"/>
      <c r="D1934" s="966"/>
      <c r="E1934" s="966"/>
      <c r="F1934" s="966"/>
      <c r="G1934" s="966"/>
      <c r="H1934" s="995"/>
      <c r="I1934" s="966"/>
      <c r="J1934" s="966"/>
      <c r="K1934" s="966"/>
      <c r="L1934" s="966"/>
      <c r="M1934" s="971"/>
    </row>
    <row r="1935" spans="1:13">
      <c r="A1935" s="966"/>
      <c r="B1935" s="966"/>
      <c r="C1935" s="966"/>
      <c r="D1935" s="966"/>
      <c r="E1935" s="966"/>
      <c r="F1935" s="966"/>
      <c r="G1935" s="966"/>
      <c r="H1935" s="995"/>
      <c r="I1935" s="966"/>
      <c r="J1935" s="966"/>
      <c r="K1935" s="966"/>
      <c r="L1935" s="966"/>
      <c r="M1935" s="971"/>
    </row>
    <row r="1936" spans="1:13">
      <c r="A1936" s="966"/>
      <c r="B1936" s="966"/>
      <c r="C1936" s="966"/>
      <c r="D1936" s="966"/>
      <c r="E1936" s="966"/>
      <c r="F1936" s="966"/>
      <c r="G1936" s="966"/>
      <c r="H1936" s="995"/>
      <c r="I1936" s="966"/>
      <c r="J1936" s="966"/>
      <c r="K1936" s="966"/>
      <c r="L1936" s="966"/>
      <c r="M1936" s="971"/>
    </row>
    <row r="1937" spans="1:13">
      <c r="A1937" s="966"/>
      <c r="B1937" s="966"/>
      <c r="C1937" s="966"/>
      <c r="D1937" s="966"/>
      <c r="E1937" s="966"/>
      <c r="F1937" s="966"/>
      <c r="G1937" s="966"/>
      <c r="H1937" s="995"/>
      <c r="I1937" s="966"/>
      <c r="J1937" s="966"/>
      <c r="K1937" s="966"/>
      <c r="L1937" s="966"/>
      <c r="M1937" s="971"/>
    </row>
    <row r="1938" spans="1:13">
      <c r="A1938" s="966"/>
      <c r="B1938" s="966"/>
      <c r="C1938" s="966"/>
      <c r="D1938" s="966"/>
      <c r="E1938" s="966"/>
      <c r="F1938" s="966"/>
      <c r="G1938" s="966"/>
      <c r="H1938" s="995"/>
      <c r="I1938" s="966"/>
      <c r="J1938" s="966"/>
      <c r="K1938" s="966"/>
      <c r="L1938" s="966"/>
      <c r="M1938" s="971"/>
    </row>
    <row r="1939" spans="1:13">
      <c r="A1939" s="966"/>
      <c r="B1939" s="966"/>
      <c r="C1939" s="966"/>
      <c r="D1939" s="966"/>
      <c r="E1939" s="966"/>
      <c r="F1939" s="966"/>
      <c r="G1939" s="966"/>
      <c r="H1939" s="995"/>
      <c r="I1939" s="966"/>
      <c r="J1939" s="966"/>
      <c r="K1939" s="966"/>
      <c r="L1939" s="966"/>
      <c r="M1939" s="971"/>
    </row>
    <row r="1940" spans="1:13">
      <c r="A1940" s="966"/>
      <c r="B1940" s="966"/>
      <c r="C1940" s="966"/>
      <c r="D1940" s="966"/>
      <c r="E1940" s="966"/>
      <c r="F1940" s="966"/>
      <c r="G1940" s="966"/>
      <c r="H1940" s="995"/>
      <c r="I1940" s="966"/>
      <c r="J1940" s="966"/>
      <c r="K1940" s="966"/>
      <c r="L1940" s="966"/>
      <c r="M1940" s="971"/>
    </row>
    <row r="1941" spans="1:13">
      <c r="A1941" s="966"/>
      <c r="B1941" s="966"/>
      <c r="C1941" s="966"/>
      <c r="D1941" s="966"/>
      <c r="E1941" s="966"/>
      <c r="F1941" s="966"/>
      <c r="G1941" s="966"/>
      <c r="H1941" s="995"/>
      <c r="I1941" s="966"/>
      <c r="J1941" s="966"/>
      <c r="K1941" s="966"/>
      <c r="L1941" s="966"/>
      <c r="M1941" s="971"/>
    </row>
    <row r="1942" spans="1:13">
      <c r="A1942" s="966"/>
      <c r="B1942" s="966"/>
      <c r="C1942" s="966"/>
      <c r="D1942" s="966"/>
      <c r="E1942" s="966"/>
      <c r="F1942" s="966"/>
      <c r="G1942" s="966"/>
      <c r="H1942" s="995"/>
      <c r="I1942" s="966"/>
      <c r="J1942" s="966"/>
      <c r="K1942" s="966"/>
      <c r="L1942" s="966"/>
      <c r="M1942" s="971"/>
    </row>
    <row r="1943" spans="1:13">
      <c r="A1943" s="966"/>
      <c r="B1943" s="966"/>
      <c r="C1943" s="966"/>
      <c r="D1943" s="966"/>
      <c r="E1943" s="966"/>
      <c r="F1943" s="966"/>
      <c r="G1943" s="966"/>
      <c r="H1943" s="995"/>
      <c r="I1943" s="966"/>
      <c r="J1943" s="966"/>
      <c r="K1943" s="966"/>
      <c r="L1943" s="966"/>
      <c r="M1943" s="971"/>
    </row>
    <row r="1944" spans="1:13">
      <c r="A1944" s="966"/>
      <c r="B1944" s="966"/>
      <c r="C1944" s="966"/>
      <c r="D1944" s="966"/>
      <c r="E1944" s="966"/>
      <c r="F1944" s="966"/>
      <c r="G1944" s="966"/>
      <c r="H1944" s="995"/>
      <c r="I1944" s="966"/>
      <c r="J1944" s="966"/>
      <c r="K1944" s="966"/>
      <c r="L1944" s="966"/>
      <c r="M1944" s="971"/>
    </row>
    <row r="1945" spans="1:13">
      <c r="A1945" s="966"/>
      <c r="B1945" s="966"/>
      <c r="C1945" s="966"/>
      <c r="D1945" s="966"/>
      <c r="E1945" s="966"/>
      <c r="F1945" s="966"/>
      <c r="G1945" s="966"/>
      <c r="H1945" s="995"/>
      <c r="I1945" s="966"/>
      <c r="J1945" s="966"/>
      <c r="K1945" s="966"/>
      <c r="L1945" s="966"/>
      <c r="M1945" s="971"/>
    </row>
    <row r="1946" spans="1:13">
      <c r="A1946" s="966"/>
      <c r="B1946" s="966"/>
      <c r="C1946" s="966"/>
      <c r="D1946" s="966"/>
      <c r="E1946" s="966"/>
      <c r="F1946" s="966"/>
      <c r="G1946" s="966"/>
      <c r="H1946" s="995"/>
      <c r="I1946" s="966"/>
      <c r="J1946" s="966"/>
      <c r="K1946" s="966"/>
      <c r="L1946" s="966"/>
      <c r="M1946" s="971"/>
    </row>
    <row r="1947" spans="1:13">
      <c r="A1947" s="966"/>
      <c r="B1947" s="966"/>
      <c r="C1947" s="966"/>
      <c r="D1947" s="966"/>
      <c r="E1947" s="966"/>
      <c r="F1947" s="966"/>
      <c r="G1947" s="966"/>
      <c r="H1947" s="995"/>
      <c r="I1947" s="966"/>
      <c r="J1947" s="966"/>
      <c r="K1947" s="966"/>
      <c r="L1947" s="966"/>
      <c r="M1947" s="971"/>
    </row>
    <row r="1948" spans="1:13">
      <c r="A1948" s="966"/>
      <c r="B1948" s="966"/>
      <c r="C1948" s="966"/>
      <c r="D1948" s="966"/>
      <c r="E1948" s="966"/>
      <c r="F1948" s="966"/>
      <c r="G1948" s="966"/>
      <c r="H1948" s="995"/>
      <c r="I1948" s="966"/>
      <c r="J1948" s="966"/>
      <c r="K1948" s="966"/>
      <c r="L1948" s="966"/>
      <c r="M1948" s="971"/>
    </row>
    <row r="1949" spans="1:13">
      <c r="A1949" s="966"/>
      <c r="B1949" s="966"/>
      <c r="C1949" s="966"/>
      <c r="D1949" s="966"/>
      <c r="E1949" s="966"/>
      <c r="F1949" s="966"/>
      <c r="G1949" s="966"/>
      <c r="H1949" s="995"/>
      <c r="I1949" s="966"/>
      <c r="J1949" s="966"/>
      <c r="K1949" s="966"/>
      <c r="L1949" s="966"/>
      <c r="M1949" s="971"/>
    </row>
    <row r="1950" spans="1:13">
      <c r="A1950" s="966"/>
      <c r="B1950" s="966"/>
      <c r="C1950" s="966"/>
      <c r="D1950" s="966"/>
      <c r="E1950" s="966"/>
      <c r="F1950" s="966"/>
      <c r="G1950" s="966"/>
      <c r="H1950" s="995"/>
      <c r="I1950" s="966"/>
      <c r="J1950" s="966"/>
      <c r="K1950" s="966"/>
      <c r="L1950" s="966"/>
      <c r="M1950" s="971"/>
    </row>
    <row r="1951" spans="1:13">
      <c r="A1951" s="966"/>
      <c r="B1951" s="966"/>
      <c r="C1951" s="966"/>
      <c r="D1951" s="966"/>
      <c r="E1951" s="966"/>
      <c r="F1951" s="966"/>
      <c r="G1951" s="966"/>
      <c r="H1951" s="995"/>
      <c r="I1951" s="966"/>
      <c r="J1951" s="966"/>
      <c r="K1951" s="966"/>
      <c r="L1951" s="966"/>
      <c r="M1951" s="971"/>
    </row>
    <row r="1952" spans="1:13">
      <c r="A1952" s="966"/>
      <c r="B1952" s="966"/>
      <c r="C1952" s="966"/>
      <c r="D1952" s="966"/>
      <c r="E1952" s="966"/>
      <c r="F1952" s="966"/>
      <c r="G1952" s="966"/>
      <c r="H1952" s="995"/>
      <c r="I1952" s="966"/>
      <c r="J1952" s="966"/>
      <c r="K1952" s="966"/>
      <c r="L1952" s="966"/>
      <c r="M1952" s="971"/>
    </row>
    <row r="1953" spans="1:13">
      <c r="A1953" s="966"/>
      <c r="B1953" s="966"/>
      <c r="C1953" s="966"/>
      <c r="D1953" s="966"/>
      <c r="E1953" s="966"/>
      <c r="F1953" s="966"/>
      <c r="G1953" s="966"/>
      <c r="H1953" s="995"/>
      <c r="I1953" s="966"/>
      <c r="J1953" s="966"/>
      <c r="K1953" s="966"/>
      <c r="L1953" s="966"/>
      <c r="M1953" s="971"/>
    </row>
    <row r="1954" spans="1:13">
      <c r="A1954" s="966"/>
      <c r="B1954" s="966"/>
      <c r="C1954" s="966"/>
      <c r="D1954" s="966"/>
      <c r="E1954" s="966"/>
      <c r="F1954" s="966"/>
      <c r="G1954" s="966"/>
      <c r="H1954" s="995"/>
      <c r="I1954" s="966"/>
      <c r="J1954" s="966"/>
      <c r="K1954" s="966"/>
      <c r="L1954" s="966"/>
      <c r="M1954" s="971"/>
    </row>
    <row r="1955" spans="1:13">
      <c r="A1955" s="966"/>
      <c r="B1955" s="966"/>
      <c r="C1955" s="966"/>
      <c r="D1955" s="966"/>
      <c r="E1955" s="966"/>
      <c r="F1955" s="966"/>
      <c r="G1955" s="966"/>
      <c r="H1955" s="995"/>
      <c r="I1955" s="966"/>
      <c r="J1955" s="966"/>
      <c r="K1955" s="966"/>
      <c r="L1955" s="966"/>
      <c r="M1955" s="971"/>
    </row>
    <row r="1956" spans="1:13">
      <c r="A1956" s="966"/>
      <c r="B1956" s="966"/>
      <c r="C1956" s="966"/>
      <c r="D1956" s="966"/>
      <c r="E1956" s="966"/>
      <c r="F1956" s="966"/>
      <c r="G1956" s="966"/>
      <c r="H1956" s="995"/>
      <c r="I1956" s="966"/>
      <c r="J1956" s="966"/>
      <c r="K1956" s="966"/>
      <c r="L1956" s="966"/>
      <c r="M1956" s="971"/>
    </row>
    <row r="1957" spans="1:13">
      <c r="A1957" s="966"/>
      <c r="B1957" s="966"/>
      <c r="C1957" s="966"/>
      <c r="D1957" s="966"/>
      <c r="E1957" s="966"/>
      <c r="F1957" s="966"/>
      <c r="G1957" s="966"/>
      <c r="H1957" s="995"/>
      <c r="I1957" s="966"/>
      <c r="J1957" s="966"/>
      <c r="K1957" s="966"/>
      <c r="L1957" s="966"/>
      <c r="M1957" s="971"/>
    </row>
    <row r="1958" spans="1:13">
      <c r="A1958" s="966"/>
      <c r="B1958" s="966"/>
      <c r="C1958" s="966"/>
      <c r="D1958" s="966"/>
      <c r="E1958" s="966"/>
      <c r="F1958" s="966"/>
      <c r="G1958" s="966"/>
      <c r="H1958" s="995"/>
      <c r="I1958" s="966"/>
      <c r="J1958" s="966"/>
      <c r="K1958" s="966"/>
      <c r="L1958" s="966"/>
      <c r="M1958" s="971"/>
    </row>
    <row r="1959" spans="1:13">
      <c r="A1959" s="966"/>
      <c r="B1959" s="966"/>
      <c r="C1959" s="966"/>
      <c r="D1959" s="966"/>
      <c r="E1959" s="966"/>
      <c r="F1959" s="966"/>
      <c r="G1959" s="966"/>
      <c r="H1959" s="995"/>
      <c r="I1959" s="966"/>
      <c r="J1959" s="966"/>
      <c r="K1959" s="966"/>
      <c r="L1959" s="966"/>
      <c r="M1959" s="971"/>
    </row>
    <row r="1960" spans="1:13">
      <c r="A1960" s="966"/>
      <c r="B1960" s="966"/>
      <c r="C1960" s="966"/>
      <c r="D1960" s="966"/>
      <c r="E1960" s="966"/>
      <c r="F1960" s="966"/>
      <c r="G1960" s="966"/>
      <c r="H1960" s="995"/>
      <c r="I1960" s="966"/>
      <c r="J1960" s="966"/>
      <c r="K1960" s="966"/>
      <c r="L1960" s="966"/>
      <c r="M1960" s="971"/>
    </row>
    <row r="1961" spans="1:13">
      <c r="A1961" s="966"/>
      <c r="B1961" s="966"/>
      <c r="C1961" s="966"/>
      <c r="D1961" s="966"/>
      <c r="E1961" s="966"/>
      <c r="F1961" s="966"/>
      <c r="G1961" s="966"/>
      <c r="H1961" s="995"/>
      <c r="I1961" s="966"/>
      <c r="J1961" s="966"/>
      <c r="K1961" s="966"/>
      <c r="L1961" s="966"/>
      <c r="M1961" s="971"/>
    </row>
    <row r="1962" spans="1:13">
      <c r="A1962" s="966"/>
      <c r="B1962" s="966"/>
      <c r="C1962" s="966"/>
      <c r="D1962" s="966"/>
      <c r="E1962" s="966"/>
      <c r="F1962" s="966"/>
      <c r="G1962" s="966"/>
      <c r="H1962" s="995"/>
      <c r="I1962" s="966"/>
      <c r="J1962" s="966"/>
      <c r="K1962" s="966"/>
      <c r="L1962" s="966"/>
      <c r="M1962" s="971"/>
    </row>
    <row r="1963" spans="1:13">
      <c r="A1963" s="966"/>
      <c r="B1963" s="966"/>
      <c r="C1963" s="966"/>
      <c r="D1963" s="966"/>
      <c r="E1963" s="966"/>
      <c r="F1963" s="966"/>
      <c r="G1963" s="966"/>
      <c r="H1963" s="995"/>
      <c r="I1963" s="966"/>
      <c r="J1963" s="966"/>
      <c r="K1963" s="966"/>
      <c r="L1963" s="966"/>
      <c r="M1963" s="971"/>
    </row>
    <row r="1964" spans="1:13">
      <c r="A1964" s="966"/>
      <c r="B1964" s="966"/>
      <c r="C1964" s="966"/>
      <c r="D1964" s="966"/>
      <c r="E1964" s="966"/>
      <c r="F1964" s="966"/>
      <c r="G1964" s="966"/>
      <c r="H1964" s="995"/>
      <c r="I1964" s="966"/>
      <c r="J1964" s="966"/>
      <c r="K1964" s="966"/>
      <c r="L1964" s="966"/>
      <c r="M1964" s="971"/>
    </row>
    <row r="1965" spans="1:13">
      <c r="A1965" s="966"/>
      <c r="B1965" s="966"/>
      <c r="C1965" s="966"/>
      <c r="D1965" s="966"/>
      <c r="E1965" s="966"/>
      <c r="F1965" s="966"/>
      <c r="G1965" s="966"/>
      <c r="H1965" s="995"/>
      <c r="I1965" s="966"/>
      <c r="J1965" s="966"/>
      <c r="K1965" s="966"/>
      <c r="L1965" s="966"/>
      <c r="M1965" s="971"/>
    </row>
    <row r="1966" spans="1:13">
      <c r="A1966" s="966"/>
      <c r="B1966" s="966"/>
      <c r="C1966" s="966"/>
      <c r="D1966" s="966"/>
      <c r="E1966" s="966"/>
      <c r="F1966" s="966"/>
      <c r="G1966" s="966"/>
      <c r="H1966" s="995"/>
      <c r="I1966" s="966"/>
      <c r="J1966" s="966"/>
      <c r="K1966" s="966"/>
      <c r="L1966" s="966"/>
      <c r="M1966" s="971"/>
    </row>
    <row r="1967" spans="1:13">
      <c r="A1967" s="966"/>
      <c r="B1967" s="966"/>
      <c r="C1967" s="966"/>
      <c r="D1967" s="966"/>
      <c r="E1967" s="966"/>
      <c r="F1967" s="966"/>
      <c r="G1967" s="966"/>
      <c r="H1967" s="995"/>
      <c r="I1967" s="966"/>
      <c r="J1967" s="966"/>
      <c r="K1967" s="966"/>
      <c r="L1967" s="966"/>
      <c r="M1967" s="971"/>
    </row>
    <row r="1968" spans="1:13">
      <c r="A1968" s="966"/>
      <c r="B1968" s="966"/>
      <c r="C1968" s="966"/>
      <c r="D1968" s="966"/>
      <c r="E1968" s="966"/>
      <c r="F1968" s="966"/>
      <c r="G1968" s="966"/>
      <c r="H1968" s="995"/>
      <c r="I1968" s="966"/>
      <c r="J1968" s="966"/>
      <c r="K1968" s="966"/>
      <c r="L1968" s="966"/>
      <c r="M1968" s="971"/>
    </row>
    <row r="1969" spans="1:13">
      <c r="A1969" s="966"/>
      <c r="B1969" s="966"/>
      <c r="C1969" s="966"/>
      <c r="D1969" s="966"/>
      <c r="E1969" s="966"/>
      <c r="F1969" s="966"/>
      <c r="G1969" s="966"/>
      <c r="H1969" s="995"/>
      <c r="I1969" s="966"/>
      <c r="J1969" s="966"/>
      <c r="K1969" s="966"/>
      <c r="L1969" s="966"/>
      <c r="M1969" s="971"/>
    </row>
    <row r="1970" spans="1:13">
      <c r="A1970" s="966"/>
      <c r="B1970" s="966"/>
      <c r="C1970" s="966"/>
      <c r="D1970" s="966"/>
      <c r="E1970" s="966"/>
      <c r="F1970" s="966"/>
      <c r="G1970" s="966"/>
      <c r="H1970" s="995"/>
      <c r="I1970" s="966"/>
      <c r="J1970" s="966"/>
      <c r="K1970" s="966"/>
      <c r="L1970" s="966"/>
      <c r="M1970" s="971"/>
    </row>
    <row r="1971" spans="1:13">
      <c r="A1971" s="966"/>
      <c r="B1971" s="966"/>
      <c r="C1971" s="966"/>
      <c r="D1971" s="966"/>
      <c r="E1971" s="966"/>
      <c r="F1971" s="966"/>
      <c r="G1971" s="966"/>
      <c r="H1971" s="995"/>
      <c r="I1971" s="966"/>
      <c r="J1971" s="966"/>
      <c r="K1971" s="966"/>
      <c r="L1971" s="966"/>
      <c r="M1971" s="971"/>
    </row>
    <row r="1972" spans="1:13">
      <c r="A1972" s="966"/>
      <c r="B1972" s="966"/>
      <c r="C1972" s="966"/>
      <c r="D1972" s="966"/>
      <c r="E1972" s="966"/>
      <c r="F1972" s="966"/>
      <c r="G1972" s="966"/>
      <c r="H1972" s="995"/>
      <c r="I1972" s="966"/>
      <c r="J1972" s="966"/>
      <c r="K1972" s="966"/>
      <c r="L1972" s="966"/>
      <c r="M1972" s="971"/>
    </row>
    <row r="1973" spans="1:13">
      <c r="A1973" s="966"/>
      <c r="B1973" s="966"/>
      <c r="C1973" s="966"/>
      <c r="D1973" s="966"/>
      <c r="E1973" s="966"/>
      <c r="F1973" s="966"/>
      <c r="G1973" s="966"/>
      <c r="H1973" s="995"/>
      <c r="I1973" s="966"/>
      <c r="J1973" s="966"/>
      <c r="K1973" s="966"/>
      <c r="L1973" s="966"/>
      <c r="M1973" s="971"/>
    </row>
    <row r="1974" spans="1:13">
      <c r="A1974" s="966"/>
      <c r="B1974" s="966"/>
      <c r="C1974" s="966"/>
      <c r="D1974" s="966"/>
      <c r="E1974" s="966"/>
      <c r="F1974" s="966"/>
      <c r="G1974" s="966"/>
      <c r="H1974" s="995"/>
      <c r="I1974" s="966"/>
      <c r="J1974" s="966"/>
      <c r="K1974" s="966"/>
      <c r="L1974" s="966"/>
      <c r="M1974" s="971"/>
    </row>
    <row r="1975" spans="1:13">
      <c r="A1975" s="966"/>
      <c r="B1975" s="966"/>
      <c r="C1975" s="966"/>
      <c r="D1975" s="966"/>
      <c r="E1975" s="966"/>
      <c r="F1975" s="966"/>
      <c r="G1975" s="966"/>
      <c r="H1975" s="995"/>
      <c r="I1975" s="966"/>
      <c r="J1975" s="966"/>
      <c r="K1975" s="966"/>
      <c r="L1975" s="966"/>
      <c r="M1975" s="971"/>
    </row>
    <row r="1976" spans="1:13">
      <c r="A1976" s="966"/>
      <c r="B1976" s="966"/>
      <c r="C1976" s="966"/>
      <c r="D1976" s="966"/>
      <c r="E1976" s="966"/>
      <c r="F1976" s="966"/>
      <c r="G1976" s="966"/>
      <c r="H1976" s="995"/>
      <c r="I1976" s="966"/>
      <c r="J1976" s="966"/>
      <c r="K1976" s="966"/>
      <c r="L1976" s="966"/>
      <c r="M1976" s="971"/>
    </row>
    <row r="1977" spans="1:13">
      <c r="A1977" s="966"/>
      <c r="B1977" s="966"/>
      <c r="C1977" s="966"/>
      <c r="D1977" s="966"/>
      <c r="E1977" s="966"/>
      <c r="F1977" s="966"/>
      <c r="G1977" s="966"/>
      <c r="H1977" s="995"/>
      <c r="I1977" s="966"/>
      <c r="J1977" s="966"/>
      <c r="K1977" s="966"/>
      <c r="L1977" s="966"/>
      <c r="M1977" s="971"/>
    </row>
    <row r="1978" spans="1:13">
      <c r="A1978" s="966"/>
      <c r="B1978" s="966"/>
      <c r="C1978" s="966"/>
      <c r="D1978" s="966"/>
      <c r="E1978" s="966"/>
      <c r="F1978" s="966"/>
      <c r="G1978" s="966"/>
      <c r="H1978" s="995"/>
      <c r="I1978" s="966"/>
      <c r="J1978" s="966"/>
      <c r="K1978" s="966"/>
      <c r="L1978" s="966"/>
      <c r="M1978" s="971"/>
    </row>
    <row r="1979" spans="1:13">
      <c r="A1979" s="966"/>
      <c r="B1979" s="966"/>
      <c r="C1979" s="966"/>
      <c r="D1979" s="966"/>
      <c r="E1979" s="966"/>
      <c r="F1979" s="966"/>
      <c r="G1979" s="966"/>
      <c r="H1979" s="995"/>
      <c r="I1979" s="966"/>
      <c r="J1979" s="966"/>
      <c r="K1979" s="966"/>
      <c r="L1979" s="966"/>
      <c r="M1979" s="971"/>
    </row>
    <row r="1980" spans="1:13">
      <c r="A1980" s="966"/>
      <c r="B1980" s="966"/>
      <c r="C1980" s="966"/>
      <c r="D1980" s="966"/>
      <c r="E1980" s="966"/>
      <c r="F1980" s="966"/>
      <c r="G1980" s="966"/>
      <c r="H1980" s="995"/>
      <c r="I1980" s="966"/>
      <c r="J1980" s="966"/>
      <c r="K1980" s="966"/>
      <c r="L1980" s="966"/>
      <c r="M1980" s="971"/>
    </row>
    <row r="1981" spans="1:13">
      <c r="A1981" s="966"/>
      <c r="B1981" s="966"/>
      <c r="C1981" s="966"/>
      <c r="D1981" s="966"/>
      <c r="E1981" s="966"/>
      <c r="F1981" s="966"/>
      <c r="G1981" s="966"/>
      <c r="H1981" s="995"/>
      <c r="I1981" s="966"/>
      <c r="J1981" s="966"/>
      <c r="K1981" s="966"/>
      <c r="L1981" s="966"/>
      <c r="M1981" s="971"/>
    </row>
    <row r="1982" spans="1:13">
      <c r="A1982" s="966"/>
      <c r="B1982" s="966"/>
      <c r="C1982" s="966"/>
      <c r="D1982" s="966"/>
      <c r="E1982" s="966"/>
      <c r="F1982" s="966"/>
      <c r="G1982" s="966"/>
      <c r="H1982" s="995"/>
      <c r="I1982" s="966"/>
      <c r="J1982" s="966"/>
      <c r="K1982" s="966"/>
      <c r="L1982" s="966"/>
      <c r="M1982" s="971"/>
    </row>
    <row r="1983" spans="1:13">
      <c r="A1983" s="966"/>
      <c r="B1983" s="966"/>
      <c r="C1983" s="966"/>
      <c r="D1983" s="966"/>
      <c r="E1983" s="966"/>
      <c r="F1983" s="966"/>
      <c r="G1983" s="966"/>
      <c r="H1983" s="995"/>
      <c r="I1983" s="966"/>
      <c r="J1983" s="966"/>
      <c r="K1983" s="966"/>
      <c r="L1983" s="966"/>
      <c r="M1983" s="971"/>
    </row>
    <row r="1984" spans="1:13">
      <c r="A1984" s="966"/>
      <c r="B1984" s="966"/>
      <c r="C1984" s="966"/>
      <c r="D1984" s="966"/>
      <c r="E1984" s="966"/>
      <c r="F1984" s="966"/>
      <c r="G1984" s="966"/>
      <c r="H1984" s="995"/>
      <c r="I1984" s="966"/>
      <c r="J1984" s="966"/>
      <c r="K1984" s="966"/>
      <c r="L1984" s="966"/>
      <c r="M1984" s="971"/>
    </row>
    <row r="1985" spans="1:13">
      <c r="A1985" s="966"/>
      <c r="B1985" s="966"/>
      <c r="C1985" s="966"/>
      <c r="D1985" s="966"/>
      <c r="E1985" s="966"/>
      <c r="F1985" s="966"/>
      <c r="G1985" s="966"/>
      <c r="H1985" s="995"/>
      <c r="I1985" s="966"/>
      <c r="J1985" s="966"/>
      <c r="K1985" s="966"/>
      <c r="L1985" s="966"/>
      <c r="M1985" s="971"/>
    </row>
    <row r="1986" spans="1:13">
      <c r="A1986" s="966"/>
      <c r="B1986" s="966"/>
      <c r="C1986" s="966"/>
      <c r="D1986" s="966"/>
      <c r="E1986" s="966"/>
      <c r="F1986" s="966"/>
      <c r="G1986" s="966"/>
      <c r="H1986" s="995"/>
      <c r="I1986" s="966"/>
      <c r="J1986" s="966"/>
      <c r="K1986" s="966"/>
      <c r="L1986" s="966"/>
      <c r="M1986" s="971"/>
    </row>
    <row r="1987" spans="1:13">
      <c r="A1987" s="966"/>
      <c r="B1987" s="966"/>
      <c r="C1987" s="966"/>
      <c r="D1987" s="966"/>
      <c r="E1987" s="966"/>
      <c r="F1987" s="966"/>
      <c r="G1987" s="966"/>
      <c r="H1987" s="995"/>
      <c r="I1987" s="966"/>
      <c r="J1987" s="966"/>
      <c r="K1987" s="966"/>
      <c r="L1987" s="966"/>
      <c r="M1987" s="971"/>
    </row>
    <row r="1988" spans="1:13">
      <c r="A1988" s="966"/>
      <c r="B1988" s="966"/>
      <c r="C1988" s="966"/>
      <c r="D1988" s="966"/>
      <c r="E1988" s="966"/>
      <c r="F1988" s="966"/>
      <c r="G1988" s="966"/>
      <c r="H1988" s="995"/>
      <c r="I1988" s="966"/>
      <c r="J1988" s="966"/>
      <c r="K1988" s="966"/>
      <c r="L1988" s="966"/>
      <c r="M1988" s="971"/>
    </row>
    <row r="1989" spans="1:13">
      <c r="A1989" s="966"/>
      <c r="B1989" s="966"/>
      <c r="C1989" s="966"/>
      <c r="D1989" s="966"/>
      <c r="E1989" s="966"/>
      <c r="F1989" s="966"/>
      <c r="G1989" s="966"/>
      <c r="H1989" s="995"/>
      <c r="I1989" s="966"/>
      <c r="J1989" s="966"/>
      <c r="K1989" s="966"/>
      <c r="L1989" s="966"/>
      <c r="M1989" s="971"/>
    </row>
    <row r="1990" spans="1:13">
      <c r="A1990" s="966"/>
      <c r="B1990" s="966"/>
      <c r="C1990" s="966"/>
      <c r="D1990" s="966"/>
      <c r="E1990" s="966"/>
      <c r="F1990" s="966"/>
      <c r="G1990" s="966"/>
      <c r="H1990" s="995"/>
      <c r="I1990" s="966"/>
      <c r="J1990" s="966"/>
      <c r="K1990" s="966"/>
      <c r="L1990" s="966"/>
      <c r="M1990" s="971"/>
    </row>
    <row r="1991" spans="1:13">
      <c r="A1991" s="966"/>
      <c r="B1991" s="966"/>
      <c r="C1991" s="966"/>
      <c r="D1991" s="966"/>
      <c r="E1991" s="966"/>
      <c r="F1991" s="966"/>
      <c r="G1991" s="966"/>
      <c r="H1991" s="995"/>
      <c r="I1991" s="966"/>
      <c r="J1991" s="966"/>
      <c r="K1991" s="966"/>
      <c r="L1991" s="966"/>
      <c r="M1991" s="971"/>
    </row>
    <row r="1992" spans="1:13">
      <c r="A1992" s="966"/>
      <c r="B1992" s="966"/>
      <c r="C1992" s="966"/>
      <c r="D1992" s="966"/>
      <c r="E1992" s="966"/>
      <c r="F1992" s="966"/>
      <c r="G1992" s="966"/>
      <c r="H1992" s="995"/>
      <c r="I1992" s="966"/>
      <c r="J1992" s="966"/>
      <c r="K1992" s="966"/>
      <c r="L1992" s="966"/>
      <c r="M1992" s="971"/>
    </row>
    <row r="1993" spans="1:13">
      <c r="A1993" s="966"/>
      <c r="B1993" s="966"/>
      <c r="C1993" s="966"/>
      <c r="D1993" s="966"/>
      <c r="E1993" s="966"/>
      <c r="F1993" s="966"/>
      <c r="G1993" s="966"/>
      <c r="H1993" s="995"/>
      <c r="I1993" s="966"/>
      <c r="J1993" s="966"/>
      <c r="K1993" s="966"/>
      <c r="L1993" s="966"/>
      <c r="M1993" s="971"/>
    </row>
    <row r="1994" spans="1:13">
      <c r="A1994" s="966"/>
      <c r="B1994" s="966"/>
      <c r="C1994" s="966"/>
      <c r="D1994" s="966"/>
      <c r="E1994" s="966"/>
      <c r="F1994" s="966"/>
      <c r="G1994" s="966"/>
      <c r="H1994" s="995"/>
      <c r="I1994" s="966"/>
      <c r="J1994" s="966"/>
      <c r="K1994" s="966"/>
      <c r="L1994" s="966"/>
      <c r="M1994" s="971"/>
    </row>
    <row r="1995" spans="1:13">
      <c r="A1995" s="966"/>
      <c r="B1995" s="966"/>
      <c r="C1995" s="966"/>
      <c r="D1995" s="966"/>
      <c r="E1995" s="966"/>
      <c r="F1995" s="966"/>
      <c r="G1995" s="966"/>
      <c r="H1995" s="995"/>
      <c r="I1995" s="966"/>
      <c r="J1995" s="966"/>
      <c r="K1995" s="966"/>
      <c r="L1995" s="966"/>
      <c r="M1995" s="971"/>
    </row>
    <row r="1996" spans="1:13">
      <c r="A1996" s="966"/>
      <c r="B1996" s="966"/>
      <c r="C1996" s="966"/>
      <c r="D1996" s="966"/>
      <c r="E1996" s="966"/>
      <c r="F1996" s="966"/>
      <c r="G1996" s="966"/>
      <c r="H1996" s="995"/>
      <c r="I1996" s="966"/>
      <c r="J1996" s="966"/>
      <c r="K1996" s="966"/>
      <c r="L1996" s="966"/>
      <c r="M1996" s="971"/>
    </row>
    <row r="1997" spans="1:13">
      <c r="A1997" s="966"/>
      <c r="B1997" s="966"/>
      <c r="C1997" s="966"/>
      <c r="D1997" s="966"/>
      <c r="E1997" s="966"/>
      <c r="F1997" s="966"/>
      <c r="G1997" s="966"/>
      <c r="H1997" s="995"/>
      <c r="I1997" s="966"/>
      <c r="J1997" s="966"/>
      <c r="K1997" s="966"/>
      <c r="L1997" s="966"/>
      <c r="M1997" s="971"/>
    </row>
    <row r="1998" spans="1:13">
      <c r="A1998" s="966"/>
      <c r="B1998" s="966"/>
      <c r="C1998" s="966"/>
      <c r="D1998" s="966"/>
      <c r="E1998" s="966"/>
      <c r="F1998" s="966"/>
      <c r="G1998" s="966"/>
      <c r="H1998" s="995"/>
      <c r="I1998" s="966"/>
      <c r="J1998" s="966"/>
      <c r="K1998" s="966"/>
      <c r="L1998" s="966"/>
      <c r="M1998" s="971"/>
    </row>
    <row r="1999" spans="1:13">
      <c r="A1999" s="966"/>
      <c r="B1999" s="966"/>
      <c r="C1999" s="966"/>
      <c r="D1999" s="966"/>
      <c r="E1999" s="966"/>
      <c r="F1999" s="966"/>
      <c r="G1999" s="966"/>
      <c r="H1999" s="995"/>
      <c r="I1999" s="966"/>
      <c r="J1999" s="966"/>
      <c r="K1999" s="966"/>
      <c r="L1999" s="966"/>
      <c r="M1999" s="971"/>
    </row>
    <row r="2000" spans="1:13">
      <c r="A2000" s="966"/>
      <c r="B2000" s="966"/>
      <c r="C2000" s="966"/>
      <c r="D2000" s="966"/>
      <c r="E2000" s="966"/>
      <c r="F2000" s="966"/>
      <c r="G2000" s="966"/>
      <c r="H2000" s="995"/>
      <c r="I2000" s="966"/>
      <c r="J2000" s="966"/>
      <c r="K2000" s="966"/>
      <c r="L2000" s="966"/>
      <c r="M2000" s="971"/>
    </row>
    <row r="2001" spans="1:13">
      <c r="A2001" s="966"/>
      <c r="B2001" s="966"/>
      <c r="C2001" s="966"/>
      <c r="D2001" s="966"/>
      <c r="E2001" s="966"/>
      <c r="F2001" s="966"/>
      <c r="G2001" s="966"/>
      <c r="H2001" s="995"/>
      <c r="I2001" s="966"/>
      <c r="J2001" s="966"/>
      <c r="K2001" s="966"/>
      <c r="L2001" s="966"/>
      <c r="M2001" s="971"/>
    </row>
    <row r="2002" spans="1:13">
      <c r="A2002" s="966"/>
      <c r="B2002" s="966"/>
      <c r="C2002" s="966"/>
      <c r="D2002" s="966"/>
      <c r="E2002" s="966"/>
      <c r="F2002" s="966"/>
      <c r="G2002" s="966"/>
      <c r="H2002" s="995"/>
      <c r="I2002" s="966"/>
      <c r="J2002" s="966"/>
      <c r="K2002" s="966"/>
      <c r="L2002" s="966"/>
      <c r="M2002" s="971"/>
    </row>
    <row r="2003" spans="1:13">
      <c r="A2003" s="966"/>
      <c r="B2003" s="966"/>
      <c r="C2003" s="966"/>
      <c r="D2003" s="966"/>
      <c r="E2003" s="966"/>
      <c r="F2003" s="966"/>
      <c r="G2003" s="966"/>
      <c r="H2003" s="995"/>
      <c r="I2003" s="966"/>
      <c r="J2003" s="966"/>
      <c r="K2003" s="966"/>
      <c r="L2003" s="966"/>
      <c r="M2003" s="971"/>
    </row>
    <row r="2004" spans="1:13">
      <c r="A2004" s="966"/>
      <c r="B2004" s="966"/>
      <c r="C2004" s="966"/>
      <c r="D2004" s="966"/>
      <c r="E2004" s="966"/>
      <c r="F2004" s="966"/>
      <c r="G2004" s="966"/>
      <c r="H2004" s="995"/>
      <c r="I2004" s="966"/>
      <c r="J2004" s="966"/>
      <c r="K2004" s="966"/>
      <c r="L2004" s="966"/>
      <c r="M2004" s="971"/>
    </row>
    <row r="2005" spans="1:13">
      <c r="A2005" s="966"/>
      <c r="B2005" s="966"/>
      <c r="C2005" s="966"/>
      <c r="D2005" s="966"/>
      <c r="E2005" s="966"/>
      <c r="F2005" s="966"/>
      <c r="G2005" s="966"/>
      <c r="H2005" s="995"/>
      <c r="I2005" s="966"/>
      <c r="J2005" s="966"/>
      <c r="K2005" s="966"/>
      <c r="L2005" s="966"/>
      <c r="M2005" s="971"/>
    </row>
    <row r="2006" spans="1:13">
      <c r="A2006" s="966"/>
      <c r="B2006" s="966"/>
      <c r="C2006" s="966"/>
      <c r="D2006" s="966"/>
      <c r="E2006" s="966"/>
      <c r="F2006" s="966"/>
      <c r="G2006" s="966"/>
      <c r="H2006" s="995"/>
      <c r="I2006" s="966"/>
      <c r="J2006" s="966"/>
      <c r="K2006" s="966"/>
      <c r="L2006" s="966"/>
      <c r="M2006" s="971"/>
    </row>
    <row r="2007" spans="1:13">
      <c r="A2007" s="966"/>
      <c r="B2007" s="966"/>
      <c r="C2007" s="966"/>
      <c r="D2007" s="966"/>
      <c r="E2007" s="966"/>
      <c r="F2007" s="966"/>
      <c r="G2007" s="966"/>
      <c r="H2007" s="995"/>
      <c r="I2007" s="966"/>
      <c r="J2007" s="966"/>
      <c r="K2007" s="966"/>
      <c r="L2007" s="966"/>
      <c r="M2007" s="971"/>
    </row>
    <row r="2008" spans="1:13">
      <c r="A2008" s="966"/>
      <c r="B2008" s="966"/>
      <c r="C2008" s="966"/>
      <c r="D2008" s="966"/>
      <c r="E2008" s="966"/>
      <c r="F2008" s="966"/>
      <c r="G2008" s="966"/>
      <c r="H2008" s="995"/>
      <c r="I2008" s="966"/>
      <c r="J2008" s="966"/>
      <c r="K2008" s="966"/>
      <c r="L2008" s="966"/>
      <c r="M2008" s="971"/>
    </row>
    <row r="2009" spans="1:13">
      <c r="A2009" s="966"/>
      <c r="B2009" s="966"/>
      <c r="C2009" s="966"/>
      <c r="D2009" s="966"/>
      <c r="E2009" s="966"/>
      <c r="F2009" s="966"/>
      <c r="G2009" s="966"/>
      <c r="H2009" s="995"/>
      <c r="I2009" s="966"/>
      <c r="J2009" s="966"/>
      <c r="K2009" s="966"/>
      <c r="L2009" s="966"/>
      <c r="M2009" s="971"/>
    </row>
    <row r="2010" spans="1:13">
      <c r="A2010" s="966"/>
      <c r="B2010" s="966"/>
      <c r="C2010" s="966"/>
      <c r="D2010" s="966"/>
      <c r="E2010" s="966"/>
      <c r="F2010" s="966"/>
      <c r="G2010" s="966"/>
      <c r="H2010" s="995"/>
      <c r="I2010" s="966"/>
      <c r="J2010" s="966"/>
      <c r="K2010" s="966"/>
      <c r="L2010" s="966"/>
      <c r="M2010" s="971"/>
    </row>
    <row r="2011" spans="1:13">
      <c r="A2011" s="966"/>
      <c r="B2011" s="966"/>
      <c r="C2011" s="966"/>
      <c r="D2011" s="966"/>
      <c r="E2011" s="966"/>
      <c r="F2011" s="966"/>
      <c r="G2011" s="966"/>
      <c r="H2011" s="995"/>
      <c r="I2011" s="966"/>
      <c r="J2011" s="966"/>
      <c r="K2011" s="966"/>
      <c r="L2011" s="966"/>
      <c r="M2011" s="971"/>
    </row>
    <row r="2012" spans="1:13">
      <c r="A2012" s="966"/>
      <c r="B2012" s="966"/>
      <c r="C2012" s="966"/>
      <c r="D2012" s="966"/>
      <c r="E2012" s="966"/>
      <c r="F2012" s="966"/>
      <c r="G2012" s="966"/>
      <c r="H2012" s="995"/>
      <c r="I2012" s="966"/>
      <c r="J2012" s="966"/>
      <c r="K2012" s="966"/>
      <c r="L2012" s="966"/>
      <c r="M2012" s="971"/>
    </row>
    <row r="2013" spans="1:13">
      <c r="A2013" s="966"/>
      <c r="B2013" s="966"/>
      <c r="C2013" s="966"/>
      <c r="D2013" s="966"/>
      <c r="E2013" s="966"/>
      <c r="F2013" s="966"/>
      <c r="G2013" s="966"/>
      <c r="H2013" s="995"/>
      <c r="I2013" s="966"/>
      <c r="J2013" s="966"/>
      <c r="K2013" s="966"/>
      <c r="L2013" s="966"/>
      <c r="M2013" s="971"/>
    </row>
    <row r="2014" spans="1:13">
      <c r="A2014" s="966"/>
      <c r="B2014" s="966"/>
      <c r="C2014" s="966"/>
      <c r="D2014" s="966"/>
      <c r="E2014" s="966"/>
      <c r="F2014" s="966"/>
      <c r="G2014" s="966"/>
      <c r="H2014" s="995"/>
      <c r="I2014" s="966"/>
      <c r="J2014" s="966"/>
      <c r="K2014" s="966"/>
      <c r="L2014" s="966"/>
      <c r="M2014" s="971"/>
    </row>
    <row r="2015" spans="1:13">
      <c r="A2015" s="966"/>
      <c r="B2015" s="966"/>
      <c r="C2015" s="966"/>
      <c r="D2015" s="966"/>
      <c r="E2015" s="966"/>
      <c r="F2015" s="966"/>
      <c r="G2015" s="966"/>
      <c r="H2015" s="995"/>
      <c r="I2015" s="966"/>
      <c r="J2015" s="966"/>
      <c r="K2015" s="966"/>
      <c r="L2015" s="966"/>
      <c r="M2015" s="971"/>
    </row>
    <row r="2016" spans="1:13">
      <c r="A2016" s="966"/>
      <c r="B2016" s="966"/>
      <c r="C2016" s="966"/>
      <c r="D2016" s="966"/>
      <c r="E2016" s="966"/>
      <c r="F2016" s="966"/>
      <c r="G2016" s="966"/>
      <c r="H2016" s="995"/>
      <c r="I2016" s="966"/>
      <c r="J2016" s="966"/>
      <c r="K2016" s="966"/>
      <c r="L2016" s="966"/>
      <c r="M2016" s="971"/>
    </row>
    <row r="2017" spans="1:13">
      <c r="A2017" s="966"/>
      <c r="B2017" s="966"/>
      <c r="C2017" s="966"/>
      <c r="D2017" s="966"/>
      <c r="E2017" s="966"/>
      <c r="F2017" s="966"/>
      <c r="G2017" s="966"/>
      <c r="H2017" s="995"/>
      <c r="I2017" s="966"/>
      <c r="J2017" s="966"/>
      <c r="K2017" s="966"/>
      <c r="L2017" s="966"/>
      <c r="M2017" s="971"/>
    </row>
    <row r="2018" spans="1:13">
      <c r="A2018" s="966"/>
      <c r="B2018" s="966"/>
      <c r="C2018" s="966"/>
      <c r="D2018" s="966"/>
      <c r="E2018" s="966"/>
      <c r="F2018" s="966"/>
      <c r="G2018" s="966"/>
      <c r="H2018" s="995"/>
      <c r="I2018" s="966"/>
      <c r="J2018" s="966"/>
      <c r="K2018" s="966"/>
      <c r="L2018" s="966"/>
      <c r="M2018" s="971"/>
    </row>
    <row r="2019" spans="1:13">
      <c r="A2019" s="966"/>
      <c r="B2019" s="966"/>
      <c r="C2019" s="966"/>
      <c r="D2019" s="966"/>
      <c r="E2019" s="966"/>
      <c r="F2019" s="966"/>
      <c r="G2019" s="966"/>
      <c r="H2019" s="995"/>
      <c r="I2019" s="966"/>
      <c r="J2019" s="966"/>
      <c r="K2019" s="966"/>
      <c r="L2019" s="966"/>
      <c r="M2019" s="971"/>
    </row>
    <row r="2020" spans="1:13">
      <c r="A2020" s="966"/>
      <c r="B2020" s="966"/>
      <c r="C2020" s="966"/>
      <c r="D2020" s="966"/>
      <c r="E2020" s="966"/>
      <c r="F2020" s="966"/>
      <c r="G2020" s="966"/>
      <c r="H2020" s="995"/>
      <c r="I2020" s="966"/>
      <c r="J2020" s="966"/>
      <c r="K2020" s="966"/>
      <c r="L2020" s="966"/>
      <c r="M2020" s="971"/>
    </row>
    <row r="2021" spans="1:13">
      <c r="A2021" s="966"/>
      <c r="B2021" s="966"/>
      <c r="C2021" s="966"/>
      <c r="D2021" s="966"/>
      <c r="E2021" s="966"/>
      <c r="F2021" s="966"/>
      <c r="G2021" s="966"/>
      <c r="H2021" s="995"/>
      <c r="I2021" s="966"/>
      <c r="J2021" s="966"/>
      <c r="K2021" s="966"/>
      <c r="L2021" s="966"/>
      <c r="M2021" s="971"/>
    </row>
    <row r="2022" spans="1:13">
      <c r="A2022" s="966"/>
      <c r="B2022" s="966"/>
      <c r="C2022" s="966"/>
      <c r="D2022" s="966"/>
      <c r="E2022" s="966"/>
      <c r="F2022" s="966"/>
      <c r="G2022" s="966"/>
      <c r="H2022" s="995"/>
      <c r="I2022" s="966"/>
      <c r="J2022" s="966"/>
      <c r="K2022" s="966"/>
      <c r="L2022" s="966"/>
      <c r="M2022" s="971"/>
    </row>
    <row r="2023" spans="1:13">
      <c r="A2023" s="966"/>
      <c r="B2023" s="966"/>
      <c r="C2023" s="966"/>
      <c r="D2023" s="966"/>
      <c r="E2023" s="966"/>
      <c r="F2023" s="966"/>
      <c r="G2023" s="966"/>
      <c r="H2023" s="995"/>
      <c r="I2023" s="966"/>
      <c r="J2023" s="966"/>
      <c r="K2023" s="966"/>
      <c r="L2023" s="966"/>
      <c r="M2023" s="971"/>
    </row>
    <row r="2024" spans="1:13">
      <c r="A2024" s="966"/>
      <c r="B2024" s="966"/>
      <c r="C2024" s="966"/>
      <c r="D2024" s="966"/>
      <c r="E2024" s="966"/>
      <c r="F2024" s="966"/>
      <c r="G2024" s="966"/>
      <c r="H2024" s="995"/>
      <c r="I2024" s="966"/>
      <c r="J2024" s="966"/>
      <c r="K2024" s="966"/>
      <c r="L2024" s="966"/>
      <c r="M2024" s="971"/>
    </row>
    <row r="2025" spans="1:13">
      <c r="A2025" s="966"/>
      <c r="B2025" s="966"/>
      <c r="C2025" s="966"/>
      <c r="D2025" s="966"/>
      <c r="E2025" s="966"/>
      <c r="F2025" s="966"/>
      <c r="G2025" s="966"/>
      <c r="H2025" s="995"/>
      <c r="I2025" s="966"/>
      <c r="J2025" s="966"/>
      <c r="K2025" s="966"/>
      <c r="L2025" s="966"/>
      <c r="M2025" s="971"/>
    </row>
    <row r="2026" spans="1:13">
      <c r="A2026" s="966"/>
      <c r="B2026" s="966"/>
      <c r="C2026" s="966"/>
      <c r="D2026" s="966"/>
      <c r="E2026" s="966"/>
      <c r="F2026" s="966"/>
      <c r="G2026" s="966"/>
      <c r="H2026" s="995"/>
      <c r="I2026" s="966"/>
      <c r="J2026" s="966"/>
      <c r="K2026" s="966"/>
      <c r="L2026" s="966"/>
      <c r="M2026" s="971"/>
    </row>
    <row r="2027" spans="1:13">
      <c r="A2027" s="966"/>
      <c r="B2027" s="966"/>
      <c r="C2027" s="966"/>
      <c r="D2027" s="966"/>
      <c r="E2027" s="966"/>
      <c r="F2027" s="966"/>
      <c r="G2027" s="966"/>
      <c r="H2027" s="995"/>
      <c r="I2027" s="966"/>
      <c r="J2027" s="966"/>
      <c r="K2027" s="966"/>
      <c r="L2027" s="966"/>
      <c r="M2027" s="971"/>
    </row>
    <row r="2028" spans="1:13">
      <c r="A2028" s="966"/>
      <c r="B2028" s="966"/>
      <c r="C2028" s="966"/>
      <c r="D2028" s="966"/>
      <c r="E2028" s="966"/>
      <c r="F2028" s="966"/>
      <c r="G2028" s="966"/>
      <c r="H2028" s="995"/>
      <c r="I2028" s="966"/>
      <c r="J2028" s="966"/>
      <c r="K2028" s="966"/>
      <c r="L2028" s="966"/>
      <c r="M2028" s="971"/>
    </row>
    <row r="2029" spans="1:13">
      <c r="A2029" s="966"/>
      <c r="B2029" s="966"/>
      <c r="C2029" s="966"/>
      <c r="D2029" s="966"/>
      <c r="E2029" s="966"/>
      <c r="F2029" s="966"/>
      <c r="G2029" s="966"/>
      <c r="H2029" s="995"/>
      <c r="I2029" s="966"/>
      <c r="J2029" s="966"/>
      <c r="K2029" s="966"/>
      <c r="L2029" s="966"/>
      <c r="M2029" s="971"/>
    </row>
    <row r="2030" spans="1:13">
      <c r="A2030" s="966"/>
      <c r="B2030" s="966"/>
      <c r="C2030" s="966"/>
      <c r="D2030" s="966"/>
      <c r="E2030" s="966"/>
      <c r="F2030" s="966"/>
      <c r="G2030" s="966"/>
      <c r="H2030" s="995"/>
      <c r="I2030" s="966"/>
      <c r="J2030" s="966"/>
      <c r="K2030" s="966"/>
      <c r="L2030" s="966"/>
      <c r="M2030" s="971"/>
    </row>
    <row r="2031" spans="1:13">
      <c r="A2031" s="966"/>
      <c r="B2031" s="966"/>
      <c r="C2031" s="966"/>
      <c r="D2031" s="966"/>
      <c r="E2031" s="966"/>
      <c r="F2031" s="966"/>
      <c r="G2031" s="966"/>
      <c r="H2031" s="995"/>
      <c r="I2031" s="966"/>
      <c r="J2031" s="966"/>
      <c r="K2031" s="966"/>
      <c r="L2031" s="966"/>
      <c r="M2031" s="971"/>
    </row>
    <row r="2032" spans="1:13">
      <c r="A2032" s="966"/>
      <c r="B2032" s="966"/>
      <c r="C2032" s="966"/>
      <c r="D2032" s="966"/>
      <c r="E2032" s="966"/>
      <c r="F2032" s="966"/>
      <c r="G2032" s="966"/>
      <c r="H2032" s="995"/>
      <c r="I2032" s="966"/>
      <c r="J2032" s="966"/>
      <c r="K2032" s="966"/>
      <c r="L2032" s="966"/>
      <c r="M2032" s="971"/>
    </row>
    <row r="2033" spans="1:13">
      <c r="A2033" s="966"/>
      <c r="B2033" s="966"/>
      <c r="C2033" s="966"/>
      <c r="D2033" s="966"/>
      <c r="E2033" s="966"/>
      <c r="F2033" s="966"/>
      <c r="G2033" s="966"/>
      <c r="H2033" s="995"/>
      <c r="I2033" s="966"/>
      <c r="J2033" s="966"/>
      <c r="K2033" s="966"/>
      <c r="L2033" s="966"/>
      <c r="M2033" s="971"/>
    </row>
    <row r="2034" spans="1:13">
      <c r="A2034" s="966"/>
      <c r="B2034" s="966"/>
      <c r="C2034" s="966"/>
      <c r="D2034" s="966"/>
      <c r="E2034" s="966"/>
      <c r="F2034" s="966"/>
      <c r="G2034" s="966"/>
      <c r="H2034" s="995"/>
      <c r="I2034" s="966"/>
      <c r="J2034" s="966"/>
      <c r="K2034" s="966"/>
      <c r="L2034" s="966"/>
      <c r="M2034" s="971"/>
    </row>
    <row r="2035" spans="1:13">
      <c r="A2035" s="966"/>
      <c r="B2035" s="966"/>
      <c r="C2035" s="966"/>
      <c r="D2035" s="966"/>
      <c r="E2035" s="966"/>
      <c r="F2035" s="966"/>
      <c r="G2035" s="966"/>
      <c r="H2035" s="995"/>
      <c r="I2035" s="966"/>
      <c r="J2035" s="966"/>
      <c r="K2035" s="966"/>
      <c r="L2035" s="966"/>
      <c r="M2035" s="971"/>
    </row>
    <row r="2036" spans="1:13">
      <c r="A2036" s="966"/>
      <c r="B2036" s="966"/>
      <c r="C2036" s="966"/>
      <c r="D2036" s="966"/>
      <c r="E2036" s="966"/>
      <c r="F2036" s="966"/>
      <c r="G2036" s="966"/>
      <c r="H2036" s="995"/>
      <c r="I2036" s="966"/>
      <c r="J2036" s="966"/>
      <c r="K2036" s="966"/>
      <c r="L2036" s="966"/>
      <c r="M2036" s="971"/>
    </row>
    <row r="2037" spans="1:13">
      <c r="A2037" s="966"/>
      <c r="B2037" s="966"/>
      <c r="C2037" s="966"/>
      <c r="D2037" s="966"/>
      <c r="E2037" s="966"/>
      <c r="F2037" s="966"/>
      <c r="G2037" s="966"/>
      <c r="H2037" s="995"/>
      <c r="I2037" s="966"/>
      <c r="J2037" s="966"/>
      <c r="K2037" s="966"/>
      <c r="L2037" s="966"/>
      <c r="M2037" s="971"/>
    </row>
    <row r="2038" spans="1:13">
      <c r="A2038" s="966"/>
      <c r="B2038" s="966"/>
      <c r="C2038" s="966"/>
      <c r="D2038" s="966"/>
      <c r="E2038" s="966"/>
      <c r="F2038" s="966"/>
      <c r="G2038" s="966"/>
      <c r="H2038" s="995"/>
      <c r="I2038" s="966"/>
      <c r="J2038" s="966"/>
      <c r="K2038" s="966"/>
      <c r="L2038" s="966"/>
      <c r="M2038" s="971"/>
    </row>
    <row r="2039" spans="1:13">
      <c r="A2039" s="966"/>
      <c r="B2039" s="966"/>
      <c r="C2039" s="966"/>
      <c r="D2039" s="966"/>
      <c r="E2039" s="966"/>
      <c r="F2039" s="966"/>
      <c r="G2039" s="966"/>
      <c r="H2039" s="995"/>
      <c r="I2039" s="966"/>
      <c r="J2039" s="966"/>
      <c r="K2039" s="966"/>
      <c r="L2039" s="966"/>
      <c r="M2039" s="971"/>
    </row>
    <row r="2040" spans="1:13">
      <c r="A2040" s="966"/>
      <c r="B2040" s="966"/>
      <c r="C2040" s="966"/>
      <c r="D2040" s="966"/>
      <c r="E2040" s="966"/>
      <c r="F2040" s="966"/>
      <c r="G2040" s="966"/>
      <c r="H2040" s="995"/>
      <c r="I2040" s="966"/>
      <c r="J2040" s="966"/>
      <c r="K2040" s="966"/>
      <c r="L2040" s="966"/>
      <c r="M2040" s="971"/>
    </row>
    <row r="2041" spans="1:13">
      <c r="A2041" s="966"/>
      <c r="B2041" s="966"/>
      <c r="C2041" s="966"/>
      <c r="D2041" s="966"/>
      <c r="E2041" s="966"/>
      <c r="F2041" s="966"/>
      <c r="G2041" s="966"/>
      <c r="H2041" s="995"/>
      <c r="I2041" s="966"/>
      <c r="J2041" s="966"/>
      <c r="K2041" s="966"/>
      <c r="L2041" s="966"/>
      <c r="M2041" s="971"/>
    </row>
    <row r="2042" spans="1:13">
      <c r="A2042" s="966"/>
      <c r="B2042" s="966"/>
      <c r="C2042" s="966"/>
      <c r="D2042" s="966"/>
      <c r="E2042" s="966"/>
      <c r="F2042" s="966"/>
      <c r="G2042" s="966"/>
      <c r="H2042" s="995"/>
      <c r="I2042" s="966"/>
      <c r="J2042" s="966"/>
      <c r="K2042" s="966"/>
      <c r="L2042" s="966"/>
      <c r="M2042" s="971"/>
    </row>
    <row r="2043" spans="1:13">
      <c r="A2043" s="966"/>
      <c r="B2043" s="966"/>
      <c r="C2043" s="966"/>
      <c r="D2043" s="966"/>
      <c r="E2043" s="966"/>
      <c r="F2043" s="966"/>
      <c r="G2043" s="966"/>
      <c r="H2043" s="995"/>
      <c r="I2043" s="966"/>
      <c r="J2043" s="966"/>
      <c r="K2043" s="966"/>
      <c r="L2043" s="966"/>
      <c r="M2043" s="971"/>
    </row>
    <row r="2044" spans="1:13">
      <c r="A2044" s="966"/>
      <c r="B2044" s="966"/>
      <c r="C2044" s="966"/>
      <c r="D2044" s="966"/>
      <c r="E2044" s="966"/>
      <c r="F2044" s="966"/>
      <c r="G2044" s="966"/>
      <c r="H2044" s="995"/>
      <c r="I2044" s="966"/>
      <c r="J2044" s="966"/>
      <c r="K2044" s="966"/>
      <c r="L2044" s="966"/>
      <c r="M2044" s="971"/>
    </row>
    <row r="2045" spans="1:13">
      <c r="A2045" s="966"/>
      <c r="B2045" s="966"/>
      <c r="C2045" s="966"/>
      <c r="D2045" s="966"/>
      <c r="E2045" s="966"/>
      <c r="F2045" s="966"/>
      <c r="G2045" s="966"/>
      <c r="H2045" s="995"/>
      <c r="I2045" s="966"/>
      <c r="J2045" s="966"/>
      <c r="K2045" s="966"/>
      <c r="L2045" s="966"/>
      <c r="M2045" s="971"/>
    </row>
    <row r="2046" spans="1:13">
      <c r="A2046" s="966"/>
      <c r="B2046" s="966"/>
      <c r="C2046" s="966"/>
      <c r="D2046" s="966"/>
      <c r="E2046" s="966"/>
      <c r="F2046" s="966"/>
      <c r="G2046" s="966"/>
      <c r="H2046" s="995"/>
      <c r="I2046" s="966"/>
      <c r="J2046" s="966"/>
      <c r="K2046" s="966"/>
      <c r="L2046" s="966"/>
      <c r="M2046" s="971"/>
    </row>
    <row r="2047" spans="1:13">
      <c r="A2047" s="966"/>
      <c r="B2047" s="966"/>
      <c r="C2047" s="966"/>
      <c r="D2047" s="966"/>
      <c r="E2047" s="966"/>
      <c r="F2047" s="966"/>
      <c r="G2047" s="966"/>
      <c r="H2047" s="995"/>
      <c r="I2047" s="966"/>
      <c r="J2047" s="966"/>
      <c r="K2047" s="966"/>
      <c r="L2047" s="966"/>
      <c r="M2047" s="971"/>
    </row>
    <row r="2048" spans="1:13">
      <c r="A2048" s="966"/>
      <c r="B2048" s="966"/>
      <c r="C2048" s="966"/>
      <c r="D2048" s="966"/>
      <c r="E2048" s="966"/>
      <c r="F2048" s="966"/>
      <c r="G2048" s="966"/>
      <c r="H2048" s="995"/>
      <c r="I2048" s="966"/>
      <c r="J2048" s="966"/>
      <c r="K2048" s="966"/>
      <c r="L2048" s="966"/>
      <c r="M2048" s="971"/>
    </row>
    <row r="2049" spans="1:13">
      <c r="A2049" s="966"/>
      <c r="B2049" s="966"/>
      <c r="C2049" s="966"/>
      <c r="D2049" s="966"/>
      <c r="E2049" s="966"/>
      <c r="F2049" s="966"/>
      <c r="G2049" s="966"/>
      <c r="H2049" s="995"/>
      <c r="I2049" s="966"/>
      <c r="J2049" s="966"/>
      <c r="K2049" s="966"/>
      <c r="L2049" s="966"/>
      <c r="M2049" s="971"/>
    </row>
    <row r="2050" spans="1:13">
      <c r="A2050" s="966"/>
      <c r="B2050" s="966"/>
      <c r="C2050" s="966"/>
      <c r="D2050" s="966"/>
      <c r="E2050" s="966"/>
      <c r="F2050" s="966"/>
      <c r="G2050" s="966"/>
      <c r="H2050" s="995"/>
      <c r="I2050" s="966"/>
      <c r="J2050" s="966"/>
      <c r="K2050" s="966"/>
      <c r="L2050" s="966"/>
      <c r="M2050" s="971"/>
    </row>
    <row r="2051" spans="1:13">
      <c r="A2051" s="966"/>
      <c r="B2051" s="966"/>
      <c r="C2051" s="966"/>
      <c r="D2051" s="966"/>
      <c r="E2051" s="966"/>
      <c r="F2051" s="966"/>
      <c r="G2051" s="966"/>
      <c r="H2051" s="995"/>
      <c r="I2051" s="966"/>
      <c r="J2051" s="966"/>
      <c r="K2051" s="966"/>
      <c r="L2051" s="966"/>
      <c r="M2051" s="971"/>
    </row>
    <row r="2052" spans="1:13">
      <c r="A2052" s="966"/>
      <c r="B2052" s="966"/>
      <c r="C2052" s="966"/>
      <c r="D2052" s="966"/>
      <c r="E2052" s="966"/>
      <c r="F2052" s="966"/>
      <c r="G2052" s="966"/>
      <c r="H2052" s="995"/>
      <c r="I2052" s="966"/>
      <c r="J2052" s="966"/>
      <c r="K2052" s="966"/>
      <c r="L2052" s="966"/>
      <c r="M2052" s="971"/>
    </row>
    <row r="2053" spans="1:13">
      <c r="A2053" s="966"/>
      <c r="B2053" s="966"/>
      <c r="C2053" s="966"/>
      <c r="D2053" s="966"/>
      <c r="E2053" s="966"/>
      <c r="F2053" s="966"/>
      <c r="G2053" s="966"/>
      <c r="H2053" s="995"/>
      <c r="I2053" s="966"/>
      <c r="J2053" s="966"/>
      <c r="K2053" s="966"/>
      <c r="L2053" s="966"/>
      <c r="M2053" s="971"/>
    </row>
    <row r="2054" spans="1:13">
      <c r="A2054" s="966"/>
      <c r="B2054" s="966"/>
      <c r="C2054" s="966"/>
      <c r="D2054" s="966"/>
      <c r="E2054" s="966"/>
      <c r="F2054" s="966"/>
      <c r="G2054" s="966"/>
      <c r="H2054" s="995"/>
      <c r="I2054" s="966"/>
      <c r="J2054" s="966"/>
      <c r="K2054" s="966"/>
      <c r="L2054" s="966"/>
      <c r="M2054" s="971"/>
    </row>
    <row r="2055" spans="1:13">
      <c r="A2055" s="966"/>
      <c r="B2055" s="966"/>
      <c r="C2055" s="966"/>
      <c r="D2055" s="966"/>
      <c r="E2055" s="966"/>
      <c r="F2055" s="966"/>
      <c r="G2055" s="966"/>
      <c r="H2055" s="995"/>
      <c r="I2055" s="966"/>
      <c r="J2055" s="966"/>
      <c r="K2055" s="966"/>
      <c r="L2055" s="966"/>
      <c r="M2055" s="971"/>
    </row>
    <row r="2056" spans="1:13">
      <c r="A2056" s="966"/>
      <c r="B2056" s="966"/>
      <c r="C2056" s="966"/>
      <c r="D2056" s="966"/>
      <c r="E2056" s="966"/>
      <c r="F2056" s="966"/>
      <c r="G2056" s="966"/>
      <c r="H2056" s="995"/>
      <c r="I2056" s="966"/>
      <c r="J2056" s="966"/>
      <c r="K2056" s="966"/>
      <c r="L2056" s="966"/>
      <c r="M2056" s="971"/>
    </row>
    <row r="2057" spans="1:13">
      <c r="A2057" s="966"/>
      <c r="B2057" s="966"/>
      <c r="C2057" s="966"/>
      <c r="D2057" s="966"/>
      <c r="E2057" s="966"/>
      <c r="F2057" s="966"/>
      <c r="G2057" s="966"/>
      <c r="H2057" s="995"/>
      <c r="I2057" s="966"/>
      <c r="J2057" s="966"/>
      <c r="K2057" s="966"/>
      <c r="L2057" s="966"/>
      <c r="M2057" s="971"/>
    </row>
    <row r="2058" spans="1:13">
      <c r="A2058" s="966"/>
      <c r="B2058" s="966"/>
      <c r="C2058" s="966"/>
      <c r="D2058" s="966"/>
      <c r="E2058" s="966"/>
      <c r="F2058" s="966"/>
      <c r="G2058" s="966"/>
      <c r="H2058" s="995"/>
      <c r="I2058" s="966"/>
      <c r="J2058" s="966"/>
      <c r="K2058" s="966"/>
      <c r="L2058" s="966"/>
      <c r="M2058" s="971"/>
    </row>
    <row r="2059" spans="1:13">
      <c r="A2059" s="966"/>
      <c r="B2059" s="966"/>
      <c r="C2059" s="966"/>
      <c r="D2059" s="966"/>
      <c r="E2059" s="966"/>
      <c r="F2059" s="966"/>
      <c r="G2059" s="966"/>
      <c r="H2059" s="995"/>
      <c r="I2059" s="966"/>
      <c r="J2059" s="966"/>
      <c r="K2059" s="966"/>
      <c r="L2059" s="966"/>
      <c r="M2059" s="971"/>
    </row>
    <row r="2060" spans="1:13">
      <c r="A2060" s="966"/>
      <c r="B2060" s="966"/>
      <c r="C2060" s="966"/>
      <c r="D2060" s="966"/>
      <c r="E2060" s="966"/>
      <c r="F2060" s="966"/>
      <c r="G2060" s="966"/>
      <c r="H2060" s="995"/>
      <c r="I2060" s="966"/>
      <c r="J2060" s="966"/>
      <c r="K2060" s="966"/>
      <c r="L2060" s="966"/>
      <c r="M2060" s="971"/>
    </row>
    <row r="2061" spans="1:13">
      <c r="A2061" s="966"/>
      <c r="B2061" s="966"/>
      <c r="C2061" s="966"/>
      <c r="D2061" s="966"/>
      <c r="E2061" s="966"/>
      <c r="F2061" s="966"/>
      <c r="G2061" s="966"/>
      <c r="H2061" s="995"/>
      <c r="I2061" s="966"/>
      <c r="J2061" s="966"/>
      <c r="K2061" s="966"/>
      <c r="L2061" s="966"/>
      <c r="M2061" s="971"/>
    </row>
    <row r="2062" spans="1:13">
      <c r="A2062" s="966"/>
      <c r="B2062" s="966"/>
      <c r="C2062" s="966"/>
      <c r="D2062" s="966"/>
      <c r="E2062" s="966"/>
      <c r="F2062" s="966"/>
      <c r="G2062" s="966"/>
      <c r="H2062" s="995"/>
      <c r="I2062" s="966"/>
      <c r="J2062" s="966"/>
      <c r="K2062" s="966"/>
      <c r="L2062" s="966"/>
      <c r="M2062" s="971"/>
    </row>
    <row r="2063" spans="1:13">
      <c r="A2063" s="966"/>
      <c r="B2063" s="966"/>
      <c r="C2063" s="966"/>
      <c r="D2063" s="966"/>
      <c r="E2063" s="966"/>
      <c r="F2063" s="966"/>
      <c r="G2063" s="966"/>
      <c r="H2063" s="995"/>
      <c r="I2063" s="966"/>
      <c r="J2063" s="966"/>
      <c r="K2063" s="966"/>
      <c r="L2063" s="966"/>
      <c r="M2063" s="971"/>
    </row>
    <row r="2064" spans="1:13">
      <c r="A2064" s="966"/>
      <c r="B2064" s="966"/>
      <c r="C2064" s="966"/>
      <c r="D2064" s="966"/>
      <c r="E2064" s="966"/>
      <c r="F2064" s="966"/>
      <c r="G2064" s="966"/>
      <c r="H2064" s="995"/>
      <c r="I2064" s="966"/>
      <c r="J2064" s="966"/>
      <c r="K2064" s="966"/>
      <c r="L2064" s="966"/>
      <c r="M2064" s="971"/>
    </row>
    <row r="2065" spans="1:13">
      <c r="A2065" s="966"/>
      <c r="B2065" s="966"/>
      <c r="C2065" s="966"/>
      <c r="D2065" s="966"/>
      <c r="E2065" s="966"/>
      <c r="F2065" s="966"/>
      <c r="G2065" s="966"/>
      <c r="H2065" s="995"/>
      <c r="I2065" s="966"/>
      <c r="J2065" s="966"/>
      <c r="K2065" s="966"/>
      <c r="L2065" s="966"/>
      <c r="M2065" s="971"/>
    </row>
    <row r="2066" spans="1:13">
      <c r="A2066" s="966"/>
      <c r="B2066" s="966"/>
      <c r="C2066" s="966"/>
      <c r="D2066" s="966"/>
      <c r="E2066" s="966"/>
      <c r="F2066" s="966"/>
      <c r="G2066" s="966"/>
      <c r="H2066" s="995"/>
      <c r="I2066" s="966"/>
      <c r="J2066" s="966"/>
      <c r="K2066" s="966"/>
      <c r="L2066" s="966"/>
      <c r="M2066" s="971"/>
    </row>
    <row r="2067" spans="1:13">
      <c r="A2067" s="966"/>
      <c r="B2067" s="966"/>
      <c r="C2067" s="966"/>
      <c r="D2067" s="966"/>
      <c r="E2067" s="966"/>
      <c r="F2067" s="966"/>
      <c r="G2067" s="966"/>
      <c r="H2067" s="995"/>
      <c r="I2067" s="966"/>
      <c r="J2067" s="966"/>
      <c r="K2067" s="966"/>
      <c r="L2067" s="966"/>
      <c r="M2067" s="971"/>
    </row>
    <row r="2068" spans="1:13">
      <c r="A2068" s="966"/>
      <c r="B2068" s="966"/>
      <c r="C2068" s="966"/>
      <c r="D2068" s="966"/>
      <c r="E2068" s="966"/>
      <c r="F2068" s="966"/>
      <c r="G2068" s="966"/>
      <c r="H2068" s="995"/>
      <c r="I2068" s="966"/>
      <c r="J2068" s="966"/>
      <c r="K2068" s="966"/>
      <c r="L2068" s="966"/>
      <c r="M2068" s="971"/>
    </row>
    <row r="2069" spans="1:13">
      <c r="A2069" s="966"/>
      <c r="B2069" s="966"/>
      <c r="C2069" s="966"/>
      <c r="D2069" s="966"/>
      <c r="E2069" s="966"/>
      <c r="F2069" s="966"/>
      <c r="G2069" s="966"/>
      <c r="H2069" s="995"/>
      <c r="I2069" s="966"/>
      <c r="J2069" s="966"/>
      <c r="K2069" s="966"/>
      <c r="L2069" s="966"/>
      <c r="M2069" s="971"/>
    </row>
    <row r="2070" spans="1:13">
      <c r="A2070" s="966"/>
      <c r="B2070" s="966"/>
      <c r="C2070" s="966"/>
      <c r="D2070" s="966"/>
      <c r="E2070" s="966"/>
      <c r="F2070" s="966"/>
      <c r="G2070" s="966"/>
      <c r="H2070" s="995"/>
      <c r="I2070" s="966"/>
      <c r="J2070" s="966"/>
      <c r="K2070" s="966"/>
      <c r="L2070" s="966"/>
      <c r="M2070" s="971"/>
    </row>
    <row r="2071" spans="1:13">
      <c r="A2071" s="966"/>
      <c r="B2071" s="966"/>
      <c r="C2071" s="966"/>
      <c r="D2071" s="966"/>
      <c r="E2071" s="966"/>
      <c r="F2071" s="966"/>
      <c r="G2071" s="966"/>
      <c r="H2071" s="995"/>
      <c r="I2071" s="966"/>
      <c r="J2071" s="966"/>
      <c r="K2071" s="966"/>
      <c r="L2071" s="966"/>
      <c r="M2071" s="971"/>
    </row>
    <row r="2072" spans="1:13">
      <c r="A2072" s="966"/>
      <c r="B2072" s="966"/>
      <c r="C2072" s="966"/>
      <c r="D2072" s="966"/>
      <c r="E2072" s="966"/>
      <c r="F2072" s="966"/>
      <c r="G2072" s="966"/>
      <c r="H2072" s="995"/>
      <c r="I2072" s="966"/>
      <c r="J2072" s="966"/>
      <c r="K2072" s="966"/>
      <c r="L2072" s="966"/>
      <c r="M2072" s="971"/>
    </row>
    <row r="2073" spans="1:13">
      <c r="A2073" s="966"/>
      <c r="B2073" s="966"/>
      <c r="C2073" s="966"/>
      <c r="D2073" s="966"/>
      <c r="E2073" s="966"/>
      <c r="F2073" s="966"/>
      <c r="G2073" s="966"/>
      <c r="H2073" s="995"/>
      <c r="I2073" s="966"/>
      <c r="J2073" s="966"/>
      <c r="K2073" s="966"/>
      <c r="L2073" s="966"/>
      <c r="M2073" s="971"/>
    </row>
    <row r="2074" spans="1:13">
      <c r="A2074" s="966"/>
      <c r="B2074" s="966"/>
      <c r="C2074" s="966"/>
      <c r="D2074" s="966"/>
      <c r="E2074" s="966"/>
      <c r="F2074" s="966"/>
      <c r="G2074" s="966"/>
      <c r="H2074" s="995"/>
      <c r="I2074" s="966"/>
      <c r="J2074" s="966"/>
      <c r="K2074" s="966"/>
      <c r="L2074" s="966"/>
      <c r="M2074" s="971"/>
    </row>
    <row r="2075" spans="1:13">
      <c r="A2075" s="966"/>
      <c r="B2075" s="966"/>
      <c r="C2075" s="966"/>
      <c r="D2075" s="966"/>
      <c r="E2075" s="966"/>
      <c r="F2075" s="966"/>
      <c r="G2075" s="966"/>
      <c r="H2075" s="995"/>
      <c r="I2075" s="966"/>
      <c r="J2075" s="966"/>
      <c r="K2075" s="966"/>
      <c r="L2075" s="966"/>
      <c r="M2075" s="971"/>
    </row>
    <row r="2076" spans="1:13">
      <c r="A2076" s="966"/>
      <c r="B2076" s="966"/>
      <c r="C2076" s="966"/>
      <c r="D2076" s="966"/>
      <c r="E2076" s="966"/>
      <c r="F2076" s="966"/>
      <c r="G2076" s="966"/>
      <c r="H2076" s="995"/>
      <c r="I2076" s="966"/>
      <c r="J2076" s="966"/>
      <c r="K2076" s="966"/>
      <c r="L2076" s="966"/>
      <c r="M2076" s="971"/>
    </row>
    <row r="2077" spans="1:13">
      <c r="A2077" s="966"/>
      <c r="B2077" s="966"/>
      <c r="C2077" s="966"/>
      <c r="D2077" s="966"/>
      <c r="E2077" s="966"/>
      <c r="F2077" s="966"/>
      <c r="G2077" s="966"/>
      <c r="H2077" s="995"/>
      <c r="I2077" s="966"/>
      <c r="J2077" s="966"/>
      <c r="K2077" s="966"/>
      <c r="L2077" s="966"/>
      <c r="M2077" s="971"/>
    </row>
    <row r="2078" spans="1:13">
      <c r="A2078" s="966"/>
      <c r="B2078" s="966"/>
      <c r="C2078" s="966"/>
      <c r="D2078" s="966"/>
      <c r="E2078" s="966"/>
      <c r="F2078" s="966"/>
      <c r="G2078" s="966"/>
      <c r="H2078" s="995"/>
      <c r="I2078" s="966"/>
      <c r="J2078" s="966"/>
      <c r="K2078" s="966"/>
      <c r="L2078" s="966"/>
      <c r="M2078" s="971"/>
    </row>
    <row r="2079" spans="1:13">
      <c r="A2079" s="966"/>
      <c r="B2079" s="966"/>
      <c r="C2079" s="966"/>
      <c r="D2079" s="966"/>
      <c r="E2079" s="966"/>
      <c r="F2079" s="966"/>
      <c r="G2079" s="966"/>
      <c r="H2079" s="995"/>
      <c r="I2079" s="966"/>
      <c r="J2079" s="966"/>
      <c r="K2079" s="966"/>
      <c r="L2079" s="966"/>
      <c r="M2079" s="971"/>
    </row>
    <row r="2080" spans="1:13">
      <c r="A2080" s="966"/>
      <c r="B2080" s="966"/>
      <c r="C2080" s="966"/>
      <c r="D2080" s="966"/>
      <c r="E2080" s="966"/>
      <c r="F2080" s="966"/>
      <c r="G2080" s="966"/>
      <c r="H2080" s="995"/>
      <c r="I2080" s="966"/>
      <c r="J2080" s="966"/>
      <c r="K2080" s="966"/>
      <c r="L2080" s="966"/>
      <c r="M2080" s="971"/>
    </row>
    <row r="2081" spans="1:13">
      <c r="A2081" s="966"/>
      <c r="B2081" s="966"/>
      <c r="C2081" s="966"/>
      <c r="D2081" s="966"/>
      <c r="E2081" s="966"/>
      <c r="F2081" s="966"/>
      <c r="G2081" s="966"/>
      <c r="H2081" s="995"/>
      <c r="I2081" s="966"/>
      <c r="J2081" s="966"/>
      <c r="K2081" s="966"/>
      <c r="L2081" s="966"/>
      <c r="M2081" s="971"/>
    </row>
    <row r="2082" spans="1:13">
      <c r="A2082" s="966"/>
      <c r="B2082" s="966"/>
      <c r="C2082" s="966"/>
      <c r="D2082" s="966"/>
      <c r="E2082" s="966"/>
      <c r="F2082" s="966"/>
      <c r="G2082" s="966"/>
      <c r="H2082" s="995"/>
      <c r="I2082" s="966"/>
      <c r="J2082" s="966"/>
      <c r="K2082" s="966"/>
      <c r="L2082" s="966"/>
      <c r="M2082" s="971"/>
    </row>
    <row r="2083" spans="1:13">
      <c r="A2083" s="966"/>
      <c r="B2083" s="966"/>
      <c r="C2083" s="966"/>
      <c r="D2083" s="966"/>
      <c r="E2083" s="966"/>
      <c r="F2083" s="966"/>
      <c r="G2083" s="966"/>
      <c r="H2083" s="995"/>
      <c r="I2083" s="966"/>
      <c r="J2083" s="966"/>
      <c r="K2083" s="966"/>
      <c r="L2083" s="966"/>
      <c r="M2083" s="971"/>
    </row>
    <row r="2084" spans="1:13">
      <c r="A2084" s="966"/>
      <c r="B2084" s="966"/>
      <c r="C2084" s="966"/>
      <c r="D2084" s="966"/>
      <c r="E2084" s="966"/>
      <c r="F2084" s="966"/>
      <c r="G2084" s="966"/>
      <c r="H2084" s="995"/>
      <c r="I2084" s="966"/>
      <c r="J2084" s="966"/>
      <c r="K2084" s="966"/>
      <c r="L2084" s="966"/>
      <c r="M2084" s="971"/>
    </row>
    <row r="2085" spans="1:13">
      <c r="A2085" s="966"/>
      <c r="B2085" s="966"/>
      <c r="C2085" s="966"/>
      <c r="D2085" s="966"/>
      <c r="E2085" s="966"/>
      <c r="F2085" s="966"/>
      <c r="G2085" s="966"/>
      <c r="H2085" s="995"/>
      <c r="I2085" s="966"/>
      <c r="J2085" s="966"/>
      <c r="K2085" s="966"/>
      <c r="L2085" s="966"/>
      <c r="M2085" s="971"/>
    </row>
    <row r="2086" spans="1:13">
      <c r="A2086" s="966"/>
      <c r="B2086" s="966"/>
      <c r="C2086" s="966"/>
      <c r="D2086" s="966"/>
      <c r="E2086" s="966"/>
      <c r="F2086" s="966"/>
      <c r="G2086" s="966"/>
      <c r="H2086" s="995"/>
      <c r="I2086" s="966"/>
      <c r="J2086" s="966"/>
      <c r="K2086" s="966"/>
      <c r="L2086" s="966"/>
      <c r="M2086" s="971"/>
    </row>
    <row r="2087" spans="1:13">
      <c r="A2087" s="966"/>
      <c r="B2087" s="966"/>
      <c r="C2087" s="966"/>
      <c r="D2087" s="966"/>
      <c r="E2087" s="966"/>
      <c r="F2087" s="966"/>
      <c r="G2087" s="966"/>
      <c r="H2087" s="995"/>
      <c r="I2087" s="966"/>
      <c r="J2087" s="966"/>
      <c r="K2087" s="966"/>
      <c r="L2087" s="966"/>
      <c r="M2087" s="971"/>
    </row>
    <row r="2088" spans="1:13">
      <c r="A2088" s="966"/>
      <c r="B2088" s="966"/>
      <c r="C2088" s="966"/>
      <c r="D2088" s="966"/>
      <c r="E2088" s="966"/>
      <c r="F2088" s="966"/>
      <c r="G2088" s="966"/>
      <c r="H2088" s="995"/>
      <c r="I2088" s="966"/>
      <c r="J2088" s="966"/>
      <c r="K2088" s="966"/>
      <c r="L2088" s="966"/>
      <c r="M2088" s="971"/>
    </row>
    <row r="2089" spans="1:13">
      <c r="A2089" s="966"/>
      <c r="B2089" s="966"/>
      <c r="C2089" s="966"/>
      <c r="D2089" s="966"/>
      <c r="E2089" s="966"/>
      <c r="F2089" s="966"/>
      <c r="G2089" s="966"/>
      <c r="H2089" s="995"/>
      <c r="I2089" s="966"/>
      <c r="J2089" s="966"/>
      <c r="K2089" s="966"/>
      <c r="L2089" s="966"/>
      <c r="M2089" s="971"/>
    </row>
    <row r="2090" spans="1:13">
      <c r="A2090" s="966"/>
      <c r="B2090" s="966"/>
      <c r="C2090" s="966"/>
      <c r="D2090" s="966"/>
      <c r="E2090" s="966"/>
      <c r="F2090" s="966"/>
      <c r="G2090" s="966"/>
      <c r="H2090" s="995"/>
      <c r="I2090" s="966"/>
      <c r="J2090" s="966"/>
      <c r="K2090" s="966"/>
      <c r="L2090" s="966"/>
      <c r="M2090" s="971"/>
    </row>
    <row r="2091" spans="1:13">
      <c r="A2091" s="966"/>
      <c r="B2091" s="966"/>
      <c r="C2091" s="966"/>
      <c r="D2091" s="966"/>
      <c r="E2091" s="966"/>
      <c r="F2091" s="966"/>
      <c r="G2091" s="966"/>
      <c r="H2091" s="995"/>
      <c r="I2091" s="966"/>
      <c r="J2091" s="966"/>
      <c r="K2091" s="966"/>
      <c r="L2091" s="966"/>
      <c r="M2091" s="971"/>
    </row>
    <row r="2092" spans="1:13">
      <c r="A2092" s="966"/>
      <c r="B2092" s="966"/>
      <c r="C2092" s="966"/>
      <c r="D2092" s="966"/>
      <c r="E2092" s="966"/>
      <c r="F2092" s="966"/>
      <c r="G2092" s="966"/>
      <c r="H2092" s="995"/>
      <c r="I2092" s="966"/>
      <c r="J2092" s="966"/>
      <c r="K2092" s="966"/>
      <c r="L2092" s="966"/>
      <c r="M2092" s="971"/>
    </row>
    <row r="2093" spans="1:13">
      <c r="A2093" s="966"/>
      <c r="B2093" s="966"/>
      <c r="C2093" s="966"/>
      <c r="D2093" s="966"/>
      <c r="E2093" s="966"/>
      <c r="F2093" s="966"/>
      <c r="G2093" s="966"/>
      <c r="H2093" s="995"/>
      <c r="I2093" s="966"/>
      <c r="J2093" s="966"/>
      <c r="K2093" s="966"/>
      <c r="L2093" s="966"/>
      <c r="M2093" s="971"/>
    </row>
    <row r="2094" spans="1:13">
      <c r="A2094" s="966"/>
      <c r="B2094" s="966"/>
      <c r="C2094" s="966"/>
      <c r="D2094" s="966"/>
      <c r="E2094" s="966"/>
      <c r="F2094" s="966"/>
      <c r="G2094" s="966"/>
      <c r="H2094" s="995"/>
      <c r="I2094" s="966"/>
      <c r="J2094" s="966"/>
      <c r="K2094" s="966"/>
      <c r="L2094" s="966"/>
      <c r="M2094" s="971"/>
    </row>
    <row r="2095" spans="1:13">
      <c r="A2095" s="966"/>
      <c r="B2095" s="966"/>
      <c r="C2095" s="966"/>
      <c r="D2095" s="966"/>
      <c r="E2095" s="966"/>
      <c r="F2095" s="966"/>
      <c r="G2095" s="966"/>
      <c r="H2095" s="995"/>
      <c r="I2095" s="966"/>
      <c r="J2095" s="966"/>
      <c r="K2095" s="966"/>
      <c r="L2095" s="966"/>
      <c r="M2095" s="971"/>
    </row>
    <row r="2096" spans="1:13">
      <c r="A2096" s="966"/>
      <c r="B2096" s="966"/>
      <c r="C2096" s="966"/>
      <c r="D2096" s="966"/>
      <c r="E2096" s="966"/>
      <c r="F2096" s="966"/>
      <c r="G2096" s="966"/>
      <c r="H2096" s="995"/>
      <c r="I2096" s="966"/>
      <c r="J2096" s="966"/>
      <c r="K2096" s="966"/>
      <c r="L2096" s="966"/>
      <c r="M2096" s="971"/>
    </row>
    <row r="2097" spans="1:13">
      <c r="A2097" s="966"/>
      <c r="B2097" s="966"/>
      <c r="C2097" s="966"/>
      <c r="D2097" s="966"/>
      <c r="E2097" s="966"/>
      <c r="F2097" s="966"/>
      <c r="G2097" s="966"/>
      <c r="H2097" s="995"/>
      <c r="I2097" s="966"/>
      <c r="J2097" s="966"/>
      <c r="K2097" s="966"/>
      <c r="L2097" s="966"/>
      <c r="M2097" s="971"/>
    </row>
    <row r="2098" spans="1:13">
      <c r="A2098" s="966"/>
      <c r="B2098" s="966"/>
      <c r="C2098" s="966"/>
      <c r="D2098" s="966"/>
      <c r="E2098" s="966"/>
      <c r="F2098" s="966"/>
      <c r="G2098" s="966"/>
      <c r="H2098" s="995"/>
      <c r="I2098" s="966"/>
      <c r="J2098" s="966"/>
      <c r="K2098" s="966"/>
      <c r="L2098" s="966"/>
      <c r="M2098" s="971"/>
    </row>
    <row r="2099" spans="1:13">
      <c r="A2099" s="966"/>
      <c r="B2099" s="966"/>
      <c r="C2099" s="966"/>
      <c r="D2099" s="966"/>
      <c r="E2099" s="966"/>
      <c r="F2099" s="966"/>
      <c r="G2099" s="966"/>
      <c r="H2099" s="995"/>
      <c r="I2099" s="966"/>
      <c r="J2099" s="966"/>
      <c r="K2099" s="966"/>
      <c r="L2099" s="966"/>
      <c r="M2099" s="971"/>
    </row>
    <row r="2100" spans="1:13">
      <c r="A2100" s="966"/>
      <c r="B2100" s="966"/>
      <c r="C2100" s="966"/>
      <c r="D2100" s="966"/>
      <c r="E2100" s="966"/>
      <c r="F2100" s="966"/>
      <c r="G2100" s="966"/>
      <c r="H2100" s="995"/>
      <c r="I2100" s="966"/>
      <c r="J2100" s="966"/>
      <c r="K2100" s="966"/>
      <c r="L2100" s="966"/>
      <c r="M2100" s="971"/>
    </row>
    <row r="2101" spans="1:13">
      <c r="A2101" s="966"/>
      <c r="B2101" s="966"/>
      <c r="C2101" s="966"/>
      <c r="D2101" s="966"/>
      <c r="E2101" s="966"/>
      <c r="F2101" s="966"/>
      <c r="G2101" s="966"/>
      <c r="H2101" s="995"/>
      <c r="I2101" s="966"/>
      <c r="J2101" s="966"/>
      <c r="K2101" s="966"/>
      <c r="L2101" s="966"/>
      <c r="M2101" s="971"/>
    </row>
    <row r="2102" spans="1:13">
      <c r="A2102" s="966"/>
      <c r="B2102" s="966"/>
      <c r="C2102" s="966"/>
      <c r="D2102" s="966"/>
      <c r="E2102" s="966"/>
      <c r="F2102" s="966"/>
      <c r="G2102" s="966"/>
      <c r="H2102" s="995"/>
      <c r="I2102" s="966"/>
      <c r="J2102" s="966"/>
      <c r="K2102" s="966"/>
      <c r="L2102" s="966"/>
      <c r="M2102" s="971"/>
    </row>
    <row r="2103" spans="1:13">
      <c r="A2103" s="966"/>
      <c r="B2103" s="966"/>
      <c r="C2103" s="966"/>
      <c r="D2103" s="966"/>
      <c r="E2103" s="966"/>
      <c r="F2103" s="966"/>
      <c r="G2103" s="966"/>
      <c r="H2103" s="995"/>
      <c r="I2103" s="966"/>
      <c r="J2103" s="966"/>
      <c r="K2103" s="966"/>
      <c r="L2103" s="966"/>
      <c r="M2103" s="971"/>
    </row>
    <row r="2104" spans="1:13">
      <c r="A2104" s="966"/>
      <c r="B2104" s="966"/>
      <c r="C2104" s="966"/>
      <c r="D2104" s="966"/>
      <c r="E2104" s="966"/>
      <c r="F2104" s="966"/>
      <c r="G2104" s="966"/>
      <c r="H2104" s="995"/>
      <c r="I2104" s="966"/>
      <c r="J2104" s="966"/>
      <c r="K2104" s="966"/>
      <c r="L2104" s="966"/>
      <c r="M2104" s="971"/>
    </row>
    <row r="2105" spans="1:13">
      <c r="A2105" s="966"/>
      <c r="B2105" s="966"/>
      <c r="C2105" s="966"/>
      <c r="D2105" s="966"/>
      <c r="E2105" s="966"/>
      <c r="F2105" s="966"/>
      <c r="G2105" s="966"/>
      <c r="H2105" s="995"/>
      <c r="I2105" s="966"/>
      <c r="J2105" s="966"/>
      <c r="K2105" s="966"/>
      <c r="L2105" s="966"/>
      <c r="M2105" s="971"/>
    </row>
    <row r="2106" spans="1:13">
      <c r="A2106" s="966"/>
      <c r="B2106" s="966"/>
      <c r="C2106" s="966"/>
      <c r="D2106" s="966"/>
      <c r="E2106" s="966"/>
      <c r="F2106" s="966"/>
      <c r="G2106" s="966"/>
      <c r="H2106" s="995"/>
      <c r="I2106" s="966"/>
      <c r="J2106" s="966"/>
      <c r="K2106" s="966"/>
      <c r="L2106" s="966"/>
      <c r="M2106" s="971"/>
    </row>
    <row r="2107" spans="1:13">
      <c r="A2107" s="966"/>
      <c r="B2107" s="966"/>
      <c r="C2107" s="966"/>
      <c r="D2107" s="966"/>
      <c r="E2107" s="966"/>
      <c r="F2107" s="966"/>
      <c r="G2107" s="966"/>
      <c r="H2107" s="995"/>
      <c r="I2107" s="966"/>
      <c r="J2107" s="966"/>
      <c r="K2107" s="966"/>
      <c r="L2107" s="966"/>
      <c r="M2107" s="971"/>
    </row>
    <row r="2108" spans="1:13">
      <c r="A2108" s="966"/>
      <c r="B2108" s="966"/>
      <c r="C2108" s="966"/>
      <c r="D2108" s="966"/>
      <c r="E2108" s="966"/>
      <c r="F2108" s="966"/>
      <c r="G2108" s="966"/>
      <c r="H2108" s="995"/>
      <c r="I2108" s="966"/>
      <c r="J2108" s="966"/>
      <c r="K2108" s="966"/>
      <c r="L2108" s="966"/>
      <c r="M2108" s="971"/>
    </row>
    <row r="2109" spans="1:13">
      <c r="A2109" s="966"/>
      <c r="B2109" s="966"/>
      <c r="C2109" s="966"/>
      <c r="D2109" s="966"/>
      <c r="E2109" s="966"/>
      <c r="F2109" s="966"/>
      <c r="G2109" s="966"/>
      <c r="H2109" s="995"/>
      <c r="I2109" s="966"/>
      <c r="J2109" s="966"/>
      <c r="K2109" s="966"/>
      <c r="L2109" s="966"/>
      <c r="M2109" s="971"/>
    </row>
    <row r="2110" spans="1:13">
      <c r="A2110" s="966"/>
      <c r="B2110" s="966"/>
      <c r="C2110" s="966"/>
      <c r="D2110" s="966"/>
      <c r="E2110" s="966"/>
      <c r="F2110" s="966"/>
      <c r="G2110" s="966"/>
      <c r="H2110" s="995"/>
      <c r="I2110" s="966"/>
      <c r="J2110" s="966"/>
      <c r="K2110" s="966"/>
      <c r="L2110" s="966"/>
      <c r="M2110" s="971"/>
    </row>
    <row r="2111" spans="1:13">
      <c r="A2111" s="966"/>
      <c r="B2111" s="966"/>
      <c r="C2111" s="966"/>
      <c r="D2111" s="966"/>
      <c r="E2111" s="966"/>
      <c r="F2111" s="966"/>
      <c r="G2111" s="966"/>
      <c r="H2111" s="995"/>
      <c r="I2111" s="966"/>
      <c r="J2111" s="966"/>
      <c r="K2111" s="966"/>
      <c r="L2111" s="966"/>
      <c r="M2111" s="971"/>
    </row>
    <row r="2112" spans="1:13">
      <c r="A2112" s="966"/>
      <c r="B2112" s="966"/>
      <c r="C2112" s="966"/>
      <c r="D2112" s="966"/>
      <c r="E2112" s="966"/>
      <c r="F2112" s="966"/>
      <c r="G2112" s="966"/>
      <c r="H2112" s="995"/>
      <c r="I2112" s="966"/>
      <c r="J2112" s="966"/>
      <c r="K2112" s="966"/>
      <c r="L2112" s="966"/>
      <c r="M2112" s="971"/>
    </row>
    <row r="2113" spans="1:13">
      <c r="A2113" s="966"/>
      <c r="B2113" s="966"/>
      <c r="C2113" s="966"/>
      <c r="D2113" s="966"/>
      <c r="E2113" s="966"/>
      <c r="F2113" s="966"/>
      <c r="G2113" s="966"/>
      <c r="H2113" s="995"/>
      <c r="I2113" s="966"/>
      <c r="J2113" s="966"/>
      <c r="K2113" s="966"/>
      <c r="L2113" s="966"/>
      <c r="M2113" s="971"/>
    </row>
    <row r="2114" spans="1:13">
      <c r="A2114" s="966"/>
      <c r="B2114" s="966"/>
      <c r="C2114" s="966"/>
      <c r="D2114" s="966"/>
      <c r="E2114" s="966"/>
      <c r="F2114" s="966"/>
      <c r="G2114" s="966"/>
      <c r="H2114" s="995"/>
      <c r="I2114" s="966"/>
      <c r="J2114" s="966"/>
      <c r="K2114" s="966"/>
      <c r="L2114" s="966"/>
      <c r="M2114" s="971"/>
    </row>
    <row r="2115" spans="1:13">
      <c r="A2115" s="966"/>
      <c r="B2115" s="966"/>
      <c r="C2115" s="966"/>
      <c r="D2115" s="966"/>
      <c r="E2115" s="966"/>
      <c r="F2115" s="966"/>
      <c r="G2115" s="966"/>
      <c r="H2115" s="995"/>
      <c r="I2115" s="966"/>
      <c r="J2115" s="966"/>
      <c r="K2115" s="966"/>
      <c r="L2115" s="966"/>
      <c r="M2115" s="971"/>
    </row>
    <row r="2116" spans="1:13">
      <c r="A2116" s="966"/>
      <c r="B2116" s="966"/>
      <c r="C2116" s="966"/>
      <c r="D2116" s="966"/>
      <c r="E2116" s="966"/>
      <c r="F2116" s="966"/>
      <c r="G2116" s="966"/>
      <c r="H2116" s="995"/>
      <c r="I2116" s="966"/>
      <c r="J2116" s="966"/>
      <c r="K2116" s="966"/>
      <c r="L2116" s="966"/>
      <c r="M2116" s="971"/>
    </row>
    <row r="2117" spans="1:13">
      <c r="A2117" s="966"/>
      <c r="B2117" s="966"/>
      <c r="C2117" s="966"/>
      <c r="D2117" s="966"/>
      <c r="E2117" s="966"/>
      <c r="F2117" s="966"/>
      <c r="G2117" s="966"/>
      <c r="H2117" s="995"/>
      <c r="I2117" s="966"/>
      <c r="J2117" s="966"/>
      <c r="K2117" s="966"/>
      <c r="L2117" s="966"/>
      <c r="M2117" s="971"/>
    </row>
    <row r="2118" spans="1:13">
      <c r="A2118" s="966"/>
      <c r="B2118" s="966"/>
      <c r="C2118" s="966"/>
      <c r="D2118" s="966"/>
      <c r="E2118" s="966"/>
      <c r="F2118" s="966"/>
      <c r="G2118" s="966"/>
      <c r="H2118" s="995"/>
      <c r="I2118" s="966"/>
      <c r="J2118" s="966"/>
      <c r="K2118" s="966"/>
      <c r="L2118" s="966"/>
      <c r="M2118" s="971"/>
    </row>
    <row r="2119" spans="1:13">
      <c r="A2119" s="966"/>
      <c r="B2119" s="966"/>
      <c r="C2119" s="966"/>
      <c r="D2119" s="966"/>
      <c r="E2119" s="966"/>
      <c r="F2119" s="966"/>
      <c r="G2119" s="966"/>
      <c r="H2119" s="995"/>
      <c r="I2119" s="966"/>
      <c r="J2119" s="966"/>
      <c r="K2119" s="966"/>
      <c r="L2119" s="966"/>
      <c r="M2119" s="971"/>
    </row>
    <row r="2120" spans="1:13">
      <c r="A2120" s="966"/>
      <c r="B2120" s="966"/>
      <c r="C2120" s="966"/>
      <c r="D2120" s="966"/>
      <c r="E2120" s="966"/>
      <c r="F2120" s="966"/>
      <c r="G2120" s="966"/>
      <c r="H2120" s="995"/>
      <c r="I2120" s="966"/>
      <c r="J2120" s="966"/>
      <c r="K2120" s="966"/>
      <c r="L2120" s="966"/>
      <c r="M2120" s="971"/>
    </row>
    <row r="2121" spans="1:13">
      <c r="A2121" s="966"/>
      <c r="B2121" s="966"/>
      <c r="C2121" s="966"/>
      <c r="D2121" s="966"/>
      <c r="E2121" s="966"/>
      <c r="F2121" s="966"/>
      <c r="G2121" s="966"/>
      <c r="H2121" s="995"/>
      <c r="I2121" s="966"/>
      <c r="J2121" s="966"/>
      <c r="K2121" s="966"/>
      <c r="L2121" s="966"/>
      <c r="M2121" s="971"/>
    </row>
    <row r="2122" spans="1:13">
      <c r="A2122" s="966"/>
      <c r="B2122" s="966"/>
      <c r="C2122" s="966"/>
      <c r="D2122" s="966"/>
      <c r="E2122" s="966"/>
      <c r="F2122" s="966"/>
      <c r="G2122" s="966"/>
      <c r="H2122" s="995"/>
      <c r="I2122" s="966"/>
      <c r="J2122" s="966"/>
      <c r="K2122" s="966"/>
      <c r="L2122" s="966"/>
      <c r="M2122" s="971"/>
    </row>
    <row r="2123" spans="1:13">
      <c r="A2123" s="966"/>
      <c r="B2123" s="966"/>
      <c r="C2123" s="966"/>
      <c r="D2123" s="966"/>
      <c r="E2123" s="966"/>
      <c r="F2123" s="966"/>
      <c r="G2123" s="966"/>
      <c r="H2123" s="995"/>
      <c r="I2123" s="966"/>
      <c r="J2123" s="966"/>
      <c r="K2123" s="966"/>
      <c r="L2123" s="966"/>
      <c r="M2123" s="971"/>
    </row>
    <row r="2124" spans="1:13">
      <c r="A2124" s="966"/>
      <c r="B2124" s="966"/>
      <c r="C2124" s="966"/>
      <c r="D2124" s="966"/>
      <c r="E2124" s="966"/>
      <c r="F2124" s="966"/>
      <c r="G2124" s="966"/>
      <c r="H2124" s="995"/>
      <c r="I2124" s="966"/>
      <c r="J2124" s="966"/>
      <c r="K2124" s="966"/>
      <c r="L2124" s="966"/>
      <c r="M2124" s="971"/>
    </row>
    <row r="2125" spans="1:13">
      <c r="A2125" s="966"/>
      <c r="B2125" s="966"/>
      <c r="C2125" s="966"/>
      <c r="D2125" s="966"/>
      <c r="E2125" s="966"/>
      <c r="F2125" s="966"/>
      <c r="G2125" s="966"/>
      <c r="H2125" s="995"/>
      <c r="I2125" s="966"/>
      <c r="J2125" s="966"/>
      <c r="K2125" s="966"/>
      <c r="L2125" s="966"/>
      <c r="M2125" s="971"/>
    </row>
    <row r="2126" spans="1:13">
      <c r="A2126" s="966"/>
      <c r="B2126" s="966"/>
      <c r="C2126" s="966"/>
      <c r="D2126" s="966"/>
      <c r="E2126" s="966"/>
      <c r="F2126" s="966"/>
      <c r="G2126" s="966"/>
      <c r="H2126" s="995"/>
      <c r="I2126" s="966"/>
      <c r="J2126" s="966"/>
      <c r="K2126" s="966"/>
      <c r="L2126" s="966"/>
      <c r="M2126" s="971"/>
    </row>
    <row r="2127" spans="1:13">
      <c r="A2127" s="966"/>
      <c r="B2127" s="966"/>
      <c r="C2127" s="966"/>
      <c r="D2127" s="966"/>
      <c r="E2127" s="966"/>
      <c r="F2127" s="966"/>
      <c r="G2127" s="966"/>
      <c r="H2127" s="995"/>
      <c r="I2127" s="966"/>
      <c r="J2127" s="966"/>
      <c r="K2127" s="966"/>
      <c r="L2127" s="966"/>
      <c r="M2127" s="971"/>
    </row>
    <row r="2128" spans="1:13">
      <c r="A2128" s="966"/>
      <c r="B2128" s="966"/>
      <c r="C2128" s="966"/>
      <c r="D2128" s="966"/>
      <c r="E2128" s="966"/>
      <c r="F2128" s="966"/>
      <c r="G2128" s="966"/>
      <c r="H2128" s="995"/>
      <c r="I2128" s="966"/>
      <c r="J2128" s="966"/>
      <c r="K2128" s="966"/>
      <c r="L2128" s="966"/>
      <c r="M2128" s="971"/>
    </row>
    <row r="2129" spans="1:13">
      <c r="A2129" s="966"/>
      <c r="B2129" s="966"/>
      <c r="C2129" s="966"/>
      <c r="D2129" s="966"/>
      <c r="E2129" s="966"/>
      <c r="F2129" s="966"/>
      <c r="G2129" s="966"/>
      <c r="H2129" s="995"/>
      <c r="I2129" s="966"/>
      <c r="J2129" s="966"/>
      <c r="K2129" s="966"/>
      <c r="L2129" s="966"/>
      <c r="M2129" s="971"/>
    </row>
    <row r="2130" spans="1:13">
      <c r="A2130" s="966"/>
      <c r="B2130" s="966"/>
      <c r="C2130" s="966"/>
      <c r="D2130" s="966"/>
      <c r="E2130" s="966"/>
      <c r="F2130" s="966"/>
      <c r="G2130" s="966"/>
      <c r="H2130" s="995"/>
      <c r="I2130" s="966"/>
      <c r="J2130" s="966"/>
      <c r="K2130" s="966"/>
      <c r="L2130" s="966"/>
      <c r="M2130" s="971"/>
    </row>
    <row r="2131" spans="1:13">
      <c r="A2131" s="966"/>
      <c r="B2131" s="966"/>
      <c r="C2131" s="966"/>
      <c r="D2131" s="966"/>
      <c r="E2131" s="966"/>
      <c r="F2131" s="966"/>
      <c r="G2131" s="966"/>
      <c r="H2131" s="995"/>
      <c r="I2131" s="966"/>
      <c r="J2131" s="966"/>
      <c r="K2131" s="966"/>
      <c r="L2131" s="966"/>
      <c r="M2131" s="971"/>
    </row>
    <row r="2132" spans="1:13">
      <c r="A2132" s="966"/>
      <c r="B2132" s="966"/>
      <c r="C2132" s="966"/>
      <c r="D2132" s="966"/>
      <c r="E2132" s="966"/>
      <c r="F2132" s="966"/>
      <c r="G2132" s="966"/>
      <c r="H2132" s="995"/>
      <c r="I2132" s="966"/>
      <c r="J2132" s="966"/>
      <c r="K2132" s="966"/>
      <c r="L2132" s="966"/>
      <c r="M2132" s="971"/>
    </row>
    <row r="2133" spans="1:13">
      <c r="A2133" s="966"/>
      <c r="B2133" s="966"/>
      <c r="C2133" s="966"/>
      <c r="D2133" s="966"/>
      <c r="E2133" s="966"/>
      <c r="F2133" s="966"/>
      <c r="G2133" s="966"/>
      <c r="H2133" s="995"/>
      <c r="I2133" s="966"/>
      <c r="J2133" s="966"/>
      <c r="K2133" s="966"/>
      <c r="L2133" s="966"/>
      <c r="M2133" s="971"/>
    </row>
    <row r="2134" spans="1:13">
      <c r="A2134" s="966"/>
      <c r="B2134" s="966"/>
      <c r="C2134" s="966"/>
      <c r="D2134" s="966"/>
      <c r="E2134" s="966"/>
      <c r="F2134" s="966"/>
      <c r="G2134" s="966"/>
      <c r="H2134" s="995"/>
      <c r="I2134" s="966"/>
      <c r="J2134" s="966"/>
      <c r="K2134" s="966"/>
      <c r="L2134" s="966"/>
      <c r="M2134" s="971"/>
    </row>
    <row r="2135" spans="1:13">
      <c r="A2135" s="966"/>
      <c r="B2135" s="966"/>
      <c r="C2135" s="966"/>
      <c r="D2135" s="966"/>
      <c r="E2135" s="966"/>
      <c r="F2135" s="966"/>
      <c r="G2135" s="966"/>
      <c r="H2135" s="995"/>
      <c r="I2135" s="966"/>
      <c r="J2135" s="966"/>
      <c r="K2135" s="966"/>
      <c r="L2135" s="966"/>
      <c r="M2135" s="971"/>
    </row>
    <row r="2136" spans="1:13">
      <c r="A2136" s="966"/>
      <c r="B2136" s="966"/>
      <c r="C2136" s="966"/>
      <c r="D2136" s="966"/>
      <c r="E2136" s="966"/>
      <c r="F2136" s="966"/>
      <c r="G2136" s="966"/>
      <c r="H2136" s="995"/>
      <c r="I2136" s="966"/>
      <c r="J2136" s="966"/>
      <c r="K2136" s="966"/>
      <c r="L2136" s="966"/>
      <c r="M2136" s="971"/>
    </row>
    <row r="2137" spans="1:13">
      <c r="A2137" s="966"/>
      <c r="B2137" s="966"/>
      <c r="C2137" s="966"/>
      <c r="D2137" s="966"/>
      <c r="E2137" s="966"/>
      <c r="F2137" s="966"/>
      <c r="G2137" s="966"/>
      <c r="H2137" s="995"/>
      <c r="I2137" s="966"/>
      <c r="J2137" s="966"/>
      <c r="K2137" s="966"/>
      <c r="L2137" s="966"/>
      <c r="M2137" s="971"/>
    </row>
    <row r="2138" spans="1:13">
      <c r="A2138" s="966"/>
      <c r="B2138" s="966"/>
      <c r="C2138" s="966"/>
      <c r="D2138" s="966"/>
      <c r="E2138" s="966"/>
      <c r="F2138" s="966"/>
      <c r="G2138" s="966"/>
      <c r="H2138" s="995"/>
      <c r="I2138" s="966"/>
      <c r="J2138" s="966"/>
      <c r="K2138" s="966"/>
      <c r="L2138" s="966"/>
      <c r="M2138" s="971"/>
    </row>
    <row r="2139" spans="1:13">
      <c r="A2139" s="966"/>
      <c r="B2139" s="966"/>
      <c r="C2139" s="966"/>
      <c r="D2139" s="966"/>
      <c r="E2139" s="966"/>
      <c r="F2139" s="966"/>
      <c r="G2139" s="966"/>
      <c r="H2139" s="995"/>
      <c r="I2139" s="966"/>
      <c r="J2139" s="966"/>
      <c r="K2139" s="966"/>
      <c r="L2139" s="966"/>
      <c r="M2139" s="971"/>
    </row>
    <row r="2140" spans="1:13">
      <c r="A2140" s="966"/>
      <c r="B2140" s="966"/>
      <c r="C2140" s="966"/>
      <c r="D2140" s="966"/>
      <c r="E2140" s="966"/>
      <c r="F2140" s="966"/>
      <c r="G2140" s="966"/>
      <c r="H2140" s="995"/>
      <c r="I2140" s="966"/>
      <c r="J2140" s="966"/>
      <c r="K2140" s="966"/>
      <c r="L2140" s="966"/>
      <c r="M2140" s="971"/>
    </row>
    <row r="2141" spans="1:13">
      <c r="A2141" s="966"/>
      <c r="B2141" s="966"/>
      <c r="C2141" s="966"/>
      <c r="D2141" s="966"/>
      <c r="E2141" s="966"/>
      <c r="F2141" s="966"/>
      <c r="G2141" s="966"/>
      <c r="H2141" s="995"/>
      <c r="I2141" s="966"/>
      <c r="J2141" s="966"/>
      <c r="K2141" s="966"/>
      <c r="L2141" s="966"/>
      <c r="M2141" s="971"/>
    </row>
    <row r="2142" spans="1:13">
      <c r="A2142" s="966"/>
      <c r="B2142" s="966"/>
      <c r="C2142" s="966"/>
      <c r="D2142" s="966"/>
      <c r="E2142" s="966"/>
      <c r="F2142" s="966"/>
      <c r="G2142" s="966"/>
      <c r="H2142" s="995"/>
      <c r="I2142" s="966"/>
      <c r="J2142" s="966"/>
      <c r="K2142" s="966"/>
      <c r="L2142" s="966"/>
      <c r="M2142" s="971"/>
    </row>
    <row r="2143" spans="1:13">
      <c r="A2143" s="966"/>
      <c r="B2143" s="966"/>
      <c r="C2143" s="966"/>
      <c r="D2143" s="966"/>
      <c r="E2143" s="966"/>
      <c r="F2143" s="966"/>
      <c r="G2143" s="966"/>
      <c r="H2143" s="995"/>
      <c r="I2143" s="966"/>
      <c r="J2143" s="966"/>
      <c r="K2143" s="966"/>
      <c r="L2143" s="966"/>
      <c r="M2143" s="971"/>
    </row>
    <row r="2144" spans="1:13">
      <c r="A2144" s="966"/>
      <c r="B2144" s="966"/>
      <c r="C2144" s="966"/>
      <c r="D2144" s="966"/>
      <c r="E2144" s="966"/>
      <c r="F2144" s="966"/>
      <c r="G2144" s="966"/>
      <c r="H2144" s="995"/>
      <c r="I2144" s="966"/>
      <c r="J2144" s="966"/>
      <c r="K2144" s="966"/>
      <c r="L2144" s="966"/>
      <c r="M2144" s="971"/>
    </row>
    <row r="2145" spans="1:13">
      <c r="A2145" s="966"/>
      <c r="B2145" s="966"/>
      <c r="C2145" s="966"/>
      <c r="D2145" s="966"/>
      <c r="E2145" s="966"/>
      <c r="F2145" s="966"/>
      <c r="G2145" s="966"/>
      <c r="H2145" s="995"/>
      <c r="I2145" s="966"/>
      <c r="J2145" s="966"/>
      <c r="K2145" s="966"/>
      <c r="L2145" s="966"/>
      <c r="M2145" s="971"/>
    </row>
    <row r="2146" spans="1:13">
      <c r="A2146" s="966"/>
      <c r="B2146" s="966"/>
      <c r="C2146" s="966"/>
      <c r="D2146" s="966"/>
      <c r="E2146" s="966"/>
      <c r="F2146" s="966"/>
      <c r="G2146" s="966"/>
      <c r="H2146" s="995"/>
      <c r="I2146" s="966"/>
      <c r="J2146" s="966"/>
      <c r="K2146" s="966"/>
      <c r="L2146" s="966"/>
      <c r="M2146" s="971"/>
    </row>
    <row r="2147" spans="1:13">
      <c r="A2147" s="966"/>
      <c r="B2147" s="966"/>
      <c r="C2147" s="966"/>
      <c r="D2147" s="966"/>
      <c r="E2147" s="966"/>
      <c r="F2147" s="966"/>
      <c r="G2147" s="966"/>
      <c r="H2147" s="995"/>
      <c r="I2147" s="966"/>
      <c r="J2147" s="966"/>
      <c r="K2147" s="966"/>
      <c r="L2147" s="966"/>
      <c r="M2147" s="971"/>
    </row>
    <row r="2148" spans="1:13">
      <c r="A2148" s="966"/>
      <c r="B2148" s="966"/>
      <c r="C2148" s="966"/>
      <c r="D2148" s="966"/>
      <c r="E2148" s="966"/>
      <c r="F2148" s="966"/>
      <c r="G2148" s="966"/>
      <c r="H2148" s="995"/>
      <c r="I2148" s="966"/>
      <c r="J2148" s="966"/>
      <c r="K2148" s="966"/>
      <c r="L2148" s="966"/>
      <c r="M2148" s="971"/>
    </row>
    <row r="2149" spans="1:13">
      <c r="A2149" s="966"/>
      <c r="B2149" s="966"/>
      <c r="C2149" s="966"/>
      <c r="D2149" s="966"/>
      <c r="E2149" s="966"/>
      <c r="F2149" s="966"/>
      <c r="G2149" s="966"/>
      <c r="H2149" s="995"/>
      <c r="I2149" s="966"/>
      <c r="J2149" s="966"/>
      <c r="K2149" s="966"/>
      <c r="L2149" s="966"/>
      <c r="M2149" s="971"/>
    </row>
    <row r="2150" spans="1:13">
      <c r="A2150" s="966"/>
      <c r="B2150" s="966"/>
      <c r="C2150" s="966"/>
      <c r="D2150" s="966"/>
      <c r="E2150" s="966"/>
      <c r="F2150" s="966"/>
      <c r="G2150" s="966"/>
      <c r="H2150" s="995"/>
      <c r="I2150" s="966"/>
      <c r="J2150" s="966"/>
      <c r="K2150" s="966"/>
      <c r="L2150" s="966"/>
      <c r="M2150" s="971"/>
    </row>
    <row r="2151" spans="1:13">
      <c r="A2151" s="966"/>
      <c r="B2151" s="966"/>
      <c r="C2151" s="966"/>
      <c r="D2151" s="966"/>
      <c r="E2151" s="966"/>
      <c r="F2151" s="966"/>
      <c r="G2151" s="966"/>
      <c r="H2151" s="995"/>
      <c r="I2151" s="966"/>
      <c r="J2151" s="966"/>
      <c r="K2151" s="966"/>
      <c r="L2151" s="966"/>
      <c r="M2151" s="971"/>
    </row>
    <row r="2152" spans="1:13">
      <c r="A2152" s="966"/>
      <c r="B2152" s="966"/>
      <c r="C2152" s="966"/>
      <c r="D2152" s="966"/>
      <c r="E2152" s="966"/>
      <c r="F2152" s="966"/>
      <c r="G2152" s="966"/>
      <c r="H2152" s="995"/>
      <c r="I2152" s="966"/>
      <c r="J2152" s="966"/>
      <c r="K2152" s="966"/>
      <c r="L2152" s="966"/>
      <c r="M2152" s="971"/>
    </row>
    <row r="2153" spans="1:13">
      <c r="A2153" s="966"/>
      <c r="B2153" s="966"/>
      <c r="C2153" s="966"/>
      <c r="D2153" s="966"/>
      <c r="E2153" s="966"/>
      <c r="F2153" s="966"/>
      <c r="G2153" s="966"/>
      <c r="H2153" s="995"/>
      <c r="I2153" s="966"/>
      <c r="J2153" s="966"/>
      <c r="K2153" s="966"/>
      <c r="L2153" s="966"/>
      <c r="M2153" s="971"/>
    </row>
    <row r="2154" spans="1:13">
      <c r="A2154" s="966"/>
      <c r="B2154" s="966"/>
      <c r="C2154" s="966"/>
      <c r="D2154" s="966"/>
      <c r="E2154" s="966"/>
      <c r="F2154" s="966"/>
      <c r="G2154" s="966"/>
      <c r="H2154" s="995"/>
      <c r="I2154" s="966"/>
      <c r="J2154" s="966"/>
      <c r="K2154" s="966"/>
      <c r="L2154" s="966"/>
      <c r="M2154" s="971"/>
    </row>
    <row r="2155" spans="1:13">
      <c r="A2155" s="966"/>
      <c r="B2155" s="966"/>
      <c r="C2155" s="966"/>
      <c r="D2155" s="966"/>
      <c r="E2155" s="966"/>
      <c r="F2155" s="966"/>
      <c r="G2155" s="966"/>
      <c r="H2155" s="995"/>
      <c r="I2155" s="966"/>
      <c r="J2155" s="966"/>
      <c r="K2155" s="966"/>
      <c r="L2155" s="966"/>
      <c r="M2155" s="971"/>
    </row>
    <row r="2156" spans="1:13">
      <c r="A2156" s="966"/>
      <c r="B2156" s="966"/>
      <c r="C2156" s="966"/>
      <c r="D2156" s="966"/>
      <c r="E2156" s="966"/>
      <c r="F2156" s="966"/>
      <c r="G2156" s="966"/>
      <c r="H2156" s="995"/>
      <c r="I2156" s="966"/>
      <c r="J2156" s="966"/>
      <c r="K2156" s="966"/>
      <c r="L2156" s="966"/>
      <c r="M2156" s="971"/>
    </row>
    <row r="2157" spans="1:13">
      <c r="A2157" s="966"/>
      <c r="B2157" s="966"/>
      <c r="C2157" s="966"/>
      <c r="D2157" s="966"/>
      <c r="E2157" s="966"/>
      <c r="F2157" s="966"/>
      <c r="G2157" s="966"/>
      <c r="H2157" s="995"/>
      <c r="I2157" s="966"/>
      <c r="J2157" s="966"/>
      <c r="K2157" s="966"/>
      <c r="L2157" s="966"/>
      <c r="M2157" s="971"/>
    </row>
    <row r="2158" spans="1:13">
      <c r="A2158" s="966"/>
      <c r="B2158" s="966"/>
      <c r="C2158" s="966"/>
      <c r="D2158" s="966"/>
      <c r="E2158" s="966"/>
      <c r="F2158" s="966"/>
      <c r="G2158" s="966"/>
      <c r="H2158" s="995"/>
      <c r="I2158" s="966"/>
      <c r="J2158" s="966"/>
      <c r="K2158" s="966"/>
      <c r="L2158" s="966"/>
      <c r="M2158" s="971"/>
    </row>
    <row r="2159" spans="1:13">
      <c r="A2159" s="966"/>
      <c r="B2159" s="966"/>
      <c r="C2159" s="966"/>
      <c r="D2159" s="966"/>
      <c r="E2159" s="966"/>
      <c r="F2159" s="966"/>
      <c r="G2159" s="966"/>
      <c r="H2159" s="995"/>
      <c r="I2159" s="966"/>
      <c r="J2159" s="966"/>
      <c r="K2159" s="966"/>
      <c r="L2159" s="966"/>
      <c r="M2159" s="971"/>
    </row>
    <row r="2160" spans="1:13">
      <c r="A2160" s="966"/>
      <c r="B2160" s="966"/>
      <c r="C2160" s="966"/>
      <c r="D2160" s="966"/>
      <c r="E2160" s="966"/>
      <c r="F2160" s="966"/>
      <c r="G2160" s="966"/>
      <c r="H2160" s="995"/>
      <c r="I2160" s="966"/>
      <c r="J2160" s="966"/>
      <c r="K2160" s="966"/>
      <c r="L2160" s="966"/>
      <c r="M2160" s="971"/>
    </row>
    <row r="2161" spans="1:13">
      <c r="A2161" s="966"/>
      <c r="B2161" s="966"/>
      <c r="C2161" s="966"/>
      <c r="D2161" s="966"/>
      <c r="E2161" s="966"/>
      <c r="F2161" s="966"/>
      <c r="G2161" s="966"/>
      <c r="H2161" s="995"/>
      <c r="I2161" s="966"/>
      <c r="J2161" s="966"/>
      <c r="K2161" s="966"/>
      <c r="L2161" s="966"/>
      <c r="M2161" s="971"/>
    </row>
    <row r="2162" spans="1:13">
      <c r="A2162" s="966"/>
      <c r="B2162" s="966"/>
      <c r="C2162" s="966"/>
      <c r="D2162" s="966"/>
      <c r="E2162" s="966"/>
      <c r="F2162" s="966"/>
      <c r="G2162" s="966"/>
      <c r="H2162" s="995"/>
      <c r="I2162" s="966"/>
      <c r="J2162" s="966"/>
      <c r="K2162" s="966"/>
      <c r="L2162" s="966"/>
      <c r="M2162" s="971"/>
    </row>
    <row r="2163" spans="1:13">
      <c r="A2163" s="966"/>
      <c r="B2163" s="966"/>
      <c r="C2163" s="966"/>
      <c r="D2163" s="966"/>
      <c r="E2163" s="966"/>
      <c r="F2163" s="966"/>
      <c r="G2163" s="966"/>
      <c r="H2163" s="995"/>
      <c r="I2163" s="966"/>
      <c r="J2163" s="966"/>
      <c r="K2163" s="966"/>
      <c r="L2163" s="966"/>
      <c r="M2163" s="971"/>
    </row>
    <row r="2164" spans="1:13">
      <c r="A2164" s="966"/>
      <c r="B2164" s="966"/>
      <c r="C2164" s="966"/>
      <c r="D2164" s="966"/>
      <c r="E2164" s="966"/>
      <c r="F2164" s="966"/>
      <c r="G2164" s="966"/>
      <c r="H2164" s="995"/>
      <c r="I2164" s="966"/>
      <c r="J2164" s="966"/>
      <c r="K2164" s="966"/>
      <c r="L2164" s="966"/>
      <c r="M2164" s="971"/>
    </row>
    <row r="2165" spans="1:13">
      <c r="A2165" s="966"/>
      <c r="B2165" s="966"/>
      <c r="C2165" s="966"/>
      <c r="D2165" s="966"/>
      <c r="E2165" s="966"/>
      <c r="F2165" s="966"/>
      <c r="G2165" s="966"/>
      <c r="H2165" s="995"/>
      <c r="I2165" s="966"/>
      <c r="J2165" s="966"/>
      <c r="K2165" s="966"/>
      <c r="L2165" s="966"/>
      <c r="M2165" s="971"/>
    </row>
    <row r="2166" spans="1:13">
      <c r="A2166" s="966"/>
      <c r="B2166" s="966"/>
      <c r="C2166" s="966"/>
      <c r="D2166" s="966"/>
      <c r="E2166" s="966"/>
      <c r="F2166" s="966"/>
      <c r="G2166" s="966"/>
      <c r="H2166" s="995"/>
      <c r="I2166" s="966"/>
      <c r="J2166" s="966"/>
      <c r="K2166" s="966"/>
      <c r="L2166" s="966"/>
      <c r="M2166" s="971"/>
    </row>
    <row r="2167" spans="1:13">
      <c r="A2167" s="966"/>
      <c r="B2167" s="966"/>
      <c r="C2167" s="966"/>
      <c r="D2167" s="966"/>
      <c r="E2167" s="966"/>
      <c r="F2167" s="966"/>
      <c r="G2167" s="966"/>
      <c r="H2167" s="995"/>
      <c r="I2167" s="966"/>
      <c r="J2167" s="966"/>
      <c r="K2167" s="966"/>
      <c r="L2167" s="966"/>
      <c r="M2167" s="971"/>
    </row>
    <row r="2168" spans="1:13">
      <c r="A2168" s="966"/>
      <c r="B2168" s="966"/>
      <c r="C2168" s="966"/>
      <c r="D2168" s="966"/>
      <c r="E2168" s="966"/>
      <c r="F2168" s="966"/>
      <c r="G2168" s="966"/>
      <c r="H2168" s="995"/>
      <c r="I2168" s="966"/>
      <c r="J2168" s="966"/>
      <c r="K2168" s="966"/>
      <c r="L2168" s="966"/>
      <c r="M2168" s="971"/>
    </row>
    <row r="2169" spans="1:13">
      <c r="A2169" s="966"/>
      <c r="B2169" s="966"/>
      <c r="C2169" s="966"/>
      <c r="D2169" s="966"/>
      <c r="E2169" s="966"/>
      <c r="F2169" s="966"/>
      <c r="G2169" s="966"/>
      <c r="H2169" s="995"/>
      <c r="I2169" s="966"/>
      <c r="J2169" s="966"/>
      <c r="K2169" s="966"/>
      <c r="L2169" s="966"/>
      <c r="M2169" s="971"/>
    </row>
    <row r="2170" spans="1:13">
      <c r="A2170" s="966"/>
      <c r="B2170" s="966"/>
      <c r="C2170" s="966"/>
      <c r="D2170" s="966"/>
      <c r="E2170" s="966"/>
      <c r="F2170" s="966"/>
      <c r="G2170" s="966"/>
      <c r="H2170" s="995"/>
      <c r="I2170" s="966"/>
      <c r="J2170" s="966"/>
      <c r="K2170" s="966"/>
      <c r="L2170" s="966"/>
      <c r="M2170" s="971"/>
    </row>
    <row r="2171" spans="1:13">
      <c r="A2171" s="966"/>
      <c r="B2171" s="966"/>
      <c r="C2171" s="966"/>
      <c r="D2171" s="966"/>
      <c r="E2171" s="966"/>
      <c r="F2171" s="966"/>
      <c r="G2171" s="966"/>
      <c r="H2171" s="995"/>
      <c r="I2171" s="966"/>
      <c r="J2171" s="966"/>
      <c r="K2171" s="966"/>
      <c r="L2171" s="966"/>
      <c r="M2171" s="971"/>
    </row>
    <row r="2172" spans="1:13">
      <c r="A2172" s="966"/>
      <c r="B2172" s="966"/>
      <c r="C2172" s="966"/>
      <c r="D2172" s="966"/>
      <c r="E2172" s="966"/>
      <c r="F2172" s="966"/>
      <c r="G2172" s="966"/>
      <c r="H2172" s="995"/>
      <c r="I2172" s="966"/>
      <c r="J2172" s="966"/>
      <c r="K2172" s="966"/>
      <c r="L2172" s="966"/>
      <c r="M2172" s="971"/>
    </row>
    <row r="2173" spans="1:13">
      <c r="A2173" s="966"/>
      <c r="B2173" s="966"/>
      <c r="C2173" s="966"/>
      <c r="D2173" s="966"/>
      <c r="E2173" s="966"/>
      <c r="F2173" s="966"/>
      <c r="G2173" s="966"/>
      <c r="H2173" s="995"/>
      <c r="I2173" s="966"/>
      <c r="J2173" s="966"/>
      <c r="K2173" s="966"/>
      <c r="L2173" s="966"/>
      <c r="M2173" s="971"/>
    </row>
    <row r="2174" spans="1:13">
      <c r="A2174" s="966"/>
      <c r="B2174" s="966"/>
      <c r="C2174" s="966"/>
      <c r="D2174" s="966"/>
      <c r="E2174" s="966"/>
      <c r="F2174" s="966"/>
      <c r="G2174" s="966"/>
      <c r="H2174" s="995"/>
      <c r="I2174" s="966"/>
      <c r="J2174" s="966"/>
      <c r="K2174" s="966"/>
      <c r="L2174" s="966"/>
      <c r="M2174" s="971"/>
    </row>
    <row r="2175" spans="1:13">
      <c r="A2175" s="966"/>
      <c r="B2175" s="966"/>
      <c r="C2175" s="966"/>
      <c r="D2175" s="966"/>
      <c r="E2175" s="966"/>
      <c r="F2175" s="966"/>
      <c r="G2175" s="966"/>
      <c r="H2175" s="995"/>
      <c r="I2175" s="966"/>
      <c r="J2175" s="966"/>
      <c r="K2175" s="966"/>
      <c r="L2175" s="966"/>
      <c r="M2175" s="971"/>
    </row>
    <row r="2176" spans="1:13">
      <c r="A2176" s="966"/>
      <c r="B2176" s="966"/>
      <c r="C2176" s="966"/>
      <c r="D2176" s="966"/>
      <c r="E2176" s="966"/>
      <c r="F2176" s="966"/>
      <c r="G2176" s="966"/>
      <c r="H2176" s="995"/>
      <c r="I2176" s="966"/>
      <c r="J2176" s="966"/>
      <c r="K2176" s="966"/>
      <c r="L2176" s="966"/>
      <c r="M2176" s="971"/>
    </row>
    <row r="2177" spans="1:13">
      <c r="A2177" s="966"/>
      <c r="B2177" s="966"/>
      <c r="C2177" s="966"/>
      <c r="D2177" s="966"/>
      <c r="E2177" s="966"/>
      <c r="F2177" s="966"/>
      <c r="G2177" s="966"/>
      <c r="H2177" s="995"/>
      <c r="I2177" s="966"/>
      <c r="J2177" s="966"/>
      <c r="K2177" s="966"/>
      <c r="L2177" s="966"/>
      <c r="M2177" s="971"/>
    </row>
    <row r="2178" spans="1:13">
      <c r="A2178" s="966"/>
      <c r="B2178" s="966"/>
      <c r="C2178" s="966"/>
      <c r="D2178" s="966"/>
      <c r="E2178" s="966"/>
      <c r="F2178" s="966"/>
      <c r="G2178" s="966"/>
      <c r="H2178" s="995"/>
      <c r="I2178" s="966"/>
      <c r="J2178" s="966"/>
      <c r="K2178" s="966"/>
      <c r="L2178" s="966"/>
      <c r="M2178" s="971"/>
    </row>
    <row r="2179" spans="1:13">
      <c r="A2179" s="966"/>
      <c r="B2179" s="966"/>
      <c r="C2179" s="966"/>
      <c r="D2179" s="966"/>
      <c r="E2179" s="966"/>
      <c r="F2179" s="966"/>
      <c r="G2179" s="966"/>
      <c r="H2179" s="995"/>
      <c r="I2179" s="966"/>
      <c r="J2179" s="966"/>
      <c r="K2179" s="966"/>
      <c r="L2179" s="966"/>
      <c r="M2179" s="971"/>
    </row>
    <row r="2180" spans="1:13">
      <c r="A2180" s="966"/>
      <c r="B2180" s="966"/>
      <c r="C2180" s="966"/>
      <c r="D2180" s="966"/>
      <c r="E2180" s="966"/>
      <c r="F2180" s="966"/>
      <c r="G2180" s="966"/>
      <c r="H2180" s="995"/>
      <c r="I2180" s="966"/>
      <c r="J2180" s="966"/>
      <c r="K2180" s="966"/>
      <c r="L2180" s="966"/>
      <c r="M2180" s="971"/>
    </row>
    <row r="2181" spans="1:13">
      <c r="A2181" s="966"/>
      <c r="B2181" s="966"/>
      <c r="C2181" s="966"/>
      <c r="D2181" s="966"/>
      <c r="E2181" s="966"/>
      <c r="F2181" s="966"/>
      <c r="G2181" s="966"/>
      <c r="H2181" s="995"/>
      <c r="I2181" s="966"/>
      <c r="J2181" s="966"/>
      <c r="K2181" s="966"/>
      <c r="L2181" s="966"/>
      <c r="M2181" s="971"/>
    </row>
    <row r="2182" spans="1:13">
      <c r="A2182" s="966"/>
      <c r="B2182" s="966"/>
      <c r="C2182" s="966"/>
      <c r="D2182" s="966"/>
      <c r="E2182" s="966"/>
      <c r="F2182" s="966"/>
      <c r="G2182" s="966"/>
      <c r="H2182" s="995"/>
      <c r="I2182" s="966"/>
      <c r="J2182" s="966"/>
      <c r="K2182" s="966"/>
      <c r="L2182" s="966"/>
      <c r="M2182" s="971"/>
    </row>
    <row r="2183" spans="1:13">
      <c r="A2183" s="966"/>
      <c r="B2183" s="966"/>
      <c r="C2183" s="966"/>
      <c r="D2183" s="966"/>
      <c r="E2183" s="966"/>
      <c r="F2183" s="966"/>
      <c r="G2183" s="966"/>
      <c r="H2183" s="995"/>
      <c r="I2183" s="966"/>
      <c r="J2183" s="966"/>
      <c r="K2183" s="966"/>
      <c r="L2183" s="966"/>
      <c r="M2183" s="971"/>
    </row>
    <row r="2184" spans="1:13">
      <c r="A2184" s="966"/>
      <c r="B2184" s="966"/>
      <c r="C2184" s="966"/>
      <c r="D2184" s="966"/>
      <c r="E2184" s="966"/>
      <c r="F2184" s="966"/>
      <c r="G2184" s="966"/>
      <c r="H2184" s="995"/>
      <c r="I2184" s="966"/>
      <c r="J2184" s="966"/>
      <c r="K2184" s="966"/>
      <c r="L2184" s="966"/>
      <c r="M2184" s="971"/>
    </row>
    <row r="2185" spans="1:13">
      <c r="A2185" s="966"/>
      <c r="B2185" s="966"/>
      <c r="C2185" s="966"/>
      <c r="D2185" s="966"/>
      <c r="E2185" s="966"/>
      <c r="F2185" s="966"/>
      <c r="G2185" s="966"/>
      <c r="H2185" s="995"/>
      <c r="I2185" s="966"/>
      <c r="J2185" s="966"/>
      <c r="K2185" s="966"/>
      <c r="L2185" s="966"/>
      <c r="M2185" s="971"/>
    </row>
    <row r="2186" spans="1:13">
      <c r="A2186" s="966"/>
      <c r="B2186" s="966"/>
      <c r="C2186" s="966"/>
      <c r="D2186" s="966"/>
      <c r="E2186" s="966"/>
      <c r="F2186" s="966"/>
      <c r="G2186" s="966"/>
      <c r="H2186" s="995"/>
      <c r="I2186" s="966"/>
      <c r="J2186" s="966"/>
      <c r="K2186" s="966"/>
      <c r="L2186" s="966"/>
      <c r="M2186" s="971"/>
    </row>
    <row r="2187" spans="1:13">
      <c r="A2187" s="966"/>
      <c r="B2187" s="966"/>
      <c r="C2187" s="966"/>
      <c r="D2187" s="966"/>
      <c r="E2187" s="966"/>
      <c r="F2187" s="966"/>
      <c r="G2187" s="966"/>
      <c r="H2187" s="995"/>
      <c r="I2187" s="966"/>
      <c r="J2187" s="966"/>
      <c r="K2187" s="966"/>
      <c r="L2187" s="966"/>
      <c r="M2187" s="971"/>
    </row>
    <row r="2188" spans="1:13">
      <c r="A2188" s="966"/>
      <c r="B2188" s="966"/>
      <c r="C2188" s="966"/>
      <c r="D2188" s="966"/>
      <c r="E2188" s="966"/>
      <c r="F2188" s="966"/>
      <c r="G2188" s="966"/>
      <c r="H2188" s="995"/>
      <c r="I2188" s="966"/>
      <c r="J2188" s="966"/>
      <c r="K2188" s="966"/>
      <c r="L2188" s="966"/>
      <c r="M2188" s="971"/>
    </row>
    <row r="2189" spans="1:13">
      <c r="A2189" s="966"/>
      <c r="B2189" s="966"/>
      <c r="C2189" s="966"/>
      <c r="D2189" s="966"/>
      <c r="E2189" s="966"/>
      <c r="F2189" s="966"/>
      <c r="G2189" s="966"/>
      <c r="H2189" s="995"/>
      <c r="I2189" s="966"/>
      <c r="J2189" s="966"/>
      <c r="K2189" s="966"/>
      <c r="L2189" s="966"/>
      <c r="M2189" s="971"/>
    </row>
    <row r="2190" spans="1:13">
      <c r="A2190" s="966"/>
      <c r="B2190" s="966"/>
      <c r="C2190" s="966"/>
      <c r="D2190" s="966"/>
      <c r="E2190" s="966"/>
      <c r="F2190" s="966"/>
      <c r="G2190" s="966"/>
      <c r="H2190" s="995"/>
      <c r="I2190" s="966"/>
      <c r="J2190" s="966"/>
      <c r="K2190" s="966"/>
      <c r="L2190" s="966"/>
      <c r="M2190" s="971"/>
    </row>
    <row r="2191" spans="1:13">
      <c r="A2191" s="966"/>
      <c r="B2191" s="966"/>
      <c r="C2191" s="966"/>
      <c r="D2191" s="966"/>
      <c r="E2191" s="966"/>
      <c r="F2191" s="966"/>
      <c r="G2191" s="966"/>
      <c r="H2191" s="995"/>
      <c r="I2191" s="966"/>
      <c r="J2191" s="966"/>
      <c r="K2191" s="966"/>
      <c r="L2191" s="966"/>
      <c r="M2191" s="971"/>
    </row>
    <row r="2192" spans="1:13">
      <c r="A2192" s="966"/>
      <c r="B2192" s="966"/>
      <c r="C2192" s="966"/>
      <c r="D2192" s="966"/>
      <c r="E2192" s="966"/>
      <c r="F2192" s="966"/>
      <c r="G2192" s="966"/>
      <c r="H2192" s="995"/>
      <c r="I2192" s="966"/>
      <c r="J2192" s="966"/>
      <c r="K2192" s="966"/>
      <c r="L2192" s="966"/>
      <c r="M2192" s="971"/>
    </row>
    <row r="2193" spans="1:13">
      <c r="A2193" s="966"/>
      <c r="B2193" s="966"/>
      <c r="C2193" s="966"/>
      <c r="D2193" s="966"/>
      <c r="E2193" s="966"/>
      <c r="F2193" s="966"/>
      <c r="G2193" s="966"/>
      <c r="H2193" s="995"/>
      <c r="I2193" s="966"/>
      <c r="J2193" s="966"/>
      <c r="K2193" s="966"/>
      <c r="L2193" s="966"/>
      <c r="M2193" s="971"/>
    </row>
    <row r="2194" spans="1:13">
      <c r="A2194" s="966"/>
      <c r="B2194" s="966"/>
      <c r="C2194" s="966"/>
      <c r="D2194" s="966"/>
      <c r="E2194" s="966"/>
      <c r="F2194" s="966"/>
      <c r="G2194" s="966"/>
      <c r="H2194" s="995"/>
      <c r="I2194" s="966"/>
      <c r="J2194" s="966"/>
      <c r="K2194" s="966"/>
      <c r="L2194" s="966"/>
      <c r="M2194" s="971"/>
    </row>
    <row r="2195" spans="1:13">
      <c r="A2195" s="966"/>
      <c r="B2195" s="966"/>
      <c r="C2195" s="966"/>
      <c r="D2195" s="966"/>
      <c r="E2195" s="966"/>
      <c r="F2195" s="966"/>
      <c r="G2195" s="966"/>
      <c r="H2195" s="995"/>
      <c r="I2195" s="966"/>
      <c r="J2195" s="966"/>
      <c r="K2195" s="966"/>
      <c r="L2195" s="966"/>
      <c r="M2195" s="971"/>
    </row>
    <row r="2196" spans="1:13">
      <c r="A2196" s="966"/>
      <c r="B2196" s="966"/>
      <c r="C2196" s="966"/>
      <c r="D2196" s="966"/>
      <c r="E2196" s="966"/>
      <c r="F2196" s="966"/>
      <c r="G2196" s="966"/>
      <c r="H2196" s="995"/>
      <c r="I2196" s="966"/>
      <c r="J2196" s="966"/>
      <c r="K2196" s="966"/>
      <c r="L2196" s="966"/>
      <c r="M2196" s="971"/>
    </row>
    <row r="2197" spans="1:13">
      <c r="A2197" s="966"/>
      <c r="B2197" s="966"/>
      <c r="C2197" s="966"/>
      <c r="D2197" s="966"/>
      <c r="E2197" s="966"/>
      <c r="F2197" s="966"/>
      <c r="G2197" s="966"/>
      <c r="H2197" s="995"/>
      <c r="I2197" s="966"/>
      <c r="J2197" s="966"/>
      <c r="K2197" s="966"/>
      <c r="L2197" s="966"/>
      <c r="M2197" s="971"/>
    </row>
    <row r="2198" spans="1:13">
      <c r="A2198" s="966"/>
      <c r="B2198" s="966"/>
      <c r="C2198" s="966"/>
      <c r="D2198" s="966"/>
      <c r="E2198" s="966"/>
      <c r="F2198" s="966"/>
      <c r="G2198" s="966"/>
      <c r="H2198" s="995"/>
      <c r="I2198" s="966"/>
      <c r="J2198" s="966"/>
      <c r="K2198" s="966"/>
      <c r="L2198" s="966"/>
      <c r="M2198" s="971"/>
    </row>
    <row r="2199" spans="1:13">
      <c r="A2199" s="966"/>
      <c r="B2199" s="966"/>
      <c r="C2199" s="966"/>
      <c r="D2199" s="966"/>
      <c r="E2199" s="966"/>
      <c r="F2199" s="966"/>
      <c r="G2199" s="966"/>
      <c r="H2199" s="995"/>
      <c r="I2199" s="966"/>
      <c r="J2199" s="966"/>
      <c r="K2199" s="966"/>
      <c r="L2199" s="966"/>
      <c r="M2199" s="971"/>
    </row>
    <row r="2200" spans="1:13">
      <c r="A2200" s="966"/>
      <c r="B2200" s="966"/>
      <c r="C2200" s="966"/>
      <c r="D2200" s="966"/>
      <c r="E2200" s="966"/>
      <c r="F2200" s="966"/>
      <c r="G2200" s="966"/>
      <c r="H2200" s="995"/>
      <c r="I2200" s="966"/>
      <c r="J2200" s="966"/>
      <c r="K2200" s="966"/>
      <c r="L2200" s="966"/>
      <c r="M2200" s="971"/>
    </row>
    <row r="2201" spans="1:13">
      <c r="A2201" s="966"/>
      <c r="B2201" s="966"/>
      <c r="C2201" s="966"/>
      <c r="D2201" s="966"/>
      <c r="E2201" s="966"/>
      <c r="F2201" s="966"/>
      <c r="G2201" s="966"/>
      <c r="H2201" s="995"/>
      <c r="I2201" s="966"/>
      <c r="J2201" s="966"/>
      <c r="K2201" s="966"/>
      <c r="L2201" s="966"/>
      <c r="M2201" s="971"/>
    </row>
    <row r="2202" spans="1:13">
      <c r="A2202" s="966"/>
      <c r="B2202" s="966"/>
      <c r="C2202" s="966"/>
      <c r="D2202" s="966"/>
      <c r="E2202" s="966"/>
      <c r="F2202" s="966"/>
      <c r="G2202" s="966"/>
      <c r="H2202" s="995"/>
      <c r="I2202" s="966"/>
      <c r="J2202" s="966"/>
      <c r="K2202" s="966"/>
      <c r="L2202" s="966"/>
      <c r="M2202" s="971"/>
    </row>
    <row r="2203" spans="1:13">
      <c r="A2203" s="966"/>
      <c r="B2203" s="966"/>
      <c r="C2203" s="966"/>
      <c r="D2203" s="966"/>
      <c r="E2203" s="966"/>
      <c r="F2203" s="966"/>
      <c r="G2203" s="966"/>
      <c r="H2203" s="995"/>
      <c r="I2203" s="966"/>
      <c r="J2203" s="966"/>
      <c r="K2203" s="966"/>
      <c r="L2203" s="966"/>
      <c r="M2203" s="971"/>
    </row>
    <row r="2204" spans="1:13">
      <c r="A2204" s="966"/>
      <c r="B2204" s="966"/>
      <c r="C2204" s="966"/>
      <c r="D2204" s="966"/>
      <c r="E2204" s="966"/>
      <c r="F2204" s="966"/>
      <c r="G2204" s="966"/>
      <c r="H2204" s="995"/>
      <c r="I2204" s="966"/>
      <c r="J2204" s="966"/>
      <c r="K2204" s="966"/>
      <c r="L2204" s="966"/>
      <c r="M2204" s="971"/>
    </row>
    <row r="2205" spans="1:13">
      <c r="A2205" s="966"/>
      <c r="B2205" s="966"/>
      <c r="C2205" s="966"/>
      <c r="D2205" s="966"/>
      <c r="E2205" s="966"/>
      <c r="F2205" s="966"/>
      <c r="G2205" s="966"/>
      <c r="H2205" s="995"/>
      <c r="I2205" s="966"/>
      <c r="J2205" s="966"/>
      <c r="K2205" s="966"/>
      <c r="L2205" s="966"/>
      <c r="M2205" s="971"/>
    </row>
    <row r="2206" spans="1:13">
      <c r="A2206" s="966"/>
      <c r="B2206" s="966"/>
      <c r="C2206" s="966"/>
      <c r="D2206" s="966"/>
      <c r="E2206" s="966"/>
      <c r="F2206" s="966"/>
      <c r="G2206" s="966"/>
      <c r="H2206" s="995"/>
      <c r="I2206" s="966"/>
      <c r="J2206" s="966"/>
      <c r="K2206" s="966"/>
      <c r="L2206" s="966"/>
      <c r="M2206" s="971"/>
    </row>
    <row r="2207" spans="1:13">
      <c r="A2207" s="966"/>
      <c r="B2207" s="966"/>
      <c r="C2207" s="966"/>
      <c r="D2207" s="966"/>
      <c r="E2207" s="966"/>
      <c r="F2207" s="966"/>
      <c r="G2207" s="966"/>
      <c r="H2207" s="995"/>
      <c r="I2207" s="966"/>
      <c r="J2207" s="966"/>
      <c r="K2207" s="966"/>
      <c r="L2207" s="966"/>
      <c r="M2207" s="971"/>
    </row>
    <row r="2208" spans="1:13">
      <c r="A2208" s="966"/>
      <c r="B2208" s="966"/>
      <c r="C2208" s="966"/>
      <c r="D2208" s="966"/>
      <c r="E2208" s="966"/>
      <c r="F2208" s="966"/>
      <c r="G2208" s="966"/>
      <c r="H2208" s="995"/>
      <c r="I2208" s="966"/>
      <c r="J2208" s="966"/>
      <c r="K2208" s="966"/>
      <c r="L2208" s="966"/>
      <c r="M2208" s="971"/>
    </row>
    <row r="2209" spans="1:13">
      <c r="A2209" s="966"/>
      <c r="B2209" s="966"/>
      <c r="C2209" s="966"/>
      <c r="D2209" s="966"/>
      <c r="E2209" s="966"/>
      <c r="F2209" s="966"/>
      <c r="G2209" s="966"/>
      <c r="H2209" s="995"/>
      <c r="I2209" s="966"/>
      <c r="J2209" s="966"/>
      <c r="K2209" s="966"/>
      <c r="L2209" s="966"/>
      <c r="M2209" s="971"/>
    </row>
    <row r="2210" spans="1:13">
      <c r="A2210" s="966"/>
      <c r="B2210" s="966"/>
      <c r="C2210" s="966"/>
      <c r="D2210" s="966"/>
      <c r="E2210" s="966"/>
      <c r="F2210" s="966"/>
      <c r="G2210" s="966"/>
      <c r="H2210" s="995"/>
      <c r="I2210" s="966"/>
      <c r="J2210" s="966"/>
      <c r="K2210" s="966"/>
      <c r="L2210" s="966"/>
      <c r="M2210" s="971"/>
    </row>
    <row r="2211" spans="1:13">
      <c r="A2211" s="966"/>
      <c r="B2211" s="966"/>
      <c r="C2211" s="966"/>
      <c r="D2211" s="966"/>
      <c r="E2211" s="966"/>
      <c r="F2211" s="966"/>
      <c r="G2211" s="966"/>
      <c r="H2211" s="995"/>
      <c r="I2211" s="966"/>
      <c r="J2211" s="966"/>
      <c r="K2211" s="966"/>
      <c r="L2211" s="966"/>
      <c r="M2211" s="971"/>
    </row>
    <row r="2212" spans="1:13">
      <c r="A2212" s="966"/>
      <c r="B2212" s="966"/>
      <c r="C2212" s="966"/>
      <c r="D2212" s="966"/>
      <c r="E2212" s="966"/>
      <c r="F2212" s="966"/>
      <c r="G2212" s="966"/>
      <c r="H2212" s="995"/>
      <c r="I2212" s="966"/>
      <c r="J2212" s="966"/>
      <c r="K2212" s="966"/>
      <c r="L2212" s="966"/>
      <c r="M2212" s="971"/>
    </row>
    <row r="2213" spans="1:13">
      <c r="A2213" s="966"/>
      <c r="B2213" s="966"/>
      <c r="C2213" s="966"/>
      <c r="D2213" s="966"/>
      <c r="E2213" s="966"/>
      <c r="F2213" s="966"/>
      <c r="G2213" s="966"/>
      <c r="H2213" s="995"/>
      <c r="I2213" s="966"/>
      <c r="J2213" s="966"/>
      <c r="K2213" s="966"/>
      <c r="L2213" s="966"/>
      <c r="M2213" s="971"/>
    </row>
    <row r="2214" spans="1:13">
      <c r="A2214" s="966"/>
      <c r="B2214" s="966"/>
      <c r="C2214" s="966"/>
      <c r="D2214" s="966"/>
      <c r="E2214" s="966"/>
      <c r="F2214" s="966"/>
      <c r="G2214" s="966"/>
      <c r="H2214" s="995"/>
      <c r="I2214" s="966"/>
      <c r="J2214" s="966"/>
      <c r="K2214" s="966"/>
      <c r="L2214" s="966"/>
      <c r="M2214" s="971"/>
    </row>
    <row r="2215" spans="1:13">
      <c r="A2215" s="966"/>
      <c r="B2215" s="966"/>
      <c r="C2215" s="966"/>
      <c r="D2215" s="966"/>
      <c r="E2215" s="966"/>
      <c r="F2215" s="966"/>
      <c r="G2215" s="966"/>
      <c r="H2215" s="995"/>
      <c r="I2215" s="966"/>
      <c r="J2215" s="966"/>
      <c r="K2215" s="966"/>
      <c r="L2215" s="966"/>
      <c r="M2215" s="971"/>
    </row>
    <row r="2216" spans="1:13">
      <c r="A2216" s="966"/>
      <c r="B2216" s="966"/>
      <c r="C2216" s="966"/>
      <c r="D2216" s="966"/>
      <c r="E2216" s="966"/>
      <c r="F2216" s="966"/>
      <c r="G2216" s="966"/>
      <c r="H2216" s="995"/>
      <c r="I2216" s="966"/>
      <c r="J2216" s="966"/>
      <c r="K2216" s="966"/>
      <c r="L2216" s="966"/>
      <c r="M2216" s="971"/>
    </row>
    <row r="2217" spans="1:13">
      <c r="A2217" s="966"/>
      <c r="B2217" s="966"/>
      <c r="C2217" s="966"/>
      <c r="D2217" s="966"/>
      <c r="E2217" s="966"/>
      <c r="F2217" s="966"/>
      <c r="G2217" s="966"/>
      <c r="H2217" s="995"/>
      <c r="I2217" s="966"/>
      <c r="J2217" s="966"/>
      <c r="K2217" s="966"/>
      <c r="L2217" s="966"/>
      <c r="M2217" s="971"/>
    </row>
    <row r="2218" spans="1:13">
      <c r="A2218" s="966"/>
      <c r="B2218" s="966"/>
      <c r="C2218" s="966"/>
      <c r="D2218" s="966"/>
      <c r="E2218" s="966"/>
      <c r="F2218" s="966"/>
      <c r="G2218" s="966"/>
      <c r="H2218" s="995"/>
      <c r="I2218" s="966"/>
      <c r="J2218" s="966"/>
      <c r="K2218" s="966"/>
      <c r="L2218" s="966"/>
      <c r="M2218" s="971"/>
    </row>
    <row r="2219" spans="1:13">
      <c r="A2219" s="966"/>
      <c r="B2219" s="966"/>
      <c r="C2219" s="966"/>
      <c r="D2219" s="966"/>
      <c r="E2219" s="966"/>
      <c r="F2219" s="966"/>
      <c r="G2219" s="966"/>
      <c r="H2219" s="995"/>
      <c r="I2219" s="966"/>
      <c r="J2219" s="966"/>
      <c r="K2219" s="966"/>
      <c r="L2219" s="966"/>
      <c r="M2219" s="971"/>
    </row>
    <row r="2220" spans="1:13">
      <c r="A2220" s="966"/>
      <c r="B2220" s="966"/>
      <c r="C2220" s="966"/>
      <c r="D2220" s="966"/>
      <c r="E2220" s="966"/>
      <c r="F2220" s="966"/>
      <c r="G2220" s="966"/>
      <c r="H2220" s="995"/>
      <c r="I2220" s="966"/>
      <c r="J2220" s="966"/>
      <c r="K2220" s="966"/>
      <c r="L2220" s="966"/>
      <c r="M2220" s="971"/>
    </row>
    <row r="2221" spans="1:13">
      <c r="A2221" s="966"/>
      <c r="B2221" s="966"/>
      <c r="C2221" s="966"/>
      <c r="D2221" s="966"/>
      <c r="E2221" s="966"/>
      <c r="F2221" s="966"/>
      <c r="G2221" s="966"/>
      <c r="H2221" s="995"/>
      <c r="I2221" s="966"/>
      <c r="J2221" s="966"/>
      <c r="K2221" s="966"/>
      <c r="L2221" s="966"/>
      <c r="M2221" s="971"/>
    </row>
    <row r="2222" spans="1:13">
      <c r="A2222" s="966"/>
      <c r="B2222" s="966"/>
      <c r="C2222" s="966"/>
      <c r="D2222" s="966"/>
      <c r="E2222" s="966"/>
      <c r="F2222" s="966"/>
      <c r="G2222" s="966"/>
      <c r="H2222" s="995"/>
      <c r="I2222" s="966"/>
      <c r="J2222" s="966"/>
      <c r="K2222" s="966"/>
      <c r="L2222" s="966"/>
      <c r="M2222" s="971"/>
    </row>
    <row r="2223" spans="1:13">
      <c r="A2223" s="966"/>
      <c r="B2223" s="966"/>
      <c r="C2223" s="966"/>
      <c r="D2223" s="966"/>
      <c r="E2223" s="966"/>
      <c r="F2223" s="966"/>
      <c r="G2223" s="966"/>
      <c r="H2223" s="995"/>
      <c r="I2223" s="966"/>
      <c r="J2223" s="966"/>
      <c r="K2223" s="966"/>
      <c r="L2223" s="966"/>
      <c r="M2223" s="971"/>
    </row>
    <row r="2224" spans="1:13">
      <c r="A2224" s="966"/>
      <c r="B2224" s="966"/>
      <c r="C2224" s="966"/>
      <c r="D2224" s="966"/>
      <c r="E2224" s="966"/>
      <c r="F2224" s="966"/>
      <c r="G2224" s="966"/>
      <c r="H2224" s="995"/>
      <c r="I2224" s="966"/>
      <c r="J2224" s="966"/>
      <c r="K2224" s="966"/>
      <c r="L2224" s="966"/>
      <c r="M2224" s="971"/>
    </row>
    <row r="2225" spans="1:13">
      <c r="A2225" s="966"/>
      <c r="B2225" s="966"/>
      <c r="C2225" s="966"/>
      <c r="D2225" s="966"/>
      <c r="E2225" s="966"/>
      <c r="F2225" s="966"/>
      <c r="G2225" s="966"/>
      <c r="H2225" s="995"/>
      <c r="I2225" s="966"/>
      <c r="J2225" s="966"/>
      <c r="K2225" s="966"/>
      <c r="L2225" s="966"/>
      <c r="M2225" s="971"/>
    </row>
    <row r="2226" spans="1:13">
      <c r="A2226" s="966"/>
      <c r="B2226" s="966"/>
      <c r="C2226" s="966"/>
      <c r="D2226" s="966"/>
      <c r="E2226" s="966"/>
      <c r="F2226" s="966"/>
      <c r="G2226" s="966"/>
      <c r="H2226" s="995"/>
      <c r="I2226" s="966"/>
      <c r="J2226" s="966"/>
      <c r="K2226" s="966"/>
      <c r="L2226" s="966"/>
      <c r="M2226" s="971"/>
    </row>
    <row r="2227" spans="1:13">
      <c r="A2227" s="966"/>
      <c r="B2227" s="966"/>
      <c r="C2227" s="966"/>
      <c r="D2227" s="966"/>
      <c r="E2227" s="966"/>
      <c r="F2227" s="966"/>
      <c r="G2227" s="966"/>
      <c r="H2227" s="995"/>
      <c r="I2227" s="966"/>
      <c r="J2227" s="966"/>
      <c r="K2227" s="966"/>
      <c r="L2227" s="966"/>
      <c r="M2227" s="971"/>
    </row>
    <row r="2228" spans="1:13">
      <c r="A2228" s="966"/>
      <c r="B2228" s="966"/>
      <c r="C2228" s="966"/>
      <c r="D2228" s="966"/>
      <c r="E2228" s="966"/>
      <c r="F2228" s="966"/>
      <c r="G2228" s="966"/>
      <c r="H2228" s="995"/>
      <c r="I2228" s="966"/>
      <c r="J2228" s="966"/>
      <c r="K2228" s="966"/>
      <c r="L2228" s="966"/>
      <c r="M2228" s="971"/>
    </row>
    <row r="2229" spans="1:13">
      <c r="A2229" s="966"/>
      <c r="B2229" s="966"/>
      <c r="C2229" s="966"/>
      <c r="D2229" s="966"/>
      <c r="E2229" s="966"/>
      <c r="F2229" s="966"/>
      <c r="G2229" s="966"/>
      <c r="H2229" s="995"/>
      <c r="I2229" s="966"/>
      <c r="J2229" s="966"/>
      <c r="K2229" s="966"/>
      <c r="L2229" s="966"/>
      <c r="M2229" s="971"/>
    </row>
    <row r="2230" spans="1:13">
      <c r="A2230" s="966"/>
      <c r="B2230" s="966"/>
      <c r="C2230" s="966"/>
      <c r="D2230" s="966"/>
      <c r="E2230" s="966"/>
      <c r="F2230" s="966"/>
      <c r="G2230" s="966"/>
      <c r="H2230" s="995"/>
      <c r="I2230" s="966"/>
      <c r="J2230" s="966"/>
      <c r="K2230" s="966"/>
      <c r="L2230" s="966"/>
      <c r="M2230" s="971"/>
    </row>
    <row r="2231" spans="1:13">
      <c r="A2231" s="966"/>
      <c r="B2231" s="966"/>
      <c r="C2231" s="966"/>
      <c r="D2231" s="966"/>
      <c r="E2231" s="966"/>
      <c r="F2231" s="966"/>
      <c r="G2231" s="966"/>
      <c r="H2231" s="995"/>
      <c r="I2231" s="966"/>
      <c r="J2231" s="966"/>
      <c r="K2231" s="966"/>
      <c r="L2231" s="966"/>
      <c r="M2231" s="971"/>
    </row>
    <row r="2232" spans="1:13">
      <c r="A2232" s="966"/>
      <c r="B2232" s="966"/>
      <c r="C2232" s="966"/>
      <c r="D2232" s="966"/>
      <c r="E2232" s="966"/>
      <c r="F2232" s="966"/>
      <c r="G2232" s="966"/>
      <c r="H2232" s="995"/>
      <c r="I2232" s="966"/>
      <c r="J2232" s="966"/>
      <c r="K2232" s="966"/>
      <c r="L2232" s="966"/>
      <c r="M2232" s="971"/>
    </row>
    <row r="2233" spans="1:13">
      <c r="A2233" s="966"/>
      <c r="B2233" s="966"/>
      <c r="C2233" s="966"/>
      <c r="D2233" s="966"/>
      <c r="E2233" s="966"/>
      <c r="F2233" s="966"/>
      <c r="G2233" s="966"/>
      <c r="H2233" s="995"/>
      <c r="I2233" s="966"/>
      <c r="J2233" s="966"/>
      <c r="K2233" s="966"/>
      <c r="L2233" s="966"/>
      <c r="M2233" s="971"/>
    </row>
    <row r="2234" spans="1:13">
      <c r="A2234" s="966"/>
      <c r="B2234" s="966"/>
      <c r="C2234" s="966"/>
      <c r="D2234" s="966"/>
      <c r="E2234" s="966"/>
      <c r="F2234" s="966"/>
      <c r="G2234" s="966"/>
      <c r="H2234" s="995"/>
      <c r="I2234" s="966"/>
      <c r="J2234" s="966"/>
      <c r="K2234" s="966"/>
      <c r="L2234" s="966"/>
      <c r="M2234" s="971"/>
    </row>
    <row r="2235" spans="1:13">
      <c r="A2235" s="966"/>
      <c r="B2235" s="966"/>
      <c r="C2235" s="966"/>
      <c r="D2235" s="966"/>
      <c r="E2235" s="966"/>
      <c r="F2235" s="966"/>
      <c r="G2235" s="966"/>
      <c r="H2235" s="995"/>
      <c r="I2235" s="966"/>
      <c r="J2235" s="966"/>
      <c r="K2235" s="966"/>
      <c r="L2235" s="966"/>
      <c r="M2235" s="971"/>
    </row>
    <row r="2236" spans="1:13">
      <c r="A2236" s="966"/>
      <c r="B2236" s="966"/>
      <c r="C2236" s="966"/>
      <c r="D2236" s="966"/>
      <c r="E2236" s="966"/>
      <c r="F2236" s="966"/>
      <c r="G2236" s="966"/>
      <c r="H2236" s="995"/>
      <c r="I2236" s="966"/>
      <c r="J2236" s="966"/>
      <c r="K2236" s="966"/>
      <c r="L2236" s="966"/>
      <c r="M2236" s="971"/>
    </row>
    <row r="2237" spans="1:13">
      <c r="A2237" s="966"/>
      <c r="B2237" s="966"/>
      <c r="C2237" s="966"/>
      <c r="D2237" s="966"/>
      <c r="E2237" s="966"/>
      <c r="F2237" s="966"/>
      <c r="G2237" s="966"/>
      <c r="H2237" s="995"/>
      <c r="I2237" s="966"/>
      <c r="J2237" s="966"/>
      <c r="K2237" s="966"/>
      <c r="L2237" s="966"/>
      <c r="M2237" s="971"/>
    </row>
    <row r="2238" spans="1:13">
      <c r="A2238" s="966"/>
      <c r="B2238" s="966"/>
      <c r="C2238" s="966"/>
      <c r="D2238" s="966"/>
      <c r="E2238" s="966"/>
      <c r="F2238" s="966"/>
      <c r="G2238" s="966"/>
      <c r="H2238" s="995"/>
      <c r="I2238" s="966"/>
      <c r="J2238" s="966"/>
      <c r="K2238" s="966"/>
      <c r="L2238" s="966"/>
      <c r="M2238" s="971"/>
    </row>
    <row r="2239" spans="1:13">
      <c r="A2239" s="966"/>
      <c r="B2239" s="966"/>
      <c r="C2239" s="966"/>
      <c r="D2239" s="966"/>
      <c r="E2239" s="966"/>
      <c r="F2239" s="966"/>
      <c r="G2239" s="966"/>
      <c r="H2239" s="995"/>
      <c r="I2239" s="966"/>
      <c r="J2239" s="966"/>
      <c r="K2239" s="966"/>
      <c r="L2239" s="966"/>
      <c r="M2239" s="971"/>
    </row>
    <row r="2240" spans="1:13">
      <c r="A2240" s="966"/>
      <c r="B2240" s="966"/>
      <c r="C2240" s="966"/>
      <c r="D2240" s="966"/>
      <c r="E2240" s="966"/>
      <c r="F2240" s="966"/>
      <c r="G2240" s="966"/>
      <c r="H2240" s="995"/>
      <c r="I2240" s="966"/>
      <c r="J2240" s="966"/>
      <c r="K2240" s="966"/>
      <c r="L2240" s="966"/>
      <c r="M2240" s="971"/>
    </row>
    <row r="2241" spans="1:13">
      <c r="A2241" s="966"/>
      <c r="B2241" s="966"/>
      <c r="C2241" s="966"/>
      <c r="D2241" s="966"/>
      <c r="E2241" s="966"/>
      <c r="F2241" s="966"/>
      <c r="G2241" s="966"/>
      <c r="H2241" s="995"/>
      <c r="I2241" s="966"/>
      <c r="J2241" s="966"/>
      <c r="K2241" s="966"/>
      <c r="L2241" s="966"/>
      <c r="M2241" s="971"/>
    </row>
    <row r="2242" spans="1:13">
      <c r="A2242" s="966"/>
      <c r="B2242" s="966"/>
      <c r="C2242" s="966"/>
      <c r="D2242" s="966"/>
      <c r="E2242" s="966"/>
      <c r="F2242" s="966"/>
      <c r="G2242" s="966"/>
      <c r="H2242" s="995"/>
      <c r="I2242" s="966"/>
      <c r="J2242" s="966"/>
      <c r="K2242" s="966"/>
      <c r="L2242" s="966"/>
      <c r="M2242" s="971"/>
    </row>
    <row r="2243" spans="1:13">
      <c r="A2243" s="966"/>
      <c r="B2243" s="966"/>
      <c r="C2243" s="966"/>
      <c r="D2243" s="966"/>
      <c r="E2243" s="966"/>
      <c r="F2243" s="966"/>
      <c r="G2243" s="966"/>
      <c r="H2243" s="995"/>
      <c r="I2243" s="966"/>
      <c r="J2243" s="966"/>
      <c r="K2243" s="966"/>
      <c r="L2243" s="966"/>
      <c r="M2243" s="971"/>
    </row>
    <row r="2244" spans="1:13">
      <c r="A2244" s="966"/>
      <c r="B2244" s="966"/>
      <c r="C2244" s="966"/>
      <c r="D2244" s="966"/>
      <c r="E2244" s="966"/>
      <c r="F2244" s="966"/>
      <c r="G2244" s="966"/>
      <c r="H2244" s="995"/>
      <c r="I2244" s="966"/>
      <c r="J2244" s="966"/>
      <c r="K2244" s="966"/>
      <c r="L2244" s="966"/>
      <c r="M2244" s="971"/>
    </row>
    <row r="2245" spans="1:13">
      <c r="A2245" s="966"/>
      <c r="B2245" s="966"/>
      <c r="C2245" s="966"/>
      <c r="D2245" s="966"/>
      <c r="E2245" s="966"/>
      <c r="F2245" s="966"/>
      <c r="G2245" s="966"/>
      <c r="H2245" s="995"/>
      <c r="I2245" s="966"/>
      <c r="J2245" s="966"/>
      <c r="K2245" s="966"/>
      <c r="L2245" s="966"/>
      <c r="M2245" s="971"/>
    </row>
    <row r="2246" spans="1:13">
      <c r="A2246" s="966"/>
      <c r="B2246" s="966"/>
      <c r="C2246" s="966"/>
      <c r="D2246" s="966"/>
      <c r="E2246" s="966"/>
      <c r="F2246" s="966"/>
      <c r="G2246" s="966"/>
      <c r="H2246" s="995"/>
      <c r="I2246" s="966"/>
      <c r="J2246" s="966"/>
      <c r="K2246" s="966"/>
      <c r="L2246" s="966"/>
      <c r="M2246" s="971"/>
    </row>
    <row r="2247" spans="1:13">
      <c r="A2247" s="966"/>
      <c r="B2247" s="966"/>
      <c r="C2247" s="966"/>
      <c r="D2247" s="966"/>
      <c r="E2247" s="966"/>
      <c r="F2247" s="966"/>
      <c r="G2247" s="966"/>
      <c r="H2247" s="995"/>
      <c r="I2247" s="966"/>
      <c r="J2247" s="966"/>
      <c r="K2247" s="966"/>
      <c r="L2247" s="966"/>
      <c r="M2247" s="971"/>
    </row>
    <row r="2248" spans="1:13">
      <c r="A2248" s="966"/>
      <c r="B2248" s="966"/>
      <c r="C2248" s="966"/>
      <c r="D2248" s="966"/>
      <c r="E2248" s="966"/>
      <c r="F2248" s="966"/>
      <c r="G2248" s="966"/>
      <c r="H2248" s="995"/>
      <c r="I2248" s="966"/>
      <c r="J2248" s="966"/>
      <c r="K2248" s="966"/>
      <c r="L2248" s="966"/>
      <c r="M2248" s="971"/>
    </row>
    <row r="2249" spans="1:13">
      <c r="A2249" s="966"/>
      <c r="B2249" s="966"/>
      <c r="C2249" s="966"/>
      <c r="D2249" s="966"/>
      <c r="E2249" s="966"/>
      <c r="F2249" s="966"/>
      <c r="G2249" s="966"/>
      <c r="H2249" s="995"/>
      <c r="I2249" s="966"/>
      <c r="J2249" s="966"/>
      <c r="K2249" s="966"/>
      <c r="L2249" s="966"/>
      <c r="M2249" s="971"/>
    </row>
    <row r="2250" spans="1:13">
      <c r="A2250" s="966"/>
      <c r="B2250" s="966"/>
      <c r="C2250" s="966"/>
      <c r="D2250" s="966"/>
      <c r="E2250" s="966"/>
      <c r="F2250" s="966"/>
      <c r="G2250" s="966"/>
      <c r="H2250" s="995"/>
      <c r="I2250" s="966"/>
      <c r="J2250" s="966"/>
      <c r="K2250" s="966"/>
      <c r="L2250" s="966"/>
      <c r="M2250" s="971"/>
    </row>
    <row r="2251" spans="1:13">
      <c r="A2251" s="966"/>
      <c r="B2251" s="966"/>
      <c r="C2251" s="966"/>
      <c r="D2251" s="966"/>
      <c r="E2251" s="966"/>
      <c r="F2251" s="966"/>
      <c r="G2251" s="966"/>
      <c r="H2251" s="995"/>
      <c r="I2251" s="966"/>
      <c r="J2251" s="966"/>
      <c r="K2251" s="966"/>
      <c r="L2251" s="966"/>
      <c r="M2251" s="971"/>
    </row>
    <row r="2252" spans="1:13">
      <c r="A2252" s="966"/>
      <c r="B2252" s="966"/>
      <c r="C2252" s="966"/>
      <c r="D2252" s="966"/>
      <c r="E2252" s="966"/>
      <c r="F2252" s="966"/>
      <c r="G2252" s="966"/>
      <c r="H2252" s="995"/>
      <c r="I2252" s="966"/>
      <c r="J2252" s="966"/>
      <c r="K2252" s="966"/>
      <c r="L2252" s="966"/>
      <c r="M2252" s="971"/>
    </row>
    <row r="2253" spans="1:13">
      <c r="A2253" s="966"/>
      <c r="B2253" s="966"/>
      <c r="C2253" s="966"/>
      <c r="D2253" s="966"/>
      <c r="E2253" s="966"/>
      <c r="F2253" s="966"/>
      <c r="G2253" s="966"/>
      <c r="H2253" s="995"/>
      <c r="I2253" s="966"/>
      <c r="J2253" s="966"/>
      <c r="K2253" s="966"/>
      <c r="L2253" s="966"/>
      <c r="M2253" s="971"/>
    </row>
    <row r="2254" spans="1:13">
      <c r="A2254" s="966"/>
      <c r="B2254" s="966"/>
      <c r="C2254" s="966"/>
      <c r="D2254" s="966"/>
      <c r="E2254" s="966"/>
      <c r="F2254" s="966"/>
      <c r="G2254" s="966"/>
      <c r="H2254" s="995"/>
      <c r="I2254" s="966"/>
      <c r="J2254" s="966"/>
      <c r="K2254" s="966"/>
      <c r="L2254" s="966"/>
      <c r="M2254" s="971"/>
    </row>
    <row r="2255" spans="1:13">
      <c r="A2255" s="966"/>
      <c r="B2255" s="966"/>
      <c r="C2255" s="966"/>
      <c r="D2255" s="966"/>
      <c r="E2255" s="966"/>
      <c r="F2255" s="966"/>
      <c r="G2255" s="966"/>
      <c r="H2255" s="995"/>
      <c r="I2255" s="966"/>
      <c r="J2255" s="966"/>
      <c r="K2255" s="966"/>
      <c r="L2255" s="966"/>
      <c r="M2255" s="971"/>
    </row>
    <row r="2256" spans="1:13">
      <c r="A2256" s="966"/>
      <c r="B2256" s="966"/>
      <c r="C2256" s="966"/>
      <c r="D2256" s="966"/>
      <c r="E2256" s="966"/>
      <c r="F2256" s="966"/>
      <c r="G2256" s="966"/>
      <c r="H2256" s="995"/>
      <c r="I2256" s="966"/>
      <c r="J2256" s="966"/>
      <c r="K2256" s="966"/>
      <c r="L2256" s="966"/>
      <c r="M2256" s="971"/>
    </row>
    <row r="2257" spans="1:13">
      <c r="A2257" s="966"/>
      <c r="B2257" s="966"/>
      <c r="C2257" s="966"/>
      <c r="D2257" s="966"/>
      <c r="E2257" s="966"/>
      <c r="F2257" s="966"/>
      <c r="G2257" s="966"/>
      <c r="H2257" s="995"/>
      <c r="I2257" s="966"/>
      <c r="J2257" s="966"/>
      <c r="K2257" s="966"/>
      <c r="L2257" s="966"/>
      <c r="M2257" s="971"/>
    </row>
    <row r="2258" spans="1:13">
      <c r="A2258" s="966"/>
      <c r="B2258" s="966"/>
      <c r="C2258" s="966"/>
      <c r="D2258" s="966"/>
      <c r="E2258" s="966"/>
      <c r="F2258" s="966"/>
      <c r="G2258" s="966"/>
      <c r="H2258" s="995"/>
      <c r="I2258" s="966"/>
      <c r="J2258" s="966"/>
      <c r="K2258" s="966"/>
      <c r="L2258" s="966"/>
      <c r="M2258" s="971"/>
    </row>
    <row r="2259" spans="1:13">
      <c r="A2259" s="966"/>
      <c r="B2259" s="966"/>
      <c r="C2259" s="966"/>
      <c r="D2259" s="966"/>
      <c r="E2259" s="966"/>
      <c r="F2259" s="966"/>
      <c r="G2259" s="966"/>
      <c r="H2259" s="995"/>
      <c r="I2259" s="966"/>
      <c r="J2259" s="966"/>
      <c r="K2259" s="966"/>
      <c r="L2259" s="966"/>
      <c r="M2259" s="971"/>
    </row>
    <row r="2260" spans="1:13">
      <c r="A2260" s="966"/>
      <c r="B2260" s="966"/>
      <c r="C2260" s="966"/>
      <c r="D2260" s="966"/>
      <c r="E2260" s="966"/>
      <c r="F2260" s="966"/>
      <c r="G2260" s="966"/>
      <c r="H2260" s="995"/>
      <c r="I2260" s="966"/>
      <c r="J2260" s="966"/>
      <c r="K2260" s="966"/>
      <c r="L2260" s="966"/>
      <c r="M2260" s="971"/>
    </row>
    <row r="2261" spans="1:13">
      <c r="A2261" s="966"/>
      <c r="B2261" s="966"/>
      <c r="C2261" s="966"/>
      <c r="D2261" s="966"/>
      <c r="E2261" s="966"/>
      <c r="F2261" s="966"/>
      <c r="G2261" s="966"/>
      <c r="H2261" s="995"/>
      <c r="I2261" s="966"/>
      <c r="J2261" s="966"/>
      <c r="K2261" s="966"/>
      <c r="L2261" s="966"/>
      <c r="M2261" s="971"/>
    </row>
    <row r="2262" spans="1:13">
      <c r="A2262" s="966"/>
      <c r="B2262" s="966"/>
      <c r="C2262" s="966"/>
      <c r="D2262" s="966"/>
      <c r="E2262" s="966"/>
      <c r="F2262" s="966"/>
      <c r="G2262" s="966"/>
      <c r="H2262" s="995"/>
      <c r="I2262" s="966"/>
      <c r="J2262" s="966"/>
      <c r="K2262" s="966"/>
      <c r="L2262" s="966"/>
      <c r="M2262" s="971"/>
    </row>
    <row r="2263" spans="1:13">
      <c r="A2263" s="966"/>
      <c r="B2263" s="966"/>
      <c r="C2263" s="966"/>
      <c r="D2263" s="966"/>
      <c r="E2263" s="966"/>
      <c r="F2263" s="966"/>
      <c r="G2263" s="966"/>
      <c r="H2263" s="995"/>
      <c r="I2263" s="966"/>
      <c r="J2263" s="966"/>
      <c r="K2263" s="966"/>
      <c r="L2263" s="966"/>
      <c r="M2263" s="971"/>
    </row>
    <row r="2264" spans="1:13">
      <c r="A2264" s="966"/>
      <c r="B2264" s="966"/>
      <c r="C2264" s="966"/>
      <c r="D2264" s="966"/>
      <c r="E2264" s="966"/>
      <c r="F2264" s="966"/>
      <c r="G2264" s="966"/>
      <c r="H2264" s="995"/>
      <c r="I2264" s="966"/>
      <c r="J2264" s="966"/>
      <c r="K2264" s="966"/>
      <c r="L2264" s="966"/>
      <c r="M2264" s="971"/>
    </row>
    <row r="2265" spans="1:13">
      <c r="A2265" s="966"/>
      <c r="B2265" s="966"/>
      <c r="C2265" s="966"/>
      <c r="D2265" s="966"/>
      <c r="E2265" s="966"/>
      <c r="F2265" s="966"/>
      <c r="G2265" s="966"/>
      <c r="H2265" s="995"/>
      <c r="I2265" s="966"/>
      <c r="J2265" s="966"/>
      <c r="K2265" s="966"/>
      <c r="L2265" s="966"/>
      <c r="M2265" s="971"/>
    </row>
    <row r="2266" spans="1:13">
      <c r="A2266" s="966"/>
      <c r="B2266" s="966"/>
      <c r="C2266" s="966"/>
      <c r="D2266" s="966"/>
      <c r="E2266" s="966"/>
      <c r="F2266" s="966"/>
      <c r="G2266" s="966"/>
      <c r="H2266" s="995"/>
      <c r="I2266" s="966"/>
      <c r="J2266" s="966"/>
      <c r="K2266" s="966"/>
      <c r="L2266" s="966"/>
      <c r="M2266" s="971"/>
    </row>
    <row r="2267" spans="1:13">
      <c r="A2267" s="966"/>
      <c r="B2267" s="966"/>
      <c r="C2267" s="966"/>
      <c r="D2267" s="966"/>
      <c r="E2267" s="966"/>
      <c r="F2267" s="966"/>
      <c r="G2267" s="966"/>
      <c r="H2267" s="995"/>
      <c r="I2267" s="966"/>
      <c r="J2267" s="966"/>
      <c r="K2267" s="966"/>
      <c r="L2267" s="966"/>
      <c r="M2267" s="971"/>
    </row>
    <row r="2268" spans="1:13">
      <c r="A2268" s="966"/>
      <c r="B2268" s="966"/>
      <c r="C2268" s="966"/>
      <c r="D2268" s="966"/>
      <c r="E2268" s="966"/>
      <c r="F2268" s="966"/>
      <c r="G2268" s="966"/>
      <c r="H2268" s="995"/>
      <c r="I2268" s="966"/>
      <c r="J2268" s="966"/>
      <c r="K2268" s="966"/>
      <c r="L2268" s="966"/>
      <c r="M2268" s="971"/>
    </row>
    <row r="2269" spans="1:13">
      <c r="A2269" s="966"/>
      <c r="B2269" s="966"/>
      <c r="C2269" s="966"/>
      <c r="D2269" s="966"/>
      <c r="E2269" s="966"/>
      <c r="F2269" s="966"/>
      <c r="G2269" s="966"/>
      <c r="H2269" s="995"/>
      <c r="I2269" s="966"/>
      <c r="J2269" s="966"/>
      <c r="K2269" s="966"/>
      <c r="L2269" s="966"/>
      <c r="M2269" s="971"/>
    </row>
    <row r="2270" spans="1:13">
      <c r="A2270" s="966"/>
      <c r="B2270" s="966"/>
      <c r="C2270" s="966"/>
      <c r="D2270" s="966"/>
      <c r="E2270" s="966"/>
      <c r="F2270" s="966"/>
      <c r="G2270" s="966"/>
      <c r="H2270" s="995"/>
      <c r="I2270" s="966"/>
      <c r="J2270" s="966"/>
      <c r="K2270" s="966"/>
      <c r="L2270" s="966"/>
      <c r="M2270" s="971"/>
    </row>
    <row r="2271" spans="1:13">
      <c r="A2271" s="966"/>
      <c r="B2271" s="966"/>
      <c r="C2271" s="966"/>
      <c r="D2271" s="966"/>
      <c r="E2271" s="966"/>
      <c r="F2271" s="966"/>
      <c r="G2271" s="966"/>
      <c r="H2271" s="995"/>
      <c r="I2271" s="966"/>
      <c r="J2271" s="966"/>
      <c r="K2271" s="966"/>
      <c r="L2271" s="966"/>
      <c r="M2271" s="971"/>
    </row>
    <row r="2272" spans="1:13">
      <c r="A2272" s="966"/>
      <c r="B2272" s="966"/>
      <c r="C2272" s="966"/>
      <c r="D2272" s="966"/>
      <c r="E2272" s="966"/>
      <c r="F2272" s="966"/>
      <c r="G2272" s="966"/>
      <c r="H2272" s="995"/>
      <c r="I2272" s="966"/>
      <c r="J2272" s="966"/>
      <c r="K2272" s="966"/>
      <c r="L2272" s="966"/>
      <c r="M2272" s="971"/>
    </row>
    <row r="2273" spans="1:13">
      <c r="A2273" s="966"/>
      <c r="B2273" s="966"/>
      <c r="C2273" s="966"/>
      <c r="D2273" s="966"/>
      <c r="E2273" s="966"/>
      <c r="F2273" s="966"/>
      <c r="G2273" s="966"/>
      <c r="H2273" s="995"/>
      <c r="I2273" s="966"/>
      <c r="J2273" s="966"/>
      <c r="K2273" s="966"/>
      <c r="L2273" s="966"/>
      <c r="M2273" s="971"/>
    </row>
    <row r="2274" spans="1:13">
      <c r="A2274" s="966"/>
      <c r="B2274" s="966"/>
      <c r="C2274" s="966"/>
      <c r="D2274" s="966"/>
      <c r="E2274" s="966"/>
      <c r="F2274" s="966"/>
      <c r="G2274" s="966"/>
      <c r="H2274" s="995"/>
      <c r="I2274" s="966"/>
      <c r="J2274" s="966"/>
      <c r="K2274" s="966"/>
      <c r="L2274" s="966"/>
      <c r="M2274" s="971"/>
    </row>
    <row r="2275" spans="1:13">
      <c r="A2275" s="966"/>
      <c r="B2275" s="966"/>
      <c r="C2275" s="966"/>
      <c r="D2275" s="966"/>
      <c r="E2275" s="966"/>
      <c r="F2275" s="966"/>
      <c r="G2275" s="966"/>
      <c r="H2275" s="995"/>
      <c r="I2275" s="966"/>
      <c r="J2275" s="966"/>
      <c r="K2275" s="966"/>
      <c r="L2275" s="966"/>
      <c r="M2275" s="971"/>
    </row>
    <row r="2276" spans="1:13">
      <c r="A2276" s="966"/>
      <c r="B2276" s="966"/>
      <c r="C2276" s="966"/>
      <c r="D2276" s="966"/>
      <c r="E2276" s="966"/>
      <c r="F2276" s="966"/>
      <c r="G2276" s="966"/>
      <c r="H2276" s="995"/>
      <c r="I2276" s="966"/>
      <c r="J2276" s="966"/>
      <c r="K2276" s="966"/>
      <c r="L2276" s="966"/>
      <c r="M2276" s="971"/>
    </row>
    <row r="2277" spans="1:13">
      <c r="A2277" s="966"/>
      <c r="B2277" s="966"/>
      <c r="C2277" s="966"/>
      <c r="D2277" s="966"/>
      <c r="E2277" s="966"/>
      <c r="F2277" s="966"/>
      <c r="G2277" s="966"/>
      <c r="H2277" s="995"/>
      <c r="I2277" s="966"/>
      <c r="J2277" s="966"/>
      <c r="K2277" s="966"/>
      <c r="L2277" s="966"/>
      <c r="M2277" s="971"/>
    </row>
    <row r="2278" spans="1:13">
      <c r="A2278" s="966"/>
      <c r="B2278" s="966"/>
      <c r="C2278" s="966"/>
      <c r="D2278" s="966"/>
      <c r="E2278" s="966"/>
      <c r="F2278" s="966"/>
      <c r="G2278" s="966"/>
      <c r="H2278" s="995"/>
      <c r="I2278" s="966"/>
      <c r="J2278" s="966"/>
      <c r="K2278" s="966"/>
      <c r="L2278" s="966"/>
      <c r="M2278" s="971"/>
    </row>
    <row r="2279" spans="1:13">
      <c r="A2279" s="966"/>
      <c r="B2279" s="966"/>
      <c r="C2279" s="966"/>
      <c r="D2279" s="966"/>
      <c r="E2279" s="966"/>
      <c r="F2279" s="966"/>
      <c r="G2279" s="966"/>
      <c r="H2279" s="995"/>
      <c r="I2279" s="966"/>
      <c r="J2279" s="966"/>
      <c r="K2279" s="966"/>
      <c r="L2279" s="966"/>
      <c r="M2279" s="971"/>
    </row>
    <row r="2280" spans="1:13">
      <c r="A2280" s="966"/>
      <c r="B2280" s="966"/>
      <c r="C2280" s="966"/>
      <c r="D2280" s="966"/>
      <c r="E2280" s="966"/>
      <c r="F2280" s="966"/>
      <c r="G2280" s="966"/>
      <c r="H2280" s="995"/>
      <c r="I2280" s="966"/>
      <c r="J2280" s="966"/>
      <c r="K2280" s="966"/>
      <c r="L2280" s="966"/>
      <c r="M2280" s="971"/>
    </row>
    <row r="2281" spans="1:13">
      <c r="A2281" s="966"/>
      <c r="B2281" s="966"/>
      <c r="C2281" s="966"/>
      <c r="D2281" s="966"/>
      <c r="E2281" s="966"/>
      <c r="F2281" s="966"/>
      <c r="G2281" s="966"/>
      <c r="H2281" s="995"/>
      <c r="I2281" s="966"/>
      <c r="J2281" s="966"/>
      <c r="K2281" s="966"/>
      <c r="L2281" s="966"/>
      <c r="M2281" s="971"/>
    </row>
    <row r="2282" spans="1:13">
      <c r="A2282" s="966"/>
      <c r="B2282" s="966"/>
      <c r="C2282" s="966"/>
      <c r="D2282" s="966"/>
      <c r="E2282" s="966"/>
      <c r="F2282" s="966"/>
      <c r="G2282" s="966"/>
      <c r="H2282" s="995"/>
      <c r="I2282" s="966"/>
      <c r="J2282" s="966"/>
      <c r="K2282" s="966"/>
      <c r="L2282" s="966"/>
      <c r="M2282" s="971"/>
    </row>
    <row r="2283" spans="1:13">
      <c r="A2283" s="966"/>
      <c r="B2283" s="966"/>
      <c r="C2283" s="966"/>
      <c r="D2283" s="966"/>
      <c r="E2283" s="966"/>
      <c r="F2283" s="966"/>
      <c r="G2283" s="966"/>
      <c r="H2283" s="995"/>
      <c r="I2283" s="966"/>
      <c r="J2283" s="966"/>
      <c r="K2283" s="966"/>
      <c r="L2283" s="966"/>
      <c r="M2283" s="971"/>
    </row>
    <row r="2284" spans="1:13">
      <c r="A2284" s="966"/>
      <c r="B2284" s="966"/>
      <c r="C2284" s="966"/>
      <c r="D2284" s="966"/>
      <c r="E2284" s="966"/>
      <c r="F2284" s="966"/>
      <c r="G2284" s="966"/>
      <c r="H2284" s="995"/>
      <c r="I2284" s="966"/>
      <c r="J2284" s="966"/>
      <c r="K2284" s="966"/>
      <c r="L2284" s="966"/>
      <c r="M2284" s="971"/>
    </row>
    <row r="2285" spans="1:13">
      <c r="A2285" s="966"/>
      <c r="B2285" s="966"/>
      <c r="C2285" s="966"/>
      <c r="D2285" s="966"/>
      <c r="E2285" s="966"/>
      <c r="F2285" s="966"/>
      <c r="G2285" s="966"/>
      <c r="H2285" s="995"/>
      <c r="I2285" s="966"/>
      <c r="J2285" s="966"/>
      <c r="K2285" s="966"/>
      <c r="L2285" s="966"/>
      <c r="M2285" s="971"/>
    </row>
    <row r="2286" spans="1:13">
      <c r="A2286" s="966"/>
      <c r="B2286" s="966"/>
      <c r="C2286" s="966"/>
      <c r="D2286" s="966"/>
      <c r="E2286" s="966"/>
      <c r="F2286" s="966"/>
      <c r="G2286" s="966"/>
      <c r="H2286" s="995"/>
      <c r="I2286" s="966"/>
      <c r="J2286" s="966"/>
      <c r="K2286" s="966"/>
      <c r="L2286" s="966"/>
      <c r="M2286" s="971"/>
    </row>
    <row r="2287" spans="1:13">
      <c r="A2287" s="966"/>
      <c r="B2287" s="966"/>
      <c r="C2287" s="966"/>
      <c r="D2287" s="966"/>
      <c r="E2287" s="966"/>
      <c r="F2287" s="966"/>
      <c r="G2287" s="966"/>
      <c r="H2287" s="995"/>
      <c r="I2287" s="966"/>
      <c r="J2287" s="966"/>
      <c r="K2287" s="966"/>
      <c r="L2287" s="966"/>
      <c r="M2287" s="971"/>
    </row>
    <row r="2288" spans="1:13">
      <c r="A2288" s="966"/>
      <c r="B2288" s="966"/>
      <c r="C2288" s="966"/>
      <c r="D2288" s="966"/>
      <c r="E2288" s="966"/>
      <c r="F2288" s="966"/>
      <c r="G2288" s="966"/>
      <c r="H2288" s="995"/>
      <c r="I2288" s="966"/>
      <c r="J2288" s="966"/>
      <c r="K2288" s="966"/>
      <c r="L2288" s="966"/>
      <c r="M2288" s="971"/>
    </row>
    <row r="2289" spans="1:13">
      <c r="A2289" s="966"/>
      <c r="B2289" s="966"/>
      <c r="C2289" s="966"/>
      <c r="D2289" s="966"/>
      <c r="E2289" s="966"/>
      <c r="F2289" s="966"/>
      <c r="G2289" s="966"/>
      <c r="H2289" s="995"/>
      <c r="I2289" s="966"/>
      <c r="J2289" s="966"/>
      <c r="K2289" s="966"/>
      <c r="L2289" s="966"/>
      <c r="M2289" s="971"/>
    </row>
    <row r="2290" spans="1:13">
      <c r="A2290" s="966"/>
      <c r="B2290" s="966"/>
      <c r="C2290" s="966"/>
      <c r="D2290" s="966"/>
      <c r="E2290" s="966"/>
      <c r="F2290" s="966"/>
      <c r="G2290" s="966"/>
      <c r="H2290" s="995"/>
      <c r="I2290" s="966"/>
      <c r="J2290" s="966"/>
      <c r="K2290" s="966"/>
      <c r="L2290" s="966"/>
      <c r="M2290" s="971"/>
    </row>
    <row r="2291" spans="1:13">
      <c r="A2291" s="966"/>
      <c r="B2291" s="966"/>
      <c r="C2291" s="966"/>
      <c r="D2291" s="966"/>
      <c r="E2291" s="966"/>
      <c r="F2291" s="966"/>
      <c r="G2291" s="966"/>
      <c r="H2291" s="995"/>
      <c r="I2291" s="966"/>
      <c r="J2291" s="966"/>
      <c r="K2291" s="966"/>
      <c r="L2291" s="966"/>
      <c r="M2291" s="971"/>
    </row>
    <row r="2292" spans="1:13">
      <c r="A2292" s="966"/>
      <c r="B2292" s="966"/>
      <c r="C2292" s="966"/>
      <c r="D2292" s="966"/>
      <c r="E2292" s="966"/>
      <c r="F2292" s="966"/>
      <c r="G2292" s="966"/>
      <c r="H2292" s="995"/>
      <c r="I2292" s="966"/>
      <c r="J2292" s="966"/>
      <c r="K2292" s="966"/>
      <c r="L2292" s="966"/>
      <c r="M2292" s="971"/>
    </row>
    <row r="2293" spans="1:13">
      <c r="A2293" s="966"/>
      <c r="B2293" s="966"/>
      <c r="C2293" s="966"/>
      <c r="D2293" s="966"/>
      <c r="E2293" s="966"/>
      <c r="F2293" s="966"/>
      <c r="G2293" s="966"/>
      <c r="H2293" s="995"/>
      <c r="I2293" s="966"/>
      <c r="J2293" s="966"/>
      <c r="K2293" s="966"/>
      <c r="L2293" s="966"/>
      <c r="M2293" s="971"/>
    </row>
    <row r="2294" spans="1:13">
      <c r="A2294" s="966"/>
      <c r="B2294" s="966"/>
      <c r="C2294" s="966"/>
      <c r="D2294" s="966"/>
      <c r="E2294" s="966"/>
      <c r="F2294" s="966"/>
      <c r="G2294" s="966"/>
      <c r="H2294" s="995"/>
      <c r="I2294" s="966"/>
      <c r="J2294" s="966"/>
      <c r="K2294" s="966"/>
      <c r="L2294" s="966"/>
      <c r="M2294" s="971"/>
    </row>
    <row r="2295" spans="1:13">
      <c r="A2295" s="966"/>
      <c r="B2295" s="966"/>
      <c r="C2295" s="966"/>
      <c r="D2295" s="966"/>
      <c r="E2295" s="966"/>
      <c r="F2295" s="966"/>
      <c r="G2295" s="966"/>
      <c r="H2295" s="995"/>
      <c r="I2295" s="966"/>
      <c r="J2295" s="966"/>
      <c r="K2295" s="966"/>
      <c r="L2295" s="966"/>
      <c r="M2295" s="971"/>
    </row>
    <row r="2296" spans="1:13">
      <c r="A2296" s="966"/>
      <c r="B2296" s="966"/>
      <c r="C2296" s="966"/>
      <c r="D2296" s="966"/>
      <c r="E2296" s="966"/>
      <c r="F2296" s="966"/>
      <c r="G2296" s="966"/>
      <c r="H2296" s="995"/>
      <c r="I2296" s="966"/>
      <c r="J2296" s="966"/>
      <c r="K2296" s="966"/>
      <c r="L2296" s="966"/>
      <c r="M2296" s="971"/>
    </row>
    <row r="2297" spans="1:13">
      <c r="A2297" s="966"/>
      <c r="B2297" s="966"/>
      <c r="C2297" s="966"/>
      <c r="D2297" s="966"/>
      <c r="E2297" s="966"/>
      <c r="F2297" s="966"/>
      <c r="G2297" s="966"/>
      <c r="H2297" s="995"/>
      <c r="I2297" s="966"/>
      <c r="J2297" s="966"/>
      <c r="K2297" s="966"/>
      <c r="L2297" s="966"/>
      <c r="M2297" s="971"/>
    </row>
    <row r="2298" spans="1:13">
      <c r="A2298" s="966"/>
      <c r="B2298" s="966"/>
      <c r="C2298" s="966"/>
      <c r="D2298" s="966"/>
      <c r="E2298" s="966"/>
      <c r="F2298" s="966"/>
      <c r="G2298" s="966"/>
      <c r="H2298" s="995"/>
      <c r="I2298" s="966"/>
      <c r="J2298" s="966"/>
      <c r="K2298" s="966"/>
      <c r="L2298" s="966"/>
      <c r="M2298" s="971"/>
    </row>
    <row r="2299" spans="1:13">
      <c r="A2299" s="966"/>
      <c r="B2299" s="966"/>
      <c r="C2299" s="966"/>
      <c r="D2299" s="966"/>
      <c r="E2299" s="966"/>
      <c r="F2299" s="966"/>
      <c r="G2299" s="966"/>
      <c r="H2299" s="995"/>
      <c r="I2299" s="966"/>
      <c r="J2299" s="966"/>
      <c r="K2299" s="966"/>
      <c r="L2299" s="966"/>
      <c r="M2299" s="971"/>
    </row>
    <row r="2300" spans="1:13">
      <c r="A2300" s="966"/>
      <c r="B2300" s="966"/>
      <c r="C2300" s="966"/>
      <c r="D2300" s="966"/>
      <c r="E2300" s="966"/>
      <c r="F2300" s="966"/>
      <c r="G2300" s="966"/>
      <c r="H2300" s="995"/>
      <c r="I2300" s="966"/>
      <c r="J2300" s="966"/>
      <c r="K2300" s="966"/>
      <c r="L2300" s="966"/>
      <c r="M2300" s="971"/>
    </row>
    <row r="2301" spans="1:13">
      <c r="A2301" s="966"/>
      <c r="B2301" s="966"/>
      <c r="C2301" s="966"/>
      <c r="D2301" s="966"/>
      <c r="E2301" s="966"/>
      <c r="F2301" s="966"/>
      <c r="G2301" s="966"/>
      <c r="H2301" s="995"/>
      <c r="I2301" s="966"/>
      <c r="J2301" s="966"/>
      <c r="K2301" s="966"/>
      <c r="L2301" s="966"/>
      <c r="M2301" s="971"/>
    </row>
    <row r="2302" spans="1:13">
      <c r="A2302" s="966"/>
      <c r="B2302" s="966"/>
      <c r="C2302" s="966"/>
      <c r="D2302" s="966"/>
      <c r="E2302" s="966"/>
      <c r="F2302" s="966"/>
      <c r="G2302" s="966"/>
      <c r="H2302" s="995"/>
      <c r="I2302" s="966"/>
      <c r="J2302" s="966"/>
      <c r="K2302" s="966"/>
      <c r="L2302" s="966"/>
      <c r="M2302" s="971"/>
    </row>
    <row r="2303" spans="1:13">
      <c r="A2303" s="966"/>
      <c r="B2303" s="966"/>
      <c r="C2303" s="966"/>
      <c r="D2303" s="966"/>
      <c r="E2303" s="966"/>
      <c r="F2303" s="966"/>
      <c r="G2303" s="966"/>
      <c r="H2303" s="995"/>
      <c r="I2303" s="966"/>
      <c r="J2303" s="966"/>
      <c r="K2303" s="966"/>
      <c r="L2303" s="966"/>
      <c r="M2303" s="971"/>
    </row>
    <row r="2304" spans="1:13">
      <c r="A2304" s="966"/>
      <c r="B2304" s="966"/>
      <c r="C2304" s="966"/>
      <c r="D2304" s="966"/>
      <c r="E2304" s="966"/>
      <c r="F2304" s="966"/>
      <c r="G2304" s="966"/>
      <c r="H2304" s="995"/>
      <c r="I2304" s="966"/>
      <c r="J2304" s="966"/>
      <c r="K2304" s="966"/>
      <c r="L2304" s="966"/>
      <c r="M2304" s="971"/>
    </row>
    <row r="2305" spans="1:13">
      <c r="A2305" s="966"/>
      <c r="B2305" s="966"/>
      <c r="C2305" s="966"/>
      <c r="D2305" s="966"/>
      <c r="E2305" s="966"/>
      <c r="F2305" s="966"/>
      <c r="G2305" s="966"/>
      <c r="H2305" s="995"/>
      <c r="I2305" s="966"/>
      <c r="J2305" s="966"/>
      <c r="K2305" s="966"/>
      <c r="L2305" s="966"/>
      <c r="M2305" s="971"/>
    </row>
    <row r="2306" spans="1:13">
      <c r="A2306" s="966"/>
      <c r="B2306" s="966"/>
      <c r="C2306" s="966"/>
      <c r="D2306" s="966"/>
      <c r="E2306" s="966"/>
      <c r="F2306" s="966"/>
      <c r="G2306" s="966"/>
      <c r="H2306" s="995"/>
      <c r="I2306" s="966"/>
      <c r="J2306" s="966"/>
      <c r="K2306" s="966"/>
      <c r="L2306" s="966"/>
      <c r="M2306" s="971"/>
    </row>
    <row r="2307" spans="1:13">
      <c r="A2307" s="966"/>
      <c r="B2307" s="966"/>
      <c r="C2307" s="966"/>
      <c r="D2307" s="966"/>
      <c r="E2307" s="966"/>
      <c r="F2307" s="966"/>
      <c r="G2307" s="966"/>
      <c r="H2307" s="995"/>
      <c r="I2307" s="966"/>
      <c r="J2307" s="966"/>
      <c r="K2307" s="966"/>
      <c r="L2307" s="966"/>
      <c r="M2307" s="971"/>
    </row>
    <row r="2308" spans="1:13">
      <c r="A2308" s="966"/>
      <c r="B2308" s="966"/>
      <c r="C2308" s="966"/>
      <c r="D2308" s="966"/>
      <c r="E2308" s="966"/>
      <c r="F2308" s="966"/>
      <c r="G2308" s="966"/>
      <c r="H2308" s="995"/>
      <c r="I2308" s="966"/>
      <c r="J2308" s="966"/>
      <c r="K2308" s="966"/>
      <c r="L2308" s="966"/>
      <c r="M2308" s="971"/>
    </row>
    <row r="2309" spans="1:13">
      <c r="A2309" s="966"/>
      <c r="B2309" s="966"/>
      <c r="C2309" s="966"/>
      <c r="D2309" s="966"/>
      <c r="E2309" s="966"/>
      <c r="F2309" s="966"/>
      <c r="G2309" s="966"/>
      <c r="H2309" s="995"/>
      <c r="I2309" s="966"/>
      <c r="J2309" s="966"/>
      <c r="K2309" s="966"/>
      <c r="L2309" s="966"/>
      <c r="M2309" s="971"/>
    </row>
    <row r="2310" spans="1:13">
      <c r="A2310" s="966"/>
      <c r="B2310" s="966"/>
      <c r="C2310" s="966"/>
      <c r="D2310" s="966"/>
      <c r="E2310" s="966"/>
      <c r="F2310" s="966"/>
      <c r="G2310" s="966"/>
      <c r="H2310" s="995"/>
      <c r="I2310" s="966"/>
      <c r="J2310" s="966"/>
      <c r="K2310" s="966"/>
      <c r="L2310" s="966"/>
      <c r="M2310" s="971"/>
    </row>
    <row r="2311" spans="1:13">
      <c r="A2311" s="966"/>
      <c r="B2311" s="966"/>
      <c r="C2311" s="966"/>
      <c r="D2311" s="966"/>
      <c r="E2311" s="966"/>
      <c r="F2311" s="966"/>
      <c r="G2311" s="966"/>
      <c r="H2311" s="995"/>
      <c r="I2311" s="966"/>
      <c r="J2311" s="966"/>
      <c r="K2311" s="966"/>
      <c r="L2311" s="966"/>
      <c r="M2311" s="971"/>
    </row>
    <row r="2312" spans="1:13">
      <c r="A2312" s="966"/>
      <c r="B2312" s="966"/>
      <c r="C2312" s="966"/>
      <c r="D2312" s="966"/>
      <c r="E2312" s="966"/>
      <c r="F2312" s="966"/>
      <c r="G2312" s="966"/>
      <c r="H2312" s="995"/>
      <c r="I2312" s="966"/>
      <c r="J2312" s="966"/>
      <c r="K2312" s="966"/>
      <c r="L2312" s="966"/>
      <c r="M2312" s="971"/>
    </row>
    <row r="2313" spans="1:13">
      <c r="A2313" s="966"/>
      <c r="B2313" s="966"/>
      <c r="C2313" s="966"/>
      <c r="D2313" s="966"/>
      <c r="E2313" s="966"/>
      <c r="F2313" s="966"/>
      <c r="G2313" s="966"/>
      <c r="H2313" s="995"/>
      <c r="I2313" s="966"/>
      <c r="J2313" s="966"/>
      <c r="K2313" s="966"/>
      <c r="L2313" s="966"/>
      <c r="M2313" s="971"/>
    </row>
    <row r="2314" spans="1:13">
      <c r="A2314" s="966"/>
      <c r="B2314" s="966"/>
      <c r="C2314" s="966"/>
      <c r="D2314" s="966"/>
      <c r="E2314" s="966"/>
      <c r="F2314" s="966"/>
      <c r="G2314" s="966"/>
      <c r="H2314" s="995"/>
      <c r="I2314" s="966"/>
      <c r="J2314" s="966"/>
      <c r="K2314" s="966"/>
      <c r="L2314" s="966"/>
      <c r="M2314" s="971"/>
    </row>
    <row r="2315" spans="1:13">
      <c r="A2315" s="966"/>
      <c r="B2315" s="966"/>
      <c r="C2315" s="966"/>
      <c r="D2315" s="966"/>
      <c r="E2315" s="966"/>
      <c r="F2315" s="966"/>
      <c r="G2315" s="966"/>
      <c r="H2315" s="995"/>
      <c r="I2315" s="966"/>
      <c r="J2315" s="966"/>
      <c r="K2315" s="966"/>
      <c r="L2315" s="966"/>
      <c r="M2315" s="971"/>
    </row>
    <row r="2316" spans="1:13">
      <c r="A2316" s="966"/>
      <c r="B2316" s="966"/>
      <c r="C2316" s="966"/>
      <c r="D2316" s="966"/>
      <c r="E2316" s="966"/>
      <c r="F2316" s="966"/>
      <c r="G2316" s="966"/>
      <c r="H2316" s="995"/>
      <c r="I2316" s="966"/>
      <c r="J2316" s="966"/>
      <c r="K2316" s="966"/>
      <c r="L2316" s="966"/>
      <c r="M2316" s="971"/>
    </row>
    <row r="2317" spans="1:13">
      <c r="A2317" s="966"/>
      <c r="B2317" s="966"/>
      <c r="C2317" s="966"/>
      <c r="D2317" s="966"/>
      <c r="E2317" s="966"/>
      <c r="F2317" s="966"/>
      <c r="G2317" s="966"/>
      <c r="H2317" s="995"/>
      <c r="I2317" s="966"/>
      <c r="J2317" s="966"/>
      <c r="K2317" s="966"/>
      <c r="L2317" s="966"/>
      <c r="M2317" s="971"/>
    </row>
    <row r="2318" spans="1:13">
      <c r="A2318" s="966"/>
      <c r="B2318" s="966"/>
      <c r="C2318" s="966"/>
      <c r="D2318" s="966"/>
      <c r="E2318" s="966"/>
      <c r="F2318" s="966"/>
      <c r="G2318" s="966"/>
      <c r="H2318" s="995"/>
      <c r="I2318" s="966"/>
      <c r="J2318" s="966"/>
      <c r="K2318" s="966"/>
      <c r="L2318" s="966"/>
      <c r="M2318" s="971"/>
    </row>
    <row r="2319" spans="1:13">
      <c r="A2319" s="966"/>
      <c r="B2319" s="966"/>
      <c r="C2319" s="966"/>
      <c r="D2319" s="966"/>
      <c r="E2319" s="966"/>
      <c r="F2319" s="966"/>
      <c r="G2319" s="966"/>
      <c r="H2319" s="995"/>
      <c r="I2319" s="966"/>
      <c r="J2319" s="966"/>
      <c r="K2319" s="966"/>
      <c r="L2319" s="966"/>
      <c r="M2319" s="971"/>
    </row>
    <row r="2320" spans="1:13">
      <c r="A2320" s="966"/>
      <c r="B2320" s="966"/>
      <c r="C2320" s="966"/>
      <c r="D2320" s="966"/>
      <c r="E2320" s="966"/>
      <c r="F2320" s="966"/>
      <c r="G2320" s="966"/>
      <c r="H2320" s="995"/>
      <c r="I2320" s="966"/>
      <c r="J2320" s="966"/>
      <c r="K2320" s="966"/>
      <c r="L2320" s="966"/>
      <c r="M2320" s="971"/>
    </row>
    <row r="2321" spans="1:13">
      <c r="A2321" s="966"/>
      <c r="B2321" s="966"/>
      <c r="C2321" s="966"/>
      <c r="D2321" s="966"/>
      <c r="E2321" s="966"/>
      <c r="F2321" s="966"/>
      <c r="G2321" s="966"/>
      <c r="H2321" s="995"/>
      <c r="I2321" s="966"/>
      <c r="J2321" s="966"/>
      <c r="K2321" s="966"/>
      <c r="L2321" s="966"/>
      <c r="M2321" s="971"/>
    </row>
    <row r="2322" spans="1:13">
      <c r="A2322" s="966"/>
      <c r="B2322" s="966"/>
      <c r="C2322" s="966"/>
      <c r="D2322" s="966"/>
      <c r="E2322" s="966"/>
      <c r="F2322" s="966"/>
      <c r="G2322" s="966"/>
      <c r="H2322" s="995"/>
      <c r="I2322" s="966"/>
      <c r="J2322" s="966"/>
      <c r="K2322" s="966"/>
      <c r="L2322" s="966"/>
      <c r="M2322" s="971"/>
    </row>
    <row r="2323" spans="1:13">
      <c r="A2323" s="966"/>
      <c r="B2323" s="966"/>
      <c r="C2323" s="966"/>
      <c r="D2323" s="966"/>
      <c r="E2323" s="966"/>
      <c r="F2323" s="966"/>
      <c r="G2323" s="966"/>
      <c r="H2323" s="995"/>
      <c r="I2323" s="966"/>
      <c r="J2323" s="966"/>
      <c r="K2323" s="966"/>
      <c r="L2323" s="966"/>
      <c r="M2323" s="971"/>
    </row>
    <row r="2324" spans="1:13">
      <c r="A2324" s="966"/>
      <c r="B2324" s="966"/>
      <c r="C2324" s="966"/>
      <c r="D2324" s="966"/>
      <c r="E2324" s="966"/>
      <c r="F2324" s="966"/>
      <c r="G2324" s="966"/>
      <c r="H2324" s="995"/>
      <c r="I2324" s="966"/>
      <c r="J2324" s="966"/>
      <c r="K2324" s="966"/>
      <c r="L2324" s="966"/>
      <c r="M2324" s="971"/>
    </row>
    <row r="2325" spans="1:13">
      <c r="A2325" s="966"/>
      <c r="B2325" s="966"/>
      <c r="C2325" s="966"/>
      <c r="D2325" s="966"/>
      <c r="E2325" s="966"/>
      <c r="F2325" s="966"/>
      <c r="G2325" s="966"/>
      <c r="H2325" s="995"/>
      <c r="I2325" s="966"/>
      <c r="J2325" s="966"/>
      <c r="K2325" s="966"/>
      <c r="L2325" s="966"/>
      <c r="M2325" s="971"/>
    </row>
    <row r="2326" spans="1:13">
      <c r="A2326" s="966"/>
      <c r="B2326" s="966"/>
      <c r="C2326" s="966"/>
      <c r="D2326" s="966"/>
      <c r="E2326" s="966"/>
      <c r="F2326" s="966"/>
      <c r="G2326" s="966"/>
      <c r="H2326" s="995"/>
      <c r="I2326" s="966"/>
      <c r="J2326" s="966"/>
      <c r="K2326" s="966"/>
      <c r="L2326" s="966"/>
      <c r="M2326" s="971"/>
    </row>
    <row r="2327" spans="1:13">
      <c r="A2327" s="966"/>
      <c r="B2327" s="966"/>
      <c r="C2327" s="966"/>
      <c r="D2327" s="966"/>
      <c r="E2327" s="966"/>
      <c r="F2327" s="966"/>
      <c r="G2327" s="966"/>
      <c r="H2327" s="995"/>
      <c r="I2327" s="966"/>
      <c r="J2327" s="966"/>
      <c r="K2327" s="966"/>
      <c r="L2327" s="966"/>
      <c r="M2327" s="971"/>
    </row>
    <row r="2328" spans="1:13">
      <c r="A2328" s="966"/>
      <c r="B2328" s="966"/>
      <c r="C2328" s="966"/>
      <c r="D2328" s="966"/>
      <c r="E2328" s="966"/>
      <c r="F2328" s="966"/>
      <c r="G2328" s="966"/>
      <c r="H2328" s="995"/>
      <c r="I2328" s="966"/>
      <c r="J2328" s="966"/>
      <c r="K2328" s="966"/>
      <c r="L2328" s="966"/>
      <c r="M2328" s="971"/>
    </row>
    <row r="2329" spans="1:13">
      <c r="A2329" s="966"/>
      <c r="B2329" s="966"/>
      <c r="C2329" s="966"/>
      <c r="D2329" s="966"/>
      <c r="E2329" s="966"/>
      <c r="F2329" s="966"/>
      <c r="G2329" s="966"/>
      <c r="H2329" s="995"/>
      <c r="I2329" s="966"/>
      <c r="J2329" s="966"/>
      <c r="K2329" s="966"/>
      <c r="L2329" s="966"/>
      <c r="M2329" s="971"/>
    </row>
    <row r="2330" spans="1:13">
      <c r="A2330" s="966"/>
      <c r="B2330" s="966"/>
      <c r="C2330" s="966"/>
      <c r="D2330" s="966"/>
      <c r="E2330" s="966"/>
      <c r="F2330" s="966"/>
      <c r="G2330" s="966"/>
      <c r="H2330" s="995"/>
      <c r="I2330" s="966"/>
      <c r="J2330" s="966"/>
      <c r="K2330" s="966"/>
      <c r="L2330" s="966"/>
      <c r="M2330" s="971"/>
    </row>
    <row r="2331" spans="1:13">
      <c r="A2331" s="966"/>
      <c r="B2331" s="966"/>
      <c r="C2331" s="966"/>
      <c r="D2331" s="966"/>
      <c r="E2331" s="966"/>
      <c r="F2331" s="966"/>
      <c r="G2331" s="966"/>
      <c r="H2331" s="995"/>
      <c r="I2331" s="966"/>
      <c r="J2331" s="966"/>
      <c r="K2331" s="966"/>
      <c r="L2331" s="966"/>
      <c r="M2331" s="971"/>
    </row>
    <row r="2332" spans="1:13">
      <c r="A2332" s="966"/>
      <c r="B2332" s="966"/>
      <c r="C2332" s="966"/>
      <c r="D2332" s="966"/>
      <c r="E2332" s="966"/>
      <c r="F2332" s="966"/>
      <c r="G2332" s="966"/>
      <c r="H2332" s="995"/>
      <c r="I2332" s="966"/>
      <c r="J2332" s="966"/>
      <c r="K2332" s="966"/>
      <c r="L2332" s="966"/>
      <c r="M2332" s="971"/>
    </row>
    <row r="2333" spans="1:13">
      <c r="A2333" s="966"/>
      <c r="B2333" s="966"/>
      <c r="C2333" s="966"/>
      <c r="D2333" s="966"/>
      <c r="E2333" s="966"/>
      <c r="F2333" s="966"/>
      <c r="G2333" s="966"/>
      <c r="H2333" s="995"/>
      <c r="I2333" s="966"/>
      <c r="J2333" s="966"/>
      <c r="K2333" s="966"/>
      <c r="L2333" s="966"/>
      <c r="M2333" s="971"/>
    </row>
    <row r="2334" spans="1:13">
      <c r="A2334" s="966"/>
      <c r="B2334" s="966"/>
      <c r="C2334" s="966"/>
      <c r="D2334" s="966"/>
      <c r="E2334" s="966"/>
      <c r="F2334" s="966"/>
      <c r="G2334" s="966"/>
      <c r="H2334" s="995"/>
      <c r="I2334" s="966"/>
      <c r="J2334" s="966"/>
      <c r="K2334" s="966"/>
      <c r="L2334" s="966"/>
      <c r="M2334" s="971"/>
    </row>
    <row r="2335" spans="1:13">
      <c r="A2335" s="966"/>
      <c r="B2335" s="966"/>
      <c r="C2335" s="966"/>
      <c r="D2335" s="966"/>
      <c r="E2335" s="966"/>
      <c r="F2335" s="966"/>
      <c r="G2335" s="966"/>
      <c r="H2335" s="995"/>
      <c r="I2335" s="966"/>
      <c r="J2335" s="966"/>
      <c r="K2335" s="966"/>
      <c r="L2335" s="966"/>
      <c r="M2335" s="971"/>
    </row>
    <row r="2336" spans="1:13">
      <c r="A2336" s="966"/>
      <c r="B2336" s="966"/>
      <c r="C2336" s="966"/>
      <c r="D2336" s="966"/>
      <c r="E2336" s="966"/>
      <c r="F2336" s="966"/>
      <c r="G2336" s="966"/>
      <c r="H2336" s="995"/>
      <c r="I2336" s="966"/>
      <c r="J2336" s="966"/>
      <c r="K2336" s="966"/>
      <c r="L2336" s="966"/>
      <c r="M2336" s="971"/>
    </row>
    <row r="2337" spans="1:13">
      <c r="A2337" s="966"/>
      <c r="B2337" s="966"/>
      <c r="C2337" s="966"/>
      <c r="D2337" s="966"/>
      <c r="E2337" s="966"/>
      <c r="F2337" s="966"/>
      <c r="G2337" s="966"/>
      <c r="H2337" s="995"/>
      <c r="I2337" s="966"/>
      <c r="J2337" s="966"/>
      <c r="K2337" s="966"/>
      <c r="L2337" s="966"/>
      <c r="M2337" s="971"/>
    </row>
    <row r="2338" spans="1:13">
      <c r="A2338" s="966"/>
      <c r="B2338" s="966"/>
      <c r="C2338" s="966"/>
      <c r="D2338" s="966"/>
      <c r="E2338" s="966"/>
      <c r="F2338" s="966"/>
      <c r="G2338" s="966"/>
      <c r="H2338" s="995"/>
      <c r="I2338" s="966"/>
      <c r="J2338" s="966"/>
      <c r="K2338" s="966"/>
      <c r="L2338" s="966"/>
      <c r="M2338" s="971"/>
    </row>
    <row r="2339" spans="1:13">
      <c r="A2339" s="966"/>
      <c r="B2339" s="966"/>
      <c r="C2339" s="966"/>
      <c r="D2339" s="966"/>
      <c r="E2339" s="966"/>
      <c r="F2339" s="966"/>
      <c r="G2339" s="966"/>
      <c r="H2339" s="995"/>
      <c r="I2339" s="966"/>
      <c r="J2339" s="966"/>
      <c r="K2339" s="966"/>
      <c r="L2339" s="966"/>
      <c r="M2339" s="971"/>
    </row>
    <row r="2340" spans="1:13">
      <c r="A2340" s="966"/>
      <c r="B2340" s="966"/>
      <c r="C2340" s="966"/>
      <c r="D2340" s="966"/>
      <c r="E2340" s="966"/>
      <c r="F2340" s="966"/>
      <c r="G2340" s="966"/>
      <c r="H2340" s="995"/>
      <c r="I2340" s="966"/>
      <c r="J2340" s="966"/>
      <c r="K2340" s="966"/>
      <c r="L2340" s="966"/>
      <c r="M2340" s="971"/>
    </row>
    <row r="2341" spans="1:13">
      <c r="A2341" s="966"/>
      <c r="B2341" s="966"/>
      <c r="C2341" s="966"/>
      <c r="D2341" s="966"/>
      <c r="E2341" s="966"/>
      <c r="F2341" s="966"/>
      <c r="G2341" s="966"/>
      <c r="H2341" s="995"/>
      <c r="I2341" s="966"/>
      <c r="J2341" s="966"/>
      <c r="K2341" s="966"/>
      <c r="L2341" s="966"/>
      <c r="M2341" s="971"/>
    </row>
    <row r="2342" spans="1:13">
      <c r="A2342" s="966"/>
      <c r="B2342" s="966"/>
      <c r="C2342" s="966"/>
      <c r="D2342" s="966"/>
      <c r="E2342" s="966"/>
      <c r="F2342" s="966"/>
      <c r="G2342" s="966"/>
      <c r="H2342" s="995"/>
      <c r="I2342" s="966"/>
      <c r="J2342" s="966"/>
      <c r="K2342" s="966"/>
      <c r="L2342" s="966"/>
      <c r="M2342" s="971"/>
    </row>
    <row r="2343" spans="1:13">
      <c r="A2343" s="966"/>
      <c r="B2343" s="966"/>
      <c r="C2343" s="966"/>
      <c r="D2343" s="966"/>
      <c r="E2343" s="966"/>
      <c r="F2343" s="966"/>
      <c r="G2343" s="966"/>
      <c r="H2343" s="995"/>
      <c r="I2343" s="966"/>
      <c r="J2343" s="966"/>
      <c r="K2343" s="966"/>
      <c r="L2343" s="966"/>
      <c r="M2343" s="971"/>
    </row>
    <row r="2344" spans="1:13">
      <c r="A2344" s="966"/>
      <c r="B2344" s="966"/>
      <c r="C2344" s="966"/>
      <c r="D2344" s="966"/>
      <c r="E2344" s="966"/>
      <c r="F2344" s="966"/>
      <c r="G2344" s="966"/>
      <c r="H2344" s="995"/>
      <c r="I2344" s="966"/>
      <c r="J2344" s="966"/>
      <c r="K2344" s="966"/>
      <c r="L2344" s="966"/>
      <c r="M2344" s="971"/>
    </row>
    <row r="2345" spans="1:13">
      <c r="A2345" s="966"/>
      <c r="B2345" s="966"/>
      <c r="C2345" s="966"/>
      <c r="D2345" s="966"/>
      <c r="E2345" s="966"/>
      <c r="F2345" s="966"/>
      <c r="G2345" s="966"/>
      <c r="H2345" s="995"/>
      <c r="I2345" s="966"/>
      <c r="J2345" s="966"/>
      <c r="K2345" s="966"/>
      <c r="L2345" s="966"/>
      <c r="M2345" s="971"/>
    </row>
    <row r="2346" spans="1:13">
      <c r="A2346" s="966"/>
      <c r="B2346" s="966"/>
      <c r="C2346" s="966"/>
      <c r="D2346" s="966"/>
      <c r="E2346" s="966"/>
      <c r="F2346" s="966"/>
      <c r="G2346" s="966"/>
      <c r="H2346" s="995"/>
      <c r="I2346" s="966"/>
      <c r="J2346" s="966"/>
      <c r="K2346" s="966"/>
      <c r="L2346" s="966"/>
      <c r="M2346" s="971"/>
    </row>
    <row r="2347" spans="1:13">
      <c r="A2347" s="966"/>
      <c r="B2347" s="966"/>
      <c r="C2347" s="966"/>
      <c r="D2347" s="966"/>
      <c r="E2347" s="966"/>
      <c r="F2347" s="966"/>
      <c r="G2347" s="966"/>
      <c r="H2347" s="995"/>
      <c r="I2347" s="966"/>
      <c r="J2347" s="966"/>
      <c r="K2347" s="966"/>
      <c r="L2347" s="966"/>
      <c r="M2347" s="971"/>
    </row>
    <row r="2348" spans="1:13">
      <c r="A2348" s="966"/>
      <c r="B2348" s="966"/>
      <c r="C2348" s="966"/>
      <c r="D2348" s="966"/>
      <c r="E2348" s="966"/>
      <c r="F2348" s="966"/>
      <c r="G2348" s="966"/>
      <c r="H2348" s="995"/>
      <c r="I2348" s="966"/>
      <c r="J2348" s="966"/>
      <c r="K2348" s="966"/>
      <c r="L2348" s="966"/>
      <c r="M2348" s="971"/>
    </row>
    <row r="2349" spans="1:13">
      <c r="A2349" s="966"/>
      <c r="B2349" s="966"/>
      <c r="C2349" s="966"/>
      <c r="D2349" s="966"/>
      <c r="E2349" s="966"/>
      <c r="F2349" s="966"/>
      <c r="G2349" s="966"/>
      <c r="H2349" s="995"/>
      <c r="I2349" s="966"/>
      <c r="J2349" s="966"/>
      <c r="K2349" s="966"/>
      <c r="L2349" s="966"/>
      <c r="M2349" s="971"/>
    </row>
    <row r="2350" spans="1:13">
      <c r="A2350" s="966"/>
      <c r="B2350" s="966"/>
      <c r="C2350" s="966"/>
      <c r="D2350" s="966"/>
      <c r="E2350" s="966"/>
      <c r="F2350" s="966"/>
      <c r="G2350" s="966"/>
      <c r="H2350" s="995"/>
      <c r="I2350" s="966"/>
      <c r="J2350" s="966"/>
      <c r="K2350" s="966"/>
      <c r="L2350" s="966"/>
      <c r="M2350" s="971"/>
    </row>
    <row r="2351" spans="1:13">
      <c r="A2351" s="966"/>
      <c r="B2351" s="966"/>
      <c r="C2351" s="966"/>
      <c r="D2351" s="966"/>
      <c r="E2351" s="966"/>
      <c r="F2351" s="966"/>
      <c r="G2351" s="966"/>
      <c r="H2351" s="995"/>
      <c r="I2351" s="966"/>
      <c r="J2351" s="966"/>
      <c r="K2351" s="966"/>
      <c r="L2351" s="966"/>
      <c r="M2351" s="971"/>
    </row>
    <row r="2352" spans="1:13">
      <c r="A2352" s="966"/>
      <c r="B2352" s="966"/>
      <c r="C2352" s="966"/>
      <c r="D2352" s="966"/>
      <c r="E2352" s="966"/>
      <c r="F2352" s="966"/>
      <c r="G2352" s="966"/>
      <c r="H2352" s="995"/>
      <c r="I2352" s="966"/>
      <c r="J2352" s="966"/>
      <c r="K2352" s="966"/>
      <c r="L2352" s="966"/>
      <c r="M2352" s="971"/>
    </row>
    <row r="2353" spans="1:13">
      <c r="A2353" s="966"/>
      <c r="B2353" s="966"/>
      <c r="C2353" s="966"/>
      <c r="D2353" s="966"/>
      <c r="E2353" s="966"/>
      <c r="F2353" s="966"/>
      <c r="G2353" s="966"/>
      <c r="H2353" s="995"/>
      <c r="I2353" s="966"/>
      <c r="J2353" s="966"/>
      <c r="K2353" s="966"/>
      <c r="L2353" s="966"/>
      <c r="M2353" s="971"/>
    </row>
    <row r="2354" spans="1:13">
      <c r="A2354" s="966"/>
      <c r="B2354" s="966"/>
      <c r="C2354" s="966"/>
      <c r="D2354" s="966"/>
      <c r="E2354" s="966"/>
      <c r="F2354" s="966"/>
      <c r="G2354" s="966"/>
      <c r="H2354" s="995"/>
      <c r="I2354" s="966"/>
      <c r="J2354" s="966"/>
      <c r="K2354" s="966"/>
      <c r="L2354" s="966"/>
      <c r="M2354" s="971"/>
    </row>
    <row r="2355" spans="1:13">
      <c r="A2355" s="966"/>
      <c r="B2355" s="966"/>
      <c r="C2355" s="966"/>
      <c r="D2355" s="966"/>
      <c r="E2355" s="966"/>
      <c r="F2355" s="966"/>
      <c r="G2355" s="966"/>
      <c r="H2355" s="995"/>
      <c r="I2355" s="966"/>
      <c r="J2355" s="966"/>
      <c r="K2355" s="966"/>
      <c r="L2355" s="966"/>
      <c r="M2355" s="971"/>
    </row>
    <row r="2356" spans="1:13">
      <c r="A2356" s="966"/>
      <c r="B2356" s="966"/>
      <c r="C2356" s="966"/>
      <c r="D2356" s="966"/>
      <c r="E2356" s="966"/>
      <c r="F2356" s="966"/>
      <c r="G2356" s="966"/>
      <c r="H2356" s="995"/>
      <c r="I2356" s="966"/>
      <c r="J2356" s="966"/>
      <c r="K2356" s="966"/>
      <c r="L2356" s="966"/>
      <c r="M2356" s="971"/>
    </row>
    <row r="2357" spans="1:13">
      <c r="A2357" s="966"/>
      <c r="B2357" s="966"/>
      <c r="C2357" s="966"/>
      <c r="D2357" s="966"/>
      <c r="E2357" s="966"/>
      <c r="F2357" s="966"/>
      <c r="G2357" s="966"/>
      <c r="H2357" s="995"/>
      <c r="I2357" s="966"/>
      <c r="J2357" s="966"/>
      <c r="K2357" s="966"/>
      <c r="L2357" s="966"/>
      <c r="M2357" s="971"/>
    </row>
    <row r="2358" spans="1:13">
      <c r="A2358" s="966"/>
      <c r="B2358" s="966"/>
      <c r="C2358" s="966"/>
      <c r="D2358" s="966"/>
      <c r="E2358" s="966"/>
      <c r="F2358" s="966"/>
      <c r="G2358" s="966"/>
      <c r="H2358" s="995"/>
      <c r="I2358" s="966"/>
      <c r="J2358" s="966"/>
      <c r="K2358" s="966"/>
      <c r="L2358" s="966"/>
      <c r="M2358" s="971"/>
    </row>
    <row r="2359" spans="1:13">
      <c r="A2359" s="966"/>
      <c r="B2359" s="966"/>
      <c r="C2359" s="966"/>
      <c r="D2359" s="966"/>
      <c r="E2359" s="966"/>
      <c r="F2359" s="966"/>
      <c r="G2359" s="966"/>
      <c r="H2359" s="995"/>
      <c r="I2359" s="966"/>
      <c r="J2359" s="966"/>
      <c r="K2359" s="966"/>
      <c r="L2359" s="966"/>
      <c r="M2359" s="971"/>
    </row>
    <row r="2360" spans="1:13">
      <c r="A2360" s="966"/>
      <c r="B2360" s="966"/>
      <c r="C2360" s="966"/>
      <c r="D2360" s="966"/>
      <c r="E2360" s="966"/>
      <c r="F2360" s="966"/>
      <c r="G2360" s="966"/>
      <c r="H2360" s="995"/>
      <c r="I2360" s="966"/>
      <c r="J2360" s="966"/>
      <c r="K2360" s="966"/>
      <c r="L2360" s="966"/>
      <c r="M2360" s="971"/>
    </row>
    <row r="2361" spans="1:13">
      <c r="A2361" s="966"/>
      <c r="B2361" s="966"/>
      <c r="C2361" s="966"/>
      <c r="D2361" s="966"/>
      <c r="E2361" s="966"/>
      <c r="F2361" s="966"/>
      <c r="G2361" s="966"/>
      <c r="H2361" s="995"/>
      <c r="I2361" s="966"/>
      <c r="J2361" s="966"/>
      <c r="K2361" s="966"/>
      <c r="L2361" s="966"/>
      <c r="M2361" s="971"/>
    </row>
    <row r="2362" spans="1:13">
      <c r="A2362" s="966"/>
      <c r="B2362" s="966"/>
      <c r="C2362" s="966"/>
      <c r="D2362" s="966"/>
      <c r="E2362" s="966"/>
      <c r="F2362" s="966"/>
      <c r="G2362" s="966"/>
      <c r="H2362" s="995"/>
      <c r="I2362" s="966"/>
      <c r="J2362" s="966"/>
      <c r="K2362" s="966"/>
      <c r="L2362" s="966"/>
      <c r="M2362" s="971"/>
    </row>
    <row r="2363" spans="1:13">
      <c r="A2363" s="966"/>
      <c r="B2363" s="966"/>
      <c r="C2363" s="966"/>
      <c r="D2363" s="966"/>
      <c r="E2363" s="966"/>
      <c r="F2363" s="966"/>
      <c r="G2363" s="966"/>
      <c r="H2363" s="995"/>
      <c r="I2363" s="966"/>
      <c r="J2363" s="966"/>
      <c r="K2363" s="966"/>
      <c r="L2363" s="966"/>
      <c r="M2363" s="971"/>
    </row>
    <row r="2364" spans="1:13">
      <c r="A2364" s="966"/>
      <c r="B2364" s="966"/>
      <c r="C2364" s="966"/>
      <c r="D2364" s="966"/>
      <c r="E2364" s="966"/>
      <c r="F2364" s="966"/>
      <c r="G2364" s="966"/>
      <c r="H2364" s="995"/>
      <c r="I2364" s="966"/>
      <c r="J2364" s="966"/>
      <c r="K2364" s="966"/>
      <c r="L2364" s="966"/>
      <c r="M2364" s="971"/>
    </row>
    <row r="2365" spans="1:13">
      <c r="A2365" s="966"/>
      <c r="B2365" s="966"/>
      <c r="C2365" s="966"/>
      <c r="D2365" s="966"/>
      <c r="E2365" s="966"/>
      <c r="F2365" s="966"/>
      <c r="G2365" s="966"/>
      <c r="H2365" s="995"/>
      <c r="I2365" s="966"/>
      <c r="J2365" s="966"/>
      <c r="K2365" s="966"/>
      <c r="L2365" s="966"/>
      <c r="M2365" s="971"/>
    </row>
    <row r="2366" spans="1:13">
      <c r="A2366" s="966"/>
      <c r="B2366" s="966"/>
      <c r="C2366" s="966"/>
      <c r="D2366" s="966"/>
      <c r="E2366" s="966"/>
      <c r="F2366" s="966"/>
      <c r="G2366" s="966"/>
      <c r="H2366" s="995"/>
      <c r="I2366" s="966"/>
      <c r="J2366" s="966"/>
      <c r="K2366" s="966"/>
      <c r="L2366" s="966"/>
      <c r="M2366" s="971"/>
    </row>
    <row r="2367" spans="1:13">
      <c r="A2367" s="966"/>
      <c r="B2367" s="966"/>
      <c r="C2367" s="966"/>
      <c r="D2367" s="966"/>
      <c r="E2367" s="966"/>
      <c r="F2367" s="966"/>
      <c r="G2367" s="966"/>
      <c r="H2367" s="995"/>
      <c r="I2367" s="966"/>
      <c r="J2367" s="966"/>
      <c r="K2367" s="966"/>
      <c r="L2367" s="966"/>
      <c r="M2367" s="971"/>
    </row>
    <row r="2368" spans="1:13">
      <c r="A2368" s="966"/>
      <c r="B2368" s="966"/>
      <c r="C2368" s="966"/>
      <c r="D2368" s="966"/>
      <c r="E2368" s="966"/>
      <c r="F2368" s="966"/>
      <c r="G2368" s="966"/>
      <c r="H2368" s="995"/>
      <c r="I2368" s="966"/>
      <c r="J2368" s="966"/>
      <c r="K2368" s="966"/>
      <c r="L2368" s="966"/>
      <c r="M2368" s="971"/>
    </row>
    <row r="2369" spans="1:13">
      <c r="A2369" s="966"/>
      <c r="B2369" s="966"/>
      <c r="C2369" s="966"/>
      <c r="D2369" s="966"/>
      <c r="E2369" s="966"/>
      <c r="F2369" s="966"/>
      <c r="G2369" s="966"/>
      <c r="H2369" s="995"/>
      <c r="I2369" s="966"/>
      <c r="J2369" s="966"/>
      <c r="K2369" s="966"/>
      <c r="L2369" s="966"/>
      <c r="M2369" s="971"/>
    </row>
    <row r="2370" spans="1:13">
      <c r="A2370" s="966"/>
      <c r="B2370" s="966"/>
      <c r="C2370" s="966"/>
      <c r="D2370" s="966"/>
      <c r="E2370" s="966"/>
      <c r="F2370" s="966"/>
      <c r="G2370" s="966"/>
      <c r="H2370" s="995"/>
      <c r="I2370" s="966"/>
      <c r="J2370" s="966"/>
      <c r="K2370" s="966"/>
      <c r="L2370" s="966"/>
      <c r="M2370" s="971"/>
    </row>
    <row r="2371" spans="1:13">
      <c r="A2371" s="966"/>
      <c r="B2371" s="966"/>
      <c r="C2371" s="966"/>
      <c r="D2371" s="966"/>
      <c r="E2371" s="966"/>
      <c r="F2371" s="966"/>
      <c r="G2371" s="966"/>
      <c r="H2371" s="995"/>
      <c r="I2371" s="966"/>
      <c r="J2371" s="966"/>
      <c r="K2371" s="966"/>
      <c r="L2371" s="966"/>
      <c r="M2371" s="971"/>
    </row>
    <row r="2372" spans="1:13">
      <c r="A2372" s="966"/>
      <c r="B2372" s="966"/>
      <c r="C2372" s="966"/>
      <c r="D2372" s="966"/>
      <c r="E2372" s="966"/>
      <c r="F2372" s="966"/>
      <c r="G2372" s="966"/>
      <c r="H2372" s="995"/>
      <c r="I2372" s="966"/>
      <c r="J2372" s="966"/>
      <c r="K2372" s="966"/>
      <c r="L2372" s="966"/>
      <c r="M2372" s="971"/>
    </row>
    <row r="2373" spans="1:13">
      <c r="A2373" s="966"/>
      <c r="B2373" s="966"/>
      <c r="C2373" s="966"/>
      <c r="D2373" s="966"/>
      <c r="E2373" s="966"/>
      <c r="F2373" s="966"/>
      <c r="G2373" s="966"/>
      <c r="H2373" s="995"/>
      <c r="I2373" s="966"/>
      <c r="J2373" s="966"/>
      <c r="K2373" s="966"/>
      <c r="L2373" s="966"/>
      <c r="M2373" s="971"/>
    </row>
    <row r="2374" spans="1:13">
      <c r="A2374" s="966"/>
      <c r="B2374" s="966"/>
      <c r="C2374" s="966"/>
      <c r="D2374" s="966"/>
      <c r="E2374" s="966"/>
      <c r="F2374" s="966"/>
      <c r="G2374" s="966"/>
      <c r="H2374" s="995"/>
      <c r="I2374" s="966"/>
      <c r="J2374" s="966"/>
      <c r="K2374" s="966"/>
      <c r="L2374" s="966"/>
      <c r="M2374" s="971"/>
    </row>
    <row r="2375" spans="1:13">
      <c r="A2375" s="966"/>
      <c r="B2375" s="966"/>
      <c r="C2375" s="966"/>
      <c r="D2375" s="966"/>
      <c r="E2375" s="966"/>
      <c r="F2375" s="966"/>
      <c r="G2375" s="966"/>
      <c r="H2375" s="995"/>
      <c r="I2375" s="966"/>
      <c r="J2375" s="966"/>
      <c r="K2375" s="966"/>
      <c r="L2375" s="966"/>
      <c r="M2375" s="971"/>
    </row>
    <row r="2376" spans="1:13">
      <c r="A2376" s="966"/>
      <c r="B2376" s="966"/>
      <c r="C2376" s="966"/>
      <c r="D2376" s="966"/>
      <c r="E2376" s="966"/>
      <c r="F2376" s="966"/>
      <c r="G2376" s="966"/>
      <c r="H2376" s="995"/>
      <c r="I2376" s="966"/>
      <c r="J2376" s="966"/>
      <c r="K2376" s="966"/>
      <c r="L2376" s="966"/>
      <c r="M2376" s="971"/>
    </row>
    <row r="2377" spans="1:13">
      <c r="A2377" s="966"/>
      <c r="B2377" s="966"/>
      <c r="C2377" s="966"/>
      <c r="D2377" s="966"/>
      <c r="E2377" s="966"/>
      <c r="F2377" s="966"/>
      <c r="G2377" s="966"/>
      <c r="H2377" s="995"/>
      <c r="I2377" s="966"/>
      <c r="J2377" s="966"/>
      <c r="K2377" s="966"/>
      <c r="L2377" s="966"/>
      <c r="M2377" s="971"/>
    </row>
    <row r="2378" spans="1:13">
      <c r="A2378" s="966"/>
      <c r="B2378" s="966"/>
      <c r="C2378" s="966"/>
      <c r="D2378" s="966"/>
      <c r="E2378" s="966"/>
      <c r="F2378" s="966"/>
      <c r="G2378" s="966"/>
      <c r="H2378" s="995"/>
      <c r="I2378" s="966"/>
      <c r="J2378" s="966"/>
      <c r="K2378" s="966"/>
      <c r="L2378" s="966"/>
      <c r="M2378" s="971"/>
    </row>
    <row r="2379" spans="1:13">
      <c r="A2379" s="966"/>
      <c r="B2379" s="966"/>
      <c r="C2379" s="966"/>
      <c r="D2379" s="966"/>
      <c r="E2379" s="966"/>
      <c r="F2379" s="966"/>
      <c r="G2379" s="966"/>
      <c r="H2379" s="995"/>
      <c r="I2379" s="966"/>
      <c r="J2379" s="966"/>
      <c r="K2379" s="966"/>
      <c r="L2379" s="966"/>
      <c r="M2379" s="971"/>
    </row>
    <row r="2380" spans="1:13">
      <c r="A2380" s="966"/>
      <c r="B2380" s="966"/>
      <c r="C2380" s="966"/>
      <c r="D2380" s="966"/>
      <c r="E2380" s="966"/>
      <c r="F2380" s="966"/>
      <c r="G2380" s="966"/>
      <c r="H2380" s="995"/>
      <c r="I2380" s="966"/>
      <c r="J2380" s="966"/>
      <c r="K2380" s="966"/>
      <c r="L2380" s="966"/>
      <c r="M2380" s="971"/>
    </row>
    <row r="2381" spans="1:13">
      <c r="A2381" s="966"/>
      <c r="B2381" s="966"/>
      <c r="C2381" s="966"/>
      <c r="D2381" s="966"/>
      <c r="E2381" s="966"/>
      <c r="F2381" s="966"/>
      <c r="G2381" s="966"/>
      <c r="H2381" s="995"/>
      <c r="I2381" s="966"/>
      <c r="J2381" s="966"/>
      <c r="K2381" s="966"/>
      <c r="L2381" s="966"/>
      <c r="M2381" s="971"/>
    </row>
    <row r="2382" spans="1:13">
      <c r="A2382" s="966"/>
      <c r="B2382" s="966"/>
      <c r="C2382" s="966"/>
      <c r="D2382" s="966"/>
      <c r="E2382" s="966"/>
      <c r="F2382" s="966"/>
      <c r="G2382" s="966"/>
      <c r="H2382" s="995"/>
      <c r="I2382" s="966"/>
      <c r="J2382" s="966"/>
      <c r="K2382" s="966"/>
      <c r="L2382" s="966"/>
      <c r="M2382" s="971"/>
    </row>
    <row r="2383" spans="1:13">
      <c r="A2383" s="966"/>
      <c r="B2383" s="966"/>
      <c r="C2383" s="966"/>
      <c r="D2383" s="966"/>
      <c r="E2383" s="966"/>
      <c r="F2383" s="966"/>
      <c r="G2383" s="966"/>
      <c r="H2383" s="995"/>
      <c r="I2383" s="966"/>
      <c r="J2383" s="966"/>
      <c r="K2383" s="966"/>
      <c r="L2383" s="966"/>
      <c r="M2383" s="971"/>
    </row>
    <row r="2384" spans="1:13">
      <c r="A2384" s="966"/>
      <c r="B2384" s="966"/>
      <c r="C2384" s="966"/>
      <c r="D2384" s="966"/>
      <c r="E2384" s="966"/>
      <c r="F2384" s="966"/>
      <c r="G2384" s="966"/>
      <c r="H2384" s="995"/>
      <c r="I2384" s="966"/>
      <c r="J2384" s="966"/>
      <c r="K2384" s="966"/>
      <c r="L2384" s="966"/>
      <c r="M2384" s="971"/>
    </row>
    <row r="2385" spans="1:13">
      <c r="A2385" s="966"/>
      <c r="B2385" s="966"/>
      <c r="C2385" s="966"/>
      <c r="D2385" s="966"/>
      <c r="E2385" s="966"/>
      <c r="F2385" s="966"/>
      <c r="G2385" s="966"/>
      <c r="H2385" s="995"/>
      <c r="I2385" s="966"/>
      <c r="J2385" s="966"/>
      <c r="K2385" s="966"/>
      <c r="L2385" s="966"/>
      <c r="M2385" s="971"/>
    </row>
    <row r="2386" spans="1:13">
      <c r="A2386" s="966"/>
      <c r="B2386" s="966"/>
      <c r="C2386" s="966"/>
      <c r="D2386" s="966"/>
      <c r="E2386" s="966"/>
      <c r="F2386" s="966"/>
      <c r="G2386" s="966"/>
      <c r="H2386" s="995"/>
      <c r="I2386" s="966"/>
      <c r="J2386" s="966"/>
      <c r="K2386" s="966"/>
      <c r="L2386" s="966"/>
      <c r="M2386" s="971"/>
    </row>
    <row r="2387" spans="1:13">
      <c r="A2387" s="966"/>
      <c r="B2387" s="966"/>
      <c r="C2387" s="966"/>
      <c r="D2387" s="966"/>
      <c r="E2387" s="966"/>
      <c r="F2387" s="966"/>
      <c r="G2387" s="966"/>
      <c r="H2387" s="995"/>
      <c r="I2387" s="966"/>
      <c r="J2387" s="966"/>
      <c r="K2387" s="966"/>
      <c r="L2387" s="966"/>
      <c r="M2387" s="971"/>
    </row>
    <row r="2388" spans="1:13">
      <c r="A2388" s="966"/>
      <c r="B2388" s="966"/>
      <c r="C2388" s="966"/>
      <c r="D2388" s="966"/>
      <c r="E2388" s="966"/>
      <c r="F2388" s="966"/>
      <c r="G2388" s="966"/>
      <c r="H2388" s="995"/>
      <c r="I2388" s="966"/>
      <c r="J2388" s="966"/>
      <c r="K2388" s="966"/>
      <c r="L2388" s="966"/>
      <c r="M2388" s="971"/>
    </row>
    <row r="2389" spans="1:13">
      <c r="A2389" s="966"/>
      <c r="B2389" s="966"/>
      <c r="C2389" s="966"/>
      <c r="D2389" s="966"/>
      <c r="E2389" s="966"/>
      <c r="F2389" s="966"/>
      <c r="G2389" s="966"/>
      <c r="H2389" s="995"/>
      <c r="I2389" s="966"/>
      <c r="J2389" s="966"/>
      <c r="K2389" s="966"/>
      <c r="L2389" s="966"/>
      <c r="M2389" s="971"/>
    </row>
    <row r="2390" spans="1:13">
      <c r="A2390" s="966"/>
      <c r="B2390" s="966"/>
      <c r="C2390" s="966"/>
      <c r="D2390" s="966"/>
      <c r="E2390" s="966"/>
      <c r="F2390" s="966"/>
      <c r="G2390" s="966"/>
      <c r="H2390" s="995"/>
      <c r="I2390" s="966"/>
      <c r="J2390" s="966"/>
      <c r="K2390" s="966"/>
      <c r="L2390" s="966"/>
      <c r="M2390" s="971"/>
    </row>
    <row r="2391" spans="1:13">
      <c r="A2391" s="966"/>
      <c r="B2391" s="966"/>
      <c r="C2391" s="966"/>
      <c r="D2391" s="966"/>
      <c r="E2391" s="966"/>
      <c r="F2391" s="966"/>
      <c r="G2391" s="966"/>
      <c r="H2391" s="995"/>
      <c r="I2391" s="966"/>
      <c r="J2391" s="966"/>
      <c r="K2391" s="966"/>
      <c r="L2391" s="966"/>
      <c r="M2391" s="971"/>
    </row>
    <row r="2392" spans="1:13">
      <c r="A2392" s="966"/>
      <c r="B2392" s="966"/>
      <c r="C2392" s="966"/>
      <c r="D2392" s="966"/>
      <c r="E2392" s="966"/>
      <c r="F2392" s="966"/>
      <c r="G2392" s="966"/>
      <c r="H2392" s="995"/>
      <c r="I2392" s="966"/>
      <c r="J2392" s="966"/>
      <c r="K2392" s="966"/>
      <c r="L2392" s="966"/>
      <c r="M2392" s="971"/>
    </row>
    <row r="2393" spans="1:13">
      <c r="A2393" s="966"/>
      <c r="B2393" s="966"/>
      <c r="C2393" s="966"/>
      <c r="D2393" s="966"/>
      <c r="E2393" s="966"/>
      <c r="F2393" s="966"/>
      <c r="G2393" s="966"/>
      <c r="H2393" s="995"/>
      <c r="I2393" s="966"/>
      <c r="J2393" s="966"/>
      <c r="K2393" s="966"/>
      <c r="L2393" s="966"/>
      <c r="M2393" s="971"/>
    </row>
    <row r="2394" spans="1:13">
      <c r="A2394" s="966"/>
      <c r="B2394" s="966"/>
      <c r="C2394" s="966"/>
      <c r="D2394" s="966"/>
      <c r="E2394" s="966"/>
      <c r="F2394" s="966"/>
      <c r="G2394" s="966"/>
      <c r="H2394" s="995"/>
      <c r="I2394" s="966"/>
      <c r="J2394" s="966"/>
      <c r="K2394" s="966"/>
      <c r="L2394" s="966"/>
      <c r="M2394" s="971"/>
    </row>
    <row r="2395" spans="1:13">
      <c r="A2395" s="966"/>
      <c r="B2395" s="966"/>
      <c r="C2395" s="966"/>
      <c r="D2395" s="966"/>
      <c r="E2395" s="966"/>
      <c r="F2395" s="966"/>
      <c r="G2395" s="966"/>
      <c r="H2395" s="995"/>
      <c r="I2395" s="966"/>
      <c r="J2395" s="966"/>
      <c r="K2395" s="966"/>
      <c r="L2395" s="966"/>
      <c r="M2395" s="971"/>
    </row>
    <row r="2396" spans="1:13">
      <c r="A2396" s="966"/>
      <c r="B2396" s="966"/>
      <c r="C2396" s="966"/>
      <c r="D2396" s="966"/>
      <c r="E2396" s="966"/>
      <c r="F2396" s="966"/>
      <c r="G2396" s="966"/>
      <c r="H2396" s="995"/>
      <c r="I2396" s="966"/>
      <c r="J2396" s="966"/>
      <c r="K2396" s="966"/>
      <c r="L2396" s="966"/>
      <c r="M2396" s="971"/>
    </row>
    <row r="2397" spans="1:13">
      <c r="A2397" s="966"/>
      <c r="B2397" s="966"/>
      <c r="C2397" s="966"/>
      <c r="D2397" s="966"/>
      <c r="E2397" s="966"/>
      <c r="F2397" s="966"/>
      <c r="G2397" s="966"/>
      <c r="H2397" s="995"/>
      <c r="I2397" s="966"/>
      <c r="J2397" s="966"/>
      <c r="K2397" s="966"/>
      <c r="L2397" s="966"/>
      <c r="M2397" s="971"/>
    </row>
    <row r="2398" spans="1:13">
      <c r="A2398" s="966"/>
      <c r="B2398" s="966"/>
      <c r="C2398" s="966"/>
      <c r="D2398" s="966"/>
      <c r="E2398" s="966"/>
      <c r="F2398" s="966"/>
      <c r="G2398" s="966"/>
      <c r="H2398" s="995"/>
      <c r="I2398" s="966"/>
      <c r="J2398" s="966"/>
      <c r="K2398" s="966"/>
      <c r="L2398" s="966"/>
      <c r="M2398" s="971"/>
    </row>
    <row r="2399" spans="1:13">
      <c r="A2399" s="966"/>
      <c r="B2399" s="966"/>
      <c r="C2399" s="966"/>
      <c r="D2399" s="966"/>
      <c r="E2399" s="966"/>
      <c r="F2399" s="966"/>
      <c r="G2399" s="966"/>
      <c r="H2399" s="995"/>
      <c r="I2399" s="966"/>
      <c r="J2399" s="966"/>
      <c r="K2399" s="966"/>
      <c r="L2399" s="966"/>
      <c r="M2399" s="971"/>
    </row>
    <row r="2400" spans="1:13">
      <c r="A2400" s="966"/>
      <c r="B2400" s="966"/>
      <c r="C2400" s="966"/>
      <c r="D2400" s="966"/>
      <c r="E2400" s="966"/>
      <c r="F2400" s="966"/>
      <c r="G2400" s="966"/>
      <c r="H2400" s="995"/>
      <c r="I2400" s="966"/>
      <c r="J2400" s="966"/>
      <c r="K2400" s="966"/>
      <c r="L2400" s="966"/>
      <c r="M2400" s="971"/>
    </row>
    <row r="2401" spans="1:13">
      <c r="A2401" s="966"/>
      <c r="B2401" s="966"/>
      <c r="C2401" s="966"/>
      <c r="D2401" s="966"/>
      <c r="E2401" s="966"/>
      <c r="F2401" s="966"/>
      <c r="G2401" s="966"/>
      <c r="H2401" s="995"/>
      <c r="I2401" s="966"/>
      <c r="J2401" s="966"/>
      <c r="K2401" s="966"/>
      <c r="L2401" s="966"/>
      <c r="M2401" s="971"/>
    </row>
    <row r="2402" spans="1:13">
      <c r="A2402" s="966"/>
      <c r="B2402" s="966"/>
      <c r="C2402" s="966"/>
      <c r="D2402" s="966"/>
      <c r="E2402" s="966"/>
      <c r="F2402" s="966"/>
      <c r="G2402" s="966"/>
      <c r="H2402" s="995"/>
      <c r="I2402" s="966"/>
      <c r="J2402" s="966"/>
      <c r="K2402" s="966"/>
      <c r="L2402" s="966"/>
      <c r="M2402" s="971"/>
    </row>
    <row r="2403" spans="1:13">
      <c r="A2403" s="966"/>
      <c r="B2403" s="966"/>
      <c r="C2403" s="966"/>
      <c r="D2403" s="966"/>
      <c r="E2403" s="966"/>
      <c r="F2403" s="966"/>
      <c r="G2403" s="966"/>
      <c r="H2403" s="995"/>
      <c r="I2403" s="966"/>
      <c r="J2403" s="966"/>
      <c r="K2403" s="966"/>
      <c r="L2403" s="966"/>
      <c r="M2403" s="971"/>
    </row>
    <row r="2404" spans="1:13">
      <c r="A2404" s="966"/>
      <c r="B2404" s="966"/>
      <c r="C2404" s="966"/>
      <c r="D2404" s="966"/>
      <c r="E2404" s="966"/>
      <c r="F2404" s="966"/>
      <c r="G2404" s="966"/>
      <c r="H2404" s="995"/>
      <c r="I2404" s="966"/>
      <c r="J2404" s="966"/>
      <c r="K2404" s="966"/>
      <c r="L2404" s="966"/>
      <c r="M2404" s="971"/>
    </row>
    <row r="2405" spans="1:13">
      <c r="A2405" s="966"/>
      <c r="B2405" s="966"/>
      <c r="C2405" s="966"/>
      <c r="D2405" s="966"/>
      <c r="E2405" s="966"/>
      <c r="F2405" s="966"/>
      <c r="G2405" s="966"/>
      <c r="H2405" s="995"/>
      <c r="I2405" s="966"/>
      <c r="J2405" s="966"/>
      <c r="K2405" s="966"/>
      <c r="L2405" s="966"/>
      <c r="M2405" s="971"/>
    </row>
    <row r="2406" spans="1:13">
      <c r="A2406" s="966"/>
      <c r="B2406" s="966"/>
      <c r="C2406" s="966"/>
      <c r="D2406" s="966"/>
      <c r="E2406" s="966"/>
      <c r="F2406" s="966"/>
      <c r="G2406" s="966"/>
      <c r="H2406" s="995"/>
      <c r="I2406" s="966"/>
      <c r="J2406" s="966"/>
      <c r="K2406" s="966"/>
      <c r="L2406" s="966"/>
      <c r="M2406" s="971"/>
    </row>
    <row r="2407" spans="1:13">
      <c r="A2407" s="966"/>
      <c r="B2407" s="966"/>
      <c r="C2407" s="966"/>
      <c r="D2407" s="966"/>
      <c r="E2407" s="966"/>
      <c r="F2407" s="966"/>
      <c r="G2407" s="966"/>
      <c r="H2407" s="995"/>
      <c r="I2407" s="966"/>
      <c r="J2407" s="966"/>
      <c r="K2407" s="966"/>
      <c r="L2407" s="966"/>
      <c r="M2407" s="971"/>
    </row>
    <row r="2408" spans="1:13">
      <c r="A2408" s="966"/>
      <c r="B2408" s="966"/>
      <c r="C2408" s="966"/>
      <c r="D2408" s="966"/>
      <c r="E2408" s="966"/>
      <c r="F2408" s="966"/>
      <c r="G2408" s="966"/>
      <c r="H2408" s="995"/>
      <c r="I2408" s="966"/>
      <c r="J2408" s="966"/>
      <c r="K2408" s="966"/>
      <c r="L2408" s="966"/>
      <c r="M2408" s="971"/>
    </row>
    <row r="2409" spans="1:13">
      <c r="A2409" s="966"/>
      <c r="B2409" s="966"/>
      <c r="C2409" s="966"/>
      <c r="D2409" s="966"/>
      <c r="E2409" s="966"/>
      <c r="F2409" s="966"/>
      <c r="G2409" s="966"/>
      <c r="H2409" s="995"/>
      <c r="I2409" s="966"/>
      <c r="J2409" s="966"/>
      <c r="K2409" s="966"/>
      <c r="L2409" s="966"/>
      <c r="M2409" s="971"/>
    </row>
    <row r="2410" spans="1:13">
      <c r="A2410" s="966"/>
      <c r="B2410" s="966"/>
      <c r="C2410" s="966"/>
      <c r="D2410" s="966"/>
      <c r="E2410" s="966"/>
      <c r="F2410" s="966"/>
      <c r="G2410" s="966"/>
      <c r="H2410" s="995"/>
      <c r="I2410" s="966"/>
      <c r="J2410" s="966"/>
      <c r="K2410" s="966"/>
      <c r="L2410" s="966"/>
      <c r="M2410" s="971"/>
    </row>
    <row r="2411" spans="1:13">
      <c r="A2411" s="966"/>
      <c r="B2411" s="966"/>
      <c r="C2411" s="966"/>
      <c r="D2411" s="966"/>
      <c r="E2411" s="966"/>
      <c r="F2411" s="966"/>
      <c r="G2411" s="966"/>
      <c r="H2411" s="995"/>
      <c r="I2411" s="966"/>
      <c r="J2411" s="966"/>
      <c r="K2411" s="966"/>
      <c r="L2411" s="966"/>
      <c r="M2411" s="971"/>
    </row>
    <row r="2412" spans="1:13">
      <c r="A2412" s="966"/>
      <c r="B2412" s="966"/>
      <c r="C2412" s="966"/>
      <c r="D2412" s="966"/>
      <c r="E2412" s="966"/>
      <c r="F2412" s="966"/>
      <c r="G2412" s="966"/>
      <c r="H2412" s="995"/>
      <c r="I2412" s="966"/>
      <c r="J2412" s="966"/>
      <c r="K2412" s="966"/>
      <c r="L2412" s="966"/>
      <c r="M2412" s="971"/>
    </row>
    <row r="2413" spans="1:13">
      <c r="A2413" s="966"/>
      <c r="B2413" s="966"/>
      <c r="C2413" s="966"/>
      <c r="D2413" s="966"/>
      <c r="E2413" s="966"/>
      <c r="F2413" s="966"/>
      <c r="G2413" s="966"/>
      <c r="H2413" s="995"/>
      <c r="I2413" s="966"/>
      <c r="J2413" s="966"/>
      <c r="K2413" s="966"/>
      <c r="L2413" s="966"/>
      <c r="M2413" s="971"/>
    </row>
    <row r="2414" spans="1:13">
      <c r="A2414" s="966"/>
      <c r="B2414" s="966"/>
      <c r="C2414" s="966"/>
      <c r="D2414" s="966"/>
      <c r="E2414" s="966"/>
      <c r="F2414" s="966"/>
      <c r="G2414" s="966"/>
      <c r="H2414" s="995"/>
      <c r="I2414" s="966"/>
      <c r="J2414" s="966"/>
      <c r="K2414" s="966"/>
      <c r="L2414" s="966"/>
      <c r="M2414" s="971"/>
    </row>
    <row r="2415" spans="1:13">
      <c r="A2415" s="966"/>
      <c r="B2415" s="966"/>
      <c r="C2415" s="966"/>
      <c r="D2415" s="966"/>
      <c r="E2415" s="966"/>
      <c r="F2415" s="966"/>
      <c r="G2415" s="966"/>
      <c r="H2415" s="995"/>
      <c r="I2415" s="966"/>
      <c r="J2415" s="966"/>
      <c r="K2415" s="966"/>
      <c r="L2415" s="966"/>
      <c r="M2415" s="971"/>
    </row>
    <row r="2416" spans="1:13">
      <c r="A2416" s="966"/>
      <c r="B2416" s="966"/>
      <c r="C2416" s="966"/>
      <c r="D2416" s="966"/>
      <c r="E2416" s="966"/>
      <c r="F2416" s="966"/>
      <c r="G2416" s="966"/>
      <c r="H2416" s="995"/>
      <c r="I2416" s="966"/>
      <c r="J2416" s="966"/>
      <c r="K2416" s="966"/>
      <c r="L2416" s="966"/>
      <c r="M2416" s="971"/>
    </row>
    <row r="2417" spans="1:13">
      <c r="A2417" s="966"/>
      <c r="B2417" s="966"/>
      <c r="C2417" s="966"/>
      <c r="D2417" s="966"/>
      <c r="E2417" s="966"/>
      <c r="F2417" s="966"/>
      <c r="G2417" s="966"/>
      <c r="H2417" s="995"/>
      <c r="I2417" s="966"/>
      <c r="J2417" s="966"/>
      <c r="K2417" s="966"/>
      <c r="L2417" s="966"/>
      <c r="M2417" s="971"/>
    </row>
    <row r="2418" spans="1:13">
      <c r="A2418" s="966"/>
      <c r="B2418" s="966"/>
      <c r="C2418" s="966"/>
      <c r="D2418" s="966"/>
      <c r="E2418" s="966"/>
      <c r="F2418" s="966"/>
      <c r="G2418" s="966"/>
      <c r="H2418" s="995"/>
      <c r="I2418" s="966"/>
      <c r="J2418" s="966"/>
      <c r="K2418" s="966"/>
      <c r="L2418" s="966"/>
      <c r="M2418" s="971"/>
    </row>
    <row r="2419" spans="1:13">
      <c r="A2419" s="966"/>
      <c r="B2419" s="966"/>
      <c r="C2419" s="966"/>
      <c r="D2419" s="966"/>
      <c r="E2419" s="966"/>
      <c r="F2419" s="966"/>
      <c r="G2419" s="966"/>
      <c r="H2419" s="995"/>
      <c r="I2419" s="966"/>
      <c r="J2419" s="966"/>
      <c r="K2419" s="966"/>
      <c r="L2419" s="966"/>
      <c r="M2419" s="971"/>
    </row>
    <row r="2420" spans="1:13">
      <c r="A2420" s="966"/>
      <c r="B2420" s="966"/>
      <c r="C2420" s="966"/>
      <c r="D2420" s="966"/>
      <c r="E2420" s="966"/>
      <c r="F2420" s="966"/>
      <c r="G2420" s="966"/>
      <c r="H2420" s="995"/>
      <c r="I2420" s="966"/>
      <c r="J2420" s="966"/>
      <c r="K2420" s="966"/>
      <c r="L2420" s="966"/>
      <c r="M2420" s="971"/>
    </row>
    <row r="2421" spans="1:13">
      <c r="A2421" s="966"/>
      <c r="B2421" s="966"/>
      <c r="C2421" s="966"/>
      <c r="D2421" s="966"/>
      <c r="E2421" s="966"/>
      <c r="F2421" s="966"/>
      <c r="G2421" s="966"/>
      <c r="H2421" s="995"/>
      <c r="I2421" s="966"/>
      <c r="J2421" s="966"/>
      <c r="K2421" s="966"/>
      <c r="L2421" s="966"/>
      <c r="M2421" s="971"/>
    </row>
    <row r="2422" spans="1:13">
      <c r="A2422" s="966"/>
      <c r="B2422" s="966"/>
      <c r="C2422" s="966"/>
      <c r="D2422" s="966"/>
      <c r="E2422" s="966"/>
      <c r="F2422" s="966"/>
      <c r="G2422" s="966"/>
      <c r="H2422" s="995"/>
      <c r="I2422" s="966"/>
      <c r="J2422" s="966"/>
      <c r="K2422" s="966"/>
      <c r="L2422" s="966"/>
      <c r="M2422" s="971"/>
    </row>
    <row r="2423" spans="1:13">
      <c r="A2423" s="966"/>
      <c r="B2423" s="966"/>
      <c r="C2423" s="966"/>
      <c r="D2423" s="966"/>
      <c r="E2423" s="966"/>
      <c r="F2423" s="966"/>
      <c r="G2423" s="966"/>
      <c r="H2423" s="995"/>
      <c r="I2423" s="966"/>
      <c r="J2423" s="966"/>
      <c r="K2423" s="966"/>
      <c r="L2423" s="966"/>
      <c r="M2423" s="971"/>
    </row>
    <row r="2424" spans="1:13">
      <c r="A2424" s="966"/>
      <c r="B2424" s="966"/>
      <c r="C2424" s="966"/>
      <c r="D2424" s="966"/>
      <c r="E2424" s="966"/>
      <c r="F2424" s="966"/>
      <c r="G2424" s="966"/>
      <c r="H2424" s="995"/>
      <c r="I2424" s="966"/>
      <c r="J2424" s="966"/>
      <c r="K2424" s="966"/>
      <c r="L2424" s="966"/>
      <c r="M2424" s="971"/>
    </row>
    <row r="2425" spans="1:13">
      <c r="A2425" s="966"/>
      <c r="B2425" s="966"/>
      <c r="C2425" s="966"/>
      <c r="D2425" s="966"/>
      <c r="E2425" s="966"/>
      <c r="F2425" s="966"/>
      <c r="G2425" s="966"/>
      <c r="H2425" s="995"/>
      <c r="I2425" s="966"/>
      <c r="J2425" s="966"/>
      <c r="K2425" s="966"/>
      <c r="L2425" s="966"/>
      <c r="M2425" s="971"/>
    </row>
    <row r="2426" spans="1:13">
      <c r="A2426" s="966"/>
      <c r="B2426" s="966"/>
      <c r="C2426" s="966"/>
      <c r="D2426" s="966"/>
      <c r="E2426" s="966"/>
      <c r="F2426" s="966"/>
      <c r="G2426" s="966"/>
      <c r="H2426" s="995"/>
      <c r="I2426" s="966"/>
      <c r="J2426" s="966"/>
      <c r="K2426" s="966"/>
      <c r="L2426" s="966"/>
      <c r="M2426" s="971"/>
    </row>
    <row r="2427" spans="1:13">
      <c r="A2427" s="966"/>
      <c r="B2427" s="966"/>
      <c r="C2427" s="966"/>
      <c r="D2427" s="966"/>
      <c r="E2427" s="966"/>
      <c r="F2427" s="966"/>
      <c r="G2427" s="966"/>
      <c r="H2427" s="995"/>
      <c r="I2427" s="966"/>
      <c r="J2427" s="966"/>
      <c r="K2427" s="966"/>
      <c r="L2427" s="966"/>
      <c r="M2427" s="971"/>
    </row>
    <row r="2428" spans="1:13">
      <c r="A2428" s="966"/>
      <c r="B2428" s="966"/>
      <c r="C2428" s="966"/>
      <c r="D2428" s="966"/>
      <c r="E2428" s="966"/>
      <c r="F2428" s="966"/>
      <c r="G2428" s="966"/>
      <c r="H2428" s="995"/>
      <c r="I2428" s="966"/>
      <c r="J2428" s="966"/>
      <c r="K2428" s="966"/>
      <c r="L2428" s="966"/>
      <c r="M2428" s="971"/>
    </row>
    <row r="2429" spans="1:13">
      <c r="A2429" s="966"/>
      <c r="B2429" s="966"/>
      <c r="C2429" s="966"/>
      <c r="D2429" s="966"/>
      <c r="E2429" s="966"/>
      <c r="F2429" s="966"/>
      <c r="G2429" s="966"/>
      <c r="H2429" s="995"/>
      <c r="I2429" s="966"/>
      <c r="J2429" s="966"/>
      <c r="K2429" s="966"/>
      <c r="L2429" s="966"/>
      <c r="M2429" s="971"/>
    </row>
    <row r="2430" spans="1:13">
      <c r="A2430" s="966"/>
      <c r="B2430" s="966"/>
      <c r="C2430" s="966"/>
      <c r="D2430" s="966"/>
      <c r="E2430" s="966"/>
      <c r="F2430" s="966"/>
      <c r="G2430" s="966"/>
      <c r="H2430" s="995"/>
      <c r="I2430" s="966"/>
      <c r="J2430" s="966"/>
      <c r="K2430" s="966"/>
      <c r="L2430" s="966"/>
      <c r="M2430" s="971"/>
    </row>
    <row r="2431" spans="1:13">
      <c r="A2431" s="966"/>
      <c r="B2431" s="966"/>
      <c r="C2431" s="966"/>
      <c r="D2431" s="966"/>
      <c r="E2431" s="966"/>
      <c r="F2431" s="966"/>
      <c r="G2431" s="966"/>
      <c r="H2431" s="995"/>
      <c r="I2431" s="966"/>
      <c r="J2431" s="966"/>
      <c r="K2431" s="966"/>
      <c r="L2431" s="966"/>
      <c r="M2431" s="971"/>
    </row>
    <row r="2432" spans="1:13">
      <c r="A2432" s="966"/>
      <c r="B2432" s="966"/>
      <c r="C2432" s="966"/>
      <c r="D2432" s="966"/>
      <c r="E2432" s="966"/>
      <c r="F2432" s="966"/>
      <c r="G2432" s="966"/>
      <c r="H2432" s="995"/>
      <c r="I2432" s="966"/>
      <c r="J2432" s="966"/>
      <c r="K2432" s="966"/>
      <c r="L2432" s="966"/>
      <c r="M2432" s="971"/>
    </row>
    <row r="2433" spans="1:13">
      <c r="A2433" s="966"/>
      <c r="B2433" s="966"/>
      <c r="C2433" s="966"/>
      <c r="D2433" s="966"/>
      <c r="E2433" s="966"/>
      <c r="F2433" s="966"/>
      <c r="G2433" s="966"/>
      <c r="H2433" s="995"/>
      <c r="I2433" s="966"/>
      <c r="J2433" s="966"/>
      <c r="K2433" s="966"/>
      <c r="L2433" s="966"/>
      <c r="M2433" s="971"/>
    </row>
    <row r="2434" spans="1:13">
      <c r="A2434" s="966"/>
      <c r="B2434" s="966"/>
      <c r="C2434" s="966"/>
      <c r="D2434" s="966"/>
      <c r="E2434" s="966"/>
      <c r="F2434" s="966"/>
      <c r="G2434" s="966"/>
      <c r="H2434" s="995"/>
      <c r="I2434" s="966"/>
      <c r="J2434" s="966"/>
      <c r="K2434" s="966"/>
      <c r="L2434" s="966"/>
      <c r="M2434" s="971"/>
    </row>
    <row r="2435" spans="1:13">
      <c r="A2435" s="966"/>
      <c r="B2435" s="966"/>
      <c r="C2435" s="966"/>
      <c r="D2435" s="966"/>
      <c r="E2435" s="966"/>
      <c r="F2435" s="966"/>
      <c r="G2435" s="966"/>
      <c r="H2435" s="995"/>
      <c r="I2435" s="966"/>
      <c r="J2435" s="966"/>
      <c r="K2435" s="966"/>
      <c r="L2435" s="966"/>
      <c r="M2435" s="971"/>
    </row>
    <row r="2436" spans="1:13">
      <c r="A2436" s="966"/>
      <c r="B2436" s="966"/>
      <c r="C2436" s="966"/>
      <c r="D2436" s="966"/>
      <c r="E2436" s="966"/>
      <c r="F2436" s="966"/>
      <c r="G2436" s="966"/>
      <c r="H2436" s="995"/>
      <c r="I2436" s="966"/>
      <c r="J2436" s="966"/>
      <c r="K2436" s="966"/>
      <c r="L2436" s="966"/>
      <c r="M2436" s="971"/>
    </row>
    <row r="2437" spans="1:13">
      <c r="A2437" s="966"/>
      <c r="B2437" s="966"/>
      <c r="C2437" s="966"/>
      <c r="D2437" s="966"/>
      <c r="E2437" s="966"/>
      <c r="F2437" s="966"/>
      <c r="G2437" s="966"/>
      <c r="H2437" s="995"/>
      <c r="I2437" s="966"/>
      <c r="J2437" s="966"/>
      <c r="K2437" s="966"/>
      <c r="L2437" s="966"/>
      <c r="M2437" s="971"/>
    </row>
    <row r="2438" spans="1:13">
      <c r="A2438" s="966"/>
      <c r="B2438" s="966"/>
      <c r="C2438" s="966"/>
      <c r="D2438" s="966"/>
      <c r="E2438" s="966"/>
      <c r="F2438" s="966"/>
      <c r="G2438" s="966"/>
      <c r="H2438" s="995"/>
      <c r="I2438" s="966"/>
      <c r="J2438" s="966"/>
      <c r="K2438" s="966"/>
      <c r="L2438" s="966"/>
      <c r="M2438" s="971"/>
    </row>
    <row r="2439" spans="1:13">
      <c r="A2439" s="966"/>
      <c r="B2439" s="966"/>
      <c r="C2439" s="966"/>
      <c r="D2439" s="966"/>
      <c r="E2439" s="966"/>
      <c r="F2439" s="966"/>
      <c r="G2439" s="966"/>
      <c r="H2439" s="995"/>
      <c r="I2439" s="966"/>
      <c r="J2439" s="966"/>
      <c r="K2439" s="966"/>
      <c r="L2439" s="966"/>
      <c r="M2439" s="971"/>
    </row>
    <row r="2440" spans="1:13">
      <c r="A2440" s="966"/>
      <c r="B2440" s="966"/>
      <c r="C2440" s="966"/>
      <c r="D2440" s="966"/>
      <c r="E2440" s="966"/>
      <c r="F2440" s="966"/>
      <c r="G2440" s="966"/>
      <c r="H2440" s="995"/>
      <c r="I2440" s="966"/>
      <c r="J2440" s="966"/>
      <c r="K2440" s="966"/>
      <c r="L2440" s="966"/>
      <c r="M2440" s="971"/>
    </row>
    <row r="2441" spans="1:13">
      <c r="A2441" s="966"/>
      <c r="B2441" s="966"/>
      <c r="C2441" s="966"/>
      <c r="D2441" s="966"/>
      <c r="E2441" s="966"/>
      <c r="F2441" s="966"/>
      <c r="G2441" s="966"/>
      <c r="H2441" s="995"/>
      <c r="I2441" s="966"/>
      <c r="J2441" s="966"/>
      <c r="K2441" s="966"/>
      <c r="L2441" s="966"/>
      <c r="M2441" s="971"/>
    </row>
    <row r="2442" spans="1:13">
      <c r="A2442" s="966"/>
      <c r="B2442" s="966"/>
      <c r="C2442" s="966"/>
      <c r="D2442" s="966"/>
      <c r="E2442" s="966"/>
      <c r="F2442" s="966"/>
      <c r="G2442" s="966"/>
      <c r="H2442" s="995"/>
      <c r="I2442" s="966"/>
      <c r="J2442" s="966"/>
      <c r="K2442" s="966"/>
      <c r="L2442" s="966"/>
      <c r="M2442" s="971"/>
    </row>
    <row r="2443" spans="1:13">
      <c r="A2443" s="966"/>
      <c r="B2443" s="966"/>
      <c r="C2443" s="966"/>
      <c r="D2443" s="966"/>
      <c r="E2443" s="966"/>
      <c r="F2443" s="966"/>
      <c r="G2443" s="966"/>
      <c r="H2443" s="995"/>
      <c r="I2443" s="966"/>
      <c r="J2443" s="966"/>
      <c r="K2443" s="966"/>
      <c r="L2443" s="966"/>
      <c r="M2443" s="971"/>
    </row>
    <row r="2444" spans="1:13">
      <c r="A2444" s="966"/>
      <c r="B2444" s="966"/>
      <c r="C2444" s="966"/>
      <c r="D2444" s="966"/>
      <c r="E2444" s="966"/>
      <c r="F2444" s="966"/>
      <c r="G2444" s="966"/>
      <c r="H2444" s="995"/>
      <c r="I2444" s="966"/>
      <c r="J2444" s="966"/>
      <c r="K2444" s="966"/>
      <c r="L2444" s="966"/>
      <c r="M2444" s="971"/>
    </row>
    <row r="2445" spans="1:13">
      <c r="A2445" s="966"/>
      <c r="B2445" s="966"/>
      <c r="C2445" s="966"/>
      <c r="D2445" s="966"/>
      <c r="E2445" s="966"/>
      <c r="F2445" s="966"/>
      <c r="G2445" s="966"/>
      <c r="H2445" s="995"/>
      <c r="I2445" s="966"/>
      <c r="J2445" s="966"/>
      <c r="K2445" s="966"/>
      <c r="L2445" s="966"/>
      <c r="M2445" s="971"/>
    </row>
    <row r="2446" spans="1:13">
      <c r="A2446" s="966"/>
      <c r="B2446" s="966"/>
      <c r="C2446" s="966"/>
      <c r="D2446" s="966"/>
      <c r="E2446" s="966"/>
      <c r="F2446" s="966"/>
      <c r="G2446" s="966"/>
      <c r="H2446" s="995"/>
      <c r="I2446" s="966"/>
      <c r="J2446" s="966"/>
      <c r="K2446" s="966"/>
      <c r="L2446" s="966"/>
      <c r="M2446" s="971"/>
    </row>
    <row r="2447" spans="1:13">
      <c r="A2447" s="966"/>
      <c r="B2447" s="966"/>
      <c r="C2447" s="966"/>
      <c r="D2447" s="966"/>
      <c r="E2447" s="966"/>
      <c r="F2447" s="966"/>
      <c r="G2447" s="966"/>
      <c r="H2447" s="995"/>
      <c r="I2447" s="966"/>
      <c r="J2447" s="966"/>
      <c r="K2447" s="966"/>
      <c r="L2447" s="966"/>
      <c r="M2447" s="971"/>
    </row>
    <row r="2448" spans="1:13">
      <c r="A2448" s="966"/>
      <c r="B2448" s="966"/>
      <c r="C2448" s="966"/>
      <c r="D2448" s="966"/>
      <c r="E2448" s="966"/>
      <c r="F2448" s="966"/>
      <c r="G2448" s="966"/>
      <c r="H2448" s="995"/>
      <c r="I2448" s="966"/>
      <c r="J2448" s="966"/>
      <c r="K2448" s="966"/>
      <c r="L2448" s="966"/>
      <c r="M2448" s="971"/>
    </row>
    <row r="2449" spans="1:13">
      <c r="A2449" s="966"/>
      <c r="B2449" s="966"/>
      <c r="C2449" s="966"/>
      <c r="D2449" s="966"/>
      <c r="E2449" s="966"/>
      <c r="F2449" s="966"/>
      <c r="G2449" s="966"/>
      <c r="H2449" s="995"/>
      <c r="I2449" s="966"/>
      <c r="J2449" s="966"/>
      <c r="K2449" s="966"/>
      <c r="L2449" s="966"/>
      <c r="M2449" s="971"/>
    </row>
    <row r="2450" spans="1:13">
      <c r="A2450" s="966"/>
      <c r="B2450" s="966"/>
      <c r="C2450" s="966"/>
      <c r="D2450" s="966"/>
      <c r="E2450" s="966"/>
      <c r="F2450" s="966"/>
      <c r="G2450" s="966"/>
      <c r="H2450" s="995"/>
      <c r="I2450" s="966"/>
      <c r="J2450" s="966"/>
      <c r="K2450" s="966"/>
      <c r="L2450" s="966"/>
      <c r="M2450" s="971"/>
    </row>
    <row r="2451" spans="1:13">
      <c r="A2451" s="966"/>
      <c r="B2451" s="966"/>
      <c r="C2451" s="966"/>
      <c r="D2451" s="966"/>
      <c r="E2451" s="966"/>
      <c r="F2451" s="966"/>
      <c r="G2451" s="966"/>
      <c r="H2451" s="995"/>
      <c r="I2451" s="966"/>
      <c r="J2451" s="966"/>
      <c r="K2451" s="966"/>
      <c r="L2451" s="966"/>
      <c r="M2451" s="971"/>
    </row>
    <row r="2452" spans="1:13">
      <c r="A2452" s="966"/>
      <c r="B2452" s="966"/>
      <c r="C2452" s="966"/>
      <c r="D2452" s="966"/>
      <c r="E2452" s="966"/>
      <c r="F2452" s="966"/>
      <c r="G2452" s="966"/>
      <c r="H2452" s="995"/>
      <c r="I2452" s="966"/>
      <c r="J2452" s="966"/>
      <c r="K2452" s="966"/>
      <c r="L2452" s="966"/>
      <c r="M2452" s="971"/>
    </row>
    <row r="2453" spans="1:13">
      <c r="A2453" s="966"/>
      <c r="B2453" s="966"/>
      <c r="C2453" s="966"/>
      <c r="D2453" s="966"/>
      <c r="E2453" s="966"/>
      <c r="F2453" s="966"/>
      <c r="G2453" s="966"/>
      <c r="H2453" s="995"/>
      <c r="I2453" s="966"/>
      <c r="J2453" s="966"/>
      <c r="K2453" s="966"/>
      <c r="L2453" s="966"/>
      <c r="M2453" s="971"/>
    </row>
    <row r="2454" spans="1:13">
      <c r="A2454" s="966"/>
      <c r="B2454" s="966"/>
      <c r="C2454" s="966"/>
      <c r="D2454" s="966"/>
      <c r="E2454" s="966"/>
      <c r="F2454" s="966"/>
      <c r="G2454" s="966"/>
      <c r="H2454" s="995"/>
      <c r="I2454" s="966"/>
      <c r="J2454" s="966"/>
      <c r="K2454" s="966"/>
      <c r="L2454" s="966"/>
      <c r="M2454" s="971"/>
    </row>
    <row r="2455" spans="1:13">
      <c r="A2455" s="966"/>
      <c r="B2455" s="966"/>
      <c r="C2455" s="966"/>
      <c r="D2455" s="966"/>
      <c r="E2455" s="966"/>
      <c r="F2455" s="966"/>
      <c r="G2455" s="966"/>
      <c r="H2455" s="995"/>
      <c r="I2455" s="966"/>
      <c r="J2455" s="966"/>
      <c r="K2455" s="966"/>
      <c r="L2455" s="966"/>
      <c r="M2455" s="971"/>
    </row>
    <row r="2456" spans="1:13">
      <c r="A2456" s="966"/>
      <c r="B2456" s="966"/>
      <c r="C2456" s="966"/>
      <c r="D2456" s="966"/>
      <c r="E2456" s="966"/>
      <c r="F2456" s="966"/>
      <c r="G2456" s="966"/>
      <c r="H2456" s="995"/>
      <c r="I2456" s="966"/>
      <c r="J2456" s="966"/>
      <c r="K2456" s="966"/>
      <c r="L2456" s="966"/>
      <c r="M2456" s="971"/>
    </row>
    <row r="2457" spans="1:13">
      <c r="A2457" s="966"/>
      <c r="B2457" s="966"/>
      <c r="C2457" s="966"/>
      <c r="D2457" s="966"/>
      <c r="E2457" s="966"/>
      <c r="F2457" s="966"/>
      <c r="G2457" s="966"/>
      <c r="H2457" s="995"/>
      <c r="I2457" s="966"/>
      <c r="J2457" s="966"/>
      <c r="K2457" s="966"/>
      <c r="L2457" s="966"/>
      <c r="M2457" s="971"/>
    </row>
    <row r="2458" spans="1:13">
      <c r="A2458" s="966"/>
      <c r="B2458" s="966"/>
      <c r="C2458" s="966"/>
      <c r="D2458" s="966"/>
      <c r="E2458" s="966"/>
      <c r="F2458" s="966"/>
      <c r="G2458" s="966"/>
      <c r="H2458" s="995"/>
      <c r="I2458" s="966"/>
      <c r="J2458" s="966"/>
      <c r="K2458" s="966"/>
      <c r="L2458" s="966"/>
      <c r="M2458" s="971"/>
    </row>
    <row r="2459" spans="1:13">
      <c r="A2459" s="966"/>
      <c r="B2459" s="966"/>
      <c r="C2459" s="966"/>
      <c r="D2459" s="966"/>
      <c r="E2459" s="966"/>
      <c r="F2459" s="966"/>
      <c r="G2459" s="966"/>
      <c r="H2459" s="995"/>
      <c r="I2459" s="966"/>
      <c r="J2459" s="966"/>
      <c r="K2459" s="966"/>
      <c r="L2459" s="966"/>
      <c r="M2459" s="971"/>
    </row>
    <row r="2460" spans="1:13">
      <c r="A2460" s="966"/>
      <c r="B2460" s="966"/>
      <c r="C2460" s="966"/>
      <c r="D2460" s="966"/>
      <c r="E2460" s="966"/>
      <c r="F2460" s="966"/>
      <c r="G2460" s="966"/>
      <c r="H2460" s="995"/>
      <c r="I2460" s="966"/>
      <c r="J2460" s="966"/>
      <c r="K2460" s="966"/>
      <c r="L2460" s="966"/>
      <c r="M2460" s="971"/>
    </row>
    <row r="2461" spans="1:13">
      <c r="A2461" s="966"/>
      <c r="B2461" s="966"/>
      <c r="C2461" s="966"/>
      <c r="D2461" s="966"/>
      <c r="E2461" s="966"/>
      <c r="F2461" s="966"/>
      <c r="G2461" s="966"/>
      <c r="H2461" s="995"/>
      <c r="I2461" s="966"/>
      <c r="J2461" s="966"/>
      <c r="K2461" s="966"/>
      <c r="L2461" s="966"/>
      <c r="M2461" s="971"/>
    </row>
    <row r="2462" spans="1:13">
      <c r="A2462" s="966"/>
      <c r="B2462" s="966"/>
      <c r="C2462" s="966"/>
      <c r="D2462" s="966"/>
      <c r="E2462" s="966"/>
      <c r="F2462" s="966"/>
      <c r="G2462" s="966"/>
      <c r="H2462" s="995"/>
      <c r="I2462" s="966"/>
      <c r="J2462" s="966"/>
      <c r="K2462" s="966"/>
      <c r="L2462" s="966"/>
      <c r="M2462" s="971"/>
    </row>
    <row r="2463" spans="1:13">
      <c r="A2463" s="966"/>
      <c r="B2463" s="966"/>
      <c r="C2463" s="966"/>
      <c r="D2463" s="966"/>
      <c r="E2463" s="966"/>
      <c r="F2463" s="966"/>
      <c r="G2463" s="966"/>
      <c r="H2463" s="995"/>
      <c r="I2463" s="966"/>
      <c r="J2463" s="966"/>
      <c r="K2463" s="966"/>
      <c r="L2463" s="966"/>
      <c r="M2463" s="971"/>
    </row>
    <row r="2464" spans="1:13">
      <c r="A2464" s="966"/>
      <c r="B2464" s="966"/>
      <c r="C2464" s="966"/>
      <c r="D2464" s="966"/>
      <c r="E2464" s="966"/>
      <c r="F2464" s="966"/>
      <c r="G2464" s="966"/>
      <c r="H2464" s="995"/>
      <c r="I2464" s="966"/>
      <c r="J2464" s="966"/>
      <c r="K2464" s="966"/>
      <c r="L2464" s="966"/>
      <c r="M2464" s="971"/>
    </row>
    <row r="2465" spans="1:13">
      <c r="A2465" s="966"/>
      <c r="B2465" s="966"/>
      <c r="C2465" s="966"/>
      <c r="D2465" s="966"/>
      <c r="E2465" s="966"/>
      <c r="F2465" s="966"/>
      <c r="G2465" s="966"/>
      <c r="H2465" s="995"/>
      <c r="I2465" s="966"/>
      <c r="J2465" s="966"/>
      <c r="K2465" s="966"/>
      <c r="L2465" s="966"/>
      <c r="M2465" s="971"/>
    </row>
    <row r="2466" spans="1:13">
      <c r="A2466" s="966"/>
      <c r="B2466" s="966"/>
      <c r="C2466" s="966"/>
      <c r="D2466" s="966"/>
      <c r="E2466" s="966"/>
      <c r="F2466" s="966"/>
      <c r="G2466" s="966"/>
      <c r="H2466" s="995"/>
      <c r="I2466" s="966"/>
      <c r="J2466" s="966"/>
      <c r="K2466" s="966"/>
      <c r="L2466" s="966"/>
      <c r="M2466" s="971"/>
    </row>
    <row r="2467" spans="1:13">
      <c r="A2467" s="966"/>
      <c r="B2467" s="966"/>
      <c r="C2467" s="966"/>
      <c r="D2467" s="966"/>
      <c r="E2467" s="966"/>
      <c r="F2467" s="966"/>
      <c r="G2467" s="966"/>
      <c r="H2467" s="995"/>
      <c r="I2467" s="966"/>
      <c r="J2467" s="966"/>
      <c r="K2467" s="966"/>
      <c r="L2467" s="966"/>
      <c r="M2467" s="971"/>
    </row>
    <row r="2468" spans="1:13">
      <c r="A2468" s="966"/>
      <c r="B2468" s="966"/>
      <c r="C2468" s="966"/>
      <c r="D2468" s="966"/>
      <c r="E2468" s="966"/>
      <c r="F2468" s="966"/>
      <c r="G2468" s="966"/>
      <c r="H2468" s="995"/>
      <c r="I2468" s="966"/>
      <c r="J2468" s="966"/>
      <c r="K2468" s="966"/>
      <c r="L2468" s="966"/>
      <c r="M2468" s="971"/>
    </row>
    <row r="2469" spans="1:13">
      <c r="A2469" s="966"/>
      <c r="B2469" s="966"/>
      <c r="C2469" s="966"/>
      <c r="D2469" s="966"/>
      <c r="E2469" s="966"/>
      <c r="F2469" s="966"/>
      <c r="G2469" s="966"/>
      <c r="H2469" s="995"/>
      <c r="I2469" s="966"/>
      <c r="J2469" s="966"/>
      <c r="K2469" s="966"/>
      <c r="L2469" s="966"/>
      <c r="M2469" s="971"/>
    </row>
    <row r="2470" spans="1:13">
      <c r="A2470" s="966"/>
      <c r="B2470" s="966"/>
      <c r="C2470" s="966"/>
      <c r="D2470" s="966"/>
      <c r="E2470" s="966"/>
      <c r="F2470" s="966"/>
      <c r="G2470" s="966"/>
      <c r="H2470" s="995"/>
      <c r="I2470" s="966"/>
      <c r="J2470" s="966"/>
      <c r="K2470" s="966"/>
      <c r="L2470" s="966"/>
      <c r="M2470" s="971"/>
    </row>
    <row r="2471" spans="1:13">
      <c r="A2471" s="966"/>
      <c r="B2471" s="966"/>
      <c r="C2471" s="966"/>
      <c r="D2471" s="966"/>
      <c r="E2471" s="966"/>
      <c r="F2471" s="966"/>
      <c r="G2471" s="966"/>
      <c r="H2471" s="995"/>
      <c r="I2471" s="966"/>
      <c r="J2471" s="966"/>
      <c r="K2471" s="966"/>
      <c r="L2471" s="966"/>
      <c r="M2471" s="971"/>
    </row>
    <row r="2472" spans="1:13">
      <c r="A2472" s="966"/>
      <c r="B2472" s="966"/>
      <c r="C2472" s="966"/>
      <c r="D2472" s="966"/>
      <c r="E2472" s="966"/>
      <c r="F2472" s="966"/>
      <c r="G2472" s="966"/>
      <c r="H2472" s="995"/>
      <c r="I2472" s="966"/>
      <c r="J2472" s="966"/>
      <c r="K2472" s="966"/>
      <c r="L2472" s="966"/>
      <c r="M2472" s="971"/>
    </row>
    <row r="2473" spans="1:13">
      <c r="A2473" s="966"/>
      <c r="B2473" s="966"/>
      <c r="C2473" s="966"/>
      <c r="D2473" s="966"/>
      <c r="E2473" s="966"/>
      <c r="F2473" s="966"/>
      <c r="G2473" s="966"/>
      <c r="H2473" s="995"/>
      <c r="I2473" s="966"/>
      <c r="J2473" s="966"/>
      <c r="K2473" s="966"/>
      <c r="L2473" s="966"/>
      <c r="M2473" s="971"/>
    </row>
    <row r="2474" spans="1:13">
      <c r="A2474" s="966"/>
      <c r="B2474" s="966"/>
      <c r="C2474" s="966"/>
      <c r="D2474" s="966"/>
      <c r="E2474" s="966"/>
      <c r="F2474" s="966"/>
      <c r="G2474" s="966"/>
      <c r="H2474" s="995"/>
      <c r="I2474" s="966"/>
      <c r="J2474" s="966"/>
      <c r="K2474" s="966"/>
      <c r="L2474" s="966"/>
      <c r="M2474" s="971"/>
    </row>
    <row r="2475" spans="1:13">
      <c r="A2475" s="966"/>
      <c r="B2475" s="966"/>
      <c r="C2475" s="966"/>
      <c r="D2475" s="966"/>
      <c r="E2475" s="966"/>
      <c r="F2475" s="966"/>
      <c r="G2475" s="966"/>
      <c r="H2475" s="995"/>
      <c r="I2475" s="966"/>
      <c r="J2475" s="966"/>
      <c r="K2475" s="966"/>
      <c r="L2475" s="966"/>
      <c r="M2475" s="971"/>
    </row>
    <row r="2476" spans="1:13">
      <c r="A2476" s="966"/>
      <c r="B2476" s="966"/>
      <c r="C2476" s="966"/>
      <c r="D2476" s="966"/>
      <c r="E2476" s="966"/>
      <c r="F2476" s="966"/>
      <c r="G2476" s="966"/>
      <c r="H2476" s="995"/>
      <c r="I2476" s="966"/>
      <c r="J2476" s="966"/>
      <c r="K2476" s="966"/>
      <c r="L2476" s="966"/>
      <c r="M2476" s="971"/>
    </row>
    <row r="2477" spans="1:13">
      <c r="A2477" s="966"/>
      <c r="B2477" s="966"/>
      <c r="C2477" s="966"/>
      <c r="D2477" s="966"/>
      <c r="E2477" s="966"/>
      <c r="F2477" s="966"/>
      <c r="G2477" s="966"/>
      <c r="H2477" s="995"/>
      <c r="I2477" s="966"/>
      <c r="J2477" s="966"/>
      <c r="K2477" s="966"/>
      <c r="L2477" s="966"/>
      <c r="M2477" s="971"/>
    </row>
    <row r="2478" spans="1:13">
      <c r="A2478" s="966"/>
      <c r="B2478" s="966"/>
      <c r="C2478" s="966"/>
      <c r="D2478" s="966"/>
      <c r="E2478" s="966"/>
      <c r="F2478" s="966"/>
      <c r="G2478" s="966"/>
      <c r="H2478" s="995"/>
      <c r="I2478" s="966"/>
      <c r="J2478" s="966"/>
      <c r="K2478" s="966"/>
      <c r="L2478" s="966"/>
      <c r="M2478" s="971"/>
    </row>
    <row r="2479" spans="1:13">
      <c r="A2479" s="966"/>
      <c r="B2479" s="966"/>
      <c r="C2479" s="966"/>
      <c r="D2479" s="966"/>
      <c r="E2479" s="966"/>
      <c r="F2479" s="966"/>
      <c r="G2479" s="966"/>
      <c r="H2479" s="995"/>
      <c r="I2479" s="966"/>
      <c r="J2479" s="966"/>
      <c r="K2479" s="966"/>
      <c r="L2479" s="966"/>
      <c r="M2479" s="971"/>
    </row>
    <row r="2480" spans="1:13">
      <c r="A2480" s="966"/>
      <c r="B2480" s="966"/>
      <c r="C2480" s="966"/>
      <c r="D2480" s="966"/>
      <c r="E2480" s="966"/>
      <c r="F2480" s="966"/>
      <c r="G2480" s="966"/>
      <c r="H2480" s="995"/>
      <c r="I2480" s="966"/>
      <c r="J2480" s="966"/>
      <c r="K2480" s="966"/>
      <c r="L2480" s="966"/>
      <c r="M2480" s="971"/>
    </row>
    <row r="2481" spans="1:13">
      <c r="A2481" s="966"/>
      <c r="B2481" s="966"/>
      <c r="C2481" s="966"/>
      <c r="D2481" s="966"/>
      <c r="E2481" s="966"/>
      <c r="F2481" s="966"/>
      <c r="G2481" s="966"/>
      <c r="H2481" s="995"/>
      <c r="I2481" s="966"/>
      <c r="J2481" s="966"/>
      <c r="K2481" s="966"/>
      <c r="L2481" s="966"/>
      <c r="M2481" s="971"/>
    </row>
    <row r="2482" spans="1:13">
      <c r="A2482" s="966"/>
      <c r="B2482" s="966"/>
      <c r="C2482" s="966"/>
      <c r="D2482" s="966"/>
      <c r="E2482" s="966"/>
      <c r="F2482" s="966"/>
      <c r="G2482" s="966"/>
      <c r="H2482" s="995"/>
      <c r="I2482" s="966"/>
      <c r="J2482" s="966"/>
      <c r="K2482" s="966"/>
      <c r="L2482" s="966"/>
      <c r="M2482" s="971"/>
    </row>
    <row r="2483" spans="1:13">
      <c r="A2483" s="966"/>
      <c r="B2483" s="966"/>
      <c r="C2483" s="966"/>
      <c r="D2483" s="966"/>
      <c r="E2483" s="966"/>
      <c r="F2483" s="966"/>
      <c r="G2483" s="966"/>
      <c r="H2483" s="995"/>
      <c r="I2483" s="966"/>
      <c r="J2483" s="966"/>
      <c r="K2483" s="966"/>
      <c r="L2483" s="966"/>
      <c r="M2483" s="971"/>
    </row>
    <row r="2484" spans="1:13">
      <c r="A2484" s="966"/>
      <c r="B2484" s="966"/>
      <c r="C2484" s="966"/>
      <c r="D2484" s="966"/>
      <c r="E2484" s="966"/>
      <c r="F2484" s="966"/>
      <c r="G2484" s="966"/>
      <c r="H2484" s="995"/>
      <c r="I2484" s="966"/>
      <c r="J2484" s="966"/>
      <c r="K2484" s="966"/>
      <c r="L2484" s="966"/>
      <c r="M2484" s="971"/>
    </row>
    <row r="2485" spans="1:13">
      <c r="A2485" s="966"/>
      <c r="B2485" s="966"/>
      <c r="C2485" s="966"/>
      <c r="D2485" s="966"/>
      <c r="E2485" s="966"/>
      <c r="F2485" s="966"/>
      <c r="G2485" s="966"/>
      <c r="H2485" s="995"/>
      <c r="I2485" s="966"/>
      <c r="J2485" s="966"/>
      <c r="K2485" s="966"/>
      <c r="L2485" s="966"/>
      <c r="M2485" s="971"/>
    </row>
    <row r="2486" spans="1:13">
      <c r="A2486" s="966"/>
      <c r="B2486" s="966"/>
      <c r="C2486" s="966"/>
      <c r="D2486" s="966"/>
      <c r="E2486" s="966"/>
      <c r="F2486" s="966"/>
      <c r="G2486" s="966"/>
      <c r="H2486" s="995"/>
      <c r="I2486" s="966"/>
      <c r="J2486" s="966"/>
      <c r="K2486" s="966"/>
      <c r="L2486" s="966"/>
      <c r="M2486" s="971"/>
    </row>
    <row r="2487" spans="1:13">
      <c r="A2487" s="966"/>
      <c r="B2487" s="966"/>
      <c r="C2487" s="966"/>
      <c r="D2487" s="966"/>
      <c r="E2487" s="966"/>
      <c r="F2487" s="966"/>
      <c r="G2487" s="966"/>
      <c r="H2487" s="995"/>
      <c r="I2487" s="966"/>
      <c r="J2487" s="966"/>
      <c r="K2487" s="966"/>
      <c r="L2487" s="966"/>
      <c r="M2487" s="971"/>
    </row>
    <row r="2488" spans="1:13">
      <c r="A2488" s="966"/>
      <c r="B2488" s="966"/>
      <c r="C2488" s="966"/>
      <c r="D2488" s="966"/>
      <c r="E2488" s="966"/>
      <c r="F2488" s="966"/>
      <c r="G2488" s="966"/>
      <c r="H2488" s="995"/>
      <c r="I2488" s="966"/>
      <c r="J2488" s="966"/>
      <c r="K2488" s="966"/>
      <c r="L2488" s="966"/>
      <c r="M2488" s="971"/>
    </row>
    <row r="2489" spans="1:13">
      <c r="A2489" s="966"/>
      <c r="B2489" s="966"/>
      <c r="C2489" s="966"/>
      <c r="D2489" s="966"/>
      <c r="E2489" s="966"/>
      <c r="F2489" s="966"/>
      <c r="G2489" s="966"/>
      <c r="H2489" s="995"/>
      <c r="I2489" s="966"/>
      <c r="J2489" s="966"/>
      <c r="K2489" s="966"/>
      <c r="L2489" s="966"/>
      <c r="M2489" s="971"/>
    </row>
    <row r="2490" spans="1:13">
      <c r="A2490" s="966"/>
      <c r="B2490" s="966"/>
      <c r="C2490" s="966"/>
      <c r="D2490" s="966"/>
      <c r="E2490" s="966"/>
      <c r="F2490" s="966"/>
      <c r="G2490" s="966"/>
      <c r="H2490" s="995"/>
      <c r="I2490" s="966"/>
      <c r="J2490" s="966"/>
      <c r="K2490" s="966"/>
      <c r="L2490" s="966"/>
      <c r="M2490" s="971"/>
    </row>
    <row r="2491" spans="1:13">
      <c r="A2491" s="966"/>
      <c r="B2491" s="966"/>
      <c r="C2491" s="966"/>
      <c r="D2491" s="966"/>
      <c r="E2491" s="966"/>
      <c r="F2491" s="966"/>
      <c r="G2491" s="966"/>
      <c r="H2491" s="995"/>
      <c r="I2491" s="966"/>
      <c r="J2491" s="966"/>
      <c r="K2491" s="966"/>
      <c r="L2491" s="966"/>
      <c r="M2491" s="971"/>
    </row>
    <row r="2492" spans="1:13">
      <c r="A2492" s="966"/>
      <c r="B2492" s="966"/>
      <c r="C2492" s="966"/>
      <c r="D2492" s="966"/>
      <c r="E2492" s="966"/>
      <c r="F2492" s="966"/>
      <c r="G2492" s="966"/>
      <c r="H2492" s="995"/>
      <c r="I2492" s="966"/>
      <c r="J2492" s="966"/>
      <c r="K2492" s="966"/>
      <c r="L2492" s="966"/>
      <c r="M2492" s="971"/>
    </row>
    <row r="2493" spans="1:13">
      <c r="A2493" s="966"/>
      <c r="B2493" s="966"/>
      <c r="C2493" s="966"/>
      <c r="D2493" s="966"/>
      <c r="E2493" s="966"/>
      <c r="F2493" s="966"/>
      <c r="G2493" s="966"/>
      <c r="H2493" s="995"/>
      <c r="I2493" s="966"/>
      <c r="J2493" s="966"/>
      <c r="K2493" s="966"/>
      <c r="L2493" s="966"/>
      <c r="M2493" s="971"/>
    </row>
    <row r="2494" spans="1:13">
      <c r="A2494" s="966"/>
      <c r="B2494" s="966"/>
      <c r="C2494" s="966"/>
      <c r="D2494" s="966"/>
      <c r="E2494" s="966"/>
      <c r="F2494" s="966"/>
      <c r="G2494" s="966"/>
      <c r="H2494" s="995"/>
      <c r="I2494" s="966"/>
      <c r="J2494" s="966"/>
      <c r="K2494" s="966"/>
      <c r="L2494" s="966"/>
      <c r="M2494" s="971"/>
    </row>
    <row r="2495" spans="1:13">
      <c r="A2495" s="966"/>
      <c r="B2495" s="966"/>
      <c r="C2495" s="966"/>
      <c r="D2495" s="966"/>
      <c r="E2495" s="966"/>
      <c r="F2495" s="966"/>
      <c r="G2495" s="966"/>
      <c r="H2495" s="995"/>
      <c r="I2495" s="966"/>
      <c r="J2495" s="966"/>
      <c r="K2495" s="966"/>
      <c r="L2495" s="966"/>
      <c r="M2495" s="971"/>
    </row>
    <row r="2496" spans="1:13">
      <c r="A2496" s="966"/>
      <c r="B2496" s="966"/>
      <c r="C2496" s="966"/>
      <c r="D2496" s="966"/>
      <c r="E2496" s="966"/>
      <c r="F2496" s="966"/>
      <c r="G2496" s="966"/>
      <c r="H2496" s="995"/>
      <c r="I2496" s="966"/>
      <c r="J2496" s="966"/>
      <c r="K2496" s="966"/>
      <c r="L2496" s="966"/>
      <c r="M2496" s="971"/>
    </row>
    <row r="2497" spans="1:13">
      <c r="A2497" s="966"/>
      <c r="B2497" s="966"/>
      <c r="C2497" s="966"/>
      <c r="D2497" s="966"/>
      <c r="E2497" s="966"/>
      <c r="F2497" s="966"/>
      <c r="G2497" s="966"/>
      <c r="H2497" s="995"/>
      <c r="I2497" s="966"/>
      <c r="J2497" s="966"/>
      <c r="K2497" s="966"/>
      <c r="L2497" s="966"/>
      <c r="M2497" s="971"/>
    </row>
    <row r="2498" spans="1:13">
      <c r="A2498" s="966"/>
      <c r="B2498" s="966"/>
      <c r="C2498" s="966"/>
      <c r="D2498" s="966"/>
      <c r="E2498" s="966"/>
      <c r="F2498" s="966"/>
      <c r="G2498" s="966"/>
      <c r="H2498" s="995"/>
      <c r="I2498" s="966"/>
      <c r="J2498" s="966"/>
      <c r="K2498" s="966"/>
      <c r="L2498" s="966"/>
      <c r="M2498" s="971"/>
    </row>
    <row r="2499" spans="1:13">
      <c r="A2499" s="966"/>
      <c r="B2499" s="966"/>
      <c r="C2499" s="966"/>
      <c r="D2499" s="966"/>
      <c r="E2499" s="966"/>
      <c r="F2499" s="966"/>
      <c r="G2499" s="966"/>
      <c r="H2499" s="995"/>
      <c r="I2499" s="966"/>
      <c r="J2499" s="966"/>
      <c r="K2499" s="966"/>
      <c r="L2499" s="966"/>
      <c r="M2499" s="971"/>
    </row>
    <row r="2500" spans="1:13">
      <c r="A2500" s="966"/>
      <c r="B2500" s="966"/>
      <c r="C2500" s="966"/>
      <c r="D2500" s="966"/>
      <c r="E2500" s="966"/>
      <c r="F2500" s="966"/>
      <c r="G2500" s="966"/>
      <c r="H2500" s="995"/>
      <c r="I2500" s="966"/>
      <c r="J2500" s="966"/>
      <c r="K2500" s="966"/>
      <c r="L2500" s="966"/>
      <c r="M2500" s="971"/>
    </row>
    <row r="2501" spans="1:13">
      <c r="A2501" s="966"/>
      <c r="B2501" s="966"/>
      <c r="C2501" s="966"/>
      <c r="D2501" s="966"/>
      <c r="E2501" s="966"/>
      <c r="F2501" s="966"/>
      <c r="G2501" s="966"/>
      <c r="H2501" s="995"/>
      <c r="I2501" s="966"/>
      <c r="J2501" s="966"/>
      <c r="K2501" s="966"/>
      <c r="L2501" s="966"/>
      <c r="M2501" s="971"/>
    </row>
    <row r="2502" spans="1:13">
      <c r="A2502" s="966"/>
      <c r="B2502" s="966"/>
      <c r="C2502" s="966"/>
      <c r="D2502" s="966"/>
      <c r="E2502" s="966"/>
      <c r="F2502" s="966"/>
      <c r="G2502" s="966"/>
      <c r="H2502" s="995"/>
      <c r="I2502" s="966"/>
      <c r="J2502" s="966"/>
      <c r="K2502" s="966"/>
      <c r="L2502" s="966"/>
      <c r="M2502" s="971"/>
    </row>
    <row r="2503" spans="1:13">
      <c r="A2503" s="966"/>
      <c r="B2503" s="966"/>
      <c r="C2503" s="966"/>
      <c r="D2503" s="966"/>
      <c r="E2503" s="966"/>
      <c r="F2503" s="966"/>
      <c r="G2503" s="966"/>
      <c r="H2503" s="995"/>
      <c r="I2503" s="966"/>
      <c r="J2503" s="966"/>
      <c r="K2503" s="966"/>
      <c r="L2503" s="966"/>
      <c r="M2503" s="971"/>
    </row>
    <row r="2504" spans="1:13">
      <c r="A2504" s="966"/>
      <c r="B2504" s="966"/>
      <c r="C2504" s="966"/>
      <c r="D2504" s="966"/>
      <c r="E2504" s="966"/>
      <c r="F2504" s="966"/>
      <c r="G2504" s="966"/>
      <c r="H2504" s="995"/>
      <c r="I2504" s="966"/>
      <c r="J2504" s="966"/>
      <c r="K2504" s="966"/>
      <c r="L2504" s="966"/>
      <c r="M2504" s="971"/>
    </row>
    <row r="2505" spans="1:13">
      <c r="A2505" s="966"/>
      <c r="B2505" s="966"/>
      <c r="C2505" s="966"/>
      <c r="D2505" s="966"/>
      <c r="E2505" s="966"/>
      <c r="F2505" s="966"/>
      <c r="G2505" s="966"/>
      <c r="H2505" s="995"/>
      <c r="I2505" s="966"/>
      <c r="J2505" s="966"/>
      <c r="K2505" s="966"/>
      <c r="L2505" s="966"/>
      <c r="M2505" s="971"/>
    </row>
    <row r="2506" spans="1:13">
      <c r="A2506" s="966"/>
      <c r="B2506" s="966"/>
      <c r="C2506" s="966"/>
      <c r="D2506" s="966"/>
      <c r="E2506" s="966"/>
      <c r="F2506" s="966"/>
      <c r="G2506" s="966"/>
      <c r="H2506" s="995"/>
      <c r="I2506" s="966"/>
      <c r="J2506" s="966"/>
      <c r="K2506" s="966"/>
      <c r="L2506" s="966"/>
      <c r="M2506" s="971"/>
    </row>
    <row r="2507" spans="1:13">
      <c r="A2507" s="966"/>
      <c r="B2507" s="966"/>
      <c r="C2507" s="966"/>
      <c r="D2507" s="966"/>
      <c r="E2507" s="966"/>
      <c r="F2507" s="966"/>
      <c r="G2507" s="966"/>
      <c r="H2507" s="995"/>
      <c r="I2507" s="966"/>
      <c r="J2507" s="966"/>
      <c r="K2507" s="966"/>
      <c r="L2507" s="966"/>
      <c r="M2507" s="971"/>
    </row>
    <row r="2508" spans="1:13">
      <c r="A2508" s="966"/>
      <c r="B2508" s="966"/>
      <c r="C2508" s="966"/>
      <c r="D2508" s="966"/>
      <c r="E2508" s="966"/>
      <c r="F2508" s="966"/>
      <c r="G2508" s="966"/>
      <c r="H2508" s="995"/>
      <c r="I2508" s="966"/>
      <c r="J2508" s="966"/>
      <c r="K2508" s="966"/>
      <c r="L2508" s="966"/>
      <c r="M2508" s="971"/>
    </row>
    <row r="2509" spans="1:13">
      <c r="A2509" s="966"/>
      <c r="B2509" s="966"/>
      <c r="C2509" s="966"/>
      <c r="D2509" s="966"/>
      <c r="E2509" s="966"/>
      <c r="F2509" s="966"/>
      <c r="G2509" s="966"/>
      <c r="H2509" s="995"/>
      <c r="I2509" s="966"/>
      <c r="J2509" s="966"/>
      <c r="K2509" s="966"/>
      <c r="L2509" s="966"/>
      <c r="M2509" s="971"/>
    </row>
    <row r="2510" spans="1:13">
      <c r="A2510" s="966"/>
      <c r="B2510" s="966"/>
      <c r="C2510" s="966"/>
      <c r="D2510" s="966"/>
      <c r="E2510" s="966"/>
      <c r="F2510" s="966"/>
      <c r="G2510" s="966"/>
      <c r="H2510" s="995"/>
      <c r="I2510" s="966"/>
      <c r="J2510" s="966"/>
      <c r="K2510" s="966"/>
      <c r="L2510" s="966"/>
      <c r="M2510" s="971"/>
    </row>
    <row r="2511" spans="1:13">
      <c r="A2511" s="966"/>
      <c r="B2511" s="966"/>
      <c r="C2511" s="966"/>
      <c r="D2511" s="966"/>
      <c r="E2511" s="966"/>
      <c r="F2511" s="966"/>
      <c r="G2511" s="966"/>
      <c r="H2511" s="995"/>
      <c r="I2511" s="966"/>
      <c r="J2511" s="966"/>
      <c r="K2511" s="966"/>
      <c r="L2511" s="966"/>
      <c r="M2511" s="971"/>
    </row>
    <row r="2512" spans="1:13">
      <c r="A2512" s="966"/>
      <c r="B2512" s="966"/>
      <c r="C2512" s="966"/>
      <c r="D2512" s="966"/>
      <c r="E2512" s="966"/>
      <c r="F2512" s="966"/>
      <c r="G2512" s="966"/>
      <c r="H2512" s="995"/>
      <c r="I2512" s="966"/>
      <c r="J2512" s="966"/>
      <c r="K2512" s="966"/>
      <c r="L2512" s="966"/>
      <c r="M2512" s="971"/>
    </row>
    <row r="2513" spans="1:13">
      <c r="A2513" s="966"/>
      <c r="B2513" s="966"/>
      <c r="C2513" s="966"/>
      <c r="D2513" s="966"/>
      <c r="E2513" s="966"/>
      <c r="F2513" s="966"/>
      <c r="G2513" s="966"/>
      <c r="H2513" s="995"/>
      <c r="I2513" s="966"/>
      <c r="J2513" s="966"/>
      <c r="K2513" s="966"/>
      <c r="L2513" s="966"/>
      <c r="M2513" s="971"/>
    </row>
    <row r="2514" spans="1:13">
      <c r="A2514" s="966"/>
      <c r="B2514" s="966"/>
      <c r="C2514" s="966"/>
      <c r="D2514" s="966"/>
      <c r="E2514" s="966"/>
      <c r="F2514" s="966"/>
      <c r="G2514" s="966"/>
      <c r="H2514" s="995"/>
      <c r="I2514" s="966"/>
      <c r="J2514" s="966"/>
      <c r="K2514" s="966"/>
      <c r="L2514" s="966"/>
      <c r="M2514" s="971"/>
    </row>
    <row r="2515" spans="1:13">
      <c r="A2515" s="966"/>
      <c r="B2515" s="966"/>
      <c r="C2515" s="966"/>
      <c r="D2515" s="966"/>
      <c r="E2515" s="966"/>
      <c r="F2515" s="966"/>
      <c r="G2515" s="966"/>
      <c r="H2515" s="995"/>
      <c r="I2515" s="966"/>
      <c r="J2515" s="966"/>
      <c r="K2515" s="966"/>
      <c r="L2515" s="966"/>
      <c r="M2515" s="971"/>
    </row>
    <row r="2516" spans="1:13">
      <c r="A2516" s="966"/>
      <c r="B2516" s="966"/>
      <c r="C2516" s="966"/>
      <c r="D2516" s="966"/>
      <c r="E2516" s="966"/>
      <c r="F2516" s="966"/>
      <c r="G2516" s="966"/>
      <c r="H2516" s="995"/>
      <c r="I2516" s="966"/>
      <c r="J2516" s="966"/>
      <c r="K2516" s="966"/>
      <c r="L2516" s="966"/>
      <c r="M2516" s="971"/>
    </row>
    <row r="2517" spans="1:13">
      <c r="A2517" s="966"/>
      <c r="B2517" s="966"/>
      <c r="C2517" s="966"/>
      <c r="D2517" s="966"/>
      <c r="E2517" s="966"/>
      <c r="F2517" s="966"/>
      <c r="G2517" s="966"/>
      <c r="H2517" s="995"/>
      <c r="I2517" s="966"/>
      <c r="J2517" s="966"/>
      <c r="K2517" s="966"/>
      <c r="L2517" s="966"/>
      <c r="M2517" s="971"/>
    </row>
    <row r="2518" spans="1:13">
      <c r="A2518" s="966"/>
      <c r="B2518" s="966"/>
      <c r="C2518" s="966"/>
      <c r="D2518" s="966"/>
      <c r="E2518" s="966"/>
      <c r="F2518" s="966"/>
      <c r="G2518" s="966"/>
      <c r="H2518" s="995"/>
      <c r="I2518" s="966"/>
      <c r="J2518" s="966"/>
      <c r="K2518" s="966"/>
      <c r="L2518" s="966"/>
      <c r="M2518" s="971"/>
    </row>
    <row r="2519" spans="1:13">
      <c r="A2519" s="966"/>
      <c r="B2519" s="966"/>
      <c r="C2519" s="966"/>
      <c r="D2519" s="966"/>
      <c r="E2519" s="966"/>
      <c r="F2519" s="966"/>
      <c r="G2519" s="966"/>
      <c r="H2519" s="995"/>
      <c r="I2519" s="966"/>
      <c r="J2519" s="966"/>
      <c r="K2519" s="966"/>
      <c r="L2519" s="966"/>
      <c r="M2519" s="971"/>
    </row>
    <row r="2520" spans="1:13">
      <c r="A2520" s="966"/>
      <c r="B2520" s="966"/>
      <c r="C2520" s="966"/>
      <c r="D2520" s="966"/>
      <c r="E2520" s="966"/>
      <c r="F2520" s="966"/>
      <c r="G2520" s="966"/>
      <c r="H2520" s="995"/>
      <c r="I2520" s="966"/>
      <c r="J2520" s="966"/>
      <c r="K2520" s="966"/>
      <c r="L2520" s="966"/>
      <c r="M2520" s="971"/>
    </row>
    <row r="2521" spans="1:13">
      <c r="A2521" s="966"/>
      <c r="B2521" s="966"/>
      <c r="C2521" s="966"/>
      <c r="D2521" s="966"/>
      <c r="E2521" s="966"/>
      <c r="F2521" s="966"/>
      <c r="G2521" s="966"/>
      <c r="H2521" s="995"/>
      <c r="I2521" s="966"/>
      <c r="J2521" s="966"/>
      <c r="K2521" s="966"/>
      <c r="L2521" s="966"/>
      <c r="M2521" s="971"/>
    </row>
    <row r="2522" spans="1:13">
      <c r="A2522" s="966"/>
      <c r="B2522" s="966"/>
      <c r="C2522" s="966"/>
      <c r="D2522" s="966"/>
      <c r="E2522" s="966"/>
      <c r="F2522" s="966"/>
      <c r="G2522" s="966"/>
      <c r="H2522" s="995"/>
      <c r="I2522" s="966"/>
      <c r="J2522" s="966"/>
      <c r="K2522" s="966"/>
      <c r="L2522" s="966"/>
      <c r="M2522" s="971"/>
    </row>
    <row r="2523" spans="1:13">
      <c r="A2523" s="966"/>
      <c r="B2523" s="966"/>
      <c r="C2523" s="966"/>
      <c r="D2523" s="966"/>
      <c r="E2523" s="966"/>
      <c r="F2523" s="966"/>
      <c r="G2523" s="966"/>
      <c r="H2523" s="995"/>
      <c r="I2523" s="966"/>
      <c r="J2523" s="966"/>
      <c r="K2523" s="966"/>
      <c r="L2523" s="966"/>
      <c r="M2523" s="971"/>
    </row>
    <row r="2524" spans="1:13">
      <c r="A2524" s="966"/>
      <c r="B2524" s="966"/>
      <c r="C2524" s="966"/>
      <c r="D2524" s="966"/>
      <c r="E2524" s="966"/>
      <c r="F2524" s="966"/>
      <c r="G2524" s="966"/>
      <c r="H2524" s="995"/>
      <c r="I2524" s="966"/>
      <c r="J2524" s="966"/>
      <c r="K2524" s="966"/>
      <c r="L2524" s="966"/>
      <c r="M2524" s="971"/>
    </row>
    <row r="2525" spans="1:13">
      <c r="A2525" s="966"/>
      <c r="B2525" s="966"/>
      <c r="C2525" s="966"/>
      <c r="D2525" s="966"/>
      <c r="E2525" s="966"/>
      <c r="F2525" s="966"/>
      <c r="G2525" s="966"/>
      <c r="H2525" s="995"/>
      <c r="I2525" s="966"/>
      <c r="J2525" s="966"/>
      <c r="K2525" s="966"/>
      <c r="L2525" s="966"/>
      <c r="M2525" s="971"/>
    </row>
    <row r="2526" spans="1:13">
      <c r="A2526" s="966"/>
      <c r="B2526" s="966"/>
      <c r="C2526" s="966"/>
      <c r="D2526" s="966"/>
      <c r="E2526" s="966"/>
      <c r="F2526" s="966"/>
      <c r="G2526" s="966"/>
      <c r="H2526" s="995"/>
      <c r="I2526" s="966"/>
      <c r="J2526" s="966"/>
      <c r="K2526" s="966"/>
      <c r="L2526" s="966"/>
      <c r="M2526" s="971"/>
    </row>
    <row r="2527" spans="1:13">
      <c r="A2527" s="966"/>
      <c r="B2527" s="966"/>
      <c r="C2527" s="966"/>
      <c r="D2527" s="966"/>
      <c r="E2527" s="966"/>
      <c r="F2527" s="966"/>
      <c r="G2527" s="966"/>
      <c r="H2527" s="995"/>
      <c r="I2527" s="966"/>
      <c r="J2527" s="966"/>
      <c r="K2527" s="966"/>
      <c r="L2527" s="966"/>
      <c r="M2527" s="971"/>
    </row>
    <row r="2528" spans="1:13">
      <c r="A2528" s="966"/>
      <c r="B2528" s="966"/>
      <c r="C2528" s="966"/>
      <c r="D2528" s="966"/>
      <c r="E2528" s="966"/>
      <c r="F2528" s="966"/>
      <c r="G2528" s="966"/>
      <c r="H2528" s="995"/>
      <c r="I2528" s="966"/>
      <c r="J2528" s="966"/>
      <c r="K2528" s="966"/>
      <c r="L2528" s="966"/>
      <c r="M2528" s="971"/>
    </row>
    <row r="2529" spans="1:13">
      <c r="A2529" s="966"/>
      <c r="B2529" s="966"/>
      <c r="C2529" s="966"/>
      <c r="D2529" s="966"/>
      <c r="E2529" s="966"/>
      <c r="F2529" s="966"/>
      <c r="G2529" s="966"/>
      <c r="H2529" s="995"/>
      <c r="I2529" s="966"/>
      <c r="J2529" s="966"/>
      <c r="K2529" s="966"/>
      <c r="L2529" s="966"/>
      <c r="M2529" s="971"/>
    </row>
    <row r="2530" spans="1:13">
      <c r="A2530" s="966"/>
      <c r="B2530" s="966"/>
      <c r="C2530" s="966"/>
      <c r="D2530" s="966"/>
      <c r="E2530" s="966"/>
      <c r="F2530" s="966"/>
      <c r="G2530" s="966"/>
      <c r="H2530" s="995"/>
      <c r="I2530" s="966"/>
      <c r="J2530" s="966"/>
      <c r="K2530" s="966"/>
      <c r="L2530" s="966"/>
      <c r="M2530" s="971"/>
    </row>
    <row r="2531" spans="1:13">
      <c r="A2531" s="966"/>
      <c r="B2531" s="966"/>
      <c r="C2531" s="966"/>
      <c r="D2531" s="966"/>
      <c r="E2531" s="966"/>
      <c r="F2531" s="966"/>
      <c r="G2531" s="966"/>
      <c r="H2531" s="995"/>
      <c r="I2531" s="966"/>
      <c r="J2531" s="966"/>
      <c r="K2531" s="966"/>
      <c r="L2531" s="966"/>
      <c r="M2531" s="971"/>
    </row>
    <row r="2532" spans="1:13">
      <c r="A2532" s="966"/>
      <c r="B2532" s="966"/>
      <c r="C2532" s="966"/>
      <c r="D2532" s="966"/>
      <c r="E2532" s="966"/>
      <c r="F2532" s="966"/>
      <c r="G2532" s="966"/>
      <c r="H2532" s="995"/>
      <c r="I2532" s="966"/>
      <c r="J2532" s="966"/>
      <c r="K2532" s="966"/>
      <c r="L2532" s="966"/>
      <c r="M2532" s="971"/>
    </row>
    <row r="2533" spans="1:13">
      <c r="A2533" s="966"/>
      <c r="B2533" s="966"/>
      <c r="C2533" s="966"/>
      <c r="D2533" s="966"/>
      <c r="E2533" s="966"/>
      <c r="F2533" s="966"/>
      <c r="G2533" s="966"/>
      <c r="H2533" s="995"/>
      <c r="I2533" s="966"/>
      <c r="J2533" s="966"/>
      <c r="K2533" s="966"/>
      <c r="L2533" s="966"/>
      <c r="M2533" s="971"/>
    </row>
    <row r="2534" spans="1:13">
      <c r="A2534" s="966"/>
      <c r="B2534" s="966"/>
      <c r="C2534" s="966"/>
      <c r="D2534" s="966"/>
      <c r="E2534" s="966"/>
      <c r="F2534" s="966"/>
      <c r="G2534" s="966"/>
      <c r="H2534" s="995"/>
      <c r="I2534" s="966"/>
      <c r="J2534" s="966"/>
      <c r="K2534" s="966"/>
      <c r="L2534" s="966"/>
      <c r="M2534" s="971"/>
    </row>
    <row r="2535" spans="1:13">
      <c r="A2535" s="966"/>
      <c r="B2535" s="966"/>
      <c r="C2535" s="966"/>
      <c r="D2535" s="966"/>
      <c r="E2535" s="966"/>
      <c r="F2535" s="966"/>
      <c r="G2535" s="966"/>
      <c r="H2535" s="995"/>
      <c r="I2535" s="966"/>
      <c r="J2535" s="966"/>
      <c r="K2535" s="966"/>
      <c r="L2535" s="966"/>
      <c r="M2535" s="971"/>
    </row>
    <row r="2536" spans="1:13">
      <c r="A2536" s="966"/>
      <c r="B2536" s="966"/>
      <c r="C2536" s="966"/>
      <c r="D2536" s="966"/>
      <c r="E2536" s="966"/>
      <c r="F2536" s="966"/>
      <c r="G2536" s="966"/>
      <c r="H2536" s="995"/>
      <c r="I2536" s="966"/>
      <c r="J2536" s="966"/>
      <c r="K2536" s="966"/>
      <c r="L2536" s="966"/>
      <c r="M2536" s="971"/>
    </row>
    <row r="2537" spans="1:13">
      <c r="A2537" s="966"/>
      <c r="B2537" s="966"/>
      <c r="C2537" s="966"/>
      <c r="D2537" s="966"/>
      <c r="E2537" s="966"/>
      <c r="F2537" s="966"/>
      <c r="G2537" s="966"/>
      <c r="H2537" s="995"/>
      <c r="I2537" s="966"/>
      <c r="J2537" s="966"/>
      <c r="K2537" s="966"/>
      <c r="L2537" s="966"/>
      <c r="M2537" s="971"/>
    </row>
    <row r="2538" spans="1:13">
      <c r="A2538" s="966"/>
      <c r="B2538" s="966"/>
      <c r="C2538" s="966"/>
      <c r="D2538" s="966"/>
      <c r="E2538" s="966"/>
      <c r="F2538" s="966"/>
      <c r="G2538" s="966"/>
      <c r="H2538" s="995"/>
      <c r="I2538" s="966"/>
      <c r="J2538" s="966"/>
      <c r="K2538" s="966"/>
      <c r="L2538" s="966"/>
      <c r="M2538" s="971"/>
    </row>
    <row r="2539" spans="1:13">
      <c r="A2539" s="966"/>
      <c r="B2539" s="966"/>
      <c r="C2539" s="966"/>
      <c r="D2539" s="966"/>
      <c r="E2539" s="966"/>
      <c r="F2539" s="966"/>
      <c r="G2539" s="966"/>
      <c r="H2539" s="995"/>
      <c r="I2539" s="966"/>
      <c r="J2539" s="966"/>
      <c r="K2539" s="966"/>
      <c r="L2539" s="966"/>
      <c r="M2539" s="971"/>
    </row>
    <row r="2540" spans="1:13">
      <c r="A2540" s="966"/>
      <c r="B2540" s="966"/>
      <c r="C2540" s="966"/>
      <c r="D2540" s="966"/>
      <c r="E2540" s="966"/>
      <c r="F2540" s="966"/>
      <c r="G2540" s="966"/>
      <c r="H2540" s="995"/>
      <c r="I2540" s="966"/>
      <c r="J2540" s="966"/>
      <c r="K2540" s="966"/>
      <c r="L2540" s="966"/>
      <c r="M2540" s="971"/>
    </row>
    <row r="2541" spans="1:13">
      <c r="A2541" s="966"/>
      <c r="B2541" s="966"/>
      <c r="C2541" s="966"/>
      <c r="D2541" s="966"/>
      <c r="E2541" s="966"/>
      <c r="F2541" s="966"/>
      <c r="G2541" s="966"/>
      <c r="H2541" s="995"/>
      <c r="I2541" s="966"/>
      <c r="J2541" s="966"/>
      <c r="K2541" s="966"/>
      <c r="L2541" s="966"/>
      <c r="M2541" s="971"/>
    </row>
    <row r="2542" spans="1:13">
      <c r="A2542" s="966"/>
      <c r="B2542" s="966"/>
      <c r="C2542" s="966"/>
      <c r="D2542" s="966"/>
      <c r="E2542" s="966"/>
      <c r="F2542" s="966"/>
      <c r="G2542" s="966"/>
      <c r="H2542" s="995"/>
      <c r="I2542" s="966"/>
      <c r="J2542" s="966"/>
      <c r="K2542" s="966"/>
      <c r="L2542" s="966"/>
      <c r="M2542" s="971"/>
    </row>
    <row r="2543" spans="1:13">
      <c r="A2543" s="966"/>
      <c r="B2543" s="966"/>
      <c r="C2543" s="966"/>
      <c r="D2543" s="966"/>
      <c r="E2543" s="966"/>
      <c r="F2543" s="966"/>
      <c r="G2543" s="966"/>
      <c r="H2543" s="995"/>
      <c r="I2543" s="966"/>
      <c r="J2543" s="966"/>
      <c r="K2543" s="966"/>
      <c r="L2543" s="966"/>
      <c r="M2543" s="971"/>
    </row>
    <row r="2544" spans="1:13">
      <c r="A2544" s="966"/>
      <c r="B2544" s="966"/>
      <c r="C2544" s="966"/>
      <c r="D2544" s="966"/>
      <c r="E2544" s="966"/>
      <c r="F2544" s="966"/>
      <c r="G2544" s="966"/>
      <c r="H2544" s="995"/>
      <c r="I2544" s="966"/>
      <c r="J2544" s="966"/>
      <c r="K2544" s="966"/>
      <c r="L2544" s="966"/>
      <c r="M2544" s="971"/>
    </row>
    <row r="2545" spans="1:13">
      <c r="A2545" s="966"/>
      <c r="B2545" s="966"/>
      <c r="C2545" s="966"/>
      <c r="D2545" s="966"/>
      <c r="E2545" s="966"/>
      <c r="F2545" s="966"/>
      <c r="G2545" s="966"/>
      <c r="H2545" s="995"/>
      <c r="I2545" s="966"/>
      <c r="J2545" s="966"/>
      <c r="K2545" s="966"/>
      <c r="L2545" s="966"/>
      <c r="M2545" s="971"/>
    </row>
    <row r="2546" spans="1:13">
      <c r="A2546" s="966"/>
      <c r="B2546" s="966"/>
      <c r="C2546" s="966"/>
      <c r="D2546" s="966"/>
      <c r="E2546" s="966"/>
      <c r="F2546" s="966"/>
      <c r="G2546" s="966"/>
      <c r="H2546" s="995"/>
      <c r="I2546" s="966"/>
      <c r="J2546" s="966"/>
      <c r="K2546" s="966"/>
      <c r="L2546" s="966"/>
      <c r="M2546" s="971"/>
    </row>
    <row r="2547" spans="1:13">
      <c r="A2547" s="966"/>
      <c r="B2547" s="966"/>
      <c r="C2547" s="966"/>
      <c r="D2547" s="966"/>
      <c r="E2547" s="966"/>
      <c r="F2547" s="966"/>
      <c r="G2547" s="966"/>
      <c r="H2547" s="995"/>
      <c r="I2547" s="966"/>
      <c r="J2547" s="966"/>
      <c r="K2547" s="966"/>
      <c r="L2547" s="966"/>
      <c r="M2547" s="971"/>
    </row>
    <row r="2548" spans="1:13">
      <c r="A2548" s="966"/>
      <c r="B2548" s="966"/>
      <c r="C2548" s="966"/>
      <c r="D2548" s="966"/>
      <c r="E2548" s="966"/>
      <c r="F2548" s="966"/>
      <c r="G2548" s="966"/>
      <c r="H2548" s="995"/>
      <c r="I2548" s="966"/>
      <c r="J2548" s="966"/>
      <c r="K2548" s="966"/>
      <c r="L2548" s="966"/>
      <c r="M2548" s="971"/>
    </row>
    <row r="2549" spans="1:13">
      <c r="A2549" s="966"/>
      <c r="B2549" s="966"/>
      <c r="C2549" s="966"/>
      <c r="D2549" s="966"/>
      <c r="E2549" s="966"/>
      <c r="F2549" s="966"/>
      <c r="G2549" s="966"/>
      <c r="H2549" s="995"/>
      <c r="I2549" s="966"/>
      <c r="J2549" s="966"/>
      <c r="K2549" s="966"/>
      <c r="L2549" s="966"/>
      <c r="M2549" s="971"/>
    </row>
    <row r="2550" spans="1:13">
      <c r="A2550" s="966"/>
      <c r="B2550" s="966"/>
      <c r="C2550" s="966"/>
      <c r="D2550" s="966"/>
      <c r="E2550" s="966"/>
      <c r="F2550" s="966"/>
      <c r="G2550" s="966"/>
      <c r="H2550" s="995"/>
      <c r="I2550" s="966"/>
      <c r="J2550" s="966"/>
      <c r="K2550" s="966"/>
      <c r="L2550" s="966"/>
      <c r="M2550" s="971"/>
    </row>
    <row r="2551" spans="1:13">
      <c r="A2551" s="966"/>
      <c r="B2551" s="966"/>
      <c r="C2551" s="966"/>
      <c r="D2551" s="966"/>
      <c r="E2551" s="966"/>
      <c r="F2551" s="966"/>
      <c r="G2551" s="966"/>
      <c r="H2551" s="995"/>
      <c r="I2551" s="966"/>
      <c r="J2551" s="966"/>
      <c r="K2551" s="966"/>
      <c r="L2551" s="966"/>
      <c r="M2551" s="971"/>
    </row>
    <row r="2552" spans="1:13">
      <c r="A2552" s="966"/>
      <c r="B2552" s="966"/>
      <c r="C2552" s="966"/>
      <c r="D2552" s="966"/>
      <c r="E2552" s="966"/>
      <c r="F2552" s="966"/>
      <c r="G2552" s="966"/>
      <c r="H2552" s="995"/>
      <c r="I2552" s="966"/>
      <c r="J2552" s="966"/>
      <c r="K2552" s="966"/>
      <c r="L2552" s="966"/>
      <c r="M2552" s="971"/>
    </row>
    <row r="2553" spans="1:13">
      <c r="A2553" s="966"/>
      <c r="B2553" s="966"/>
      <c r="C2553" s="966"/>
      <c r="D2553" s="966"/>
      <c r="E2553" s="966"/>
      <c r="F2553" s="966"/>
      <c r="G2553" s="966"/>
      <c r="H2553" s="995"/>
      <c r="I2553" s="966"/>
      <c r="J2553" s="966"/>
      <c r="K2553" s="966"/>
      <c r="L2553" s="966"/>
      <c r="M2553" s="971"/>
    </row>
    <row r="2554" spans="1:13">
      <c r="A2554" s="966"/>
      <c r="B2554" s="966"/>
      <c r="C2554" s="966"/>
      <c r="D2554" s="966"/>
      <c r="E2554" s="966"/>
      <c r="F2554" s="966"/>
      <c r="G2554" s="966"/>
      <c r="H2554" s="995"/>
      <c r="I2554" s="966"/>
      <c r="J2554" s="966"/>
      <c r="K2554" s="966"/>
      <c r="L2554" s="966"/>
      <c r="M2554" s="971"/>
    </row>
    <row r="2555" spans="1:13">
      <c r="A2555" s="966"/>
      <c r="B2555" s="966"/>
      <c r="C2555" s="966"/>
      <c r="D2555" s="966"/>
      <c r="E2555" s="966"/>
      <c r="F2555" s="966"/>
      <c r="G2555" s="966"/>
      <c r="H2555" s="995"/>
      <c r="I2555" s="966"/>
      <c r="J2555" s="966"/>
      <c r="K2555" s="966"/>
      <c r="L2555" s="966"/>
      <c r="M2555" s="971"/>
    </row>
  </sheetData>
  <phoneticPr fontId="115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2">
    <tabColor rgb="FFFFC000"/>
  </sheetPr>
  <dimension ref="A1:AF478"/>
  <sheetViews>
    <sheetView showWhiteSpace="0" zoomScale="70" zoomScaleNormal="70" zoomScalePageLayoutView="85" workbookViewId="0">
      <pane xSplit="1" ySplit="3" topLeftCell="K4" activePane="bottomRight" state="frozen"/>
      <selection pane="topRight" activeCell="B1" sqref="B1"/>
      <selection pane="bottomLeft" activeCell="A4" sqref="A4"/>
      <selection pane="bottomRight" activeCell="J5" sqref="J5"/>
    </sheetView>
  </sheetViews>
  <sheetFormatPr defaultColWidth="9.109375" defaultRowHeight="14.4"/>
  <cols>
    <col min="1" max="1" width="9" style="951" customWidth="1"/>
    <col min="2" max="2" width="25" style="951" customWidth="1"/>
    <col min="3" max="3" width="28.6640625" style="989" bestFit="1" customWidth="1"/>
    <col min="4" max="4" width="18.88671875" style="951" customWidth="1"/>
    <col min="5" max="5" width="12.6640625" style="951" customWidth="1"/>
    <col min="6" max="6" width="14.5546875" style="951" customWidth="1"/>
    <col min="7" max="7" width="18.6640625" style="951" customWidth="1"/>
    <col min="8" max="8" width="8.88671875" style="951" customWidth="1"/>
    <col min="9" max="9" width="10" style="951" customWidth="1"/>
    <col min="10" max="10" width="12.6640625" style="951" customWidth="1"/>
    <col min="11" max="11" width="9.44140625" style="951" customWidth="1"/>
    <col min="12" max="12" width="10.33203125" style="951" customWidth="1"/>
    <col min="13" max="13" width="16.5546875" style="951" customWidth="1"/>
    <col min="14" max="14" width="48.33203125" style="951" customWidth="1"/>
    <col min="15" max="15" width="14.33203125" style="951" customWidth="1"/>
    <col min="16" max="16" width="11.109375" style="951" customWidth="1"/>
    <col min="17" max="17" width="11.5546875" style="951" customWidth="1"/>
    <col min="18" max="18" width="9.44140625" style="951" customWidth="1"/>
    <col min="19" max="19" width="9.5546875" style="951" customWidth="1"/>
    <col min="20" max="20" width="18.6640625" style="951" customWidth="1"/>
    <col min="21" max="21" width="22.44140625" style="951" customWidth="1"/>
    <col min="22" max="22" width="15.5546875" style="885" customWidth="1"/>
    <col min="23" max="23" width="10.5546875" style="885" customWidth="1"/>
    <col min="24" max="24" width="11.109375" style="885" customWidth="1"/>
    <col min="25" max="25" width="12" style="885" customWidth="1"/>
    <col min="26" max="26" width="16.6640625" style="900" customWidth="1"/>
    <col min="27" max="27" width="3.109375" style="885" customWidth="1"/>
    <col min="28" max="28" width="11.33203125" style="885" customWidth="1"/>
    <col min="29" max="29" width="10.109375" style="885" bestFit="1" customWidth="1"/>
    <col min="30" max="31" width="9.109375" style="885"/>
    <col min="32" max="32" width="9.109375" style="986"/>
    <col min="33" max="16384" width="9.109375" style="885"/>
  </cols>
  <sheetData>
    <row r="1" spans="1:29" ht="40.65" customHeight="1">
      <c r="A1" s="1256" t="s">
        <v>398</v>
      </c>
      <c r="B1" s="1256"/>
      <c r="C1" s="1256"/>
      <c r="D1" s="1256"/>
      <c r="E1" s="1256"/>
      <c r="F1" s="1256"/>
      <c r="G1" s="1256"/>
      <c r="H1" s="1256"/>
      <c r="I1" s="1256"/>
      <c r="J1" s="1256"/>
      <c r="K1" s="1256"/>
      <c r="L1" s="1256"/>
      <c r="M1" s="1256"/>
      <c r="N1" s="1256"/>
      <c r="O1" s="1256"/>
      <c r="P1" s="1256"/>
      <c r="Q1" s="1256"/>
      <c r="R1" s="1256"/>
      <c r="S1" s="1256"/>
      <c r="T1" s="1256"/>
      <c r="U1" s="1256"/>
      <c r="V1" s="1254" t="s">
        <v>174</v>
      </c>
      <c r="W1" s="1254"/>
      <c r="X1" s="1254"/>
      <c r="Y1" s="1254"/>
      <c r="Z1" s="1254"/>
      <c r="AA1" s="899">
        <v>0</v>
      </c>
      <c r="AB1"/>
      <c r="AC1">
        <f>+COUNT(AB4:AB353)</f>
        <v>176</v>
      </c>
    </row>
    <row r="2" spans="1:29" ht="57.6" customHeight="1">
      <c r="A2" s="1252" t="s">
        <v>366</v>
      </c>
      <c r="B2" s="1257" t="s">
        <v>367</v>
      </c>
      <c r="C2" s="1259" t="s">
        <v>368</v>
      </c>
      <c r="D2" s="1258" t="s">
        <v>369</v>
      </c>
      <c r="E2" s="1252" t="s">
        <v>399</v>
      </c>
      <c r="F2" s="1253" t="s">
        <v>378</v>
      </c>
      <c r="G2" s="1253"/>
      <c r="H2" s="1253" t="s">
        <v>401</v>
      </c>
      <c r="I2" s="1253"/>
      <c r="J2" s="1253" t="s">
        <v>384</v>
      </c>
      <c r="K2" s="1252" t="s">
        <v>463</v>
      </c>
      <c r="L2" s="1252"/>
      <c r="M2" s="1252" t="s">
        <v>370</v>
      </c>
      <c r="N2" s="1252" t="s">
        <v>371</v>
      </c>
      <c r="O2" s="1252" t="s">
        <v>372</v>
      </c>
      <c r="P2" s="1252" t="s">
        <v>373</v>
      </c>
      <c r="Q2" s="1252" t="s">
        <v>374</v>
      </c>
      <c r="R2" s="1252" t="s">
        <v>375</v>
      </c>
      <c r="S2" s="1252" t="s">
        <v>376</v>
      </c>
      <c r="T2" s="1252" t="s">
        <v>408</v>
      </c>
      <c r="U2" s="1258" t="s">
        <v>1063</v>
      </c>
      <c r="V2" s="1255" t="s">
        <v>404</v>
      </c>
      <c r="W2" s="1255" t="s">
        <v>357</v>
      </c>
      <c r="X2" s="1255" t="s">
        <v>405</v>
      </c>
      <c r="Y2" s="1255" t="s">
        <v>348</v>
      </c>
      <c r="Z2" s="1255" t="s">
        <v>359</v>
      </c>
      <c r="AA2" s="960"/>
      <c r="AB2" s="1250" t="s">
        <v>406</v>
      </c>
    </row>
    <row r="3" spans="1:29" ht="61.2" customHeight="1">
      <c r="A3" s="1252"/>
      <c r="B3" s="1257"/>
      <c r="C3" s="1259"/>
      <c r="D3" s="1258"/>
      <c r="E3" s="1252"/>
      <c r="F3" s="921" t="s">
        <v>407</v>
      </c>
      <c r="G3" s="920" t="s">
        <v>400</v>
      </c>
      <c r="H3" s="920" t="s">
        <v>402</v>
      </c>
      <c r="I3" s="920" t="s">
        <v>403</v>
      </c>
      <c r="J3" s="1253"/>
      <c r="K3" s="1252"/>
      <c r="L3" s="1252"/>
      <c r="M3" s="1252"/>
      <c r="N3" s="1252"/>
      <c r="O3" s="1252"/>
      <c r="P3" s="1252"/>
      <c r="Q3" s="1252"/>
      <c r="R3" s="1252"/>
      <c r="S3" s="1252"/>
      <c r="T3" s="1252"/>
      <c r="U3" s="1258"/>
      <c r="V3" s="1255"/>
      <c r="W3" s="1255"/>
      <c r="X3" s="1255"/>
      <c r="Y3" s="1255"/>
      <c r="Z3" s="1255"/>
      <c r="AA3" s="960"/>
      <c r="AB3" s="1251"/>
    </row>
    <row r="4" spans="1:29" ht="15" customHeight="1">
      <c r="A4" s="939">
        <f>A3+1</f>
        <v>1</v>
      </c>
      <c r="B4" s="1051" t="s">
        <v>683</v>
      </c>
      <c r="C4" s="1052" t="s">
        <v>859</v>
      </c>
      <c r="D4" s="940" t="s">
        <v>922</v>
      </c>
      <c r="E4" s="922">
        <v>42273</v>
      </c>
      <c r="F4" s="1065">
        <v>16</v>
      </c>
      <c r="G4" s="1065">
        <v>9.7102529999999998</v>
      </c>
      <c r="H4" s="953">
        <v>-22.198671000000001</v>
      </c>
      <c r="I4" s="958">
        <v>-12.488417999999999</v>
      </c>
      <c r="J4" s="929">
        <v>10</v>
      </c>
      <c r="K4" s="928"/>
      <c r="L4" s="928"/>
      <c r="M4" s="939" t="s">
        <v>377</v>
      </c>
      <c r="N4" s="927" t="s">
        <v>674</v>
      </c>
      <c r="O4" s="928"/>
      <c r="P4" s="1066">
        <v>7</v>
      </c>
      <c r="Q4" s="940">
        <v>0</v>
      </c>
      <c r="R4" s="927"/>
      <c r="S4" s="927"/>
      <c r="T4" s="940" t="str">
        <f>IF(U4="Good","Slight",IF(U4="Critical","High","Medium"))</f>
        <v>Slight</v>
      </c>
      <c r="U4" s="940" t="s">
        <v>678</v>
      </c>
      <c r="V4" s="1053" t="s">
        <v>1064</v>
      </c>
      <c r="W4" s="1054">
        <v>29.187980224351527</v>
      </c>
      <c r="X4" s="1054">
        <v>6.9044338690355103E-2</v>
      </c>
      <c r="Y4" s="1054">
        <v>2</v>
      </c>
      <c r="Z4" s="1064" t="s">
        <v>166</v>
      </c>
      <c r="AA4" s="902"/>
      <c r="AB4" s="901">
        <v>0</v>
      </c>
      <c r="AC4" s="340"/>
    </row>
    <row r="5" spans="1:29" ht="15" customHeight="1">
      <c r="A5" s="939"/>
      <c r="B5" s="1051" t="s">
        <v>684</v>
      </c>
      <c r="C5" s="1052" t="s">
        <v>860</v>
      </c>
      <c r="D5" s="940" t="s">
        <v>922</v>
      </c>
      <c r="E5" s="922">
        <v>43751</v>
      </c>
      <c r="F5" s="1065">
        <v>19.5</v>
      </c>
      <c r="G5" s="1065">
        <v>17.243454</v>
      </c>
      <c r="H5" s="953">
        <v>-9.3381837999999995</v>
      </c>
      <c r="I5" s="953">
        <v>7.9052702999999998</v>
      </c>
      <c r="J5" s="929">
        <v>13.497648</v>
      </c>
      <c r="K5" s="928"/>
      <c r="L5" s="928"/>
      <c r="M5" s="939" t="s">
        <v>377</v>
      </c>
      <c r="N5" s="927" t="s">
        <v>674</v>
      </c>
      <c r="O5" s="928"/>
      <c r="P5" s="1066">
        <v>7</v>
      </c>
      <c r="Q5" s="940">
        <v>3</v>
      </c>
      <c r="R5" s="927"/>
      <c r="S5" s="927"/>
      <c r="T5" s="940" t="str">
        <f t="shared" ref="T5:T68" si="0">IF(U5="Good","Slight",IF(U5="Critical","High","Medium"))</f>
        <v>Medium</v>
      </c>
      <c r="U5" s="940" t="s">
        <v>676</v>
      </c>
      <c r="V5" s="1053" t="s">
        <v>933</v>
      </c>
      <c r="W5" s="1054">
        <v>18.550247448771128</v>
      </c>
      <c r="X5" s="1054">
        <v>7.8903805897526779E-3</v>
      </c>
      <c r="Y5" s="1054">
        <v>0</v>
      </c>
      <c r="Z5" s="1055" t="s">
        <v>162</v>
      </c>
      <c r="AA5" s="902"/>
      <c r="AB5" s="901">
        <v>0</v>
      </c>
      <c r="AC5" s="194"/>
    </row>
    <row r="6" spans="1:29">
      <c r="A6" s="939"/>
      <c r="B6" s="1051" t="s">
        <v>685</v>
      </c>
      <c r="C6" s="1052" t="s">
        <v>861</v>
      </c>
      <c r="D6" s="940" t="s">
        <v>922</v>
      </c>
      <c r="E6" s="922">
        <v>43704</v>
      </c>
      <c r="F6" s="1065">
        <v>20</v>
      </c>
      <c r="G6" s="1065">
        <v>20.775247</v>
      </c>
      <c r="H6" s="953">
        <v>4.4144116000000002</v>
      </c>
      <c r="I6" s="953">
        <v>25.189658999999999</v>
      </c>
      <c r="J6" s="929">
        <v>13.496464</v>
      </c>
      <c r="K6" s="928"/>
      <c r="L6" s="928"/>
      <c r="M6" s="939" t="s">
        <v>377</v>
      </c>
      <c r="N6" s="927" t="s">
        <v>674</v>
      </c>
      <c r="O6" s="928"/>
      <c r="P6" s="1066">
        <v>7</v>
      </c>
      <c r="Q6" s="940">
        <v>3</v>
      </c>
      <c r="R6" s="927"/>
      <c r="S6" s="927"/>
      <c r="T6" s="940" t="str">
        <f t="shared" si="0"/>
        <v>Medium</v>
      </c>
      <c r="U6" s="940" t="s">
        <v>676</v>
      </c>
      <c r="V6" s="1053" t="s">
        <v>934</v>
      </c>
      <c r="W6" s="1054">
        <v>15.603813888302971</v>
      </c>
      <c r="X6" s="1054">
        <v>1.2364655978590083E-2</v>
      </c>
      <c r="Y6" s="1054">
        <v>0</v>
      </c>
      <c r="Z6" s="1055" t="s">
        <v>162</v>
      </c>
      <c r="AA6" s="902"/>
      <c r="AB6" s="901">
        <v>0</v>
      </c>
      <c r="AC6" s="340"/>
    </row>
    <row r="7" spans="1:29" ht="15" customHeight="1">
      <c r="A7" s="939"/>
      <c r="B7" s="1051" t="s">
        <v>686</v>
      </c>
      <c r="C7" s="1052" t="s">
        <v>862</v>
      </c>
      <c r="D7" s="940" t="s">
        <v>922</v>
      </c>
      <c r="E7" s="922">
        <v>43774</v>
      </c>
      <c r="F7" s="1065">
        <v>18.600000000000001</v>
      </c>
      <c r="G7" s="1065">
        <v>18.195181000000002</v>
      </c>
      <c r="H7" s="953">
        <v>-12.333142</v>
      </c>
      <c r="I7" s="953">
        <v>5.8620387000000003</v>
      </c>
      <c r="J7" s="929">
        <v>13.498239999999999</v>
      </c>
      <c r="K7" s="928"/>
      <c r="L7" s="928"/>
      <c r="M7" s="939" t="s">
        <v>377</v>
      </c>
      <c r="N7" s="927" t="s">
        <v>674</v>
      </c>
      <c r="O7" s="928"/>
      <c r="P7" s="1066">
        <v>7</v>
      </c>
      <c r="Q7" s="940">
        <v>3</v>
      </c>
      <c r="R7" s="927"/>
      <c r="S7" s="927"/>
      <c r="T7" s="940" t="str">
        <f t="shared" si="0"/>
        <v>Slight</v>
      </c>
      <c r="U7" s="940" t="s">
        <v>678</v>
      </c>
      <c r="V7" s="1053" t="s">
        <v>935</v>
      </c>
      <c r="W7" s="1054">
        <v>18.995975974463946</v>
      </c>
      <c r="X7" s="1054">
        <v>9.413860279120518E-3</v>
      </c>
      <c r="Y7" s="1054">
        <v>0</v>
      </c>
      <c r="Z7" s="1055" t="s">
        <v>162</v>
      </c>
      <c r="AA7" s="901"/>
      <c r="AB7" s="901">
        <v>0</v>
      </c>
      <c r="AC7" s="340"/>
    </row>
    <row r="8" spans="1:29" ht="15" customHeight="1">
      <c r="A8" s="939"/>
      <c r="B8" s="1051" t="s">
        <v>687</v>
      </c>
      <c r="C8" s="1052" t="s">
        <v>863</v>
      </c>
      <c r="D8" s="940" t="s">
        <v>922</v>
      </c>
      <c r="E8" s="922">
        <v>43820</v>
      </c>
      <c r="F8" s="1065">
        <v>13</v>
      </c>
      <c r="G8" s="1065">
        <v>19.607309000000001</v>
      </c>
      <c r="H8" s="953">
        <v>-28.207481000000001</v>
      </c>
      <c r="I8" s="953">
        <v>-8.6001723999999999</v>
      </c>
      <c r="J8" s="929">
        <v>13.498448</v>
      </c>
      <c r="K8" s="928"/>
      <c r="L8" s="928"/>
      <c r="M8" s="939" t="s">
        <v>377</v>
      </c>
      <c r="N8" s="927" t="s">
        <v>674</v>
      </c>
      <c r="O8" s="928"/>
      <c r="P8" s="1066">
        <v>7</v>
      </c>
      <c r="Q8" s="940">
        <v>3</v>
      </c>
      <c r="R8" s="927"/>
      <c r="S8" s="927"/>
      <c r="T8" s="940" t="str">
        <f t="shared" si="0"/>
        <v>Slight</v>
      </c>
      <c r="U8" s="940" t="s">
        <v>678</v>
      </c>
      <c r="V8" s="1053" t="s">
        <v>936</v>
      </c>
      <c r="W8" s="1054">
        <v>19.310599282858238</v>
      </c>
      <c r="X8" s="1054">
        <v>6.0860427405832447E-3</v>
      </c>
      <c r="Y8" s="1054">
        <v>0</v>
      </c>
      <c r="Z8" s="1055" t="s">
        <v>162</v>
      </c>
      <c r="AA8" s="902"/>
      <c r="AB8" s="901">
        <v>0</v>
      </c>
      <c r="AC8" s="340"/>
    </row>
    <row r="9" spans="1:29" ht="15" customHeight="1">
      <c r="A9" s="939"/>
      <c r="B9" s="1051" t="s">
        <v>688</v>
      </c>
      <c r="C9" s="1052" t="s">
        <v>864</v>
      </c>
      <c r="D9" s="940" t="s">
        <v>922</v>
      </c>
      <c r="E9" s="922">
        <v>43751</v>
      </c>
      <c r="F9" s="1065">
        <v>16</v>
      </c>
      <c r="G9" s="1065">
        <v>15.738023999999999</v>
      </c>
      <c r="H9" s="953">
        <v>19.239184999999999</v>
      </c>
      <c r="I9" s="953">
        <v>34.977209000000002</v>
      </c>
      <c r="J9" s="929">
        <v>13.497648</v>
      </c>
      <c r="K9" s="928"/>
      <c r="L9" s="928"/>
      <c r="M9" s="939" t="s">
        <v>377</v>
      </c>
      <c r="N9" s="927" t="s">
        <v>674</v>
      </c>
      <c r="O9" s="928"/>
      <c r="P9" s="1066">
        <v>7</v>
      </c>
      <c r="Q9" s="940">
        <v>3</v>
      </c>
      <c r="R9" s="927"/>
      <c r="S9" s="927"/>
      <c r="T9" s="940" t="str">
        <f t="shared" si="0"/>
        <v>Slight</v>
      </c>
      <c r="U9" s="940" t="s">
        <v>678</v>
      </c>
      <c r="V9" s="1053" t="s">
        <v>937</v>
      </c>
      <c r="W9" s="1054">
        <v>7.2901049361584551</v>
      </c>
      <c r="X9" s="1054">
        <v>1.9078071794821426E-2</v>
      </c>
      <c r="Y9" s="1054">
        <v>0</v>
      </c>
      <c r="Z9" s="1055" t="s">
        <v>162</v>
      </c>
      <c r="AA9" s="902"/>
      <c r="AB9" s="901">
        <v>0</v>
      </c>
      <c r="AC9" s="340"/>
    </row>
    <row r="10" spans="1:29" ht="15" customHeight="1">
      <c r="A10" s="939"/>
      <c r="B10" s="1051" t="s">
        <v>689</v>
      </c>
      <c r="C10" s="1052" t="s">
        <v>865</v>
      </c>
      <c r="D10" s="940" t="s">
        <v>922</v>
      </c>
      <c r="E10" s="922">
        <v>43828</v>
      </c>
      <c r="F10" s="1065">
        <v>14.5</v>
      </c>
      <c r="G10" s="1065">
        <v>18.927679000000001</v>
      </c>
      <c r="H10" s="953">
        <v>-8.1457374999999992</v>
      </c>
      <c r="I10" s="953">
        <v>10.781942000000001</v>
      </c>
      <c r="J10" s="929">
        <v>13.498269000000001</v>
      </c>
      <c r="K10" s="928"/>
      <c r="L10" s="928"/>
      <c r="M10" s="939" t="s">
        <v>377</v>
      </c>
      <c r="N10" s="927" t="s">
        <v>674</v>
      </c>
      <c r="O10" s="928"/>
      <c r="P10" s="1066">
        <v>7</v>
      </c>
      <c r="Q10" s="940">
        <v>3</v>
      </c>
      <c r="R10" s="927"/>
      <c r="S10" s="927"/>
      <c r="T10" s="940" t="str">
        <f t="shared" si="0"/>
        <v>Slight</v>
      </c>
      <c r="U10" s="940" t="s">
        <v>678</v>
      </c>
      <c r="V10" s="1053" t="s">
        <v>938</v>
      </c>
      <c r="W10" s="1054">
        <v>19.555099871151583</v>
      </c>
      <c r="X10" s="1054">
        <v>8.2206180220042776E-3</v>
      </c>
      <c r="Y10" s="1054">
        <v>0</v>
      </c>
      <c r="Z10" s="1055" t="s">
        <v>162</v>
      </c>
      <c r="AA10" s="902"/>
      <c r="AB10" s="901">
        <v>0</v>
      </c>
      <c r="AC10" s="340"/>
    </row>
    <row r="11" spans="1:29" ht="15" customHeight="1">
      <c r="A11" s="939"/>
      <c r="B11" s="1051" t="s">
        <v>690</v>
      </c>
      <c r="C11" s="1052" t="s">
        <v>866</v>
      </c>
      <c r="D11" s="940" t="s">
        <v>922</v>
      </c>
      <c r="E11" s="922">
        <v>43800</v>
      </c>
      <c r="F11" s="1065">
        <v>13.1</v>
      </c>
      <c r="G11" s="1065">
        <v>18.597111999999999</v>
      </c>
      <c r="H11" s="953">
        <v>4.5131766000000004</v>
      </c>
      <c r="I11" s="953">
        <v>23.110288000000001</v>
      </c>
      <c r="J11" s="929">
        <v>13.498908999999999</v>
      </c>
      <c r="K11" s="928"/>
      <c r="L11" s="928"/>
      <c r="M11" s="939" t="s">
        <v>377</v>
      </c>
      <c r="N11" s="927" t="s">
        <v>674</v>
      </c>
      <c r="O11" s="928"/>
      <c r="P11" s="1066">
        <v>7</v>
      </c>
      <c r="Q11" s="940">
        <v>3</v>
      </c>
      <c r="R11" s="927"/>
      <c r="S11" s="927"/>
      <c r="T11" s="940" t="str">
        <f t="shared" si="0"/>
        <v>Slight</v>
      </c>
      <c r="U11" s="940" t="s">
        <v>678</v>
      </c>
      <c r="V11" s="1053" t="s">
        <v>939</v>
      </c>
      <c r="W11" s="1054">
        <v>16.054085101300728</v>
      </c>
      <c r="X11" s="1054">
        <v>1.3109252941971761E-2</v>
      </c>
      <c r="Y11" s="1054">
        <v>0</v>
      </c>
      <c r="Z11" s="1055" t="s">
        <v>162</v>
      </c>
      <c r="AA11" s="902"/>
      <c r="AB11" s="901">
        <v>0</v>
      </c>
      <c r="AC11" s="340"/>
    </row>
    <row r="12" spans="1:29" ht="15" customHeight="1">
      <c r="A12" s="939"/>
      <c r="B12" s="1051" t="s">
        <v>691</v>
      </c>
      <c r="C12" s="1052" t="s">
        <v>680</v>
      </c>
      <c r="D12" s="940" t="s">
        <v>922</v>
      </c>
      <c r="E12" s="922">
        <v>43912</v>
      </c>
      <c r="F12" s="1065">
        <v>7.6</v>
      </c>
      <c r="G12" s="1065">
        <v>14.530258</v>
      </c>
      <c r="H12" s="953">
        <v>-14.447879</v>
      </c>
      <c r="I12" s="953">
        <v>8.2378900000000005E-2</v>
      </c>
      <c r="J12" s="929">
        <v>13.496375</v>
      </c>
      <c r="K12" s="928"/>
      <c r="L12" s="928"/>
      <c r="M12" s="939" t="s">
        <v>377</v>
      </c>
      <c r="N12" s="927" t="s">
        <v>923</v>
      </c>
      <c r="O12" s="928"/>
      <c r="P12" s="1066">
        <v>4</v>
      </c>
      <c r="Q12" s="940">
        <v>1</v>
      </c>
      <c r="R12" s="927"/>
      <c r="S12" s="927"/>
      <c r="T12" s="940" t="str">
        <f t="shared" si="0"/>
        <v>Slight</v>
      </c>
      <c r="U12" s="940" t="s">
        <v>678</v>
      </c>
      <c r="V12" s="1053" t="s">
        <v>940</v>
      </c>
      <c r="W12" s="1054">
        <v>19.449595447149441</v>
      </c>
      <c r="X12" s="1054">
        <v>7.1517279979283728E-3</v>
      </c>
      <c r="Y12" s="1054">
        <v>0</v>
      </c>
      <c r="Z12" s="1055" t="s">
        <v>162</v>
      </c>
      <c r="AA12" s="902"/>
      <c r="AB12" s="901">
        <v>0</v>
      </c>
      <c r="AC12" s="340"/>
    </row>
    <row r="13" spans="1:29" ht="15" customHeight="1">
      <c r="A13" s="939"/>
      <c r="B13" s="1051" t="s">
        <v>692</v>
      </c>
      <c r="C13" s="1052" t="s">
        <v>679</v>
      </c>
      <c r="D13" s="940" t="s">
        <v>922</v>
      </c>
      <c r="E13" s="922">
        <v>43930</v>
      </c>
      <c r="F13" s="1065">
        <v>15.9</v>
      </c>
      <c r="G13" s="1065">
        <v>19.903009000000001</v>
      </c>
      <c r="H13" s="953">
        <v>2.9241136000000001</v>
      </c>
      <c r="I13" s="953">
        <v>22.827121999999999</v>
      </c>
      <c r="J13" s="929">
        <v>13.496373999999999</v>
      </c>
      <c r="K13" s="928"/>
      <c r="L13" s="928"/>
      <c r="M13" s="939" t="s">
        <v>377</v>
      </c>
      <c r="N13" s="927" t="s">
        <v>674</v>
      </c>
      <c r="O13" s="928"/>
      <c r="P13" s="1066">
        <v>7</v>
      </c>
      <c r="Q13" s="940">
        <v>3</v>
      </c>
      <c r="R13" s="927"/>
      <c r="S13" s="927"/>
      <c r="T13" s="940" t="str">
        <f t="shared" si="0"/>
        <v>Slight</v>
      </c>
      <c r="U13" s="940" t="s">
        <v>678</v>
      </c>
      <c r="V13" s="1053" t="s">
        <v>941</v>
      </c>
      <c r="W13" s="1054">
        <v>17.712594287903414</v>
      </c>
      <c r="X13" s="1054">
        <v>1.6192490656899441E-2</v>
      </c>
      <c r="Y13" s="1054">
        <v>0</v>
      </c>
      <c r="Z13" s="1055" t="s">
        <v>162</v>
      </c>
      <c r="AA13" s="902"/>
      <c r="AB13" s="901">
        <v>0</v>
      </c>
      <c r="AC13" s="340"/>
    </row>
    <row r="14" spans="1:29" ht="15" customHeight="1">
      <c r="A14" s="939"/>
      <c r="B14" s="1051" t="s">
        <v>693</v>
      </c>
      <c r="C14" s="1052" t="s">
        <v>867</v>
      </c>
      <c r="D14" s="940" t="s">
        <v>922</v>
      </c>
      <c r="E14" s="922">
        <v>43982</v>
      </c>
      <c r="F14" s="1065">
        <v>13.6</v>
      </c>
      <c r="G14" s="1065">
        <v>11.160926999999999</v>
      </c>
      <c r="H14" s="953">
        <v>-7.9188362000000003</v>
      </c>
      <c r="I14" s="953">
        <v>3.2420911000000001</v>
      </c>
      <c r="J14" s="929">
        <v>13.496373999999999</v>
      </c>
      <c r="K14" s="928"/>
      <c r="L14" s="928"/>
      <c r="M14" s="939" t="s">
        <v>377</v>
      </c>
      <c r="N14" s="927" t="s">
        <v>674</v>
      </c>
      <c r="O14" s="928"/>
      <c r="P14" s="1066">
        <v>4</v>
      </c>
      <c r="Q14" s="940">
        <v>1</v>
      </c>
      <c r="R14" s="927"/>
      <c r="S14" s="927"/>
      <c r="T14" s="940" t="str">
        <f t="shared" si="0"/>
        <v>Slight</v>
      </c>
      <c r="U14" s="940" t="s">
        <v>678</v>
      </c>
      <c r="V14" s="1053" t="s">
        <v>942</v>
      </c>
      <c r="W14" s="1054">
        <v>20.102631355783458</v>
      </c>
      <c r="X14" s="1054">
        <v>6.3193156751767034E-3</v>
      </c>
      <c r="Y14" s="1054">
        <v>0</v>
      </c>
      <c r="Z14" s="1055" t="s">
        <v>162</v>
      </c>
      <c r="AA14" s="902"/>
      <c r="AB14" s="901">
        <v>0</v>
      </c>
      <c r="AC14" s="340"/>
    </row>
    <row r="15" spans="1:29" ht="15" customHeight="1">
      <c r="A15" s="939"/>
      <c r="B15" s="1051" t="s">
        <v>694</v>
      </c>
      <c r="C15" s="1056" t="s">
        <v>868</v>
      </c>
      <c r="D15" s="940" t="s">
        <v>922</v>
      </c>
      <c r="E15" s="922">
        <v>48385</v>
      </c>
      <c r="F15" s="1065">
        <v>14</v>
      </c>
      <c r="G15" s="1065">
        <v>34.009692999999999</v>
      </c>
      <c r="H15" s="953">
        <v>35.067729</v>
      </c>
      <c r="I15" s="953">
        <v>69.077421000000001</v>
      </c>
      <c r="J15" s="929">
        <v>13.508678</v>
      </c>
      <c r="K15" s="928"/>
      <c r="L15" s="928"/>
      <c r="M15" s="939" t="s">
        <v>377</v>
      </c>
      <c r="N15" s="927" t="s">
        <v>674</v>
      </c>
      <c r="O15" s="928"/>
      <c r="P15" s="1066">
        <v>7</v>
      </c>
      <c r="Q15" s="940">
        <v>3</v>
      </c>
      <c r="R15" s="927"/>
      <c r="S15" s="927"/>
      <c r="T15" s="940" t="str">
        <f t="shared" si="0"/>
        <v>Medium</v>
      </c>
      <c r="U15" s="940" t="s">
        <v>676</v>
      </c>
      <c r="V15" s="1053" t="s">
        <v>931</v>
      </c>
      <c r="W15" s="1054"/>
      <c r="X15" s="1054"/>
      <c r="Y15" s="1054"/>
      <c r="Z15" s="1057"/>
      <c r="AA15" s="902"/>
      <c r="AB15" s="901">
        <v>3</v>
      </c>
      <c r="AC15" s="340"/>
    </row>
    <row r="16" spans="1:29" ht="15" customHeight="1">
      <c r="A16" s="939"/>
      <c r="B16" s="1051" t="s">
        <v>695</v>
      </c>
      <c r="C16" s="1056" t="s">
        <v>869</v>
      </c>
      <c r="D16" s="940" t="s">
        <v>922</v>
      </c>
      <c r="E16" s="922">
        <v>48275</v>
      </c>
      <c r="F16" s="1065">
        <v>18.5</v>
      </c>
      <c r="G16" s="1065">
        <v>23.003589999999999</v>
      </c>
      <c r="H16" s="953">
        <v>-54.309314999999998</v>
      </c>
      <c r="I16" s="953">
        <v>-31.305724999999999</v>
      </c>
      <c r="J16" s="929">
        <v>13.512948</v>
      </c>
      <c r="K16" s="928"/>
      <c r="L16" s="928"/>
      <c r="M16" s="939" t="s">
        <v>377</v>
      </c>
      <c r="N16" s="927" t="s">
        <v>924</v>
      </c>
      <c r="O16" s="928"/>
      <c r="P16" s="1066">
        <v>7</v>
      </c>
      <c r="Q16" s="940">
        <v>3</v>
      </c>
      <c r="R16" s="927"/>
      <c r="S16" s="927"/>
      <c r="T16" s="940" t="str">
        <f t="shared" si="0"/>
        <v>Slight</v>
      </c>
      <c r="U16" s="940" t="s">
        <v>678</v>
      </c>
      <c r="V16" s="1053" t="s">
        <v>943</v>
      </c>
      <c r="W16" s="1054">
        <v>4.5148007621930999</v>
      </c>
      <c r="X16" s="1054">
        <v>2.0187944850198078E-2</v>
      </c>
      <c r="Y16" s="1054">
        <v>0</v>
      </c>
      <c r="Z16" s="1055" t="s">
        <v>162</v>
      </c>
      <c r="AA16" s="902"/>
      <c r="AB16" s="901">
        <v>0</v>
      </c>
      <c r="AC16" s="340"/>
    </row>
    <row r="17" spans="1:29" ht="15" customHeight="1">
      <c r="A17" s="939"/>
      <c r="B17" s="1051" t="s">
        <v>696</v>
      </c>
      <c r="C17" s="1052" t="s">
        <v>870</v>
      </c>
      <c r="D17" s="940" t="s">
        <v>922</v>
      </c>
      <c r="E17" s="922">
        <v>48352</v>
      </c>
      <c r="F17" s="1065">
        <v>22.5</v>
      </c>
      <c r="G17" s="1065">
        <v>15.078049</v>
      </c>
      <c r="H17" s="953">
        <v>-43.754640999999999</v>
      </c>
      <c r="I17" s="953">
        <v>-28.676593</v>
      </c>
      <c r="J17" s="929">
        <v>13.508756</v>
      </c>
      <c r="K17" s="928"/>
      <c r="L17" s="928"/>
      <c r="M17" s="939" t="s">
        <v>377</v>
      </c>
      <c r="N17" s="927" t="s">
        <v>674</v>
      </c>
      <c r="O17" s="928"/>
      <c r="P17" s="1066">
        <v>7</v>
      </c>
      <c r="Q17" s="940">
        <v>3</v>
      </c>
      <c r="R17" s="927"/>
      <c r="S17" s="927"/>
      <c r="T17" s="940" t="str">
        <f t="shared" si="0"/>
        <v>Medium</v>
      </c>
      <c r="U17" s="940" t="s">
        <v>676</v>
      </c>
      <c r="V17" s="1053" t="s">
        <v>944</v>
      </c>
      <c r="W17" s="1054">
        <v>6.0439970289350899</v>
      </c>
      <c r="X17" s="1054">
        <v>3.103920990943488E-2</v>
      </c>
      <c r="Y17" s="1054">
        <v>1</v>
      </c>
      <c r="Z17" s="1058" t="s">
        <v>164</v>
      </c>
      <c r="AA17" s="902"/>
      <c r="AB17" s="901">
        <v>0</v>
      </c>
      <c r="AC17" s="340"/>
    </row>
    <row r="18" spans="1:29" ht="15" customHeight="1">
      <c r="A18" s="939"/>
      <c r="B18" s="1051" t="s">
        <v>697</v>
      </c>
      <c r="C18" s="1052" t="s">
        <v>871</v>
      </c>
      <c r="D18" s="940" t="s">
        <v>922</v>
      </c>
      <c r="E18" s="922">
        <v>48373</v>
      </c>
      <c r="F18" s="1065">
        <v>22</v>
      </c>
      <c r="G18" s="1065">
        <v>15.856334</v>
      </c>
      <c r="H18" s="953">
        <v>-43.905186999999998</v>
      </c>
      <c r="I18" s="953">
        <v>-28.048853000000001</v>
      </c>
      <c r="J18" s="929">
        <v>13.509819</v>
      </c>
      <c r="K18" s="928"/>
      <c r="L18" s="928"/>
      <c r="M18" s="939" t="s">
        <v>377</v>
      </c>
      <c r="N18" s="927" t="s">
        <v>674</v>
      </c>
      <c r="O18" s="928"/>
      <c r="P18" s="1066">
        <v>7</v>
      </c>
      <c r="Q18" s="940">
        <v>3</v>
      </c>
      <c r="R18" s="927"/>
      <c r="S18" s="927"/>
      <c r="T18" s="940" t="str">
        <f t="shared" si="0"/>
        <v>High</v>
      </c>
      <c r="U18" s="940" t="s">
        <v>675</v>
      </c>
      <c r="V18" s="1053" t="s">
        <v>932</v>
      </c>
      <c r="W18" s="1054">
        <v>6.4579547473006125</v>
      </c>
      <c r="X18" s="1054">
        <v>3.1882543979848819E-2</v>
      </c>
      <c r="Y18" s="1054">
        <v>1</v>
      </c>
      <c r="Z18" s="1058" t="s">
        <v>164</v>
      </c>
      <c r="AA18" s="902"/>
      <c r="AB18" s="901">
        <v>0</v>
      </c>
      <c r="AC18" s="340"/>
    </row>
    <row r="19" spans="1:29" ht="15" customHeight="1">
      <c r="A19" s="939"/>
      <c r="B19" s="1051" t="s">
        <v>698</v>
      </c>
      <c r="C19" s="1052" t="s">
        <v>872</v>
      </c>
      <c r="D19" s="940" t="s">
        <v>922</v>
      </c>
      <c r="E19" s="922">
        <v>48393</v>
      </c>
      <c r="F19" s="1065">
        <v>14.5</v>
      </c>
      <c r="G19" s="1065">
        <v>11.751923</v>
      </c>
      <c r="H19" s="953">
        <v>-43.653730000000003</v>
      </c>
      <c r="I19" s="953">
        <v>-31.901807000000002</v>
      </c>
      <c r="J19" s="929">
        <v>13.504856</v>
      </c>
      <c r="K19" s="928"/>
      <c r="L19" s="928"/>
      <c r="M19" s="939" t="s">
        <v>377</v>
      </c>
      <c r="N19" s="927" t="s">
        <v>674</v>
      </c>
      <c r="O19" s="928"/>
      <c r="P19" s="1066">
        <v>7</v>
      </c>
      <c r="Q19" s="940">
        <v>3</v>
      </c>
      <c r="R19" s="927"/>
      <c r="S19" s="927"/>
      <c r="T19" s="940" t="str">
        <f t="shared" si="0"/>
        <v>Medium</v>
      </c>
      <c r="U19" s="940" t="s">
        <v>676</v>
      </c>
      <c r="V19" s="1053" t="s">
        <v>945</v>
      </c>
      <c r="W19" s="1054">
        <v>3.1390864546825012</v>
      </c>
      <c r="X19" s="1054">
        <v>2.3775221841136795E-2</v>
      </c>
      <c r="Y19" s="1054">
        <v>0</v>
      </c>
      <c r="Z19" s="1055" t="s">
        <v>162</v>
      </c>
      <c r="AA19" s="902"/>
      <c r="AB19" s="901">
        <v>0</v>
      </c>
      <c r="AC19" s="340"/>
    </row>
    <row r="20" spans="1:29" ht="15" customHeight="1">
      <c r="A20" s="939"/>
      <c r="B20" s="1051" t="s">
        <v>699</v>
      </c>
      <c r="C20" s="1052" t="s">
        <v>873</v>
      </c>
      <c r="D20" s="940" t="s">
        <v>922</v>
      </c>
      <c r="E20" s="922">
        <v>48413</v>
      </c>
      <c r="F20" s="1065">
        <v>30.5</v>
      </c>
      <c r="G20" s="1065">
        <v>15.221164999999999</v>
      </c>
      <c r="H20" s="953">
        <v>-43.686675000000001</v>
      </c>
      <c r="I20" s="953">
        <v>-28.465509999999998</v>
      </c>
      <c r="J20" s="929">
        <v>13.505577000000001</v>
      </c>
      <c r="K20" s="928"/>
      <c r="L20" s="928"/>
      <c r="M20" s="939" t="s">
        <v>377</v>
      </c>
      <c r="N20" s="927" t="s">
        <v>674</v>
      </c>
      <c r="O20" s="928"/>
      <c r="P20" s="1066">
        <v>10</v>
      </c>
      <c r="Q20" s="940">
        <v>3</v>
      </c>
      <c r="R20" s="927"/>
      <c r="S20" s="927"/>
      <c r="T20" s="940" t="str">
        <f t="shared" si="0"/>
        <v>Medium</v>
      </c>
      <c r="U20" s="940" t="s">
        <v>676</v>
      </c>
      <c r="V20" s="1053" t="s">
        <v>946</v>
      </c>
      <c r="W20" s="1054">
        <v>5.7603660591288532</v>
      </c>
      <c r="X20" s="1054">
        <v>3.0022102267158957E-2</v>
      </c>
      <c r="Y20" s="1054">
        <v>1</v>
      </c>
      <c r="Z20" s="1058" t="s">
        <v>164</v>
      </c>
      <c r="AA20" s="902"/>
      <c r="AB20" s="901">
        <v>0</v>
      </c>
      <c r="AC20" s="340"/>
    </row>
    <row r="21" spans="1:29" ht="15" customHeight="1">
      <c r="A21" s="939"/>
      <c r="B21" s="1051" t="s">
        <v>700</v>
      </c>
      <c r="C21" s="1056" t="s">
        <v>874</v>
      </c>
      <c r="D21" s="940" t="s">
        <v>922</v>
      </c>
      <c r="E21" s="922">
        <v>48428</v>
      </c>
      <c r="F21" s="1065">
        <v>22</v>
      </c>
      <c r="G21" s="1065">
        <v>13.010369000000001</v>
      </c>
      <c r="H21" s="953">
        <v>35.657727999999999</v>
      </c>
      <c r="I21" s="953">
        <v>48.668097000000003</v>
      </c>
      <c r="J21" s="929">
        <v>13.513574999999999</v>
      </c>
      <c r="K21" s="928"/>
      <c r="L21" s="928"/>
      <c r="M21" s="939" t="s">
        <v>377</v>
      </c>
      <c r="N21" s="927" t="s">
        <v>674</v>
      </c>
      <c r="O21" s="928"/>
      <c r="P21" s="1066">
        <v>4</v>
      </c>
      <c r="Q21" s="940">
        <v>1</v>
      </c>
      <c r="R21" s="927"/>
      <c r="S21" s="927"/>
      <c r="T21" s="940" t="str">
        <f t="shared" si="0"/>
        <v>Medium</v>
      </c>
      <c r="U21" s="940" t="s">
        <v>676</v>
      </c>
      <c r="V21" s="1053" t="s">
        <v>931</v>
      </c>
      <c r="W21" s="1054"/>
      <c r="X21" s="1054"/>
      <c r="Y21" s="1054"/>
      <c r="Z21" s="1057"/>
      <c r="AA21" s="902"/>
      <c r="AB21" s="901">
        <v>3</v>
      </c>
      <c r="AC21" s="340"/>
    </row>
    <row r="22" spans="1:29" ht="15" customHeight="1">
      <c r="A22" s="939"/>
      <c r="B22" s="1051" t="s">
        <v>701</v>
      </c>
      <c r="C22" s="1052" t="s">
        <v>875</v>
      </c>
      <c r="D22" s="940" t="s">
        <v>922</v>
      </c>
      <c r="E22" s="922">
        <v>49196</v>
      </c>
      <c r="F22" s="1065">
        <v>16</v>
      </c>
      <c r="G22" s="1065">
        <v>12.321358999999999</v>
      </c>
      <c r="H22" s="953">
        <v>39.040207000000002</v>
      </c>
      <c r="I22" s="953">
        <v>51.361566000000003</v>
      </c>
      <c r="J22" s="929">
        <v>13.506209999999999</v>
      </c>
      <c r="K22" s="928"/>
      <c r="L22" s="928"/>
      <c r="M22" s="939" t="s">
        <v>377</v>
      </c>
      <c r="N22" s="927" t="s">
        <v>674</v>
      </c>
      <c r="O22" s="928"/>
      <c r="P22" s="1066">
        <v>7</v>
      </c>
      <c r="Q22" s="940">
        <v>3</v>
      </c>
      <c r="R22" s="928"/>
      <c r="S22" s="928"/>
      <c r="T22" s="940" t="str">
        <f t="shared" si="0"/>
        <v>High</v>
      </c>
      <c r="U22" s="940" t="s">
        <v>675</v>
      </c>
      <c r="V22" s="1053" t="s">
        <v>931</v>
      </c>
      <c r="W22" s="1054"/>
      <c r="X22" s="1054"/>
      <c r="Y22" s="1054"/>
      <c r="Z22" s="1057"/>
      <c r="AA22" s="902"/>
      <c r="AB22" s="901">
        <v>3</v>
      </c>
      <c r="AC22" s="340"/>
    </row>
    <row r="23" spans="1:29" ht="15" customHeight="1">
      <c r="A23" s="939"/>
      <c r="B23" s="1051" t="s">
        <v>702</v>
      </c>
      <c r="C23" s="1052" t="s">
        <v>876</v>
      </c>
      <c r="D23" s="940" t="s">
        <v>922</v>
      </c>
      <c r="E23" s="922">
        <v>49223</v>
      </c>
      <c r="F23" s="1065">
        <v>10</v>
      </c>
      <c r="G23" s="1065">
        <v>56.031820000000003</v>
      </c>
      <c r="H23" s="953">
        <v>42.557853000000001</v>
      </c>
      <c r="I23" s="953">
        <v>98.589673000000005</v>
      </c>
      <c r="J23" s="929">
        <v>13.506817</v>
      </c>
      <c r="K23" s="928"/>
      <c r="L23" s="928"/>
      <c r="M23" s="939" t="s">
        <v>377</v>
      </c>
      <c r="N23" s="927" t="s">
        <v>674</v>
      </c>
      <c r="O23" s="928"/>
      <c r="P23" s="1066">
        <v>10</v>
      </c>
      <c r="Q23" s="940">
        <v>3</v>
      </c>
      <c r="R23" s="928"/>
      <c r="S23" s="928"/>
      <c r="T23" s="940" t="str">
        <f t="shared" si="0"/>
        <v>High</v>
      </c>
      <c r="U23" s="940" t="s">
        <v>675</v>
      </c>
      <c r="V23" s="1053" t="s">
        <v>931</v>
      </c>
      <c r="W23" s="1054"/>
      <c r="X23" s="1054"/>
      <c r="Y23" s="1054"/>
      <c r="Z23" s="1057"/>
      <c r="AA23" s="902"/>
      <c r="AB23" s="901">
        <v>3</v>
      </c>
      <c r="AC23" s="340"/>
    </row>
    <row r="24" spans="1:29" ht="15" customHeight="1">
      <c r="A24" s="939"/>
      <c r="B24" s="1051" t="s">
        <v>703</v>
      </c>
      <c r="C24" s="1052" t="s">
        <v>877</v>
      </c>
      <c r="D24" s="940" t="s">
        <v>922</v>
      </c>
      <c r="E24" s="922">
        <v>49247</v>
      </c>
      <c r="F24" s="1065">
        <v>10</v>
      </c>
      <c r="G24" s="1065">
        <v>55.933678</v>
      </c>
      <c r="H24" s="953">
        <v>43.753262999999997</v>
      </c>
      <c r="I24" s="953">
        <v>99.686941000000004</v>
      </c>
      <c r="J24" s="929">
        <v>13.506817</v>
      </c>
      <c r="K24" s="928"/>
      <c r="L24" s="928"/>
      <c r="M24" s="939" t="s">
        <v>377</v>
      </c>
      <c r="N24" s="927" t="s">
        <v>674</v>
      </c>
      <c r="O24" s="928"/>
      <c r="P24" s="1066">
        <v>10</v>
      </c>
      <c r="Q24" s="940">
        <v>3</v>
      </c>
      <c r="R24" s="928"/>
      <c r="S24" s="928"/>
      <c r="T24" s="940" t="str">
        <f t="shared" si="0"/>
        <v>High</v>
      </c>
      <c r="U24" s="940" t="s">
        <v>675</v>
      </c>
      <c r="V24" s="1053" t="s">
        <v>931</v>
      </c>
      <c r="W24" s="1054"/>
      <c r="X24" s="1054"/>
      <c r="Y24" s="1059"/>
      <c r="Z24" s="1057"/>
      <c r="AA24" s="902"/>
      <c r="AB24" s="901">
        <v>3</v>
      </c>
      <c r="AC24"/>
    </row>
    <row r="25" spans="1:29" ht="15" customHeight="1">
      <c r="A25" s="939"/>
      <c r="B25" s="1051" t="s">
        <v>704</v>
      </c>
      <c r="C25" s="1052" t="s">
        <v>878</v>
      </c>
      <c r="D25" s="940" t="s">
        <v>922</v>
      </c>
      <c r="E25" s="922">
        <v>49273</v>
      </c>
      <c r="F25" s="1065">
        <v>14</v>
      </c>
      <c r="G25" s="1065">
        <v>56.007716000000002</v>
      </c>
      <c r="H25" s="953">
        <v>44.880778999999997</v>
      </c>
      <c r="I25" s="953">
        <v>100.88849999999999</v>
      </c>
      <c r="J25" s="929">
        <v>13.535247</v>
      </c>
      <c r="K25" s="928"/>
      <c r="L25" s="928"/>
      <c r="M25" s="939" t="s">
        <v>377</v>
      </c>
      <c r="N25" s="927" t="s">
        <v>674</v>
      </c>
      <c r="O25" s="928"/>
      <c r="P25" s="1066">
        <v>10</v>
      </c>
      <c r="Q25" s="940">
        <v>3</v>
      </c>
      <c r="R25" s="928"/>
      <c r="S25" s="928"/>
      <c r="T25" s="940" t="str">
        <f t="shared" si="0"/>
        <v>Medium</v>
      </c>
      <c r="U25" s="940" t="s">
        <v>676</v>
      </c>
      <c r="V25" s="1053" t="s">
        <v>931</v>
      </c>
      <c r="W25" s="1054"/>
      <c r="X25" s="1054"/>
      <c r="Y25" s="1059"/>
      <c r="Z25" s="1057"/>
      <c r="AA25" s="902"/>
      <c r="AB25" s="901">
        <v>3</v>
      </c>
      <c r="AC25"/>
    </row>
    <row r="26" spans="1:29" ht="15" customHeight="1">
      <c r="A26" s="939"/>
      <c r="B26" s="1051" t="s">
        <v>705</v>
      </c>
      <c r="C26" s="1052" t="s">
        <v>879</v>
      </c>
      <c r="D26" s="940" t="s">
        <v>922</v>
      </c>
      <c r="E26" s="922">
        <v>49296</v>
      </c>
      <c r="F26" s="1065">
        <v>10</v>
      </c>
      <c r="G26" s="1065">
        <v>56.024655000000003</v>
      </c>
      <c r="H26" s="953">
        <v>46.105390999999997</v>
      </c>
      <c r="I26" s="953">
        <v>102.13005</v>
      </c>
      <c r="J26" s="929">
        <v>13.506817</v>
      </c>
      <c r="K26" s="928"/>
      <c r="L26" s="928"/>
      <c r="M26" s="939" t="s">
        <v>377</v>
      </c>
      <c r="N26" s="927" t="s">
        <v>674</v>
      </c>
      <c r="O26" s="928"/>
      <c r="P26" s="1066">
        <v>10</v>
      </c>
      <c r="Q26" s="940">
        <v>3</v>
      </c>
      <c r="R26" s="928"/>
      <c r="S26" s="928"/>
      <c r="T26" s="940" t="str">
        <f t="shared" si="0"/>
        <v>High</v>
      </c>
      <c r="U26" s="940" t="s">
        <v>675</v>
      </c>
      <c r="V26" s="1053" t="s">
        <v>931</v>
      </c>
      <c r="W26" s="1054"/>
      <c r="X26" s="1054"/>
      <c r="Y26" s="1059"/>
      <c r="Z26" s="1057"/>
      <c r="AA26" s="902"/>
      <c r="AB26" s="901">
        <v>3</v>
      </c>
      <c r="AC26"/>
    </row>
    <row r="27" spans="1:29" ht="15" customHeight="1">
      <c r="A27" s="939"/>
      <c r="B27" s="1051" t="s">
        <v>706</v>
      </c>
      <c r="C27" s="1052" t="s">
        <v>880</v>
      </c>
      <c r="D27" s="940" t="s">
        <v>922</v>
      </c>
      <c r="E27" s="922">
        <v>49320</v>
      </c>
      <c r="F27" s="1065">
        <v>8</v>
      </c>
      <c r="G27" s="1065">
        <v>57.555143000000001</v>
      </c>
      <c r="H27" s="953">
        <v>47.117265000000003</v>
      </c>
      <c r="I27" s="953">
        <v>104.67241</v>
      </c>
      <c r="J27" s="929">
        <v>13.505674000000001</v>
      </c>
      <c r="K27" s="928"/>
      <c r="L27" s="928"/>
      <c r="M27" s="939" t="s">
        <v>377</v>
      </c>
      <c r="N27" s="927" t="s">
        <v>674</v>
      </c>
      <c r="O27" s="928"/>
      <c r="P27" s="1066">
        <v>13</v>
      </c>
      <c r="Q27" s="940">
        <v>6</v>
      </c>
      <c r="R27" s="928"/>
      <c r="S27" s="928"/>
      <c r="T27" s="940" t="str">
        <f t="shared" si="0"/>
        <v>Medium</v>
      </c>
      <c r="U27" s="940" t="s">
        <v>676</v>
      </c>
      <c r="V27" s="1053" t="s">
        <v>931</v>
      </c>
      <c r="W27" s="1054"/>
      <c r="X27" s="1054"/>
      <c r="Y27" s="1059"/>
      <c r="Z27" s="1057"/>
      <c r="AA27" s="902"/>
      <c r="AB27" s="901">
        <v>3</v>
      </c>
      <c r="AC27"/>
    </row>
    <row r="28" spans="1:29" ht="15" customHeight="1">
      <c r="A28" s="939"/>
      <c r="B28" s="1051" t="s">
        <v>707</v>
      </c>
      <c r="C28" s="1052" t="s">
        <v>881</v>
      </c>
      <c r="D28" s="940" t="s">
        <v>922</v>
      </c>
      <c r="E28" s="922">
        <v>49412</v>
      </c>
      <c r="F28" s="1065">
        <v>14</v>
      </c>
      <c r="G28" s="1065">
        <v>13.703939</v>
      </c>
      <c r="H28" s="953">
        <v>51.184187999999999</v>
      </c>
      <c r="I28" s="953">
        <v>64.888126</v>
      </c>
      <c r="J28" s="929">
        <v>13.499648000000001</v>
      </c>
      <c r="K28" s="928"/>
      <c r="L28" s="928"/>
      <c r="M28" s="939" t="s">
        <v>377</v>
      </c>
      <c r="N28" s="927" t="s">
        <v>674</v>
      </c>
      <c r="O28" s="928"/>
      <c r="P28" s="1066">
        <v>13</v>
      </c>
      <c r="Q28" s="940">
        <v>6</v>
      </c>
      <c r="R28" s="928"/>
      <c r="S28" s="928"/>
      <c r="T28" s="940" t="str">
        <f t="shared" si="0"/>
        <v>High</v>
      </c>
      <c r="U28" s="940" t="s">
        <v>675</v>
      </c>
      <c r="V28" s="1053" t="s">
        <v>931</v>
      </c>
      <c r="W28" s="1054"/>
      <c r="X28" s="1054"/>
      <c r="Y28" s="1059"/>
      <c r="Z28" s="1057"/>
      <c r="AA28" s="902"/>
      <c r="AB28" s="901">
        <v>3</v>
      </c>
      <c r="AC28"/>
    </row>
    <row r="29" spans="1:29" ht="15" customHeight="1">
      <c r="A29" s="939"/>
      <c r="B29" s="1051" t="s">
        <v>708</v>
      </c>
      <c r="C29" s="1052" t="s">
        <v>882</v>
      </c>
      <c r="D29" s="940" t="s">
        <v>922</v>
      </c>
      <c r="E29" s="922">
        <v>49398</v>
      </c>
      <c r="F29" s="1065">
        <v>14</v>
      </c>
      <c r="G29" s="1065">
        <v>13.981289</v>
      </c>
      <c r="H29" s="953">
        <v>50.381425</v>
      </c>
      <c r="I29" s="953">
        <v>64.362713999999997</v>
      </c>
      <c r="J29" s="929">
        <v>13.500757</v>
      </c>
      <c r="K29" s="928"/>
      <c r="L29" s="928"/>
      <c r="M29" s="939" t="s">
        <v>377</v>
      </c>
      <c r="N29" s="927" t="s">
        <v>674</v>
      </c>
      <c r="O29" s="928"/>
      <c r="P29" s="1066">
        <v>13</v>
      </c>
      <c r="Q29" s="940">
        <v>6</v>
      </c>
      <c r="R29" s="928"/>
      <c r="S29" s="928"/>
      <c r="T29" s="940" t="str">
        <f t="shared" si="0"/>
        <v>High</v>
      </c>
      <c r="U29" s="940" t="s">
        <v>675</v>
      </c>
      <c r="V29" s="1053" t="s">
        <v>931</v>
      </c>
      <c r="W29" s="1054"/>
      <c r="X29" s="1054"/>
      <c r="Y29" s="1059"/>
      <c r="Z29" s="1057"/>
      <c r="AA29" s="902"/>
      <c r="AB29" s="901">
        <v>3</v>
      </c>
      <c r="AC29"/>
    </row>
    <row r="30" spans="1:29" ht="15" customHeight="1">
      <c r="A30" s="939"/>
      <c r="B30" s="1051" t="s">
        <v>709</v>
      </c>
      <c r="C30" s="1052" t="s">
        <v>883</v>
      </c>
      <c r="D30" s="940" t="s">
        <v>922</v>
      </c>
      <c r="E30" s="922">
        <v>49384</v>
      </c>
      <c r="F30" s="1065">
        <v>14</v>
      </c>
      <c r="G30" s="1065">
        <v>13.948130000000001</v>
      </c>
      <c r="H30" s="953">
        <v>49.612706000000003</v>
      </c>
      <c r="I30" s="953">
        <v>63.560836000000002</v>
      </c>
      <c r="J30" s="929">
        <v>13.50164</v>
      </c>
      <c r="K30" s="928"/>
      <c r="L30" s="928"/>
      <c r="M30" s="939" t="s">
        <v>377</v>
      </c>
      <c r="N30" s="927" t="s">
        <v>674</v>
      </c>
      <c r="O30" s="928"/>
      <c r="P30" s="1066">
        <v>13</v>
      </c>
      <c r="Q30" s="940">
        <v>6</v>
      </c>
      <c r="R30" s="928"/>
      <c r="S30" s="928"/>
      <c r="T30" s="940" t="str">
        <f t="shared" si="0"/>
        <v>High</v>
      </c>
      <c r="U30" s="940" t="s">
        <v>675</v>
      </c>
      <c r="V30" s="1053" t="s">
        <v>931</v>
      </c>
      <c r="W30" s="1054"/>
      <c r="X30" s="1054"/>
      <c r="Y30" s="1059"/>
      <c r="Z30" s="1057"/>
      <c r="AA30" s="902"/>
      <c r="AB30" s="901">
        <v>3</v>
      </c>
      <c r="AC30"/>
    </row>
    <row r="31" spans="1:29">
      <c r="A31" s="939"/>
      <c r="B31" s="1051" t="s">
        <v>710</v>
      </c>
      <c r="C31" s="1052" t="s">
        <v>884</v>
      </c>
      <c r="D31" s="940" t="s">
        <v>922</v>
      </c>
      <c r="E31" s="922">
        <v>49371</v>
      </c>
      <c r="F31" s="1065">
        <v>14</v>
      </c>
      <c r="G31" s="1065">
        <v>13.640449</v>
      </c>
      <c r="H31" s="953">
        <v>49.105252999999998</v>
      </c>
      <c r="I31" s="953">
        <v>62.745702000000001</v>
      </c>
      <c r="J31" s="929">
        <v>13.502459999999999</v>
      </c>
      <c r="K31" s="928"/>
      <c r="L31" s="928"/>
      <c r="M31" s="939" t="s">
        <v>377</v>
      </c>
      <c r="N31" s="927" t="s">
        <v>674</v>
      </c>
      <c r="O31" s="928"/>
      <c r="P31" s="1066">
        <v>13</v>
      </c>
      <c r="Q31" s="940">
        <v>6</v>
      </c>
      <c r="R31" s="928"/>
      <c r="S31" s="928"/>
      <c r="T31" s="940" t="str">
        <f t="shared" si="0"/>
        <v>High</v>
      </c>
      <c r="U31" s="940" t="s">
        <v>675</v>
      </c>
      <c r="V31" s="1053" t="s">
        <v>931</v>
      </c>
      <c r="W31" s="1054"/>
      <c r="X31" s="1054"/>
      <c r="Y31" s="1059"/>
      <c r="Z31" s="1057"/>
      <c r="AA31" s="902"/>
      <c r="AB31" s="901">
        <v>3</v>
      </c>
      <c r="AC31"/>
    </row>
    <row r="32" spans="1:29" ht="15" customHeight="1">
      <c r="A32" s="939"/>
      <c r="B32" s="1051" t="s">
        <v>711</v>
      </c>
      <c r="C32" s="1052" t="s">
        <v>885</v>
      </c>
      <c r="D32" s="940" t="s">
        <v>922</v>
      </c>
      <c r="E32" s="922">
        <v>49353</v>
      </c>
      <c r="F32" s="1065">
        <v>14</v>
      </c>
      <c r="G32" s="1065">
        <v>13.805543</v>
      </c>
      <c r="H32" s="953">
        <v>48.336077000000003</v>
      </c>
      <c r="I32" s="953">
        <v>62.141621000000001</v>
      </c>
      <c r="J32" s="929">
        <v>13.503594</v>
      </c>
      <c r="K32" s="928"/>
      <c r="L32" s="928"/>
      <c r="M32" s="939" t="s">
        <v>377</v>
      </c>
      <c r="N32" s="927" t="s">
        <v>674</v>
      </c>
      <c r="O32" s="928"/>
      <c r="P32" s="1066">
        <v>13</v>
      </c>
      <c r="Q32" s="940">
        <v>6</v>
      </c>
      <c r="R32" s="928"/>
      <c r="S32" s="928"/>
      <c r="T32" s="940" t="str">
        <f t="shared" si="0"/>
        <v>High</v>
      </c>
      <c r="U32" s="940" t="s">
        <v>675</v>
      </c>
      <c r="V32" s="1053" t="s">
        <v>931</v>
      </c>
      <c r="W32" s="1054"/>
      <c r="X32" s="1054"/>
      <c r="Y32" s="1059"/>
      <c r="Z32" s="1057"/>
      <c r="AA32" s="902"/>
      <c r="AB32" s="901">
        <v>3</v>
      </c>
      <c r="AC32"/>
    </row>
    <row r="33" spans="1:32" ht="15" customHeight="1">
      <c r="A33" s="939"/>
      <c r="B33" s="1051" t="s">
        <v>712</v>
      </c>
      <c r="C33" s="1052" t="s">
        <v>886</v>
      </c>
      <c r="D33" s="940" t="s">
        <v>922</v>
      </c>
      <c r="E33" s="922">
        <v>49310</v>
      </c>
      <c r="F33" s="922">
        <v>76</v>
      </c>
      <c r="G33" s="922">
        <v>60.564267999999998</v>
      </c>
      <c r="H33" s="953">
        <v>-69.544447000000005</v>
      </c>
      <c r="I33" s="953">
        <v>-8.9801792000000003</v>
      </c>
      <c r="J33" s="929">
        <v>13.506304999999999</v>
      </c>
      <c r="K33" s="940"/>
      <c r="L33" s="940"/>
      <c r="M33" s="939" t="s">
        <v>377</v>
      </c>
      <c r="N33" s="927" t="s">
        <v>674</v>
      </c>
      <c r="O33" s="940"/>
      <c r="P33" s="939">
        <v>7</v>
      </c>
      <c r="Q33" s="940">
        <v>3</v>
      </c>
      <c r="R33" s="939"/>
      <c r="S33" s="939"/>
      <c r="T33" s="940" t="str">
        <f t="shared" si="0"/>
        <v>Medium</v>
      </c>
      <c r="U33" s="940" t="s">
        <v>676</v>
      </c>
      <c r="V33" s="1060" t="s">
        <v>947</v>
      </c>
      <c r="W33" s="1061">
        <v>27.745324834576934</v>
      </c>
      <c r="X33" s="1062">
        <v>3.4862102270497186E-2</v>
      </c>
      <c r="Y33" s="1063">
        <v>1</v>
      </c>
      <c r="Z33" s="1058" t="s">
        <v>164</v>
      </c>
      <c r="AA33" s="902"/>
      <c r="AB33" s="901">
        <v>0</v>
      </c>
      <c r="AC33"/>
    </row>
    <row r="34" spans="1:32">
      <c r="A34" s="939"/>
      <c r="B34" s="1051" t="s">
        <v>713</v>
      </c>
      <c r="C34" s="1052" t="s">
        <v>886</v>
      </c>
      <c r="D34" s="940" t="s">
        <v>922</v>
      </c>
      <c r="E34" s="922">
        <v>49363</v>
      </c>
      <c r="F34" s="922">
        <v>25</v>
      </c>
      <c r="G34" s="922">
        <v>35.643863000000003</v>
      </c>
      <c r="H34" s="953">
        <v>-48.477328999999997</v>
      </c>
      <c r="I34" s="953">
        <v>-12.833466</v>
      </c>
      <c r="J34" s="929">
        <v>13.502964</v>
      </c>
      <c r="K34" s="940"/>
      <c r="L34" s="940"/>
      <c r="M34" s="939" t="s">
        <v>377</v>
      </c>
      <c r="N34" s="927" t="s">
        <v>674</v>
      </c>
      <c r="O34" s="940"/>
      <c r="P34" s="939">
        <v>28</v>
      </c>
      <c r="Q34" s="940">
        <v>9</v>
      </c>
      <c r="R34" s="939"/>
      <c r="S34" s="939"/>
      <c r="T34" s="940" t="str">
        <f t="shared" si="0"/>
        <v>Medium</v>
      </c>
      <c r="U34" s="940" t="s">
        <v>676</v>
      </c>
      <c r="V34" s="1060" t="s">
        <v>948</v>
      </c>
      <c r="W34" s="1061">
        <v>29.497437544075311</v>
      </c>
      <c r="X34" s="1062">
        <v>4.72282178813105E-2</v>
      </c>
      <c r="Y34" s="1063">
        <v>2</v>
      </c>
      <c r="Z34" s="1064" t="s">
        <v>166</v>
      </c>
      <c r="AA34" s="902"/>
      <c r="AB34" s="901">
        <v>0</v>
      </c>
      <c r="AC34"/>
    </row>
    <row r="35" spans="1:32">
      <c r="A35" s="939"/>
      <c r="B35" s="1051" t="s">
        <v>714</v>
      </c>
      <c r="C35" s="1052" t="s">
        <v>887</v>
      </c>
      <c r="D35" s="940" t="s">
        <v>922</v>
      </c>
      <c r="E35" s="922">
        <v>48563</v>
      </c>
      <c r="F35" s="1065">
        <v>6.5</v>
      </c>
      <c r="G35" s="1065">
        <v>6.5201798999999996</v>
      </c>
      <c r="H35" s="953">
        <v>12.871521</v>
      </c>
      <c r="I35" s="953">
        <v>19.3917</v>
      </c>
      <c r="J35" s="929">
        <v>13.508217999999999</v>
      </c>
      <c r="K35" s="928"/>
      <c r="L35" s="928"/>
      <c r="M35" s="939" t="s">
        <v>664</v>
      </c>
      <c r="N35" s="927" t="s">
        <v>925</v>
      </c>
      <c r="O35" s="928"/>
      <c r="P35" s="1066">
        <v>4</v>
      </c>
      <c r="Q35" s="940">
        <v>1</v>
      </c>
      <c r="R35" s="928"/>
      <c r="S35" s="928"/>
      <c r="T35" s="940" t="str">
        <f t="shared" si="0"/>
        <v>Medium</v>
      </c>
      <c r="U35" s="940" t="s">
        <v>676</v>
      </c>
      <c r="V35" s="1053" t="s">
        <v>949</v>
      </c>
      <c r="W35" s="1054">
        <v>8.9126359661031991</v>
      </c>
      <c r="X35" s="1054">
        <v>5.6444733991891524E-2</v>
      </c>
      <c r="Y35" s="1059">
        <v>2</v>
      </c>
      <c r="Z35" s="1064" t="s">
        <v>166</v>
      </c>
      <c r="AA35" s="902"/>
      <c r="AB35" s="901">
        <v>0</v>
      </c>
      <c r="AC35"/>
    </row>
    <row r="36" spans="1:32">
      <c r="A36" s="939"/>
      <c r="B36" s="1051" t="s">
        <v>715</v>
      </c>
      <c r="C36" s="1052" t="s">
        <v>888</v>
      </c>
      <c r="D36" s="940" t="s">
        <v>922</v>
      </c>
      <c r="E36" s="939">
        <v>49152</v>
      </c>
      <c r="F36" s="954">
        <v>7</v>
      </c>
      <c r="G36" s="954">
        <v>6.8202388999999997</v>
      </c>
      <c r="H36" s="953">
        <v>16.352561000000001</v>
      </c>
      <c r="I36" s="953">
        <v>23.172799999999999</v>
      </c>
      <c r="J36" s="929">
        <v>13.501664</v>
      </c>
      <c r="K36" s="940"/>
      <c r="L36" s="940"/>
      <c r="M36" s="939" t="s">
        <v>377</v>
      </c>
      <c r="N36" s="927" t="s">
        <v>674</v>
      </c>
      <c r="O36" s="940"/>
      <c r="P36" s="939">
        <v>4</v>
      </c>
      <c r="Q36" s="940">
        <v>1</v>
      </c>
      <c r="R36" s="939"/>
      <c r="S36" s="939"/>
      <c r="T36" s="940" t="str">
        <f t="shared" si="0"/>
        <v>Medium</v>
      </c>
      <c r="U36" s="940" t="s">
        <v>676</v>
      </c>
      <c r="V36" s="1060" t="s">
        <v>950</v>
      </c>
      <c r="W36" s="1061">
        <v>6.6781917235975587</v>
      </c>
      <c r="X36" s="1062">
        <v>3.2540450198109812E-2</v>
      </c>
      <c r="Y36" s="1063">
        <v>1</v>
      </c>
      <c r="Z36" s="1058" t="s">
        <v>164</v>
      </c>
      <c r="AA36" s="902"/>
      <c r="AB36" s="901">
        <v>0</v>
      </c>
      <c r="AC36"/>
    </row>
    <row r="37" spans="1:32">
      <c r="A37" s="939"/>
      <c r="B37" s="1051" t="s">
        <v>716</v>
      </c>
      <c r="C37" s="1052" t="s">
        <v>889</v>
      </c>
      <c r="D37" s="940" t="s">
        <v>922</v>
      </c>
      <c r="E37" s="939">
        <v>49492</v>
      </c>
      <c r="F37" s="954">
        <v>4.5</v>
      </c>
      <c r="G37" s="954">
        <v>6.7038475000000002</v>
      </c>
      <c r="H37" s="953">
        <v>13.023349</v>
      </c>
      <c r="I37" s="953">
        <v>19.727195999999999</v>
      </c>
      <c r="J37" s="929">
        <v>13.511037</v>
      </c>
      <c r="K37" s="940"/>
      <c r="L37" s="940"/>
      <c r="M37" s="939" t="s">
        <v>377</v>
      </c>
      <c r="N37" s="927" t="s">
        <v>674</v>
      </c>
      <c r="O37" s="940"/>
      <c r="P37" s="939">
        <v>4</v>
      </c>
      <c r="Q37" s="940">
        <v>1</v>
      </c>
      <c r="R37" s="939"/>
      <c r="S37" s="939"/>
      <c r="T37" s="940" t="str">
        <f t="shared" si="0"/>
        <v>Medium</v>
      </c>
      <c r="U37" s="940" t="s">
        <v>676</v>
      </c>
      <c r="V37" s="1053" t="s">
        <v>951</v>
      </c>
      <c r="W37" s="1054">
        <v>9.1537220324767041</v>
      </c>
      <c r="X37" s="1054">
        <v>3.5161926732139068E-2</v>
      </c>
      <c r="Y37" s="1054">
        <v>1</v>
      </c>
      <c r="Z37" s="1058" t="s">
        <v>164</v>
      </c>
      <c r="AA37" s="902"/>
      <c r="AB37" s="901">
        <v>0</v>
      </c>
      <c r="AC37"/>
    </row>
    <row r="38" spans="1:32">
      <c r="A38" s="939"/>
      <c r="B38" s="1051" t="s">
        <v>717</v>
      </c>
      <c r="C38" s="1052" t="s">
        <v>890</v>
      </c>
      <c r="D38" s="940" t="s">
        <v>922</v>
      </c>
      <c r="E38" s="939">
        <v>49536</v>
      </c>
      <c r="F38" s="954">
        <v>22.5</v>
      </c>
      <c r="G38" s="954">
        <v>26.139240000000001</v>
      </c>
      <c r="H38" s="953">
        <v>12.324548999999999</v>
      </c>
      <c r="I38" s="953">
        <v>38.463788999999998</v>
      </c>
      <c r="J38" s="929">
        <v>13.513268999999999</v>
      </c>
      <c r="K38" s="940"/>
      <c r="L38" s="940"/>
      <c r="M38" s="939" t="s">
        <v>377</v>
      </c>
      <c r="N38" s="927" t="s">
        <v>674</v>
      </c>
      <c r="O38" s="940"/>
      <c r="P38" s="939">
        <v>22</v>
      </c>
      <c r="Q38" s="940">
        <v>9</v>
      </c>
      <c r="R38" s="939"/>
      <c r="S38" s="939"/>
      <c r="T38" s="940" t="str">
        <f t="shared" si="0"/>
        <v>High</v>
      </c>
      <c r="U38" s="940" t="s">
        <v>675</v>
      </c>
      <c r="V38" s="1053" t="s">
        <v>952</v>
      </c>
      <c r="W38" s="1054">
        <v>7.4416933554108891</v>
      </c>
      <c r="X38" s="1054">
        <v>2.841267674145196E-2</v>
      </c>
      <c r="Y38" s="1054">
        <v>1</v>
      </c>
      <c r="Z38" s="1058" t="s">
        <v>164</v>
      </c>
      <c r="AA38" s="902"/>
      <c r="AB38" s="901">
        <v>0</v>
      </c>
      <c r="AC38"/>
    </row>
    <row r="39" spans="1:32">
      <c r="A39" s="939"/>
      <c r="B39" s="1051" t="s">
        <v>718</v>
      </c>
      <c r="C39" s="1052" t="s">
        <v>891</v>
      </c>
      <c r="D39" s="940" t="s">
        <v>922</v>
      </c>
      <c r="E39" s="939">
        <v>49572</v>
      </c>
      <c r="F39" s="954">
        <v>21</v>
      </c>
      <c r="G39" s="954">
        <v>37.778407000000001</v>
      </c>
      <c r="H39" s="953">
        <v>5.8967593000000003</v>
      </c>
      <c r="I39" s="953">
        <v>43.675167000000002</v>
      </c>
      <c r="J39" s="929">
        <v>13.509404999999999</v>
      </c>
      <c r="K39" s="940"/>
      <c r="L39" s="940"/>
      <c r="M39" s="939" t="s">
        <v>377</v>
      </c>
      <c r="N39" s="927" t="s">
        <v>674</v>
      </c>
      <c r="O39" s="940"/>
      <c r="P39" s="939">
        <v>22</v>
      </c>
      <c r="Q39" s="940">
        <v>9</v>
      </c>
      <c r="R39" s="939"/>
      <c r="S39" s="939"/>
      <c r="T39" s="940" t="str">
        <f t="shared" si="0"/>
        <v>High</v>
      </c>
      <c r="U39" s="940" t="s">
        <v>675</v>
      </c>
      <c r="V39" s="1060" t="s">
        <v>953</v>
      </c>
      <c r="W39" s="1061">
        <v>17.818856990028326</v>
      </c>
      <c r="X39" s="1062">
        <v>3.4786580593109961E-2</v>
      </c>
      <c r="Y39" s="1063">
        <v>1</v>
      </c>
      <c r="Z39" s="1058" t="s">
        <v>164</v>
      </c>
      <c r="AA39" s="902"/>
      <c r="AB39" s="901">
        <v>0</v>
      </c>
      <c r="AC39"/>
    </row>
    <row r="40" spans="1:32">
      <c r="A40" s="939"/>
      <c r="B40" s="1051" t="s">
        <v>719</v>
      </c>
      <c r="C40" s="1052" t="s">
        <v>892</v>
      </c>
      <c r="D40" s="940" t="s">
        <v>922</v>
      </c>
      <c r="E40" s="939">
        <v>49672</v>
      </c>
      <c r="F40" s="954">
        <v>25</v>
      </c>
      <c r="G40" s="954">
        <v>25.286476</v>
      </c>
      <c r="H40" s="953">
        <v>-35.931717999999996</v>
      </c>
      <c r="I40" s="953">
        <v>-10.645242</v>
      </c>
      <c r="J40" s="929">
        <v>13.536268</v>
      </c>
      <c r="K40" s="940"/>
      <c r="L40" s="940"/>
      <c r="M40" s="939" t="s">
        <v>377</v>
      </c>
      <c r="N40" s="927" t="s">
        <v>674</v>
      </c>
      <c r="O40" s="940"/>
      <c r="P40" s="939">
        <v>28</v>
      </c>
      <c r="Q40" s="940">
        <v>9</v>
      </c>
      <c r="R40" s="939"/>
      <c r="S40" s="939"/>
      <c r="T40" s="940" t="str">
        <f t="shared" si="0"/>
        <v>Medium</v>
      </c>
      <c r="U40" s="940" t="s">
        <v>676</v>
      </c>
      <c r="V40" s="1053" t="s">
        <v>954</v>
      </c>
      <c r="W40" s="1054">
        <v>26.932761563012665</v>
      </c>
      <c r="X40" s="1054">
        <v>3.3359506453197109E-2</v>
      </c>
      <c r="Y40" s="1054">
        <v>1</v>
      </c>
      <c r="Z40" s="1058" t="s">
        <v>164</v>
      </c>
      <c r="AA40" s="902"/>
      <c r="AB40" s="901">
        <v>0</v>
      </c>
      <c r="AC40"/>
    </row>
    <row r="41" spans="1:32">
      <c r="A41" s="939"/>
      <c r="B41" s="1051" t="s">
        <v>720</v>
      </c>
      <c r="C41" s="1052" t="s">
        <v>893</v>
      </c>
      <c r="D41" s="940" t="s">
        <v>922</v>
      </c>
      <c r="E41" s="939">
        <v>45416</v>
      </c>
      <c r="F41" s="954">
        <v>24</v>
      </c>
      <c r="G41" s="954">
        <v>14.113384</v>
      </c>
      <c r="H41" s="953">
        <v>46.455269000000001</v>
      </c>
      <c r="I41" s="953">
        <v>60.568652999999998</v>
      </c>
      <c r="J41" s="929">
        <v>25.699597000000001</v>
      </c>
      <c r="K41" s="940"/>
      <c r="L41" s="940"/>
      <c r="M41" s="939" t="s">
        <v>377</v>
      </c>
      <c r="N41" s="927" t="s">
        <v>674</v>
      </c>
      <c r="O41" s="940"/>
      <c r="P41" s="939">
        <v>7</v>
      </c>
      <c r="Q41" s="940">
        <v>3</v>
      </c>
      <c r="R41" s="939"/>
      <c r="S41" s="939"/>
      <c r="T41" s="940" t="str">
        <f t="shared" si="0"/>
        <v>Medium</v>
      </c>
      <c r="U41" s="940" t="s">
        <v>676</v>
      </c>
      <c r="V41" s="1060" t="s">
        <v>931</v>
      </c>
      <c r="W41" s="1061"/>
      <c r="X41" s="1062"/>
      <c r="Y41" s="1063"/>
      <c r="Z41" s="1057"/>
      <c r="AA41" s="902"/>
      <c r="AB41" s="901">
        <v>3</v>
      </c>
      <c r="AC41"/>
    </row>
    <row r="42" spans="1:32" ht="15" customHeight="1">
      <c r="A42" s="939"/>
      <c r="B42" s="1051" t="s">
        <v>721</v>
      </c>
      <c r="C42" s="1052" t="s">
        <v>894</v>
      </c>
      <c r="D42" s="940" t="s">
        <v>922</v>
      </c>
      <c r="E42" s="940">
        <v>45452</v>
      </c>
      <c r="F42" s="954">
        <v>15</v>
      </c>
      <c r="G42" s="954">
        <v>10.128505000000001</v>
      </c>
      <c r="H42" s="953">
        <v>41.575206999999999</v>
      </c>
      <c r="I42" s="953">
        <v>51.703712000000003</v>
      </c>
      <c r="J42" s="929">
        <v>25.699860999999999</v>
      </c>
      <c r="K42" s="940"/>
      <c r="L42" s="940"/>
      <c r="M42" s="939" t="s">
        <v>377</v>
      </c>
      <c r="N42" s="927" t="s">
        <v>674</v>
      </c>
      <c r="O42" s="940"/>
      <c r="P42" s="939">
        <v>10</v>
      </c>
      <c r="Q42" s="940">
        <v>3</v>
      </c>
      <c r="R42" s="939"/>
      <c r="S42" s="939"/>
      <c r="T42" s="940" t="str">
        <f t="shared" si="0"/>
        <v>High</v>
      </c>
      <c r="U42" s="940" t="s">
        <v>675</v>
      </c>
      <c r="V42" s="1060" t="s">
        <v>931</v>
      </c>
      <c r="W42" s="1061"/>
      <c r="X42" s="1062"/>
      <c r="Y42" s="1063"/>
      <c r="Z42" s="1057"/>
      <c r="AA42" s="902"/>
      <c r="AB42" s="901">
        <v>3</v>
      </c>
      <c r="AC42"/>
    </row>
    <row r="43" spans="1:32" ht="15" customHeight="1">
      <c r="A43" s="939"/>
      <c r="B43" s="1051" t="s">
        <v>722</v>
      </c>
      <c r="C43" s="1052" t="s">
        <v>895</v>
      </c>
      <c r="D43" s="940" t="s">
        <v>922</v>
      </c>
      <c r="E43" s="939">
        <v>45468</v>
      </c>
      <c r="F43" s="954">
        <v>15</v>
      </c>
      <c r="G43" s="954">
        <v>10.767421000000001</v>
      </c>
      <c r="H43" s="953">
        <v>40.523620000000001</v>
      </c>
      <c r="I43" s="953">
        <v>51.291041999999997</v>
      </c>
      <c r="J43" s="929">
        <v>25.698891</v>
      </c>
      <c r="K43" s="940"/>
      <c r="L43" s="940"/>
      <c r="M43" s="939" t="s">
        <v>377</v>
      </c>
      <c r="N43" s="927" t="s">
        <v>674</v>
      </c>
      <c r="O43" s="940"/>
      <c r="P43" s="939">
        <v>10</v>
      </c>
      <c r="Q43" s="940">
        <v>3</v>
      </c>
      <c r="R43" s="939"/>
      <c r="S43" s="939"/>
      <c r="T43" s="940" t="str">
        <f t="shared" si="0"/>
        <v>High</v>
      </c>
      <c r="U43" s="940" t="s">
        <v>675</v>
      </c>
      <c r="V43" s="1053" t="s">
        <v>931</v>
      </c>
      <c r="W43" s="1054"/>
      <c r="X43" s="1054"/>
      <c r="Y43" s="1054"/>
      <c r="Z43" s="1057"/>
      <c r="AA43" s="902"/>
      <c r="AB43" s="901">
        <v>3</v>
      </c>
      <c r="AC43"/>
    </row>
    <row r="44" spans="1:32" ht="15" customHeight="1">
      <c r="A44" s="939"/>
      <c r="B44" s="1051" t="s">
        <v>723</v>
      </c>
      <c r="C44" s="1052" t="s">
        <v>896</v>
      </c>
      <c r="D44" s="940" t="s">
        <v>922</v>
      </c>
      <c r="E44" s="939">
        <v>45483</v>
      </c>
      <c r="F44" s="954">
        <v>15</v>
      </c>
      <c r="G44" s="954">
        <v>14.800675999999999</v>
      </c>
      <c r="H44" s="953">
        <v>39.697555000000001</v>
      </c>
      <c r="I44" s="953">
        <v>54.498230999999997</v>
      </c>
      <c r="J44" s="929">
        <v>25.697921000000001</v>
      </c>
      <c r="K44" s="940"/>
      <c r="L44" s="940"/>
      <c r="M44" s="939" t="s">
        <v>377</v>
      </c>
      <c r="N44" s="927" t="s">
        <v>674</v>
      </c>
      <c r="O44" s="940"/>
      <c r="P44" s="939">
        <v>10</v>
      </c>
      <c r="Q44" s="940">
        <v>3</v>
      </c>
      <c r="R44" s="939"/>
      <c r="S44" s="939"/>
      <c r="T44" s="940" t="str">
        <f t="shared" si="0"/>
        <v>High</v>
      </c>
      <c r="U44" s="940" t="s">
        <v>675</v>
      </c>
      <c r="V44" s="1053" t="s">
        <v>931</v>
      </c>
      <c r="W44" s="1054"/>
      <c r="X44" s="1054"/>
      <c r="Y44" s="1054"/>
      <c r="Z44" s="1057"/>
      <c r="AA44" s="902"/>
      <c r="AB44" s="901">
        <v>3</v>
      </c>
      <c r="AC44"/>
    </row>
    <row r="45" spans="1:32" s="1029" customFormat="1" ht="15" customHeight="1">
      <c r="A45" s="939"/>
      <c r="B45" s="1051" t="s">
        <v>724</v>
      </c>
      <c r="C45" s="1052" t="s">
        <v>897</v>
      </c>
      <c r="D45" s="940" t="s">
        <v>922</v>
      </c>
      <c r="E45" s="939">
        <v>45496</v>
      </c>
      <c r="F45" s="954">
        <v>15</v>
      </c>
      <c r="G45" s="954">
        <v>14.816818</v>
      </c>
      <c r="H45" s="953">
        <v>38.945976999999999</v>
      </c>
      <c r="I45" s="953">
        <v>53.762794999999997</v>
      </c>
      <c r="J45" s="929">
        <v>25.69708</v>
      </c>
      <c r="K45" s="940"/>
      <c r="L45" s="940"/>
      <c r="M45" s="939" t="s">
        <v>377</v>
      </c>
      <c r="N45" s="927" t="s">
        <v>674</v>
      </c>
      <c r="O45" s="940"/>
      <c r="P45" s="939">
        <v>10</v>
      </c>
      <c r="Q45" s="940">
        <v>3</v>
      </c>
      <c r="R45" s="939"/>
      <c r="S45" s="939"/>
      <c r="T45" s="940" t="str">
        <f t="shared" si="0"/>
        <v>High</v>
      </c>
      <c r="U45" s="940" t="s">
        <v>675</v>
      </c>
      <c r="V45" s="1053" t="s">
        <v>931</v>
      </c>
      <c r="W45" s="1054"/>
      <c r="X45" s="1054"/>
      <c r="Y45" s="1054"/>
      <c r="Z45" s="1057"/>
      <c r="AA45" s="902"/>
      <c r="AB45" s="901">
        <v>3</v>
      </c>
      <c r="AC45" s="253"/>
      <c r="AF45" s="1030"/>
    </row>
    <row r="46" spans="1:32" s="900" customFormat="1" ht="15" customHeight="1">
      <c r="A46" s="939"/>
      <c r="B46" s="1051" t="s">
        <v>725</v>
      </c>
      <c r="C46" s="1052" t="s">
        <v>898</v>
      </c>
      <c r="D46" s="940" t="s">
        <v>922</v>
      </c>
      <c r="E46" s="922">
        <v>45535</v>
      </c>
      <c r="F46" s="929">
        <v>12</v>
      </c>
      <c r="G46" s="929">
        <v>25.718087000000001</v>
      </c>
      <c r="H46" s="953">
        <v>34.675227</v>
      </c>
      <c r="I46" s="953">
        <v>60.393313999999997</v>
      </c>
      <c r="J46" s="929">
        <v>25.696712000000002</v>
      </c>
      <c r="K46" s="940"/>
      <c r="L46" s="940"/>
      <c r="M46" s="939" t="s">
        <v>377</v>
      </c>
      <c r="N46" s="927" t="s">
        <v>674</v>
      </c>
      <c r="O46" s="940"/>
      <c r="P46" s="939">
        <v>10</v>
      </c>
      <c r="Q46" s="940">
        <v>3</v>
      </c>
      <c r="R46" s="939"/>
      <c r="S46" s="939"/>
      <c r="T46" s="940" t="str">
        <f t="shared" si="0"/>
        <v>High</v>
      </c>
      <c r="U46" s="940" t="s">
        <v>675</v>
      </c>
      <c r="V46" s="1053" t="s">
        <v>931</v>
      </c>
      <c r="W46" s="1054"/>
      <c r="X46" s="1054"/>
      <c r="Y46" s="1054"/>
      <c r="Z46" s="1057"/>
      <c r="AA46" s="902"/>
      <c r="AB46" s="901">
        <v>3</v>
      </c>
      <c r="AC46"/>
      <c r="AF46" s="987"/>
    </row>
    <row r="47" spans="1:32" s="900" customFormat="1">
      <c r="A47" s="939"/>
      <c r="B47" s="1051" t="s">
        <v>726</v>
      </c>
      <c r="C47" s="1052" t="s">
        <v>899</v>
      </c>
      <c r="D47" s="940" t="s">
        <v>922</v>
      </c>
      <c r="E47" s="922">
        <v>45535</v>
      </c>
      <c r="F47" s="1065">
        <v>11</v>
      </c>
      <c r="G47" s="1065">
        <v>21.805026000000002</v>
      </c>
      <c r="H47" s="953">
        <v>60.227882000000001</v>
      </c>
      <c r="I47" s="953">
        <v>82.032908000000006</v>
      </c>
      <c r="J47" s="929">
        <v>25.696712000000002</v>
      </c>
      <c r="K47" s="928"/>
      <c r="L47" s="928"/>
      <c r="M47" s="939" t="s">
        <v>377</v>
      </c>
      <c r="N47" s="927" t="s">
        <v>674</v>
      </c>
      <c r="O47" s="928"/>
      <c r="P47" s="1066">
        <v>10</v>
      </c>
      <c r="Q47" s="940">
        <v>3</v>
      </c>
      <c r="R47" s="928"/>
      <c r="S47" s="928"/>
      <c r="T47" s="940" t="str">
        <f t="shared" si="0"/>
        <v>High</v>
      </c>
      <c r="U47" s="940" t="s">
        <v>675</v>
      </c>
      <c r="V47" s="1053" t="s">
        <v>931</v>
      </c>
      <c r="W47" s="1054"/>
      <c r="X47" s="1054"/>
      <c r="Y47" s="1059"/>
      <c r="Z47" s="1057"/>
      <c r="AA47" s="902"/>
      <c r="AB47" s="901">
        <v>3</v>
      </c>
      <c r="AC47"/>
      <c r="AF47" s="987"/>
    </row>
    <row r="48" spans="1:32" s="900" customFormat="1" ht="15" customHeight="1">
      <c r="A48" s="939"/>
      <c r="B48" s="1051" t="s">
        <v>727</v>
      </c>
      <c r="C48" s="1052" t="s">
        <v>900</v>
      </c>
      <c r="D48" s="940" t="s">
        <v>922</v>
      </c>
      <c r="E48" s="922">
        <v>45563</v>
      </c>
      <c r="F48" s="1065">
        <v>20</v>
      </c>
      <c r="G48" s="1065">
        <v>11.120418000000001</v>
      </c>
      <c r="H48" s="953">
        <v>37.575789</v>
      </c>
      <c r="I48" s="953">
        <v>48.696207000000001</v>
      </c>
      <c r="J48" s="929">
        <v>25.696712999999999</v>
      </c>
      <c r="K48" s="928"/>
      <c r="L48" s="928"/>
      <c r="M48" s="939" t="s">
        <v>377</v>
      </c>
      <c r="N48" s="927" t="s">
        <v>674</v>
      </c>
      <c r="O48" s="928"/>
      <c r="P48" s="1066">
        <v>10</v>
      </c>
      <c r="Q48" s="940">
        <v>3</v>
      </c>
      <c r="R48" s="928"/>
      <c r="S48" s="928"/>
      <c r="T48" s="940" t="str">
        <f t="shared" si="0"/>
        <v>High</v>
      </c>
      <c r="U48" s="940" t="s">
        <v>675</v>
      </c>
      <c r="V48" s="1053" t="s">
        <v>931</v>
      </c>
      <c r="W48" s="1054"/>
      <c r="X48" s="1054"/>
      <c r="Y48" s="1059"/>
      <c r="Z48" s="1057"/>
      <c r="AA48" s="902"/>
      <c r="AB48" s="901">
        <v>3</v>
      </c>
      <c r="AC48"/>
      <c r="AF48" s="987"/>
    </row>
    <row r="49" spans="1:32" s="900" customFormat="1" ht="15" customHeight="1">
      <c r="A49" s="939"/>
      <c r="B49" s="1051" t="s">
        <v>728</v>
      </c>
      <c r="C49" s="1052" t="s">
        <v>901</v>
      </c>
      <c r="D49" s="940" t="s">
        <v>922</v>
      </c>
      <c r="E49" s="922">
        <v>45579</v>
      </c>
      <c r="F49" s="1065">
        <v>15</v>
      </c>
      <c r="G49" s="1065">
        <v>14.075545999999999</v>
      </c>
      <c r="H49" s="953">
        <v>37.244036999999999</v>
      </c>
      <c r="I49" s="953">
        <v>51.319583000000002</v>
      </c>
      <c r="J49" s="929">
        <v>25.696712999999999</v>
      </c>
      <c r="K49" s="928"/>
      <c r="L49" s="928"/>
      <c r="M49" s="939" t="s">
        <v>377</v>
      </c>
      <c r="N49" s="927" t="s">
        <v>674</v>
      </c>
      <c r="O49" s="928"/>
      <c r="P49" s="1066">
        <v>10</v>
      </c>
      <c r="Q49" s="940">
        <v>3</v>
      </c>
      <c r="R49" s="928"/>
      <c r="S49" s="928"/>
      <c r="T49" s="940" t="str">
        <f t="shared" si="0"/>
        <v>High</v>
      </c>
      <c r="U49" s="940" t="s">
        <v>675</v>
      </c>
      <c r="V49" s="1053" t="s">
        <v>931</v>
      </c>
      <c r="W49" s="1054"/>
      <c r="X49" s="1054"/>
      <c r="Y49" s="1059"/>
      <c r="Z49" s="1057"/>
      <c r="AA49" s="902"/>
      <c r="AB49" s="901">
        <v>3</v>
      </c>
      <c r="AC49"/>
      <c r="AF49" s="987"/>
    </row>
    <row r="50" spans="1:32" s="900" customFormat="1">
      <c r="A50" s="939"/>
      <c r="B50" s="1051" t="s">
        <v>729</v>
      </c>
      <c r="C50" s="952" t="s">
        <v>902</v>
      </c>
      <c r="D50" s="940" t="s">
        <v>922</v>
      </c>
      <c r="E50" s="922">
        <v>45592</v>
      </c>
      <c r="F50" s="1065">
        <v>15</v>
      </c>
      <c r="G50" s="1065">
        <v>10.101132</v>
      </c>
      <c r="H50" s="953">
        <v>37.087629</v>
      </c>
      <c r="I50" s="953">
        <v>47.188760000000002</v>
      </c>
      <c r="J50" s="929">
        <v>25.696712999999999</v>
      </c>
      <c r="K50" s="928"/>
      <c r="L50" s="928"/>
      <c r="M50" s="939" t="s">
        <v>377</v>
      </c>
      <c r="N50" s="927" t="s">
        <v>674</v>
      </c>
      <c r="O50" s="928"/>
      <c r="P50" s="1066">
        <v>10</v>
      </c>
      <c r="Q50" s="940">
        <v>3</v>
      </c>
      <c r="R50" s="928"/>
      <c r="S50" s="928"/>
      <c r="T50" s="940" t="str">
        <f t="shared" si="0"/>
        <v>High</v>
      </c>
      <c r="U50" s="940" t="s">
        <v>675</v>
      </c>
      <c r="V50" s="1053" t="s">
        <v>931</v>
      </c>
      <c r="W50" s="1054"/>
      <c r="X50" s="1054"/>
      <c r="Y50" s="1059"/>
      <c r="Z50" s="1057"/>
      <c r="AA50" s="902"/>
      <c r="AB50" s="901">
        <v>3</v>
      </c>
      <c r="AC50"/>
      <c r="AF50" s="987"/>
    </row>
    <row r="51" spans="1:32" s="900" customFormat="1" ht="15" customHeight="1">
      <c r="A51" s="939"/>
      <c r="B51" s="1051" t="s">
        <v>730</v>
      </c>
      <c r="C51" s="952" t="s">
        <v>903</v>
      </c>
      <c r="D51" s="940" t="s">
        <v>922</v>
      </c>
      <c r="E51" s="922">
        <v>45612</v>
      </c>
      <c r="F51" s="1065">
        <v>15</v>
      </c>
      <c r="G51" s="1065">
        <v>13.973414</v>
      </c>
      <c r="H51" s="953">
        <v>36.912858</v>
      </c>
      <c r="I51" s="953">
        <v>50.886273000000003</v>
      </c>
      <c r="J51" s="929">
        <v>25.697331999999999</v>
      </c>
      <c r="K51" s="928"/>
      <c r="L51" s="928"/>
      <c r="M51" s="939" t="s">
        <v>377</v>
      </c>
      <c r="N51" s="927" t="s">
        <v>674</v>
      </c>
      <c r="O51" s="928"/>
      <c r="P51" s="1066">
        <v>10</v>
      </c>
      <c r="Q51" s="940">
        <v>3</v>
      </c>
      <c r="R51" s="928"/>
      <c r="S51" s="928"/>
      <c r="T51" s="940" t="str">
        <f t="shared" si="0"/>
        <v>High</v>
      </c>
      <c r="U51" s="940" t="s">
        <v>675</v>
      </c>
      <c r="V51" s="1053" t="s">
        <v>931</v>
      </c>
      <c r="W51" s="1054"/>
      <c r="X51" s="1054"/>
      <c r="Y51" s="1059"/>
      <c r="Z51" s="1057"/>
      <c r="AA51" s="902"/>
      <c r="AB51" s="901">
        <v>3</v>
      </c>
      <c r="AC51"/>
      <c r="AF51" s="987"/>
    </row>
    <row r="52" spans="1:32" s="900" customFormat="1" ht="15" customHeight="1">
      <c r="A52" s="939"/>
      <c r="B52" s="1051" t="s">
        <v>731</v>
      </c>
      <c r="C52" s="952" t="s">
        <v>681</v>
      </c>
      <c r="D52" s="940" t="s">
        <v>922</v>
      </c>
      <c r="E52" s="922">
        <v>45630</v>
      </c>
      <c r="F52" s="1065">
        <v>5</v>
      </c>
      <c r="G52" s="1065">
        <v>9.6159248999999996</v>
      </c>
      <c r="H52" s="953">
        <v>35.712411000000003</v>
      </c>
      <c r="I52" s="953">
        <v>45.328336</v>
      </c>
      <c r="J52" s="929">
        <v>25.702465</v>
      </c>
      <c r="K52" s="928"/>
      <c r="L52" s="928"/>
      <c r="M52" s="939" t="s">
        <v>377</v>
      </c>
      <c r="N52" s="927" t="s">
        <v>674</v>
      </c>
      <c r="O52" s="928"/>
      <c r="P52" s="1066">
        <v>4</v>
      </c>
      <c r="Q52" s="940">
        <v>1</v>
      </c>
      <c r="R52" s="928"/>
      <c r="S52" s="928"/>
      <c r="T52" s="940" t="str">
        <f t="shared" si="0"/>
        <v>Medium</v>
      </c>
      <c r="U52" s="940" t="s">
        <v>676</v>
      </c>
      <c r="V52" s="1053" t="s">
        <v>955</v>
      </c>
      <c r="W52" s="1054">
        <v>8.8039800631178333E-2</v>
      </c>
      <c r="X52" s="1054">
        <v>1.536591867232383E-3</v>
      </c>
      <c r="Y52" s="1059">
        <v>0</v>
      </c>
      <c r="Z52" s="1055" t="s">
        <v>162</v>
      </c>
      <c r="AA52" s="902"/>
      <c r="AB52" s="901">
        <v>0</v>
      </c>
      <c r="AC52"/>
      <c r="AF52" s="987"/>
    </row>
    <row r="53" spans="1:32" s="900" customFormat="1" ht="15" customHeight="1">
      <c r="A53" s="939"/>
      <c r="B53" s="1051" t="s">
        <v>732</v>
      </c>
      <c r="C53" s="952" t="s">
        <v>904</v>
      </c>
      <c r="D53" s="940" t="s">
        <v>922</v>
      </c>
      <c r="E53" s="922">
        <v>45415</v>
      </c>
      <c r="F53" s="929">
        <v>22</v>
      </c>
      <c r="G53" s="929">
        <v>26.715845999999999</v>
      </c>
      <c r="H53" s="953">
        <v>-25.543368999999998</v>
      </c>
      <c r="I53" s="953">
        <v>1.1724762</v>
      </c>
      <c r="J53" s="929">
        <v>25.699377999999999</v>
      </c>
      <c r="K53" s="940"/>
      <c r="L53" s="940"/>
      <c r="M53" s="939" t="s">
        <v>377</v>
      </c>
      <c r="N53" s="927" t="s">
        <v>674</v>
      </c>
      <c r="O53" s="940"/>
      <c r="P53" s="941">
        <v>13</v>
      </c>
      <c r="Q53" s="940">
        <v>6</v>
      </c>
      <c r="R53" s="939"/>
      <c r="S53" s="939"/>
      <c r="T53" s="940" t="str">
        <f t="shared" si="0"/>
        <v>High</v>
      </c>
      <c r="U53" s="940" t="s">
        <v>675</v>
      </c>
      <c r="V53" s="1053" t="s">
        <v>956</v>
      </c>
      <c r="W53" s="1054">
        <v>21.032905499662029</v>
      </c>
      <c r="X53" s="1054">
        <v>6.4562903627274237E-2</v>
      </c>
      <c r="Y53" s="1054">
        <v>2</v>
      </c>
      <c r="Z53" s="1064" t="s">
        <v>166</v>
      </c>
      <c r="AA53" s="902"/>
      <c r="AB53" s="901">
        <v>0</v>
      </c>
      <c r="AC53"/>
      <c r="AF53" s="987"/>
    </row>
    <row r="54" spans="1:32" s="900" customFormat="1" ht="15" customHeight="1">
      <c r="A54" s="939"/>
      <c r="B54" s="1051" t="s">
        <v>733</v>
      </c>
      <c r="C54" s="952" t="s">
        <v>905</v>
      </c>
      <c r="D54" s="940" t="s">
        <v>922</v>
      </c>
      <c r="E54" s="922">
        <v>45471</v>
      </c>
      <c r="F54" s="1065">
        <v>13</v>
      </c>
      <c r="G54" s="1065">
        <v>16.963314</v>
      </c>
      <c r="H54" s="953">
        <v>-13.247501</v>
      </c>
      <c r="I54" s="953">
        <v>3.7158123999999999</v>
      </c>
      <c r="J54" s="929">
        <v>25.698696999999999</v>
      </c>
      <c r="K54" s="928"/>
      <c r="L54" s="928"/>
      <c r="M54" s="939" t="s">
        <v>377</v>
      </c>
      <c r="N54" s="927" t="s">
        <v>674</v>
      </c>
      <c r="O54" s="928"/>
      <c r="P54" s="1066">
        <v>13</v>
      </c>
      <c r="Q54" s="940">
        <v>6</v>
      </c>
      <c r="R54" s="928"/>
      <c r="S54" s="928"/>
      <c r="T54" s="940" t="str">
        <f t="shared" si="0"/>
        <v>High</v>
      </c>
      <c r="U54" s="940" t="s">
        <v>675</v>
      </c>
      <c r="V54" s="1053" t="s">
        <v>957</v>
      </c>
      <c r="W54" s="1054">
        <v>20.574747486797836</v>
      </c>
      <c r="X54" s="1054">
        <v>6.2427024028017225E-2</v>
      </c>
      <c r="Y54" s="1059">
        <v>2</v>
      </c>
      <c r="Z54" s="1064" t="s">
        <v>166</v>
      </c>
      <c r="AA54" s="902"/>
      <c r="AB54" s="901">
        <v>0</v>
      </c>
      <c r="AC54"/>
      <c r="AF54" s="987"/>
    </row>
    <row r="55" spans="1:32" s="900" customFormat="1" ht="27.6">
      <c r="A55" s="939"/>
      <c r="B55" s="1051" t="s">
        <v>734</v>
      </c>
      <c r="C55" s="952" t="s">
        <v>906</v>
      </c>
      <c r="D55" s="940" t="s">
        <v>922</v>
      </c>
      <c r="E55" s="922">
        <v>45472</v>
      </c>
      <c r="F55" s="1065">
        <v>10</v>
      </c>
      <c r="G55" s="1065">
        <v>40.069795999999997</v>
      </c>
      <c r="H55" s="953">
        <v>-52.934516000000002</v>
      </c>
      <c r="I55" s="953">
        <v>-12.86472</v>
      </c>
      <c r="J55" s="929">
        <v>25.698632</v>
      </c>
      <c r="K55" s="928"/>
      <c r="L55" s="928"/>
      <c r="M55" s="939" t="s">
        <v>377</v>
      </c>
      <c r="N55" s="927" t="s">
        <v>674</v>
      </c>
      <c r="O55" s="928"/>
      <c r="P55" s="1066">
        <v>13</v>
      </c>
      <c r="Q55" s="940">
        <v>6</v>
      </c>
      <c r="R55" s="928"/>
      <c r="S55" s="928"/>
      <c r="T55" s="940" t="str">
        <f t="shared" si="0"/>
        <v>High</v>
      </c>
      <c r="U55" s="940" t="s">
        <v>675</v>
      </c>
      <c r="V55" s="1053" t="s">
        <v>958</v>
      </c>
      <c r="W55" s="1054">
        <v>20.329536323506879</v>
      </c>
      <c r="X55" s="1054">
        <v>6.0340654466149245E-2</v>
      </c>
      <c r="Y55" s="1059">
        <v>2</v>
      </c>
      <c r="Z55" s="1064" t="s">
        <v>166</v>
      </c>
      <c r="AA55" s="902"/>
      <c r="AB55" s="901">
        <v>0</v>
      </c>
      <c r="AC55"/>
      <c r="AF55" s="987"/>
    </row>
    <row r="56" spans="1:32" s="900" customFormat="1">
      <c r="A56" s="939"/>
      <c r="B56" s="1051" t="s">
        <v>735</v>
      </c>
      <c r="C56" s="952" t="s">
        <v>907</v>
      </c>
      <c r="D56" s="940" t="s">
        <v>922</v>
      </c>
      <c r="E56" s="922">
        <v>45500</v>
      </c>
      <c r="F56" s="1065">
        <v>16</v>
      </c>
      <c r="G56" s="1065">
        <v>13.455469000000001</v>
      </c>
      <c r="H56" s="953">
        <v>-8.5407197000000004</v>
      </c>
      <c r="I56" s="953">
        <v>4.9147496999999998</v>
      </c>
      <c r="J56" s="929">
        <v>25.696822000000001</v>
      </c>
      <c r="K56" s="928"/>
      <c r="L56" s="928"/>
      <c r="M56" s="939" t="s">
        <v>377</v>
      </c>
      <c r="N56" s="927" t="s">
        <v>674</v>
      </c>
      <c r="O56" s="928"/>
      <c r="P56" s="1066">
        <v>13</v>
      </c>
      <c r="Q56" s="940">
        <v>6</v>
      </c>
      <c r="R56" s="928"/>
      <c r="S56" s="928"/>
      <c r="T56" s="940" t="str">
        <f t="shared" si="0"/>
        <v>High</v>
      </c>
      <c r="U56" s="940" t="s">
        <v>675</v>
      </c>
      <c r="V56" s="1053" t="s">
        <v>959</v>
      </c>
      <c r="W56" s="1054">
        <v>20.745006358607743</v>
      </c>
      <c r="X56" s="1054">
        <v>3.1703735888121795E-2</v>
      </c>
      <c r="Y56" s="1059">
        <v>0</v>
      </c>
      <c r="Z56" s="1055" t="s">
        <v>162</v>
      </c>
      <c r="AA56" s="902"/>
      <c r="AB56" s="901">
        <v>0</v>
      </c>
      <c r="AC56"/>
      <c r="AF56" s="987"/>
    </row>
    <row r="57" spans="1:32" s="900" customFormat="1">
      <c r="A57" s="939"/>
      <c r="B57" s="1051" t="s">
        <v>736</v>
      </c>
      <c r="C57" s="952" t="s">
        <v>908</v>
      </c>
      <c r="D57" s="940" t="s">
        <v>922</v>
      </c>
      <c r="E57" s="927">
        <v>45504</v>
      </c>
      <c r="F57" s="1065">
        <v>14</v>
      </c>
      <c r="G57" s="1065">
        <v>10.380516999999999</v>
      </c>
      <c r="H57" s="953">
        <v>-5.7523869999999997</v>
      </c>
      <c r="I57" s="953">
        <v>4.6281298</v>
      </c>
      <c r="J57" s="929">
        <v>25.696712999999999</v>
      </c>
      <c r="K57" s="928"/>
      <c r="L57" s="928"/>
      <c r="M57" s="939" t="s">
        <v>377</v>
      </c>
      <c r="N57" s="927" t="s">
        <v>674</v>
      </c>
      <c r="O57" s="928"/>
      <c r="P57" s="927">
        <v>13</v>
      </c>
      <c r="Q57" s="940">
        <v>6</v>
      </c>
      <c r="R57" s="927"/>
      <c r="S57" s="927"/>
      <c r="T57" s="940" t="str">
        <f t="shared" si="0"/>
        <v>High</v>
      </c>
      <c r="U57" s="940" t="s">
        <v>675</v>
      </c>
      <c r="V57" s="1053" t="s">
        <v>960</v>
      </c>
      <c r="W57" s="1054">
        <v>21.150383309404141</v>
      </c>
      <c r="X57" s="1054">
        <v>3.0279223352723178E-2</v>
      </c>
      <c r="Y57" s="1054">
        <v>0</v>
      </c>
      <c r="Z57" s="1055" t="s">
        <v>162</v>
      </c>
      <c r="AA57" s="902"/>
      <c r="AB57" s="901">
        <v>0</v>
      </c>
      <c r="AC57"/>
      <c r="AF57" s="987"/>
    </row>
    <row r="58" spans="1:32" s="900" customFormat="1" ht="15" customHeight="1">
      <c r="A58" s="939"/>
      <c r="B58" s="1051" t="s">
        <v>737</v>
      </c>
      <c r="C58" s="952" t="s">
        <v>909</v>
      </c>
      <c r="D58" s="940" t="s">
        <v>922</v>
      </c>
      <c r="E58" s="922">
        <v>45518</v>
      </c>
      <c r="F58" s="1065">
        <v>14</v>
      </c>
      <c r="G58" s="1065">
        <v>13.580859</v>
      </c>
      <c r="H58" s="953">
        <v>-9.2148865000000004</v>
      </c>
      <c r="I58" s="953">
        <v>4.3659729</v>
      </c>
      <c r="J58" s="929">
        <v>25.696712000000002</v>
      </c>
      <c r="K58" s="928"/>
      <c r="L58" s="928"/>
      <c r="M58" s="939" t="s">
        <v>377</v>
      </c>
      <c r="N58" s="927" t="s">
        <v>674</v>
      </c>
      <c r="O58" s="928"/>
      <c r="P58" s="1066">
        <v>13</v>
      </c>
      <c r="Q58" s="940">
        <v>6</v>
      </c>
      <c r="R58" s="928"/>
      <c r="S58" s="928"/>
      <c r="T58" s="940" t="str">
        <f t="shared" si="0"/>
        <v>High</v>
      </c>
      <c r="U58" s="940" t="s">
        <v>675</v>
      </c>
      <c r="V58" s="1053" t="s">
        <v>961</v>
      </c>
      <c r="W58" s="1054">
        <v>21.214225212049058</v>
      </c>
      <c r="X58" s="1054">
        <v>3.1997756580098992E-2</v>
      </c>
      <c r="Y58" s="1059">
        <v>1</v>
      </c>
      <c r="Z58" s="1058" t="s">
        <v>164</v>
      </c>
      <c r="AA58" s="902"/>
      <c r="AB58" s="901">
        <v>0</v>
      </c>
      <c r="AC58"/>
      <c r="AF58" s="987"/>
    </row>
    <row r="59" spans="1:32" s="1027" customFormat="1" ht="15" thickBot="1">
      <c r="A59" s="939"/>
      <c r="B59" s="1051" t="s">
        <v>738</v>
      </c>
      <c r="C59" s="952" t="s">
        <v>910</v>
      </c>
      <c r="D59" s="940" t="s">
        <v>922</v>
      </c>
      <c r="E59" s="927">
        <v>45500</v>
      </c>
      <c r="F59" s="1065">
        <v>14</v>
      </c>
      <c r="G59" s="1065">
        <v>13.353061</v>
      </c>
      <c r="H59" s="953">
        <v>-8.6650902999999992</v>
      </c>
      <c r="I59" s="953">
        <v>4.6879704999999996</v>
      </c>
      <c r="J59" s="929">
        <v>25.696822000000001</v>
      </c>
      <c r="K59" s="928"/>
      <c r="L59" s="928"/>
      <c r="M59" s="939" t="s">
        <v>377</v>
      </c>
      <c r="N59" s="927" t="s">
        <v>674</v>
      </c>
      <c r="O59" s="928"/>
      <c r="P59" s="942">
        <v>13</v>
      </c>
      <c r="Q59" s="940">
        <v>6</v>
      </c>
      <c r="R59" s="927"/>
      <c r="S59" s="927"/>
      <c r="T59" s="940" t="str">
        <f t="shared" si="0"/>
        <v>High</v>
      </c>
      <c r="U59" s="940" t="s">
        <v>675</v>
      </c>
      <c r="V59" s="1053" t="s">
        <v>962</v>
      </c>
      <c r="W59" s="1054">
        <v>20.801109933071736</v>
      </c>
      <c r="X59" s="1054">
        <v>3.1014383493040133E-2</v>
      </c>
      <c r="Y59" s="1054">
        <v>0</v>
      </c>
      <c r="Z59" s="1055" t="s">
        <v>162</v>
      </c>
      <c r="AA59" s="1024"/>
      <c r="AB59" s="1025">
        <v>0</v>
      </c>
      <c r="AC59" s="1026"/>
      <c r="AF59" s="1028"/>
    </row>
    <row r="60" spans="1:32" s="900" customFormat="1" ht="15" thickTop="1">
      <c r="A60" s="939"/>
      <c r="B60" s="1051" t="s">
        <v>739</v>
      </c>
      <c r="C60" s="952" t="s">
        <v>911</v>
      </c>
      <c r="D60" s="940" t="s">
        <v>922</v>
      </c>
      <c r="E60" s="922">
        <v>45574</v>
      </c>
      <c r="F60" s="1065">
        <v>17</v>
      </c>
      <c r="G60" s="1065">
        <v>15.271418000000001</v>
      </c>
      <c r="H60" s="953">
        <v>-11.381587</v>
      </c>
      <c r="I60" s="953">
        <v>3.8898309000000002</v>
      </c>
      <c r="J60" s="929">
        <v>25.696712000000002</v>
      </c>
      <c r="K60" s="928"/>
      <c r="L60" s="928"/>
      <c r="M60" s="939" t="s">
        <v>377</v>
      </c>
      <c r="N60" s="927" t="s">
        <v>674</v>
      </c>
      <c r="O60" s="928"/>
      <c r="P60" s="1066">
        <v>13</v>
      </c>
      <c r="Q60" s="940">
        <v>6</v>
      </c>
      <c r="R60" s="928"/>
      <c r="S60" s="928"/>
      <c r="T60" s="940" t="str">
        <f t="shared" si="0"/>
        <v>High</v>
      </c>
      <c r="U60" s="940" t="s">
        <v>675</v>
      </c>
      <c r="V60" s="1053" t="s">
        <v>963</v>
      </c>
      <c r="W60" s="1054">
        <v>20.772768310789949</v>
      </c>
      <c r="X60" s="1054">
        <v>4.8300017278610656E-2</v>
      </c>
      <c r="Y60" s="1059">
        <v>2</v>
      </c>
      <c r="Z60" s="1064" t="s">
        <v>166</v>
      </c>
      <c r="AA60" s="902"/>
      <c r="AB60" s="901">
        <v>0</v>
      </c>
      <c r="AC60"/>
      <c r="AF60" s="987"/>
    </row>
    <row r="61" spans="1:32" s="900" customFormat="1">
      <c r="A61" s="939"/>
      <c r="B61" s="1051" t="s">
        <v>740</v>
      </c>
      <c r="C61" s="952" t="s">
        <v>912</v>
      </c>
      <c r="D61" s="940" t="s">
        <v>922</v>
      </c>
      <c r="E61" s="927">
        <v>45589</v>
      </c>
      <c r="F61" s="1065">
        <v>13</v>
      </c>
      <c r="G61" s="1065">
        <v>13.498129</v>
      </c>
      <c r="H61" s="953">
        <v>-9.9057195</v>
      </c>
      <c r="I61" s="953">
        <v>3.5924098</v>
      </c>
      <c r="J61" s="929">
        <v>25.696712000000002</v>
      </c>
      <c r="K61" s="928"/>
      <c r="L61" s="928"/>
      <c r="M61" s="939" t="s">
        <v>377</v>
      </c>
      <c r="N61" s="927" t="s">
        <v>674</v>
      </c>
      <c r="O61" s="928"/>
      <c r="P61" s="927">
        <v>13</v>
      </c>
      <c r="Q61" s="940">
        <v>6</v>
      </c>
      <c r="R61" s="927"/>
      <c r="S61" s="927"/>
      <c r="T61" s="940" t="str">
        <f t="shared" si="0"/>
        <v>High</v>
      </c>
      <c r="U61" s="940" t="s">
        <v>675</v>
      </c>
      <c r="V61" s="1053" t="s">
        <v>964</v>
      </c>
      <c r="W61" s="1054">
        <v>20.671520946873688</v>
      </c>
      <c r="X61" s="1054">
        <v>3.4266005842609297E-2</v>
      </c>
      <c r="Y61" s="1054">
        <v>1</v>
      </c>
      <c r="Z61" s="1058" t="s">
        <v>164</v>
      </c>
      <c r="AA61" s="902"/>
      <c r="AB61" s="901">
        <v>0</v>
      </c>
      <c r="AC61"/>
      <c r="AF61" s="987"/>
    </row>
    <row r="62" spans="1:32" s="900" customFormat="1">
      <c r="A62" s="939"/>
      <c r="B62" s="1051" t="s">
        <v>741</v>
      </c>
      <c r="C62" s="952" t="s">
        <v>913</v>
      </c>
      <c r="D62" s="940" t="s">
        <v>922</v>
      </c>
      <c r="E62" s="922">
        <v>45600</v>
      </c>
      <c r="F62" s="1065">
        <v>13</v>
      </c>
      <c r="G62" s="1065">
        <v>13.523561000000001</v>
      </c>
      <c r="H62" s="953">
        <v>-10.362555</v>
      </c>
      <c r="I62" s="953">
        <v>3.1610067000000002</v>
      </c>
      <c r="J62" s="929">
        <v>25.696712000000002</v>
      </c>
      <c r="K62" s="928"/>
      <c r="L62" s="928"/>
      <c r="M62" s="939" t="s">
        <v>377</v>
      </c>
      <c r="N62" s="927" t="s">
        <v>674</v>
      </c>
      <c r="O62" s="928"/>
      <c r="P62" s="1066">
        <v>13</v>
      </c>
      <c r="Q62" s="940">
        <v>6</v>
      </c>
      <c r="R62" s="928"/>
      <c r="S62" s="928"/>
      <c r="T62" s="940" t="str">
        <f t="shared" si="0"/>
        <v>High</v>
      </c>
      <c r="U62" s="940" t="s">
        <v>675</v>
      </c>
      <c r="V62" s="1053" t="s">
        <v>965</v>
      </c>
      <c r="W62" s="1054">
        <v>20.521799958139294</v>
      </c>
      <c r="X62" s="1054">
        <v>3.681807608914197E-2</v>
      </c>
      <c r="Y62" s="1059">
        <v>1</v>
      </c>
      <c r="Z62" s="1058" t="s">
        <v>164</v>
      </c>
      <c r="AA62" s="902"/>
      <c r="AB62" s="901">
        <v>0</v>
      </c>
      <c r="AC62"/>
      <c r="AF62" s="987"/>
    </row>
    <row r="63" spans="1:32" s="900" customFormat="1">
      <c r="A63" s="939"/>
      <c r="B63" s="1051" t="s">
        <v>742</v>
      </c>
      <c r="C63" s="952" t="s">
        <v>914</v>
      </c>
      <c r="D63" s="940" t="s">
        <v>922</v>
      </c>
      <c r="E63" s="922">
        <v>45617</v>
      </c>
      <c r="F63" s="1065">
        <v>13</v>
      </c>
      <c r="G63" s="1065">
        <v>13.413083</v>
      </c>
      <c r="H63" s="953">
        <v>-10.623707</v>
      </c>
      <c r="I63" s="953">
        <v>2.7893764999999999</v>
      </c>
      <c r="J63" s="929">
        <v>25.697634000000001</v>
      </c>
      <c r="K63" s="928"/>
      <c r="L63" s="928"/>
      <c r="M63" s="939" t="s">
        <v>377</v>
      </c>
      <c r="N63" s="927" t="s">
        <v>674</v>
      </c>
      <c r="O63" s="928"/>
      <c r="P63" s="1066">
        <v>13</v>
      </c>
      <c r="Q63" s="940">
        <v>6</v>
      </c>
      <c r="R63" s="928"/>
      <c r="S63" s="928"/>
      <c r="T63" s="940" t="str">
        <f t="shared" si="0"/>
        <v>High</v>
      </c>
      <c r="U63" s="940" t="s">
        <v>675</v>
      </c>
      <c r="V63" s="1053" t="s">
        <v>966</v>
      </c>
      <c r="W63" s="1054">
        <v>20.479746064136933</v>
      </c>
      <c r="X63" s="1054">
        <v>3.8619024155594289E-2</v>
      </c>
      <c r="Y63" s="1059">
        <v>2</v>
      </c>
      <c r="Z63" s="1064" t="s">
        <v>166</v>
      </c>
      <c r="AA63" s="902"/>
      <c r="AB63" s="901">
        <v>0</v>
      </c>
      <c r="AC63"/>
      <c r="AF63" s="987"/>
    </row>
    <row r="64" spans="1:32" s="900" customFormat="1">
      <c r="A64" s="939"/>
      <c r="B64" s="1051" t="s">
        <v>743</v>
      </c>
      <c r="C64" s="952" t="s">
        <v>915</v>
      </c>
      <c r="D64" s="940" t="s">
        <v>922</v>
      </c>
      <c r="E64" s="922">
        <v>46724</v>
      </c>
      <c r="F64" s="1065">
        <v>26</v>
      </c>
      <c r="G64" s="1065">
        <v>17.035357000000001</v>
      </c>
      <c r="H64" s="953">
        <v>35.835946</v>
      </c>
      <c r="I64" s="953">
        <v>52.871302999999997</v>
      </c>
      <c r="J64" s="929">
        <v>25.719192</v>
      </c>
      <c r="K64" s="928"/>
      <c r="L64" s="928"/>
      <c r="M64" s="939" t="s">
        <v>377</v>
      </c>
      <c r="N64" s="927" t="s">
        <v>674</v>
      </c>
      <c r="O64" s="928"/>
      <c r="P64" s="1066">
        <v>4</v>
      </c>
      <c r="Q64" s="940">
        <v>1</v>
      </c>
      <c r="R64" s="928"/>
      <c r="S64" s="928"/>
      <c r="T64" s="940" t="str">
        <f t="shared" si="0"/>
        <v>Medium</v>
      </c>
      <c r="U64" s="940" t="s">
        <v>676</v>
      </c>
      <c r="V64" s="1053" t="s">
        <v>967</v>
      </c>
      <c r="W64" s="1054">
        <v>0.71165259702958938</v>
      </c>
      <c r="X64" s="1054">
        <v>5.0543139228900677E-3</v>
      </c>
      <c r="Y64" s="1059">
        <v>0</v>
      </c>
      <c r="Z64" s="1055" t="s">
        <v>162</v>
      </c>
      <c r="AA64" s="902"/>
      <c r="AB64" s="901">
        <v>0</v>
      </c>
      <c r="AC64"/>
      <c r="AF64" s="987"/>
    </row>
    <row r="65" spans="1:32" s="900" customFormat="1">
      <c r="A65" s="939"/>
      <c r="B65" s="1051" t="s">
        <v>744</v>
      </c>
      <c r="C65" s="952" t="s">
        <v>916</v>
      </c>
      <c r="D65" s="940" t="s">
        <v>922</v>
      </c>
      <c r="E65" s="922">
        <v>46782</v>
      </c>
      <c r="F65" s="1065">
        <v>18</v>
      </c>
      <c r="G65" s="1065">
        <v>15.58737</v>
      </c>
      <c r="H65" s="953">
        <v>37.560654999999997</v>
      </c>
      <c r="I65" s="953">
        <v>53.148024999999997</v>
      </c>
      <c r="J65" s="929">
        <v>25.70234</v>
      </c>
      <c r="K65" s="928"/>
      <c r="L65" s="928"/>
      <c r="M65" s="939" t="s">
        <v>377</v>
      </c>
      <c r="N65" s="927" t="s">
        <v>674</v>
      </c>
      <c r="O65" s="928"/>
      <c r="P65" s="1066">
        <v>10</v>
      </c>
      <c r="Q65" s="940">
        <v>3</v>
      </c>
      <c r="R65" s="928"/>
      <c r="S65" s="928"/>
      <c r="T65" s="940" t="str">
        <f t="shared" si="0"/>
        <v>Medium</v>
      </c>
      <c r="U65" s="940" t="s">
        <v>676</v>
      </c>
      <c r="V65" s="1053" t="s">
        <v>968</v>
      </c>
      <c r="W65" s="1054">
        <v>0.28662285375602109</v>
      </c>
      <c r="X65" s="1054">
        <v>2.4806412433297218E-3</v>
      </c>
      <c r="Y65" s="1059">
        <v>0</v>
      </c>
      <c r="Z65" s="1055" t="s">
        <v>162</v>
      </c>
      <c r="AA65" s="902"/>
      <c r="AB65" s="901">
        <v>0</v>
      </c>
      <c r="AC65"/>
      <c r="AF65" s="987"/>
    </row>
    <row r="66" spans="1:32">
      <c r="A66" s="939"/>
      <c r="B66" s="1051" t="s">
        <v>745</v>
      </c>
      <c r="C66" s="952" t="s">
        <v>917</v>
      </c>
      <c r="D66" s="940" t="s">
        <v>922</v>
      </c>
      <c r="E66" s="927">
        <v>46780</v>
      </c>
      <c r="F66" s="1065">
        <v>17</v>
      </c>
      <c r="G66" s="1065">
        <v>15.177296</v>
      </c>
      <c r="H66" s="953">
        <v>60.042929999999998</v>
      </c>
      <c r="I66" s="953">
        <v>75.220225999999997</v>
      </c>
      <c r="J66" s="929">
        <v>25.711179000000001</v>
      </c>
      <c r="K66" s="928"/>
      <c r="L66" s="928"/>
      <c r="M66" s="939" t="s">
        <v>377</v>
      </c>
      <c r="N66" s="927" t="s">
        <v>926</v>
      </c>
      <c r="O66" s="928"/>
      <c r="P66" s="927">
        <v>7</v>
      </c>
      <c r="Q66" s="940">
        <v>3</v>
      </c>
      <c r="R66" s="927"/>
      <c r="S66" s="927"/>
      <c r="T66" s="940" t="str">
        <f t="shared" si="0"/>
        <v>Medium</v>
      </c>
      <c r="U66" s="940" t="s">
        <v>676</v>
      </c>
      <c r="V66" s="1053" t="s">
        <v>931</v>
      </c>
      <c r="W66" s="1054"/>
      <c r="X66" s="1054"/>
      <c r="Y66" s="1054"/>
      <c r="Z66" s="1057"/>
      <c r="AA66" s="902"/>
      <c r="AB66" s="901">
        <v>3</v>
      </c>
      <c r="AC66"/>
    </row>
    <row r="67" spans="1:32">
      <c r="A67" s="939"/>
      <c r="B67" s="1051" t="s">
        <v>746</v>
      </c>
      <c r="C67" s="952" t="s">
        <v>918</v>
      </c>
      <c r="D67" s="940" t="s">
        <v>922</v>
      </c>
      <c r="E67" s="927">
        <v>46809</v>
      </c>
      <c r="F67" s="1065">
        <v>10</v>
      </c>
      <c r="G67" s="1065">
        <v>12.157798</v>
      </c>
      <c r="H67" s="953">
        <v>55.656100000000002</v>
      </c>
      <c r="I67" s="953">
        <v>67.813896999999997</v>
      </c>
      <c r="J67" s="929">
        <v>25.701695999999998</v>
      </c>
      <c r="K67" s="928"/>
      <c r="L67" s="928"/>
      <c r="M67" s="939" t="s">
        <v>377</v>
      </c>
      <c r="N67" s="927" t="s">
        <v>674</v>
      </c>
      <c r="O67" s="928"/>
      <c r="P67" s="927">
        <v>7</v>
      </c>
      <c r="Q67" s="940">
        <v>3</v>
      </c>
      <c r="R67" s="927"/>
      <c r="S67" s="927"/>
      <c r="T67" s="940" t="str">
        <f t="shared" si="0"/>
        <v>High</v>
      </c>
      <c r="U67" s="940" t="s">
        <v>675</v>
      </c>
      <c r="V67" s="1053" t="s">
        <v>931</v>
      </c>
      <c r="W67" s="1054"/>
      <c r="X67" s="1054"/>
      <c r="Y67" s="1054"/>
      <c r="Z67" s="1057"/>
      <c r="AA67" s="902"/>
      <c r="AB67" s="901">
        <v>3</v>
      </c>
      <c r="AC67"/>
    </row>
    <row r="68" spans="1:32" ht="15" customHeight="1">
      <c r="A68" s="939"/>
      <c r="B68" s="1051" t="s">
        <v>747</v>
      </c>
      <c r="C68" s="952" t="s">
        <v>919</v>
      </c>
      <c r="D68" s="940" t="s">
        <v>922</v>
      </c>
      <c r="E68" s="922">
        <v>46810</v>
      </c>
      <c r="F68" s="1065">
        <v>11</v>
      </c>
      <c r="G68" s="1065">
        <v>13.100778</v>
      </c>
      <c r="H68" s="953">
        <v>36.900238999999999</v>
      </c>
      <c r="I68" s="953">
        <v>50.001018000000002</v>
      </c>
      <c r="J68" s="929">
        <v>25.710512000000001</v>
      </c>
      <c r="K68" s="928"/>
      <c r="L68" s="928"/>
      <c r="M68" s="939" t="s">
        <v>377</v>
      </c>
      <c r="N68" s="927" t="s">
        <v>674</v>
      </c>
      <c r="O68" s="928"/>
      <c r="P68" s="1066">
        <v>7</v>
      </c>
      <c r="Q68" s="940">
        <v>3</v>
      </c>
      <c r="R68" s="928"/>
      <c r="S68" s="928"/>
      <c r="T68" s="940" t="str">
        <f t="shared" si="0"/>
        <v>High</v>
      </c>
      <c r="U68" s="940" t="s">
        <v>675</v>
      </c>
      <c r="V68" s="1053" t="s">
        <v>969</v>
      </c>
      <c r="W68" s="1054">
        <v>0.24432069529962747</v>
      </c>
      <c r="X68" s="1054">
        <v>2.4922198158583253E-3</v>
      </c>
      <c r="Y68" s="1059">
        <v>0</v>
      </c>
      <c r="Z68" s="1055" t="s">
        <v>162</v>
      </c>
      <c r="AA68" s="902"/>
      <c r="AB68" s="901">
        <v>0</v>
      </c>
      <c r="AC68"/>
    </row>
    <row r="69" spans="1:32" ht="15" customHeight="1">
      <c r="A69" s="939"/>
      <c r="B69" s="1051" t="s">
        <v>748</v>
      </c>
      <c r="C69" s="952" t="s">
        <v>920</v>
      </c>
      <c r="D69" s="940" t="s">
        <v>922</v>
      </c>
      <c r="E69" s="939">
        <v>46847</v>
      </c>
      <c r="F69" s="954">
        <v>14</v>
      </c>
      <c r="G69" s="954">
        <v>16.934678999999999</v>
      </c>
      <c r="H69" s="953">
        <v>37.516347000000003</v>
      </c>
      <c r="I69" s="953">
        <v>54.451025999999999</v>
      </c>
      <c r="J69" s="929">
        <v>25.704681999999998</v>
      </c>
      <c r="K69" s="940"/>
      <c r="L69" s="940"/>
      <c r="M69" s="939" t="s">
        <v>377</v>
      </c>
      <c r="N69" s="927" t="s">
        <v>674</v>
      </c>
      <c r="O69" s="940"/>
      <c r="P69" s="939">
        <v>10</v>
      </c>
      <c r="Q69" s="940">
        <v>3</v>
      </c>
      <c r="R69" s="939"/>
      <c r="S69" s="939"/>
      <c r="T69" s="940" t="str">
        <f t="shared" ref="T69:T132" si="1">IF(U69="Good","Slight",IF(U69="Critical","High","Medium"))</f>
        <v>High</v>
      </c>
      <c r="U69" s="940" t="s">
        <v>675</v>
      </c>
      <c r="V69" s="1060" t="s">
        <v>970</v>
      </c>
      <c r="W69" s="1061">
        <v>0.17532261243926511</v>
      </c>
      <c r="X69" s="1062">
        <v>1.9352829144313668E-3</v>
      </c>
      <c r="Y69" s="1063">
        <v>0</v>
      </c>
      <c r="Z69" s="1055" t="s">
        <v>162</v>
      </c>
      <c r="AA69" s="902"/>
      <c r="AB69" s="901">
        <v>0</v>
      </c>
      <c r="AC69"/>
    </row>
    <row r="70" spans="1:32">
      <c r="A70" s="939"/>
      <c r="B70" s="1051" t="s">
        <v>749</v>
      </c>
      <c r="C70" s="952" t="s">
        <v>921</v>
      </c>
      <c r="D70" s="940" t="s">
        <v>922</v>
      </c>
      <c r="E70" s="922">
        <v>46872</v>
      </c>
      <c r="F70" s="1065">
        <v>11</v>
      </c>
      <c r="G70" s="1065">
        <v>19.823096</v>
      </c>
      <c r="H70" s="953">
        <v>52.541522000000001</v>
      </c>
      <c r="I70" s="953">
        <v>72.364617999999993</v>
      </c>
      <c r="J70" s="929">
        <v>25.706697999999999</v>
      </c>
      <c r="K70" s="928"/>
      <c r="L70" s="928"/>
      <c r="M70" s="939" t="s">
        <v>377</v>
      </c>
      <c r="N70" s="927" t="s">
        <v>674</v>
      </c>
      <c r="O70" s="928"/>
      <c r="P70" s="1066">
        <v>7</v>
      </c>
      <c r="Q70" s="940">
        <v>3</v>
      </c>
      <c r="R70" s="928"/>
      <c r="S70" s="928"/>
      <c r="T70" s="940" t="str">
        <f t="shared" si="1"/>
        <v>High</v>
      </c>
      <c r="U70" s="940" t="s">
        <v>675</v>
      </c>
      <c r="V70" s="1053" t="s">
        <v>931</v>
      </c>
      <c r="W70" s="1054"/>
      <c r="X70" s="1054"/>
      <c r="Y70" s="1059"/>
      <c r="Z70" s="1057"/>
      <c r="AA70" s="902"/>
      <c r="AB70" s="901">
        <v>3</v>
      </c>
      <c r="AC70"/>
    </row>
    <row r="71" spans="1:32">
      <c r="A71" s="939"/>
      <c r="B71" s="1051" t="s">
        <v>750</v>
      </c>
      <c r="C71" s="952" t="s">
        <v>916</v>
      </c>
      <c r="D71" s="940" t="s">
        <v>922</v>
      </c>
      <c r="E71" s="927">
        <v>46892</v>
      </c>
      <c r="F71" s="1065">
        <v>7</v>
      </c>
      <c r="G71" s="1065">
        <v>30.774694</v>
      </c>
      <c r="H71" s="953">
        <v>41.591631999999997</v>
      </c>
      <c r="I71" s="953">
        <v>72.366326000000001</v>
      </c>
      <c r="J71" s="929">
        <v>25.708310999999998</v>
      </c>
      <c r="K71" s="928"/>
      <c r="L71" s="928"/>
      <c r="M71" s="939" t="s">
        <v>377</v>
      </c>
      <c r="N71" s="927"/>
      <c r="O71" s="928"/>
      <c r="P71" s="927">
        <v>4</v>
      </c>
      <c r="Q71" s="940">
        <v>1</v>
      </c>
      <c r="R71" s="927"/>
      <c r="S71" s="927"/>
      <c r="T71" s="940" t="str">
        <f t="shared" si="1"/>
        <v>Medium</v>
      </c>
      <c r="U71" s="940" t="s">
        <v>676</v>
      </c>
      <c r="V71" s="1053" t="s">
        <v>971</v>
      </c>
      <c r="W71" s="1054">
        <v>9.6083590939089664E-2</v>
      </c>
      <c r="X71" s="1054">
        <v>1.3540427378338482E-3</v>
      </c>
      <c r="Y71" s="1054">
        <v>0</v>
      </c>
      <c r="Z71" s="1055" t="s">
        <v>162</v>
      </c>
      <c r="AA71" s="902"/>
      <c r="AB71" s="901">
        <v>0</v>
      </c>
      <c r="AC71"/>
    </row>
    <row r="72" spans="1:32" ht="15" customHeight="1">
      <c r="A72" s="939"/>
      <c r="B72" s="1051" t="s">
        <v>751</v>
      </c>
      <c r="C72" s="952" t="s">
        <v>916</v>
      </c>
      <c r="D72" s="940" t="s">
        <v>922</v>
      </c>
      <c r="E72" s="922">
        <v>46902</v>
      </c>
      <c r="F72" s="954">
        <v>6</v>
      </c>
      <c r="G72" s="954">
        <v>21.216899000000002</v>
      </c>
      <c r="H72" s="953">
        <v>52.621454999999997</v>
      </c>
      <c r="I72" s="953">
        <v>73.838353999999995</v>
      </c>
      <c r="J72" s="929">
        <v>25.709109999999999</v>
      </c>
      <c r="K72" s="940"/>
      <c r="L72" s="940"/>
      <c r="M72" s="939" t="s">
        <v>377</v>
      </c>
      <c r="N72" s="927"/>
      <c r="O72" s="940"/>
      <c r="P72" s="939">
        <v>4</v>
      </c>
      <c r="Q72" s="940">
        <v>1</v>
      </c>
      <c r="R72" s="939"/>
      <c r="S72" s="939"/>
      <c r="T72" s="940" t="str">
        <f t="shared" si="1"/>
        <v>Medium</v>
      </c>
      <c r="U72" s="940" t="s">
        <v>676</v>
      </c>
      <c r="V72" s="1053" t="s">
        <v>931</v>
      </c>
      <c r="W72" s="1054"/>
      <c r="X72" s="1054"/>
      <c r="Y72" s="1054"/>
      <c r="Z72" s="1057"/>
      <c r="AA72" s="902"/>
      <c r="AB72" s="901">
        <v>3</v>
      </c>
      <c r="AC72"/>
    </row>
    <row r="73" spans="1:32">
      <c r="A73" s="939"/>
      <c r="B73" s="1051" t="s">
        <v>752</v>
      </c>
      <c r="C73" s="952" t="s">
        <v>916</v>
      </c>
      <c r="D73" s="940" t="s">
        <v>922</v>
      </c>
      <c r="E73" s="922">
        <v>46715</v>
      </c>
      <c r="F73" s="954">
        <v>8</v>
      </c>
      <c r="G73" s="954">
        <v>11.974283</v>
      </c>
      <c r="H73" s="953">
        <v>11.238108</v>
      </c>
      <c r="I73" s="953">
        <v>23.212391</v>
      </c>
      <c r="J73" s="929">
        <v>25.743424000000001</v>
      </c>
      <c r="K73" s="940"/>
      <c r="L73" s="940"/>
      <c r="M73" s="939" t="s">
        <v>377</v>
      </c>
      <c r="N73" s="927"/>
      <c r="O73" s="940"/>
      <c r="P73" s="939">
        <v>4</v>
      </c>
      <c r="Q73" s="940">
        <v>1</v>
      </c>
      <c r="R73" s="939"/>
      <c r="S73" s="939"/>
      <c r="T73" s="940" t="str">
        <f t="shared" si="1"/>
        <v>Medium</v>
      </c>
      <c r="U73" s="940" t="s">
        <v>676</v>
      </c>
      <c r="V73" s="1053" t="s">
        <v>972</v>
      </c>
      <c r="W73" s="1054">
        <v>9.4415605549078983</v>
      </c>
      <c r="X73" s="1054">
        <v>1.0587380865473523E-2</v>
      </c>
      <c r="Y73" s="1054">
        <v>0</v>
      </c>
      <c r="Z73" s="1055" t="s">
        <v>162</v>
      </c>
      <c r="AA73" s="902"/>
      <c r="AB73" s="901">
        <v>0</v>
      </c>
      <c r="AC73"/>
    </row>
    <row r="74" spans="1:32">
      <c r="A74" s="939"/>
      <c r="B74" s="1051" t="s">
        <v>753</v>
      </c>
      <c r="C74" s="952"/>
      <c r="D74" s="940" t="s">
        <v>922</v>
      </c>
      <c r="E74" s="922">
        <v>46712</v>
      </c>
      <c r="F74" s="1065">
        <v>12</v>
      </c>
      <c r="G74" s="1065">
        <v>11.667954</v>
      </c>
      <c r="H74" s="953">
        <v>-4.2091120999999996</v>
      </c>
      <c r="I74" s="953">
        <v>7.4588416999999998</v>
      </c>
      <c r="J74" s="929">
        <v>25.772061000000001</v>
      </c>
      <c r="K74" s="928"/>
      <c r="L74" s="928"/>
      <c r="M74" s="939" t="s">
        <v>377</v>
      </c>
      <c r="N74" s="927"/>
      <c r="O74" s="928"/>
      <c r="P74" s="1066">
        <v>7</v>
      </c>
      <c r="Q74" s="940">
        <v>3</v>
      </c>
      <c r="R74" s="928"/>
      <c r="S74" s="928"/>
      <c r="T74" s="940" t="str">
        <f t="shared" si="1"/>
        <v>Medium</v>
      </c>
      <c r="U74" s="940" t="s">
        <v>676</v>
      </c>
      <c r="V74" s="1053" t="s">
        <v>973</v>
      </c>
      <c r="W74" s="1054">
        <v>15.75143798635674</v>
      </c>
      <c r="X74" s="1054">
        <v>4.217122090434974E-3</v>
      </c>
      <c r="Y74" s="1059">
        <v>0</v>
      </c>
      <c r="Z74" s="1055" t="s">
        <v>162</v>
      </c>
      <c r="AA74" s="902"/>
      <c r="AB74" s="901">
        <v>0</v>
      </c>
      <c r="AC74"/>
    </row>
    <row r="75" spans="1:32">
      <c r="A75" s="939"/>
      <c r="B75" s="1051" t="s">
        <v>754</v>
      </c>
      <c r="C75" s="952"/>
      <c r="D75" s="940" t="s">
        <v>922</v>
      </c>
      <c r="E75" s="922">
        <v>46729</v>
      </c>
      <c r="F75" s="954">
        <v>12</v>
      </c>
      <c r="G75" s="954">
        <v>14.640461</v>
      </c>
      <c r="H75" s="953">
        <v>7.3183173999999998</v>
      </c>
      <c r="I75" s="953">
        <v>21.958777999999999</v>
      </c>
      <c r="J75" s="929">
        <v>25.707615000000001</v>
      </c>
      <c r="K75" s="940"/>
      <c r="L75" s="940"/>
      <c r="M75" s="939" t="s">
        <v>377</v>
      </c>
      <c r="N75" s="927"/>
      <c r="O75" s="940"/>
      <c r="P75" s="939">
        <v>4</v>
      </c>
      <c r="Q75" s="940">
        <v>1</v>
      </c>
      <c r="R75" s="939"/>
      <c r="S75" s="939"/>
      <c r="T75" s="940" t="str">
        <f t="shared" si="1"/>
        <v>Medium</v>
      </c>
      <c r="U75" s="940" t="s">
        <v>676</v>
      </c>
      <c r="V75" s="1053" t="s">
        <v>974</v>
      </c>
      <c r="W75" s="1054">
        <v>11.481999834228525</v>
      </c>
      <c r="X75" s="1054">
        <v>1.0049120401083144E-2</v>
      </c>
      <c r="Y75" s="1054">
        <v>0</v>
      </c>
      <c r="Z75" s="1055" t="s">
        <v>162</v>
      </c>
      <c r="AA75" s="902"/>
      <c r="AB75" s="901">
        <v>0</v>
      </c>
      <c r="AC75"/>
    </row>
    <row r="76" spans="1:32">
      <c r="A76" s="939"/>
      <c r="B76" s="1051" t="s">
        <v>755</v>
      </c>
      <c r="C76" s="952"/>
      <c r="D76" s="940" t="s">
        <v>922</v>
      </c>
      <c r="E76" s="922">
        <v>46735</v>
      </c>
      <c r="F76" s="954">
        <v>18</v>
      </c>
      <c r="G76" s="954">
        <v>16.099347999999999</v>
      </c>
      <c r="H76" s="953">
        <v>-25.118490000000001</v>
      </c>
      <c r="I76" s="953">
        <v>-9.0191414000000005</v>
      </c>
      <c r="J76" s="929">
        <v>25.706468000000001</v>
      </c>
      <c r="K76" s="940"/>
      <c r="L76" s="940"/>
      <c r="M76" s="939" t="s">
        <v>664</v>
      </c>
      <c r="N76" s="927" t="s">
        <v>927</v>
      </c>
      <c r="O76" s="940"/>
      <c r="P76" s="939">
        <v>7</v>
      </c>
      <c r="Q76" s="940">
        <v>3</v>
      </c>
      <c r="R76" s="939"/>
      <c r="S76" s="939"/>
      <c r="T76" s="940" t="str">
        <f t="shared" si="1"/>
        <v>Medium</v>
      </c>
      <c r="U76" s="940" t="s">
        <v>676</v>
      </c>
      <c r="V76" s="1053" t="s">
        <v>975</v>
      </c>
      <c r="W76" s="1054">
        <v>16.51037042016408</v>
      </c>
      <c r="X76" s="1054">
        <v>6.003371257909452E-3</v>
      </c>
      <c r="Y76" s="1054">
        <v>0</v>
      </c>
      <c r="Z76" s="1055" t="s">
        <v>162</v>
      </c>
      <c r="AA76" s="902"/>
      <c r="AB76" s="901">
        <v>0</v>
      </c>
      <c r="AC76"/>
    </row>
    <row r="77" spans="1:32" ht="15" customHeight="1">
      <c r="A77" s="939"/>
      <c r="B77" s="1051" t="s">
        <v>756</v>
      </c>
      <c r="C77" s="952"/>
      <c r="D77" s="940" t="s">
        <v>922</v>
      </c>
      <c r="E77" s="939">
        <v>46753</v>
      </c>
      <c r="F77" s="954">
        <v>14</v>
      </c>
      <c r="G77" s="954">
        <v>15.345867999999999</v>
      </c>
      <c r="H77" s="953">
        <v>-22.409773000000001</v>
      </c>
      <c r="I77" s="953">
        <v>-7.0639051999999998</v>
      </c>
      <c r="J77" s="929">
        <v>25.712895</v>
      </c>
      <c r="K77" s="940"/>
      <c r="L77" s="940"/>
      <c r="M77" s="939" t="s">
        <v>377</v>
      </c>
      <c r="N77" s="927" t="s">
        <v>674</v>
      </c>
      <c r="O77" s="940"/>
      <c r="P77" s="939">
        <v>10</v>
      </c>
      <c r="Q77" s="940">
        <v>3</v>
      </c>
      <c r="R77" s="939"/>
      <c r="S77" s="939"/>
      <c r="T77" s="940" t="str">
        <f t="shared" si="1"/>
        <v>Slight</v>
      </c>
      <c r="U77" s="940" t="s">
        <v>678</v>
      </c>
      <c r="V77" s="1053" t="s">
        <v>976</v>
      </c>
      <c r="W77" s="1054">
        <v>16.575123413109722</v>
      </c>
      <c r="X77" s="1054">
        <v>2.8687431632806446E-3</v>
      </c>
      <c r="Y77" s="1054">
        <v>0</v>
      </c>
      <c r="Z77" s="1055" t="s">
        <v>162</v>
      </c>
      <c r="AA77" s="902"/>
      <c r="AB77" s="901">
        <v>0</v>
      </c>
      <c r="AC77"/>
    </row>
    <row r="78" spans="1:32">
      <c r="A78" s="939"/>
      <c r="B78" s="1051" t="s">
        <v>757</v>
      </c>
      <c r="C78" s="952"/>
      <c r="D78" s="940" t="s">
        <v>922</v>
      </c>
      <c r="E78" s="939">
        <v>46781</v>
      </c>
      <c r="F78" s="954">
        <v>7</v>
      </c>
      <c r="G78" s="954">
        <v>20.395074999999999</v>
      </c>
      <c r="H78" s="953">
        <v>-27.554098</v>
      </c>
      <c r="I78" s="953">
        <v>-7.1590229000000001</v>
      </c>
      <c r="J78" s="929">
        <v>25.702404000000001</v>
      </c>
      <c r="K78" s="940"/>
      <c r="L78" s="940"/>
      <c r="M78" s="939" t="s">
        <v>377</v>
      </c>
      <c r="N78" s="927" t="s">
        <v>674</v>
      </c>
      <c r="O78" s="940"/>
      <c r="P78" s="939">
        <v>10</v>
      </c>
      <c r="Q78" s="940">
        <v>3</v>
      </c>
      <c r="R78" s="939"/>
      <c r="S78" s="939"/>
      <c r="T78" s="940" t="str">
        <f t="shared" si="1"/>
        <v>High</v>
      </c>
      <c r="U78" s="940" t="s">
        <v>675</v>
      </c>
      <c r="V78" s="1053" t="s">
        <v>977</v>
      </c>
      <c r="W78" s="1054">
        <v>16.625601338567897</v>
      </c>
      <c r="X78" s="1054">
        <v>4.5204958319572811E-3</v>
      </c>
      <c r="Y78" s="1054">
        <v>0</v>
      </c>
      <c r="Z78" s="1055" t="s">
        <v>162</v>
      </c>
      <c r="AA78" s="902"/>
      <c r="AB78" s="901">
        <v>0</v>
      </c>
      <c r="AC78"/>
    </row>
    <row r="79" spans="1:32">
      <c r="A79" s="939"/>
      <c r="B79" s="1051" t="s">
        <v>758</v>
      </c>
      <c r="C79" s="952"/>
      <c r="D79" s="940" t="s">
        <v>922</v>
      </c>
      <c r="E79" s="922">
        <v>46844</v>
      </c>
      <c r="F79" s="1065">
        <v>22</v>
      </c>
      <c r="G79" s="1065">
        <v>15.809594000000001</v>
      </c>
      <c r="H79" s="953">
        <v>-35.203994000000002</v>
      </c>
      <c r="I79" s="953">
        <v>-19.394400000000001</v>
      </c>
      <c r="J79" s="929">
        <v>25.704519000000001</v>
      </c>
      <c r="K79" s="928"/>
      <c r="L79" s="928"/>
      <c r="M79" s="939" t="s">
        <v>377</v>
      </c>
      <c r="N79" s="927"/>
      <c r="O79" s="928"/>
      <c r="P79" s="1066">
        <v>4</v>
      </c>
      <c r="Q79" s="940">
        <v>1</v>
      </c>
      <c r="R79" s="927"/>
      <c r="S79" s="927"/>
      <c r="T79" s="940" t="str">
        <f t="shared" si="1"/>
        <v>Medium</v>
      </c>
      <c r="U79" s="940" t="s">
        <v>676</v>
      </c>
      <c r="V79" s="1053" t="s">
        <v>978</v>
      </c>
      <c r="W79" s="1054">
        <v>16.363749538447806</v>
      </c>
      <c r="X79" s="1054">
        <v>4.7218381936207773E-3</v>
      </c>
      <c r="Y79" s="1059">
        <v>0</v>
      </c>
      <c r="Z79" s="1055" t="s">
        <v>162</v>
      </c>
      <c r="AA79" s="902"/>
      <c r="AB79" s="901">
        <v>0</v>
      </c>
      <c r="AC79"/>
    </row>
    <row r="80" spans="1:32">
      <c r="A80" s="939"/>
      <c r="B80" s="1051" t="s">
        <v>759</v>
      </c>
      <c r="C80" s="952"/>
      <c r="D80" s="940" t="s">
        <v>922</v>
      </c>
      <c r="E80" s="939">
        <v>46868</v>
      </c>
      <c r="F80" s="954">
        <v>15</v>
      </c>
      <c r="G80" s="954">
        <v>15.626797</v>
      </c>
      <c r="H80" s="953">
        <v>-19.056502999999999</v>
      </c>
      <c r="I80" s="953">
        <v>-3.4297059999999999</v>
      </c>
      <c r="J80" s="929">
        <v>25.71519</v>
      </c>
      <c r="K80" s="940"/>
      <c r="L80" s="940"/>
      <c r="M80" s="939" t="s">
        <v>377</v>
      </c>
      <c r="N80" s="927" t="s">
        <v>674</v>
      </c>
      <c r="O80" s="940"/>
      <c r="P80" s="939">
        <v>7</v>
      </c>
      <c r="Q80" s="940">
        <v>3</v>
      </c>
      <c r="R80" s="939"/>
      <c r="S80" s="939"/>
      <c r="T80" s="940" t="str">
        <f t="shared" si="1"/>
        <v>Medium</v>
      </c>
      <c r="U80" s="940" t="s">
        <v>676</v>
      </c>
      <c r="V80" s="1053" t="s">
        <v>979</v>
      </c>
      <c r="W80" s="1054">
        <v>16.716053591984945</v>
      </c>
      <c r="X80" s="1054">
        <v>3.1402231939269137E-3</v>
      </c>
      <c r="Y80" s="1054">
        <v>0</v>
      </c>
      <c r="Z80" s="1055" t="s">
        <v>162</v>
      </c>
      <c r="AA80" s="902"/>
      <c r="AB80" s="901">
        <v>0</v>
      </c>
      <c r="AC80"/>
    </row>
    <row r="81" spans="1:32">
      <c r="A81" s="939"/>
      <c r="B81" s="1051" t="s">
        <v>760</v>
      </c>
      <c r="C81" s="952"/>
      <c r="D81" s="940" t="s">
        <v>922</v>
      </c>
      <c r="E81" s="927">
        <v>46875</v>
      </c>
      <c r="F81" s="1065">
        <v>10.5</v>
      </c>
      <c r="G81" s="1065">
        <v>14.852499999999999</v>
      </c>
      <c r="H81" s="953">
        <v>-36.610171000000001</v>
      </c>
      <c r="I81" s="953">
        <v>-21.757670999999998</v>
      </c>
      <c r="J81" s="929">
        <v>25.707021000000001</v>
      </c>
      <c r="K81" s="928"/>
      <c r="L81" s="928"/>
      <c r="M81" s="939" t="s">
        <v>377</v>
      </c>
      <c r="N81" s="927" t="s">
        <v>926</v>
      </c>
      <c r="O81" s="928"/>
      <c r="P81" s="927">
        <v>4</v>
      </c>
      <c r="Q81" s="940">
        <v>1</v>
      </c>
      <c r="R81" s="927"/>
      <c r="S81" s="927"/>
      <c r="T81" s="940" t="str">
        <f t="shared" si="1"/>
        <v>High</v>
      </c>
      <c r="U81" s="940" t="s">
        <v>675</v>
      </c>
      <c r="V81" s="1053" t="s">
        <v>980</v>
      </c>
      <c r="W81" s="1054">
        <v>16.232805277921148</v>
      </c>
      <c r="X81" s="1054">
        <v>4.8652858607526094E-3</v>
      </c>
      <c r="Y81" s="1054">
        <v>0</v>
      </c>
      <c r="Z81" s="1055" t="s">
        <v>162</v>
      </c>
      <c r="AA81" s="902"/>
      <c r="AB81" s="901">
        <v>0</v>
      </c>
      <c r="AC81"/>
    </row>
    <row r="82" spans="1:32">
      <c r="A82" s="939"/>
      <c r="B82" s="1051" t="s">
        <v>761</v>
      </c>
      <c r="C82" s="952"/>
      <c r="D82" s="940" t="s">
        <v>922</v>
      </c>
      <c r="E82" s="939">
        <v>46900</v>
      </c>
      <c r="F82" s="954">
        <v>7</v>
      </c>
      <c r="G82" s="954">
        <v>12.531826000000001</v>
      </c>
      <c r="H82" s="953">
        <v>-5.6775022999999996</v>
      </c>
      <c r="I82" s="953">
        <v>6.8543234999999996</v>
      </c>
      <c r="J82" s="929">
        <v>25.708957000000002</v>
      </c>
      <c r="K82" s="940"/>
      <c r="L82" s="940"/>
      <c r="M82" s="939" t="s">
        <v>377</v>
      </c>
      <c r="N82" s="927"/>
      <c r="O82" s="940"/>
      <c r="P82" s="939">
        <v>4</v>
      </c>
      <c r="Q82" s="940">
        <v>1</v>
      </c>
      <c r="R82" s="939"/>
      <c r="S82" s="939"/>
      <c r="T82" s="940" t="str">
        <f t="shared" si="1"/>
        <v>High</v>
      </c>
      <c r="U82" s="940" t="s">
        <v>675</v>
      </c>
      <c r="V82" s="1053" t="s">
        <v>981</v>
      </c>
      <c r="W82" s="1054">
        <v>16.430631522751696</v>
      </c>
      <c r="X82" s="1054">
        <v>4.9141126758797627E-3</v>
      </c>
      <c r="Y82" s="1054">
        <v>0</v>
      </c>
      <c r="Z82" s="1055" t="s">
        <v>162</v>
      </c>
      <c r="AA82" s="902"/>
      <c r="AB82" s="901">
        <v>0</v>
      </c>
      <c r="AC82"/>
    </row>
    <row r="83" spans="1:32" ht="15" customHeight="1">
      <c r="A83" s="939"/>
      <c r="B83" s="1051" t="s">
        <v>762</v>
      </c>
      <c r="C83" s="952"/>
      <c r="D83" s="940" t="s">
        <v>922</v>
      </c>
      <c r="E83" s="927">
        <v>46911</v>
      </c>
      <c r="F83" s="1065">
        <v>13</v>
      </c>
      <c r="G83" s="1065">
        <v>17.408899999999999</v>
      </c>
      <c r="H83" s="953">
        <v>-37.355815</v>
      </c>
      <c r="I83" s="953">
        <v>-19.946915000000001</v>
      </c>
      <c r="J83" s="929">
        <v>25.707847999999998</v>
      </c>
      <c r="K83" s="928"/>
      <c r="L83" s="928"/>
      <c r="M83" s="939" t="s">
        <v>377</v>
      </c>
      <c r="N83" s="927" t="s">
        <v>674</v>
      </c>
      <c r="O83" s="928"/>
      <c r="P83" s="927">
        <v>10</v>
      </c>
      <c r="Q83" s="940">
        <v>3</v>
      </c>
      <c r="R83" s="927"/>
      <c r="S83" s="927"/>
      <c r="T83" s="940" t="str">
        <f t="shared" si="1"/>
        <v>High</v>
      </c>
      <c r="U83" s="940" t="s">
        <v>675</v>
      </c>
      <c r="V83" s="1053" t="s">
        <v>982</v>
      </c>
      <c r="W83" s="1054">
        <v>16.739596226948017</v>
      </c>
      <c r="X83" s="1054">
        <v>9.9688822300079364E-3</v>
      </c>
      <c r="Y83" s="1054">
        <v>0</v>
      </c>
      <c r="Z83" s="1055" t="s">
        <v>162</v>
      </c>
      <c r="AA83" s="902"/>
      <c r="AB83" s="901">
        <v>0</v>
      </c>
      <c r="AC83"/>
    </row>
    <row r="84" spans="1:32">
      <c r="A84" s="939"/>
      <c r="B84" s="1051" t="s">
        <v>763</v>
      </c>
      <c r="C84" s="952"/>
      <c r="D84" s="940" t="s">
        <v>922</v>
      </c>
      <c r="E84" s="922">
        <v>46943</v>
      </c>
      <c r="F84" s="1065">
        <v>11</v>
      </c>
      <c r="G84" s="1065">
        <v>59.257868000000002</v>
      </c>
      <c r="H84" s="953">
        <v>-33.755336</v>
      </c>
      <c r="I84" s="953">
        <v>25.502531999999999</v>
      </c>
      <c r="J84" s="929">
        <v>25.711993</v>
      </c>
      <c r="K84" s="928"/>
      <c r="L84" s="928"/>
      <c r="M84" s="939" t="s">
        <v>377</v>
      </c>
      <c r="N84" s="927" t="s">
        <v>928</v>
      </c>
      <c r="O84" s="928"/>
      <c r="P84" s="1066">
        <v>7</v>
      </c>
      <c r="Q84" s="940">
        <v>3</v>
      </c>
      <c r="R84" s="927"/>
      <c r="S84" s="927"/>
      <c r="T84" s="940" t="str">
        <f t="shared" si="1"/>
        <v>Slight</v>
      </c>
      <c r="U84" s="940" t="s">
        <v>678</v>
      </c>
      <c r="V84" s="1053" t="s">
        <v>983</v>
      </c>
      <c r="W84" s="1054">
        <v>16.788869837626542</v>
      </c>
      <c r="X84" s="1054">
        <v>2.1891399289696509E-2</v>
      </c>
      <c r="Y84" s="1059">
        <v>0</v>
      </c>
      <c r="Z84" s="1055" t="s">
        <v>162</v>
      </c>
      <c r="AA84" s="902"/>
      <c r="AB84" s="901">
        <v>0</v>
      </c>
      <c r="AC84"/>
    </row>
    <row r="85" spans="1:32" ht="15" customHeight="1">
      <c r="A85" s="939"/>
      <c r="B85" s="1051" t="s">
        <v>764</v>
      </c>
      <c r="C85" s="952"/>
      <c r="D85" s="940" t="s">
        <v>922</v>
      </c>
      <c r="E85" s="939">
        <v>44662</v>
      </c>
      <c r="F85" s="954">
        <v>21</v>
      </c>
      <c r="G85" s="954">
        <v>34.286965000000002</v>
      </c>
      <c r="H85" s="953">
        <v>20.448170999999999</v>
      </c>
      <c r="I85" s="953">
        <v>54.735135999999997</v>
      </c>
      <c r="J85" s="929">
        <v>13.507443</v>
      </c>
      <c r="K85" s="940"/>
      <c r="L85" s="940"/>
      <c r="M85" s="939" t="s">
        <v>377</v>
      </c>
      <c r="N85" s="927" t="s">
        <v>674</v>
      </c>
      <c r="O85" s="940"/>
      <c r="P85" s="939">
        <v>13</v>
      </c>
      <c r="Q85" s="940">
        <v>6</v>
      </c>
      <c r="R85" s="939"/>
      <c r="S85" s="939"/>
      <c r="T85" s="940" t="str">
        <f t="shared" si="1"/>
        <v>High</v>
      </c>
      <c r="U85" s="940" t="s">
        <v>675</v>
      </c>
      <c r="V85" s="1053" t="s">
        <v>984</v>
      </c>
      <c r="W85" s="1054">
        <v>2.6884678982177439</v>
      </c>
      <c r="X85" s="1054">
        <v>1.4429925170496098E-2</v>
      </c>
      <c r="Y85" s="1054">
        <v>0</v>
      </c>
      <c r="Z85" s="1055" t="s">
        <v>162</v>
      </c>
      <c r="AA85" s="902"/>
      <c r="AB85" s="901">
        <v>0</v>
      </c>
      <c r="AC85"/>
    </row>
    <row r="86" spans="1:32" ht="15" customHeight="1">
      <c r="A86" s="939"/>
      <c r="B86" s="1051" t="s">
        <v>765</v>
      </c>
      <c r="C86" s="952"/>
      <c r="D86" s="940" t="s">
        <v>922</v>
      </c>
      <c r="E86" s="922">
        <v>44799</v>
      </c>
      <c r="F86" s="1065">
        <v>14</v>
      </c>
      <c r="G86" s="1065">
        <v>33.969926000000001</v>
      </c>
      <c r="H86" s="953">
        <v>21.659154999999998</v>
      </c>
      <c r="I86" s="953">
        <v>55.629080999999999</v>
      </c>
      <c r="J86" s="929">
        <v>13.511545999999999</v>
      </c>
      <c r="K86" s="928"/>
      <c r="L86" s="928"/>
      <c r="M86" s="939" t="s">
        <v>377</v>
      </c>
      <c r="N86" s="927" t="s">
        <v>674</v>
      </c>
      <c r="O86" s="928"/>
      <c r="P86" s="1066">
        <v>13</v>
      </c>
      <c r="Q86" s="940">
        <v>6</v>
      </c>
      <c r="R86" s="927"/>
      <c r="S86" s="927"/>
      <c r="T86" s="940" t="str">
        <f t="shared" si="1"/>
        <v>High</v>
      </c>
      <c r="U86" s="940" t="s">
        <v>675</v>
      </c>
      <c r="V86" s="1053" t="s">
        <v>985</v>
      </c>
      <c r="W86" s="1054">
        <v>1.8773635430654982</v>
      </c>
      <c r="X86" s="1054">
        <v>1.2196133031180388E-2</v>
      </c>
      <c r="Y86" s="1059">
        <v>0</v>
      </c>
      <c r="Z86" s="1055" t="s">
        <v>162</v>
      </c>
      <c r="AA86" s="902"/>
      <c r="AB86" s="901">
        <v>0</v>
      </c>
      <c r="AC86"/>
    </row>
    <row r="87" spans="1:32">
      <c r="A87" s="939"/>
      <c r="B87" s="1051" t="s">
        <v>766</v>
      </c>
      <c r="C87" s="952"/>
      <c r="D87" s="940" t="s">
        <v>922</v>
      </c>
      <c r="E87" s="922">
        <v>45034</v>
      </c>
      <c r="F87" s="1065">
        <v>41.8</v>
      </c>
      <c r="G87" s="1065">
        <v>34.160029999999999</v>
      </c>
      <c r="H87" s="953">
        <v>-32.682924999999997</v>
      </c>
      <c r="I87" s="953">
        <v>1.4771049000000001</v>
      </c>
      <c r="J87" s="929">
        <v>13.508585999999999</v>
      </c>
      <c r="K87" s="928"/>
      <c r="L87" s="928"/>
      <c r="M87" s="939" t="s">
        <v>377</v>
      </c>
      <c r="N87" s="927" t="s">
        <v>674</v>
      </c>
      <c r="O87" s="928"/>
      <c r="P87" s="927">
        <v>13</v>
      </c>
      <c r="Q87" s="940">
        <v>6</v>
      </c>
      <c r="R87" s="927"/>
      <c r="S87" s="927"/>
      <c r="T87" s="940" t="str">
        <f t="shared" si="1"/>
        <v>High</v>
      </c>
      <c r="U87" s="940" t="s">
        <v>675</v>
      </c>
      <c r="V87" s="1053" t="s">
        <v>986</v>
      </c>
      <c r="W87" s="1054">
        <v>27.254542651270267</v>
      </c>
      <c r="X87" s="1054">
        <v>3.1602762719560487E-2</v>
      </c>
      <c r="Y87" s="1054">
        <v>1</v>
      </c>
      <c r="Z87" s="1058" t="s">
        <v>164</v>
      </c>
      <c r="AA87" s="902"/>
      <c r="AB87" s="901">
        <v>0</v>
      </c>
      <c r="AC87"/>
    </row>
    <row r="88" spans="1:32">
      <c r="A88" s="939"/>
      <c r="B88" s="1051" t="s">
        <v>767</v>
      </c>
      <c r="C88" s="952"/>
      <c r="D88" s="940" t="s">
        <v>922</v>
      </c>
      <c r="E88" s="939">
        <v>44841</v>
      </c>
      <c r="F88" s="954">
        <v>15</v>
      </c>
      <c r="G88" s="954">
        <v>36.520539999999997</v>
      </c>
      <c r="H88" s="953">
        <v>17.822289000000001</v>
      </c>
      <c r="I88" s="953">
        <v>54.342829000000002</v>
      </c>
      <c r="J88" s="929">
        <v>13.512031</v>
      </c>
      <c r="K88" s="940"/>
      <c r="L88" s="940"/>
      <c r="M88" s="939" t="s">
        <v>377</v>
      </c>
      <c r="N88" s="927" t="s">
        <v>674</v>
      </c>
      <c r="O88" s="940"/>
      <c r="P88" s="939">
        <v>13</v>
      </c>
      <c r="Q88" s="940">
        <v>6</v>
      </c>
      <c r="R88" s="939"/>
      <c r="S88" s="939"/>
      <c r="T88" s="940" t="str">
        <f t="shared" si="1"/>
        <v>High</v>
      </c>
      <c r="U88" s="940" t="s">
        <v>675</v>
      </c>
      <c r="V88" s="1053" t="s">
        <v>987</v>
      </c>
      <c r="W88" s="1054">
        <v>4.1826087072940528</v>
      </c>
      <c r="X88" s="1054">
        <v>1.8411227010354594E-2</v>
      </c>
      <c r="Y88" s="1054">
        <v>0</v>
      </c>
      <c r="Z88" s="1055" t="s">
        <v>162</v>
      </c>
      <c r="AA88" s="902"/>
      <c r="AB88" s="901">
        <v>0</v>
      </c>
      <c r="AC88"/>
    </row>
    <row r="89" spans="1:32" s="900" customFormat="1">
      <c r="A89" s="939"/>
      <c r="B89" s="1051" t="s">
        <v>768</v>
      </c>
      <c r="C89" s="952"/>
      <c r="D89" s="940" t="s">
        <v>922</v>
      </c>
      <c r="E89" s="922">
        <v>45072</v>
      </c>
      <c r="F89" s="1065">
        <v>17.7</v>
      </c>
      <c r="G89" s="1065">
        <v>45.921270999999997</v>
      </c>
      <c r="H89" s="953">
        <v>-46.445551999999999</v>
      </c>
      <c r="I89" s="953">
        <v>-0.52428180000000002</v>
      </c>
      <c r="J89" s="929">
        <v>13.498986</v>
      </c>
      <c r="K89" s="928"/>
      <c r="L89" s="928"/>
      <c r="M89" s="939" t="s">
        <v>377</v>
      </c>
      <c r="N89" s="927" t="s">
        <v>674</v>
      </c>
      <c r="O89" s="928"/>
      <c r="P89" s="927">
        <v>10</v>
      </c>
      <c r="Q89" s="940">
        <v>3</v>
      </c>
      <c r="R89" s="927"/>
      <c r="S89" s="927"/>
      <c r="T89" s="940" t="str">
        <f t="shared" si="1"/>
        <v>Medium</v>
      </c>
      <c r="U89" s="940" t="s">
        <v>676</v>
      </c>
      <c r="V89" s="1053" t="s">
        <v>988</v>
      </c>
      <c r="W89" s="1054">
        <v>25.505527656302366</v>
      </c>
      <c r="X89" s="1054">
        <v>3.0562916080035293E-2</v>
      </c>
      <c r="Y89" s="1054">
        <v>1</v>
      </c>
      <c r="Z89" s="1058" t="s">
        <v>164</v>
      </c>
      <c r="AA89" s="902"/>
      <c r="AB89" s="901">
        <v>0</v>
      </c>
      <c r="AC89"/>
      <c r="AF89" s="987"/>
    </row>
    <row r="90" spans="1:32">
      <c r="A90" s="939"/>
      <c r="B90" s="1051" t="s">
        <v>769</v>
      </c>
      <c r="C90" s="952"/>
      <c r="D90" s="940" t="s">
        <v>922</v>
      </c>
      <c r="E90" s="939">
        <v>44902</v>
      </c>
      <c r="F90" s="954">
        <v>41.8</v>
      </c>
      <c r="G90" s="954">
        <v>35.522728000000001</v>
      </c>
      <c r="H90" s="953">
        <v>27.488413999999999</v>
      </c>
      <c r="I90" s="953">
        <v>63.011142</v>
      </c>
      <c r="J90" s="929">
        <v>13.518940000000001</v>
      </c>
      <c r="K90" s="940"/>
      <c r="L90" s="940"/>
      <c r="M90" s="939" t="s">
        <v>377</v>
      </c>
      <c r="N90" s="927" t="s">
        <v>674</v>
      </c>
      <c r="O90" s="940"/>
      <c r="P90" s="939">
        <v>13</v>
      </c>
      <c r="Q90" s="940">
        <v>6</v>
      </c>
      <c r="R90" s="939"/>
      <c r="S90" s="939"/>
      <c r="T90" s="940" t="str">
        <f t="shared" si="1"/>
        <v>High</v>
      </c>
      <c r="U90" s="940" t="s">
        <v>675</v>
      </c>
      <c r="V90" s="1053" t="s">
        <v>989</v>
      </c>
      <c r="W90" s="1054">
        <v>0.62057207702051087</v>
      </c>
      <c r="X90" s="1054">
        <v>6.1597454598489327E-3</v>
      </c>
      <c r="Y90" s="1054">
        <v>0</v>
      </c>
      <c r="Z90" s="1055" t="s">
        <v>162</v>
      </c>
      <c r="AA90" s="902"/>
      <c r="AB90" s="901">
        <v>0</v>
      </c>
      <c r="AC90"/>
    </row>
    <row r="91" spans="1:32">
      <c r="A91" s="939"/>
      <c r="B91" s="1051" t="s">
        <v>770</v>
      </c>
      <c r="C91" s="952"/>
      <c r="D91" s="940" t="s">
        <v>922</v>
      </c>
      <c r="E91" s="922">
        <v>45181</v>
      </c>
      <c r="F91" s="1065">
        <v>12.4</v>
      </c>
      <c r="G91" s="1065">
        <v>50.599696000000002</v>
      </c>
      <c r="H91" s="953">
        <v>-54.538446</v>
      </c>
      <c r="I91" s="953">
        <v>-3.9387496</v>
      </c>
      <c r="J91" s="929">
        <v>13.509683000000001</v>
      </c>
      <c r="K91" s="928"/>
      <c r="L91" s="928"/>
      <c r="M91" s="939" t="s">
        <v>377</v>
      </c>
      <c r="N91" s="927" t="s">
        <v>674</v>
      </c>
      <c r="O91" s="928"/>
      <c r="P91" s="1066">
        <v>7</v>
      </c>
      <c r="Q91" s="940">
        <v>3</v>
      </c>
      <c r="R91" s="927"/>
      <c r="S91" s="927"/>
      <c r="T91" s="940" t="str">
        <f t="shared" si="1"/>
        <v>Medium</v>
      </c>
      <c r="U91" s="940" t="s">
        <v>676</v>
      </c>
      <c r="V91" s="1053" t="s">
        <v>990</v>
      </c>
      <c r="W91" s="1054">
        <v>26.709204487446982</v>
      </c>
      <c r="X91" s="1054">
        <v>3.1582323633134929E-2</v>
      </c>
      <c r="Y91" s="1059">
        <v>1</v>
      </c>
      <c r="Z91" s="1058" t="s">
        <v>164</v>
      </c>
      <c r="AA91" s="902"/>
      <c r="AB91" s="901">
        <v>0</v>
      </c>
      <c r="AC91"/>
    </row>
    <row r="92" spans="1:32" ht="15" customHeight="1">
      <c r="A92" s="939"/>
      <c r="B92" s="1051" t="s">
        <v>771</v>
      </c>
      <c r="C92" s="952"/>
      <c r="D92" s="940" t="s">
        <v>922</v>
      </c>
      <c r="E92" s="922">
        <v>44962</v>
      </c>
      <c r="F92" s="1065">
        <v>13.3</v>
      </c>
      <c r="G92" s="1065">
        <v>42.904685999999998</v>
      </c>
      <c r="H92" s="953">
        <v>29.935171</v>
      </c>
      <c r="I92" s="953">
        <v>72.839856999999995</v>
      </c>
      <c r="J92" s="929">
        <v>13.505915999999999</v>
      </c>
      <c r="K92" s="928"/>
      <c r="L92" s="928"/>
      <c r="M92" s="939" t="s">
        <v>377</v>
      </c>
      <c r="N92" s="927" t="s">
        <v>674</v>
      </c>
      <c r="O92" s="928"/>
      <c r="P92" s="1066">
        <v>13</v>
      </c>
      <c r="Q92" s="940">
        <v>6</v>
      </c>
      <c r="R92" s="927"/>
      <c r="S92" s="927"/>
      <c r="T92" s="940" t="str">
        <f t="shared" si="1"/>
        <v>High</v>
      </c>
      <c r="U92" s="940" t="s">
        <v>675</v>
      </c>
      <c r="V92" s="1053" t="s">
        <v>991</v>
      </c>
      <c r="W92" s="1054">
        <v>0.29855079365294129</v>
      </c>
      <c r="X92" s="1054">
        <v>4.0906688552304372E-3</v>
      </c>
      <c r="Y92" s="1059">
        <v>0</v>
      </c>
      <c r="Z92" s="1055" t="s">
        <v>162</v>
      </c>
      <c r="AA92" s="902"/>
      <c r="AB92" s="901">
        <v>0</v>
      </c>
      <c r="AC92"/>
    </row>
    <row r="93" spans="1:32">
      <c r="A93" s="939"/>
      <c r="B93" s="1051" t="s">
        <v>772</v>
      </c>
      <c r="C93" s="952"/>
      <c r="D93" s="940" t="s">
        <v>922</v>
      </c>
      <c r="E93" s="939">
        <v>45216</v>
      </c>
      <c r="F93" s="954">
        <v>13.3</v>
      </c>
      <c r="G93" s="954">
        <v>52.510362999999998</v>
      </c>
      <c r="H93" s="953">
        <v>-53.755938</v>
      </c>
      <c r="I93" s="953">
        <v>-1.2455748</v>
      </c>
      <c r="J93" s="929">
        <v>13.509966</v>
      </c>
      <c r="K93" s="940"/>
      <c r="L93" s="940"/>
      <c r="M93" s="939" t="s">
        <v>377</v>
      </c>
      <c r="N93" s="927" t="s">
        <v>674</v>
      </c>
      <c r="O93" s="940"/>
      <c r="P93" s="939">
        <v>10</v>
      </c>
      <c r="Q93" s="940">
        <v>3</v>
      </c>
      <c r="R93" s="939"/>
      <c r="S93" s="939"/>
      <c r="T93" s="940" t="str">
        <f t="shared" si="1"/>
        <v>Medium</v>
      </c>
      <c r="U93" s="940" t="s">
        <v>676</v>
      </c>
      <c r="V93" s="1053" t="s">
        <v>992</v>
      </c>
      <c r="W93" s="1054">
        <v>27.286690096508288</v>
      </c>
      <c r="X93" s="1054">
        <v>3.1339133253051953E-2</v>
      </c>
      <c r="Y93" s="1054">
        <v>1</v>
      </c>
      <c r="Z93" s="1058" t="s">
        <v>164</v>
      </c>
      <c r="AA93" s="902"/>
      <c r="AB93" s="901">
        <v>0</v>
      </c>
      <c r="AC93"/>
    </row>
    <row r="94" spans="1:32">
      <c r="A94" s="939"/>
      <c r="B94" s="1051" t="s">
        <v>773</v>
      </c>
      <c r="C94" s="952"/>
      <c r="D94" s="940" t="s">
        <v>922</v>
      </c>
      <c r="E94" s="922">
        <v>45004</v>
      </c>
      <c r="F94" s="1065">
        <v>57.5</v>
      </c>
      <c r="G94" s="1065">
        <v>21.774750000000001</v>
      </c>
      <c r="H94" s="953">
        <v>31.088751999999999</v>
      </c>
      <c r="I94" s="953">
        <v>52.863501999999997</v>
      </c>
      <c r="J94" s="929">
        <v>13.507218</v>
      </c>
      <c r="K94" s="928"/>
      <c r="L94" s="928"/>
      <c r="M94" s="939" t="s">
        <v>377</v>
      </c>
      <c r="N94" s="927" t="s">
        <v>674</v>
      </c>
      <c r="O94" s="928"/>
      <c r="P94" s="1066">
        <v>4</v>
      </c>
      <c r="Q94" s="940">
        <v>1</v>
      </c>
      <c r="R94" s="927"/>
      <c r="S94" s="927"/>
      <c r="T94" s="940" t="str">
        <f t="shared" si="1"/>
        <v>High</v>
      </c>
      <c r="U94" s="940" t="s">
        <v>675</v>
      </c>
      <c r="V94" s="1053" t="s">
        <v>993</v>
      </c>
      <c r="W94" s="1054">
        <v>0.74280720186211679</v>
      </c>
      <c r="X94" s="1054">
        <v>6.1682058701069851E-3</v>
      </c>
      <c r="Y94" s="1059">
        <v>0</v>
      </c>
      <c r="Z94" s="1055" t="s">
        <v>162</v>
      </c>
      <c r="AA94" s="902"/>
      <c r="AB94" s="901">
        <v>0</v>
      </c>
      <c r="AC94"/>
    </row>
    <row r="95" spans="1:32">
      <c r="A95" s="939"/>
      <c r="B95" s="1051" t="s">
        <v>774</v>
      </c>
      <c r="C95" s="952"/>
      <c r="D95" s="940" t="s">
        <v>922</v>
      </c>
      <c r="E95" s="939">
        <v>45384</v>
      </c>
      <c r="F95" s="954">
        <v>24.4</v>
      </c>
      <c r="G95" s="954">
        <v>23.518684</v>
      </c>
      <c r="H95" s="953">
        <v>-25.329360999999999</v>
      </c>
      <c r="I95" s="953">
        <v>-1.8106774999999999</v>
      </c>
      <c r="J95" s="929">
        <v>25.700475999999998</v>
      </c>
      <c r="K95" s="940"/>
      <c r="L95" s="940"/>
      <c r="M95" s="939" t="s">
        <v>377</v>
      </c>
      <c r="N95" s="927" t="s">
        <v>674</v>
      </c>
      <c r="O95" s="940"/>
      <c r="P95" s="939">
        <v>13</v>
      </c>
      <c r="Q95" s="940">
        <v>6</v>
      </c>
      <c r="R95" s="939"/>
      <c r="S95" s="939"/>
      <c r="T95" s="940" t="str">
        <f t="shared" si="1"/>
        <v>High</v>
      </c>
      <c r="U95" s="940" t="s">
        <v>675</v>
      </c>
      <c r="V95" s="1053" t="s">
        <v>994</v>
      </c>
      <c r="W95" s="1054">
        <v>20.896579333699002</v>
      </c>
      <c r="X95" s="1054">
        <v>6.2904408392287614E-2</v>
      </c>
      <c r="Y95" s="1054">
        <v>2</v>
      </c>
      <c r="Z95" s="1064" t="s">
        <v>166</v>
      </c>
      <c r="AA95" s="902"/>
      <c r="AB95" s="901">
        <v>0</v>
      </c>
      <c r="AC95"/>
    </row>
    <row r="96" spans="1:32" ht="15" customHeight="1">
      <c r="A96" s="939"/>
      <c r="B96" s="1051" t="s">
        <v>775</v>
      </c>
      <c r="C96" s="952"/>
      <c r="D96" s="940" t="s">
        <v>922</v>
      </c>
      <c r="E96" s="922">
        <v>45206</v>
      </c>
      <c r="F96" s="1065">
        <v>24.2</v>
      </c>
      <c r="G96" s="1065">
        <v>16.437512999999999</v>
      </c>
      <c r="H96" s="953">
        <v>24.045407999999998</v>
      </c>
      <c r="I96" s="953">
        <v>40.482920999999997</v>
      </c>
      <c r="J96" s="929">
        <v>13.514156</v>
      </c>
      <c r="K96" s="928"/>
      <c r="L96" s="928"/>
      <c r="M96" s="939" t="s">
        <v>377</v>
      </c>
      <c r="N96" s="927" t="s">
        <v>674</v>
      </c>
      <c r="O96" s="928"/>
      <c r="P96" s="1066">
        <v>7</v>
      </c>
      <c r="Q96" s="940">
        <v>3</v>
      </c>
      <c r="R96" s="927"/>
      <c r="S96" s="927"/>
      <c r="T96" s="940" t="str">
        <f t="shared" si="1"/>
        <v>Slight</v>
      </c>
      <c r="U96" s="940" t="s">
        <v>678</v>
      </c>
      <c r="V96" s="1053" t="s">
        <v>995</v>
      </c>
      <c r="W96" s="1054">
        <v>1.3231812213166771</v>
      </c>
      <c r="X96" s="1054">
        <v>1.0216762128423885E-2</v>
      </c>
      <c r="Y96" s="1059">
        <v>0</v>
      </c>
      <c r="Z96" s="1055" t="s">
        <v>162</v>
      </c>
      <c r="AA96" s="902"/>
      <c r="AB96" s="901">
        <v>0</v>
      </c>
      <c r="AC96"/>
    </row>
    <row r="97" spans="1:32" s="900" customFormat="1">
      <c r="A97" s="939"/>
      <c r="B97" s="1051" t="s">
        <v>776</v>
      </c>
      <c r="C97" s="952"/>
      <c r="D97" s="940" t="s">
        <v>922</v>
      </c>
      <c r="E97" s="922">
        <v>45708</v>
      </c>
      <c r="F97" s="1065">
        <v>11</v>
      </c>
      <c r="G97" s="1065">
        <v>58.413620999999999</v>
      </c>
      <c r="H97" s="953">
        <v>-42.052441999999999</v>
      </c>
      <c r="I97" s="953">
        <v>16.361179</v>
      </c>
      <c r="J97" s="929">
        <v>25.282292000000002</v>
      </c>
      <c r="K97" s="928"/>
      <c r="L97" s="928"/>
      <c r="M97" s="939" t="s">
        <v>377</v>
      </c>
      <c r="N97" s="927" t="s">
        <v>674</v>
      </c>
      <c r="O97" s="928"/>
      <c r="P97" s="927">
        <v>4</v>
      </c>
      <c r="Q97" s="940">
        <v>1</v>
      </c>
      <c r="R97" s="927"/>
      <c r="S97" s="927"/>
      <c r="T97" s="940" t="str">
        <f t="shared" si="1"/>
        <v>High</v>
      </c>
      <c r="U97" s="940" t="s">
        <v>675</v>
      </c>
      <c r="V97" s="1053" t="s">
        <v>996</v>
      </c>
      <c r="W97" s="1054">
        <v>17.051156384673249</v>
      </c>
      <c r="X97" s="1054">
        <v>1.3042339243245365E-2</v>
      </c>
      <c r="Y97" s="1054">
        <v>0</v>
      </c>
      <c r="Z97" s="1055" t="s">
        <v>162</v>
      </c>
      <c r="AA97" s="902"/>
      <c r="AB97" s="901">
        <v>0</v>
      </c>
      <c r="AC97"/>
      <c r="AF97" s="987"/>
    </row>
    <row r="98" spans="1:32">
      <c r="A98" s="939"/>
      <c r="B98" s="1051" t="s">
        <v>777</v>
      </c>
      <c r="C98" s="952"/>
      <c r="D98" s="940" t="s">
        <v>922</v>
      </c>
      <c r="E98" s="922">
        <v>45237</v>
      </c>
      <c r="F98" s="1065">
        <v>16.899999999999999</v>
      </c>
      <c r="G98" s="1065">
        <v>16.711223</v>
      </c>
      <c r="H98" s="953">
        <v>28.349326000000001</v>
      </c>
      <c r="I98" s="953">
        <v>45.060549000000002</v>
      </c>
      <c r="J98" s="929">
        <v>13.818284999999999</v>
      </c>
      <c r="K98" s="928"/>
      <c r="L98" s="928"/>
      <c r="M98" s="939" t="s">
        <v>377</v>
      </c>
      <c r="N98" s="927" t="s">
        <v>674</v>
      </c>
      <c r="O98" s="928"/>
      <c r="P98" s="1066">
        <v>4</v>
      </c>
      <c r="Q98" s="940">
        <v>1</v>
      </c>
      <c r="R98" s="927"/>
      <c r="S98" s="927"/>
      <c r="T98" s="940" t="str">
        <f t="shared" si="1"/>
        <v>Medium</v>
      </c>
      <c r="U98" s="940" t="s">
        <v>676</v>
      </c>
      <c r="V98" s="1053" t="s">
        <v>997</v>
      </c>
      <c r="W98" s="1054">
        <v>0.67302145798768631</v>
      </c>
      <c r="X98" s="1054">
        <v>6.6893936053965576E-3</v>
      </c>
      <c r="Y98" s="1059">
        <v>0</v>
      </c>
      <c r="Z98" s="1055" t="s">
        <v>162</v>
      </c>
      <c r="AA98" s="902"/>
      <c r="AB98" s="901">
        <v>0</v>
      </c>
      <c r="AC98"/>
    </row>
    <row r="99" spans="1:32">
      <c r="A99" s="939"/>
      <c r="B99" s="1051" t="s">
        <v>778</v>
      </c>
      <c r="C99" s="952"/>
      <c r="D99" s="940" t="s">
        <v>922</v>
      </c>
      <c r="E99" s="939">
        <v>45265</v>
      </c>
      <c r="F99" s="954">
        <v>9.8000000000000007</v>
      </c>
      <c r="G99" s="954">
        <v>16.615582</v>
      </c>
      <c r="H99" s="953">
        <v>28.420449000000001</v>
      </c>
      <c r="I99" s="953">
        <v>45.036031000000001</v>
      </c>
      <c r="J99" s="929">
        <v>16.391109</v>
      </c>
      <c r="K99" s="940"/>
      <c r="L99" s="940"/>
      <c r="M99" s="939" t="s">
        <v>377</v>
      </c>
      <c r="N99" s="927" t="s">
        <v>674</v>
      </c>
      <c r="O99" s="940"/>
      <c r="P99" s="939">
        <v>7</v>
      </c>
      <c r="Q99" s="940">
        <v>3</v>
      </c>
      <c r="R99" s="939"/>
      <c r="S99" s="939"/>
      <c r="T99" s="940" t="str">
        <f t="shared" si="1"/>
        <v>Medium</v>
      </c>
      <c r="U99" s="940" t="s">
        <v>676</v>
      </c>
      <c r="V99" s="1053" t="s">
        <v>998</v>
      </c>
      <c r="W99" s="1054">
        <v>0.36018120601517489</v>
      </c>
      <c r="X99" s="1054">
        <v>4.5063641021180359E-3</v>
      </c>
      <c r="Y99" s="1054">
        <v>0</v>
      </c>
      <c r="Z99" s="1055" t="s">
        <v>162</v>
      </c>
      <c r="AA99" s="902"/>
      <c r="AB99" s="901">
        <v>0</v>
      </c>
      <c r="AC99"/>
    </row>
    <row r="100" spans="1:32">
      <c r="A100" s="939"/>
      <c r="B100" s="1051" t="s">
        <v>779</v>
      </c>
      <c r="C100" s="952"/>
      <c r="D100" s="940" t="s">
        <v>922</v>
      </c>
      <c r="E100" s="922">
        <v>45921</v>
      </c>
      <c r="F100" s="1065">
        <v>3</v>
      </c>
      <c r="G100" s="1065">
        <v>4.1300600000000003</v>
      </c>
      <c r="H100" s="953">
        <v>0.73190829999999996</v>
      </c>
      <c r="I100" s="953">
        <v>4.8619681999999997</v>
      </c>
      <c r="J100" s="929">
        <v>13.513104</v>
      </c>
      <c r="K100" s="928"/>
      <c r="L100" s="928"/>
      <c r="M100" s="939" t="s">
        <v>377</v>
      </c>
      <c r="N100" s="927" t="s">
        <v>674</v>
      </c>
      <c r="O100" s="928"/>
      <c r="P100" s="927">
        <v>4</v>
      </c>
      <c r="Q100" s="940">
        <v>1</v>
      </c>
      <c r="R100" s="927"/>
      <c r="S100" s="927"/>
      <c r="T100" s="940" t="str">
        <f t="shared" si="1"/>
        <v>Slight</v>
      </c>
      <c r="U100" s="940" t="s">
        <v>678</v>
      </c>
      <c r="V100" s="1053" t="s">
        <v>931</v>
      </c>
      <c r="W100" s="1054"/>
      <c r="X100" s="1054"/>
      <c r="Y100" s="1054"/>
      <c r="Z100" s="1057"/>
      <c r="AA100" s="902"/>
      <c r="AB100" s="901">
        <v>3</v>
      </c>
      <c r="AC100" s="253"/>
    </row>
    <row r="101" spans="1:32">
      <c r="A101" s="939"/>
      <c r="B101" s="1051" t="s">
        <v>780</v>
      </c>
      <c r="C101" s="952"/>
      <c r="D101" s="940" t="s">
        <v>922</v>
      </c>
      <c r="E101" s="939">
        <v>45313</v>
      </c>
      <c r="F101" s="954">
        <v>9.8000000000000007</v>
      </c>
      <c r="G101" s="954">
        <v>9.5694943000000006</v>
      </c>
      <c r="H101" s="953">
        <v>27.943822999999998</v>
      </c>
      <c r="I101" s="953">
        <v>37.513317000000001</v>
      </c>
      <c r="J101" s="929">
        <v>22.433806000000001</v>
      </c>
      <c r="K101" s="940"/>
      <c r="L101" s="940"/>
      <c r="M101" s="939" t="s">
        <v>377</v>
      </c>
      <c r="N101" s="927" t="s">
        <v>674</v>
      </c>
      <c r="O101" s="940"/>
      <c r="P101" s="939">
        <v>4</v>
      </c>
      <c r="Q101" s="940">
        <v>1</v>
      </c>
      <c r="R101" s="939"/>
      <c r="S101" s="939"/>
      <c r="T101" s="940" t="str">
        <f t="shared" si="1"/>
        <v>Medium</v>
      </c>
      <c r="U101" s="940" t="s">
        <v>676</v>
      </c>
      <c r="V101" s="1053" t="s">
        <v>999</v>
      </c>
      <c r="W101" s="1054">
        <v>0.59514557418573788</v>
      </c>
      <c r="X101" s="1054">
        <v>7.2973399488573181E-3</v>
      </c>
      <c r="Y101" s="1054">
        <v>0</v>
      </c>
      <c r="Z101" s="1055" t="s">
        <v>162</v>
      </c>
      <c r="AA101" s="902"/>
      <c r="AB101" s="901">
        <v>0</v>
      </c>
      <c r="AC101"/>
    </row>
    <row r="102" spans="1:32">
      <c r="A102" s="939"/>
      <c r="B102" s="1051" t="s">
        <v>781</v>
      </c>
      <c r="C102" s="952"/>
      <c r="D102" s="940" t="s">
        <v>922</v>
      </c>
      <c r="E102" s="922">
        <v>46006</v>
      </c>
      <c r="F102" s="944">
        <v>48.25</v>
      </c>
      <c r="G102" s="944">
        <v>20.350027999999998</v>
      </c>
      <c r="H102" s="953">
        <v>-29.369523000000001</v>
      </c>
      <c r="I102" s="953">
        <v>-9.0194951000000003</v>
      </c>
      <c r="J102" s="929">
        <v>13.508741000000001</v>
      </c>
      <c r="K102" s="928"/>
      <c r="L102" s="928"/>
      <c r="M102" s="939" t="s">
        <v>377</v>
      </c>
      <c r="N102" s="927" t="s">
        <v>674</v>
      </c>
      <c r="O102" s="928"/>
      <c r="P102" s="927">
        <v>10</v>
      </c>
      <c r="Q102" s="940">
        <v>3</v>
      </c>
      <c r="R102" s="927"/>
      <c r="S102" s="927"/>
      <c r="T102" s="940" t="str">
        <f t="shared" si="1"/>
        <v>High</v>
      </c>
      <c r="U102" s="940" t="s">
        <v>675</v>
      </c>
      <c r="V102" s="1053" t="s">
        <v>1000</v>
      </c>
      <c r="W102" s="1054">
        <v>20.824017617729442</v>
      </c>
      <c r="X102" s="1054">
        <v>9.0729059101702682E-3</v>
      </c>
      <c r="Y102" s="1059">
        <v>0</v>
      </c>
      <c r="Z102" s="1055" t="s">
        <v>162</v>
      </c>
      <c r="AA102" s="902"/>
      <c r="AB102" s="901">
        <v>0</v>
      </c>
      <c r="AC102"/>
    </row>
    <row r="103" spans="1:32" ht="15" customHeight="1">
      <c r="A103" s="939"/>
      <c r="B103" s="1051" t="s">
        <v>782</v>
      </c>
      <c r="C103" s="952"/>
      <c r="D103" s="940" t="s">
        <v>922</v>
      </c>
      <c r="E103" s="922">
        <v>45344</v>
      </c>
      <c r="F103" s="944">
        <v>22.7</v>
      </c>
      <c r="G103" s="944">
        <v>19.422256999999998</v>
      </c>
      <c r="H103" s="953">
        <v>30.276456</v>
      </c>
      <c r="I103" s="953">
        <v>49.698712999999998</v>
      </c>
      <c r="J103" s="929">
        <v>25.199387000000002</v>
      </c>
      <c r="K103" s="928"/>
      <c r="L103" s="928"/>
      <c r="M103" s="939" t="s">
        <v>377</v>
      </c>
      <c r="N103" s="927" t="s">
        <v>674</v>
      </c>
      <c r="O103" s="928"/>
      <c r="P103" s="927">
        <v>4</v>
      </c>
      <c r="Q103" s="940">
        <v>1</v>
      </c>
      <c r="R103" s="927"/>
      <c r="S103" s="927"/>
      <c r="T103" s="940" t="str">
        <f t="shared" si="1"/>
        <v>Slight</v>
      </c>
      <c r="U103" s="928" t="s">
        <v>678</v>
      </c>
      <c r="V103" s="1053" t="s">
        <v>1001</v>
      </c>
      <c r="W103" s="1054">
        <v>0.31248763407385061</v>
      </c>
      <c r="X103" s="1054">
        <v>3.6644724188509199E-3</v>
      </c>
      <c r="Y103" s="1059">
        <v>0</v>
      </c>
      <c r="Z103" s="1055" t="s">
        <v>162</v>
      </c>
      <c r="AA103" s="902"/>
      <c r="AB103" s="901">
        <v>0</v>
      </c>
      <c r="AC103"/>
    </row>
    <row r="104" spans="1:32" ht="15" customHeight="1">
      <c r="A104" s="939"/>
      <c r="B104" s="1051" t="s">
        <v>783</v>
      </c>
      <c r="C104" s="952"/>
      <c r="D104" s="940" t="s">
        <v>922</v>
      </c>
      <c r="E104" s="922">
        <v>46020</v>
      </c>
      <c r="F104" s="944">
        <v>48.25</v>
      </c>
      <c r="G104" s="944">
        <v>20.65691</v>
      </c>
      <c r="H104" s="953">
        <v>-15.827438000000001</v>
      </c>
      <c r="I104" s="953">
        <v>4.8294724000000002</v>
      </c>
      <c r="J104" s="929">
        <v>13.503276</v>
      </c>
      <c r="K104" s="928"/>
      <c r="L104" s="928"/>
      <c r="M104" s="939" t="s">
        <v>377</v>
      </c>
      <c r="N104" s="927" t="s">
        <v>674</v>
      </c>
      <c r="O104" s="928"/>
      <c r="P104" s="927">
        <v>10</v>
      </c>
      <c r="Q104" s="940">
        <v>3</v>
      </c>
      <c r="R104" s="927"/>
      <c r="S104" s="927"/>
      <c r="T104" s="940" t="str">
        <f t="shared" si="1"/>
        <v>High</v>
      </c>
      <c r="U104" s="928" t="s">
        <v>675</v>
      </c>
      <c r="V104" s="1053" t="s">
        <v>1002</v>
      </c>
      <c r="W104" s="1054">
        <v>20.813153871966215</v>
      </c>
      <c r="X104" s="1054">
        <v>1.4705783338681583E-2</v>
      </c>
      <c r="Y104" s="1059">
        <v>0</v>
      </c>
      <c r="Z104" s="1055" t="s">
        <v>162</v>
      </c>
      <c r="AA104" s="902"/>
      <c r="AB104" s="901">
        <v>0</v>
      </c>
      <c r="AC104"/>
    </row>
    <row r="105" spans="1:32">
      <c r="A105" s="939"/>
      <c r="B105" s="1051" t="s">
        <v>784</v>
      </c>
      <c r="C105" s="952"/>
      <c r="D105" s="940" t="s">
        <v>922</v>
      </c>
      <c r="E105" s="922">
        <v>45378</v>
      </c>
      <c r="F105" s="930">
        <v>26.6</v>
      </c>
      <c r="G105" s="930">
        <v>20.858241</v>
      </c>
      <c r="H105" s="953">
        <v>27.155061</v>
      </c>
      <c r="I105" s="953">
        <v>48.013302000000003</v>
      </c>
      <c r="J105" s="929">
        <v>25.704246999999999</v>
      </c>
      <c r="K105" s="928"/>
      <c r="L105" s="928"/>
      <c r="M105" s="939" t="s">
        <v>377</v>
      </c>
      <c r="N105" s="927" t="s">
        <v>674</v>
      </c>
      <c r="O105" s="928"/>
      <c r="P105" s="927">
        <v>4</v>
      </c>
      <c r="Q105" s="940">
        <v>1</v>
      </c>
      <c r="R105" s="927"/>
      <c r="S105" s="927"/>
      <c r="T105" s="940" t="str">
        <f t="shared" si="1"/>
        <v>Slight</v>
      </c>
      <c r="U105" s="928" t="s">
        <v>678</v>
      </c>
      <c r="V105" s="1053" t="s">
        <v>1003</v>
      </c>
      <c r="W105" s="1054">
        <v>0.69505918739042272</v>
      </c>
      <c r="X105" s="1054">
        <v>6.0933034974067976E-3</v>
      </c>
      <c r="Y105" s="1059">
        <v>0</v>
      </c>
      <c r="Z105" s="1055" t="s">
        <v>162</v>
      </c>
      <c r="AA105" s="902"/>
      <c r="AB105" s="901">
        <v>0</v>
      </c>
      <c r="AC105"/>
    </row>
    <row r="106" spans="1:32">
      <c r="A106" s="939"/>
      <c r="B106" s="1051" t="s">
        <v>785</v>
      </c>
      <c r="C106" s="952"/>
      <c r="D106" s="940" t="s">
        <v>922</v>
      </c>
      <c r="E106" s="922">
        <v>46032</v>
      </c>
      <c r="F106" s="930">
        <v>48.25</v>
      </c>
      <c r="G106" s="930">
        <v>13.939276</v>
      </c>
      <c r="H106" s="953">
        <v>-3.6690839999999998</v>
      </c>
      <c r="I106" s="953">
        <v>10.270192</v>
      </c>
      <c r="J106" s="929">
        <v>13.510199999999999</v>
      </c>
      <c r="K106" s="928"/>
      <c r="L106" s="928"/>
      <c r="M106" s="939" t="s">
        <v>377</v>
      </c>
      <c r="N106" s="927" t="s">
        <v>674</v>
      </c>
      <c r="O106" s="928"/>
      <c r="P106" s="927">
        <v>10</v>
      </c>
      <c r="Q106" s="940">
        <v>3</v>
      </c>
      <c r="R106" s="927"/>
      <c r="S106" s="927"/>
      <c r="T106" s="940" t="str">
        <f t="shared" si="1"/>
        <v>High</v>
      </c>
      <c r="U106" s="928" t="s">
        <v>675</v>
      </c>
      <c r="V106" s="1053" t="s">
        <v>1004</v>
      </c>
      <c r="W106" s="1054">
        <v>20.216597978616768</v>
      </c>
      <c r="X106" s="1054">
        <v>6.2490595588455249E-3</v>
      </c>
      <c r="Y106" s="1059">
        <v>0</v>
      </c>
      <c r="Z106" s="1055" t="s">
        <v>162</v>
      </c>
      <c r="AA106" s="902"/>
      <c r="AB106" s="901">
        <v>0</v>
      </c>
      <c r="AC106"/>
    </row>
    <row r="107" spans="1:32">
      <c r="A107" s="939"/>
      <c r="B107" s="1051" t="s">
        <v>786</v>
      </c>
      <c r="C107" s="952"/>
      <c r="D107" s="940" t="s">
        <v>922</v>
      </c>
      <c r="E107" s="956">
        <v>45708</v>
      </c>
      <c r="F107" s="944">
        <v>7.5</v>
      </c>
      <c r="G107" s="944">
        <v>15.363695999999999</v>
      </c>
      <c r="H107" s="956">
        <v>20.666954</v>
      </c>
      <c r="I107" s="956">
        <v>36.030650000000001</v>
      </c>
      <c r="J107" s="929">
        <v>25.332438</v>
      </c>
      <c r="K107" s="928"/>
      <c r="L107" s="928"/>
      <c r="M107" s="939" t="s">
        <v>377</v>
      </c>
      <c r="N107" s="927" t="s">
        <v>674</v>
      </c>
      <c r="O107" s="928"/>
      <c r="P107" s="927">
        <v>4</v>
      </c>
      <c r="Q107" s="940">
        <v>1</v>
      </c>
      <c r="R107" s="927"/>
      <c r="S107" s="927"/>
      <c r="T107" s="940" t="str">
        <f t="shared" si="1"/>
        <v>Medium</v>
      </c>
      <c r="U107" s="928" t="s">
        <v>676</v>
      </c>
      <c r="V107" s="1053" t="s">
        <v>1005</v>
      </c>
      <c r="W107" s="1054">
        <v>3.2968513187814357</v>
      </c>
      <c r="X107" s="1054">
        <v>1.9102605766000053E-2</v>
      </c>
      <c r="Y107" s="1059">
        <v>0</v>
      </c>
      <c r="Z107" s="1055" t="s">
        <v>162</v>
      </c>
      <c r="AA107" s="902"/>
      <c r="AB107" s="901">
        <v>0</v>
      </c>
      <c r="AC107"/>
    </row>
    <row r="108" spans="1:32">
      <c r="A108" s="939"/>
      <c r="B108" s="1051" t="s">
        <v>787</v>
      </c>
      <c r="C108" s="952"/>
      <c r="D108" s="940" t="s">
        <v>922</v>
      </c>
      <c r="E108" s="922">
        <v>46100</v>
      </c>
      <c r="F108" s="930">
        <v>5.47</v>
      </c>
      <c r="G108" s="944">
        <v>8.3599823999999998</v>
      </c>
      <c r="H108" s="953">
        <v>-4.5906291000000001</v>
      </c>
      <c r="I108" s="953">
        <v>3.7693533000000001</v>
      </c>
      <c r="J108" s="929">
        <v>13.507821</v>
      </c>
      <c r="K108" s="928"/>
      <c r="L108" s="928"/>
      <c r="M108" s="939" t="s">
        <v>377</v>
      </c>
      <c r="N108" s="927" t="s">
        <v>674</v>
      </c>
      <c r="O108" s="928"/>
      <c r="P108" s="927">
        <v>4</v>
      </c>
      <c r="Q108" s="940">
        <v>1</v>
      </c>
      <c r="R108" s="927"/>
      <c r="S108" s="927"/>
      <c r="T108" s="940" t="str">
        <f t="shared" si="1"/>
        <v>Medium</v>
      </c>
      <c r="U108" s="928" t="s">
        <v>676</v>
      </c>
      <c r="V108" s="1053" t="s">
        <v>1006</v>
      </c>
      <c r="W108" s="1054">
        <v>19.508246155742661</v>
      </c>
      <c r="X108" s="1054">
        <v>4.4587894960983346E-3</v>
      </c>
      <c r="Y108" s="1059">
        <v>0</v>
      </c>
      <c r="Z108" s="1055" t="s">
        <v>162</v>
      </c>
      <c r="AA108" s="902"/>
      <c r="AB108" s="901">
        <v>0</v>
      </c>
      <c r="AC108"/>
    </row>
    <row r="109" spans="1:32" ht="15" customHeight="1">
      <c r="A109" s="939"/>
      <c r="B109" s="1051" t="s">
        <v>788</v>
      </c>
      <c r="C109" s="952"/>
      <c r="D109" s="940" t="s">
        <v>922</v>
      </c>
      <c r="E109" s="922">
        <v>45880</v>
      </c>
      <c r="F109" s="930">
        <v>22</v>
      </c>
      <c r="G109" s="944">
        <v>33.619734000000001</v>
      </c>
      <c r="H109" s="953">
        <v>23.309757999999999</v>
      </c>
      <c r="I109" s="953">
        <v>56.929492000000003</v>
      </c>
      <c r="J109" s="929">
        <v>13.505857000000001</v>
      </c>
      <c r="K109" s="928"/>
      <c r="L109" s="928"/>
      <c r="M109" s="939" t="s">
        <v>377</v>
      </c>
      <c r="N109" s="927" t="s">
        <v>674</v>
      </c>
      <c r="O109" s="928"/>
      <c r="P109" s="927">
        <v>31</v>
      </c>
      <c r="Q109" s="940">
        <v>9</v>
      </c>
      <c r="R109" s="927"/>
      <c r="S109" s="927"/>
      <c r="T109" s="940" t="str">
        <f t="shared" si="1"/>
        <v>Slight</v>
      </c>
      <c r="U109" s="928" t="s">
        <v>678</v>
      </c>
      <c r="V109" s="1053" t="s">
        <v>1007</v>
      </c>
      <c r="W109" s="1054">
        <v>2.1106978590652132</v>
      </c>
      <c r="X109" s="1054">
        <v>1.073176108944446E-2</v>
      </c>
      <c r="Y109" s="1059">
        <v>0</v>
      </c>
      <c r="Z109" s="1055" t="s">
        <v>162</v>
      </c>
      <c r="AA109" s="902"/>
      <c r="AB109" s="901">
        <v>0</v>
      </c>
      <c r="AC109"/>
    </row>
    <row r="110" spans="1:32" ht="15" customHeight="1">
      <c r="A110" s="939"/>
      <c r="B110" s="1051" t="s">
        <v>789</v>
      </c>
      <c r="C110" s="952"/>
      <c r="D110" s="940" t="s">
        <v>922</v>
      </c>
      <c r="E110" s="922">
        <v>46182</v>
      </c>
      <c r="F110" s="930">
        <v>2.6</v>
      </c>
      <c r="G110" s="944">
        <v>2.7232704999999999</v>
      </c>
      <c r="H110" s="953">
        <v>-12.151721</v>
      </c>
      <c r="I110" s="953">
        <v>-9.4284500999999992</v>
      </c>
      <c r="J110" s="929">
        <v>13.528900999999999</v>
      </c>
      <c r="K110" s="928"/>
      <c r="L110" s="928"/>
      <c r="M110" s="939" t="s">
        <v>377</v>
      </c>
      <c r="N110" s="927" t="s">
        <v>674</v>
      </c>
      <c r="O110" s="928"/>
      <c r="P110" s="927">
        <v>4</v>
      </c>
      <c r="Q110" s="940">
        <v>1</v>
      </c>
      <c r="R110" s="927"/>
      <c r="S110" s="927"/>
      <c r="T110" s="940" t="str">
        <f t="shared" si="1"/>
        <v>High</v>
      </c>
      <c r="U110" s="928" t="s">
        <v>675</v>
      </c>
      <c r="V110" s="1053" t="s">
        <v>931</v>
      </c>
      <c r="W110" s="1054"/>
      <c r="X110" s="1054"/>
      <c r="Y110" s="1059"/>
      <c r="Z110" s="1057"/>
      <c r="AA110" s="902"/>
      <c r="AB110" s="901">
        <v>3</v>
      </c>
      <c r="AC110"/>
    </row>
    <row r="111" spans="1:32" ht="15" customHeight="1">
      <c r="A111" s="939"/>
      <c r="B111" s="1051" t="s">
        <v>790</v>
      </c>
      <c r="C111" s="952"/>
      <c r="D111" s="940" t="s">
        <v>922</v>
      </c>
      <c r="E111" s="922">
        <v>45982</v>
      </c>
      <c r="F111" s="944">
        <v>17.5</v>
      </c>
      <c r="G111" s="944">
        <v>29.188956000000001</v>
      </c>
      <c r="H111" s="953">
        <v>-3.6507317000000001</v>
      </c>
      <c r="I111" s="953">
        <v>25.538225000000001</v>
      </c>
      <c r="J111" s="929">
        <v>13.500759</v>
      </c>
      <c r="K111" s="928"/>
      <c r="L111" s="928"/>
      <c r="M111" s="939" t="s">
        <v>377</v>
      </c>
      <c r="N111" s="927" t="s">
        <v>674</v>
      </c>
      <c r="O111" s="928"/>
      <c r="P111" s="927">
        <v>4</v>
      </c>
      <c r="Q111" s="940">
        <v>1</v>
      </c>
      <c r="R111" s="927"/>
      <c r="S111" s="927"/>
      <c r="T111" s="940" t="str">
        <f t="shared" si="1"/>
        <v>Slight</v>
      </c>
      <c r="U111" s="928" t="s">
        <v>678</v>
      </c>
      <c r="V111" s="1053" t="s">
        <v>1008</v>
      </c>
      <c r="W111" s="1054">
        <v>19.861259556612112</v>
      </c>
      <c r="X111" s="1054">
        <v>1.7766998267486848E-2</v>
      </c>
      <c r="Y111" s="1059">
        <v>0</v>
      </c>
      <c r="Z111" s="1055" t="s">
        <v>162</v>
      </c>
      <c r="AA111" s="902"/>
      <c r="AB111" s="901">
        <v>0</v>
      </c>
      <c r="AC111"/>
    </row>
    <row r="112" spans="1:32" ht="15" customHeight="1">
      <c r="A112" s="939"/>
      <c r="B112" s="1051" t="s">
        <v>791</v>
      </c>
      <c r="C112" s="952"/>
      <c r="D112" s="940" t="s">
        <v>922</v>
      </c>
      <c r="E112" s="922">
        <v>46162</v>
      </c>
      <c r="F112" s="944">
        <v>20.9</v>
      </c>
      <c r="G112" s="944">
        <v>10.285944000000001</v>
      </c>
      <c r="H112" s="953">
        <v>-12.217833000000001</v>
      </c>
      <c r="I112" s="953">
        <v>-1.9318892999999999</v>
      </c>
      <c r="J112" s="929">
        <v>13.502223000000001</v>
      </c>
      <c r="K112" s="928"/>
      <c r="L112" s="928"/>
      <c r="M112" s="939" t="s">
        <v>377</v>
      </c>
      <c r="N112" s="927" t="s">
        <v>674</v>
      </c>
      <c r="O112" s="928"/>
      <c r="P112" s="927">
        <v>7</v>
      </c>
      <c r="Q112" s="940">
        <v>3</v>
      </c>
      <c r="R112" s="927"/>
      <c r="S112" s="927"/>
      <c r="T112" s="940" t="str">
        <f t="shared" si="1"/>
        <v>High</v>
      </c>
      <c r="U112" s="928" t="s">
        <v>675</v>
      </c>
      <c r="V112" s="1053" t="s">
        <v>1009</v>
      </c>
      <c r="W112" s="1054">
        <v>19.427555014916109</v>
      </c>
      <c r="X112" s="1054">
        <v>6.909829590658563E-3</v>
      </c>
      <c r="Y112" s="1059">
        <v>0</v>
      </c>
      <c r="Z112" s="1055" t="s">
        <v>162</v>
      </c>
      <c r="AA112" s="902"/>
      <c r="AB112" s="901">
        <v>0</v>
      </c>
      <c r="AC112"/>
    </row>
    <row r="113" spans="1:29" ht="15" customHeight="1">
      <c r="A113" s="939"/>
      <c r="B113" s="1051" t="s">
        <v>792</v>
      </c>
      <c r="C113" s="952"/>
      <c r="D113" s="940" t="s">
        <v>922</v>
      </c>
      <c r="E113" s="922">
        <v>45998</v>
      </c>
      <c r="F113" s="944">
        <v>12.1</v>
      </c>
      <c r="G113" s="944">
        <v>23.505737</v>
      </c>
      <c r="H113" s="953">
        <v>12.955318</v>
      </c>
      <c r="I113" s="953">
        <v>36.461053999999997</v>
      </c>
      <c r="J113" s="929">
        <v>13.531005</v>
      </c>
      <c r="K113" s="928"/>
      <c r="L113" s="928"/>
      <c r="M113" s="939" t="s">
        <v>377</v>
      </c>
      <c r="N113" s="927" t="s">
        <v>674</v>
      </c>
      <c r="O113" s="928"/>
      <c r="P113" s="927">
        <v>4</v>
      </c>
      <c r="Q113" s="940">
        <v>1</v>
      </c>
      <c r="R113" s="927"/>
      <c r="S113" s="927"/>
      <c r="T113" s="940" t="str">
        <f t="shared" si="1"/>
        <v>Medium</v>
      </c>
      <c r="U113" s="928" t="s">
        <v>676</v>
      </c>
      <c r="V113" s="1053" t="s">
        <v>1010</v>
      </c>
      <c r="W113" s="1054">
        <v>10.781170246879912</v>
      </c>
      <c r="X113" s="1054">
        <v>2.2238689576217118E-2</v>
      </c>
      <c r="Y113" s="1059">
        <v>0</v>
      </c>
      <c r="Z113" s="1055" t="s">
        <v>162</v>
      </c>
      <c r="AA113" s="902"/>
      <c r="AB113" s="901">
        <v>0</v>
      </c>
      <c r="AC113"/>
    </row>
    <row r="114" spans="1:29" ht="15" customHeight="1">
      <c r="A114" s="939"/>
      <c r="B114" s="1051" t="s">
        <v>793</v>
      </c>
      <c r="C114" s="952"/>
      <c r="D114" s="940" t="s">
        <v>922</v>
      </c>
      <c r="E114" s="922">
        <v>46191</v>
      </c>
      <c r="F114" s="930">
        <v>10.7</v>
      </c>
      <c r="G114" s="944">
        <v>11.363216</v>
      </c>
      <c r="H114" s="953">
        <v>-7.5842412000000001</v>
      </c>
      <c r="I114" s="953">
        <v>3.7789744999999999</v>
      </c>
      <c r="J114" s="929">
        <v>13.501272999999999</v>
      </c>
      <c r="K114" s="928"/>
      <c r="L114" s="928"/>
      <c r="M114" s="939" t="s">
        <v>377</v>
      </c>
      <c r="N114" s="927" t="s">
        <v>674</v>
      </c>
      <c r="O114" s="928"/>
      <c r="P114" s="927">
        <v>7</v>
      </c>
      <c r="Q114" s="940">
        <v>3</v>
      </c>
      <c r="R114" s="927"/>
      <c r="S114" s="927"/>
      <c r="T114" s="940" t="str">
        <f t="shared" si="1"/>
        <v>Medium</v>
      </c>
      <c r="U114" s="928" t="s">
        <v>676</v>
      </c>
      <c r="V114" s="1053" t="s">
        <v>1011</v>
      </c>
      <c r="W114" s="1054">
        <v>19.592993114156929</v>
      </c>
      <c r="X114" s="1054">
        <v>6.9480186746186416E-3</v>
      </c>
      <c r="Y114" s="1059">
        <v>0</v>
      </c>
      <c r="Z114" s="1055" t="s">
        <v>162</v>
      </c>
      <c r="AA114" s="902"/>
      <c r="AB114" s="901">
        <v>0</v>
      </c>
      <c r="AC114"/>
    </row>
    <row r="115" spans="1:29">
      <c r="A115" s="939"/>
      <c r="B115" s="1051" t="s">
        <v>794</v>
      </c>
      <c r="C115" s="952"/>
      <c r="D115" s="940" t="s">
        <v>922</v>
      </c>
      <c r="E115" s="922">
        <v>46083</v>
      </c>
      <c r="F115" s="930">
        <v>17.7</v>
      </c>
      <c r="G115" s="930">
        <v>17.822641000000001</v>
      </c>
      <c r="H115" s="953">
        <v>3.1595475</v>
      </c>
      <c r="I115" s="953">
        <v>20.982188000000001</v>
      </c>
      <c r="J115" s="929">
        <v>13.496757000000001</v>
      </c>
      <c r="K115" s="928"/>
      <c r="L115" s="928"/>
      <c r="M115" s="939" t="s">
        <v>377</v>
      </c>
      <c r="N115" s="927" t="s">
        <v>674</v>
      </c>
      <c r="O115" s="928"/>
      <c r="P115" s="927">
        <v>7</v>
      </c>
      <c r="Q115" s="940">
        <v>3</v>
      </c>
      <c r="R115" s="927"/>
      <c r="S115" s="927"/>
      <c r="T115" s="940" t="str">
        <f t="shared" si="1"/>
        <v>High</v>
      </c>
      <c r="U115" s="928" t="s">
        <v>675</v>
      </c>
      <c r="V115" s="1053" t="s">
        <v>1012</v>
      </c>
      <c r="W115" s="1054">
        <v>17.621052347197619</v>
      </c>
      <c r="X115" s="1054">
        <v>1.4720413690150142E-2</v>
      </c>
      <c r="Y115" s="1059">
        <v>0</v>
      </c>
      <c r="Z115" s="1055" t="s">
        <v>162</v>
      </c>
      <c r="AA115" s="902"/>
      <c r="AB115" s="901">
        <v>0</v>
      </c>
      <c r="AC115"/>
    </row>
    <row r="116" spans="1:29">
      <c r="A116" s="939"/>
      <c r="B116" s="1051" t="s">
        <v>795</v>
      </c>
      <c r="C116" s="952"/>
      <c r="D116" s="940" t="s">
        <v>922</v>
      </c>
      <c r="E116" s="956">
        <v>46212</v>
      </c>
      <c r="F116" s="930">
        <v>17.600000000000001</v>
      </c>
      <c r="G116" s="930">
        <v>15.405638</v>
      </c>
      <c r="H116" s="956">
        <v>-11.880027999999999</v>
      </c>
      <c r="I116" s="956">
        <v>3.5256102</v>
      </c>
      <c r="J116" s="929">
        <v>13.524336999999999</v>
      </c>
      <c r="K116" s="928"/>
      <c r="L116" s="928"/>
      <c r="M116" s="939" t="s">
        <v>377</v>
      </c>
      <c r="N116" s="927" t="s">
        <v>674</v>
      </c>
      <c r="O116" s="928"/>
      <c r="P116" s="927">
        <v>7</v>
      </c>
      <c r="Q116" s="940">
        <v>3</v>
      </c>
      <c r="R116" s="927"/>
      <c r="S116" s="927"/>
      <c r="T116" s="940" t="str">
        <f t="shared" si="1"/>
        <v>High</v>
      </c>
      <c r="U116" s="928" t="s">
        <v>675</v>
      </c>
      <c r="V116" s="1053" t="s">
        <v>1013</v>
      </c>
      <c r="W116" s="1054">
        <v>19.23241161013766</v>
      </c>
      <c r="X116" s="1054">
        <v>8.949639477383314E-3</v>
      </c>
      <c r="Y116" s="1059">
        <v>0</v>
      </c>
      <c r="Z116" s="1055" t="s">
        <v>162</v>
      </c>
      <c r="AA116" s="902"/>
      <c r="AB116" s="901">
        <v>0</v>
      </c>
      <c r="AC116"/>
    </row>
    <row r="117" spans="1:29">
      <c r="A117" s="939"/>
      <c r="B117" s="1051" t="s">
        <v>796</v>
      </c>
      <c r="C117" s="952"/>
      <c r="D117" s="940" t="s">
        <v>922</v>
      </c>
      <c r="E117" s="956">
        <v>46102</v>
      </c>
      <c r="F117" s="930">
        <v>17.600000000000001</v>
      </c>
      <c r="G117" s="930">
        <v>17.846591</v>
      </c>
      <c r="H117" s="956">
        <v>13.851758</v>
      </c>
      <c r="I117" s="956">
        <v>31.698349</v>
      </c>
      <c r="J117" s="929">
        <v>13.508692999999999</v>
      </c>
      <c r="K117" s="928"/>
      <c r="L117" s="928"/>
      <c r="M117" s="939" t="s">
        <v>377</v>
      </c>
      <c r="N117" s="927" t="s">
        <v>674</v>
      </c>
      <c r="O117" s="928"/>
      <c r="P117" s="927">
        <v>7</v>
      </c>
      <c r="Q117" s="940">
        <v>3</v>
      </c>
      <c r="R117" s="927"/>
      <c r="S117" s="927"/>
      <c r="T117" s="940" t="str">
        <f t="shared" si="1"/>
        <v>High</v>
      </c>
      <c r="U117" s="928" t="s">
        <v>675</v>
      </c>
      <c r="V117" s="1053" t="s">
        <v>1014</v>
      </c>
      <c r="W117" s="1054">
        <v>10.092726412596278</v>
      </c>
      <c r="X117" s="1054">
        <v>2.2206371671606828E-2</v>
      </c>
      <c r="Y117" s="1059">
        <v>0</v>
      </c>
      <c r="Z117" s="1055" t="s">
        <v>162</v>
      </c>
      <c r="AA117" s="902"/>
      <c r="AB117" s="901">
        <v>0</v>
      </c>
      <c r="AC117"/>
    </row>
    <row r="118" spans="1:29">
      <c r="A118" s="939"/>
      <c r="B118" s="1051" t="s">
        <v>797</v>
      </c>
      <c r="C118" s="952"/>
      <c r="D118" s="940" t="s">
        <v>922</v>
      </c>
      <c r="E118" s="956">
        <v>46228</v>
      </c>
      <c r="F118" s="930">
        <v>8.6999999999999993</v>
      </c>
      <c r="G118" s="930">
        <v>5.0282717999999997</v>
      </c>
      <c r="H118" s="956">
        <v>-2.6113770999999999</v>
      </c>
      <c r="I118" s="956">
        <v>2.4168946999999998</v>
      </c>
      <c r="J118" s="929">
        <v>13.497832000000001</v>
      </c>
      <c r="K118" s="928"/>
      <c r="L118" s="928"/>
      <c r="M118" s="939" t="s">
        <v>377</v>
      </c>
      <c r="N118" s="927" t="s">
        <v>674</v>
      </c>
      <c r="O118" s="928"/>
      <c r="P118" s="927">
        <v>4</v>
      </c>
      <c r="Q118" s="940">
        <v>1</v>
      </c>
      <c r="R118" s="927"/>
      <c r="S118" s="927"/>
      <c r="T118" s="940" t="str">
        <f t="shared" si="1"/>
        <v>High</v>
      </c>
      <c r="U118" s="928" t="s">
        <v>675</v>
      </c>
      <c r="V118" s="1053" t="s">
        <v>1015</v>
      </c>
      <c r="W118" s="1054">
        <v>17.754361248240048</v>
      </c>
      <c r="X118" s="1054">
        <v>2.3590589542202933E-3</v>
      </c>
      <c r="Y118" s="1059">
        <v>0</v>
      </c>
      <c r="Z118" s="1055" t="s">
        <v>162</v>
      </c>
      <c r="AA118" s="902"/>
      <c r="AB118" s="901">
        <v>0</v>
      </c>
      <c r="AC118"/>
    </row>
    <row r="119" spans="1:29">
      <c r="A119" s="939"/>
      <c r="B119" s="1051" t="s">
        <v>798</v>
      </c>
      <c r="C119" s="952"/>
      <c r="D119" s="940" t="s">
        <v>922</v>
      </c>
      <c r="E119" s="956">
        <v>46258</v>
      </c>
      <c r="F119" s="944">
        <v>5.54</v>
      </c>
      <c r="G119" s="944">
        <v>32.218707000000002</v>
      </c>
      <c r="H119" s="956">
        <v>11.665077999999999</v>
      </c>
      <c r="I119" s="956">
        <v>43.883785000000003</v>
      </c>
      <c r="J119" s="929">
        <v>13.497102999999999</v>
      </c>
      <c r="K119" s="928"/>
      <c r="L119" s="928"/>
      <c r="M119" s="939" t="s">
        <v>377</v>
      </c>
      <c r="N119" s="927" t="s">
        <v>674</v>
      </c>
      <c r="O119" s="928"/>
      <c r="P119" s="927">
        <v>4</v>
      </c>
      <c r="Q119" s="940">
        <v>1</v>
      </c>
      <c r="R119" s="927"/>
      <c r="S119" s="927"/>
      <c r="T119" s="940" t="str">
        <f t="shared" si="1"/>
        <v>High</v>
      </c>
      <c r="U119" s="928" t="s">
        <v>675</v>
      </c>
      <c r="V119" s="1053" t="s">
        <v>1016</v>
      </c>
      <c r="W119" s="1054">
        <v>11.595131422232811</v>
      </c>
      <c r="X119" s="1054">
        <v>1.662577795271581E-2</v>
      </c>
      <c r="Y119" s="1059">
        <v>0</v>
      </c>
      <c r="Z119" s="1055" t="s">
        <v>162</v>
      </c>
      <c r="AA119" s="902"/>
      <c r="AB119" s="901">
        <v>0</v>
      </c>
      <c r="AC119"/>
    </row>
    <row r="120" spans="1:29">
      <c r="A120" s="939"/>
      <c r="B120" s="1051" t="s">
        <v>799</v>
      </c>
      <c r="C120" s="952"/>
      <c r="D120" s="940" t="s">
        <v>922</v>
      </c>
      <c r="E120" s="956">
        <v>46250</v>
      </c>
      <c r="F120" s="944">
        <v>10.8</v>
      </c>
      <c r="G120" s="944">
        <v>12.285358</v>
      </c>
      <c r="H120" s="956">
        <v>-10.269819</v>
      </c>
      <c r="I120" s="956">
        <v>2.0155387</v>
      </c>
      <c r="J120" s="929">
        <v>13.497304</v>
      </c>
      <c r="K120" s="928"/>
      <c r="L120" s="928"/>
      <c r="M120" s="939" t="s">
        <v>377</v>
      </c>
      <c r="N120" s="927" t="s">
        <v>674</v>
      </c>
      <c r="O120" s="928"/>
      <c r="P120" s="927">
        <v>4</v>
      </c>
      <c r="Q120" s="940">
        <v>1</v>
      </c>
      <c r="R120" s="927"/>
      <c r="S120" s="927"/>
      <c r="T120" s="940" t="str">
        <f t="shared" si="1"/>
        <v>Medium</v>
      </c>
      <c r="U120" s="928" t="s">
        <v>676</v>
      </c>
      <c r="V120" s="1053" t="s">
        <v>1017</v>
      </c>
      <c r="W120" s="1054">
        <v>17.718596766622472</v>
      </c>
      <c r="X120" s="1054">
        <v>4.9228489089778466E-3</v>
      </c>
      <c r="Y120" s="1059">
        <v>0</v>
      </c>
      <c r="Z120" s="1055" t="s">
        <v>162</v>
      </c>
      <c r="AA120" s="902"/>
      <c r="AB120" s="901">
        <v>0</v>
      </c>
      <c r="AC120"/>
    </row>
    <row r="121" spans="1:29" ht="15" customHeight="1">
      <c r="A121" s="939"/>
      <c r="B121" s="1051" t="s">
        <v>800</v>
      </c>
      <c r="C121" s="952"/>
      <c r="D121" s="940" t="s">
        <v>922</v>
      </c>
      <c r="E121" s="956">
        <v>46316</v>
      </c>
      <c r="F121" s="944">
        <v>16</v>
      </c>
      <c r="G121" s="944">
        <v>24.104354000000001</v>
      </c>
      <c r="H121" s="956">
        <v>-16.781950999999999</v>
      </c>
      <c r="I121" s="956">
        <v>7.3224022</v>
      </c>
      <c r="J121" s="929">
        <v>13.500484</v>
      </c>
      <c r="K121" s="928"/>
      <c r="L121" s="928"/>
      <c r="M121" s="939" t="s">
        <v>664</v>
      </c>
      <c r="N121" s="927" t="s">
        <v>925</v>
      </c>
      <c r="O121" s="928"/>
      <c r="P121" s="927">
        <v>4</v>
      </c>
      <c r="Q121" s="940">
        <v>1</v>
      </c>
      <c r="R121" s="927"/>
      <c r="S121" s="927"/>
      <c r="T121" s="940" t="str">
        <f t="shared" si="1"/>
        <v>Medium</v>
      </c>
      <c r="U121" s="928" t="s">
        <v>676</v>
      </c>
      <c r="V121" s="1053" t="s">
        <v>1018</v>
      </c>
      <c r="W121" s="1054">
        <v>17.865928606039777</v>
      </c>
      <c r="X121" s="1054">
        <v>1.3088839911338019E-2</v>
      </c>
      <c r="Y121" s="1059">
        <v>0</v>
      </c>
      <c r="Z121" s="1055" t="s">
        <v>162</v>
      </c>
      <c r="AA121" s="902"/>
      <c r="AB121" s="901">
        <v>0</v>
      </c>
      <c r="AC121"/>
    </row>
    <row r="122" spans="1:29">
      <c r="A122" s="939"/>
      <c r="B122" s="1051" t="s">
        <v>801</v>
      </c>
      <c r="C122" s="952"/>
      <c r="D122" s="940" t="s">
        <v>922</v>
      </c>
      <c r="E122" s="922">
        <v>46256</v>
      </c>
      <c r="F122" s="930">
        <v>5</v>
      </c>
      <c r="G122" s="930">
        <v>19.229011</v>
      </c>
      <c r="H122" s="953">
        <v>-16.408190999999999</v>
      </c>
      <c r="I122" s="953">
        <v>2.8208202999999998</v>
      </c>
      <c r="J122" s="929">
        <v>13.523683</v>
      </c>
      <c r="K122" s="928"/>
      <c r="L122" s="928"/>
      <c r="M122" s="939" t="s">
        <v>377</v>
      </c>
      <c r="N122" s="927" t="s">
        <v>674</v>
      </c>
      <c r="O122" s="928"/>
      <c r="P122" s="927">
        <v>7</v>
      </c>
      <c r="Q122" s="940">
        <v>3</v>
      </c>
      <c r="R122" s="927"/>
      <c r="S122" s="927"/>
      <c r="T122" s="940" t="str">
        <f t="shared" si="1"/>
        <v>High</v>
      </c>
      <c r="U122" s="928" t="s">
        <v>675</v>
      </c>
      <c r="V122" s="1053" t="s">
        <v>1019</v>
      </c>
      <c r="W122" s="1054">
        <v>18.427959423486371</v>
      </c>
      <c r="X122" s="1054">
        <v>9.36597995912649E-3</v>
      </c>
      <c r="Y122" s="1059">
        <v>0</v>
      </c>
      <c r="Z122" s="1055" t="s">
        <v>162</v>
      </c>
      <c r="AA122" s="902"/>
      <c r="AB122" s="901">
        <v>0</v>
      </c>
      <c r="AC122"/>
    </row>
    <row r="123" spans="1:29">
      <c r="A123" s="939"/>
      <c r="B123" s="1051" t="s">
        <v>802</v>
      </c>
      <c r="C123" s="952"/>
      <c r="D123" s="940" t="s">
        <v>922</v>
      </c>
      <c r="E123" s="922">
        <v>46316</v>
      </c>
      <c r="F123" s="930">
        <v>39</v>
      </c>
      <c r="G123" s="930">
        <v>37.134973000000002</v>
      </c>
      <c r="H123" s="953">
        <v>6.9645324000000004</v>
      </c>
      <c r="I123" s="953">
        <v>44.099505999999998</v>
      </c>
      <c r="J123" s="929">
        <v>13.498355999999999</v>
      </c>
      <c r="K123" s="928"/>
      <c r="L123" s="928"/>
      <c r="M123" s="939" t="s">
        <v>664</v>
      </c>
      <c r="N123" s="927" t="s">
        <v>925</v>
      </c>
      <c r="O123" s="928"/>
      <c r="P123" s="942">
        <v>13</v>
      </c>
      <c r="Q123" s="940">
        <v>6</v>
      </c>
      <c r="R123" s="927"/>
      <c r="S123" s="927"/>
      <c r="T123" s="940" t="str">
        <f t="shared" si="1"/>
        <v>Medium</v>
      </c>
      <c r="U123" s="928" t="s">
        <v>676</v>
      </c>
      <c r="V123" s="1053" t="s">
        <v>1020</v>
      </c>
      <c r="W123" s="1054">
        <v>14.838741736265868</v>
      </c>
      <c r="X123" s="1054">
        <v>4.7192479757147486E-2</v>
      </c>
      <c r="Y123" s="1059">
        <v>2</v>
      </c>
      <c r="Z123" s="1064" t="s">
        <v>166</v>
      </c>
      <c r="AA123" s="902"/>
      <c r="AB123" s="901">
        <v>0</v>
      </c>
      <c r="AC123"/>
    </row>
    <row r="124" spans="1:29">
      <c r="A124" s="939"/>
      <c r="B124" s="1051" t="s">
        <v>803</v>
      </c>
      <c r="C124" s="952"/>
      <c r="D124" s="940" t="s">
        <v>922</v>
      </c>
      <c r="E124" s="922">
        <v>46271</v>
      </c>
      <c r="F124" s="931">
        <v>9.4499999999999993</v>
      </c>
      <c r="G124" s="931">
        <v>20.342368</v>
      </c>
      <c r="H124" s="953">
        <v>-17.905121000000001</v>
      </c>
      <c r="I124" s="953">
        <v>2.4372471999999998</v>
      </c>
      <c r="J124" s="929">
        <v>13.496776000000001</v>
      </c>
      <c r="K124" s="928"/>
      <c r="L124" s="928"/>
      <c r="M124" s="939" t="s">
        <v>377</v>
      </c>
      <c r="N124" s="927" t="s">
        <v>674</v>
      </c>
      <c r="O124" s="928"/>
      <c r="P124" s="928">
        <v>7</v>
      </c>
      <c r="Q124" s="940">
        <v>3</v>
      </c>
      <c r="R124" s="928"/>
      <c r="S124" s="928"/>
      <c r="T124" s="940" t="str">
        <f t="shared" si="1"/>
        <v>High</v>
      </c>
      <c r="U124" s="928" t="s">
        <v>675</v>
      </c>
      <c r="V124" s="1053" t="s">
        <v>1021</v>
      </c>
      <c r="W124" s="1054">
        <v>18.308593558486216</v>
      </c>
      <c r="X124" s="1054">
        <v>9.4826650686101153E-3</v>
      </c>
      <c r="Y124" s="1059">
        <v>0</v>
      </c>
      <c r="Z124" s="1055" t="s">
        <v>162</v>
      </c>
      <c r="AA124" s="902"/>
      <c r="AB124" s="901">
        <v>0</v>
      </c>
      <c r="AC124"/>
    </row>
    <row r="125" spans="1:29">
      <c r="A125" s="939"/>
      <c r="B125" s="1051" t="s">
        <v>804</v>
      </c>
      <c r="C125" s="952"/>
      <c r="D125" s="940" t="s">
        <v>922</v>
      </c>
      <c r="E125" s="922">
        <v>46332</v>
      </c>
      <c r="F125" s="932">
        <v>11.5</v>
      </c>
      <c r="G125" s="932">
        <v>31.519262999999999</v>
      </c>
      <c r="H125" s="922">
        <v>10.616837</v>
      </c>
      <c r="I125" s="922">
        <v>42.136099999999999</v>
      </c>
      <c r="J125" s="929">
        <v>13.503697000000001</v>
      </c>
      <c r="K125" s="928"/>
      <c r="L125" s="928"/>
      <c r="M125" s="939" t="s">
        <v>377</v>
      </c>
      <c r="N125" s="927" t="s">
        <v>674</v>
      </c>
      <c r="O125" s="928"/>
      <c r="P125" s="943">
        <v>13</v>
      </c>
      <c r="Q125" s="940">
        <v>6</v>
      </c>
      <c r="R125" s="928"/>
      <c r="S125" s="928"/>
      <c r="T125" s="940" t="str">
        <f t="shared" si="1"/>
        <v>Slight</v>
      </c>
      <c r="U125" s="928" t="s">
        <v>678</v>
      </c>
      <c r="V125" s="1053" t="s">
        <v>1022</v>
      </c>
      <c r="W125" s="1054">
        <v>12.401382210537069</v>
      </c>
      <c r="X125" s="1054">
        <v>1.8944973751207718E-2</v>
      </c>
      <c r="Y125" s="1059">
        <v>0</v>
      </c>
      <c r="Z125" s="1055" t="s">
        <v>162</v>
      </c>
      <c r="AA125" s="902"/>
      <c r="AB125" s="901">
        <v>0</v>
      </c>
      <c r="AC125"/>
    </row>
    <row r="126" spans="1:29">
      <c r="A126" s="939"/>
      <c r="B126" s="1051" t="s">
        <v>805</v>
      </c>
      <c r="C126" s="952"/>
      <c r="D126" s="940" t="s">
        <v>922</v>
      </c>
      <c r="E126" s="922">
        <v>46285</v>
      </c>
      <c r="F126" s="932">
        <v>22</v>
      </c>
      <c r="G126" s="932">
        <v>21.333500000000001</v>
      </c>
      <c r="H126" s="922">
        <v>-29.733150999999999</v>
      </c>
      <c r="I126" s="922">
        <v>-8.3996507999999999</v>
      </c>
      <c r="J126" s="929">
        <v>13.4964</v>
      </c>
      <c r="K126" s="928"/>
      <c r="L126" s="928"/>
      <c r="M126" s="939" t="s">
        <v>377</v>
      </c>
      <c r="N126" s="927" t="s">
        <v>674</v>
      </c>
      <c r="O126" s="928"/>
      <c r="P126" s="928">
        <v>4</v>
      </c>
      <c r="Q126" s="940">
        <v>1</v>
      </c>
      <c r="R126" s="928"/>
      <c r="S126" s="928"/>
      <c r="T126" s="940" t="str">
        <f t="shared" si="1"/>
        <v>Medium</v>
      </c>
      <c r="U126" s="928" t="s">
        <v>676</v>
      </c>
      <c r="V126" s="1053" t="s">
        <v>1023</v>
      </c>
      <c r="W126" s="1054">
        <v>17.284577005198269</v>
      </c>
      <c r="X126" s="1054">
        <v>3.977963700290299E-3</v>
      </c>
      <c r="Y126" s="1059">
        <v>0</v>
      </c>
      <c r="Z126" s="1055" t="s">
        <v>162</v>
      </c>
      <c r="AA126" s="902"/>
      <c r="AB126" s="901">
        <v>0</v>
      </c>
      <c r="AC126"/>
    </row>
    <row r="127" spans="1:29">
      <c r="A127" s="939"/>
      <c r="B127" s="1051" t="s">
        <v>806</v>
      </c>
      <c r="C127" s="952"/>
      <c r="D127" s="940" t="s">
        <v>922</v>
      </c>
      <c r="E127" s="922">
        <v>46293</v>
      </c>
      <c r="F127" s="932">
        <v>10</v>
      </c>
      <c r="G127" s="932">
        <v>27.736568999999999</v>
      </c>
      <c r="H127" s="922">
        <v>-15.632505999999999</v>
      </c>
      <c r="I127" s="922">
        <v>12.104063</v>
      </c>
      <c r="J127" s="929">
        <v>13.523899</v>
      </c>
      <c r="K127" s="928"/>
      <c r="L127" s="928"/>
      <c r="M127" s="939" t="s">
        <v>377</v>
      </c>
      <c r="N127" s="927" t="s">
        <v>929</v>
      </c>
      <c r="O127" s="928"/>
      <c r="P127" s="928">
        <v>4</v>
      </c>
      <c r="Q127" s="940">
        <v>1</v>
      </c>
      <c r="R127" s="928"/>
      <c r="S127" s="928"/>
      <c r="T127" s="940" t="str">
        <f t="shared" si="1"/>
        <v>High</v>
      </c>
      <c r="U127" s="928" t="s">
        <v>675</v>
      </c>
      <c r="V127" s="1053" t="s">
        <v>1024</v>
      </c>
      <c r="W127" s="1054">
        <v>17.502174510478515</v>
      </c>
      <c r="X127" s="1054">
        <v>8.163748796407232E-3</v>
      </c>
      <c r="Y127" s="1059">
        <v>0</v>
      </c>
      <c r="Z127" s="1055" t="s">
        <v>162</v>
      </c>
      <c r="AA127" s="902"/>
      <c r="AB127" s="901">
        <v>0</v>
      </c>
      <c r="AC127"/>
    </row>
    <row r="128" spans="1:29" ht="15" customHeight="1">
      <c r="A128" s="939"/>
      <c r="B128" s="1051" t="s">
        <v>807</v>
      </c>
      <c r="C128" s="952"/>
      <c r="D128" s="940" t="s">
        <v>922</v>
      </c>
      <c r="E128" s="922">
        <v>46417</v>
      </c>
      <c r="F128" s="932">
        <v>21</v>
      </c>
      <c r="G128" s="932">
        <v>50.470208999999997</v>
      </c>
      <c r="H128" s="953">
        <v>-3.2295147000000002</v>
      </c>
      <c r="I128" s="953">
        <v>47.240695000000002</v>
      </c>
      <c r="J128" s="929">
        <v>18.305513999999999</v>
      </c>
      <c r="K128" s="928"/>
      <c r="L128" s="928"/>
      <c r="M128" s="939" t="s">
        <v>377</v>
      </c>
      <c r="N128" s="927" t="s">
        <v>674</v>
      </c>
      <c r="O128" s="928"/>
      <c r="P128" s="928">
        <v>7</v>
      </c>
      <c r="Q128" s="940">
        <v>3</v>
      </c>
      <c r="R128" s="928"/>
      <c r="S128" s="928"/>
      <c r="T128" s="940" t="str">
        <f t="shared" si="1"/>
        <v>High</v>
      </c>
      <c r="U128" s="928" t="s">
        <v>675</v>
      </c>
      <c r="V128" s="1053" t="s">
        <v>1025</v>
      </c>
      <c r="W128" s="1054">
        <v>16.942854733679077</v>
      </c>
      <c r="X128" s="1054">
        <v>1.607809352242498E-2</v>
      </c>
      <c r="Y128" s="1059">
        <v>0</v>
      </c>
      <c r="Z128" s="1055" t="s">
        <v>162</v>
      </c>
      <c r="AA128" s="902"/>
      <c r="AB128" s="901">
        <v>0</v>
      </c>
      <c r="AC128"/>
    </row>
    <row r="129" spans="1:32" ht="15" customHeight="1">
      <c r="A129" s="939"/>
      <c r="B129" s="1051" t="s">
        <v>808</v>
      </c>
      <c r="C129" s="952"/>
      <c r="D129" s="940" t="s">
        <v>922</v>
      </c>
      <c r="E129" s="922">
        <v>46312</v>
      </c>
      <c r="F129" s="931">
        <v>12</v>
      </c>
      <c r="G129" s="931">
        <v>18.079333999999999</v>
      </c>
      <c r="H129" s="953">
        <v>-20.01961</v>
      </c>
      <c r="I129" s="953">
        <v>-1.9402765</v>
      </c>
      <c r="J129" s="929">
        <v>13.499743</v>
      </c>
      <c r="K129" s="928"/>
      <c r="L129" s="928"/>
      <c r="M129" s="939" t="s">
        <v>664</v>
      </c>
      <c r="N129" s="927" t="s">
        <v>925</v>
      </c>
      <c r="O129" s="928"/>
      <c r="P129" s="928">
        <v>7</v>
      </c>
      <c r="Q129" s="940">
        <v>3</v>
      </c>
      <c r="R129" s="928"/>
      <c r="S129" s="928"/>
      <c r="T129" s="940" t="str">
        <f t="shared" si="1"/>
        <v>High</v>
      </c>
      <c r="U129" s="928" t="s">
        <v>675</v>
      </c>
      <c r="V129" s="1053" t="s">
        <v>1026</v>
      </c>
      <c r="W129" s="1054">
        <v>18.542818490006834</v>
      </c>
      <c r="X129" s="1054">
        <v>1.540483241259059E-2</v>
      </c>
      <c r="Y129" s="1059">
        <v>0</v>
      </c>
      <c r="Z129" s="1055" t="s">
        <v>162</v>
      </c>
      <c r="AA129" s="902"/>
      <c r="AB129" s="901">
        <v>0</v>
      </c>
      <c r="AC129"/>
    </row>
    <row r="130" spans="1:32" ht="15" customHeight="1">
      <c r="A130" s="939"/>
      <c r="B130" s="1051" t="s">
        <v>809</v>
      </c>
      <c r="C130" s="952"/>
      <c r="D130" s="940" t="s">
        <v>922</v>
      </c>
      <c r="E130" s="922">
        <v>46449</v>
      </c>
      <c r="F130" s="931">
        <v>12</v>
      </c>
      <c r="G130" s="931">
        <v>20.940736999999999</v>
      </c>
      <c r="H130" s="953">
        <v>24.443199</v>
      </c>
      <c r="I130" s="953">
        <v>45.383935999999999</v>
      </c>
      <c r="J130" s="929">
        <v>20.704191999999999</v>
      </c>
      <c r="K130" s="928"/>
      <c r="L130" s="928"/>
      <c r="M130" s="939" t="s">
        <v>377</v>
      </c>
      <c r="N130" s="927" t="s">
        <v>674</v>
      </c>
      <c r="O130" s="928"/>
      <c r="P130" s="928">
        <v>4</v>
      </c>
      <c r="Q130" s="940">
        <v>1</v>
      </c>
      <c r="R130" s="928"/>
      <c r="S130" s="928"/>
      <c r="T130" s="940" t="str">
        <f t="shared" si="1"/>
        <v>High</v>
      </c>
      <c r="U130" s="928" t="s">
        <v>675</v>
      </c>
      <c r="V130" s="1053" t="s">
        <v>1027</v>
      </c>
      <c r="W130" s="1054">
        <v>4.3394291399421734</v>
      </c>
      <c r="X130" s="1054">
        <v>1.3979080620058724E-2</v>
      </c>
      <c r="Y130" s="1059">
        <v>0</v>
      </c>
      <c r="Z130" s="1055" t="s">
        <v>162</v>
      </c>
      <c r="AA130" s="902"/>
      <c r="AB130" s="901">
        <v>0</v>
      </c>
      <c r="AC130"/>
    </row>
    <row r="131" spans="1:32">
      <c r="A131" s="939"/>
      <c r="B131" s="1051" t="s">
        <v>810</v>
      </c>
      <c r="C131" s="952"/>
      <c r="D131" s="940" t="s">
        <v>922</v>
      </c>
      <c r="E131" s="922">
        <v>46328</v>
      </c>
      <c r="F131" s="932">
        <v>8</v>
      </c>
      <c r="G131" s="932">
        <v>16.982341000000002</v>
      </c>
      <c r="H131" s="922">
        <v>-18.300802000000001</v>
      </c>
      <c r="I131" s="922">
        <v>-1.3184616</v>
      </c>
      <c r="J131" s="929">
        <v>13.495326</v>
      </c>
      <c r="K131" s="928"/>
      <c r="L131" s="928"/>
      <c r="M131" s="939" t="s">
        <v>664</v>
      </c>
      <c r="N131" s="927" t="s">
        <v>925</v>
      </c>
      <c r="O131" s="928"/>
      <c r="P131" s="928">
        <v>4</v>
      </c>
      <c r="Q131" s="940">
        <v>1</v>
      </c>
      <c r="R131" s="928"/>
      <c r="S131" s="928"/>
      <c r="T131" s="940" t="str">
        <f t="shared" si="1"/>
        <v>Slight</v>
      </c>
      <c r="U131" s="928" t="s">
        <v>678</v>
      </c>
      <c r="V131" s="1053" t="s">
        <v>1028</v>
      </c>
      <c r="W131" s="1054">
        <v>17.857655273037089</v>
      </c>
      <c r="X131" s="1054">
        <v>1.1795515915305928E-2</v>
      </c>
      <c r="Y131" s="1059">
        <v>0</v>
      </c>
      <c r="Z131" s="1055" t="s">
        <v>162</v>
      </c>
      <c r="AA131" s="902"/>
      <c r="AB131" s="901">
        <v>0</v>
      </c>
      <c r="AC131"/>
    </row>
    <row r="132" spans="1:32">
      <c r="A132" s="939"/>
      <c r="B132" s="1051" t="s">
        <v>811</v>
      </c>
      <c r="C132" s="952"/>
      <c r="D132" s="940" t="s">
        <v>922</v>
      </c>
      <c r="E132" s="922">
        <v>46565</v>
      </c>
      <c r="F132" s="932">
        <v>17.5</v>
      </c>
      <c r="G132" s="932">
        <v>21.159889</v>
      </c>
      <c r="H132" s="922">
        <v>27.701803999999999</v>
      </c>
      <c r="I132" s="922">
        <v>48.861691999999998</v>
      </c>
      <c r="J132" s="929">
        <v>25.983393</v>
      </c>
      <c r="K132" s="928"/>
      <c r="L132" s="928"/>
      <c r="M132" s="939" t="s">
        <v>377</v>
      </c>
      <c r="N132" s="927" t="s">
        <v>674</v>
      </c>
      <c r="O132" s="928"/>
      <c r="P132" s="928">
        <v>7</v>
      </c>
      <c r="Q132" s="940">
        <v>3</v>
      </c>
      <c r="R132" s="928"/>
      <c r="S132" s="928"/>
      <c r="T132" s="940" t="str">
        <f t="shared" si="1"/>
        <v>Medium</v>
      </c>
      <c r="U132" s="928" t="s">
        <v>676</v>
      </c>
      <c r="V132" s="1053" t="s">
        <v>1029</v>
      </c>
      <c r="W132" s="1054">
        <v>2.6776042147491741</v>
      </c>
      <c r="X132" s="1054">
        <v>1.0609233185204481E-2</v>
      </c>
      <c r="Y132" s="1059">
        <v>0</v>
      </c>
      <c r="Z132" s="1055" t="s">
        <v>162</v>
      </c>
      <c r="AA132" s="902"/>
      <c r="AB132" s="901">
        <v>0</v>
      </c>
      <c r="AC132"/>
    </row>
    <row r="133" spans="1:32">
      <c r="A133" s="939"/>
      <c r="B133" s="1051" t="s">
        <v>812</v>
      </c>
      <c r="C133" s="952"/>
      <c r="D133" s="940" t="s">
        <v>922</v>
      </c>
      <c r="E133" s="922">
        <v>46362</v>
      </c>
      <c r="F133" s="931">
        <v>21</v>
      </c>
      <c r="G133" s="931">
        <v>20.692384000000001</v>
      </c>
      <c r="H133" s="953">
        <v>-1.6305806</v>
      </c>
      <c r="I133" s="953">
        <v>19.061803999999999</v>
      </c>
      <c r="J133" s="929">
        <v>14.036391</v>
      </c>
      <c r="K133" s="928"/>
      <c r="L133" s="928"/>
      <c r="M133" s="939" t="s">
        <v>664</v>
      </c>
      <c r="N133" s="927" t="s">
        <v>925</v>
      </c>
      <c r="O133" s="928"/>
      <c r="P133" s="928">
        <v>7</v>
      </c>
      <c r="Q133" s="940">
        <v>3</v>
      </c>
      <c r="R133" s="928"/>
      <c r="S133" s="928"/>
      <c r="T133" s="940" t="str">
        <f t="shared" ref="T133:T179" si="2">IF(U133="Good","Slight",IF(U133="Critical","High","Medium"))</f>
        <v>Medium</v>
      </c>
      <c r="U133" s="928" t="s">
        <v>676</v>
      </c>
      <c r="V133" s="1053" t="s">
        <v>1030</v>
      </c>
      <c r="W133" s="1054">
        <v>17.838823279314457</v>
      </c>
      <c r="X133" s="1054">
        <v>9.4118234670996226E-3</v>
      </c>
      <c r="Y133" s="1059">
        <v>0</v>
      </c>
      <c r="Z133" s="1055" t="s">
        <v>162</v>
      </c>
      <c r="AA133" s="902"/>
      <c r="AB133" s="901">
        <v>0</v>
      </c>
      <c r="AC133"/>
    </row>
    <row r="134" spans="1:32">
      <c r="A134" s="939"/>
      <c r="B134" s="1051" t="s">
        <v>813</v>
      </c>
      <c r="C134" s="952"/>
      <c r="D134" s="940" t="s">
        <v>922</v>
      </c>
      <c r="E134" s="922">
        <v>46372</v>
      </c>
      <c r="F134" s="931">
        <v>9.5</v>
      </c>
      <c r="G134" s="931">
        <v>12.046419999999999</v>
      </c>
      <c r="H134" s="953">
        <v>-2.7061348999999999</v>
      </c>
      <c r="I134" s="953">
        <v>9.3402852999999997</v>
      </c>
      <c r="J134" s="929">
        <v>14.668374</v>
      </c>
      <c r="K134" s="928"/>
      <c r="L134" s="928"/>
      <c r="M134" s="939" t="s">
        <v>664</v>
      </c>
      <c r="N134" s="927" t="s">
        <v>925</v>
      </c>
      <c r="O134" s="928"/>
      <c r="P134" s="928">
        <v>4</v>
      </c>
      <c r="Q134" s="940">
        <v>1</v>
      </c>
      <c r="R134" s="928"/>
      <c r="S134" s="928"/>
      <c r="T134" s="940" t="str">
        <f t="shared" si="2"/>
        <v>High</v>
      </c>
      <c r="U134" s="928" t="s">
        <v>675</v>
      </c>
      <c r="V134" s="1053" t="s">
        <v>1031</v>
      </c>
      <c r="W134" s="1054">
        <v>17.366039815358345</v>
      </c>
      <c r="X134" s="1054">
        <v>6.2075511315760465E-3</v>
      </c>
      <c r="Y134" s="1059">
        <v>0</v>
      </c>
      <c r="Z134" s="1055" t="s">
        <v>162</v>
      </c>
      <c r="AA134" s="902"/>
      <c r="AB134" s="901">
        <v>0</v>
      </c>
      <c r="AC134"/>
    </row>
    <row r="135" spans="1:32">
      <c r="A135" s="939"/>
      <c r="B135" s="1051" t="s">
        <v>814</v>
      </c>
      <c r="C135" s="952"/>
      <c r="D135" s="940" t="s">
        <v>922</v>
      </c>
      <c r="E135" s="922">
        <v>46578</v>
      </c>
      <c r="F135" s="932">
        <v>22</v>
      </c>
      <c r="G135" s="932">
        <v>16.046240999999998</v>
      </c>
      <c r="H135" s="953">
        <v>18.095856000000001</v>
      </c>
      <c r="I135" s="953">
        <v>34.142097999999997</v>
      </c>
      <c r="J135" s="929">
        <v>26.257366999999999</v>
      </c>
      <c r="K135" s="928"/>
      <c r="L135" s="928"/>
      <c r="M135" s="939" t="s">
        <v>377</v>
      </c>
      <c r="N135" s="927" t="s">
        <v>674</v>
      </c>
      <c r="O135" s="928"/>
      <c r="P135" s="928">
        <v>7</v>
      </c>
      <c r="Q135" s="940">
        <v>3</v>
      </c>
      <c r="R135" s="928"/>
      <c r="S135" s="928"/>
      <c r="T135" s="940" t="str">
        <f t="shared" si="2"/>
        <v>High</v>
      </c>
      <c r="U135" s="928" t="s">
        <v>675</v>
      </c>
      <c r="V135" s="1053" t="s">
        <v>1032</v>
      </c>
      <c r="W135" s="1054">
        <v>6.1258945055761291</v>
      </c>
      <c r="X135" s="1054">
        <v>1.4716064682260811E-2</v>
      </c>
      <c r="Y135" s="1059">
        <v>0</v>
      </c>
      <c r="Z135" s="1055" t="s">
        <v>162</v>
      </c>
      <c r="AA135" s="902"/>
      <c r="AB135" s="901">
        <v>0</v>
      </c>
      <c r="AC135"/>
    </row>
    <row r="136" spans="1:32">
      <c r="A136" s="939"/>
      <c r="B136" s="1051" t="s">
        <v>815</v>
      </c>
      <c r="C136" s="952"/>
      <c r="D136" s="940" t="s">
        <v>922</v>
      </c>
      <c r="E136" s="922">
        <v>46394</v>
      </c>
      <c r="F136" s="932">
        <v>25</v>
      </c>
      <c r="G136" s="932">
        <v>37.249723000000003</v>
      </c>
      <c r="H136" s="953">
        <v>-17.698822</v>
      </c>
      <c r="I136" s="953">
        <v>19.550901</v>
      </c>
      <c r="J136" s="929">
        <v>16.453937</v>
      </c>
      <c r="K136" s="928"/>
      <c r="L136" s="928"/>
      <c r="M136" s="939" t="s">
        <v>664</v>
      </c>
      <c r="N136" s="927" t="s">
        <v>925</v>
      </c>
      <c r="O136" s="928"/>
      <c r="P136" s="928">
        <v>7</v>
      </c>
      <c r="Q136" s="940">
        <v>3</v>
      </c>
      <c r="R136" s="928"/>
      <c r="S136" s="928"/>
      <c r="T136" s="940" t="str">
        <f t="shared" si="2"/>
        <v>High</v>
      </c>
      <c r="U136" s="928" t="s">
        <v>675</v>
      </c>
      <c r="V136" s="1053" t="s">
        <v>1033</v>
      </c>
      <c r="W136" s="1054">
        <v>18.174364373464766</v>
      </c>
      <c r="X136" s="1054">
        <v>1.9282112326197851E-2</v>
      </c>
      <c r="Y136" s="1059">
        <v>0</v>
      </c>
      <c r="Z136" s="1055" t="s">
        <v>162</v>
      </c>
      <c r="AA136" s="902"/>
      <c r="AB136" s="901">
        <v>0</v>
      </c>
      <c r="AC136"/>
    </row>
    <row r="137" spans="1:32">
      <c r="A137" s="939"/>
      <c r="B137" s="1051" t="s">
        <v>816</v>
      </c>
      <c r="C137" s="952"/>
      <c r="D137" s="940" t="s">
        <v>922</v>
      </c>
      <c r="E137" s="922">
        <v>46610</v>
      </c>
      <c r="F137" s="932">
        <v>7</v>
      </c>
      <c r="G137" s="932">
        <v>41.257587999999998</v>
      </c>
      <c r="H137" s="922">
        <v>32.563453000000003</v>
      </c>
      <c r="I137" s="922">
        <v>73.821040999999994</v>
      </c>
      <c r="J137" s="929">
        <v>26.723327000000001</v>
      </c>
      <c r="K137" s="928"/>
      <c r="L137" s="928"/>
      <c r="M137" s="939" t="s">
        <v>377</v>
      </c>
      <c r="N137" s="927" t="s">
        <v>674</v>
      </c>
      <c r="O137" s="928"/>
      <c r="P137" s="928">
        <v>4</v>
      </c>
      <c r="Q137" s="940">
        <v>1</v>
      </c>
      <c r="R137" s="928"/>
      <c r="S137" s="928"/>
      <c r="T137" s="940" t="str">
        <f t="shared" si="2"/>
        <v>Medium</v>
      </c>
      <c r="U137" s="928" t="s">
        <v>676</v>
      </c>
      <c r="V137" s="1053" t="s">
        <v>1034</v>
      </c>
      <c r="W137" s="1054">
        <v>1.5640535047384789</v>
      </c>
      <c r="X137" s="1054">
        <v>5.9618704824540101E-3</v>
      </c>
      <c r="Y137" s="1059">
        <v>0</v>
      </c>
      <c r="Z137" s="1055" t="s">
        <v>162</v>
      </c>
      <c r="AA137" s="902"/>
      <c r="AB137" s="901">
        <v>0</v>
      </c>
      <c r="AC137"/>
    </row>
    <row r="138" spans="1:32">
      <c r="A138" s="939"/>
      <c r="B138" s="1051" t="s">
        <v>817</v>
      </c>
      <c r="C138" s="952"/>
      <c r="D138" s="940" t="s">
        <v>922</v>
      </c>
      <c r="E138" s="922">
        <v>46622</v>
      </c>
      <c r="F138" s="932">
        <v>10</v>
      </c>
      <c r="G138" s="932">
        <v>15.206413</v>
      </c>
      <c r="H138" s="922">
        <v>21.686855000000001</v>
      </c>
      <c r="I138" s="922">
        <v>36.893267999999999</v>
      </c>
      <c r="J138" s="929">
        <v>26.824545000000001</v>
      </c>
      <c r="K138" s="928"/>
      <c r="L138" s="928"/>
      <c r="M138" s="939" t="s">
        <v>377</v>
      </c>
      <c r="N138" s="927" t="s">
        <v>930</v>
      </c>
      <c r="O138" s="928"/>
      <c r="P138" s="928">
        <v>4</v>
      </c>
      <c r="Q138" s="940">
        <v>1</v>
      </c>
      <c r="R138" s="928"/>
      <c r="S138" s="928"/>
      <c r="T138" s="940" t="str">
        <f t="shared" si="2"/>
        <v>High</v>
      </c>
      <c r="U138" s="928" t="s">
        <v>675</v>
      </c>
      <c r="V138" s="1053" t="s">
        <v>1035</v>
      </c>
      <c r="W138" s="1054">
        <v>4.6275211943203924</v>
      </c>
      <c r="X138" s="1054">
        <v>1.5281522598410622E-2</v>
      </c>
      <c r="Y138" s="1059">
        <v>0</v>
      </c>
      <c r="Z138" s="1055" t="s">
        <v>162</v>
      </c>
      <c r="AA138" s="902"/>
      <c r="AB138" s="901">
        <v>0</v>
      </c>
      <c r="AC138"/>
    </row>
    <row r="139" spans="1:32" s="900" customFormat="1">
      <c r="A139" s="939"/>
      <c r="B139" s="1051" t="s">
        <v>818</v>
      </c>
      <c r="C139" s="952"/>
      <c r="D139" s="940" t="s">
        <v>922</v>
      </c>
      <c r="E139" s="922">
        <v>46638</v>
      </c>
      <c r="F139" s="931">
        <v>26</v>
      </c>
      <c r="G139" s="931">
        <v>19.230547999999999</v>
      </c>
      <c r="H139" s="953">
        <v>24.110538999999999</v>
      </c>
      <c r="I139" s="953">
        <v>43.341087000000002</v>
      </c>
      <c r="J139" s="929">
        <v>26.852841000000002</v>
      </c>
      <c r="K139" s="928"/>
      <c r="L139" s="928"/>
      <c r="M139" s="939" t="s">
        <v>377</v>
      </c>
      <c r="N139" s="927" t="s">
        <v>930</v>
      </c>
      <c r="O139" s="928"/>
      <c r="P139" s="928">
        <v>4</v>
      </c>
      <c r="Q139" s="940">
        <v>1</v>
      </c>
      <c r="R139" s="928"/>
      <c r="S139" s="928"/>
      <c r="T139" s="940" t="str">
        <f t="shared" si="2"/>
        <v>High</v>
      </c>
      <c r="U139" s="928" t="s">
        <v>675</v>
      </c>
      <c r="V139" s="1053" t="s">
        <v>1036</v>
      </c>
      <c r="W139" s="1054">
        <v>3.6784053053718408</v>
      </c>
      <c r="X139" s="1054">
        <v>1.383493332591228E-2</v>
      </c>
      <c r="Y139" s="1059">
        <v>0</v>
      </c>
      <c r="Z139" s="1055" t="s">
        <v>162</v>
      </c>
      <c r="AA139" s="902"/>
      <c r="AB139" s="901">
        <v>0</v>
      </c>
      <c r="AC139"/>
      <c r="AF139" s="987"/>
    </row>
    <row r="140" spans="1:32" ht="15" customHeight="1">
      <c r="A140" s="939"/>
      <c r="B140" s="1051" t="s">
        <v>819</v>
      </c>
      <c r="C140" s="952"/>
      <c r="D140" s="940" t="s">
        <v>922</v>
      </c>
      <c r="E140" s="922">
        <v>46681</v>
      </c>
      <c r="F140" s="931">
        <v>6</v>
      </c>
      <c r="G140" s="931">
        <v>13.790789999999999</v>
      </c>
      <c r="H140" s="953">
        <v>32.511977999999999</v>
      </c>
      <c r="I140" s="953">
        <v>46.302768</v>
      </c>
      <c r="J140" s="929">
        <v>26.383392000000001</v>
      </c>
      <c r="K140" s="928"/>
      <c r="L140" s="928"/>
      <c r="M140" s="939" t="s">
        <v>377</v>
      </c>
      <c r="N140" s="927" t="s">
        <v>928</v>
      </c>
      <c r="O140" s="928"/>
      <c r="P140" s="928">
        <v>7</v>
      </c>
      <c r="Q140" s="940">
        <v>3</v>
      </c>
      <c r="R140" s="928"/>
      <c r="S140" s="928"/>
      <c r="T140" s="940" t="str">
        <f t="shared" si="2"/>
        <v>Medium</v>
      </c>
      <c r="U140" s="928" t="s">
        <v>676</v>
      </c>
      <c r="V140" s="1053" t="s">
        <v>1037</v>
      </c>
      <c r="W140" s="1054">
        <v>1.0418374822397498</v>
      </c>
      <c r="X140" s="1054">
        <v>7.3662283168357077E-3</v>
      </c>
      <c r="Y140" s="1059">
        <v>0</v>
      </c>
      <c r="Z140" s="1055" t="s">
        <v>162</v>
      </c>
      <c r="AA140" s="902"/>
      <c r="AB140" s="901">
        <v>0</v>
      </c>
      <c r="AC140"/>
    </row>
    <row r="141" spans="1:32" ht="15" customHeight="1">
      <c r="A141" s="939"/>
      <c r="B141" s="1051" t="s">
        <v>820</v>
      </c>
      <c r="C141" s="952"/>
      <c r="D141" s="940" t="s">
        <v>922</v>
      </c>
      <c r="E141" s="922">
        <v>46550</v>
      </c>
      <c r="F141" s="931">
        <v>6.5</v>
      </c>
      <c r="G141" s="932">
        <v>4.6311299999999997</v>
      </c>
      <c r="H141" s="953">
        <v>7.2040569000000003</v>
      </c>
      <c r="I141" s="953">
        <v>11.835186999999999</v>
      </c>
      <c r="J141" s="929">
        <v>25.521833000000001</v>
      </c>
      <c r="K141" s="928"/>
      <c r="L141" s="928"/>
      <c r="M141" s="939" t="s">
        <v>377</v>
      </c>
      <c r="N141" s="927" t="s">
        <v>674</v>
      </c>
      <c r="O141" s="928"/>
      <c r="P141" s="928">
        <v>4</v>
      </c>
      <c r="Q141" s="940">
        <v>1</v>
      </c>
      <c r="R141" s="928"/>
      <c r="S141" s="928"/>
      <c r="T141" s="940" t="str">
        <f t="shared" si="2"/>
        <v>Medium</v>
      </c>
      <c r="U141" s="928" t="s">
        <v>676</v>
      </c>
      <c r="V141" s="1053" t="s">
        <v>931</v>
      </c>
      <c r="W141" s="1054"/>
      <c r="X141" s="1054"/>
      <c r="Y141" s="1059"/>
      <c r="Z141" s="1057"/>
      <c r="AA141" s="902"/>
      <c r="AB141" s="901">
        <v>3</v>
      </c>
      <c r="AC141"/>
    </row>
    <row r="142" spans="1:32" s="900" customFormat="1">
      <c r="A142" s="939"/>
      <c r="B142" s="1051" t="s">
        <v>821</v>
      </c>
      <c r="C142" s="952"/>
      <c r="D142" s="940" t="s">
        <v>922</v>
      </c>
      <c r="E142" s="922">
        <v>46687</v>
      </c>
      <c r="F142" s="931">
        <v>6</v>
      </c>
      <c r="G142" s="932">
        <v>6.1204052000000004</v>
      </c>
      <c r="H142" s="953">
        <v>35.601228999999996</v>
      </c>
      <c r="I142" s="953">
        <v>41.721634999999999</v>
      </c>
      <c r="J142" s="929">
        <v>26.252514000000001</v>
      </c>
      <c r="K142" s="928"/>
      <c r="L142" s="928"/>
      <c r="M142" s="939" t="s">
        <v>377</v>
      </c>
      <c r="N142" s="927" t="s">
        <v>674</v>
      </c>
      <c r="O142" s="928"/>
      <c r="P142" s="928">
        <v>7</v>
      </c>
      <c r="Q142" s="940">
        <v>3</v>
      </c>
      <c r="R142" s="928"/>
      <c r="S142" s="928"/>
      <c r="T142" s="940" t="str">
        <f t="shared" si="2"/>
        <v>Medium</v>
      </c>
      <c r="U142" s="928" t="s">
        <v>676</v>
      </c>
      <c r="V142" s="1053" t="s">
        <v>1038</v>
      </c>
      <c r="W142" s="1054">
        <v>0.63111259844036782</v>
      </c>
      <c r="X142" s="1054">
        <v>7.0662751553807277E-3</v>
      </c>
      <c r="Y142" s="1059">
        <v>0</v>
      </c>
      <c r="Z142" s="1055" t="s">
        <v>162</v>
      </c>
      <c r="AA142" s="902"/>
      <c r="AB142" s="901">
        <v>0</v>
      </c>
      <c r="AC142"/>
      <c r="AF142" s="987"/>
    </row>
    <row r="143" spans="1:32">
      <c r="A143" s="939"/>
      <c r="B143" s="1051" t="s">
        <v>822</v>
      </c>
      <c r="C143" s="952"/>
      <c r="D143" s="940" t="s">
        <v>922</v>
      </c>
      <c r="E143" s="922">
        <v>46560</v>
      </c>
      <c r="F143" s="932">
        <v>7.5</v>
      </c>
      <c r="G143" s="932">
        <v>15.311175</v>
      </c>
      <c r="H143" s="922">
        <v>-1.6041525000000001</v>
      </c>
      <c r="I143" s="922">
        <v>13.707022</v>
      </c>
      <c r="J143" s="929">
        <v>25.816039</v>
      </c>
      <c r="K143" s="928"/>
      <c r="L143" s="928"/>
      <c r="M143" s="939" t="s">
        <v>377</v>
      </c>
      <c r="N143" s="927" t="s">
        <v>674</v>
      </c>
      <c r="O143" s="928"/>
      <c r="P143" s="928">
        <v>4</v>
      </c>
      <c r="Q143" s="940">
        <v>1</v>
      </c>
      <c r="R143" s="928"/>
      <c r="S143" s="928"/>
      <c r="T143" s="940" t="str">
        <f t="shared" si="2"/>
        <v>Medium</v>
      </c>
      <c r="U143" s="928" t="s">
        <v>676</v>
      </c>
      <c r="V143" s="1053" t="s">
        <v>1039</v>
      </c>
      <c r="W143" s="1054">
        <v>13.934732446192088</v>
      </c>
      <c r="X143" s="1054">
        <v>1.6016633745131556E-3</v>
      </c>
      <c r="Y143" s="1059">
        <v>0</v>
      </c>
      <c r="Z143" s="1055" t="s">
        <v>162</v>
      </c>
      <c r="AA143" s="902"/>
      <c r="AB143" s="901">
        <v>0</v>
      </c>
      <c r="AC143"/>
    </row>
    <row r="144" spans="1:32" ht="15" customHeight="1">
      <c r="A144" s="939"/>
      <c r="B144" s="1051" t="s">
        <v>823</v>
      </c>
      <c r="C144" s="952"/>
      <c r="D144" s="940" t="s">
        <v>922</v>
      </c>
      <c r="E144" s="922">
        <v>46696</v>
      </c>
      <c r="F144" s="932">
        <v>6</v>
      </c>
      <c r="G144" s="931">
        <v>7.0775841000000002</v>
      </c>
      <c r="H144" s="953">
        <v>34.701884999999997</v>
      </c>
      <c r="I144" s="953">
        <v>41.779468999999999</v>
      </c>
      <c r="J144" s="929">
        <v>26.070519999999998</v>
      </c>
      <c r="K144" s="928"/>
      <c r="L144" s="928"/>
      <c r="M144" s="939" t="s">
        <v>377</v>
      </c>
      <c r="N144" s="927" t="s">
        <v>674</v>
      </c>
      <c r="O144" s="928"/>
      <c r="P144" s="928">
        <v>7</v>
      </c>
      <c r="Q144" s="940">
        <v>3</v>
      </c>
      <c r="R144" s="928"/>
      <c r="S144" s="928"/>
      <c r="T144" s="940" t="str">
        <f t="shared" si="2"/>
        <v>Medium</v>
      </c>
      <c r="U144" s="928" t="s">
        <v>676</v>
      </c>
      <c r="V144" s="1053" t="s">
        <v>1040</v>
      </c>
      <c r="W144" s="1054">
        <v>0.71063877885356508</v>
      </c>
      <c r="X144" s="1054">
        <v>7.3918354566803283E-3</v>
      </c>
      <c r="Y144" s="1059">
        <v>0</v>
      </c>
      <c r="Z144" s="1055" t="s">
        <v>162</v>
      </c>
      <c r="AA144" s="902"/>
      <c r="AB144" s="901">
        <v>0</v>
      </c>
      <c r="AC144"/>
    </row>
    <row r="145" spans="1:29" ht="15" customHeight="1">
      <c r="A145" s="939"/>
      <c r="B145" s="1051" t="s">
        <v>824</v>
      </c>
      <c r="C145" s="952"/>
      <c r="D145" s="940" t="s">
        <v>922</v>
      </c>
      <c r="E145" s="922">
        <v>46699</v>
      </c>
      <c r="F145" s="932">
        <v>9.5</v>
      </c>
      <c r="G145" s="932">
        <v>10.268371</v>
      </c>
      <c r="H145" s="953">
        <v>33.316198</v>
      </c>
      <c r="I145" s="953">
        <v>43.584569000000002</v>
      </c>
      <c r="J145" s="929">
        <v>25.982353</v>
      </c>
      <c r="K145" s="928"/>
      <c r="L145" s="928"/>
      <c r="M145" s="939" t="s">
        <v>377</v>
      </c>
      <c r="N145" s="927" t="s">
        <v>674</v>
      </c>
      <c r="O145" s="928"/>
      <c r="P145" s="928">
        <v>7</v>
      </c>
      <c r="Q145" s="940">
        <v>3</v>
      </c>
      <c r="R145" s="928"/>
      <c r="S145" s="928"/>
      <c r="T145" s="940" t="str">
        <f t="shared" si="2"/>
        <v>Medium</v>
      </c>
      <c r="U145" s="928" t="s">
        <v>676</v>
      </c>
      <c r="V145" s="1053" t="s">
        <v>1041</v>
      </c>
      <c r="W145" s="1054">
        <v>0.8958977210482354</v>
      </c>
      <c r="X145" s="1054">
        <v>7.5880758476605265E-3</v>
      </c>
      <c r="Y145" s="1059">
        <v>0</v>
      </c>
      <c r="Z145" s="1055" t="s">
        <v>162</v>
      </c>
      <c r="AA145" s="902"/>
      <c r="AB145" s="901">
        <v>0</v>
      </c>
      <c r="AC145"/>
    </row>
    <row r="146" spans="1:29" ht="15" customHeight="1">
      <c r="A146" s="939"/>
      <c r="B146" s="1051" t="s">
        <v>825</v>
      </c>
      <c r="C146" s="952"/>
      <c r="D146" s="940" t="s">
        <v>922</v>
      </c>
      <c r="E146" s="922">
        <v>46589</v>
      </c>
      <c r="F146" s="932">
        <v>25</v>
      </c>
      <c r="G146" s="932">
        <v>26.094225999999999</v>
      </c>
      <c r="H146" s="953">
        <v>2.9356353999999998</v>
      </c>
      <c r="I146" s="953">
        <v>29.029862000000001</v>
      </c>
      <c r="J146" s="929">
        <v>26.470903</v>
      </c>
      <c r="K146" s="928"/>
      <c r="L146" s="928"/>
      <c r="M146" s="939" t="s">
        <v>377</v>
      </c>
      <c r="N146" s="927" t="s">
        <v>674</v>
      </c>
      <c r="O146" s="928"/>
      <c r="P146" s="928">
        <v>7</v>
      </c>
      <c r="Q146" s="940">
        <v>3</v>
      </c>
      <c r="R146" s="928"/>
      <c r="S146" s="928"/>
      <c r="T146" s="940" t="str">
        <f t="shared" si="2"/>
        <v>High</v>
      </c>
      <c r="U146" s="928" t="s">
        <v>675</v>
      </c>
      <c r="V146" s="1053" t="s">
        <v>1042</v>
      </c>
      <c r="W146" s="1054">
        <v>12.874397051465383</v>
      </c>
      <c r="X146" s="1054">
        <v>1.1970031358662786E-2</v>
      </c>
      <c r="Y146" s="1059">
        <v>0</v>
      </c>
      <c r="Z146" s="1055" t="s">
        <v>162</v>
      </c>
      <c r="AA146" s="902"/>
      <c r="AB146" s="901">
        <v>0</v>
      </c>
      <c r="AC146"/>
    </row>
    <row r="147" spans="1:29" ht="15" customHeight="1">
      <c r="A147" s="939"/>
      <c r="B147" s="1051" t="s">
        <v>826</v>
      </c>
      <c r="C147" s="952"/>
      <c r="D147" s="940" t="s">
        <v>922</v>
      </c>
      <c r="E147" s="922">
        <v>47560</v>
      </c>
      <c r="F147" s="931">
        <v>3.8</v>
      </c>
      <c r="G147" s="932">
        <v>4.0531886999999998</v>
      </c>
      <c r="H147" s="953">
        <v>21.270705</v>
      </c>
      <c r="I147" s="953">
        <v>25.323893000000002</v>
      </c>
      <c r="J147" s="929">
        <v>13.519746</v>
      </c>
      <c r="K147" s="928"/>
      <c r="L147" s="928"/>
      <c r="M147" s="939" t="s">
        <v>377</v>
      </c>
      <c r="N147" s="927" t="s">
        <v>674</v>
      </c>
      <c r="O147" s="928"/>
      <c r="P147" s="928">
        <v>7</v>
      </c>
      <c r="Q147" s="940">
        <v>3</v>
      </c>
      <c r="R147" s="928"/>
      <c r="S147" s="928"/>
      <c r="T147" s="940" t="str">
        <f t="shared" si="2"/>
        <v>Medium</v>
      </c>
      <c r="U147" s="928" t="s">
        <v>676</v>
      </c>
      <c r="V147" s="1053" t="s">
        <v>931</v>
      </c>
      <c r="W147" s="1054"/>
      <c r="X147" s="1054"/>
      <c r="Y147" s="1059"/>
      <c r="Z147" s="1057"/>
      <c r="AA147" s="902"/>
      <c r="AB147" s="901">
        <v>3</v>
      </c>
      <c r="AC147"/>
    </row>
    <row r="148" spans="1:29">
      <c r="A148" s="939"/>
      <c r="B148" s="1051" t="s">
        <v>827</v>
      </c>
      <c r="C148" s="952"/>
      <c r="D148" s="940" t="s">
        <v>922</v>
      </c>
      <c r="E148" s="922">
        <v>46638</v>
      </c>
      <c r="F148" s="932">
        <v>19.5</v>
      </c>
      <c r="G148" s="932">
        <v>59.261437000000001</v>
      </c>
      <c r="H148" s="953">
        <v>-42.546007000000003</v>
      </c>
      <c r="I148" s="953">
        <v>16.715430000000001</v>
      </c>
      <c r="J148" s="929">
        <v>26.818823999999999</v>
      </c>
      <c r="K148" s="928"/>
      <c r="L148" s="928"/>
      <c r="M148" s="939" t="s">
        <v>377</v>
      </c>
      <c r="N148" s="927" t="s">
        <v>674</v>
      </c>
      <c r="O148" s="928"/>
      <c r="P148" s="928">
        <v>4</v>
      </c>
      <c r="Q148" s="940">
        <v>1</v>
      </c>
      <c r="R148" s="928"/>
      <c r="S148" s="928"/>
      <c r="T148" s="940" t="str">
        <f t="shared" si="2"/>
        <v>Medium</v>
      </c>
      <c r="U148" s="928" t="s">
        <v>676</v>
      </c>
      <c r="V148" s="1053" t="s">
        <v>1043</v>
      </c>
      <c r="W148" s="1054">
        <v>15.484237562590923</v>
      </c>
      <c r="X148" s="1054">
        <v>6.4966478947142249E-3</v>
      </c>
      <c r="Y148" s="1059">
        <v>0</v>
      </c>
      <c r="Z148" s="1055" t="s">
        <v>162</v>
      </c>
      <c r="AA148" s="902"/>
      <c r="AB148" s="901">
        <v>0</v>
      </c>
      <c r="AC148"/>
    </row>
    <row r="149" spans="1:29">
      <c r="A149" s="939"/>
      <c r="B149" s="1051" t="s">
        <v>828</v>
      </c>
      <c r="C149" s="952"/>
      <c r="D149" s="940" t="s">
        <v>922</v>
      </c>
      <c r="E149" s="922">
        <v>46704</v>
      </c>
      <c r="F149" s="932">
        <v>11.5</v>
      </c>
      <c r="G149" s="932">
        <v>11.414236000000001</v>
      </c>
      <c r="H149" s="922">
        <v>13.050390999999999</v>
      </c>
      <c r="I149" s="922">
        <v>24.464627</v>
      </c>
      <c r="J149" s="929">
        <v>25.889723</v>
      </c>
      <c r="K149" s="928"/>
      <c r="L149" s="928"/>
      <c r="M149" s="939" t="s">
        <v>377</v>
      </c>
      <c r="N149" s="927" t="s">
        <v>929</v>
      </c>
      <c r="O149" s="928"/>
      <c r="P149" s="928">
        <v>4</v>
      </c>
      <c r="Q149" s="940">
        <v>1</v>
      </c>
      <c r="R149" s="928"/>
      <c r="S149" s="928"/>
      <c r="T149" s="940" t="str">
        <f t="shared" si="2"/>
        <v>High</v>
      </c>
      <c r="U149" s="928" t="s">
        <v>675</v>
      </c>
      <c r="V149" s="1053" t="s">
        <v>1044</v>
      </c>
      <c r="W149" s="1054">
        <v>8.485470425547625</v>
      </c>
      <c r="X149" s="1054">
        <v>1.1270368475847198E-2</v>
      </c>
      <c r="Y149" s="1059">
        <v>0</v>
      </c>
      <c r="Z149" s="1055" t="s">
        <v>162</v>
      </c>
      <c r="AA149" s="902"/>
      <c r="AB149" s="901">
        <v>0</v>
      </c>
      <c r="AC149"/>
    </row>
    <row r="150" spans="1:29" ht="15" customHeight="1">
      <c r="A150" s="939"/>
      <c r="B150" s="1051" t="s">
        <v>829</v>
      </c>
      <c r="C150" s="952"/>
      <c r="D150" s="940" t="s">
        <v>922</v>
      </c>
      <c r="E150" s="922">
        <v>35092</v>
      </c>
      <c r="F150" s="932">
        <v>12</v>
      </c>
      <c r="G150" s="932">
        <v>11.111587999999999</v>
      </c>
      <c r="H150" s="922">
        <v>45.696981999999998</v>
      </c>
      <c r="I150" s="922">
        <v>56.808570000000003</v>
      </c>
      <c r="J150" s="929">
        <v>13.501402000000001</v>
      </c>
      <c r="K150" s="928"/>
      <c r="L150" s="928"/>
      <c r="M150" s="939" t="s">
        <v>377</v>
      </c>
      <c r="N150" s="927" t="s">
        <v>674</v>
      </c>
      <c r="O150" s="928"/>
      <c r="P150" s="928">
        <v>7</v>
      </c>
      <c r="Q150" s="940">
        <v>3</v>
      </c>
      <c r="R150" s="928"/>
      <c r="S150" s="928"/>
      <c r="T150" s="940" t="str">
        <f t="shared" si="2"/>
        <v>Slight</v>
      </c>
      <c r="U150" s="928" t="s">
        <v>678</v>
      </c>
      <c r="V150" s="1053" t="s">
        <v>931</v>
      </c>
      <c r="W150" s="1054"/>
      <c r="X150" s="1054"/>
      <c r="Y150" s="1059"/>
      <c r="Z150" s="1057"/>
      <c r="AA150" s="902"/>
      <c r="AB150" s="901">
        <v>3</v>
      </c>
      <c r="AC150"/>
    </row>
    <row r="151" spans="1:29">
      <c r="A151" s="939"/>
      <c r="B151" s="1051" t="s">
        <v>830</v>
      </c>
      <c r="C151" s="952"/>
      <c r="D151" s="940" t="s">
        <v>922</v>
      </c>
      <c r="E151" s="922">
        <v>35115</v>
      </c>
      <c r="F151" s="932">
        <v>27</v>
      </c>
      <c r="G151" s="932">
        <v>15.372450000000001</v>
      </c>
      <c r="H151" s="922">
        <v>37.416502000000001</v>
      </c>
      <c r="I151" s="922">
        <v>52.788952000000002</v>
      </c>
      <c r="J151" s="929">
        <v>13.501091000000001</v>
      </c>
      <c r="K151" s="928"/>
      <c r="L151" s="928"/>
      <c r="M151" s="939" t="s">
        <v>377</v>
      </c>
      <c r="N151" s="927" t="s">
        <v>674</v>
      </c>
      <c r="O151" s="928"/>
      <c r="P151" s="928">
        <v>7</v>
      </c>
      <c r="Q151" s="940">
        <v>3</v>
      </c>
      <c r="R151" s="928"/>
      <c r="S151" s="928"/>
      <c r="T151" s="940" t="str">
        <f t="shared" si="2"/>
        <v>Slight</v>
      </c>
      <c r="U151" s="928" t="s">
        <v>678</v>
      </c>
      <c r="V151" s="1053" t="s">
        <v>931</v>
      </c>
      <c r="W151" s="1054"/>
      <c r="X151" s="1054"/>
      <c r="Y151" s="1059"/>
      <c r="Z151" s="1057"/>
      <c r="AA151" s="902"/>
      <c r="AB151" s="901">
        <v>3</v>
      </c>
      <c r="AC151"/>
    </row>
    <row r="152" spans="1:29" ht="15" customHeight="1">
      <c r="A152" s="939"/>
      <c r="B152" s="1051" t="s">
        <v>831</v>
      </c>
      <c r="C152" s="952"/>
      <c r="D152" s="940" t="s">
        <v>922</v>
      </c>
      <c r="E152" s="922">
        <v>35161</v>
      </c>
      <c r="F152" s="931">
        <v>8</v>
      </c>
      <c r="G152" s="931">
        <v>15.884040000000001</v>
      </c>
      <c r="H152" s="953">
        <v>39.337159999999997</v>
      </c>
      <c r="I152" s="953">
        <v>55.221200000000003</v>
      </c>
      <c r="J152" s="929">
        <v>13.501091000000001</v>
      </c>
      <c r="K152" s="928"/>
      <c r="L152" s="928"/>
      <c r="M152" s="939" t="s">
        <v>377</v>
      </c>
      <c r="N152" s="927" t="s">
        <v>674</v>
      </c>
      <c r="O152" s="928"/>
      <c r="P152" s="928">
        <v>7</v>
      </c>
      <c r="Q152" s="940">
        <v>3</v>
      </c>
      <c r="R152" s="928"/>
      <c r="S152" s="928"/>
      <c r="T152" s="940" t="str">
        <f t="shared" si="2"/>
        <v>Slight</v>
      </c>
      <c r="U152" s="928" t="s">
        <v>678</v>
      </c>
      <c r="V152" s="1053" t="s">
        <v>931</v>
      </c>
      <c r="W152" s="1054"/>
      <c r="X152" s="1054"/>
      <c r="Y152" s="1059"/>
      <c r="Z152" s="1057"/>
      <c r="AA152" s="902"/>
      <c r="AB152" s="901">
        <v>3</v>
      </c>
      <c r="AC152"/>
    </row>
    <row r="153" spans="1:29" ht="15" customHeight="1">
      <c r="A153" s="939"/>
      <c r="B153" s="1051" t="s">
        <v>832</v>
      </c>
      <c r="C153" s="952"/>
      <c r="D153" s="940" t="s">
        <v>922</v>
      </c>
      <c r="E153" s="922">
        <v>35177</v>
      </c>
      <c r="F153" s="932">
        <v>13</v>
      </c>
      <c r="G153" s="932">
        <v>18.040206999999999</v>
      </c>
      <c r="H153" s="953">
        <v>37.117069999999998</v>
      </c>
      <c r="I153" s="953">
        <v>55.157277000000001</v>
      </c>
      <c r="J153" s="929">
        <v>13.501091000000001</v>
      </c>
      <c r="K153" s="928"/>
      <c r="L153" s="928"/>
      <c r="M153" s="939" t="s">
        <v>377</v>
      </c>
      <c r="N153" s="927" t="s">
        <v>674</v>
      </c>
      <c r="O153" s="928"/>
      <c r="P153" s="943">
        <v>7</v>
      </c>
      <c r="Q153" s="940">
        <v>3</v>
      </c>
      <c r="R153" s="928"/>
      <c r="S153" s="928"/>
      <c r="T153" s="940" t="str">
        <f t="shared" si="2"/>
        <v>Slight</v>
      </c>
      <c r="U153" s="928" t="s">
        <v>678</v>
      </c>
      <c r="V153" s="1053" t="s">
        <v>931</v>
      </c>
      <c r="W153" s="1054"/>
      <c r="X153" s="1054"/>
      <c r="Y153" s="1059"/>
      <c r="Z153" s="1057"/>
      <c r="AA153" s="902"/>
      <c r="AB153" s="901">
        <v>3</v>
      </c>
      <c r="AC153"/>
    </row>
    <row r="154" spans="1:29" ht="15" customHeight="1">
      <c r="A154" s="939"/>
      <c r="B154" s="1051" t="s">
        <v>833</v>
      </c>
      <c r="C154" s="952"/>
      <c r="D154" s="940" t="s">
        <v>922</v>
      </c>
      <c r="E154" s="922">
        <v>35204</v>
      </c>
      <c r="F154" s="934">
        <v>19</v>
      </c>
      <c r="G154" s="934">
        <v>13.985597</v>
      </c>
      <c r="H154" s="953">
        <v>34.481709000000002</v>
      </c>
      <c r="I154" s="953">
        <v>48.467306999999998</v>
      </c>
      <c r="J154" s="929">
        <v>13.501588999999999</v>
      </c>
      <c r="K154" s="935"/>
      <c r="L154" s="935"/>
      <c r="M154" s="939" t="s">
        <v>377</v>
      </c>
      <c r="N154" s="927" t="s">
        <v>674</v>
      </c>
      <c r="O154" s="935"/>
      <c r="P154" s="933">
        <v>7</v>
      </c>
      <c r="Q154" s="940">
        <v>3</v>
      </c>
      <c r="R154" s="933"/>
      <c r="S154" s="933"/>
      <c r="T154" s="940" t="str">
        <f t="shared" si="2"/>
        <v>Slight</v>
      </c>
      <c r="U154" s="935" t="s">
        <v>678</v>
      </c>
      <c r="V154" s="1053" t="s">
        <v>931</v>
      </c>
      <c r="W154" s="1054"/>
      <c r="X154" s="1054"/>
      <c r="Y154" s="1059"/>
      <c r="Z154" s="1057"/>
      <c r="AA154" s="902"/>
      <c r="AB154" s="901">
        <v>3</v>
      </c>
      <c r="AC154"/>
    </row>
    <row r="155" spans="1:29" ht="15" customHeight="1">
      <c r="A155" s="939"/>
      <c r="B155" s="1051" t="s">
        <v>834</v>
      </c>
      <c r="C155" s="952"/>
      <c r="D155" s="940" t="s">
        <v>922</v>
      </c>
      <c r="E155" s="922">
        <v>35032</v>
      </c>
      <c r="F155" s="934">
        <v>27</v>
      </c>
      <c r="G155" s="934">
        <v>24.611401000000001</v>
      </c>
      <c r="H155" s="953">
        <v>-51.985213999999999</v>
      </c>
      <c r="I155" s="953">
        <v>-27.373812000000001</v>
      </c>
      <c r="J155" s="929">
        <v>13.514768999999999</v>
      </c>
      <c r="K155" s="935"/>
      <c r="L155" s="935"/>
      <c r="M155" s="939" t="s">
        <v>377</v>
      </c>
      <c r="N155" s="927" t="s">
        <v>674</v>
      </c>
      <c r="O155" s="935"/>
      <c r="P155" s="945">
        <v>31</v>
      </c>
      <c r="Q155" s="940">
        <v>9</v>
      </c>
      <c r="R155" s="933"/>
      <c r="S155" s="933"/>
      <c r="T155" s="940" t="str">
        <f t="shared" si="2"/>
        <v>Slight</v>
      </c>
      <c r="U155" s="935" t="s">
        <v>678</v>
      </c>
      <c r="V155" s="1053" t="s">
        <v>1045</v>
      </c>
      <c r="W155" s="1054">
        <v>5.0734474362720796</v>
      </c>
      <c r="X155" s="1054">
        <v>2.4892181852554578E-2</v>
      </c>
      <c r="Y155" s="1059">
        <v>0</v>
      </c>
      <c r="Z155" s="1055" t="s">
        <v>162</v>
      </c>
      <c r="AA155" s="902"/>
      <c r="AB155" s="901">
        <v>0</v>
      </c>
      <c r="AC155"/>
    </row>
    <row r="156" spans="1:29">
      <c r="A156" s="939"/>
      <c r="B156" s="1051" t="s">
        <v>835</v>
      </c>
      <c r="C156" s="952"/>
      <c r="D156" s="940" t="s">
        <v>922</v>
      </c>
      <c r="E156" s="956">
        <v>35087</v>
      </c>
      <c r="F156" s="934">
        <v>17</v>
      </c>
      <c r="G156" s="934">
        <v>35.418252000000003</v>
      </c>
      <c r="H156" s="956">
        <v>-58.302177999999998</v>
      </c>
      <c r="I156" s="956">
        <v>-22.883925999999999</v>
      </c>
      <c r="J156" s="929">
        <v>13.501588</v>
      </c>
      <c r="K156" s="935"/>
      <c r="L156" s="935"/>
      <c r="M156" s="939" t="s">
        <v>377</v>
      </c>
      <c r="N156" s="927" t="s">
        <v>674</v>
      </c>
      <c r="O156" s="935"/>
      <c r="P156" s="933">
        <v>10</v>
      </c>
      <c r="Q156" s="940">
        <v>3</v>
      </c>
      <c r="R156" s="933"/>
      <c r="S156" s="933"/>
      <c r="T156" s="940" t="str">
        <f t="shared" si="2"/>
        <v>Slight</v>
      </c>
      <c r="U156" s="935" t="s">
        <v>678</v>
      </c>
      <c r="V156" s="1053" t="s">
        <v>1046</v>
      </c>
      <c r="W156" s="1054">
        <v>12.838873379695974</v>
      </c>
      <c r="X156" s="1054">
        <v>3.0914773421821751E-2</v>
      </c>
      <c r="Y156" s="1059">
        <v>0</v>
      </c>
      <c r="Z156" s="1055" t="s">
        <v>162</v>
      </c>
      <c r="AA156" s="902"/>
      <c r="AB156" s="901">
        <v>0</v>
      </c>
      <c r="AC156"/>
    </row>
    <row r="157" spans="1:29">
      <c r="A157" s="939"/>
      <c r="B157" s="1051" t="s">
        <v>836</v>
      </c>
      <c r="C157" s="952"/>
      <c r="D157" s="940" t="s">
        <v>922</v>
      </c>
      <c r="E157" s="956">
        <v>34504</v>
      </c>
      <c r="F157" s="934">
        <v>15.5</v>
      </c>
      <c r="G157" s="934">
        <v>18.010434</v>
      </c>
      <c r="H157" s="956">
        <v>57.829357999999999</v>
      </c>
      <c r="I157" s="956">
        <v>75.839792000000003</v>
      </c>
      <c r="J157" s="929">
        <v>13.503995</v>
      </c>
      <c r="K157" s="935"/>
      <c r="L157" s="935"/>
      <c r="M157" s="939" t="s">
        <v>377</v>
      </c>
      <c r="N157" s="927" t="s">
        <v>674</v>
      </c>
      <c r="O157" s="935"/>
      <c r="P157" s="933">
        <v>7</v>
      </c>
      <c r="Q157" s="940">
        <v>3</v>
      </c>
      <c r="R157" s="933"/>
      <c r="S157" s="933"/>
      <c r="T157" s="940" t="str">
        <f t="shared" si="2"/>
        <v>Slight</v>
      </c>
      <c r="U157" s="935" t="s">
        <v>678</v>
      </c>
      <c r="V157" s="1053" t="s">
        <v>931</v>
      </c>
      <c r="W157" s="1054"/>
      <c r="X157" s="1054"/>
      <c r="Y157" s="1059"/>
      <c r="Z157" s="1057"/>
      <c r="AA157" s="902"/>
      <c r="AB157" s="901">
        <v>3</v>
      </c>
      <c r="AC157"/>
    </row>
    <row r="158" spans="1:29">
      <c r="A158" s="939"/>
      <c r="B158" s="1051" t="s">
        <v>837</v>
      </c>
      <c r="C158" s="952"/>
      <c r="D158" s="940" t="s">
        <v>922</v>
      </c>
      <c r="E158" s="956">
        <v>34525</v>
      </c>
      <c r="F158" s="934">
        <v>17</v>
      </c>
      <c r="G158" s="934">
        <v>17.857793999999998</v>
      </c>
      <c r="H158" s="956">
        <v>47.976765999999998</v>
      </c>
      <c r="I158" s="956">
        <v>65.834560999999994</v>
      </c>
      <c r="J158" s="929">
        <v>13.500807</v>
      </c>
      <c r="K158" s="935"/>
      <c r="L158" s="935"/>
      <c r="M158" s="939" t="s">
        <v>377</v>
      </c>
      <c r="N158" s="927" t="s">
        <v>674</v>
      </c>
      <c r="O158" s="935"/>
      <c r="P158" s="933">
        <v>7</v>
      </c>
      <c r="Q158" s="940">
        <v>3</v>
      </c>
      <c r="R158" s="933"/>
      <c r="S158" s="933"/>
      <c r="T158" s="940" t="str">
        <f t="shared" si="2"/>
        <v>Slight</v>
      </c>
      <c r="U158" s="935" t="s">
        <v>678</v>
      </c>
      <c r="V158" s="1053" t="s">
        <v>931</v>
      </c>
      <c r="W158" s="1054"/>
      <c r="X158" s="1054"/>
      <c r="Y158" s="1059"/>
      <c r="Z158" s="1057"/>
      <c r="AA158" s="902"/>
      <c r="AB158" s="901">
        <v>3</v>
      </c>
      <c r="AC158"/>
    </row>
    <row r="159" spans="1:29">
      <c r="A159" s="939"/>
      <c r="B159" s="1051" t="s">
        <v>838</v>
      </c>
      <c r="C159" s="952"/>
      <c r="D159" s="940" t="s">
        <v>922</v>
      </c>
      <c r="E159" s="922">
        <v>34546</v>
      </c>
      <c r="F159" s="938">
        <v>14</v>
      </c>
      <c r="G159" s="934">
        <v>16.118400999999999</v>
      </c>
      <c r="H159" s="953">
        <v>40.544761000000001</v>
      </c>
      <c r="I159" s="953">
        <v>56.663162999999997</v>
      </c>
      <c r="J159" s="929">
        <v>13.498867000000001</v>
      </c>
      <c r="K159" s="935"/>
      <c r="L159" s="935"/>
      <c r="M159" s="939" t="s">
        <v>377</v>
      </c>
      <c r="N159" s="927" t="s">
        <v>674</v>
      </c>
      <c r="O159" s="935"/>
      <c r="P159" s="933">
        <v>7</v>
      </c>
      <c r="Q159" s="940">
        <v>3</v>
      </c>
      <c r="R159" s="933"/>
      <c r="S159" s="933"/>
      <c r="T159" s="940" t="str">
        <f t="shared" si="2"/>
        <v>Slight</v>
      </c>
      <c r="U159" s="935" t="s">
        <v>678</v>
      </c>
      <c r="V159" s="1053" t="s">
        <v>931</v>
      </c>
      <c r="W159" s="1054"/>
      <c r="X159" s="1054"/>
      <c r="Y159" s="1059"/>
      <c r="Z159" s="1057"/>
      <c r="AA159" s="902"/>
      <c r="AB159" s="901">
        <v>3</v>
      </c>
      <c r="AC159"/>
    </row>
    <row r="160" spans="1:29" ht="15" customHeight="1">
      <c r="A160" s="939"/>
      <c r="B160" s="1051" t="s">
        <v>839</v>
      </c>
      <c r="C160" s="952"/>
      <c r="D160" s="940" t="s">
        <v>922</v>
      </c>
      <c r="E160" s="922">
        <v>34564</v>
      </c>
      <c r="F160" s="938">
        <v>17</v>
      </c>
      <c r="G160" s="938">
        <v>17.209171000000001</v>
      </c>
      <c r="H160" s="953">
        <v>31.217576000000001</v>
      </c>
      <c r="I160" s="953">
        <v>48.426746999999999</v>
      </c>
      <c r="J160" s="929">
        <v>13.510363999999999</v>
      </c>
      <c r="K160" s="935"/>
      <c r="L160" s="935"/>
      <c r="M160" s="939" t="s">
        <v>377</v>
      </c>
      <c r="N160" s="927" t="s">
        <v>674</v>
      </c>
      <c r="O160" s="935"/>
      <c r="P160" s="933">
        <v>7</v>
      </c>
      <c r="Q160" s="940">
        <v>3</v>
      </c>
      <c r="R160" s="933"/>
      <c r="S160" s="933"/>
      <c r="T160" s="940" t="str">
        <f t="shared" si="2"/>
        <v>Slight</v>
      </c>
      <c r="U160" s="935" t="s">
        <v>678</v>
      </c>
      <c r="V160" s="1053" t="s">
        <v>1047</v>
      </c>
      <c r="W160" s="1054">
        <v>0.33342907028331864</v>
      </c>
      <c r="X160" s="1054">
        <v>4.1906718584079471E-3</v>
      </c>
      <c r="Y160" s="1059">
        <v>0</v>
      </c>
      <c r="Z160" s="1055" t="s">
        <v>162</v>
      </c>
      <c r="AA160" s="902"/>
      <c r="AB160" s="901">
        <v>0</v>
      </c>
      <c r="AC160"/>
    </row>
    <row r="161" spans="1:29" ht="15" customHeight="1">
      <c r="A161" s="939"/>
      <c r="B161" s="1051" t="s">
        <v>840</v>
      </c>
      <c r="C161" s="952"/>
      <c r="D161" s="940" t="s">
        <v>922</v>
      </c>
      <c r="E161" s="922">
        <v>34589</v>
      </c>
      <c r="F161" s="938">
        <v>11</v>
      </c>
      <c r="G161" s="938">
        <v>17.832601</v>
      </c>
      <c r="H161" s="953">
        <v>29.932137999999998</v>
      </c>
      <c r="I161" s="953">
        <v>47.764738999999999</v>
      </c>
      <c r="J161" s="929">
        <v>13.502304000000001</v>
      </c>
      <c r="K161" s="935"/>
      <c r="L161" s="935"/>
      <c r="M161" s="939" t="s">
        <v>377</v>
      </c>
      <c r="N161" s="927" t="s">
        <v>674</v>
      </c>
      <c r="O161" s="935"/>
      <c r="P161" s="933">
        <v>7</v>
      </c>
      <c r="Q161" s="940">
        <v>3</v>
      </c>
      <c r="R161" s="933"/>
      <c r="S161" s="933"/>
      <c r="T161" s="940" t="str">
        <f t="shared" si="2"/>
        <v>Slight</v>
      </c>
      <c r="U161" s="935" t="s">
        <v>678</v>
      </c>
      <c r="V161" s="1053" t="s">
        <v>1048</v>
      </c>
      <c r="W161" s="1054">
        <v>0.48166111969572661</v>
      </c>
      <c r="X161" s="1054">
        <v>5.1099167721964439E-3</v>
      </c>
      <c r="Y161" s="1059">
        <v>0</v>
      </c>
      <c r="Z161" s="1055" t="s">
        <v>162</v>
      </c>
      <c r="AA161" s="902"/>
      <c r="AB161" s="901">
        <v>0</v>
      </c>
      <c r="AC161"/>
    </row>
    <row r="162" spans="1:29">
      <c r="A162" s="939"/>
      <c r="B162" s="1051" t="s">
        <v>841</v>
      </c>
      <c r="C162" s="952"/>
      <c r="D162" s="940" t="s">
        <v>922</v>
      </c>
      <c r="E162" s="922">
        <v>34500</v>
      </c>
      <c r="F162" s="938">
        <v>14.5</v>
      </c>
      <c r="G162" s="938">
        <v>18.409744</v>
      </c>
      <c r="H162" s="953">
        <v>87.862875000000003</v>
      </c>
      <c r="I162" s="953">
        <v>106.27262</v>
      </c>
      <c r="J162" s="929">
        <v>13.503996000000001</v>
      </c>
      <c r="K162" s="935"/>
      <c r="L162" s="935"/>
      <c r="M162" s="939" t="s">
        <v>377</v>
      </c>
      <c r="N162" s="927" t="s">
        <v>674</v>
      </c>
      <c r="O162" s="935"/>
      <c r="P162" s="935">
        <v>7</v>
      </c>
      <c r="Q162" s="940">
        <v>3</v>
      </c>
      <c r="R162" s="935"/>
      <c r="S162" s="935"/>
      <c r="T162" s="940" t="str">
        <f t="shared" si="2"/>
        <v>Slight</v>
      </c>
      <c r="U162" s="935" t="s">
        <v>678</v>
      </c>
      <c r="V162" s="1053" t="s">
        <v>931</v>
      </c>
      <c r="W162" s="1054"/>
      <c r="X162" s="1054"/>
      <c r="Y162" s="1059"/>
      <c r="Z162" s="1057"/>
      <c r="AA162" s="902"/>
      <c r="AB162" s="901">
        <v>3</v>
      </c>
      <c r="AC162"/>
    </row>
    <row r="163" spans="1:29" ht="15" customHeight="1">
      <c r="A163" s="939"/>
      <c r="B163" s="1051" t="s">
        <v>842</v>
      </c>
      <c r="C163" s="952"/>
      <c r="D163" s="940" t="s">
        <v>922</v>
      </c>
      <c r="E163" s="922">
        <v>34651</v>
      </c>
      <c r="F163" s="938">
        <v>10</v>
      </c>
      <c r="G163" s="938">
        <v>14.608192000000001</v>
      </c>
      <c r="H163" s="953">
        <v>12.020885</v>
      </c>
      <c r="I163" s="953">
        <v>26.629076999999999</v>
      </c>
      <c r="J163" s="929">
        <v>13.520060000000001</v>
      </c>
      <c r="K163" s="935"/>
      <c r="L163" s="935"/>
      <c r="M163" s="939" t="s">
        <v>377</v>
      </c>
      <c r="N163" s="927" t="s">
        <v>674</v>
      </c>
      <c r="O163" s="935"/>
      <c r="P163" s="935">
        <v>4</v>
      </c>
      <c r="Q163" s="940">
        <v>1</v>
      </c>
      <c r="R163" s="935"/>
      <c r="S163" s="935"/>
      <c r="T163" s="940" t="str">
        <f t="shared" si="2"/>
        <v>Slight</v>
      </c>
      <c r="U163" s="935" t="s">
        <v>678</v>
      </c>
      <c r="V163" s="1053" t="s">
        <v>1049</v>
      </c>
      <c r="W163" s="1054">
        <v>10.713431293525147</v>
      </c>
      <c r="X163" s="1054">
        <v>3.2455090237763676E-2</v>
      </c>
      <c r="Y163" s="1059">
        <v>0</v>
      </c>
      <c r="Z163" s="1055" t="s">
        <v>162</v>
      </c>
      <c r="AA163" s="902"/>
      <c r="AB163" s="901">
        <v>0</v>
      </c>
      <c r="AC163"/>
    </row>
    <row r="164" spans="1:29">
      <c r="A164" s="939"/>
      <c r="B164" s="1051" t="s">
        <v>843</v>
      </c>
      <c r="C164" s="952"/>
      <c r="D164" s="940" t="s">
        <v>922</v>
      </c>
      <c r="E164" s="922">
        <v>34538</v>
      </c>
      <c r="F164" s="938">
        <v>20</v>
      </c>
      <c r="G164" s="938">
        <v>19.780434</v>
      </c>
      <c r="H164" s="953">
        <v>79.721637000000001</v>
      </c>
      <c r="I164" s="953">
        <v>99.502071000000001</v>
      </c>
      <c r="J164" s="929">
        <v>13.500949</v>
      </c>
      <c r="K164" s="935"/>
      <c r="L164" s="935"/>
      <c r="M164" s="939" t="s">
        <v>377</v>
      </c>
      <c r="N164" s="927" t="s">
        <v>674</v>
      </c>
      <c r="O164" s="935"/>
      <c r="P164" s="935">
        <v>7</v>
      </c>
      <c r="Q164" s="940">
        <v>3</v>
      </c>
      <c r="R164" s="935"/>
      <c r="S164" s="935"/>
      <c r="T164" s="940" t="str">
        <f t="shared" si="2"/>
        <v>Slight</v>
      </c>
      <c r="U164" s="935" t="s">
        <v>678</v>
      </c>
      <c r="V164" s="1053" t="s">
        <v>931</v>
      </c>
      <c r="W164" s="1054"/>
      <c r="X164" s="1054"/>
      <c r="Y164" s="1059"/>
      <c r="Z164" s="1057"/>
      <c r="AA164" s="902"/>
      <c r="AB164" s="901">
        <v>3</v>
      </c>
      <c r="AC164"/>
    </row>
    <row r="165" spans="1:29" ht="15" customHeight="1">
      <c r="A165" s="939"/>
      <c r="B165" s="1051" t="s">
        <v>844</v>
      </c>
      <c r="C165" s="952"/>
      <c r="D165" s="940" t="s">
        <v>922</v>
      </c>
      <c r="E165" s="922">
        <v>35341</v>
      </c>
      <c r="F165" s="946">
        <v>45</v>
      </c>
      <c r="G165" s="946">
        <v>36.450108</v>
      </c>
      <c r="H165" s="953">
        <v>-43.504223000000003</v>
      </c>
      <c r="I165" s="953">
        <v>-7.0541144999999998</v>
      </c>
      <c r="J165" s="929">
        <v>13.495967</v>
      </c>
      <c r="K165" s="935"/>
      <c r="L165" s="935"/>
      <c r="M165" s="939" t="s">
        <v>377</v>
      </c>
      <c r="N165" s="927" t="s">
        <v>674</v>
      </c>
      <c r="O165" s="935"/>
      <c r="P165" s="935">
        <v>10</v>
      </c>
      <c r="Q165" s="940">
        <v>3</v>
      </c>
      <c r="R165" s="935"/>
      <c r="S165" s="935"/>
      <c r="T165" s="940" t="str">
        <f t="shared" si="2"/>
        <v>High</v>
      </c>
      <c r="U165" s="935" t="s">
        <v>675</v>
      </c>
      <c r="V165" s="1053" t="s">
        <v>1050</v>
      </c>
      <c r="W165" s="1054">
        <v>28.061279612627033</v>
      </c>
      <c r="X165" s="1054">
        <v>3.6395407067549054E-2</v>
      </c>
      <c r="Y165" s="1059">
        <v>1</v>
      </c>
      <c r="Z165" s="1058" t="s">
        <v>164</v>
      </c>
      <c r="AA165" s="902"/>
      <c r="AB165" s="901">
        <v>0</v>
      </c>
      <c r="AC165"/>
    </row>
    <row r="166" spans="1:29" ht="15" customHeight="1">
      <c r="A166" s="939"/>
      <c r="B166" s="1051" t="s">
        <v>845</v>
      </c>
      <c r="C166" s="952"/>
      <c r="D166" s="940" t="s">
        <v>922</v>
      </c>
      <c r="E166" s="922">
        <v>34600</v>
      </c>
      <c r="F166" s="938">
        <v>15</v>
      </c>
      <c r="G166" s="938">
        <v>18.928470000000001</v>
      </c>
      <c r="H166" s="953">
        <v>50.564970000000002</v>
      </c>
      <c r="I166" s="953">
        <v>69.493440000000007</v>
      </c>
      <c r="J166" s="929">
        <v>13.50802</v>
      </c>
      <c r="K166" s="935"/>
      <c r="L166" s="935"/>
      <c r="M166" s="939" t="s">
        <v>377</v>
      </c>
      <c r="N166" s="927" t="s">
        <v>674</v>
      </c>
      <c r="O166" s="935"/>
      <c r="P166" s="935">
        <v>7</v>
      </c>
      <c r="Q166" s="940">
        <v>3</v>
      </c>
      <c r="R166" s="935"/>
      <c r="S166" s="935"/>
      <c r="T166" s="940" t="str">
        <f t="shared" si="2"/>
        <v>Slight</v>
      </c>
      <c r="U166" s="935" t="s">
        <v>678</v>
      </c>
      <c r="V166" s="1053" t="s">
        <v>931</v>
      </c>
      <c r="W166" s="1054"/>
      <c r="X166" s="1054"/>
      <c r="Y166" s="1059"/>
      <c r="Z166" s="1057"/>
      <c r="AA166" s="902"/>
      <c r="AB166" s="901">
        <v>3</v>
      </c>
      <c r="AC166"/>
    </row>
    <row r="167" spans="1:29">
      <c r="A167" s="939"/>
      <c r="B167" s="1051" t="s">
        <v>846</v>
      </c>
      <c r="C167" s="952"/>
      <c r="D167" s="940" t="s">
        <v>922</v>
      </c>
      <c r="E167" s="922">
        <v>35432</v>
      </c>
      <c r="F167" s="938">
        <v>25.3</v>
      </c>
      <c r="G167" s="938">
        <v>17.590554999999998</v>
      </c>
      <c r="H167" s="953">
        <v>-15.925845000000001</v>
      </c>
      <c r="I167" s="953">
        <v>1.6647105</v>
      </c>
      <c r="J167" s="929">
        <v>13.509221999999999</v>
      </c>
      <c r="K167" s="935"/>
      <c r="L167" s="935"/>
      <c r="M167" s="939" t="s">
        <v>377</v>
      </c>
      <c r="N167" s="927" t="s">
        <v>928</v>
      </c>
      <c r="O167" s="935"/>
      <c r="P167" s="935">
        <v>7</v>
      </c>
      <c r="Q167" s="940">
        <v>3</v>
      </c>
      <c r="R167" s="935"/>
      <c r="S167" s="935"/>
      <c r="T167" s="940" t="str">
        <f t="shared" si="2"/>
        <v>Slight</v>
      </c>
      <c r="U167" s="935" t="s">
        <v>678</v>
      </c>
      <c r="V167" s="1053" t="s">
        <v>1051</v>
      </c>
      <c r="W167" s="1054">
        <v>27.738774043103184</v>
      </c>
      <c r="X167" s="1054">
        <v>2.6378748724162824E-2</v>
      </c>
      <c r="Y167" s="1059">
        <v>0</v>
      </c>
      <c r="Z167" s="1055" t="s">
        <v>162</v>
      </c>
      <c r="AA167" s="902"/>
      <c r="AB167" s="901">
        <v>0</v>
      </c>
      <c r="AC167"/>
    </row>
    <row r="168" spans="1:29">
      <c r="A168" s="939"/>
      <c r="B168" s="1051" t="s">
        <v>847</v>
      </c>
      <c r="C168" s="952"/>
      <c r="D168" s="940" t="s">
        <v>922</v>
      </c>
      <c r="E168" s="922">
        <v>34672</v>
      </c>
      <c r="F168" s="946">
        <v>50</v>
      </c>
      <c r="G168" s="946">
        <v>38.085304999999998</v>
      </c>
      <c r="H168" s="922">
        <v>23.603802999999999</v>
      </c>
      <c r="I168" s="922">
        <v>61.689107999999997</v>
      </c>
      <c r="J168" s="929">
        <v>13.502160999999999</v>
      </c>
      <c r="K168" s="935"/>
      <c r="L168" s="935"/>
      <c r="M168" s="939" t="s">
        <v>377</v>
      </c>
      <c r="N168" s="927" t="s">
        <v>674</v>
      </c>
      <c r="O168" s="935"/>
      <c r="P168" s="935">
        <v>43</v>
      </c>
      <c r="Q168" s="940">
        <v>9</v>
      </c>
      <c r="R168" s="935"/>
      <c r="S168" s="935"/>
      <c r="T168" s="940" t="str">
        <f t="shared" si="2"/>
        <v>Slight</v>
      </c>
      <c r="U168" s="935" t="s">
        <v>678</v>
      </c>
      <c r="V168" s="1053" t="s">
        <v>1052</v>
      </c>
      <c r="W168" s="1054">
        <v>0.69722538464144512</v>
      </c>
      <c r="X168" s="1054">
        <v>7.5378933319213449E-3</v>
      </c>
      <c r="Y168" s="1059">
        <v>0</v>
      </c>
      <c r="Z168" s="1055" t="s">
        <v>162</v>
      </c>
      <c r="AA168" s="902"/>
      <c r="AB168" s="901">
        <v>0</v>
      </c>
      <c r="AC168"/>
    </row>
    <row r="169" spans="1:29">
      <c r="A169" s="939"/>
      <c r="B169" s="1051" t="s">
        <v>848</v>
      </c>
      <c r="C169" s="952"/>
      <c r="D169" s="940" t="s">
        <v>922</v>
      </c>
      <c r="E169" s="922">
        <v>35492</v>
      </c>
      <c r="F169" s="946">
        <v>13.5</v>
      </c>
      <c r="G169" s="946">
        <v>13.383504</v>
      </c>
      <c r="H169" s="922">
        <v>-12.898066</v>
      </c>
      <c r="I169" s="922">
        <v>0.48543789999999998</v>
      </c>
      <c r="J169" s="929">
        <v>13.511810000000001</v>
      </c>
      <c r="K169" s="935"/>
      <c r="L169" s="935"/>
      <c r="M169" s="939" t="s">
        <v>377</v>
      </c>
      <c r="N169" s="927" t="s">
        <v>674</v>
      </c>
      <c r="O169" s="935"/>
      <c r="P169" s="935">
        <v>10</v>
      </c>
      <c r="Q169" s="940">
        <v>3</v>
      </c>
      <c r="R169" s="935"/>
      <c r="S169" s="935"/>
      <c r="T169" s="940" t="str">
        <f t="shared" si="2"/>
        <v>Medium</v>
      </c>
      <c r="U169" s="935" t="s">
        <v>676</v>
      </c>
      <c r="V169" s="1053" t="s">
        <v>1053</v>
      </c>
      <c r="W169" s="1054">
        <v>27.860951652239709</v>
      </c>
      <c r="X169" s="1054">
        <v>2.3066600083677093E-2</v>
      </c>
      <c r="Y169" s="1059">
        <v>0</v>
      </c>
      <c r="Z169" s="1055" t="s">
        <v>162</v>
      </c>
      <c r="AA169" s="902"/>
      <c r="AB169" s="901">
        <v>0</v>
      </c>
      <c r="AC169"/>
    </row>
    <row r="170" spans="1:29">
      <c r="A170" s="939"/>
      <c r="B170" s="1051" t="s">
        <v>849</v>
      </c>
      <c r="C170" s="952"/>
      <c r="D170" s="940" t="s">
        <v>922</v>
      </c>
      <c r="E170" s="922">
        <v>35360</v>
      </c>
      <c r="F170" s="946">
        <v>80</v>
      </c>
      <c r="G170" s="946">
        <v>45.256647000000001</v>
      </c>
      <c r="H170" s="922">
        <v>6.5164669999999996</v>
      </c>
      <c r="I170" s="922">
        <v>51.773114</v>
      </c>
      <c r="J170" s="929">
        <v>13.497749000000001</v>
      </c>
      <c r="K170" s="935"/>
      <c r="L170" s="935"/>
      <c r="M170" s="939" t="s">
        <v>377</v>
      </c>
      <c r="N170" s="927" t="s">
        <v>674</v>
      </c>
      <c r="O170" s="935"/>
      <c r="P170" s="935">
        <v>13</v>
      </c>
      <c r="Q170" s="940">
        <v>6</v>
      </c>
      <c r="R170" s="935"/>
      <c r="S170" s="935"/>
      <c r="T170" s="940" t="str">
        <f t="shared" si="2"/>
        <v>Slight</v>
      </c>
      <c r="U170" s="935" t="s">
        <v>678</v>
      </c>
      <c r="V170" s="1053" t="s">
        <v>1054</v>
      </c>
      <c r="W170" s="1054">
        <v>16.78782050661091</v>
      </c>
      <c r="X170" s="1054">
        <v>3.5889627047593298E-2</v>
      </c>
      <c r="Y170" s="1059">
        <v>1</v>
      </c>
      <c r="Z170" s="1058" t="s">
        <v>164</v>
      </c>
      <c r="AA170" s="902"/>
      <c r="AB170" s="901">
        <v>0</v>
      </c>
      <c r="AC170"/>
    </row>
    <row r="171" spans="1:29">
      <c r="A171" s="939"/>
      <c r="B171" s="1051" t="s">
        <v>850</v>
      </c>
      <c r="C171" s="952"/>
      <c r="D171" s="940" t="s">
        <v>922</v>
      </c>
      <c r="E171" s="922">
        <v>35513</v>
      </c>
      <c r="F171" s="946">
        <v>15</v>
      </c>
      <c r="G171" s="946">
        <v>14.297523</v>
      </c>
      <c r="H171" s="922">
        <v>-13.431354000000001</v>
      </c>
      <c r="I171" s="922">
        <v>0.86616959999999998</v>
      </c>
      <c r="J171" s="929">
        <v>13.511936</v>
      </c>
      <c r="K171" s="935"/>
      <c r="L171" s="935"/>
      <c r="M171" s="939" t="s">
        <v>377</v>
      </c>
      <c r="N171" s="927" t="s">
        <v>674</v>
      </c>
      <c r="O171" s="935"/>
      <c r="P171" s="935">
        <v>13</v>
      </c>
      <c r="Q171" s="940">
        <v>6</v>
      </c>
      <c r="R171" s="935"/>
      <c r="S171" s="935"/>
      <c r="T171" s="940" t="str">
        <f t="shared" si="2"/>
        <v>Medium</v>
      </c>
      <c r="U171" s="935" t="s">
        <v>676</v>
      </c>
      <c r="V171" s="1053" t="s">
        <v>1055</v>
      </c>
      <c r="W171" s="1054">
        <v>29.649726680637627</v>
      </c>
      <c r="X171" s="1054">
        <v>2.7717707178896218E-2</v>
      </c>
      <c r="Y171" s="1059">
        <v>0</v>
      </c>
      <c r="Z171" s="1055" t="s">
        <v>162</v>
      </c>
      <c r="AA171" s="902"/>
      <c r="AB171" s="901">
        <v>0</v>
      </c>
      <c r="AC171"/>
    </row>
    <row r="172" spans="1:29">
      <c r="A172" s="939"/>
      <c r="B172" s="1051" t="s">
        <v>851</v>
      </c>
      <c r="C172" s="952"/>
      <c r="D172" s="940" t="s">
        <v>922</v>
      </c>
      <c r="E172" s="922">
        <v>35512</v>
      </c>
      <c r="F172" s="946">
        <v>31.5</v>
      </c>
      <c r="G172" s="946">
        <v>35.495451000000003</v>
      </c>
      <c r="H172" s="922">
        <v>14.836364</v>
      </c>
      <c r="I172" s="922">
        <v>50.331814999999999</v>
      </c>
      <c r="J172" s="929">
        <v>13.511936</v>
      </c>
      <c r="K172" s="935"/>
      <c r="L172" s="935"/>
      <c r="M172" s="939" t="s">
        <v>377</v>
      </c>
      <c r="N172" s="927" t="s">
        <v>674</v>
      </c>
      <c r="O172" s="935"/>
      <c r="P172" s="935">
        <v>10</v>
      </c>
      <c r="Q172" s="940">
        <v>3</v>
      </c>
      <c r="R172" s="935"/>
      <c r="S172" s="935"/>
      <c r="T172" s="940" t="str">
        <f t="shared" si="2"/>
        <v>Slight</v>
      </c>
      <c r="U172" s="935" t="s">
        <v>678</v>
      </c>
      <c r="V172" s="1053" t="s">
        <v>1056</v>
      </c>
      <c r="W172" s="1054">
        <v>6.3287295191149884</v>
      </c>
      <c r="X172" s="1054">
        <v>2.4714005033835872E-2</v>
      </c>
      <c r="Y172" s="1059">
        <v>0</v>
      </c>
      <c r="Z172" s="1055" t="s">
        <v>162</v>
      </c>
      <c r="AA172" s="902"/>
      <c r="AB172" s="901">
        <v>0</v>
      </c>
      <c r="AC172"/>
    </row>
    <row r="173" spans="1:29">
      <c r="A173" s="939"/>
      <c r="B173" s="1051" t="s">
        <v>852</v>
      </c>
      <c r="C173" s="952"/>
      <c r="D173" s="940" t="s">
        <v>922</v>
      </c>
      <c r="E173" s="922">
        <v>35551</v>
      </c>
      <c r="F173" s="946">
        <v>60</v>
      </c>
      <c r="G173" s="946">
        <v>13.426568</v>
      </c>
      <c r="H173" s="922">
        <v>-10.762676000000001</v>
      </c>
      <c r="I173" s="922">
        <v>2.6638926999999999</v>
      </c>
      <c r="J173" s="929">
        <v>13.509321999999999</v>
      </c>
      <c r="K173" s="935"/>
      <c r="L173" s="935"/>
      <c r="M173" s="939" t="s">
        <v>377</v>
      </c>
      <c r="N173" s="927" t="s">
        <v>674</v>
      </c>
      <c r="O173" s="935"/>
      <c r="P173" s="935">
        <v>13</v>
      </c>
      <c r="Q173" s="940">
        <v>6</v>
      </c>
      <c r="R173" s="935"/>
      <c r="S173" s="935"/>
      <c r="T173" s="940" t="str">
        <f t="shared" si="2"/>
        <v>Medium</v>
      </c>
      <c r="U173" s="935" t="s">
        <v>676</v>
      </c>
      <c r="V173" s="1053" t="s">
        <v>1057</v>
      </c>
      <c r="W173" s="1054">
        <v>28.871605720108779</v>
      </c>
      <c r="X173" s="1054">
        <v>2.4570657666757475E-2</v>
      </c>
      <c r="Y173" s="1059">
        <v>0</v>
      </c>
      <c r="Z173" s="1055" t="s">
        <v>162</v>
      </c>
      <c r="AA173" s="902"/>
      <c r="AB173" s="901">
        <v>0</v>
      </c>
      <c r="AC173"/>
    </row>
    <row r="174" spans="1:29">
      <c r="A174" s="939"/>
      <c r="B174" s="1051" t="s">
        <v>853</v>
      </c>
      <c r="C174" s="952"/>
      <c r="D174" s="940" t="s">
        <v>922</v>
      </c>
      <c r="E174" s="922">
        <v>35691</v>
      </c>
      <c r="F174" s="946">
        <v>20</v>
      </c>
      <c r="G174" s="946">
        <v>28.835695999999999</v>
      </c>
      <c r="H174" s="922">
        <v>3.7130152999999999</v>
      </c>
      <c r="I174" s="922">
        <v>32.548712000000002</v>
      </c>
      <c r="J174" s="929">
        <v>13.511741000000001</v>
      </c>
      <c r="K174" s="935"/>
      <c r="L174" s="935"/>
      <c r="M174" s="939" t="s">
        <v>377</v>
      </c>
      <c r="N174" s="927" t="s">
        <v>674</v>
      </c>
      <c r="O174" s="935"/>
      <c r="P174" s="935">
        <v>7</v>
      </c>
      <c r="Q174" s="940">
        <v>3</v>
      </c>
      <c r="R174" s="935"/>
      <c r="S174" s="935"/>
      <c r="T174" s="940" t="str">
        <f t="shared" si="2"/>
        <v>Medium</v>
      </c>
      <c r="U174" s="935" t="s">
        <v>676</v>
      </c>
      <c r="V174" s="1053" t="s">
        <v>1058</v>
      </c>
      <c r="W174" s="1054">
        <v>19.527247513469611</v>
      </c>
      <c r="X174" s="1054">
        <v>3.2439526412113763E-2</v>
      </c>
      <c r="Y174" s="1059">
        <v>1</v>
      </c>
      <c r="Z174" s="1058" t="s">
        <v>164</v>
      </c>
      <c r="AA174" s="902"/>
      <c r="AB174" s="901">
        <v>0</v>
      </c>
      <c r="AC174"/>
    </row>
    <row r="175" spans="1:29">
      <c r="A175" s="939"/>
      <c r="B175" s="1051" t="s">
        <v>854</v>
      </c>
      <c r="C175" s="952"/>
      <c r="D175" s="940" t="s">
        <v>922</v>
      </c>
      <c r="E175" s="922">
        <v>35676</v>
      </c>
      <c r="F175" s="946">
        <v>8</v>
      </c>
      <c r="G175" s="946">
        <v>10.238085</v>
      </c>
      <c r="H175" s="922">
        <v>-15.323945</v>
      </c>
      <c r="I175" s="922">
        <v>-5.0858593000000001</v>
      </c>
      <c r="J175" s="929">
        <v>13.51174</v>
      </c>
      <c r="K175" s="935"/>
      <c r="L175" s="935"/>
      <c r="M175" s="939" t="s">
        <v>377</v>
      </c>
      <c r="N175" s="927" t="s">
        <v>928</v>
      </c>
      <c r="O175" s="935"/>
      <c r="P175" s="935">
        <v>4</v>
      </c>
      <c r="Q175" s="940">
        <v>1</v>
      </c>
      <c r="R175" s="935"/>
      <c r="S175" s="935"/>
      <c r="T175" s="940" t="str">
        <f t="shared" si="2"/>
        <v>Slight</v>
      </c>
      <c r="U175" s="935" t="s">
        <v>678</v>
      </c>
      <c r="V175" s="1053" t="s">
        <v>1059</v>
      </c>
      <c r="W175" s="1054">
        <v>24.423636487908091</v>
      </c>
      <c r="X175" s="1054">
        <v>1.0603661710496128E-2</v>
      </c>
      <c r="Y175" s="1059">
        <v>0</v>
      </c>
      <c r="Z175" s="1055" t="s">
        <v>162</v>
      </c>
      <c r="AA175" s="902"/>
      <c r="AB175" s="901">
        <v>0</v>
      </c>
      <c r="AC175"/>
    </row>
    <row r="176" spans="1:29" ht="15" customHeight="1">
      <c r="A176" s="939"/>
      <c r="B176" s="1051" t="s">
        <v>855</v>
      </c>
      <c r="C176" s="952"/>
      <c r="D176" s="940" t="s">
        <v>922</v>
      </c>
      <c r="E176" s="922">
        <v>35714</v>
      </c>
      <c r="F176" s="946">
        <v>10</v>
      </c>
      <c r="G176" s="946">
        <v>5.4054582</v>
      </c>
      <c r="H176" s="953">
        <v>-7.8958414000000001</v>
      </c>
      <c r="I176" s="953">
        <v>-2.4903832000000001</v>
      </c>
      <c r="J176" s="929">
        <v>13.505947000000001</v>
      </c>
      <c r="K176" s="935"/>
      <c r="L176" s="935"/>
      <c r="M176" s="939" t="s">
        <v>377</v>
      </c>
      <c r="N176" s="927" t="s">
        <v>928</v>
      </c>
      <c r="O176" s="935"/>
      <c r="P176" s="935">
        <v>4</v>
      </c>
      <c r="Q176" s="940">
        <v>1</v>
      </c>
      <c r="R176" s="935"/>
      <c r="S176" s="935"/>
      <c r="T176" s="940" t="str">
        <f t="shared" si="2"/>
        <v>Slight</v>
      </c>
      <c r="U176" s="935" t="s">
        <v>678</v>
      </c>
      <c r="V176" s="1053" t="s">
        <v>1060</v>
      </c>
      <c r="W176" s="1054">
        <v>24.388165480649988</v>
      </c>
      <c r="X176" s="1054">
        <v>6.9090257685959734E-3</v>
      </c>
      <c r="Y176" s="1059">
        <v>0</v>
      </c>
      <c r="Z176" s="1055" t="s">
        <v>162</v>
      </c>
      <c r="AA176" s="902"/>
      <c r="AB176" s="901">
        <v>0</v>
      </c>
      <c r="AC176"/>
    </row>
    <row r="177" spans="1:29">
      <c r="A177" s="939"/>
      <c r="B177" s="1051" t="s">
        <v>856</v>
      </c>
      <c r="C177" s="952"/>
      <c r="D177" s="940" t="s">
        <v>922</v>
      </c>
      <c r="E177" s="922">
        <v>35715</v>
      </c>
      <c r="F177" s="946">
        <v>8</v>
      </c>
      <c r="G177" s="946">
        <v>12.288382</v>
      </c>
      <c r="H177" s="953">
        <v>-3.8176231</v>
      </c>
      <c r="I177" s="953">
        <v>8.4707588999999999</v>
      </c>
      <c r="J177" s="929">
        <v>13.530436999999999</v>
      </c>
      <c r="K177" s="935"/>
      <c r="L177" s="935"/>
      <c r="M177" s="939" t="s">
        <v>377</v>
      </c>
      <c r="N177" s="927" t="s">
        <v>674</v>
      </c>
      <c r="O177" s="935"/>
      <c r="P177" s="935">
        <v>4</v>
      </c>
      <c r="Q177" s="940">
        <v>1</v>
      </c>
      <c r="R177" s="935"/>
      <c r="S177" s="935"/>
      <c r="T177" s="940" t="str">
        <f t="shared" si="2"/>
        <v>Medium</v>
      </c>
      <c r="U177" s="935" t="s">
        <v>676</v>
      </c>
      <c r="V177" s="1053" t="s">
        <v>1061</v>
      </c>
      <c r="W177" s="1054">
        <v>23.979346981374825</v>
      </c>
      <c r="X177" s="1054">
        <v>7.0019730097477684E-3</v>
      </c>
      <c r="Y177" s="1059">
        <v>0</v>
      </c>
      <c r="Z177" s="1055" t="s">
        <v>162</v>
      </c>
      <c r="AA177" s="902"/>
      <c r="AB177" s="901">
        <v>0</v>
      </c>
      <c r="AC177"/>
    </row>
    <row r="178" spans="1:29">
      <c r="A178" s="939"/>
      <c r="B178" s="1051" t="s">
        <v>857</v>
      </c>
      <c r="C178" s="952"/>
      <c r="D178" s="940" t="s">
        <v>922</v>
      </c>
      <c r="E178" s="922">
        <v>39315</v>
      </c>
      <c r="F178" s="946">
        <v>8.1</v>
      </c>
      <c r="G178" s="946">
        <v>8.0268706000000005</v>
      </c>
      <c r="H178" s="953">
        <v>39.673971999999999</v>
      </c>
      <c r="I178" s="953">
        <v>47.700842999999999</v>
      </c>
      <c r="J178" s="929">
        <v>13.501414</v>
      </c>
      <c r="K178" s="935"/>
      <c r="L178" s="935"/>
      <c r="M178" s="939" t="s">
        <v>377</v>
      </c>
      <c r="N178" s="927" t="s">
        <v>674</v>
      </c>
      <c r="O178" s="935"/>
      <c r="P178" s="935">
        <v>4</v>
      </c>
      <c r="Q178" s="940">
        <v>1</v>
      </c>
      <c r="R178" s="935"/>
      <c r="S178" s="935"/>
      <c r="T178" s="940" t="str">
        <f t="shared" si="2"/>
        <v>Slight</v>
      </c>
      <c r="U178" s="935" t="s">
        <v>678</v>
      </c>
      <c r="V178" s="1053" t="s">
        <v>931</v>
      </c>
      <c r="W178" s="1054"/>
      <c r="X178" s="1054"/>
      <c r="Y178" s="1059"/>
      <c r="Z178" s="1057"/>
      <c r="AA178" s="902"/>
      <c r="AB178" s="901">
        <v>3</v>
      </c>
      <c r="AC178"/>
    </row>
    <row r="179" spans="1:29" ht="15" customHeight="1">
      <c r="A179" s="939"/>
      <c r="B179" s="1051" t="s">
        <v>858</v>
      </c>
      <c r="C179" s="952"/>
      <c r="D179" s="940" t="s">
        <v>922</v>
      </c>
      <c r="E179" s="922">
        <v>39368</v>
      </c>
      <c r="F179" s="938">
        <v>33</v>
      </c>
      <c r="G179" s="938">
        <v>76.143103999999994</v>
      </c>
      <c r="H179" s="953">
        <v>-50.632845000000003</v>
      </c>
      <c r="I179" s="953">
        <v>25.510259000000001</v>
      </c>
      <c r="J179" s="929">
        <v>13.520355</v>
      </c>
      <c r="K179" s="935"/>
      <c r="L179" s="935"/>
      <c r="M179" s="939" t="s">
        <v>377</v>
      </c>
      <c r="N179" s="927" t="s">
        <v>674</v>
      </c>
      <c r="O179" s="935"/>
      <c r="P179" s="935">
        <v>13</v>
      </c>
      <c r="Q179" s="940">
        <v>6</v>
      </c>
      <c r="R179" s="935"/>
      <c r="S179" s="935"/>
      <c r="T179" s="940" t="str">
        <f t="shared" si="2"/>
        <v>Slight</v>
      </c>
      <c r="U179" s="935" t="s">
        <v>678</v>
      </c>
      <c r="V179" s="1053" t="s">
        <v>1062</v>
      </c>
      <c r="W179" s="1054">
        <v>30.186823098637703</v>
      </c>
      <c r="X179" s="1054">
        <v>4.6295431402069549E-2</v>
      </c>
      <c r="Y179" s="1059">
        <v>1</v>
      </c>
      <c r="Z179" s="1058" t="s">
        <v>164</v>
      </c>
      <c r="AA179" s="902"/>
      <c r="AB179" s="901">
        <v>0</v>
      </c>
      <c r="AC179"/>
    </row>
    <row r="180" spans="1:29">
      <c r="A180" s="1043"/>
      <c r="B180" s="1037"/>
      <c r="C180" s="1046"/>
      <c r="D180" s="1011"/>
      <c r="E180" s="1047"/>
      <c r="F180" s="1048"/>
      <c r="G180" s="1048"/>
      <c r="H180" s="1012"/>
      <c r="I180" s="1012"/>
      <c r="J180" s="1013"/>
      <c r="K180" s="1049"/>
      <c r="L180" s="1049"/>
      <c r="M180" s="1044"/>
      <c r="N180" s="1045"/>
      <c r="O180" s="1049"/>
      <c r="P180" s="1049"/>
      <c r="Q180" s="1011"/>
      <c r="R180" s="1049"/>
      <c r="S180" s="1049"/>
      <c r="T180" s="1049"/>
      <c r="U180" s="1050"/>
      <c r="V180" s="904"/>
      <c r="W180"/>
      <c r="X180"/>
      <c r="Y180"/>
      <c r="Z180" s="1041"/>
      <c r="AA180" s="902"/>
      <c r="AB180" s="901"/>
      <c r="AC180"/>
    </row>
    <row r="181" spans="1:29">
      <c r="A181" s="983"/>
      <c r="B181" s="1037"/>
      <c r="C181" s="952"/>
      <c r="D181" s="940"/>
      <c r="E181" s="922"/>
      <c r="F181" s="930"/>
      <c r="G181" s="930"/>
      <c r="H181" s="953"/>
      <c r="I181" s="953"/>
      <c r="J181" s="1005"/>
      <c r="K181" s="935"/>
      <c r="L181" s="935"/>
      <c r="M181" s="1007"/>
      <c r="N181" s="927"/>
      <c r="O181" s="935"/>
      <c r="P181" s="935"/>
      <c r="Q181" s="940"/>
      <c r="R181" s="935"/>
      <c r="S181" s="935"/>
      <c r="T181" s="935"/>
      <c r="U181" s="1006"/>
      <c r="V181" s="904"/>
      <c r="W181"/>
      <c r="X181"/>
      <c r="Y181"/>
      <c r="Z181" s="1041"/>
      <c r="AA181" s="902"/>
      <c r="AB181" s="901"/>
      <c r="AC181"/>
    </row>
    <row r="182" spans="1:29">
      <c r="A182" s="983"/>
      <c r="B182" s="1037"/>
      <c r="C182" s="952"/>
      <c r="D182" s="940"/>
      <c r="E182" s="922"/>
      <c r="F182" s="938"/>
      <c r="G182" s="938"/>
      <c r="H182" s="953"/>
      <c r="I182" s="953"/>
      <c r="J182" s="1005"/>
      <c r="K182" s="935"/>
      <c r="L182" s="935"/>
      <c r="M182" s="1007"/>
      <c r="N182" s="927"/>
      <c r="O182" s="935"/>
      <c r="P182" s="935"/>
      <c r="Q182" s="940"/>
      <c r="R182" s="935"/>
      <c r="S182" s="935"/>
      <c r="T182" s="935"/>
      <c r="U182" s="1006"/>
      <c r="V182" s="904"/>
      <c r="W182"/>
      <c r="X182"/>
      <c r="Y182"/>
      <c r="Z182" s="1041"/>
      <c r="AA182" s="902"/>
      <c r="AB182" s="901"/>
      <c r="AC182"/>
    </row>
    <row r="183" spans="1:29">
      <c r="A183" s="983"/>
      <c r="B183" s="1037"/>
      <c r="C183" s="952"/>
      <c r="D183" s="940"/>
      <c r="E183" s="922"/>
      <c r="F183" s="946"/>
      <c r="G183" s="946"/>
      <c r="H183" s="922"/>
      <c r="I183" s="922"/>
      <c r="J183" s="1005"/>
      <c r="K183" s="935"/>
      <c r="L183" s="935"/>
      <c r="M183" s="1007"/>
      <c r="N183" s="927"/>
      <c r="O183" s="935"/>
      <c r="P183" s="947"/>
      <c r="Q183" s="940"/>
      <c r="R183" s="935"/>
      <c r="S183" s="935"/>
      <c r="T183" s="935"/>
      <c r="U183" s="1006"/>
      <c r="V183" s="904"/>
      <c r="W183"/>
      <c r="X183"/>
      <c r="Y183"/>
      <c r="Z183" s="1041"/>
      <c r="AA183" s="902"/>
      <c r="AB183" s="901"/>
      <c r="AC183"/>
    </row>
    <row r="184" spans="1:29">
      <c r="A184" s="983"/>
      <c r="B184" s="1037"/>
      <c r="C184" s="952"/>
      <c r="D184" s="940"/>
      <c r="E184" s="956"/>
      <c r="F184" s="934"/>
      <c r="G184" s="934"/>
      <c r="H184" s="956"/>
      <c r="I184" s="956"/>
      <c r="J184" s="1005"/>
      <c r="K184" s="935"/>
      <c r="L184" s="935"/>
      <c r="M184" s="1007"/>
      <c r="N184" s="927"/>
      <c r="O184" s="935"/>
      <c r="P184" s="933"/>
      <c r="Q184" s="940"/>
      <c r="R184" s="933"/>
      <c r="S184" s="933"/>
      <c r="T184" s="935"/>
      <c r="U184" s="1006"/>
      <c r="V184" s="904"/>
      <c r="W184"/>
      <c r="X184"/>
      <c r="Y184"/>
      <c r="Z184" s="1041"/>
      <c r="AA184" s="902"/>
      <c r="AB184" s="901"/>
      <c r="AC184"/>
    </row>
    <row r="185" spans="1:29">
      <c r="A185" s="983"/>
      <c r="B185" s="1037"/>
      <c r="C185" s="952"/>
      <c r="D185" s="940"/>
      <c r="E185" s="922"/>
      <c r="F185" s="934"/>
      <c r="G185" s="934"/>
      <c r="H185" s="953"/>
      <c r="I185" s="953"/>
      <c r="J185" s="1005"/>
      <c r="K185" s="935"/>
      <c r="L185" s="935"/>
      <c r="M185" s="1007"/>
      <c r="N185" s="927"/>
      <c r="O185" s="935"/>
      <c r="P185" s="945"/>
      <c r="Q185" s="940"/>
      <c r="R185" s="933"/>
      <c r="S185" s="933"/>
      <c r="T185" s="935"/>
      <c r="U185" s="1006"/>
      <c r="V185" s="904"/>
      <c r="W185"/>
      <c r="X185"/>
      <c r="Y185"/>
      <c r="Z185" s="1041"/>
      <c r="AA185" s="902"/>
      <c r="AB185" s="901"/>
      <c r="AC185"/>
    </row>
    <row r="186" spans="1:29" ht="15" customHeight="1">
      <c r="A186" s="983"/>
      <c r="B186" s="1037"/>
      <c r="C186" s="952"/>
      <c r="D186" s="940"/>
      <c r="E186" s="922"/>
      <c r="F186" s="938"/>
      <c r="G186" s="938"/>
      <c r="H186" s="953"/>
      <c r="I186" s="953"/>
      <c r="J186" s="1005"/>
      <c r="K186" s="935"/>
      <c r="L186" s="935"/>
      <c r="M186" s="1007"/>
      <c r="N186" s="927"/>
      <c r="O186" s="935"/>
      <c r="P186" s="933"/>
      <c r="Q186" s="940"/>
      <c r="R186" s="933"/>
      <c r="S186" s="933"/>
      <c r="T186" s="935"/>
      <c r="U186" s="1006"/>
      <c r="V186" s="904"/>
      <c r="W186"/>
      <c r="X186"/>
      <c r="Y186"/>
      <c r="Z186" s="1041"/>
      <c r="AA186" s="902"/>
      <c r="AB186" s="901"/>
      <c r="AC186"/>
    </row>
    <row r="187" spans="1:29">
      <c r="A187" s="983"/>
      <c r="B187" s="1037"/>
      <c r="C187" s="952"/>
      <c r="D187" s="940"/>
      <c r="E187" s="922"/>
      <c r="F187" s="938"/>
      <c r="G187" s="938"/>
      <c r="H187" s="953"/>
      <c r="I187" s="953"/>
      <c r="J187" s="1005"/>
      <c r="K187" s="935"/>
      <c r="L187" s="935"/>
      <c r="M187" s="1007"/>
      <c r="N187" s="927"/>
      <c r="O187" s="935"/>
      <c r="P187" s="933"/>
      <c r="Q187" s="940"/>
      <c r="R187" s="933"/>
      <c r="S187" s="933"/>
      <c r="T187" s="935"/>
      <c r="U187" s="1006"/>
      <c r="V187" s="904"/>
      <c r="W187"/>
      <c r="X187"/>
      <c r="Y187"/>
      <c r="Z187" s="1041"/>
      <c r="AA187" s="902"/>
      <c r="AB187" s="901"/>
      <c r="AC187"/>
    </row>
    <row r="188" spans="1:29">
      <c r="A188" s="983"/>
      <c r="B188" s="1037"/>
      <c r="C188" s="952"/>
      <c r="D188" s="940"/>
      <c r="E188" s="922"/>
      <c r="F188" s="938"/>
      <c r="G188" s="938"/>
      <c r="H188" s="953"/>
      <c r="I188" s="953"/>
      <c r="J188" s="1005"/>
      <c r="K188" s="935"/>
      <c r="L188" s="935"/>
      <c r="M188" s="1007"/>
      <c r="N188" s="927"/>
      <c r="O188" s="935"/>
      <c r="P188" s="933"/>
      <c r="Q188" s="940"/>
      <c r="R188" s="933"/>
      <c r="S188" s="933"/>
      <c r="T188" s="935"/>
      <c r="U188" s="1006"/>
      <c r="V188" s="904"/>
      <c r="W188"/>
      <c r="X188"/>
      <c r="Y188"/>
      <c r="Z188" s="1041"/>
      <c r="AA188" s="902"/>
      <c r="AB188" s="901"/>
      <c r="AC188"/>
    </row>
    <row r="189" spans="1:29">
      <c r="A189" s="983"/>
      <c r="B189" s="1037"/>
      <c r="C189" s="952"/>
      <c r="D189" s="940"/>
      <c r="E189" s="922"/>
      <c r="F189" s="938"/>
      <c r="G189" s="938"/>
      <c r="H189" s="953"/>
      <c r="I189" s="953"/>
      <c r="J189" s="1005"/>
      <c r="K189" s="935"/>
      <c r="L189" s="935"/>
      <c r="M189" s="1007"/>
      <c r="N189" s="927"/>
      <c r="O189" s="935"/>
      <c r="P189" s="933"/>
      <c r="Q189" s="940"/>
      <c r="R189" s="933"/>
      <c r="S189" s="933"/>
      <c r="T189" s="935"/>
      <c r="U189" s="1006"/>
      <c r="V189" s="904"/>
      <c r="W189"/>
      <c r="X189"/>
      <c r="Y189"/>
      <c r="Z189" s="1041"/>
      <c r="AA189" s="902"/>
      <c r="AB189" s="901"/>
      <c r="AC189"/>
    </row>
    <row r="190" spans="1:29">
      <c r="A190" s="983"/>
      <c r="B190" s="1037"/>
      <c r="C190" s="952"/>
      <c r="D190" s="940"/>
      <c r="E190" s="922"/>
      <c r="F190" s="938"/>
      <c r="G190" s="938"/>
      <c r="H190" s="953"/>
      <c r="I190" s="953"/>
      <c r="J190" s="1005"/>
      <c r="K190" s="935"/>
      <c r="L190" s="935"/>
      <c r="M190" s="1007"/>
      <c r="N190" s="927"/>
      <c r="O190" s="935"/>
      <c r="P190" s="933"/>
      <c r="Q190" s="940"/>
      <c r="R190" s="933"/>
      <c r="S190" s="933"/>
      <c r="T190" s="935"/>
      <c r="U190" s="1006"/>
      <c r="V190" s="904"/>
      <c r="W190"/>
      <c r="X190"/>
      <c r="Y190"/>
      <c r="Z190" s="1041"/>
      <c r="AA190" s="902"/>
      <c r="AB190" s="901"/>
      <c r="AC190"/>
    </row>
    <row r="191" spans="1:29">
      <c r="A191" s="983"/>
      <c r="B191" s="1037"/>
      <c r="C191" s="952"/>
      <c r="D191" s="940"/>
      <c r="E191" s="922"/>
      <c r="F191" s="938"/>
      <c r="G191" s="938"/>
      <c r="H191" s="953"/>
      <c r="I191" s="953"/>
      <c r="J191" s="1005"/>
      <c r="K191" s="935"/>
      <c r="L191" s="935"/>
      <c r="M191" s="1007"/>
      <c r="N191" s="927"/>
      <c r="O191" s="935"/>
      <c r="P191" s="933"/>
      <c r="Q191" s="940"/>
      <c r="R191" s="933"/>
      <c r="S191" s="933"/>
      <c r="T191" s="935"/>
      <c r="U191" s="1006"/>
      <c r="V191" s="904"/>
      <c r="W191"/>
      <c r="X191"/>
      <c r="Y191"/>
      <c r="Z191" s="1041"/>
      <c r="AA191" s="902"/>
      <c r="AB191" s="901"/>
      <c r="AC191"/>
    </row>
    <row r="192" spans="1:29">
      <c r="A192" s="983"/>
      <c r="B192" s="1037"/>
      <c r="C192" s="952"/>
      <c r="D192" s="940"/>
      <c r="E192" s="956"/>
      <c r="F192" s="934"/>
      <c r="G192" s="934"/>
      <c r="H192" s="956"/>
      <c r="I192" s="956"/>
      <c r="J192" s="1005"/>
      <c r="K192" s="935"/>
      <c r="L192" s="935"/>
      <c r="M192" s="1007"/>
      <c r="N192" s="927"/>
      <c r="O192" s="935"/>
      <c r="P192" s="933"/>
      <c r="Q192" s="940"/>
      <c r="R192" s="933"/>
      <c r="S192" s="933"/>
      <c r="T192" s="935"/>
      <c r="U192" s="1006"/>
      <c r="V192" s="904"/>
      <c r="W192"/>
      <c r="X192"/>
      <c r="Y192"/>
      <c r="Z192" s="1041"/>
      <c r="AA192" s="902"/>
      <c r="AB192" s="901"/>
      <c r="AC192"/>
    </row>
    <row r="193" spans="1:32">
      <c r="A193" s="983"/>
      <c r="B193" s="1037"/>
      <c r="C193" s="952"/>
      <c r="D193" s="940"/>
      <c r="E193" s="956"/>
      <c r="F193" s="934"/>
      <c r="G193" s="934"/>
      <c r="H193" s="956"/>
      <c r="I193" s="956"/>
      <c r="J193" s="1005"/>
      <c r="K193" s="935"/>
      <c r="L193" s="935"/>
      <c r="M193" s="1007"/>
      <c r="N193" s="927"/>
      <c r="O193" s="935"/>
      <c r="P193" s="933"/>
      <c r="Q193" s="940"/>
      <c r="R193" s="933"/>
      <c r="S193" s="933"/>
      <c r="T193" s="935"/>
      <c r="U193" s="1006"/>
      <c r="V193" s="904"/>
      <c r="W193"/>
      <c r="X193"/>
      <c r="Y193"/>
      <c r="Z193" s="1041"/>
      <c r="AA193" s="902"/>
      <c r="AB193" s="901"/>
      <c r="AC193"/>
    </row>
    <row r="194" spans="1:32">
      <c r="A194" s="983"/>
      <c r="B194" s="1037"/>
      <c r="C194" s="952"/>
      <c r="D194" s="940"/>
      <c r="E194" s="956"/>
      <c r="F194" s="934"/>
      <c r="G194" s="934"/>
      <c r="H194" s="956"/>
      <c r="I194" s="956"/>
      <c r="J194" s="1005"/>
      <c r="K194" s="935"/>
      <c r="L194" s="935"/>
      <c r="M194" s="1007"/>
      <c r="N194" s="927"/>
      <c r="O194" s="935"/>
      <c r="P194" s="933"/>
      <c r="Q194" s="940"/>
      <c r="R194" s="933"/>
      <c r="S194" s="933"/>
      <c r="T194" s="935"/>
      <c r="U194" s="1006"/>
      <c r="V194" s="904"/>
      <c r="W194"/>
      <c r="X194"/>
      <c r="Y194"/>
      <c r="Z194" s="1041"/>
      <c r="AA194" s="902"/>
      <c r="AB194" s="901"/>
      <c r="AC194"/>
    </row>
    <row r="195" spans="1:32">
      <c r="A195" s="983"/>
      <c r="B195" s="1037"/>
      <c r="C195" s="952"/>
      <c r="D195" s="940"/>
      <c r="E195" s="956"/>
      <c r="F195" s="934"/>
      <c r="G195" s="934"/>
      <c r="H195" s="956"/>
      <c r="I195" s="956"/>
      <c r="J195" s="1005"/>
      <c r="K195" s="935"/>
      <c r="L195" s="935"/>
      <c r="M195" s="1007"/>
      <c r="N195" s="927"/>
      <c r="O195" s="935"/>
      <c r="P195" s="933"/>
      <c r="Q195" s="940"/>
      <c r="R195" s="933"/>
      <c r="S195" s="933"/>
      <c r="T195" s="935"/>
      <c r="U195" s="1006"/>
      <c r="V195" s="904"/>
      <c r="W195"/>
      <c r="X195"/>
      <c r="Y195"/>
      <c r="Z195" s="1041"/>
      <c r="AA195" s="902"/>
      <c r="AB195" s="901"/>
      <c r="AC195"/>
    </row>
    <row r="196" spans="1:32" ht="15" customHeight="1">
      <c r="A196" s="983"/>
      <c r="B196" s="1037"/>
      <c r="C196" s="952"/>
      <c r="D196" s="940"/>
      <c r="E196" s="922"/>
      <c r="F196" s="938"/>
      <c r="G196" s="938"/>
      <c r="H196" s="953"/>
      <c r="I196" s="953"/>
      <c r="J196" s="1005"/>
      <c r="K196" s="935"/>
      <c r="L196" s="935"/>
      <c r="M196" s="1007"/>
      <c r="N196" s="927"/>
      <c r="O196" s="935"/>
      <c r="P196" s="933"/>
      <c r="Q196" s="940"/>
      <c r="R196" s="933"/>
      <c r="S196" s="933"/>
      <c r="T196" s="935"/>
      <c r="U196" s="1006"/>
      <c r="V196" s="904"/>
      <c r="W196"/>
      <c r="X196"/>
      <c r="Y196"/>
      <c r="Z196" s="1041"/>
      <c r="AA196" s="902"/>
      <c r="AB196" s="901"/>
      <c r="AC196"/>
    </row>
    <row r="197" spans="1:32">
      <c r="A197" s="983"/>
      <c r="B197" s="1037"/>
      <c r="C197" s="952"/>
      <c r="D197" s="940"/>
      <c r="E197" s="922"/>
      <c r="F197" s="938"/>
      <c r="G197" s="938"/>
      <c r="H197" s="953"/>
      <c r="I197" s="953"/>
      <c r="J197" s="1005"/>
      <c r="K197" s="935"/>
      <c r="L197" s="935"/>
      <c r="M197" s="1007"/>
      <c r="N197" s="927"/>
      <c r="O197" s="935"/>
      <c r="P197" s="933"/>
      <c r="Q197" s="940"/>
      <c r="R197" s="933"/>
      <c r="S197" s="933"/>
      <c r="T197" s="935"/>
      <c r="U197" s="1006"/>
      <c r="V197" s="904"/>
      <c r="W197"/>
      <c r="X197"/>
      <c r="Y197"/>
      <c r="Z197" s="1041"/>
      <c r="AA197" s="902"/>
      <c r="AB197" s="901"/>
      <c r="AC197"/>
    </row>
    <row r="198" spans="1:32" ht="15" customHeight="1">
      <c r="A198" s="983"/>
      <c r="B198" s="1037"/>
      <c r="C198" s="952"/>
      <c r="D198" s="940"/>
      <c r="E198" s="922"/>
      <c r="F198" s="938"/>
      <c r="G198" s="934"/>
      <c r="H198" s="953"/>
      <c r="I198" s="953"/>
      <c r="J198" s="1005"/>
      <c r="K198" s="935"/>
      <c r="L198" s="935"/>
      <c r="M198" s="1007"/>
      <c r="N198" s="927"/>
      <c r="O198" s="935"/>
      <c r="P198" s="933"/>
      <c r="Q198" s="940"/>
      <c r="R198" s="933"/>
      <c r="S198" s="933"/>
      <c r="T198" s="935"/>
      <c r="U198" s="1006"/>
      <c r="V198" s="904"/>
      <c r="W198"/>
      <c r="X198"/>
      <c r="Y198"/>
      <c r="Z198" s="1041"/>
      <c r="AA198" s="902"/>
      <c r="AB198" s="901"/>
      <c r="AC198"/>
    </row>
    <row r="199" spans="1:32" s="900" customFormat="1" ht="15" customHeight="1">
      <c r="A199" s="983"/>
      <c r="B199" s="1037"/>
      <c r="C199" s="952"/>
      <c r="D199" s="940"/>
      <c r="E199" s="922"/>
      <c r="F199" s="934"/>
      <c r="G199" s="934"/>
      <c r="H199" s="953"/>
      <c r="I199" s="953"/>
      <c r="J199" s="1005"/>
      <c r="K199" s="935"/>
      <c r="L199" s="935"/>
      <c r="M199" s="1007"/>
      <c r="N199" s="927"/>
      <c r="O199" s="935"/>
      <c r="P199" s="933"/>
      <c r="Q199" s="940"/>
      <c r="R199" s="933"/>
      <c r="S199" s="933"/>
      <c r="T199" s="935"/>
      <c r="U199" s="1006"/>
      <c r="V199" s="904"/>
      <c r="W199"/>
      <c r="X199"/>
      <c r="Y199"/>
      <c r="Z199" s="1041"/>
      <c r="AA199" s="902"/>
      <c r="AB199" s="901"/>
      <c r="AC199"/>
      <c r="AF199" s="987"/>
    </row>
    <row r="200" spans="1:32">
      <c r="A200" s="983"/>
      <c r="B200" s="1037"/>
      <c r="C200" s="952"/>
      <c r="D200" s="940"/>
      <c r="E200" s="956"/>
      <c r="F200" s="934"/>
      <c r="G200" s="934"/>
      <c r="H200" s="956"/>
      <c r="I200" s="956"/>
      <c r="J200" s="1005"/>
      <c r="K200" s="935"/>
      <c r="L200" s="935"/>
      <c r="M200" s="1007"/>
      <c r="N200" s="927"/>
      <c r="O200" s="935"/>
      <c r="P200" s="933"/>
      <c r="Q200" s="940"/>
      <c r="R200" s="933"/>
      <c r="S200" s="933"/>
      <c r="T200" s="935"/>
      <c r="U200" s="1006"/>
      <c r="V200" s="904"/>
      <c r="W200"/>
      <c r="X200"/>
      <c r="Y200"/>
      <c r="Z200" s="1041"/>
      <c r="AA200" s="902"/>
      <c r="AB200" s="901"/>
      <c r="AC200"/>
    </row>
    <row r="201" spans="1:32">
      <c r="A201" s="983"/>
      <c r="B201" s="1037"/>
      <c r="C201" s="952"/>
      <c r="D201" s="940"/>
      <c r="E201" s="956"/>
      <c r="F201" s="934"/>
      <c r="G201" s="934"/>
      <c r="H201" s="956"/>
      <c r="I201" s="956"/>
      <c r="J201" s="1005"/>
      <c r="K201" s="935"/>
      <c r="L201" s="935"/>
      <c r="M201" s="1007"/>
      <c r="N201" s="927"/>
      <c r="O201" s="935"/>
      <c r="P201" s="933"/>
      <c r="Q201" s="940"/>
      <c r="R201" s="933"/>
      <c r="S201" s="933"/>
      <c r="T201" s="935"/>
      <c r="U201" s="1006"/>
      <c r="V201" s="904"/>
      <c r="W201"/>
      <c r="X201"/>
      <c r="Y201"/>
      <c r="Z201" s="1041"/>
      <c r="AA201" s="902"/>
      <c r="AB201" s="901"/>
      <c r="AC201"/>
    </row>
    <row r="202" spans="1:32">
      <c r="A202" s="983"/>
      <c r="B202" s="1037"/>
      <c r="C202" s="952"/>
      <c r="D202" s="940"/>
      <c r="E202" s="956"/>
      <c r="F202" s="934"/>
      <c r="G202" s="934"/>
      <c r="H202" s="956"/>
      <c r="I202" s="956"/>
      <c r="J202" s="1005"/>
      <c r="K202" s="935"/>
      <c r="L202" s="935"/>
      <c r="M202" s="1007"/>
      <c r="N202" s="927"/>
      <c r="O202" s="935"/>
      <c r="P202" s="933"/>
      <c r="Q202" s="940"/>
      <c r="R202" s="933"/>
      <c r="S202" s="933"/>
      <c r="T202" s="935"/>
      <c r="U202" s="1006"/>
      <c r="V202" s="904"/>
      <c r="W202"/>
      <c r="X202"/>
      <c r="Y202"/>
      <c r="Z202" s="1041"/>
      <c r="AA202" s="902"/>
      <c r="AB202" s="901"/>
      <c r="AC202"/>
    </row>
    <row r="203" spans="1:32">
      <c r="A203" s="983"/>
      <c r="B203" s="1037"/>
      <c r="C203" s="952"/>
      <c r="D203" s="940"/>
      <c r="E203" s="956"/>
      <c r="F203" s="934"/>
      <c r="G203" s="934"/>
      <c r="H203" s="956"/>
      <c r="I203" s="956"/>
      <c r="J203" s="1005"/>
      <c r="K203" s="935"/>
      <c r="L203" s="935"/>
      <c r="M203" s="1007"/>
      <c r="N203" s="927"/>
      <c r="O203" s="935"/>
      <c r="P203" s="933"/>
      <c r="Q203" s="940"/>
      <c r="R203" s="933"/>
      <c r="S203" s="933"/>
      <c r="T203" s="935"/>
      <c r="U203" s="1006"/>
      <c r="V203" s="904"/>
      <c r="W203"/>
      <c r="X203"/>
      <c r="Y203"/>
      <c r="Z203" s="1041"/>
      <c r="AA203" s="902"/>
      <c r="AB203" s="901"/>
      <c r="AC203"/>
    </row>
    <row r="204" spans="1:32">
      <c r="A204" s="983"/>
      <c r="B204" s="1037"/>
      <c r="C204" s="952"/>
      <c r="D204" s="940"/>
      <c r="E204" s="956"/>
      <c r="F204" s="934"/>
      <c r="G204" s="934"/>
      <c r="H204" s="956"/>
      <c r="I204" s="956"/>
      <c r="J204" s="1005"/>
      <c r="K204" s="935"/>
      <c r="L204" s="935"/>
      <c r="M204" s="1007"/>
      <c r="N204" s="927"/>
      <c r="O204" s="935"/>
      <c r="P204" s="933"/>
      <c r="Q204" s="940"/>
      <c r="R204" s="933"/>
      <c r="S204" s="933"/>
      <c r="T204" s="935"/>
      <c r="U204" s="1006"/>
      <c r="V204" s="904"/>
      <c r="W204"/>
      <c r="X204"/>
      <c r="Y204"/>
      <c r="Z204" s="1041"/>
      <c r="AA204" s="902"/>
      <c r="AB204" s="901"/>
      <c r="AC204"/>
    </row>
    <row r="205" spans="1:32">
      <c r="A205" s="983"/>
      <c r="B205" s="1037"/>
      <c r="C205" s="952"/>
      <c r="D205" s="940"/>
      <c r="E205" s="956"/>
      <c r="F205" s="934"/>
      <c r="G205" s="934"/>
      <c r="H205" s="956"/>
      <c r="I205" s="956"/>
      <c r="J205" s="1005"/>
      <c r="K205" s="935"/>
      <c r="L205" s="935"/>
      <c r="M205" s="1007"/>
      <c r="N205" s="927"/>
      <c r="O205" s="935"/>
      <c r="P205" s="933"/>
      <c r="Q205" s="940"/>
      <c r="R205" s="933"/>
      <c r="S205" s="933"/>
      <c r="T205" s="935"/>
      <c r="U205" s="1006"/>
      <c r="V205" s="904"/>
      <c r="W205"/>
      <c r="X205"/>
      <c r="Y205"/>
      <c r="Z205" s="1041"/>
      <c r="AA205" s="902"/>
      <c r="AB205" s="901"/>
      <c r="AC205"/>
    </row>
    <row r="206" spans="1:32">
      <c r="A206" s="983"/>
      <c r="B206" s="1037"/>
      <c r="C206" s="952"/>
      <c r="D206" s="940"/>
      <c r="E206" s="956"/>
      <c r="F206" s="934"/>
      <c r="G206" s="934"/>
      <c r="H206" s="956"/>
      <c r="I206" s="956"/>
      <c r="J206" s="1005"/>
      <c r="K206" s="935"/>
      <c r="L206" s="935"/>
      <c r="M206" s="1007"/>
      <c r="N206" s="927"/>
      <c r="O206" s="935"/>
      <c r="P206" s="933"/>
      <c r="Q206" s="940"/>
      <c r="R206" s="933"/>
      <c r="S206" s="933"/>
      <c r="T206" s="935"/>
      <c r="U206" s="1006"/>
      <c r="V206" s="904"/>
      <c r="W206"/>
      <c r="X206"/>
      <c r="Y206"/>
      <c r="Z206" s="1041"/>
      <c r="AA206" s="902"/>
      <c r="AB206" s="901"/>
      <c r="AC206"/>
    </row>
    <row r="207" spans="1:32">
      <c r="A207" s="983"/>
      <c r="B207" s="1037"/>
      <c r="C207" s="952"/>
      <c r="D207" s="940"/>
      <c r="E207" s="922"/>
      <c r="F207" s="938"/>
      <c r="G207" s="934"/>
      <c r="H207" s="953"/>
      <c r="I207" s="953"/>
      <c r="J207" s="1005"/>
      <c r="K207" s="935"/>
      <c r="L207" s="935"/>
      <c r="M207" s="1007"/>
      <c r="N207" s="927"/>
      <c r="O207" s="935"/>
      <c r="P207" s="933"/>
      <c r="Q207" s="940"/>
      <c r="R207" s="933"/>
      <c r="S207" s="933"/>
      <c r="T207" s="935"/>
      <c r="U207" s="1006"/>
      <c r="V207" s="904"/>
      <c r="W207"/>
      <c r="X207"/>
      <c r="Y207"/>
      <c r="Z207" s="1041"/>
      <c r="AA207" s="902"/>
      <c r="AB207" s="901"/>
      <c r="AC207"/>
    </row>
    <row r="208" spans="1:32">
      <c r="A208" s="983"/>
      <c r="B208" s="1037"/>
      <c r="C208" s="952"/>
      <c r="D208" s="940"/>
      <c r="E208" s="956"/>
      <c r="F208" s="934"/>
      <c r="G208" s="934"/>
      <c r="H208" s="956"/>
      <c r="I208" s="956"/>
      <c r="J208" s="1005"/>
      <c r="K208" s="935"/>
      <c r="L208" s="935"/>
      <c r="M208" s="1007"/>
      <c r="N208" s="927"/>
      <c r="O208" s="935"/>
      <c r="P208" s="933"/>
      <c r="Q208" s="940"/>
      <c r="R208" s="933"/>
      <c r="S208" s="933"/>
      <c r="T208" s="935"/>
      <c r="U208" s="1006"/>
      <c r="V208" s="904"/>
      <c r="W208"/>
      <c r="X208"/>
      <c r="Y208"/>
      <c r="Z208" s="1041"/>
      <c r="AA208" s="902"/>
      <c r="AB208" s="901"/>
      <c r="AC208"/>
    </row>
    <row r="209" spans="1:29" ht="15" customHeight="1">
      <c r="A209" s="983"/>
      <c r="B209" s="1037"/>
      <c r="C209" s="952"/>
      <c r="D209" s="940"/>
      <c r="E209" s="922"/>
      <c r="F209" s="938"/>
      <c r="G209" s="938"/>
      <c r="H209" s="953"/>
      <c r="I209" s="953"/>
      <c r="J209" s="1005"/>
      <c r="K209" s="935"/>
      <c r="L209" s="935"/>
      <c r="M209" s="1007"/>
      <c r="N209" s="927"/>
      <c r="O209" s="935"/>
      <c r="P209" s="933"/>
      <c r="Q209" s="940"/>
      <c r="R209" s="933"/>
      <c r="S209" s="933"/>
      <c r="T209" s="935"/>
      <c r="U209" s="1006"/>
      <c r="V209" s="904"/>
      <c r="W209"/>
      <c r="X209"/>
      <c r="Y209"/>
      <c r="Z209" s="1041"/>
      <c r="AA209" s="902"/>
      <c r="AB209" s="901"/>
      <c r="AC209"/>
    </row>
    <row r="210" spans="1:29" ht="15" customHeight="1">
      <c r="A210" s="983"/>
      <c r="B210" s="1037"/>
      <c r="C210" s="952"/>
      <c r="D210" s="940"/>
      <c r="E210" s="922"/>
      <c r="F210" s="934"/>
      <c r="G210" s="934"/>
      <c r="H210" s="953"/>
      <c r="I210" s="953"/>
      <c r="J210" s="1005"/>
      <c r="K210" s="935"/>
      <c r="L210" s="935"/>
      <c r="M210" s="1007"/>
      <c r="N210" s="927"/>
      <c r="O210" s="935"/>
      <c r="P210" s="933"/>
      <c r="Q210" s="940"/>
      <c r="R210" s="933"/>
      <c r="S210" s="933"/>
      <c r="T210" s="935"/>
      <c r="U210" s="1006"/>
      <c r="V210" s="904"/>
      <c r="W210"/>
      <c r="X210"/>
      <c r="Y210"/>
      <c r="Z210" s="1041"/>
      <c r="AA210" s="902"/>
      <c r="AB210" s="901"/>
      <c r="AC210"/>
    </row>
    <row r="211" spans="1:29">
      <c r="A211" s="983"/>
      <c r="B211" s="1037"/>
      <c r="C211" s="952"/>
      <c r="D211" s="940"/>
      <c r="E211" s="956"/>
      <c r="F211" s="934"/>
      <c r="G211" s="934"/>
      <c r="H211" s="956"/>
      <c r="I211" s="956"/>
      <c r="J211" s="1005"/>
      <c r="K211" s="935"/>
      <c r="L211" s="935"/>
      <c r="M211" s="1007"/>
      <c r="N211" s="927"/>
      <c r="O211" s="935"/>
      <c r="P211" s="933"/>
      <c r="Q211" s="940"/>
      <c r="R211" s="933"/>
      <c r="S211" s="933"/>
      <c r="T211" s="935"/>
      <c r="U211" s="1006"/>
      <c r="V211" s="904"/>
      <c r="W211"/>
      <c r="X211"/>
      <c r="Y211"/>
      <c r="Z211" s="1041"/>
      <c r="AA211" s="902"/>
      <c r="AB211" s="901"/>
      <c r="AC211"/>
    </row>
    <row r="212" spans="1:29">
      <c r="A212" s="983"/>
      <c r="B212" s="1037"/>
      <c r="C212" s="952"/>
      <c r="D212" s="940"/>
      <c r="E212" s="922"/>
      <c r="F212" s="938"/>
      <c r="G212" s="938"/>
      <c r="H212" s="953"/>
      <c r="I212" s="953"/>
      <c r="J212" s="1005"/>
      <c r="K212" s="935"/>
      <c r="L212" s="935"/>
      <c r="M212" s="1007"/>
      <c r="N212" s="927"/>
      <c r="O212" s="935"/>
      <c r="P212" s="933"/>
      <c r="Q212" s="940"/>
      <c r="R212" s="933"/>
      <c r="S212" s="933"/>
      <c r="T212" s="935"/>
      <c r="U212" s="1006"/>
      <c r="V212" s="904"/>
      <c r="W212"/>
      <c r="X212"/>
      <c r="Y212"/>
      <c r="Z212" s="1041"/>
      <c r="AA212" s="902"/>
      <c r="AB212" s="901"/>
      <c r="AC212"/>
    </row>
    <row r="213" spans="1:29">
      <c r="A213" s="983"/>
      <c r="B213" s="1037"/>
      <c r="C213" s="952"/>
      <c r="D213" s="940"/>
      <c r="E213" s="956"/>
      <c r="F213" s="934"/>
      <c r="G213" s="934"/>
      <c r="H213" s="933"/>
      <c r="I213" s="933"/>
      <c r="J213" s="1005"/>
      <c r="K213" s="935"/>
      <c r="L213" s="935"/>
      <c r="M213" s="1007"/>
      <c r="N213" s="927"/>
      <c r="O213" s="935"/>
      <c r="P213" s="945"/>
      <c r="Q213" s="940"/>
      <c r="R213" s="933"/>
      <c r="S213" s="933"/>
      <c r="T213" s="935"/>
      <c r="U213" s="1006"/>
      <c r="V213" s="904"/>
      <c r="W213"/>
      <c r="X213"/>
      <c r="Y213"/>
      <c r="Z213" s="1041"/>
      <c r="AA213" s="902"/>
      <c r="AB213" s="901"/>
      <c r="AC213"/>
    </row>
    <row r="214" spans="1:29">
      <c r="A214" s="983"/>
      <c r="B214" s="1037"/>
      <c r="C214" s="952"/>
      <c r="D214" s="940"/>
      <c r="E214" s="922"/>
      <c r="F214" s="938"/>
      <c r="G214" s="934"/>
      <c r="H214" s="953"/>
      <c r="I214" s="953"/>
      <c r="J214" s="1005"/>
      <c r="K214" s="935"/>
      <c r="L214" s="935"/>
      <c r="M214" s="1007"/>
      <c r="N214" s="927"/>
      <c r="O214" s="935"/>
      <c r="P214" s="933"/>
      <c r="Q214" s="940"/>
      <c r="R214" s="933"/>
      <c r="S214" s="933"/>
      <c r="T214" s="935"/>
      <c r="U214" s="1006"/>
      <c r="V214" s="904"/>
      <c r="W214"/>
      <c r="X214"/>
      <c r="Y214"/>
      <c r="Z214" s="1041"/>
      <c r="AA214" s="902"/>
      <c r="AB214" s="901"/>
      <c r="AC214"/>
    </row>
    <row r="215" spans="1:29">
      <c r="A215" s="983"/>
      <c r="B215" s="1037"/>
      <c r="C215" s="952"/>
      <c r="D215" s="940"/>
      <c r="E215" s="956"/>
      <c r="F215" s="934"/>
      <c r="G215" s="934"/>
      <c r="H215" s="956"/>
      <c r="I215" s="956"/>
      <c r="J215" s="1005"/>
      <c r="K215" s="935"/>
      <c r="L215" s="935"/>
      <c r="M215" s="1007"/>
      <c r="N215" s="927"/>
      <c r="O215" s="935"/>
      <c r="P215" s="945"/>
      <c r="Q215" s="940"/>
      <c r="R215" s="933"/>
      <c r="S215" s="933"/>
      <c r="T215" s="935"/>
      <c r="U215" s="1006"/>
      <c r="V215" s="904"/>
      <c r="W215"/>
      <c r="X215"/>
      <c r="Y215"/>
      <c r="Z215" s="1041"/>
      <c r="AA215" s="902"/>
      <c r="AB215" s="901"/>
      <c r="AC215"/>
    </row>
    <row r="216" spans="1:29" ht="15" customHeight="1">
      <c r="A216" s="983"/>
      <c r="B216" s="1037"/>
      <c r="C216" s="952"/>
      <c r="D216" s="940"/>
      <c r="E216" s="922"/>
      <c r="F216" s="934"/>
      <c r="G216" s="938"/>
      <c r="H216" s="953"/>
      <c r="I216" s="953"/>
      <c r="J216" s="1005"/>
      <c r="K216" s="935"/>
      <c r="L216" s="935"/>
      <c r="M216" s="1007"/>
      <c r="N216" s="927"/>
      <c r="O216" s="935"/>
      <c r="P216" s="933"/>
      <c r="Q216" s="940"/>
      <c r="R216" s="933"/>
      <c r="S216" s="933"/>
      <c r="T216" s="935"/>
      <c r="U216" s="1006"/>
      <c r="V216" s="904"/>
      <c r="W216"/>
      <c r="X216"/>
      <c r="Y216"/>
      <c r="Z216" s="1041"/>
      <c r="AA216" s="902"/>
      <c r="AB216" s="901"/>
      <c r="AC216"/>
    </row>
    <row r="217" spans="1:29">
      <c r="A217" s="983"/>
      <c r="B217" s="1037"/>
      <c r="C217" s="952"/>
      <c r="D217" s="940"/>
      <c r="E217" s="956"/>
      <c r="F217" s="934"/>
      <c r="G217" s="934"/>
      <c r="H217" s="956"/>
      <c r="I217" s="956"/>
      <c r="J217" s="1005"/>
      <c r="K217" s="935"/>
      <c r="L217" s="935"/>
      <c r="M217" s="1007"/>
      <c r="N217" s="927"/>
      <c r="O217" s="935"/>
      <c r="P217" s="933"/>
      <c r="Q217" s="940"/>
      <c r="R217" s="933"/>
      <c r="S217" s="933"/>
      <c r="T217" s="935"/>
      <c r="U217" s="1006"/>
      <c r="V217" s="904"/>
      <c r="W217"/>
      <c r="X217"/>
      <c r="Y217"/>
      <c r="Z217" s="1041"/>
      <c r="AA217" s="902"/>
      <c r="AB217" s="901"/>
      <c r="AC217"/>
    </row>
    <row r="218" spans="1:29">
      <c r="A218" s="983"/>
      <c r="B218" s="1037"/>
      <c r="C218" s="952"/>
      <c r="D218" s="940"/>
      <c r="E218" s="956"/>
      <c r="F218" s="934"/>
      <c r="G218" s="934"/>
      <c r="H218" s="956"/>
      <c r="I218" s="956"/>
      <c r="J218" s="1005"/>
      <c r="K218" s="935"/>
      <c r="L218" s="935"/>
      <c r="M218" s="1007"/>
      <c r="N218" s="927"/>
      <c r="O218" s="935"/>
      <c r="P218" s="933"/>
      <c r="Q218" s="940"/>
      <c r="R218" s="933"/>
      <c r="S218" s="933"/>
      <c r="T218" s="935"/>
      <c r="U218" s="1006"/>
      <c r="V218" s="904"/>
      <c r="W218"/>
      <c r="X218"/>
      <c r="Y218"/>
      <c r="Z218" s="1041"/>
      <c r="AA218" s="902"/>
      <c r="AB218" s="901"/>
      <c r="AC218"/>
    </row>
    <row r="219" spans="1:29" ht="15" customHeight="1">
      <c r="A219" s="983"/>
      <c r="B219" s="1037"/>
      <c r="C219" s="952"/>
      <c r="D219" s="940"/>
      <c r="E219" s="922"/>
      <c r="F219" s="938"/>
      <c r="G219" s="938"/>
      <c r="H219" s="953"/>
      <c r="I219" s="953"/>
      <c r="J219" s="1005"/>
      <c r="K219" s="935"/>
      <c r="L219" s="935"/>
      <c r="M219" s="1007"/>
      <c r="N219" s="927"/>
      <c r="O219" s="935"/>
      <c r="P219" s="933"/>
      <c r="Q219" s="940"/>
      <c r="R219" s="933"/>
      <c r="S219" s="933"/>
      <c r="T219" s="935"/>
      <c r="U219" s="1006"/>
      <c r="V219" s="904"/>
      <c r="W219"/>
      <c r="X219"/>
      <c r="Y219"/>
      <c r="Z219" s="1041"/>
      <c r="AA219" s="902"/>
      <c r="AB219" s="901"/>
      <c r="AC219"/>
    </row>
    <row r="220" spans="1:29">
      <c r="A220" s="983"/>
      <c r="B220" s="1037"/>
      <c r="C220" s="952"/>
      <c r="D220" s="940"/>
      <c r="E220" s="922"/>
      <c r="F220" s="938"/>
      <c r="G220" s="934"/>
      <c r="H220" s="953"/>
      <c r="I220" s="953"/>
      <c r="J220" s="1005"/>
      <c r="K220" s="935"/>
      <c r="L220" s="935"/>
      <c r="M220" s="1007"/>
      <c r="N220" s="927"/>
      <c r="O220" s="935"/>
      <c r="P220" s="933"/>
      <c r="Q220" s="940"/>
      <c r="R220" s="933"/>
      <c r="S220" s="933"/>
      <c r="T220" s="935"/>
      <c r="U220" s="1006"/>
      <c r="V220" s="904"/>
      <c r="W220"/>
      <c r="X220"/>
      <c r="Y220"/>
      <c r="Z220" s="1041"/>
      <c r="AA220" s="902"/>
      <c r="AB220" s="901"/>
      <c r="AC220"/>
    </row>
    <row r="221" spans="1:29">
      <c r="A221" s="983"/>
      <c r="B221" s="1037"/>
      <c r="C221" s="952"/>
      <c r="D221" s="940"/>
      <c r="E221" s="922"/>
      <c r="F221" s="934"/>
      <c r="G221" s="934"/>
      <c r="H221" s="953"/>
      <c r="I221" s="953"/>
      <c r="J221" s="1005"/>
      <c r="K221" s="935"/>
      <c r="L221" s="935"/>
      <c r="M221" s="1007"/>
      <c r="N221" s="927"/>
      <c r="O221" s="935"/>
      <c r="P221" s="933"/>
      <c r="Q221" s="940"/>
      <c r="R221" s="933"/>
      <c r="S221" s="933"/>
      <c r="T221" s="935"/>
      <c r="U221" s="1006"/>
      <c r="V221" s="904"/>
      <c r="W221"/>
      <c r="X221"/>
      <c r="Y221"/>
      <c r="Z221" s="1041"/>
      <c r="AA221" s="902"/>
      <c r="AB221" s="901"/>
      <c r="AC221"/>
    </row>
    <row r="222" spans="1:29">
      <c r="A222" s="983"/>
      <c r="B222" s="1037"/>
      <c r="C222" s="952"/>
      <c r="D222" s="940"/>
      <c r="E222" s="922"/>
      <c r="F222" s="938"/>
      <c r="G222" s="938"/>
      <c r="H222" s="953"/>
      <c r="I222" s="953"/>
      <c r="J222" s="1005"/>
      <c r="K222" s="935"/>
      <c r="L222" s="935"/>
      <c r="M222" s="1007"/>
      <c r="N222" s="927"/>
      <c r="O222" s="935"/>
      <c r="P222" s="933"/>
      <c r="Q222" s="940"/>
      <c r="R222" s="933"/>
      <c r="S222" s="933"/>
      <c r="T222" s="935"/>
      <c r="U222" s="1006"/>
      <c r="V222" s="904"/>
      <c r="W222"/>
      <c r="X222"/>
      <c r="Y222"/>
      <c r="Z222" s="1041"/>
      <c r="AA222" s="902"/>
      <c r="AB222" s="901"/>
      <c r="AC222"/>
    </row>
    <row r="223" spans="1:29">
      <c r="A223" s="983"/>
      <c r="B223" s="1037"/>
      <c r="C223" s="952"/>
      <c r="D223" s="940"/>
      <c r="E223" s="956"/>
      <c r="F223" s="934"/>
      <c r="G223" s="934"/>
      <c r="H223" s="956"/>
      <c r="I223" s="956"/>
      <c r="J223" s="1005"/>
      <c r="K223" s="935"/>
      <c r="L223" s="935"/>
      <c r="M223" s="1007"/>
      <c r="N223" s="927"/>
      <c r="O223" s="935"/>
      <c r="P223" s="933"/>
      <c r="Q223" s="940"/>
      <c r="R223" s="933"/>
      <c r="S223" s="933"/>
      <c r="T223" s="935"/>
      <c r="U223" s="1006"/>
      <c r="V223" s="904"/>
      <c r="W223"/>
      <c r="X223"/>
      <c r="Y223"/>
      <c r="Z223" s="1041"/>
      <c r="AA223" s="902"/>
      <c r="AB223" s="901"/>
      <c r="AC223"/>
    </row>
    <row r="224" spans="1:29" ht="15" customHeight="1">
      <c r="A224" s="983"/>
      <c r="B224" s="1037"/>
      <c r="C224" s="952"/>
      <c r="D224" s="940"/>
      <c r="E224" s="922"/>
      <c r="F224" s="938"/>
      <c r="G224" s="938"/>
      <c r="H224" s="953"/>
      <c r="I224" s="953"/>
      <c r="J224" s="1005"/>
      <c r="K224" s="935"/>
      <c r="L224" s="935"/>
      <c r="M224" s="1007"/>
      <c r="N224" s="927"/>
      <c r="O224" s="935"/>
      <c r="P224" s="933"/>
      <c r="Q224" s="940"/>
      <c r="R224" s="933"/>
      <c r="S224" s="933"/>
      <c r="T224" s="935"/>
      <c r="U224" s="1006"/>
      <c r="V224" s="904"/>
      <c r="W224"/>
      <c r="X224"/>
      <c r="Y224"/>
      <c r="Z224" s="1041"/>
      <c r="AA224" s="902"/>
      <c r="AB224" s="901"/>
      <c r="AC224"/>
    </row>
    <row r="225" spans="1:29" ht="15" customHeight="1">
      <c r="A225" s="983"/>
      <c r="B225" s="1037"/>
      <c r="C225" s="952"/>
      <c r="D225" s="940"/>
      <c r="E225" s="922"/>
      <c r="F225" s="938"/>
      <c r="G225" s="938"/>
      <c r="H225" s="953"/>
      <c r="I225" s="953"/>
      <c r="J225" s="1005"/>
      <c r="K225" s="935"/>
      <c r="L225" s="935"/>
      <c r="M225" s="1007"/>
      <c r="N225" s="927"/>
      <c r="O225" s="935"/>
      <c r="P225" s="933"/>
      <c r="Q225" s="940"/>
      <c r="R225" s="933"/>
      <c r="S225" s="933"/>
      <c r="T225" s="935"/>
      <c r="U225" s="1006"/>
      <c r="V225" s="904"/>
      <c r="W225"/>
      <c r="X225"/>
      <c r="Y225"/>
      <c r="Z225" s="1041"/>
      <c r="AA225" s="902"/>
      <c r="AB225" s="901"/>
      <c r="AC225"/>
    </row>
    <row r="226" spans="1:29">
      <c r="A226" s="983"/>
      <c r="B226" s="1037"/>
      <c r="C226" s="952"/>
      <c r="D226" s="940"/>
      <c r="E226" s="922"/>
      <c r="F226" s="938"/>
      <c r="G226" s="934"/>
      <c r="H226" s="953"/>
      <c r="I226" s="953"/>
      <c r="J226" s="1005"/>
      <c r="K226" s="935"/>
      <c r="L226" s="935"/>
      <c r="M226" s="1007"/>
      <c r="N226" s="927"/>
      <c r="O226" s="935"/>
      <c r="P226" s="933"/>
      <c r="Q226" s="940"/>
      <c r="R226" s="933"/>
      <c r="S226" s="933"/>
      <c r="T226" s="935"/>
      <c r="U226" s="1006"/>
      <c r="V226" s="904"/>
      <c r="W226"/>
      <c r="X226"/>
      <c r="Y226"/>
      <c r="Z226" s="1041"/>
      <c r="AA226" s="902"/>
      <c r="AB226" s="901"/>
      <c r="AC226"/>
    </row>
    <row r="227" spans="1:29">
      <c r="A227" s="983"/>
      <c r="B227" s="1037"/>
      <c r="C227" s="952"/>
      <c r="D227" s="940"/>
      <c r="E227" s="922"/>
      <c r="F227" s="938"/>
      <c r="G227" s="934"/>
      <c r="H227" s="953"/>
      <c r="I227" s="953"/>
      <c r="J227" s="1005"/>
      <c r="K227" s="935"/>
      <c r="L227" s="935"/>
      <c r="M227" s="1007"/>
      <c r="N227" s="927"/>
      <c r="O227" s="935"/>
      <c r="P227" s="933"/>
      <c r="Q227" s="940"/>
      <c r="R227" s="933"/>
      <c r="S227" s="933"/>
      <c r="T227" s="935"/>
      <c r="U227" s="1006"/>
      <c r="V227" s="904"/>
      <c r="W227"/>
      <c r="X227"/>
      <c r="Y227"/>
      <c r="Z227" s="1041"/>
      <c r="AA227" s="902"/>
      <c r="AB227" s="901"/>
      <c r="AC227"/>
    </row>
    <row r="228" spans="1:29" ht="15" customHeight="1">
      <c r="A228" s="983"/>
      <c r="B228" s="1037"/>
      <c r="C228" s="952"/>
      <c r="D228" s="940"/>
      <c r="E228" s="922"/>
      <c r="F228" s="938"/>
      <c r="G228" s="938"/>
      <c r="H228" s="953"/>
      <c r="I228" s="953"/>
      <c r="J228" s="1005"/>
      <c r="K228" s="935"/>
      <c r="L228" s="935"/>
      <c r="M228" s="1007"/>
      <c r="N228" s="927"/>
      <c r="O228" s="935"/>
      <c r="P228" s="933"/>
      <c r="Q228" s="940"/>
      <c r="R228" s="933"/>
      <c r="S228" s="933"/>
      <c r="T228" s="935"/>
      <c r="U228" s="1006"/>
      <c r="V228" s="904"/>
      <c r="W228"/>
      <c r="X228"/>
      <c r="Y228"/>
      <c r="Z228" s="1041"/>
      <c r="AA228" s="902"/>
      <c r="AB228" s="901"/>
      <c r="AC228"/>
    </row>
    <row r="229" spans="1:29">
      <c r="A229" s="983"/>
      <c r="B229" s="1037"/>
      <c r="C229" s="952"/>
      <c r="D229" s="940"/>
      <c r="E229" s="922"/>
      <c r="F229" s="946"/>
      <c r="G229" s="946"/>
      <c r="H229" s="953"/>
      <c r="I229" s="953"/>
      <c r="J229" s="1005"/>
      <c r="K229" s="935"/>
      <c r="L229" s="935"/>
      <c r="M229" s="1007"/>
      <c r="N229" s="927"/>
      <c r="O229" s="935"/>
      <c r="P229" s="933"/>
      <c r="Q229" s="940"/>
      <c r="R229" s="933"/>
      <c r="S229" s="933"/>
      <c r="T229" s="935"/>
      <c r="U229" s="1006"/>
      <c r="V229" s="904"/>
      <c r="W229"/>
      <c r="X229"/>
      <c r="Y229"/>
      <c r="Z229" s="1041"/>
      <c r="AA229" s="902"/>
      <c r="AB229" s="901"/>
      <c r="AC229"/>
    </row>
    <row r="230" spans="1:29">
      <c r="A230" s="983"/>
      <c r="B230" s="1037"/>
      <c r="C230" s="952"/>
      <c r="D230" s="940"/>
      <c r="E230" s="956"/>
      <c r="F230" s="934"/>
      <c r="G230" s="934"/>
      <c r="H230" s="956"/>
      <c r="I230" s="956"/>
      <c r="J230" s="1005"/>
      <c r="K230" s="935"/>
      <c r="L230" s="935"/>
      <c r="M230" s="1007"/>
      <c r="N230" s="927"/>
      <c r="O230" s="935"/>
      <c r="P230" s="933"/>
      <c r="Q230" s="940"/>
      <c r="R230" s="933"/>
      <c r="S230" s="933"/>
      <c r="T230" s="935"/>
      <c r="U230" s="1006"/>
      <c r="V230" s="904"/>
      <c r="W230"/>
      <c r="X230"/>
      <c r="Y230"/>
      <c r="Z230" s="1041"/>
      <c r="AA230" s="902"/>
      <c r="AB230" s="901"/>
      <c r="AC230"/>
    </row>
    <row r="231" spans="1:29">
      <c r="A231" s="983"/>
      <c r="B231" s="1037"/>
      <c r="C231" s="952"/>
      <c r="D231" s="940"/>
      <c r="E231" s="956"/>
      <c r="F231" s="934"/>
      <c r="G231" s="934"/>
      <c r="H231" s="956"/>
      <c r="I231" s="956"/>
      <c r="J231" s="1005"/>
      <c r="K231" s="935"/>
      <c r="L231" s="935"/>
      <c r="M231" s="1007"/>
      <c r="N231" s="927"/>
      <c r="O231" s="935"/>
      <c r="P231" s="933"/>
      <c r="Q231" s="940"/>
      <c r="R231" s="933"/>
      <c r="S231" s="933"/>
      <c r="T231" s="935"/>
      <c r="U231" s="1006"/>
      <c r="V231" s="904"/>
      <c r="W231"/>
      <c r="X231"/>
      <c r="Y231"/>
      <c r="Z231" s="1041"/>
      <c r="AA231" s="902"/>
      <c r="AB231" s="901"/>
      <c r="AC231"/>
    </row>
    <row r="232" spans="1:29">
      <c r="A232" s="983"/>
      <c r="B232" s="1037"/>
      <c r="C232" s="952"/>
      <c r="D232" s="940"/>
      <c r="E232" s="956"/>
      <c r="F232" s="934"/>
      <c r="G232" s="934"/>
      <c r="H232" s="956"/>
      <c r="I232" s="956"/>
      <c r="J232" s="1005"/>
      <c r="K232" s="935"/>
      <c r="L232" s="935"/>
      <c r="M232" s="1007"/>
      <c r="N232" s="927"/>
      <c r="O232" s="935"/>
      <c r="P232" s="933"/>
      <c r="Q232" s="940"/>
      <c r="R232" s="933"/>
      <c r="S232" s="933"/>
      <c r="T232" s="935"/>
      <c r="U232" s="1006"/>
      <c r="V232" s="904"/>
      <c r="W232"/>
      <c r="X232"/>
      <c r="Y232"/>
      <c r="Z232" s="1041"/>
      <c r="AA232" s="902"/>
      <c r="AB232" s="901"/>
      <c r="AC232"/>
    </row>
    <row r="233" spans="1:29">
      <c r="A233" s="983"/>
      <c r="B233" s="1037"/>
      <c r="C233" s="952"/>
      <c r="D233" s="940"/>
      <c r="E233" s="922"/>
      <c r="F233" s="934"/>
      <c r="G233" s="938"/>
      <c r="H233" s="953"/>
      <c r="I233" s="953"/>
      <c r="J233" s="1005"/>
      <c r="K233" s="935"/>
      <c r="L233" s="935"/>
      <c r="M233" s="1007"/>
      <c r="N233" s="927"/>
      <c r="O233" s="935"/>
      <c r="P233" s="933"/>
      <c r="Q233" s="940"/>
      <c r="R233" s="933"/>
      <c r="S233" s="933"/>
      <c r="T233" s="935"/>
      <c r="U233" s="1006"/>
      <c r="V233" s="904"/>
      <c r="W233"/>
      <c r="X233"/>
      <c r="Y233"/>
      <c r="Z233" s="1041"/>
      <c r="AA233" s="902"/>
      <c r="AB233" s="901"/>
      <c r="AC233"/>
    </row>
    <row r="234" spans="1:29" ht="15" customHeight="1">
      <c r="A234" s="983"/>
      <c r="B234" s="1037"/>
      <c r="C234" s="952"/>
      <c r="D234" s="940"/>
      <c r="E234" s="922"/>
      <c r="F234" s="938"/>
      <c r="G234" s="938"/>
      <c r="H234" s="953"/>
      <c r="I234" s="953"/>
      <c r="J234" s="1005"/>
      <c r="K234" s="935"/>
      <c r="L234" s="935"/>
      <c r="M234" s="1007"/>
      <c r="N234" s="927"/>
      <c r="O234" s="935"/>
      <c r="P234" s="933"/>
      <c r="Q234" s="940"/>
      <c r="R234" s="933"/>
      <c r="S234" s="933"/>
      <c r="T234" s="935"/>
      <c r="U234" s="1006"/>
      <c r="V234" s="904"/>
      <c r="W234"/>
      <c r="X234"/>
      <c r="Y234"/>
      <c r="Z234" s="1041"/>
      <c r="AA234" s="902"/>
      <c r="AB234" s="901"/>
      <c r="AC234"/>
    </row>
    <row r="235" spans="1:29">
      <c r="A235" s="983"/>
      <c r="B235" s="1037"/>
      <c r="C235" s="952"/>
      <c r="D235" s="940"/>
      <c r="E235" s="956"/>
      <c r="F235" s="934"/>
      <c r="G235" s="934"/>
      <c r="H235" s="956"/>
      <c r="I235" s="956"/>
      <c r="J235" s="1005"/>
      <c r="K235" s="935"/>
      <c r="L235" s="935"/>
      <c r="M235" s="1007"/>
      <c r="N235" s="927"/>
      <c r="O235" s="935"/>
      <c r="P235" s="933"/>
      <c r="Q235" s="940"/>
      <c r="R235" s="933"/>
      <c r="S235" s="933"/>
      <c r="T235" s="935"/>
      <c r="U235" s="1006"/>
      <c r="V235" s="904"/>
      <c r="W235"/>
      <c r="X235"/>
      <c r="Y235"/>
      <c r="Z235" s="1041"/>
      <c r="AA235" s="902"/>
      <c r="AB235" s="901"/>
      <c r="AC235"/>
    </row>
    <row r="236" spans="1:29">
      <c r="A236" s="983"/>
      <c r="B236" s="1037"/>
      <c r="C236" s="952"/>
      <c r="D236" s="940"/>
      <c r="E236" s="956"/>
      <c r="F236" s="934"/>
      <c r="G236" s="934"/>
      <c r="H236" s="956"/>
      <c r="I236" s="956"/>
      <c r="J236" s="1005"/>
      <c r="K236" s="935"/>
      <c r="L236" s="935"/>
      <c r="M236" s="1007"/>
      <c r="N236" s="927"/>
      <c r="O236" s="935"/>
      <c r="P236" s="933"/>
      <c r="Q236" s="940"/>
      <c r="R236" s="933"/>
      <c r="S236" s="933"/>
      <c r="T236" s="935"/>
      <c r="U236" s="1006"/>
      <c r="V236" s="904"/>
      <c r="W236"/>
      <c r="X236"/>
      <c r="Y236"/>
      <c r="Z236" s="1041"/>
      <c r="AA236" s="902"/>
      <c r="AB236" s="901"/>
      <c r="AC236"/>
    </row>
    <row r="237" spans="1:29">
      <c r="A237" s="983"/>
      <c r="B237" s="1037"/>
      <c r="C237" s="952"/>
      <c r="D237" s="940"/>
      <c r="E237" s="956"/>
      <c r="F237" s="934"/>
      <c r="G237" s="934"/>
      <c r="H237" s="956"/>
      <c r="I237" s="956"/>
      <c r="J237" s="1005"/>
      <c r="K237" s="935"/>
      <c r="L237" s="935"/>
      <c r="M237" s="1007"/>
      <c r="N237" s="927"/>
      <c r="O237" s="935"/>
      <c r="P237" s="933"/>
      <c r="Q237" s="940"/>
      <c r="R237" s="933"/>
      <c r="S237" s="933"/>
      <c r="T237" s="935"/>
      <c r="U237" s="1006"/>
      <c r="V237" s="904"/>
      <c r="W237"/>
      <c r="X237"/>
      <c r="Y237"/>
      <c r="Z237" s="1041"/>
      <c r="AA237" s="902"/>
      <c r="AB237" s="901"/>
      <c r="AC237"/>
    </row>
    <row r="238" spans="1:29" ht="15" customHeight="1">
      <c r="A238" s="983"/>
      <c r="B238" s="1037"/>
      <c r="C238" s="952"/>
      <c r="D238" s="940"/>
      <c r="E238" s="922"/>
      <c r="F238" s="938"/>
      <c r="G238" s="938"/>
      <c r="H238" s="953"/>
      <c r="I238" s="953"/>
      <c r="J238" s="1005"/>
      <c r="K238" s="935"/>
      <c r="L238" s="935"/>
      <c r="M238" s="1007"/>
      <c r="N238" s="927"/>
      <c r="O238" s="935"/>
      <c r="P238" s="933"/>
      <c r="Q238" s="940"/>
      <c r="R238" s="933"/>
      <c r="S238" s="933"/>
      <c r="T238" s="935"/>
      <c r="U238" s="1006"/>
      <c r="V238" s="904"/>
      <c r="W238"/>
      <c r="X238"/>
      <c r="Y238"/>
      <c r="Z238" s="1041"/>
      <c r="AA238" s="902"/>
      <c r="AB238" s="901"/>
      <c r="AC238"/>
    </row>
    <row r="239" spans="1:29">
      <c r="A239" s="983"/>
      <c r="B239" s="1037"/>
      <c r="C239" s="952"/>
      <c r="D239" s="940"/>
      <c r="E239" s="956"/>
      <c r="F239" s="934"/>
      <c r="G239" s="934"/>
      <c r="H239" s="956"/>
      <c r="I239" s="956"/>
      <c r="J239" s="1005"/>
      <c r="K239" s="935"/>
      <c r="L239" s="935"/>
      <c r="M239" s="1007"/>
      <c r="N239" s="927"/>
      <c r="O239" s="935"/>
      <c r="P239" s="933"/>
      <c r="Q239" s="940"/>
      <c r="R239" s="933"/>
      <c r="S239" s="933"/>
      <c r="T239" s="935"/>
      <c r="U239" s="1006"/>
      <c r="V239" s="904"/>
      <c r="W239"/>
      <c r="X239"/>
      <c r="Y239"/>
      <c r="Z239" s="1041"/>
      <c r="AA239" s="902"/>
      <c r="AB239" s="901"/>
      <c r="AC239"/>
    </row>
    <row r="240" spans="1:29" ht="15" customHeight="1">
      <c r="A240" s="983"/>
      <c r="B240" s="1037"/>
      <c r="C240" s="952"/>
      <c r="D240" s="940"/>
      <c r="E240" s="922"/>
      <c r="F240" s="938"/>
      <c r="G240" s="938"/>
      <c r="H240" s="953"/>
      <c r="I240" s="953"/>
      <c r="J240" s="1005"/>
      <c r="K240" s="935"/>
      <c r="L240" s="935"/>
      <c r="M240" s="1007"/>
      <c r="N240" s="927"/>
      <c r="O240" s="935"/>
      <c r="P240" s="933"/>
      <c r="Q240" s="940"/>
      <c r="R240" s="933"/>
      <c r="S240" s="933"/>
      <c r="T240" s="935"/>
      <c r="U240" s="1006"/>
      <c r="V240" s="904"/>
      <c r="W240"/>
      <c r="X240"/>
      <c r="Y240"/>
      <c r="Z240" s="1041"/>
      <c r="AA240" s="902"/>
      <c r="AB240" s="901"/>
      <c r="AC240"/>
    </row>
    <row r="241" spans="1:32">
      <c r="A241" s="983"/>
      <c r="B241" s="1037"/>
      <c r="C241" s="952"/>
      <c r="D241" s="940"/>
      <c r="E241" s="922"/>
      <c r="F241" s="938"/>
      <c r="G241" s="938"/>
      <c r="H241" s="953"/>
      <c r="I241" s="953"/>
      <c r="J241" s="1005"/>
      <c r="K241" s="935"/>
      <c r="L241" s="935"/>
      <c r="M241" s="1007"/>
      <c r="N241" s="927"/>
      <c r="O241" s="935"/>
      <c r="P241" s="933"/>
      <c r="Q241" s="940"/>
      <c r="R241" s="933"/>
      <c r="S241" s="933"/>
      <c r="T241" s="935"/>
      <c r="U241" s="1006"/>
      <c r="V241" s="904"/>
      <c r="W241"/>
      <c r="X241"/>
      <c r="Y241"/>
      <c r="Z241" s="1041"/>
      <c r="AA241" s="902"/>
      <c r="AB241" s="901"/>
      <c r="AC241"/>
    </row>
    <row r="242" spans="1:32">
      <c r="A242" s="983"/>
      <c r="B242" s="1037"/>
      <c r="C242" s="952"/>
      <c r="D242" s="940"/>
      <c r="E242" s="956"/>
      <c r="F242" s="934"/>
      <c r="G242" s="934"/>
      <c r="H242" s="956"/>
      <c r="I242" s="956"/>
      <c r="J242" s="1005"/>
      <c r="K242" s="935"/>
      <c r="L242" s="935"/>
      <c r="M242" s="1007"/>
      <c r="N242" s="927"/>
      <c r="O242" s="935"/>
      <c r="P242" s="933"/>
      <c r="Q242" s="940"/>
      <c r="R242" s="933"/>
      <c r="S242" s="933"/>
      <c r="T242" s="935"/>
      <c r="U242" s="1006"/>
      <c r="V242" s="904"/>
      <c r="W242"/>
      <c r="X242"/>
      <c r="Y242"/>
      <c r="Z242" s="1041"/>
      <c r="AA242" s="902"/>
      <c r="AB242" s="901"/>
      <c r="AC242"/>
    </row>
    <row r="243" spans="1:32">
      <c r="A243" s="983"/>
      <c r="B243" s="1037"/>
      <c r="C243" s="952"/>
      <c r="D243" s="940"/>
      <c r="E243" s="922"/>
      <c r="F243" s="938"/>
      <c r="G243" s="938"/>
      <c r="H243" s="953"/>
      <c r="I243" s="953"/>
      <c r="J243" s="1005"/>
      <c r="K243" s="935"/>
      <c r="L243" s="935"/>
      <c r="M243" s="1007"/>
      <c r="N243" s="927"/>
      <c r="O243" s="935"/>
      <c r="P243" s="945"/>
      <c r="Q243" s="940"/>
      <c r="R243" s="933"/>
      <c r="S243" s="933"/>
      <c r="T243" s="935"/>
      <c r="U243" s="1006"/>
      <c r="V243" s="904"/>
      <c r="W243"/>
      <c r="X243"/>
      <c r="Y243"/>
      <c r="Z243" s="1041"/>
      <c r="AA243" s="902"/>
      <c r="AB243" s="901"/>
      <c r="AC243"/>
    </row>
    <row r="244" spans="1:32">
      <c r="A244" s="983"/>
      <c r="B244" s="1037"/>
      <c r="C244" s="952"/>
      <c r="D244" s="940"/>
      <c r="E244" s="956"/>
      <c r="F244" s="934"/>
      <c r="G244" s="934"/>
      <c r="H244" s="956"/>
      <c r="I244" s="956"/>
      <c r="J244" s="1005"/>
      <c r="K244" s="935"/>
      <c r="L244" s="935"/>
      <c r="M244" s="1007"/>
      <c r="N244" s="927"/>
      <c r="O244" s="935"/>
      <c r="P244" s="933"/>
      <c r="Q244" s="940"/>
      <c r="R244" s="933"/>
      <c r="S244" s="933"/>
      <c r="T244" s="935"/>
      <c r="U244" s="1006"/>
      <c r="V244" s="904"/>
      <c r="W244"/>
      <c r="X244"/>
      <c r="Y244"/>
      <c r="Z244" s="1041"/>
      <c r="AA244" s="902"/>
      <c r="AB244" s="901"/>
      <c r="AC244"/>
    </row>
    <row r="245" spans="1:32">
      <c r="A245" s="983"/>
      <c r="B245" s="1037"/>
      <c r="C245" s="952"/>
      <c r="D245" s="940"/>
      <c r="E245" s="956"/>
      <c r="F245" s="934"/>
      <c r="G245" s="934"/>
      <c r="H245" s="956"/>
      <c r="I245" s="956"/>
      <c r="J245" s="1005"/>
      <c r="K245" s="935"/>
      <c r="L245" s="935"/>
      <c r="M245" s="1007"/>
      <c r="N245" s="927"/>
      <c r="O245" s="935"/>
      <c r="P245" s="945"/>
      <c r="Q245" s="940"/>
      <c r="R245" s="933"/>
      <c r="S245" s="933"/>
      <c r="T245" s="935"/>
      <c r="U245" s="1006"/>
      <c r="V245" s="904"/>
      <c r="W245"/>
      <c r="X245"/>
      <c r="Y245"/>
      <c r="Z245" s="1041"/>
      <c r="AA245" s="902"/>
      <c r="AB245" s="901"/>
      <c r="AC245"/>
    </row>
    <row r="246" spans="1:32" ht="15" customHeight="1">
      <c r="A246" s="983"/>
      <c r="B246" s="1037"/>
      <c r="C246" s="952"/>
      <c r="D246" s="940"/>
      <c r="E246" s="922"/>
      <c r="F246" s="938"/>
      <c r="G246" s="938"/>
      <c r="H246" s="953"/>
      <c r="I246" s="953"/>
      <c r="J246" s="1005"/>
      <c r="K246" s="935"/>
      <c r="L246" s="935"/>
      <c r="M246" s="1007"/>
      <c r="N246" s="927"/>
      <c r="O246" s="935"/>
      <c r="P246" s="933"/>
      <c r="Q246" s="940"/>
      <c r="R246" s="933"/>
      <c r="S246" s="933"/>
      <c r="T246" s="935"/>
      <c r="U246" s="1006"/>
      <c r="V246" s="904"/>
      <c r="W246"/>
      <c r="X246"/>
      <c r="Y246"/>
      <c r="Z246" s="1041"/>
      <c r="AA246" s="902"/>
      <c r="AB246" s="901"/>
      <c r="AC246"/>
    </row>
    <row r="247" spans="1:32">
      <c r="A247" s="983"/>
      <c r="B247" s="1037"/>
      <c r="C247" s="952"/>
      <c r="D247" s="940"/>
      <c r="E247" s="956"/>
      <c r="F247" s="934"/>
      <c r="G247" s="934"/>
      <c r="H247" s="956"/>
      <c r="I247" s="956"/>
      <c r="J247" s="1005"/>
      <c r="K247" s="935"/>
      <c r="L247" s="935"/>
      <c r="M247" s="1007"/>
      <c r="N247" s="927"/>
      <c r="O247" s="935"/>
      <c r="P247" s="933"/>
      <c r="Q247" s="940"/>
      <c r="R247" s="933"/>
      <c r="S247" s="933"/>
      <c r="T247" s="935"/>
      <c r="U247" s="1006"/>
      <c r="V247" s="904"/>
      <c r="W247"/>
      <c r="X247"/>
      <c r="Y247"/>
      <c r="Z247" s="1041"/>
      <c r="AA247" s="902"/>
      <c r="AB247" s="901"/>
      <c r="AC247"/>
    </row>
    <row r="248" spans="1:32">
      <c r="A248" s="983"/>
      <c r="B248" s="1037"/>
      <c r="C248" s="952"/>
      <c r="D248" s="940"/>
      <c r="E248" s="922"/>
      <c r="F248" s="938"/>
      <c r="G248" s="938"/>
      <c r="H248" s="953"/>
      <c r="I248" s="953"/>
      <c r="J248" s="1005"/>
      <c r="K248" s="935"/>
      <c r="L248" s="935"/>
      <c r="M248" s="1007"/>
      <c r="N248" s="927"/>
      <c r="O248" s="935"/>
      <c r="P248" s="933"/>
      <c r="Q248" s="940"/>
      <c r="R248" s="933"/>
      <c r="S248" s="933"/>
      <c r="T248" s="935"/>
      <c r="U248" s="1006"/>
      <c r="V248" s="904"/>
      <c r="W248"/>
      <c r="X248"/>
      <c r="Y248"/>
      <c r="Z248" s="1041"/>
      <c r="AA248" s="902"/>
      <c r="AB248" s="901"/>
      <c r="AC248"/>
    </row>
    <row r="249" spans="1:32" ht="15" customHeight="1">
      <c r="A249" s="983"/>
      <c r="B249" s="1037"/>
      <c r="C249" s="952"/>
      <c r="D249" s="940"/>
      <c r="E249" s="922"/>
      <c r="F249" s="938"/>
      <c r="G249" s="938"/>
      <c r="H249" s="953"/>
      <c r="I249" s="953"/>
      <c r="J249" s="1005"/>
      <c r="K249" s="935"/>
      <c r="L249" s="935"/>
      <c r="M249" s="1007"/>
      <c r="N249" s="927"/>
      <c r="O249" s="935"/>
      <c r="P249" s="933"/>
      <c r="Q249" s="940"/>
      <c r="R249" s="933"/>
      <c r="S249" s="933"/>
      <c r="T249" s="935"/>
      <c r="U249" s="1006"/>
      <c r="V249" s="904"/>
      <c r="W249"/>
      <c r="X249"/>
      <c r="Y249"/>
      <c r="Z249" s="1041"/>
      <c r="AA249" s="902"/>
      <c r="AB249" s="901"/>
      <c r="AC249"/>
    </row>
    <row r="250" spans="1:32">
      <c r="A250" s="983"/>
      <c r="B250" s="1037"/>
      <c r="C250" s="952"/>
      <c r="D250" s="940"/>
      <c r="E250" s="922"/>
      <c r="F250" s="938"/>
      <c r="G250" s="938"/>
      <c r="H250" s="953"/>
      <c r="I250" s="953"/>
      <c r="J250" s="1005"/>
      <c r="K250" s="935"/>
      <c r="L250" s="935"/>
      <c r="M250" s="1007"/>
      <c r="N250" s="927"/>
      <c r="O250" s="935"/>
      <c r="P250" s="933"/>
      <c r="Q250" s="940"/>
      <c r="R250" s="933"/>
      <c r="S250" s="933"/>
      <c r="T250" s="935"/>
      <c r="U250" s="1006"/>
      <c r="V250" s="904"/>
      <c r="W250"/>
      <c r="X250"/>
      <c r="Y250"/>
      <c r="Z250" s="1041"/>
      <c r="AA250" s="902"/>
      <c r="AB250" s="901"/>
      <c r="AC250"/>
    </row>
    <row r="251" spans="1:32">
      <c r="A251" s="983"/>
      <c r="B251" s="1037"/>
      <c r="C251" s="952"/>
      <c r="D251" s="940"/>
      <c r="E251" s="956"/>
      <c r="F251" s="934"/>
      <c r="G251" s="934"/>
      <c r="H251" s="956"/>
      <c r="I251" s="956"/>
      <c r="J251" s="1005"/>
      <c r="K251" s="935"/>
      <c r="L251" s="935"/>
      <c r="M251" s="1007"/>
      <c r="N251" s="927"/>
      <c r="O251" s="935"/>
      <c r="P251" s="933"/>
      <c r="Q251" s="940"/>
      <c r="R251" s="933"/>
      <c r="S251" s="933"/>
      <c r="T251" s="935"/>
      <c r="U251" s="1006"/>
      <c r="V251" s="904"/>
      <c r="W251"/>
      <c r="X251"/>
      <c r="Y251"/>
      <c r="Z251" s="1041"/>
      <c r="AA251" s="902"/>
      <c r="AB251" s="901"/>
      <c r="AC251"/>
    </row>
    <row r="252" spans="1:32" s="900" customFormat="1" ht="15" customHeight="1">
      <c r="A252" s="983"/>
      <c r="B252" s="1037"/>
      <c r="C252" s="952"/>
      <c r="D252" s="940"/>
      <c r="E252" s="953"/>
      <c r="F252" s="936"/>
      <c r="G252" s="936"/>
      <c r="H252" s="953"/>
      <c r="I252" s="953"/>
      <c r="J252" s="1005"/>
      <c r="K252" s="935"/>
      <c r="L252" s="935"/>
      <c r="M252" s="1007"/>
      <c r="N252" s="927"/>
      <c r="O252" s="950"/>
      <c r="P252" s="937"/>
      <c r="Q252" s="940"/>
      <c r="R252" s="933"/>
      <c r="S252" s="933"/>
      <c r="T252" s="935"/>
      <c r="U252" s="1006"/>
      <c r="V252" s="904"/>
      <c r="W252"/>
      <c r="X252"/>
      <c r="Y252"/>
      <c r="Z252" s="1041"/>
      <c r="AA252" s="902"/>
      <c r="AB252" s="901"/>
      <c r="AC252"/>
      <c r="AF252" s="987"/>
    </row>
    <row r="253" spans="1:32">
      <c r="A253" s="983"/>
      <c r="B253" s="1037"/>
      <c r="C253" s="952"/>
      <c r="D253" s="940"/>
      <c r="E253" s="956"/>
      <c r="F253" s="934"/>
      <c r="G253" s="934"/>
      <c r="H253" s="956"/>
      <c r="I253" s="956"/>
      <c r="J253" s="1005"/>
      <c r="K253" s="935"/>
      <c r="L253" s="935"/>
      <c r="M253" s="1007"/>
      <c r="N253" s="927"/>
      <c r="O253" s="935"/>
      <c r="P253" s="933"/>
      <c r="Q253" s="940"/>
      <c r="R253" s="933"/>
      <c r="S253" s="933"/>
      <c r="T253" s="935"/>
      <c r="U253" s="1006"/>
      <c r="V253" s="904"/>
      <c r="W253"/>
      <c r="X253"/>
      <c r="Y253"/>
      <c r="Z253" s="1041"/>
      <c r="AA253" s="902"/>
      <c r="AB253" s="901"/>
      <c r="AC253"/>
    </row>
    <row r="254" spans="1:32">
      <c r="A254" s="983"/>
      <c r="B254" s="1037"/>
      <c r="C254" s="952"/>
      <c r="D254" s="940"/>
      <c r="E254" s="956"/>
      <c r="F254" s="934"/>
      <c r="G254" s="934"/>
      <c r="H254" s="956"/>
      <c r="I254" s="956"/>
      <c r="J254" s="1005"/>
      <c r="K254" s="935"/>
      <c r="L254" s="935"/>
      <c r="M254" s="1007"/>
      <c r="N254" s="927"/>
      <c r="O254" s="935"/>
      <c r="P254" s="933"/>
      <c r="Q254" s="940"/>
      <c r="R254" s="933"/>
      <c r="S254" s="933"/>
      <c r="T254" s="935"/>
      <c r="U254" s="1006"/>
      <c r="V254" s="904"/>
      <c r="W254"/>
      <c r="X254"/>
      <c r="Y254"/>
      <c r="Z254" s="1041"/>
      <c r="AA254" s="902"/>
      <c r="AB254" s="901"/>
      <c r="AC254"/>
    </row>
    <row r="255" spans="1:32">
      <c r="A255" s="983"/>
      <c r="B255" s="1037"/>
      <c r="C255" s="952"/>
      <c r="D255" s="940"/>
      <c r="E255" s="922"/>
      <c r="F255" s="938"/>
      <c r="G255" s="938"/>
      <c r="H255" s="953"/>
      <c r="I255" s="953"/>
      <c r="J255" s="1005"/>
      <c r="K255" s="935"/>
      <c r="L255" s="935"/>
      <c r="M255" s="1007"/>
      <c r="N255" s="927"/>
      <c r="O255" s="935"/>
      <c r="P255" s="933"/>
      <c r="Q255" s="940"/>
      <c r="R255" s="933"/>
      <c r="S255" s="933"/>
      <c r="T255" s="935"/>
      <c r="U255" s="1006"/>
      <c r="V255" s="904"/>
      <c r="W255"/>
      <c r="X255"/>
      <c r="Y255"/>
      <c r="Z255" s="1041"/>
      <c r="AA255" s="902"/>
      <c r="AB255" s="901"/>
      <c r="AC255"/>
    </row>
    <row r="256" spans="1:32">
      <c r="A256" s="983"/>
      <c r="B256" s="1037"/>
      <c r="C256" s="952"/>
      <c r="D256" s="940"/>
      <c r="E256" s="922"/>
      <c r="F256" s="938"/>
      <c r="G256" s="938"/>
      <c r="H256" s="953"/>
      <c r="I256" s="953"/>
      <c r="J256" s="1005"/>
      <c r="K256" s="935"/>
      <c r="L256" s="935"/>
      <c r="M256" s="1007"/>
      <c r="N256" s="927"/>
      <c r="O256" s="935"/>
      <c r="P256" s="933"/>
      <c r="Q256" s="940"/>
      <c r="R256" s="933"/>
      <c r="S256" s="933"/>
      <c r="T256" s="935"/>
      <c r="U256" s="1006"/>
      <c r="V256" s="904"/>
      <c r="W256"/>
      <c r="X256"/>
      <c r="Y256"/>
      <c r="Z256" s="1041"/>
      <c r="AA256" s="902"/>
      <c r="AB256" s="901"/>
      <c r="AC256"/>
    </row>
    <row r="257" spans="1:29" ht="15" customHeight="1">
      <c r="A257" s="983"/>
      <c r="B257" s="1037"/>
      <c r="C257" s="952"/>
      <c r="D257" s="940"/>
      <c r="E257" s="922"/>
      <c r="F257" s="934"/>
      <c r="G257" s="934"/>
      <c r="H257" s="953"/>
      <c r="I257" s="953"/>
      <c r="J257" s="1005"/>
      <c r="K257" s="935"/>
      <c r="L257" s="935"/>
      <c r="M257" s="1007"/>
      <c r="N257" s="927"/>
      <c r="O257" s="935"/>
      <c r="P257" s="933"/>
      <c r="Q257" s="940"/>
      <c r="R257" s="933"/>
      <c r="S257" s="933"/>
      <c r="T257" s="935"/>
      <c r="U257" s="1006"/>
      <c r="V257" s="904"/>
      <c r="W257"/>
      <c r="X257"/>
      <c r="Y257"/>
      <c r="Z257" s="1041"/>
      <c r="AA257" s="902"/>
      <c r="AB257" s="901"/>
      <c r="AC257"/>
    </row>
    <row r="258" spans="1:29" ht="15" customHeight="1">
      <c r="A258" s="983"/>
      <c r="B258" s="1037"/>
      <c r="C258" s="952"/>
      <c r="D258" s="940"/>
      <c r="E258" s="922"/>
      <c r="F258" s="934"/>
      <c r="G258" s="938"/>
      <c r="H258" s="953"/>
      <c r="I258" s="953"/>
      <c r="J258" s="1005"/>
      <c r="K258" s="935"/>
      <c r="L258" s="935"/>
      <c r="M258" s="1007"/>
      <c r="N258" s="927"/>
      <c r="O258" s="935"/>
      <c r="P258" s="933"/>
      <c r="Q258" s="940"/>
      <c r="R258" s="933"/>
      <c r="S258" s="933"/>
      <c r="T258" s="935"/>
      <c r="U258" s="1006"/>
      <c r="V258" s="904"/>
      <c r="W258"/>
      <c r="X258"/>
      <c r="Y258"/>
      <c r="Z258" s="1041"/>
      <c r="AA258" s="902"/>
      <c r="AB258" s="901"/>
      <c r="AC258"/>
    </row>
    <row r="259" spans="1:29">
      <c r="A259" s="983"/>
      <c r="B259" s="1037"/>
      <c r="C259" s="952"/>
      <c r="D259" s="940"/>
      <c r="E259" s="956"/>
      <c r="F259" s="934"/>
      <c r="G259" s="934"/>
      <c r="H259" s="956"/>
      <c r="I259" s="956"/>
      <c r="J259" s="1005"/>
      <c r="K259" s="935"/>
      <c r="L259" s="935"/>
      <c r="M259" s="1007"/>
      <c r="N259" s="927"/>
      <c r="O259" s="935"/>
      <c r="P259" s="933"/>
      <c r="Q259" s="940"/>
      <c r="R259" s="933"/>
      <c r="S259" s="933"/>
      <c r="T259" s="935"/>
      <c r="U259" s="1006"/>
      <c r="V259" s="904"/>
      <c r="W259"/>
      <c r="X259"/>
      <c r="Y259"/>
      <c r="Z259" s="1041"/>
      <c r="AA259" s="902"/>
      <c r="AB259" s="901"/>
      <c r="AC259"/>
    </row>
    <row r="260" spans="1:29" ht="15" customHeight="1">
      <c r="A260" s="983"/>
      <c r="B260" s="1037"/>
      <c r="C260" s="952"/>
      <c r="D260" s="940"/>
      <c r="E260" s="922"/>
      <c r="F260" s="938"/>
      <c r="G260" s="938"/>
      <c r="H260" s="953"/>
      <c r="I260" s="953"/>
      <c r="J260" s="1005"/>
      <c r="K260" s="935"/>
      <c r="L260" s="935"/>
      <c r="M260" s="1007"/>
      <c r="N260" s="927"/>
      <c r="O260" s="935"/>
      <c r="P260" s="933"/>
      <c r="Q260" s="940"/>
      <c r="R260" s="933"/>
      <c r="S260" s="933"/>
      <c r="T260" s="935"/>
      <c r="U260" s="1006"/>
      <c r="V260" s="904"/>
      <c r="W260"/>
      <c r="X260"/>
      <c r="Y260"/>
      <c r="Z260" s="1041"/>
      <c r="AA260" s="902"/>
      <c r="AB260" s="901"/>
      <c r="AC260"/>
    </row>
    <row r="261" spans="1:29">
      <c r="A261" s="983"/>
      <c r="B261" s="1037"/>
      <c r="C261" s="952"/>
      <c r="D261" s="940"/>
      <c r="E261" s="922"/>
      <c r="F261" s="934"/>
      <c r="G261" s="938"/>
      <c r="H261" s="953"/>
      <c r="I261" s="953"/>
      <c r="J261" s="1005"/>
      <c r="K261" s="935"/>
      <c r="L261" s="935"/>
      <c r="M261" s="1007"/>
      <c r="N261" s="927"/>
      <c r="O261" s="935"/>
      <c r="P261" s="933"/>
      <c r="Q261" s="940"/>
      <c r="R261" s="933"/>
      <c r="S261" s="933"/>
      <c r="T261" s="935"/>
      <c r="U261" s="1006"/>
      <c r="V261" s="904"/>
      <c r="W261"/>
      <c r="X261"/>
      <c r="Y261"/>
      <c r="Z261" s="1041"/>
      <c r="AA261" s="902"/>
      <c r="AB261" s="901"/>
      <c r="AC261"/>
    </row>
    <row r="262" spans="1:29" ht="15" customHeight="1">
      <c r="A262" s="983"/>
      <c r="B262" s="1037"/>
      <c r="C262" s="952"/>
      <c r="D262" s="940"/>
      <c r="E262" s="922"/>
      <c r="F262" s="938"/>
      <c r="G262" s="938"/>
      <c r="H262" s="953"/>
      <c r="I262" s="953"/>
      <c r="J262" s="1005"/>
      <c r="K262" s="935"/>
      <c r="L262" s="935"/>
      <c r="M262" s="1007"/>
      <c r="N262" s="927"/>
      <c r="O262" s="935"/>
      <c r="P262" s="933"/>
      <c r="Q262" s="940"/>
      <c r="R262" s="933"/>
      <c r="S262" s="933"/>
      <c r="T262" s="935"/>
      <c r="U262" s="1006"/>
      <c r="V262" s="904"/>
      <c r="W262"/>
      <c r="X262"/>
      <c r="Y262"/>
      <c r="Z262" s="1041"/>
      <c r="AA262" s="902"/>
      <c r="AB262" s="901"/>
      <c r="AC262"/>
    </row>
    <row r="263" spans="1:29" ht="15" customHeight="1">
      <c r="A263" s="983"/>
      <c r="B263" s="1037"/>
      <c r="C263" s="952"/>
      <c r="D263" s="940"/>
      <c r="E263" s="922"/>
      <c r="F263" s="938"/>
      <c r="G263" s="934"/>
      <c r="H263" s="953"/>
      <c r="I263" s="953"/>
      <c r="J263" s="1005"/>
      <c r="K263" s="935"/>
      <c r="L263" s="935"/>
      <c r="M263" s="1007"/>
      <c r="N263" s="927"/>
      <c r="O263" s="935"/>
      <c r="P263" s="933"/>
      <c r="Q263" s="940"/>
      <c r="R263" s="933"/>
      <c r="S263" s="933"/>
      <c r="T263" s="935"/>
      <c r="U263" s="1006"/>
      <c r="V263" s="904"/>
      <c r="W263"/>
      <c r="X263"/>
      <c r="Y263"/>
      <c r="Z263" s="1041"/>
      <c r="AA263" s="902"/>
      <c r="AB263" s="901"/>
      <c r="AC263"/>
    </row>
    <row r="264" spans="1:29">
      <c r="A264" s="983"/>
      <c r="B264" s="1037"/>
      <c r="C264" s="952"/>
      <c r="D264" s="940"/>
      <c r="E264" s="922"/>
      <c r="F264" s="938"/>
      <c r="G264" s="938"/>
      <c r="H264" s="953"/>
      <c r="I264" s="953"/>
      <c r="J264" s="1005"/>
      <c r="K264" s="935"/>
      <c r="L264" s="935"/>
      <c r="M264" s="1007"/>
      <c r="N264" s="927"/>
      <c r="O264" s="935"/>
      <c r="P264" s="933"/>
      <c r="Q264" s="940"/>
      <c r="R264" s="933"/>
      <c r="S264" s="933"/>
      <c r="T264" s="935"/>
      <c r="U264" s="1006"/>
      <c r="V264" s="904"/>
      <c r="W264"/>
      <c r="X264"/>
      <c r="Y264"/>
      <c r="Z264" s="1041"/>
      <c r="AA264" s="902"/>
      <c r="AB264" s="901"/>
      <c r="AC264"/>
    </row>
    <row r="265" spans="1:29" ht="15" customHeight="1">
      <c r="A265" s="983"/>
      <c r="B265" s="1037"/>
      <c r="C265" s="952"/>
      <c r="D265" s="940"/>
      <c r="E265" s="922"/>
      <c r="F265" s="938"/>
      <c r="G265" s="938"/>
      <c r="H265" s="953"/>
      <c r="I265" s="953"/>
      <c r="J265" s="1005"/>
      <c r="K265" s="935"/>
      <c r="L265" s="935"/>
      <c r="M265" s="1007"/>
      <c r="N265" s="927"/>
      <c r="O265" s="935"/>
      <c r="P265" s="933"/>
      <c r="Q265" s="940"/>
      <c r="R265" s="933"/>
      <c r="S265" s="933"/>
      <c r="T265" s="935"/>
      <c r="U265" s="1006"/>
      <c r="V265" s="904"/>
      <c r="W265"/>
      <c r="X265"/>
      <c r="Y265"/>
      <c r="Z265" s="1041"/>
      <c r="AA265" s="902"/>
      <c r="AB265" s="901"/>
      <c r="AC265"/>
    </row>
    <row r="266" spans="1:29" ht="15" customHeight="1">
      <c r="A266" s="983"/>
      <c r="B266" s="1037"/>
      <c r="C266" s="952"/>
      <c r="D266" s="940"/>
      <c r="E266" s="922"/>
      <c r="F266" s="938"/>
      <c r="G266" s="938"/>
      <c r="H266" s="953"/>
      <c r="I266" s="953"/>
      <c r="J266" s="1005"/>
      <c r="K266" s="935"/>
      <c r="L266" s="935"/>
      <c r="M266" s="1007"/>
      <c r="N266" s="927"/>
      <c r="O266" s="935"/>
      <c r="P266" s="933"/>
      <c r="Q266" s="940"/>
      <c r="R266" s="933"/>
      <c r="S266" s="933"/>
      <c r="T266" s="935"/>
      <c r="U266" s="1006"/>
      <c r="V266" s="904"/>
      <c r="W266"/>
      <c r="X266"/>
      <c r="Y266"/>
      <c r="Z266" s="1041"/>
      <c r="AA266" s="902"/>
      <c r="AB266" s="901"/>
      <c r="AC266"/>
    </row>
    <row r="267" spans="1:29">
      <c r="A267" s="983"/>
      <c r="B267" s="1037"/>
      <c r="C267" s="952"/>
      <c r="D267" s="940"/>
      <c r="E267" s="956"/>
      <c r="F267" s="934"/>
      <c r="G267" s="934"/>
      <c r="H267" s="956"/>
      <c r="I267" s="956"/>
      <c r="J267" s="1005"/>
      <c r="K267" s="935"/>
      <c r="L267" s="935"/>
      <c r="M267" s="1007"/>
      <c r="N267" s="927"/>
      <c r="O267" s="935"/>
      <c r="P267" s="933"/>
      <c r="Q267" s="940"/>
      <c r="R267" s="933"/>
      <c r="S267" s="933"/>
      <c r="T267" s="935"/>
      <c r="U267" s="1006"/>
      <c r="V267" s="904"/>
      <c r="W267"/>
      <c r="X267"/>
      <c r="Y267"/>
      <c r="Z267" s="1041"/>
      <c r="AA267" s="902"/>
      <c r="AB267" s="901"/>
      <c r="AC267"/>
    </row>
    <row r="268" spans="1:29">
      <c r="A268" s="983"/>
      <c r="B268" s="1037"/>
      <c r="C268" s="952"/>
      <c r="D268" s="940"/>
      <c r="E268" s="956"/>
      <c r="F268" s="934"/>
      <c r="G268" s="934"/>
      <c r="H268" s="956"/>
      <c r="I268" s="956"/>
      <c r="J268" s="1005"/>
      <c r="K268" s="935"/>
      <c r="L268" s="935"/>
      <c r="M268" s="1007"/>
      <c r="N268" s="927"/>
      <c r="O268" s="935"/>
      <c r="P268" s="933"/>
      <c r="Q268" s="940"/>
      <c r="R268" s="933"/>
      <c r="S268" s="933"/>
      <c r="T268" s="935"/>
      <c r="U268" s="1006"/>
      <c r="V268" s="904"/>
      <c r="W268"/>
      <c r="X268"/>
      <c r="Y268"/>
      <c r="Z268" s="1041"/>
      <c r="AA268" s="902"/>
      <c r="AB268" s="901"/>
      <c r="AC268"/>
    </row>
    <row r="269" spans="1:29">
      <c r="A269" s="983"/>
      <c r="B269" s="1037"/>
      <c r="C269" s="952"/>
      <c r="D269" s="940"/>
      <c r="E269" s="956"/>
      <c r="F269" s="934"/>
      <c r="G269" s="934"/>
      <c r="H269" s="956"/>
      <c r="I269" s="956"/>
      <c r="J269" s="1005"/>
      <c r="K269" s="935"/>
      <c r="L269" s="935"/>
      <c r="M269" s="1007"/>
      <c r="N269" s="927"/>
      <c r="O269" s="935"/>
      <c r="P269" s="933"/>
      <c r="Q269" s="940"/>
      <c r="R269" s="933"/>
      <c r="S269" s="933"/>
      <c r="T269" s="935"/>
      <c r="U269" s="1006"/>
      <c r="V269" s="904"/>
      <c r="W269"/>
      <c r="X269"/>
      <c r="Y269"/>
      <c r="Z269" s="1041"/>
      <c r="AA269" s="902"/>
      <c r="AB269" s="901"/>
      <c r="AC269"/>
    </row>
    <row r="270" spans="1:29" ht="15" customHeight="1">
      <c r="A270" s="983"/>
      <c r="B270" s="1037"/>
      <c r="C270" s="952"/>
      <c r="D270" s="940"/>
      <c r="E270" s="922"/>
      <c r="F270" s="938"/>
      <c r="G270" s="938"/>
      <c r="H270" s="953"/>
      <c r="I270" s="953"/>
      <c r="J270" s="1005"/>
      <c r="K270" s="935"/>
      <c r="L270" s="935"/>
      <c r="M270" s="1007"/>
      <c r="N270" s="927"/>
      <c r="O270" s="935"/>
      <c r="P270" s="933"/>
      <c r="Q270" s="940"/>
      <c r="R270" s="933"/>
      <c r="S270" s="933"/>
      <c r="T270" s="935"/>
      <c r="U270" s="1006"/>
      <c r="V270" s="904"/>
      <c r="W270"/>
      <c r="X270"/>
      <c r="Y270"/>
      <c r="Z270" s="1041"/>
      <c r="AA270" s="902"/>
      <c r="AB270" s="901"/>
      <c r="AC270"/>
    </row>
    <row r="271" spans="1:29">
      <c r="A271" s="983"/>
      <c r="B271" s="1037"/>
      <c r="C271" s="952"/>
      <c r="D271" s="940"/>
      <c r="E271" s="956"/>
      <c r="F271" s="934"/>
      <c r="G271" s="934"/>
      <c r="H271" s="956"/>
      <c r="I271" s="956"/>
      <c r="J271" s="1005"/>
      <c r="K271" s="935"/>
      <c r="L271" s="935"/>
      <c r="M271" s="1007"/>
      <c r="N271" s="927"/>
      <c r="O271" s="935"/>
      <c r="P271" s="933"/>
      <c r="Q271" s="940"/>
      <c r="R271" s="933"/>
      <c r="S271" s="933"/>
      <c r="T271" s="935"/>
      <c r="U271" s="1006"/>
      <c r="V271" s="904"/>
      <c r="W271"/>
      <c r="X271"/>
      <c r="Y271"/>
      <c r="Z271" s="1041"/>
      <c r="AA271" s="902"/>
      <c r="AB271" s="901"/>
      <c r="AC271"/>
    </row>
    <row r="272" spans="1:29">
      <c r="A272" s="983"/>
      <c r="B272" s="1037"/>
      <c r="C272" s="952"/>
      <c r="D272" s="940"/>
      <c r="E272" s="956"/>
      <c r="F272" s="934"/>
      <c r="G272" s="934"/>
      <c r="H272" s="956"/>
      <c r="I272" s="956"/>
      <c r="J272" s="1005"/>
      <c r="K272" s="935"/>
      <c r="L272" s="935"/>
      <c r="M272" s="1007"/>
      <c r="N272" s="927"/>
      <c r="O272" s="935"/>
      <c r="P272" s="933"/>
      <c r="Q272" s="940"/>
      <c r="R272" s="933"/>
      <c r="S272" s="933"/>
      <c r="T272" s="935"/>
      <c r="U272" s="1006"/>
      <c r="V272" s="904"/>
      <c r="W272"/>
      <c r="X272"/>
      <c r="Y272"/>
      <c r="Z272" s="1041"/>
      <c r="AA272" s="902"/>
      <c r="AB272" s="901"/>
      <c r="AC272"/>
    </row>
    <row r="273" spans="1:32">
      <c r="A273" s="983"/>
      <c r="B273" s="1037"/>
      <c r="C273" s="952"/>
      <c r="D273" s="940"/>
      <c r="E273" s="922"/>
      <c r="F273" s="938"/>
      <c r="G273" s="938"/>
      <c r="H273" s="953"/>
      <c r="I273" s="953"/>
      <c r="J273" s="1005"/>
      <c r="K273" s="935"/>
      <c r="L273" s="935"/>
      <c r="M273" s="1007"/>
      <c r="N273" s="927"/>
      <c r="O273" s="935"/>
      <c r="P273" s="945"/>
      <c r="Q273" s="940"/>
      <c r="R273" s="933"/>
      <c r="S273" s="933"/>
      <c r="T273" s="935"/>
      <c r="U273" s="1006"/>
      <c r="V273" s="904"/>
      <c r="W273"/>
      <c r="X273"/>
      <c r="Y273"/>
      <c r="Z273" s="1041"/>
      <c r="AA273" s="902"/>
      <c r="AB273" s="901"/>
      <c r="AC273"/>
    </row>
    <row r="274" spans="1:32">
      <c r="A274" s="983"/>
      <c r="B274" s="1037"/>
      <c r="C274" s="952"/>
      <c r="D274" s="940"/>
      <c r="E274" s="956"/>
      <c r="F274" s="934"/>
      <c r="G274" s="934"/>
      <c r="H274" s="956"/>
      <c r="I274" s="956"/>
      <c r="J274" s="1005"/>
      <c r="K274" s="935"/>
      <c r="L274" s="935"/>
      <c r="M274" s="1007"/>
      <c r="N274" s="927"/>
      <c r="O274" s="935"/>
      <c r="P274" s="933"/>
      <c r="Q274" s="940"/>
      <c r="R274" s="933"/>
      <c r="S274" s="933"/>
      <c r="T274" s="935"/>
      <c r="U274" s="1006"/>
      <c r="V274" s="904"/>
      <c r="W274"/>
      <c r="X274"/>
      <c r="Y274"/>
      <c r="Z274" s="1041"/>
      <c r="AA274" s="902"/>
      <c r="AB274" s="901"/>
      <c r="AC274"/>
    </row>
    <row r="275" spans="1:32" ht="15" customHeight="1">
      <c r="A275" s="983"/>
      <c r="B275" s="1037"/>
      <c r="C275" s="952"/>
      <c r="D275" s="940"/>
      <c r="E275" s="922"/>
      <c r="F275" s="934"/>
      <c r="G275" s="934"/>
      <c r="H275" s="953"/>
      <c r="I275" s="953"/>
      <c r="J275" s="1005"/>
      <c r="K275" s="935"/>
      <c r="L275" s="935"/>
      <c r="M275" s="1007"/>
      <c r="N275" s="927"/>
      <c r="O275" s="935"/>
      <c r="P275" s="945"/>
      <c r="Q275" s="940"/>
      <c r="R275" s="933"/>
      <c r="S275" s="933"/>
      <c r="T275" s="935"/>
      <c r="U275" s="1006"/>
      <c r="V275" s="904"/>
      <c r="W275"/>
      <c r="X275"/>
      <c r="Y275"/>
      <c r="Z275" s="1041"/>
      <c r="AA275" s="902"/>
      <c r="AB275" s="901"/>
      <c r="AC275"/>
    </row>
    <row r="276" spans="1:32">
      <c r="A276" s="983"/>
      <c r="B276" s="1037"/>
      <c r="C276" s="952"/>
      <c r="D276" s="940"/>
      <c r="E276" s="956"/>
      <c r="F276" s="934"/>
      <c r="G276" s="934"/>
      <c r="H276" s="956"/>
      <c r="I276" s="956"/>
      <c r="J276" s="1005"/>
      <c r="K276" s="935"/>
      <c r="L276" s="935"/>
      <c r="M276" s="1007"/>
      <c r="N276" s="927"/>
      <c r="O276" s="935"/>
      <c r="P276" s="933"/>
      <c r="Q276" s="940"/>
      <c r="R276" s="933"/>
      <c r="S276" s="933"/>
      <c r="T276" s="935"/>
      <c r="U276" s="1006"/>
      <c r="V276" s="904"/>
      <c r="W276"/>
      <c r="X276"/>
      <c r="Y276"/>
      <c r="Z276" s="1041"/>
      <c r="AA276" s="902"/>
      <c r="AB276" s="901"/>
      <c r="AC276"/>
    </row>
    <row r="277" spans="1:32" ht="15" customHeight="1">
      <c r="A277" s="983"/>
      <c r="B277" s="1037"/>
      <c r="C277" s="952"/>
      <c r="D277" s="940"/>
      <c r="E277" s="922"/>
      <c r="F277" s="934"/>
      <c r="G277" s="934"/>
      <c r="H277" s="953"/>
      <c r="I277" s="953"/>
      <c r="J277" s="1005"/>
      <c r="K277" s="935"/>
      <c r="L277" s="935"/>
      <c r="M277" s="1007"/>
      <c r="N277" s="927"/>
      <c r="O277" s="935"/>
      <c r="P277" s="933"/>
      <c r="Q277" s="940"/>
      <c r="R277" s="933"/>
      <c r="S277" s="933"/>
      <c r="T277" s="935"/>
      <c r="U277" s="1006"/>
      <c r="V277" s="904"/>
      <c r="W277"/>
      <c r="X277"/>
      <c r="Y277"/>
      <c r="Z277" s="1041"/>
      <c r="AA277" s="902"/>
      <c r="AB277" s="901"/>
      <c r="AC277"/>
    </row>
    <row r="278" spans="1:32">
      <c r="A278" s="983"/>
      <c r="B278" s="1037"/>
      <c r="C278" s="952"/>
      <c r="D278" s="940"/>
      <c r="E278" s="956"/>
      <c r="F278" s="934"/>
      <c r="G278" s="934"/>
      <c r="H278" s="956"/>
      <c r="I278" s="956"/>
      <c r="J278" s="1005"/>
      <c r="K278" s="935"/>
      <c r="L278" s="935"/>
      <c r="M278" s="1007"/>
      <c r="N278" s="927"/>
      <c r="O278" s="935"/>
      <c r="P278" s="933"/>
      <c r="Q278" s="940"/>
      <c r="R278" s="933"/>
      <c r="S278" s="933"/>
      <c r="T278" s="935"/>
      <c r="U278" s="1006"/>
      <c r="V278" s="904"/>
      <c r="W278"/>
      <c r="X278"/>
      <c r="Y278"/>
      <c r="Z278" s="1041"/>
      <c r="AA278" s="902"/>
      <c r="AB278" s="901"/>
      <c r="AC278"/>
    </row>
    <row r="279" spans="1:32">
      <c r="A279" s="983"/>
      <c r="B279" s="1037"/>
      <c r="C279" s="952"/>
      <c r="D279" s="940"/>
      <c r="E279" s="956"/>
      <c r="F279" s="934"/>
      <c r="G279" s="934"/>
      <c r="H279" s="956"/>
      <c r="I279" s="956"/>
      <c r="J279" s="1005"/>
      <c r="K279" s="935"/>
      <c r="L279" s="935"/>
      <c r="M279" s="1007"/>
      <c r="N279" s="927"/>
      <c r="O279" s="935"/>
      <c r="P279" s="933"/>
      <c r="Q279" s="940"/>
      <c r="R279" s="933"/>
      <c r="S279" s="933"/>
      <c r="T279" s="935"/>
      <c r="U279" s="1006"/>
      <c r="V279"/>
      <c r="W279"/>
      <c r="X279"/>
      <c r="Y279"/>
      <c r="Z279" s="1041"/>
      <c r="AA279" s="902"/>
      <c r="AB279" s="901"/>
      <c r="AC279"/>
    </row>
    <row r="280" spans="1:32">
      <c r="A280" s="983"/>
      <c r="B280" s="1037"/>
      <c r="C280" s="952"/>
      <c r="D280" s="940"/>
      <c r="E280" s="956"/>
      <c r="F280" s="934"/>
      <c r="G280" s="934"/>
      <c r="H280" s="956"/>
      <c r="I280" s="956"/>
      <c r="J280" s="1005"/>
      <c r="K280" s="935"/>
      <c r="L280" s="935"/>
      <c r="M280" s="1007"/>
      <c r="N280" s="927"/>
      <c r="O280" s="935"/>
      <c r="P280" s="933"/>
      <c r="Q280" s="940"/>
      <c r="R280" s="933"/>
      <c r="S280" s="933"/>
      <c r="T280" s="935"/>
      <c r="U280" s="1006"/>
      <c r="V280" s="904"/>
      <c r="W280"/>
      <c r="X280"/>
      <c r="Y280"/>
      <c r="Z280" s="1041"/>
      <c r="AA280" s="902"/>
      <c r="AB280" s="901"/>
      <c r="AC280"/>
    </row>
    <row r="281" spans="1:32">
      <c r="A281" s="983"/>
      <c r="B281" s="1037"/>
      <c r="C281" s="952"/>
      <c r="D281" s="940"/>
      <c r="E281" s="922"/>
      <c r="F281" s="934"/>
      <c r="G281" s="934"/>
      <c r="H281" s="953"/>
      <c r="I281" s="953"/>
      <c r="J281" s="1005"/>
      <c r="K281" s="935"/>
      <c r="L281" s="935"/>
      <c r="M281" s="1007"/>
      <c r="N281" s="927"/>
      <c r="O281" s="935"/>
      <c r="P281" s="933"/>
      <c r="Q281" s="940"/>
      <c r="R281" s="933"/>
      <c r="S281" s="933"/>
      <c r="T281" s="935"/>
      <c r="U281" s="1006"/>
      <c r="V281" s="904"/>
      <c r="W281"/>
      <c r="X281"/>
      <c r="Y281"/>
      <c r="Z281" s="1041"/>
      <c r="AA281" s="902"/>
      <c r="AB281" s="901"/>
      <c r="AC281"/>
    </row>
    <row r="282" spans="1:32" s="898" customFormat="1">
      <c r="A282" s="983"/>
      <c r="B282" s="1037"/>
      <c r="C282" s="952"/>
      <c r="D282" s="940"/>
      <c r="E282" s="922"/>
      <c r="F282" s="946"/>
      <c r="G282" s="946"/>
      <c r="H282" s="922"/>
      <c r="I282" s="922"/>
      <c r="J282" s="1005"/>
      <c r="K282" s="935"/>
      <c r="L282" s="935"/>
      <c r="M282" s="1007"/>
      <c r="N282" s="927"/>
      <c r="O282" s="935"/>
      <c r="P282" s="935"/>
      <c r="Q282" s="940"/>
      <c r="R282" s="935"/>
      <c r="S282" s="935"/>
      <c r="T282" s="935"/>
      <c r="U282" s="1006"/>
      <c r="V282"/>
      <c r="W282"/>
      <c r="X282"/>
      <c r="Y282"/>
      <c r="Z282" s="1041"/>
      <c r="AA282" s="902"/>
      <c r="AB282" s="901"/>
      <c r="AC282"/>
      <c r="AF282" s="986"/>
    </row>
    <row r="283" spans="1:32" ht="15" customHeight="1">
      <c r="A283" s="983"/>
      <c r="B283" s="1037"/>
      <c r="C283" s="952"/>
      <c r="D283" s="940"/>
      <c r="E283" s="922"/>
      <c r="F283" s="934"/>
      <c r="G283" s="938"/>
      <c r="H283" s="953"/>
      <c r="I283" s="953"/>
      <c r="J283" s="1005"/>
      <c r="K283" s="935"/>
      <c r="L283" s="935"/>
      <c r="M283" s="1007"/>
      <c r="N283" s="927"/>
      <c r="O283" s="935"/>
      <c r="P283" s="933"/>
      <c r="Q283" s="940"/>
      <c r="R283" s="933"/>
      <c r="S283" s="933"/>
      <c r="T283" s="935"/>
      <c r="U283" s="1006"/>
      <c r="V283" s="904"/>
      <c r="W283"/>
      <c r="X283"/>
      <c r="Y283"/>
      <c r="Z283" s="1041"/>
      <c r="AA283" s="902"/>
      <c r="AB283" s="901"/>
      <c r="AC283"/>
    </row>
    <row r="284" spans="1:32" ht="15" customHeight="1">
      <c r="A284" s="983"/>
      <c r="B284" s="1037"/>
      <c r="C284" s="952"/>
      <c r="D284" s="940"/>
      <c r="E284" s="922"/>
      <c r="F284" s="938"/>
      <c r="G284" s="938"/>
      <c r="H284" s="953"/>
      <c r="I284" s="953"/>
      <c r="J284" s="1005"/>
      <c r="K284" s="935"/>
      <c r="L284" s="935"/>
      <c r="M284" s="1007"/>
      <c r="N284" s="927"/>
      <c r="O284" s="935"/>
      <c r="P284" s="933"/>
      <c r="Q284" s="940"/>
      <c r="R284" s="933"/>
      <c r="S284" s="933"/>
      <c r="T284" s="935"/>
      <c r="U284" s="1006"/>
      <c r="V284" s="904"/>
      <c r="W284"/>
      <c r="X284"/>
      <c r="Y284"/>
      <c r="Z284" s="1041"/>
      <c r="AA284" s="902"/>
      <c r="AB284" s="901"/>
      <c r="AC284"/>
    </row>
    <row r="285" spans="1:32" ht="15" customHeight="1">
      <c r="A285" s="983"/>
      <c r="B285" s="1037"/>
      <c r="C285" s="952"/>
      <c r="D285" s="940"/>
      <c r="E285" s="922"/>
      <c r="F285" s="938"/>
      <c r="G285" s="934"/>
      <c r="H285" s="953"/>
      <c r="I285" s="953"/>
      <c r="J285" s="1005"/>
      <c r="K285" s="935"/>
      <c r="L285" s="935"/>
      <c r="M285" s="1007"/>
      <c r="N285" s="927"/>
      <c r="O285" s="935"/>
      <c r="P285" s="933"/>
      <c r="Q285" s="940"/>
      <c r="R285" s="933"/>
      <c r="S285" s="933"/>
      <c r="T285" s="935"/>
      <c r="U285" s="1006"/>
      <c r="V285" s="904"/>
      <c r="W285"/>
      <c r="X285"/>
      <c r="Y285"/>
      <c r="Z285" s="1041"/>
      <c r="AA285" s="902"/>
      <c r="AB285" s="901"/>
      <c r="AC285"/>
    </row>
    <row r="286" spans="1:32" ht="15" customHeight="1">
      <c r="A286" s="983"/>
      <c r="B286" s="1037"/>
      <c r="C286" s="952"/>
      <c r="D286" s="940"/>
      <c r="E286" s="922"/>
      <c r="F286" s="938"/>
      <c r="G286" s="934"/>
      <c r="H286" s="953"/>
      <c r="I286" s="953"/>
      <c r="J286" s="1005"/>
      <c r="K286" s="935"/>
      <c r="L286" s="935"/>
      <c r="M286" s="1007"/>
      <c r="N286" s="927"/>
      <c r="O286" s="935"/>
      <c r="P286" s="933"/>
      <c r="Q286" s="940"/>
      <c r="R286" s="933"/>
      <c r="S286" s="933"/>
      <c r="T286" s="935"/>
      <c r="U286" s="1006"/>
      <c r="V286" s="904"/>
      <c r="W286"/>
      <c r="X286"/>
      <c r="Y286"/>
      <c r="Z286" s="1041"/>
      <c r="AA286" s="902"/>
      <c r="AB286" s="901"/>
      <c r="AC286"/>
    </row>
    <row r="287" spans="1:32">
      <c r="A287" s="983"/>
      <c r="B287" s="1037"/>
      <c r="C287" s="952"/>
      <c r="D287" s="940"/>
      <c r="E287" s="922"/>
      <c r="F287" s="938"/>
      <c r="G287" s="934"/>
      <c r="H287" s="953"/>
      <c r="I287" s="953"/>
      <c r="J287" s="1005"/>
      <c r="K287" s="935"/>
      <c r="L287" s="935"/>
      <c r="M287" s="1007"/>
      <c r="N287" s="927"/>
      <c r="O287" s="935"/>
      <c r="P287" s="933"/>
      <c r="Q287" s="940"/>
      <c r="R287" s="933"/>
      <c r="S287" s="933"/>
      <c r="T287" s="935"/>
      <c r="U287" s="1006"/>
      <c r="V287" s="904"/>
      <c r="W287"/>
      <c r="X287"/>
      <c r="Y287"/>
      <c r="Z287" s="1041"/>
      <c r="AA287" s="902"/>
      <c r="AB287" s="901"/>
      <c r="AC287"/>
    </row>
    <row r="288" spans="1:32" ht="15" customHeight="1">
      <c r="A288" s="983"/>
      <c r="B288" s="1037"/>
      <c r="C288" s="952"/>
      <c r="D288" s="940"/>
      <c r="E288" s="922"/>
      <c r="F288" s="938"/>
      <c r="G288" s="938"/>
      <c r="H288" s="953"/>
      <c r="I288" s="953"/>
      <c r="J288" s="1005"/>
      <c r="K288" s="935"/>
      <c r="L288" s="935"/>
      <c r="M288" s="1007"/>
      <c r="N288" s="927"/>
      <c r="O288" s="935"/>
      <c r="P288" s="933"/>
      <c r="Q288" s="940"/>
      <c r="R288" s="933"/>
      <c r="S288" s="933"/>
      <c r="T288" s="935"/>
      <c r="U288" s="1006"/>
      <c r="V288" s="904"/>
      <c r="W288"/>
      <c r="X288"/>
      <c r="Y288"/>
      <c r="Z288" s="1041"/>
      <c r="AA288" s="902"/>
      <c r="AB288" s="901"/>
      <c r="AC288"/>
    </row>
    <row r="289" spans="1:32" ht="15" customHeight="1">
      <c r="A289" s="983"/>
      <c r="B289" s="1037"/>
      <c r="C289" s="952"/>
      <c r="D289" s="940"/>
      <c r="E289" s="956"/>
      <c r="F289" s="938"/>
      <c r="G289" s="938"/>
      <c r="H289" s="956"/>
      <c r="I289" s="956"/>
      <c r="J289" s="1005"/>
      <c r="K289" s="935"/>
      <c r="L289" s="935"/>
      <c r="M289" s="1007"/>
      <c r="N289" s="927"/>
      <c r="O289" s="935"/>
      <c r="P289" s="933"/>
      <c r="Q289" s="940"/>
      <c r="R289" s="933"/>
      <c r="S289" s="933"/>
      <c r="T289" s="935"/>
      <c r="U289" s="1006"/>
      <c r="V289" s="904"/>
      <c r="W289"/>
      <c r="X289"/>
      <c r="Y289"/>
      <c r="Z289" s="1041"/>
      <c r="AA289" s="902"/>
      <c r="AB289" s="901"/>
      <c r="AC289"/>
    </row>
    <row r="290" spans="1:32">
      <c r="A290" s="983"/>
      <c r="B290" s="1037"/>
      <c r="C290" s="952"/>
      <c r="D290" s="940"/>
      <c r="E290" s="956"/>
      <c r="F290" s="934"/>
      <c r="G290" s="934"/>
      <c r="H290" s="956"/>
      <c r="I290" s="956"/>
      <c r="J290" s="1005"/>
      <c r="K290" s="935"/>
      <c r="L290" s="935"/>
      <c r="M290" s="1007"/>
      <c r="N290" s="927"/>
      <c r="O290" s="935"/>
      <c r="P290" s="933"/>
      <c r="Q290" s="940"/>
      <c r="R290" s="933"/>
      <c r="S290" s="933"/>
      <c r="T290" s="935"/>
      <c r="U290" s="1006"/>
      <c r="V290" s="904"/>
      <c r="W290"/>
      <c r="X290"/>
      <c r="Y290"/>
      <c r="Z290" s="1041"/>
      <c r="AA290" s="902"/>
      <c r="AB290" s="901"/>
      <c r="AC290"/>
    </row>
    <row r="291" spans="1:32">
      <c r="A291" s="983"/>
      <c r="B291" s="1037"/>
      <c r="C291" s="952"/>
      <c r="D291" s="940"/>
      <c r="E291" s="922"/>
      <c r="F291" s="955"/>
      <c r="G291" s="955"/>
      <c r="H291" s="953"/>
      <c r="I291" s="953"/>
      <c r="J291" s="1005"/>
      <c r="K291" s="935"/>
      <c r="L291" s="935"/>
      <c r="M291" s="1007"/>
      <c r="N291" s="927"/>
      <c r="O291" s="935"/>
      <c r="P291" s="933"/>
      <c r="Q291" s="940"/>
      <c r="R291" s="933"/>
      <c r="S291" s="933"/>
      <c r="T291" s="935"/>
      <c r="U291" s="1006"/>
      <c r="V291" s="904"/>
      <c r="W291"/>
      <c r="X291"/>
      <c r="Y291"/>
      <c r="Z291" s="1041"/>
      <c r="AA291" s="902"/>
      <c r="AB291" s="901"/>
      <c r="AC291"/>
    </row>
    <row r="292" spans="1:32">
      <c r="A292" s="983"/>
      <c r="B292" s="1037"/>
      <c r="C292" s="952"/>
      <c r="D292" s="940"/>
      <c r="E292" s="922"/>
      <c r="F292" s="955"/>
      <c r="G292" s="955"/>
      <c r="H292" s="953"/>
      <c r="I292" s="953"/>
      <c r="J292" s="1005"/>
      <c r="K292" s="935"/>
      <c r="L292" s="935"/>
      <c r="M292" s="1007"/>
      <c r="N292" s="927"/>
      <c r="O292" s="935"/>
      <c r="P292" s="933"/>
      <c r="Q292" s="940"/>
      <c r="R292" s="933"/>
      <c r="S292" s="933"/>
      <c r="T292" s="935"/>
      <c r="U292" s="1006"/>
      <c r="V292" s="904"/>
      <c r="W292"/>
      <c r="X292"/>
      <c r="Y292"/>
      <c r="Z292" s="1041"/>
      <c r="AA292" s="902"/>
      <c r="AB292" s="901"/>
      <c r="AC292"/>
    </row>
    <row r="293" spans="1:32" s="900" customFormat="1">
      <c r="A293" s="983"/>
      <c r="B293" s="1037"/>
      <c r="C293" s="952"/>
      <c r="D293" s="940"/>
      <c r="E293" s="922"/>
      <c r="F293" s="938"/>
      <c r="G293" s="938"/>
      <c r="H293" s="953"/>
      <c r="I293" s="953"/>
      <c r="J293" s="1005"/>
      <c r="K293" s="935"/>
      <c r="L293" s="935"/>
      <c r="M293" s="1007"/>
      <c r="N293" s="927"/>
      <c r="O293" s="935"/>
      <c r="P293" s="933"/>
      <c r="Q293" s="940"/>
      <c r="R293" s="933"/>
      <c r="S293" s="933"/>
      <c r="T293" s="935"/>
      <c r="U293" s="1006"/>
      <c r="V293" s="904"/>
      <c r="W293"/>
      <c r="X293"/>
      <c r="Y293"/>
      <c r="Z293" s="1041"/>
      <c r="AA293" s="902"/>
      <c r="AB293" s="901"/>
      <c r="AC293"/>
      <c r="AF293" s="987"/>
    </row>
    <row r="294" spans="1:32" ht="15" customHeight="1">
      <c r="A294" s="983"/>
      <c r="B294" s="1037"/>
      <c r="C294" s="952"/>
      <c r="D294" s="940"/>
      <c r="E294" s="922"/>
      <c r="F294" s="955"/>
      <c r="G294" s="955"/>
      <c r="H294" s="953"/>
      <c r="I294" s="953"/>
      <c r="J294" s="1005"/>
      <c r="K294" s="935"/>
      <c r="L294" s="935"/>
      <c r="M294" s="1007"/>
      <c r="N294" s="927"/>
      <c r="O294" s="935"/>
      <c r="P294" s="933"/>
      <c r="Q294" s="940"/>
      <c r="R294" s="933"/>
      <c r="S294" s="933"/>
      <c r="T294" s="935"/>
      <c r="U294" s="1006"/>
      <c r="V294" s="904"/>
      <c r="W294"/>
      <c r="X294"/>
      <c r="Y294"/>
      <c r="Z294" s="1041"/>
      <c r="AA294" s="902"/>
      <c r="AB294" s="901"/>
      <c r="AC294"/>
    </row>
    <row r="295" spans="1:32">
      <c r="A295" s="983"/>
      <c r="B295" s="1037"/>
      <c r="C295" s="952"/>
      <c r="D295" s="940"/>
      <c r="E295" s="948"/>
      <c r="F295" s="938"/>
      <c r="G295" s="934"/>
      <c r="H295" s="956"/>
      <c r="I295" s="956"/>
      <c r="J295" s="1005"/>
      <c r="K295" s="935"/>
      <c r="L295" s="935"/>
      <c r="M295" s="1007"/>
      <c r="N295" s="927"/>
      <c r="O295" s="935"/>
      <c r="P295" s="933"/>
      <c r="Q295" s="940"/>
      <c r="R295" s="933"/>
      <c r="S295" s="933"/>
      <c r="T295" s="935"/>
      <c r="U295" s="1006"/>
      <c r="V295" s="904"/>
      <c r="W295"/>
      <c r="X295"/>
      <c r="Y295"/>
      <c r="Z295" s="1041"/>
      <c r="AA295" s="902"/>
      <c r="AB295" s="901"/>
      <c r="AC295"/>
    </row>
    <row r="296" spans="1:32">
      <c r="A296" s="983"/>
      <c r="B296" s="1037"/>
      <c r="C296" s="952"/>
      <c r="D296" s="940"/>
      <c r="E296" s="948"/>
      <c r="F296" s="938"/>
      <c r="G296" s="934"/>
      <c r="H296" s="956"/>
      <c r="I296" s="956"/>
      <c r="J296" s="1005"/>
      <c r="K296" s="935"/>
      <c r="L296" s="935"/>
      <c r="M296" s="1007"/>
      <c r="N296" s="927"/>
      <c r="O296" s="935"/>
      <c r="P296" s="933"/>
      <c r="Q296" s="940"/>
      <c r="R296" s="933"/>
      <c r="S296" s="933"/>
      <c r="T296" s="935"/>
      <c r="U296" s="1006"/>
      <c r="V296" s="904"/>
      <c r="W296"/>
      <c r="X296"/>
      <c r="Y296"/>
      <c r="Z296" s="1041"/>
      <c r="AA296" s="902"/>
      <c r="AB296" s="901"/>
      <c r="AC296"/>
    </row>
    <row r="297" spans="1:32">
      <c r="A297" s="983"/>
      <c r="B297" s="1037"/>
      <c r="C297" s="952"/>
      <c r="D297" s="940"/>
      <c r="E297" s="948"/>
      <c r="F297" s="938"/>
      <c r="G297" s="934"/>
      <c r="H297" s="956"/>
      <c r="I297" s="956"/>
      <c r="J297" s="1005"/>
      <c r="K297" s="935"/>
      <c r="L297" s="935"/>
      <c r="M297" s="1007"/>
      <c r="N297" s="927"/>
      <c r="O297" s="935"/>
      <c r="P297" s="933"/>
      <c r="Q297" s="940"/>
      <c r="R297" s="933"/>
      <c r="S297" s="933"/>
      <c r="T297" s="935"/>
      <c r="U297" s="1006"/>
      <c r="V297" s="904"/>
      <c r="W297"/>
      <c r="X297"/>
      <c r="Y297"/>
      <c r="Z297" s="1041"/>
      <c r="AA297" s="902"/>
      <c r="AB297" s="901"/>
      <c r="AC297"/>
    </row>
    <row r="298" spans="1:32" ht="15" customHeight="1">
      <c r="A298" s="983"/>
      <c r="B298" s="1037"/>
      <c r="C298" s="952"/>
      <c r="D298" s="940"/>
      <c r="E298" s="922"/>
      <c r="F298" s="938"/>
      <c r="G298" s="934"/>
      <c r="H298" s="953"/>
      <c r="I298" s="953"/>
      <c r="J298" s="1005"/>
      <c r="K298" s="935"/>
      <c r="L298" s="935"/>
      <c r="M298" s="1007"/>
      <c r="N298" s="927"/>
      <c r="O298" s="935"/>
      <c r="P298" s="933"/>
      <c r="Q298" s="940"/>
      <c r="R298" s="933"/>
      <c r="S298" s="933"/>
      <c r="T298" s="935"/>
      <c r="U298" s="1006"/>
      <c r="V298" s="904"/>
      <c r="W298"/>
      <c r="X298"/>
      <c r="Y298"/>
      <c r="Z298" s="1041"/>
      <c r="AA298" s="902"/>
      <c r="AB298" s="901"/>
      <c r="AC298"/>
    </row>
    <row r="299" spans="1:32" ht="15" customHeight="1">
      <c r="A299" s="983"/>
      <c r="B299" s="1037"/>
      <c r="C299" s="952"/>
      <c r="D299" s="940"/>
      <c r="E299" s="922"/>
      <c r="F299" s="938"/>
      <c r="G299" s="938"/>
      <c r="H299" s="953"/>
      <c r="I299" s="953"/>
      <c r="J299" s="1005"/>
      <c r="K299" s="935"/>
      <c r="L299" s="935"/>
      <c r="M299" s="1007"/>
      <c r="N299" s="927"/>
      <c r="O299" s="935"/>
      <c r="P299" s="933"/>
      <c r="Q299" s="940"/>
      <c r="R299" s="933"/>
      <c r="S299" s="933"/>
      <c r="T299" s="935"/>
      <c r="U299" s="1006"/>
      <c r="V299" s="904"/>
      <c r="W299"/>
      <c r="X299"/>
      <c r="Y299"/>
      <c r="Z299" s="1041"/>
      <c r="AA299" s="902"/>
      <c r="AB299" s="901"/>
      <c r="AC299"/>
    </row>
    <row r="300" spans="1:32">
      <c r="A300" s="983"/>
      <c r="B300" s="1037"/>
      <c r="C300" s="952"/>
      <c r="D300" s="940"/>
      <c r="E300" s="956"/>
      <c r="F300" s="934"/>
      <c r="G300" s="934"/>
      <c r="H300" s="956"/>
      <c r="I300" s="956"/>
      <c r="J300" s="1005"/>
      <c r="K300" s="935"/>
      <c r="L300" s="935"/>
      <c r="M300" s="1007"/>
      <c r="N300" s="927"/>
      <c r="O300" s="935"/>
      <c r="P300" s="933"/>
      <c r="Q300" s="940"/>
      <c r="R300" s="933"/>
      <c r="S300" s="933"/>
      <c r="T300" s="935"/>
      <c r="U300" s="1006"/>
      <c r="V300" s="904"/>
      <c r="W300"/>
      <c r="X300"/>
      <c r="Y300"/>
      <c r="Z300" s="1041"/>
      <c r="AA300" s="902"/>
      <c r="AB300" s="901"/>
      <c r="AC300"/>
    </row>
    <row r="301" spans="1:32">
      <c r="A301" s="983"/>
      <c r="B301" s="1037"/>
      <c r="C301" s="952"/>
      <c r="D301" s="940"/>
      <c r="E301" s="956"/>
      <c r="F301" s="934"/>
      <c r="G301" s="934"/>
      <c r="H301" s="956"/>
      <c r="I301" s="956"/>
      <c r="J301" s="1005"/>
      <c r="K301" s="935"/>
      <c r="L301" s="935"/>
      <c r="M301" s="1007"/>
      <c r="N301" s="927"/>
      <c r="O301" s="935"/>
      <c r="P301" s="933"/>
      <c r="Q301" s="940"/>
      <c r="R301" s="933"/>
      <c r="S301" s="933"/>
      <c r="T301" s="935"/>
      <c r="U301" s="1006"/>
      <c r="V301" s="904"/>
      <c r="W301"/>
      <c r="X301"/>
      <c r="Y301"/>
      <c r="Z301" s="1041"/>
      <c r="AA301" s="902"/>
      <c r="AB301" s="901"/>
      <c r="AC301"/>
    </row>
    <row r="302" spans="1:32">
      <c r="A302" s="983"/>
      <c r="B302" s="1037"/>
      <c r="C302" s="952"/>
      <c r="D302" s="940"/>
      <c r="E302" s="956"/>
      <c r="F302" s="934"/>
      <c r="G302" s="934"/>
      <c r="H302" s="956"/>
      <c r="I302" s="956"/>
      <c r="J302" s="1005"/>
      <c r="K302" s="935"/>
      <c r="L302" s="935"/>
      <c r="M302" s="1007"/>
      <c r="N302" s="927"/>
      <c r="O302" s="935"/>
      <c r="P302" s="933"/>
      <c r="Q302" s="940"/>
      <c r="R302" s="933"/>
      <c r="S302" s="933"/>
      <c r="T302" s="935"/>
      <c r="U302" s="1006"/>
      <c r="V302" s="904"/>
      <c r="W302"/>
      <c r="X302"/>
      <c r="Y302"/>
      <c r="Z302" s="1041"/>
      <c r="AA302" s="902"/>
      <c r="AB302" s="901"/>
      <c r="AC302"/>
    </row>
    <row r="303" spans="1:32">
      <c r="A303" s="983"/>
      <c r="B303" s="1037"/>
      <c r="C303" s="952"/>
      <c r="D303" s="940"/>
      <c r="E303" s="922"/>
      <c r="F303" s="938"/>
      <c r="G303" s="938"/>
      <c r="H303" s="953"/>
      <c r="I303" s="953"/>
      <c r="J303" s="1005"/>
      <c r="K303" s="935"/>
      <c r="L303" s="935"/>
      <c r="M303" s="1007"/>
      <c r="N303" s="927"/>
      <c r="O303" s="935"/>
      <c r="P303" s="945"/>
      <c r="Q303" s="940"/>
      <c r="R303" s="933"/>
      <c r="S303" s="933"/>
      <c r="T303" s="935"/>
      <c r="U303" s="1006"/>
      <c r="V303" s="904"/>
      <c r="W303"/>
      <c r="X303"/>
      <c r="Y303"/>
      <c r="Z303" s="1041"/>
      <c r="AA303" s="902"/>
      <c r="AB303" s="901"/>
      <c r="AC303"/>
    </row>
    <row r="304" spans="1:32">
      <c r="A304" s="983"/>
      <c r="B304" s="1037"/>
      <c r="C304" s="952"/>
      <c r="D304" s="940"/>
      <c r="E304" s="925"/>
      <c r="F304" s="926"/>
      <c r="G304" s="926"/>
      <c r="H304" s="926"/>
      <c r="I304" s="926"/>
      <c r="J304" s="1005"/>
      <c r="K304" s="925"/>
      <c r="L304" s="925"/>
      <c r="M304" s="1007"/>
      <c r="N304" s="927"/>
      <c r="O304" s="925"/>
      <c r="P304" s="925"/>
      <c r="Q304" s="940"/>
      <c r="R304" s="925"/>
      <c r="S304" s="925"/>
      <c r="T304" s="925"/>
      <c r="U304" s="1006"/>
      <c r="V304" s="904"/>
      <c r="W304"/>
      <c r="X304"/>
      <c r="Y304"/>
      <c r="Z304" s="1041"/>
      <c r="AA304" s="897"/>
      <c r="AB304" s="897"/>
    </row>
    <row r="305" spans="1:28">
      <c r="A305" s="983"/>
      <c r="B305" s="1037"/>
      <c r="C305" s="952"/>
      <c r="D305" s="940"/>
      <c r="E305" s="925"/>
      <c r="F305" s="926"/>
      <c r="G305" s="926"/>
      <c r="H305" s="926"/>
      <c r="I305" s="926"/>
      <c r="J305" s="1005"/>
      <c r="K305" s="924"/>
      <c r="L305" s="924"/>
      <c r="M305" s="1007"/>
      <c r="N305" s="927"/>
      <c r="O305" s="925"/>
      <c r="P305" s="925"/>
      <c r="Q305" s="940"/>
      <c r="R305" s="925"/>
      <c r="S305" s="925"/>
      <c r="T305" s="925"/>
      <c r="U305" s="1006"/>
      <c r="V305" s="904"/>
      <c r="W305"/>
      <c r="X305"/>
      <c r="Y305"/>
      <c r="Z305" s="1041"/>
      <c r="AA305" s="897"/>
      <c r="AB305" s="897"/>
    </row>
    <row r="306" spans="1:28">
      <c r="A306" s="983"/>
      <c r="B306" s="1037"/>
      <c r="C306" s="952"/>
      <c r="D306" s="940"/>
      <c r="E306" s="957"/>
      <c r="F306" s="954"/>
      <c r="G306" s="954"/>
      <c r="H306" s="958"/>
      <c r="I306" s="958"/>
      <c r="J306" s="1005"/>
      <c r="K306" s="922"/>
      <c r="L306" s="922"/>
      <c r="M306" s="1007"/>
      <c r="N306" s="927"/>
      <c r="O306" s="922"/>
      <c r="P306" s="956"/>
      <c r="Q306" s="940"/>
      <c r="R306" s="956"/>
      <c r="S306" s="956"/>
      <c r="T306" s="956"/>
      <c r="U306" s="1006"/>
      <c r="V306" s="904"/>
      <c r="W306"/>
      <c r="X306"/>
      <c r="Y306"/>
      <c r="Z306" s="1041"/>
      <c r="AA306" s="897"/>
      <c r="AB306" s="897"/>
    </row>
    <row r="307" spans="1:28">
      <c r="A307" s="983"/>
      <c r="B307" s="1037"/>
      <c r="C307" s="952"/>
      <c r="D307" s="940"/>
      <c r="E307" s="957"/>
      <c r="F307" s="954"/>
      <c r="G307" s="954"/>
      <c r="H307" s="958"/>
      <c r="I307" s="958"/>
      <c r="J307" s="1005"/>
      <c r="K307" s="922"/>
      <c r="L307" s="922"/>
      <c r="M307" s="1007"/>
      <c r="N307" s="927"/>
      <c r="O307" s="956"/>
      <c r="P307" s="956"/>
      <c r="Q307" s="940"/>
      <c r="R307" s="956"/>
      <c r="S307" s="956"/>
      <c r="T307" s="956"/>
      <c r="U307" s="1006"/>
      <c r="V307" s="904"/>
      <c r="W307"/>
      <c r="X307"/>
      <c r="Y307"/>
      <c r="Z307" s="1041"/>
      <c r="AA307" s="897"/>
      <c r="AB307" s="897"/>
    </row>
    <row r="308" spans="1:28">
      <c r="A308" s="983"/>
      <c r="B308" s="1037"/>
      <c r="C308" s="952"/>
      <c r="D308" s="940"/>
      <c r="E308" s="957"/>
      <c r="F308" s="954"/>
      <c r="G308" s="954"/>
      <c r="H308" s="958"/>
      <c r="I308" s="958"/>
      <c r="J308" s="1005"/>
      <c r="K308" s="922"/>
      <c r="L308" s="922"/>
      <c r="M308" s="1007"/>
      <c r="N308" s="927"/>
      <c r="O308" s="956"/>
      <c r="P308" s="956"/>
      <c r="Q308" s="940"/>
      <c r="R308" s="956"/>
      <c r="S308" s="956"/>
      <c r="T308" s="956"/>
      <c r="U308" s="1006"/>
      <c r="V308" s="904"/>
      <c r="W308"/>
      <c r="X308"/>
      <c r="Y308"/>
      <c r="Z308" s="1041"/>
      <c r="AA308" s="897"/>
      <c r="AB308" s="897"/>
    </row>
    <row r="309" spans="1:28">
      <c r="A309" s="983"/>
      <c r="B309" s="1037"/>
      <c r="C309" s="952"/>
      <c r="D309" s="940"/>
      <c r="E309" s="957"/>
      <c r="F309" s="954"/>
      <c r="G309" s="954"/>
      <c r="H309" s="958"/>
      <c r="I309" s="958"/>
      <c r="J309" s="1005"/>
      <c r="K309" s="922"/>
      <c r="L309" s="922"/>
      <c r="M309" s="1007"/>
      <c r="N309" s="927"/>
      <c r="O309" s="956"/>
      <c r="P309" s="956"/>
      <c r="Q309" s="940"/>
      <c r="R309" s="956"/>
      <c r="S309" s="956"/>
      <c r="T309" s="956"/>
      <c r="U309" s="1006"/>
      <c r="V309" s="904"/>
      <c r="W309"/>
      <c r="X309"/>
      <c r="Y309"/>
      <c r="Z309" s="1041"/>
      <c r="AA309" s="897"/>
      <c r="AB309" s="897"/>
    </row>
    <row r="310" spans="1:28">
      <c r="A310" s="983"/>
      <c r="B310" s="1037"/>
      <c r="C310" s="952"/>
      <c r="D310" s="940"/>
      <c r="E310" s="957"/>
      <c r="F310" s="954"/>
      <c r="G310" s="954"/>
      <c r="H310" s="958"/>
      <c r="I310" s="958"/>
      <c r="J310" s="1005"/>
      <c r="K310" s="922"/>
      <c r="L310" s="922"/>
      <c r="M310" s="1007"/>
      <c r="N310" s="927"/>
      <c r="O310" s="956"/>
      <c r="P310" s="956"/>
      <c r="Q310" s="940"/>
      <c r="R310" s="956"/>
      <c r="S310" s="956"/>
      <c r="T310" s="956"/>
      <c r="U310" s="1006"/>
      <c r="V310" s="904"/>
      <c r="W310"/>
      <c r="X310"/>
      <c r="Y310"/>
      <c r="Z310" s="1041"/>
      <c r="AA310" s="897"/>
      <c r="AB310" s="897"/>
    </row>
    <row r="311" spans="1:28">
      <c r="A311" s="983"/>
      <c r="B311" s="1037"/>
      <c r="C311" s="952"/>
      <c r="D311" s="940"/>
      <c r="E311" s="957"/>
      <c r="F311" s="954"/>
      <c r="G311" s="954"/>
      <c r="H311" s="958"/>
      <c r="I311" s="958"/>
      <c r="J311" s="1005"/>
      <c r="K311" s="922"/>
      <c r="L311" s="922"/>
      <c r="M311" s="1007"/>
      <c r="N311" s="927"/>
      <c r="O311" s="956"/>
      <c r="P311" s="956"/>
      <c r="Q311" s="940"/>
      <c r="R311" s="956"/>
      <c r="S311" s="956"/>
      <c r="T311" s="956"/>
      <c r="U311" s="1006"/>
      <c r="V311" s="904"/>
      <c r="W311"/>
      <c r="X311"/>
      <c r="Y311"/>
      <c r="Z311" s="1041"/>
      <c r="AA311" s="897"/>
      <c r="AB311" s="897"/>
    </row>
    <row r="312" spans="1:28">
      <c r="A312" s="983"/>
      <c r="B312" s="1037"/>
      <c r="C312" s="952"/>
      <c r="D312" s="940"/>
      <c r="E312" s="957"/>
      <c r="F312" s="954"/>
      <c r="G312" s="954"/>
      <c r="H312" s="958"/>
      <c r="I312" s="958"/>
      <c r="J312" s="1005"/>
      <c r="K312" s="922"/>
      <c r="L312" s="922"/>
      <c r="M312" s="1007"/>
      <c r="N312" s="927"/>
      <c r="O312" s="956"/>
      <c r="P312" s="956"/>
      <c r="Q312" s="940"/>
      <c r="R312" s="956"/>
      <c r="S312" s="956"/>
      <c r="T312" s="956"/>
      <c r="U312" s="1006"/>
      <c r="V312" s="904"/>
      <c r="W312"/>
      <c r="X312"/>
      <c r="Y312"/>
      <c r="Z312" s="1041"/>
      <c r="AA312" s="897"/>
      <c r="AB312" s="897"/>
    </row>
    <row r="313" spans="1:28">
      <c r="A313" s="983"/>
      <c r="B313" s="1037"/>
      <c r="C313" s="952"/>
      <c r="D313" s="940"/>
      <c r="E313" s="957"/>
      <c r="F313" s="954"/>
      <c r="G313" s="954"/>
      <c r="H313" s="958"/>
      <c r="I313" s="958"/>
      <c r="J313" s="1005"/>
      <c r="K313" s="922"/>
      <c r="L313" s="922"/>
      <c r="M313" s="1007"/>
      <c r="N313" s="927"/>
      <c r="O313" s="956"/>
      <c r="P313" s="956"/>
      <c r="Q313" s="940"/>
      <c r="R313" s="956"/>
      <c r="S313" s="956"/>
      <c r="T313" s="956"/>
      <c r="U313" s="1006"/>
      <c r="V313" s="904"/>
      <c r="W313"/>
      <c r="X313"/>
      <c r="Y313"/>
      <c r="Z313" s="1041"/>
      <c r="AA313" s="897"/>
      <c r="AB313" s="897"/>
    </row>
    <row r="314" spans="1:28">
      <c r="A314" s="983"/>
      <c r="B314" s="1037"/>
      <c r="C314" s="952"/>
      <c r="D314" s="940"/>
      <c r="E314" s="957"/>
      <c r="F314" s="954"/>
      <c r="G314" s="954"/>
      <c r="H314" s="958"/>
      <c r="I314" s="958"/>
      <c r="J314" s="1005"/>
      <c r="K314" s="922"/>
      <c r="L314" s="922"/>
      <c r="M314" s="1007"/>
      <c r="N314" s="927"/>
      <c r="O314" s="956"/>
      <c r="P314" s="956"/>
      <c r="Q314" s="940"/>
      <c r="R314" s="956"/>
      <c r="S314" s="956"/>
      <c r="T314" s="956"/>
      <c r="U314" s="1006"/>
      <c r="V314" s="904"/>
      <c r="W314"/>
      <c r="X314"/>
      <c r="Y314"/>
      <c r="Z314" s="1041"/>
      <c r="AA314" s="897"/>
      <c r="AB314" s="897"/>
    </row>
    <row r="315" spans="1:28">
      <c r="A315" s="983"/>
      <c r="B315" s="1037"/>
      <c r="C315" s="952"/>
      <c r="D315" s="940"/>
      <c r="E315" s="957"/>
      <c r="F315" s="954"/>
      <c r="G315" s="954"/>
      <c r="H315" s="958"/>
      <c r="I315" s="958"/>
      <c r="J315" s="1005"/>
      <c r="K315" s="922"/>
      <c r="L315" s="922"/>
      <c r="M315" s="1007"/>
      <c r="N315" s="927"/>
      <c r="O315" s="956"/>
      <c r="P315" s="956"/>
      <c r="Q315" s="940"/>
      <c r="R315" s="956"/>
      <c r="S315" s="956"/>
      <c r="T315" s="956"/>
      <c r="U315" s="1006"/>
      <c r="V315" s="904"/>
      <c r="W315"/>
      <c r="X315"/>
      <c r="Y315"/>
      <c r="Z315" s="1041"/>
      <c r="AA315" s="897"/>
      <c r="AB315" s="897"/>
    </row>
    <row r="316" spans="1:28">
      <c r="A316" s="983"/>
      <c r="B316" s="1037"/>
      <c r="C316" s="952"/>
      <c r="D316" s="940"/>
      <c r="E316" s="957"/>
      <c r="F316" s="954"/>
      <c r="G316" s="954"/>
      <c r="H316" s="958"/>
      <c r="I316" s="958"/>
      <c r="J316" s="1005"/>
      <c r="K316" s="922"/>
      <c r="L316" s="922"/>
      <c r="M316" s="1007"/>
      <c r="N316" s="927"/>
      <c r="O316" s="956"/>
      <c r="P316" s="956"/>
      <c r="Q316" s="940"/>
      <c r="R316" s="956"/>
      <c r="S316" s="956"/>
      <c r="T316" s="956"/>
      <c r="U316" s="1006"/>
      <c r="V316" s="904"/>
      <c r="W316"/>
      <c r="X316"/>
      <c r="Y316"/>
      <c r="Z316" s="1041"/>
      <c r="AA316" s="897"/>
      <c r="AB316" s="897"/>
    </row>
    <row r="317" spans="1:28">
      <c r="A317" s="983"/>
      <c r="B317" s="1037"/>
      <c r="C317" s="952"/>
      <c r="D317" s="940"/>
      <c r="E317" s="957"/>
      <c r="F317" s="954"/>
      <c r="G317" s="954"/>
      <c r="H317" s="958"/>
      <c r="I317" s="958"/>
      <c r="J317" s="1005"/>
      <c r="K317" s="922"/>
      <c r="L317" s="922"/>
      <c r="M317" s="1007"/>
      <c r="N317" s="927"/>
      <c r="O317" s="956"/>
      <c r="P317" s="956"/>
      <c r="Q317" s="940"/>
      <c r="R317" s="956"/>
      <c r="S317" s="956"/>
      <c r="T317" s="956"/>
      <c r="U317" s="1006"/>
      <c r="V317" s="904"/>
      <c r="W317"/>
      <c r="X317"/>
      <c r="Y317"/>
      <c r="Z317" s="1041"/>
      <c r="AA317" s="897"/>
      <c r="AB317" s="897"/>
    </row>
    <row r="318" spans="1:28">
      <c r="A318" s="983"/>
      <c r="B318" s="1037"/>
      <c r="C318" s="952"/>
      <c r="D318" s="940"/>
      <c r="E318" s="957"/>
      <c r="F318" s="954"/>
      <c r="G318" s="954"/>
      <c r="H318" s="958"/>
      <c r="I318" s="958"/>
      <c r="J318" s="1005"/>
      <c r="K318" s="922"/>
      <c r="L318" s="922"/>
      <c r="M318" s="1007"/>
      <c r="N318" s="927"/>
      <c r="O318" s="956"/>
      <c r="P318" s="956"/>
      <c r="Q318" s="940"/>
      <c r="R318" s="956"/>
      <c r="S318" s="956"/>
      <c r="T318" s="956"/>
      <c r="U318" s="1006"/>
      <c r="V318" s="904"/>
      <c r="W318"/>
      <c r="X318"/>
      <c r="Y318"/>
      <c r="Z318" s="1041"/>
      <c r="AA318" s="897"/>
      <c r="AB318" s="897"/>
    </row>
    <row r="319" spans="1:28">
      <c r="A319" s="983"/>
      <c r="B319" s="1037"/>
      <c r="C319" s="952"/>
      <c r="D319" s="940"/>
      <c r="E319" s="957"/>
      <c r="F319" s="954"/>
      <c r="G319" s="954"/>
      <c r="H319" s="958"/>
      <c r="I319" s="958"/>
      <c r="J319" s="1005"/>
      <c r="K319" s="922"/>
      <c r="L319" s="922"/>
      <c r="M319" s="1007"/>
      <c r="N319" s="927"/>
      <c r="O319" s="956"/>
      <c r="P319" s="956"/>
      <c r="Q319" s="940"/>
      <c r="R319" s="956"/>
      <c r="S319" s="956"/>
      <c r="T319" s="956"/>
      <c r="U319" s="1006"/>
      <c r="V319" s="904"/>
      <c r="W319"/>
      <c r="X319"/>
      <c r="Y319"/>
      <c r="Z319" s="1041"/>
      <c r="AA319" s="897"/>
      <c r="AB319" s="897"/>
    </row>
    <row r="320" spans="1:28">
      <c r="A320" s="983"/>
      <c r="B320" s="1037"/>
      <c r="C320" s="952"/>
      <c r="D320" s="940"/>
      <c r="E320" s="957"/>
      <c r="F320" s="954"/>
      <c r="G320" s="954"/>
      <c r="H320" s="958"/>
      <c r="I320" s="958"/>
      <c r="J320" s="1005"/>
      <c r="K320" s="922"/>
      <c r="L320" s="922"/>
      <c r="M320" s="1007"/>
      <c r="N320" s="927"/>
      <c r="O320" s="956"/>
      <c r="P320" s="956"/>
      <c r="Q320" s="940"/>
      <c r="R320" s="956"/>
      <c r="S320" s="956"/>
      <c r="T320" s="956"/>
      <c r="U320" s="1006"/>
      <c r="V320" s="904"/>
      <c r="W320"/>
      <c r="X320"/>
      <c r="Y320"/>
      <c r="Z320" s="1041"/>
      <c r="AA320" s="897"/>
      <c r="AB320" s="897"/>
    </row>
    <row r="321" spans="1:28">
      <c r="A321" s="983"/>
      <c r="B321" s="1037"/>
      <c r="C321" s="952"/>
      <c r="D321" s="940"/>
      <c r="E321" s="957"/>
      <c r="F321" s="954"/>
      <c r="G321" s="954"/>
      <c r="H321" s="958"/>
      <c r="I321" s="958"/>
      <c r="J321" s="1005"/>
      <c r="K321" s="922"/>
      <c r="L321" s="922"/>
      <c r="M321" s="1007"/>
      <c r="N321" s="927"/>
      <c r="O321" s="956"/>
      <c r="P321" s="956"/>
      <c r="Q321" s="940"/>
      <c r="R321" s="956"/>
      <c r="S321" s="956"/>
      <c r="T321" s="956"/>
      <c r="U321" s="1006"/>
      <c r="V321" s="904"/>
      <c r="W321"/>
      <c r="X321"/>
      <c r="Y321"/>
      <c r="Z321" s="1041"/>
      <c r="AA321" s="897"/>
      <c r="AB321" s="897"/>
    </row>
    <row r="322" spans="1:28">
      <c r="A322" s="983"/>
      <c r="B322" s="1037"/>
      <c r="C322" s="952"/>
      <c r="D322" s="940"/>
      <c r="E322" s="957"/>
      <c r="F322" s="954"/>
      <c r="G322" s="954"/>
      <c r="H322" s="958"/>
      <c r="I322" s="958"/>
      <c r="J322" s="1005"/>
      <c r="K322" s="922"/>
      <c r="L322" s="922"/>
      <c r="M322" s="1007"/>
      <c r="N322" s="927"/>
      <c r="O322" s="956"/>
      <c r="P322" s="956"/>
      <c r="Q322" s="940"/>
      <c r="R322" s="956"/>
      <c r="S322" s="956"/>
      <c r="T322" s="956"/>
      <c r="U322" s="1006"/>
      <c r="V322" s="904"/>
      <c r="W322"/>
      <c r="X322"/>
      <c r="Y322"/>
      <c r="Z322" s="1041"/>
      <c r="AA322" s="897"/>
      <c r="AB322" s="897"/>
    </row>
    <row r="323" spans="1:28">
      <c r="A323" s="983"/>
      <c r="B323" s="1037"/>
      <c r="C323" s="952"/>
      <c r="D323" s="940"/>
      <c r="E323" s="957"/>
      <c r="F323" s="929"/>
      <c r="G323" s="929"/>
      <c r="H323" s="958"/>
      <c r="I323" s="958"/>
      <c r="J323" s="1005"/>
      <c r="K323" s="922"/>
      <c r="L323" s="922"/>
      <c r="M323" s="1007"/>
      <c r="N323" s="927"/>
      <c r="O323" s="956"/>
      <c r="P323" s="956"/>
      <c r="Q323" s="940"/>
      <c r="R323" s="956"/>
      <c r="S323" s="956"/>
      <c r="T323" s="956"/>
      <c r="U323" s="1006"/>
      <c r="V323" s="904"/>
      <c r="W323"/>
      <c r="X323"/>
      <c r="Y323"/>
      <c r="Z323" s="1041"/>
      <c r="AA323" s="897"/>
      <c r="AB323" s="897"/>
    </row>
    <row r="324" spans="1:28">
      <c r="A324" s="983"/>
      <c r="B324" s="1037"/>
      <c r="C324" s="952"/>
      <c r="D324" s="940"/>
      <c r="E324" s="957"/>
      <c r="F324" s="929"/>
      <c r="G324" s="929"/>
      <c r="H324" s="958"/>
      <c r="I324" s="958"/>
      <c r="J324" s="1005"/>
      <c r="K324" s="922"/>
      <c r="L324" s="922"/>
      <c r="M324" s="1007"/>
      <c r="N324" s="927"/>
      <c r="O324" s="956"/>
      <c r="P324" s="956"/>
      <c r="Q324" s="940"/>
      <c r="R324" s="956"/>
      <c r="S324" s="956"/>
      <c r="T324" s="956"/>
      <c r="U324" s="1006"/>
      <c r="V324" s="904"/>
      <c r="W324"/>
      <c r="X324"/>
      <c r="Y324"/>
      <c r="Z324" s="1041"/>
      <c r="AA324" s="897"/>
      <c r="AB324" s="897"/>
    </row>
    <row r="325" spans="1:28">
      <c r="A325" s="983"/>
      <c r="B325" s="1037"/>
      <c r="C325" s="952"/>
      <c r="D325" s="940"/>
      <c r="E325" s="957"/>
      <c r="F325" s="929"/>
      <c r="G325" s="929"/>
      <c r="H325" s="958"/>
      <c r="I325" s="958"/>
      <c r="J325" s="1005"/>
      <c r="K325" s="922"/>
      <c r="L325" s="922"/>
      <c r="M325" s="1007"/>
      <c r="N325" s="927"/>
      <c r="O325" s="956"/>
      <c r="P325" s="956"/>
      <c r="Q325" s="940"/>
      <c r="R325" s="956"/>
      <c r="S325" s="956"/>
      <c r="T325" s="956"/>
      <c r="U325" s="1006"/>
      <c r="V325" s="904"/>
      <c r="W325"/>
      <c r="X325"/>
      <c r="Y325"/>
      <c r="Z325" s="1041"/>
      <c r="AA325" s="897"/>
      <c r="AB325" s="897"/>
    </row>
    <row r="326" spans="1:28">
      <c r="A326" s="983"/>
      <c r="B326" s="1037"/>
      <c r="C326" s="952"/>
      <c r="D326" s="940"/>
      <c r="E326" s="957"/>
      <c r="F326" s="929"/>
      <c r="G326" s="929"/>
      <c r="H326" s="958"/>
      <c r="I326" s="958"/>
      <c r="J326" s="1005"/>
      <c r="K326" s="922"/>
      <c r="L326" s="922"/>
      <c r="M326" s="1007"/>
      <c r="N326" s="927"/>
      <c r="O326" s="956"/>
      <c r="P326" s="956"/>
      <c r="Q326" s="940"/>
      <c r="R326" s="956"/>
      <c r="S326" s="956"/>
      <c r="T326" s="956"/>
      <c r="U326" s="1006"/>
      <c r="V326" s="904"/>
      <c r="W326"/>
      <c r="X326"/>
      <c r="Y326"/>
      <c r="Z326" s="1041"/>
      <c r="AA326" s="897"/>
      <c r="AB326" s="897"/>
    </row>
    <row r="327" spans="1:28">
      <c r="A327" s="983"/>
      <c r="B327" s="1037"/>
      <c r="C327" s="952"/>
      <c r="D327" s="940"/>
      <c r="E327" s="957"/>
      <c r="F327" s="954"/>
      <c r="G327" s="954"/>
      <c r="H327" s="958"/>
      <c r="I327" s="958"/>
      <c r="J327" s="1005"/>
      <c r="K327" s="922"/>
      <c r="L327" s="922"/>
      <c r="M327" s="1007"/>
      <c r="N327" s="927"/>
      <c r="O327" s="956"/>
      <c r="P327" s="956"/>
      <c r="Q327" s="940"/>
      <c r="R327" s="956"/>
      <c r="S327" s="956"/>
      <c r="T327" s="956"/>
      <c r="U327" s="1006"/>
      <c r="V327" s="904"/>
      <c r="W327"/>
      <c r="X327"/>
      <c r="Y327"/>
      <c r="Z327" s="1041"/>
      <c r="AA327" s="897"/>
      <c r="AB327" s="897"/>
    </row>
    <row r="328" spans="1:28">
      <c r="A328" s="983"/>
      <c r="B328" s="1037"/>
      <c r="C328" s="952"/>
      <c r="D328" s="940"/>
      <c r="E328" s="957"/>
      <c r="F328" s="954"/>
      <c r="G328" s="954"/>
      <c r="H328" s="958"/>
      <c r="I328" s="958"/>
      <c r="J328" s="1005"/>
      <c r="K328" s="922"/>
      <c r="L328" s="922"/>
      <c r="M328" s="1007"/>
      <c r="N328" s="927"/>
      <c r="O328" s="956"/>
      <c r="P328" s="956"/>
      <c r="Q328" s="940"/>
      <c r="R328" s="956"/>
      <c r="S328" s="956"/>
      <c r="T328" s="956"/>
      <c r="U328" s="1006"/>
      <c r="V328" s="904"/>
      <c r="W328"/>
      <c r="X328"/>
      <c r="Y328"/>
      <c r="Z328" s="1041"/>
      <c r="AA328" s="897"/>
      <c r="AB328" s="897"/>
    </row>
    <row r="329" spans="1:28">
      <c r="A329" s="983"/>
      <c r="B329" s="1037"/>
      <c r="C329" s="952"/>
      <c r="D329" s="940"/>
      <c r="E329" s="957"/>
      <c r="F329" s="954"/>
      <c r="G329" s="954"/>
      <c r="H329" s="958"/>
      <c r="I329" s="958"/>
      <c r="J329" s="1005"/>
      <c r="K329" s="922"/>
      <c r="L329" s="922"/>
      <c r="M329" s="1007"/>
      <c r="N329" s="927"/>
      <c r="O329" s="956"/>
      <c r="P329" s="956"/>
      <c r="Q329" s="940"/>
      <c r="R329" s="956"/>
      <c r="S329" s="956"/>
      <c r="T329" s="956"/>
      <c r="U329" s="1006"/>
      <c r="V329" s="904"/>
      <c r="W329"/>
      <c r="X329"/>
      <c r="Y329"/>
      <c r="Z329" s="1041"/>
      <c r="AA329" s="897"/>
      <c r="AB329" s="897"/>
    </row>
    <row r="330" spans="1:28">
      <c r="A330" s="983"/>
      <c r="B330" s="1037"/>
      <c r="C330" s="952"/>
      <c r="D330" s="940"/>
      <c r="E330" s="957"/>
      <c r="F330" s="954"/>
      <c r="G330" s="954"/>
      <c r="H330" s="958"/>
      <c r="I330" s="958"/>
      <c r="J330" s="1005"/>
      <c r="K330" s="922"/>
      <c r="L330" s="922"/>
      <c r="M330" s="1007"/>
      <c r="N330" s="927"/>
      <c r="O330" s="956"/>
      <c r="P330" s="956"/>
      <c r="Q330" s="940"/>
      <c r="R330" s="956"/>
      <c r="S330" s="956"/>
      <c r="T330" s="956"/>
      <c r="U330" s="1006"/>
      <c r="V330" s="904"/>
      <c r="W330"/>
      <c r="X330"/>
      <c r="Y330"/>
      <c r="Z330" s="1041"/>
      <c r="AA330" s="897"/>
      <c r="AB330" s="897"/>
    </row>
    <row r="331" spans="1:28">
      <c r="A331" s="983"/>
      <c r="B331" s="1037"/>
      <c r="C331" s="952"/>
      <c r="D331" s="940"/>
      <c r="E331" s="957"/>
      <c r="F331" s="954"/>
      <c r="G331" s="954"/>
      <c r="H331" s="958"/>
      <c r="I331" s="958"/>
      <c r="J331" s="1005"/>
      <c r="K331" s="922"/>
      <c r="L331" s="922"/>
      <c r="M331" s="1007"/>
      <c r="N331" s="927"/>
      <c r="O331" s="956"/>
      <c r="P331" s="956"/>
      <c r="Q331" s="940"/>
      <c r="R331" s="956"/>
      <c r="S331" s="956"/>
      <c r="T331" s="956"/>
      <c r="U331" s="1006"/>
      <c r="V331" s="904"/>
      <c r="W331"/>
      <c r="X331"/>
      <c r="Y331"/>
      <c r="Z331" s="1041"/>
      <c r="AA331" s="897"/>
      <c r="AB331" s="897"/>
    </row>
    <row r="332" spans="1:28">
      <c r="A332" s="983"/>
      <c r="B332" s="1037"/>
      <c r="C332" s="952"/>
      <c r="D332" s="940"/>
      <c r="E332" s="957"/>
      <c r="F332" s="954"/>
      <c r="G332" s="954"/>
      <c r="H332" s="958"/>
      <c r="I332" s="958"/>
      <c r="J332" s="1005"/>
      <c r="K332" s="922"/>
      <c r="L332" s="922"/>
      <c r="M332" s="1007"/>
      <c r="N332" s="927"/>
      <c r="O332" s="956"/>
      <c r="P332" s="956"/>
      <c r="Q332" s="940"/>
      <c r="R332" s="956"/>
      <c r="S332" s="956"/>
      <c r="T332" s="956"/>
      <c r="U332" s="1006"/>
      <c r="V332" s="904"/>
      <c r="W332"/>
      <c r="X332"/>
      <c r="Y332"/>
      <c r="Z332" s="1041"/>
      <c r="AA332" s="897"/>
      <c r="AB332" s="897"/>
    </row>
    <row r="333" spans="1:28">
      <c r="A333" s="983"/>
      <c r="B333" s="1037"/>
      <c r="C333" s="952"/>
      <c r="D333" s="940"/>
      <c r="E333" s="957"/>
      <c r="F333" s="954"/>
      <c r="G333" s="954"/>
      <c r="H333" s="958"/>
      <c r="I333" s="958"/>
      <c r="J333" s="1005"/>
      <c r="K333" s="922"/>
      <c r="L333" s="922"/>
      <c r="M333" s="1007"/>
      <c r="N333" s="927"/>
      <c r="O333" s="956"/>
      <c r="P333" s="959"/>
      <c r="Q333" s="940"/>
      <c r="R333" s="956"/>
      <c r="S333" s="956"/>
      <c r="T333" s="956"/>
      <c r="U333" s="1006"/>
      <c r="V333" s="904"/>
      <c r="W333"/>
      <c r="X333"/>
      <c r="Y333"/>
      <c r="Z333" s="1041"/>
      <c r="AA333" s="897"/>
      <c r="AB333" s="897"/>
    </row>
    <row r="334" spans="1:28">
      <c r="A334" s="983"/>
      <c r="B334" s="1037"/>
      <c r="C334" s="952"/>
      <c r="D334" s="940"/>
      <c r="E334" s="940"/>
      <c r="F334" s="954"/>
      <c r="G334" s="954"/>
      <c r="H334" s="929"/>
      <c r="I334" s="929"/>
      <c r="J334" s="1005"/>
      <c r="K334" s="922"/>
      <c r="L334" s="922"/>
      <c r="M334" s="1007"/>
      <c r="N334" s="927"/>
      <c r="O334" s="956"/>
      <c r="P334" s="956"/>
      <c r="Q334" s="940"/>
      <c r="R334" s="956"/>
      <c r="S334" s="956"/>
      <c r="T334" s="956"/>
      <c r="U334" s="1006"/>
      <c r="V334" s="904"/>
      <c r="W334"/>
      <c r="X334"/>
      <c r="Y334"/>
      <c r="Z334" s="1041"/>
      <c r="AA334" s="897"/>
      <c r="AB334" s="897"/>
    </row>
    <row r="335" spans="1:28">
      <c r="A335" s="983"/>
      <c r="B335" s="1037"/>
      <c r="C335" s="952"/>
      <c r="D335" s="940"/>
      <c r="E335" s="957"/>
      <c r="F335" s="954"/>
      <c r="G335" s="954"/>
      <c r="H335" s="958"/>
      <c r="I335" s="958"/>
      <c r="J335" s="1005"/>
      <c r="K335" s="922"/>
      <c r="L335" s="922"/>
      <c r="M335" s="1007"/>
      <c r="N335" s="927"/>
      <c r="O335" s="956"/>
      <c r="P335" s="959"/>
      <c r="Q335" s="940"/>
      <c r="R335" s="956"/>
      <c r="S335" s="956"/>
      <c r="T335" s="956"/>
      <c r="U335" s="1006"/>
      <c r="V335" s="904"/>
      <c r="W335"/>
      <c r="X335"/>
      <c r="Y335"/>
      <c r="Z335" s="1041"/>
      <c r="AA335" s="897"/>
      <c r="AB335" s="897"/>
    </row>
    <row r="336" spans="1:28">
      <c r="A336" s="983"/>
      <c r="B336" s="1037"/>
      <c r="C336" s="952"/>
      <c r="D336" s="940"/>
      <c r="E336" s="957"/>
      <c r="F336" s="954"/>
      <c r="G336" s="954"/>
      <c r="H336" s="958"/>
      <c r="I336" s="958"/>
      <c r="J336" s="1005"/>
      <c r="K336" s="922"/>
      <c r="L336" s="922"/>
      <c r="M336" s="1007"/>
      <c r="N336" s="927"/>
      <c r="O336" s="956"/>
      <c r="P336" s="959"/>
      <c r="Q336" s="940"/>
      <c r="R336" s="956"/>
      <c r="S336" s="956"/>
      <c r="T336" s="956"/>
      <c r="U336" s="1006"/>
      <c r="V336" s="904"/>
      <c r="W336"/>
      <c r="X336"/>
      <c r="Y336"/>
      <c r="Z336" s="1041"/>
      <c r="AA336" s="897"/>
      <c r="AB336" s="897"/>
    </row>
    <row r="337" spans="1:28">
      <c r="A337" s="983"/>
      <c r="B337" s="1037"/>
      <c r="C337" s="952"/>
      <c r="D337" s="940"/>
      <c r="E337" s="957"/>
      <c r="F337" s="954"/>
      <c r="G337" s="954"/>
      <c r="H337" s="958"/>
      <c r="I337" s="958"/>
      <c r="J337" s="1005"/>
      <c r="K337" s="922"/>
      <c r="L337" s="922"/>
      <c r="M337" s="1007"/>
      <c r="N337" s="927"/>
      <c r="O337" s="956"/>
      <c r="P337" s="959"/>
      <c r="Q337" s="940"/>
      <c r="R337" s="956"/>
      <c r="S337" s="956"/>
      <c r="T337" s="956"/>
      <c r="U337" s="1006"/>
      <c r="V337" s="904"/>
      <c r="W337"/>
      <c r="X337"/>
      <c r="Y337"/>
      <c r="Z337" s="1041"/>
      <c r="AA337" s="897"/>
      <c r="AB337" s="897"/>
    </row>
    <row r="338" spans="1:28">
      <c r="A338" s="983"/>
      <c r="B338" s="1037"/>
      <c r="C338" s="952"/>
      <c r="D338" s="940"/>
      <c r="E338" s="957"/>
      <c r="F338" s="954"/>
      <c r="G338" s="954"/>
      <c r="H338" s="958"/>
      <c r="I338" s="958"/>
      <c r="J338" s="1005"/>
      <c r="K338" s="922"/>
      <c r="L338" s="922"/>
      <c r="M338" s="1007"/>
      <c r="N338" s="927"/>
      <c r="O338" s="956"/>
      <c r="P338" s="959"/>
      <c r="Q338" s="940"/>
      <c r="R338" s="956"/>
      <c r="S338" s="956"/>
      <c r="T338" s="956"/>
      <c r="U338" s="1006"/>
      <c r="V338" s="904"/>
      <c r="W338"/>
      <c r="X338"/>
      <c r="Y338"/>
      <c r="Z338" s="1041"/>
      <c r="AA338" s="897"/>
      <c r="AB338" s="897"/>
    </row>
    <row r="339" spans="1:28">
      <c r="A339" s="983"/>
      <c r="B339" s="1037"/>
      <c r="C339" s="952"/>
      <c r="D339" s="940"/>
      <c r="E339" s="957"/>
      <c r="F339" s="954"/>
      <c r="G339" s="954"/>
      <c r="H339" s="958"/>
      <c r="I339" s="958"/>
      <c r="J339" s="1005"/>
      <c r="K339" s="922"/>
      <c r="L339" s="922"/>
      <c r="M339" s="1007"/>
      <c r="N339" s="927"/>
      <c r="O339" s="956"/>
      <c r="P339" s="956"/>
      <c r="Q339" s="940"/>
      <c r="R339" s="956"/>
      <c r="S339" s="956"/>
      <c r="T339" s="956"/>
      <c r="U339" s="1006"/>
      <c r="V339" s="904"/>
      <c r="W339"/>
      <c r="X339"/>
      <c r="Y339"/>
      <c r="Z339" s="1041"/>
      <c r="AA339" s="897"/>
      <c r="AB339" s="897"/>
    </row>
    <row r="340" spans="1:28">
      <c r="A340" s="983"/>
      <c r="B340" s="1037"/>
      <c r="C340" s="952"/>
      <c r="D340" s="940"/>
      <c r="E340" s="957"/>
      <c r="F340" s="954"/>
      <c r="G340" s="954"/>
      <c r="H340" s="958"/>
      <c r="I340" s="958"/>
      <c r="J340" s="1005"/>
      <c r="K340" s="922"/>
      <c r="L340" s="922"/>
      <c r="M340" s="1007"/>
      <c r="N340" s="927"/>
      <c r="O340" s="956"/>
      <c r="P340" s="956"/>
      <c r="Q340" s="940"/>
      <c r="R340" s="956"/>
      <c r="S340" s="956"/>
      <c r="T340" s="956"/>
      <c r="U340" s="1006"/>
      <c r="V340" s="904"/>
      <c r="W340"/>
      <c r="X340"/>
      <c r="Y340"/>
      <c r="Z340" s="1041"/>
      <c r="AA340" s="897"/>
      <c r="AB340" s="897"/>
    </row>
    <row r="341" spans="1:28">
      <c r="A341" s="983"/>
      <c r="B341" s="1037"/>
      <c r="C341" s="952"/>
      <c r="D341" s="940"/>
      <c r="E341" s="957"/>
      <c r="F341" s="954"/>
      <c r="G341" s="954"/>
      <c r="H341" s="958"/>
      <c r="I341" s="958"/>
      <c r="J341" s="1005"/>
      <c r="K341" s="922"/>
      <c r="L341" s="922"/>
      <c r="M341" s="1007"/>
      <c r="N341" s="927"/>
      <c r="O341" s="956"/>
      <c r="P341" s="956"/>
      <c r="Q341" s="940"/>
      <c r="R341" s="956"/>
      <c r="S341" s="956"/>
      <c r="T341" s="956"/>
      <c r="U341" s="1006"/>
      <c r="V341" s="904"/>
      <c r="W341"/>
      <c r="X341"/>
      <c r="Y341"/>
      <c r="Z341" s="1041"/>
      <c r="AA341" s="897"/>
      <c r="AB341" s="897"/>
    </row>
    <row r="342" spans="1:28">
      <c r="A342" s="983"/>
      <c r="B342" s="1037"/>
      <c r="C342" s="952"/>
      <c r="D342" s="940"/>
      <c r="E342" s="957"/>
      <c r="F342" s="954"/>
      <c r="G342" s="954"/>
      <c r="H342" s="958"/>
      <c r="I342" s="958"/>
      <c r="J342" s="1005"/>
      <c r="K342" s="922"/>
      <c r="L342" s="922"/>
      <c r="M342" s="1007"/>
      <c r="N342" s="927"/>
      <c r="O342" s="956"/>
      <c r="P342" s="956"/>
      <c r="Q342" s="940"/>
      <c r="R342" s="956"/>
      <c r="S342" s="956"/>
      <c r="T342" s="956"/>
      <c r="U342" s="1006"/>
      <c r="V342" s="904"/>
      <c r="W342"/>
      <c r="X342"/>
      <c r="Y342"/>
      <c r="Z342" s="1041"/>
      <c r="AA342" s="897"/>
      <c r="AB342" s="897"/>
    </row>
    <row r="343" spans="1:28">
      <c r="A343" s="983"/>
      <c r="B343" s="1037"/>
      <c r="C343" s="952"/>
      <c r="D343" s="940"/>
      <c r="E343" s="957"/>
      <c r="F343" s="954"/>
      <c r="G343" s="954"/>
      <c r="H343" s="958"/>
      <c r="I343" s="958"/>
      <c r="J343" s="1005"/>
      <c r="K343" s="922"/>
      <c r="L343" s="922"/>
      <c r="M343" s="1007"/>
      <c r="N343" s="927"/>
      <c r="O343" s="956"/>
      <c r="P343" s="956"/>
      <c r="Q343" s="940"/>
      <c r="R343" s="956"/>
      <c r="S343" s="956"/>
      <c r="T343" s="956"/>
      <c r="U343" s="1006"/>
      <c r="V343" s="904"/>
      <c r="W343"/>
      <c r="X343"/>
      <c r="Y343"/>
      <c r="Z343" s="1041"/>
      <c r="AA343" s="897"/>
      <c r="AB343" s="897"/>
    </row>
    <row r="344" spans="1:28">
      <c r="A344" s="983"/>
      <c r="B344" s="1037"/>
      <c r="C344" s="952"/>
      <c r="D344" s="940"/>
      <c r="E344" s="957"/>
      <c r="F344" s="954"/>
      <c r="G344" s="954"/>
      <c r="H344" s="958"/>
      <c r="I344" s="958"/>
      <c r="J344" s="1005"/>
      <c r="K344" s="922"/>
      <c r="L344" s="922"/>
      <c r="M344" s="1007"/>
      <c r="N344" s="927"/>
      <c r="O344" s="956"/>
      <c r="P344" s="956"/>
      <c r="Q344" s="940"/>
      <c r="R344" s="956"/>
      <c r="S344" s="956"/>
      <c r="T344" s="956"/>
      <c r="U344" s="1006"/>
      <c r="V344" s="904"/>
      <c r="W344"/>
      <c r="X344"/>
      <c r="Y344"/>
      <c r="Z344" s="1041"/>
      <c r="AA344" s="897"/>
      <c r="AB344" s="897"/>
    </row>
    <row r="345" spans="1:28">
      <c r="A345" s="983"/>
      <c r="B345" s="1037"/>
      <c r="C345" s="952"/>
      <c r="D345" s="940"/>
      <c r="E345" s="957"/>
      <c r="F345" s="954"/>
      <c r="G345" s="954"/>
      <c r="H345" s="958"/>
      <c r="I345" s="958"/>
      <c r="J345" s="1005"/>
      <c r="K345" s="922"/>
      <c r="L345" s="922"/>
      <c r="M345" s="1007"/>
      <c r="N345" s="927"/>
      <c r="O345" s="956"/>
      <c r="P345" s="956"/>
      <c r="Q345" s="940"/>
      <c r="R345" s="956"/>
      <c r="S345" s="956"/>
      <c r="T345" s="956"/>
      <c r="U345" s="1006"/>
      <c r="V345" s="904"/>
      <c r="W345"/>
      <c r="X345"/>
      <c r="Y345"/>
      <c r="Z345" s="1041"/>
      <c r="AA345" s="897"/>
      <c r="AB345" s="897"/>
    </row>
    <row r="346" spans="1:28">
      <c r="A346" s="983"/>
      <c r="B346" s="1037"/>
      <c r="C346" s="952"/>
      <c r="D346" s="940"/>
      <c r="E346" s="957"/>
      <c r="F346" s="954"/>
      <c r="G346" s="954"/>
      <c r="H346" s="958"/>
      <c r="I346" s="958"/>
      <c r="J346" s="1005"/>
      <c r="K346" s="922"/>
      <c r="L346" s="922"/>
      <c r="M346" s="1007"/>
      <c r="N346" s="927"/>
      <c r="O346" s="956"/>
      <c r="P346" s="956"/>
      <c r="Q346" s="940"/>
      <c r="R346" s="956"/>
      <c r="S346" s="956"/>
      <c r="T346" s="956"/>
      <c r="U346" s="1006"/>
      <c r="V346" s="904"/>
      <c r="W346"/>
      <c r="X346"/>
      <c r="Y346"/>
      <c r="Z346" s="1041"/>
      <c r="AA346" s="897"/>
      <c r="AB346" s="897"/>
    </row>
    <row r="347" spans="1:28">
      <c r="A347" s="983"/>
      <c r="B347" s="1037"/>
      <c r="C347" s="952"/>
      <c r="D347" s="940"/>
      <c r="E347" s="957"/>
      <c r="F347" s="954"/>
      <c r="G347" s="954"/>
      <c r="H347" s="958"/>
      <c r="I347" s="958"/>
      <c r="J347" s="1005"/>
      <c r="K347" s="922"/>
      <c r="L347" s="922"/>
      <c r="M347" s="1007"/>
      <c r="N347" s="927"/>
      <c r="O347" s="956"/>
      <c r="P347" s="956"/>
      <c r="Q347" s="940"/>
      <c r="R347" s="956"/>
      <c r="S347" s="956"/>
      <c r="T347" s="956"/>
      <c r="U347" s="1006"/>
      <c r="V347" s="904"/>
      <c r="W347"/>
      <c r="X347"/>
      <c r="Y347"/>
      <c r="Z347" s="1041"/>
      <c r="AA347" s="897"/>
      <c r="AB347" s="897"/>
    </row>
    <row r="348" spans="1:28">
      <c r="A348" s="983"/>
      <c r="B348" s="1037"/>
      <c r="C348" s="952"/>
      <c r="D348" s="940"/>
      <c r="E348" s="957"/>
      <c r="F348" s="954"/>
      <c r="G348" s="954"/>
      <c r="H348" s="958"/>
      <c r="I348" s="958"/>
      <c r="J348" s="1005"/>
      <c r="K348" s="922"/>
      <c r="L348" s="922"/>
      <c r="M348" s="1007"/>
      <c r="N348" s="927"/>
      <c r="O348" s="956"/>
      <c r="P348" s="956"/>
      <c r="Q348" s="940"/>
      <c r="R348" s="956"/>
      <c r="S348" s="956"/>
      <c r="T348" s="956"/>
      <c r="U348" s="1006"/>
      <c r="V348" s="904"/>
      <c r="W348"/>
      <c r="X348"/>
      <c r="Y348"/>
      <c r="Z348" s="1041"/>
      <c r="AA348" s="897"/>
      <c r="AB348" s="897"/>
    </row>
    <row r="349" spans="1:28">
      <c r="A349" s="983"/>
      <c r="B349" s="1037"/>
      <c r="C349" s="952"/>
      <c r="D349" s="940"/>
      <c r="E349" s="957"/>
      <c r="F349" s="954"/>
      <c r="G349" s="954"/>
      <c r="H349" s="958"/>
      <c r="I349" s="958"/>
      <c r="J349" s="1005"/>
      <c r="K349" s="922"/>
      <c r="L349" s="922"/>
      <c r="M349" s="1007"/>
      <c r="N349" s="927"/>
      <c r="O349" s="956"/>
      <c r="P349" s="956"/>
      <c r="Q349" s="940"/>
      <c r="R349" s="956"/>
      <c r="S349" s="956"/>
      <c r="T349" s="956"/>
      <c r="U349" s="1006"/>
      <c r="V349" s="904"/>
      <c r="W349"/>
      <c r="X349"/>
      <c r="Y349"/>
      <c r="Z349" s="1041"/>
      <c r="AA349" s="897"/>
      <c r="AB349" s="897"/>
    </row>
    <row r="350" spans="1:28">
      <c r="A350" s="983"/>
      <c r="B350" s="1037"/>
      <c r="C350" s="952"/>
      <c r="D350" s="940"/>
      <c r="E350" s="957"/>
      <c r="F350" s="954"/>
      <c r="G350" s="954"/>
      <c r="H350" s="958"/>
      <c r="I350" s="958"/>
      <c r="J350" s="1005"/>
      <c r="K350" s="922"/>
      <c r="L350" s="922"/>
      <c r="M350" s="1007"/>
      <c r="N350" s="927"/>
      <c r="O350" s="956"/>
      <c r="P350" s="956"/>
      <c r="Q350" s="940"/>
      <c r="R350" s="956"/>
      <c r="S350" s="956"/>
      <c r="T350" s="956"/>
      <c r="U350" s="1006"/>
      <c r="V350" s="904"/>
      <c r="W350"/>
      <c r="X350"/>
      <c r="Y350"/>
      <c r="Z350" s="1041"/>
      <c r="AA350" s="897"/>
      <c r="AB350" s="897"/>
    </row>
    <row r="351" spans="1:28">
      <c r="A351" s="983"/>
      <c r="B351" s="1037"/>
      <c r="C351" s="952"/>
      <c r="D351" s="940"/>
      <c r="E351" s="940"/>
      <c r="F351" s="954"/>
      <c r="G351" s="954"/>
      <c r="H351" s="939"/>
      <c r="I351" s="939"/>
      <c r="J351" s="1005"/>
      <c r="K351" s="922"/>
      <c r="L351" s="922"/>
      <c r="M351" s="1007"/>
      <c r="N351" s="927"/>
      <c r="O351" s="956"/>
      <c r="P351" s="956"/>
      <c r="Q351" s="940"/>
      <c r="R351" s="956"/>
      <c r="S351" s="956"/>
      <c r="T351" s="956"/>
      <c r="U351" s="1006"/>
      <c r="V351" s="904"/>
      <c r="W351"/>
      <c r="X351"/>
      <c r="Y351"/>
      <c r="Z351" s="1041"/>
      <c r="AA351" s="897"/>
      <c r="AB351" s="897"/>
    </row>
    <row r="352" spans="1:28">
      <c r="A352" s="983"/>
      <c r="B352" s="1037"/>
      <c r="C352" s="952"/>
      <c r="D352" s="940"/>
      <c r="E352" s="940"/>
      <c r="F352" s="954"/>
      <c r="G352" s="954"/>
      <c r="H352" s="939"/>
      <c r="I352" s="939"/>
      <c r="J352" s="1005"/>
      <c r="K352" s="922"/>
      <c r="L352" s="922"/>
      <c r="M352" s="1007"/>
      <c r="N352" s="927"/>
      <c r="O352" s="956"/>
      <c r="P352" s="956"/>
      <c r="Q352" s="940"/>
      <c r="R352" s="956"/>
      <c r="S352" s="956"/>
      <c r="T352" s="956"/>
      <c r="U352" s="1006"/>
      <c r="V352" s="904"/>
      <c r="W352"/>
      <c r="X352"/>
      <c r="Y352"/>
      <c r="Z352" s="1041"/>
      <c r="AA352" s="897"/>
      <c r="AB352" s="897"/>
    </row>
    <row r="353" spans="1:28">
      <c r="A353" s="983"/>
      <c r="B353" s="1037"/>
      <c r="C353" s="952"/>
      <c r="D353" s="940"/>
      <c r="E353" s="922"/>
      <c r="F353" s="954"/>
      <c r="G353" s="954"/>
      <c r="H353" s="953"/>
      <c r="I353" s="953"/>
      <c r="J353" s="1005"/>
      <c r="K353" s="922"/>
      <c r="L353" s="922"/>
      <c r="M353" s="1007"/>
      <c r="N353" s="927"/>
      <c r="O353" s="956"/>
      <c r="P353" s="956"/>
      <c r="Q353" s="940"/>
      <c r="R353" s="956"/>
      <c r="S353" s="956"/>
      <c r="T353" s="956"/>
      <c r="U353" s="1006"/>
      <c r="V353" s="904"/>
      <c r="W353"/>
      <c r="X353"/>
      <c r="Y353"/>
      <c r="Z353" s="1041"/>
      <c r="AA353" s="897"/>
      <c r="AB353" s="897"/>
    </row>
    <row r="354" spans="1:28">
      <c r="A354" s="983"/>
      <c r="B354" s="1037"/>
      <c r="C354" s="952"/>
      <c r="D354" s="940"/>
      <c r="E354" s="923"/>
      <c r="F354" s="949"/>
      <c r="G354" s="949"/>
      <c r="H354" s="949"/>
      <c r="I354" s="949"/>
      <c r="J354" s="1005"/>
      <c r="K354" s="939"/>
      <c r="L354" s="939"/>
      <c r="M354" s="1007"/>
      <c r="N354" s="927"/>
      <c r="O354" s="940"/>
      <c r="P354" s="941"/>
      <c r="Q354" s="940"/>
      <c r="R354" s="939"/>
      <c r="S354" s="939"/>
      <c r="T354" s="939"/>
      <c r="U354" s="1006"/>
      <c r="V354" s="1040"/>
      <c r="Z354" s="1042"/>
    </row>
    <row r="355" spans="1:28">
      <c r="A355" s="983"/>
      <c r="B355" s="1037"/>
      <c r="C355" s="952"/>
      <c r="D355" s="940"/>
      <c r="E355" s="1039"/>
      <c r="F355" s="1039"/>
      <c r="G355" s="1039"/>
      <c r="H355" s="1039"/>
      <c r="I355" s="1039"/>
      <c r="J355" s="1005"/>
      <c r="K355" s="1039"/>
      <c r="L355" s="1034"/>
      <c r="M355" s="1007"/>
      <c r="N355" s="927"/>
      <c r="O355" s="1034"/>
      <c r="P355" s="1034"/>
      <c r="Q355" s="940"/>
      <c r="R355" s="1034"/>
      <c r="S355" s="1034"/>
      <c r="T355" s="1034"/>
      <c r="U355" s="1006"/>
      <c r="V355" s="1040"/>
      <c r="Z355" s="1042"/>
    </row>
    <row r="356" spans="1:28">
      <c r="A356" s="983"/>
      <c r="B356" s="1037"/>
      <c r="C356" s="952"/>
      <c r="D356" s="940"/>
      <c r="E356" s="1038"/>
      <c r="F356" s="1038"/>
      <c r="G356" s="1038"/>
      <c r="H356" s="1038"/>
      <c r="I356" s="1038"/>
      <c r="J356" s="1005"/>
      <c r="K356" s="1038"/>
      <c r="L356" s="1034"/>
      <c r="M356" s="1007"/>
      <c r="N356" s="927"/>
      <c r="O356" s="1034"/>
      <c r="P356" s="1034"/>
      <c r="Q356" s="940"/>
      <c r="R356" s="1034"/>
      <c r="S356" s="1034"/>
      <c r="T356" s="1034"/>
      <c r="U356" s="1006"/>
      <c r="V356" s="1040"/>
      <c r="Z356" s="1042"/>
    </row>
    <row r="357" spans="1:28">
      <c r="A357" s="983"/>
      <c r="B357" s="1037"/>
      <c r="C357" s="952"/>
      <c r="D357" s="940"/>
      <c r="E357" s="1038"/>
      <c r="F357" s="1038"/>
      <c r="G357" s="1038"/>
      <c r="H357" s="1038"/>
      <c r="I357" s="1038"/>
      <c r="J357" s="1005"/>
      <c r="K357" s="1038"/>
      <c r="L357" s="1034"/>
      <c r="M357" s="1007"/>
      <c r="N357" s="927"/>
      <c r="O357" s="1034"/>
      <c r="P357" s="1034"/>
      <c r="Q357" s="940"/>
      <c r="R357" s="1034"/>
      <c r="S357" s="1034"/>
      <c r="T357" s="1034"/>
      <c r="U357" s="1006"/>
      <c r="V357" s="1040"/>
      <c r="Z357" s="1042"/>
    </row>
    <row r="358" spans="1:28">
      <c r="A358" s="983"/>
      <c r="B358" s="1037"/>
      <c r="C358" s="952"/>
      <c r="D358" s="940"/>
      <c r="E358" s="1038"/>
      <c r="F358" s="1038"/>
      <c r="G358" s="1038"/>
      <c r="H358" s="1038"/>
      <c r="I358" s="1038"/>
      <c r="J358" s="1005"/>
      <c r="K358" s="1038"/>
      <c r="L358" s="1034"/>
      <c r="M358" s="1007"/>
      <c r="N358" s="927"/>
      <c r="O358" s="1034"/>
      <c r="P358" s="1034"/>
      <c r="Q358" s="940"/>
      <c r="R358" s="1034"/>
      <c r="S358" s="1034"/>
      <c r="T358" s="1034"/>
      <c r="U358" s="1006"/>
      <c r="V358" s="1040"/>
      <c r="Z358" s="1042"/>
    </row>
    <row r="359" spans="1:28">
      <c r="A359" s="983"/>
      <c r="B359" s="1037"/>
      <c r="C359" s="952"/>
      <c r="D359" s="940"/>
      <c r="E359" s="1034"/>
      <c r="F359" s="1034"/>
      <c r="G359" s="1034"/>
      <c r="H359" s="1034"/>
      <c r="I359" s="1034"/>
      <c r="J359" s="1005"/>
      <c r="K359" s="1034"/>
      <c r="L359" s="1034"/>
      <c r="M359" s="1007"/>
      <c r="N359" s="927"/>
      <c r="O359" s="1034"/>
      <c r="P359" s="1034"/>
      <c r="Q359" s="940"/>
      <c r="R359" s="1034"/>
      <c r="S359" s="1034"/>
      <c r="T359" s="1034"/>
      <c r="U359" s="1006"/>
      <c r="V359" s="1040"/>
      <c r="Z359" s="1042"/>
    </row>
    <row r="360" spans="1:28">
      <c r="A360" s="983"/>
      <c r="B360" s="1037"/>
      <c r="C360" s="952"/>
      <c r="D360" s="940"/>
      <c r="E360" s="1038"/>
      <c r="F360" s="1038"/>
      <c r="G360" s="1038"/>
      <c r="H360" s="1038"/>
      <c r="I360" s="1038"/>
      <c r="J360" s="1005"/>
      <c r="K360" s="1038"/>
      <c r="L360" s="1034"/>
      <c r="M360" s="1007"/>
      <c r="N360" s="927"/>
      <c r="O360" s="1034"/>
      <c r="P360" s="1034"/>
      <c r="Q360" s="940"/>
      <c r="R360" s="1034"/>
      <c r="S360" s="1034"/>
      <c r="T360" s="1034"/>
      <c r="U360" s="1006"/>
      <c r="V360" s="1040"/>
      <c r="Z360" s="1042"/>
    </row>
    <row r="361" spans="1:28">
      <c r="A361" s="983"/>
      <c r="B361" s="1037"/>
      <c r="C361" s="952"/>
      <c r="D361" s="940"/>
      <c r="E361" s="1034"/>
      <c r="F361" s="1034"/>
      <c r="G361" s="1034"/>
      <c r="H361" s="1034"/>
      <c r="I361" s="1034"/>
      <c r="J361" s="1005"/>
      <c r="K361" s="1034"/>
      <c r="L361" s="1034"/>
      <c r="M361" s="1007"/>
      <c r="N361" s="927"/>
      <c r="O361" s="1034"/>
      <c r="P361" s="1034"/>
      <c r="Q361" s="940"/>
      <c r="R361" s="1034"/>
      <c r="S361" s="1034"/>
      <c r="T361" s="1034"/>
      <c r="U361" s="1006"/>
      <c r="V361" s="1040"/>
      <c r="Z361" s="1042"/>
    </row>
    <row r="362" spans="1:28">
      <c r="A362" s="983"/>
      <c r="B362" s="1037"/>
      <c r="C362" s="952"/>
      <c r="D362" s="940"/>
      <c r="E362" s="1034"/>
      <c r="F362" s="1034"/>
      <c r="G362" s="1034"/>
      <c r="H362" s="1034"/>
      <c r="I362" s="1034"/>
      <c r="J362" s="1005"/>
      <c r="K362" s="1034"/>
      <c r="L362" s="1034"/>
      <c r="M362" s="1007"/>
      <c r="N362" s="927"/>
      <c r="O362" s="1034"/>
      <c r="P362" s="1034"/>
      <c r="Q362" s="940"/>
      <c r="R362" s="1034"/>
      <c r="S362" s="1034"/>
      <c r="T362" s="1034"/>
      <c r="U362" s="1006"/>
      <c r="V362" s="1040"/>
      <c r="Z362" s="1042"/>
    </row>
    <row r="363" spans="1:28">
      <c r="A363" s="983"/>
      <c r="B363" s="1037"/>
      <c r="C363" s="952"/>
      <c r="D363" s="940"/>
      <c r="E363" s="1034"/>
      <c r="F363" s="1034"/>
      <c r="G363" s="1034"/>
      <c r="H363" s="1034"/>
      <c r="I363" s="1034"/>
      <c r="J363" s="1005"/>
      <c r="K363" s="1034"/>
      <c r="L363" s="1034"/>
      <c r="M363" s="1007"/>
      <c r="N363" s="927"/>
      <c r="O363" s="1034"/>
      <c r="P363" s="1034"/>
      <c r="Q363" s="940"/>
      <c r="R363" s="1034"/>
      <c r="S363" s="1034"/>
      <c r="T363" s="1034"/>
      <c r="U363" s="1006"/>
      <c r="V363" s="1040"/>
      <c r="Z363" s="1042"/>
    </row>
    <row r="364" spans="1:28">
      <c r="A364" s="983"/>
      <c r="B364" s="1037"/>
      <c r="C364" s="952"/>
      <c r="D364" s="940"/>
      <c r="E364" s="1034"/>
      <c r="F364" s="1034"/>
      <c r="G364" s="1034"/>
      <c r="H364" s="1034"/>
      <c r="I364" s="1034"/>
      <c r="J364" s="1005"/>
      <c r="K364" s="1034"/>
      <c r="L364" s="1034"/>
      <c r="M364" s="1007"/>
      <c r="N364" s="927"/>
      <c r="O364" s="1034"/>
      <c r="P364" s="1034"/>
      <c r="Q364" s="940"/>
      <c r="R364" s="1034"/>
      <c r="S364" s="1034"/>
      <c r="T364" s="1034"/>
      <c r="U364" s="1006"/>
      <c r="V364" s="1040"/>
      <c r="Z364" s="1042"/>
    </row>
    <row r="365" spans="1:28">
      <c r="A365" s="983"/>
      <c r="B365" s="1037"/>
      <c r="C365" s="952"/>
      <c r="D365" s="940"/>
      <c r="E365" s="1034"/>
      <c r="F365" s="1034"/>
      <c r="G365" s="1034"/>
      <c r="H365" s="1034"/>
      <c r="I365" s="1034"/>
      <c r="J365" s="1005"/>
      <c r="K365" s="1034"/>
      <c r="L365" s="1034"/>
      <c r="M365" s="1007"/>
      <c r="N365" s="927"/>
      <c r="O365" s="1034"/>
      <c r="P365" s="1034"/>
      <c r="Q365" s="940"/>
      <c r="R365" s="1034"/>
      <c r="S365" s="1034"/>
      <c r="T365" s="1034"/>
      <c r="U365" s="1006"/>
      <c r="V365" s="1040"/>
      <c r="Z365" s="1042"/>
    </row>
    <row r="366" spans="1:28">
      <c r="A366" s="983"/>
      <c r="B366" s="1037"/>
      <c r="C366" s="952"/>
      <c r="D366" s="940"/>
      <c r="E366" s="1034"/>
      <c r="F366" s="1034"/>
      <c r="G366" s="1034"/>
      <c r="H366" s="1034"/>
      <c r="I366" s="1034"/>
      <c r="J366" s="1005"/>
      <c r="K366" s="1034"/>
      <c r="L366" s="1034"/>
      <c r="M366" s="1007"/>
      <c r="N366" s="927"/>
      <c r="O366" s="1034"/>
      <c r="P366" s="1034"/>
      <c r="Q366" s="940"/>
      <c r="R366" s="1034"/>
      <c r="S366" s="1034"/>
      <c r="T366" s="1034"/>
      <c r="U366" s="1006"/>
      <c r="V366" s="1040"/>
      <c r="Z366" s="1042"/>
    </row>
    <row r="367" spans="1:28">
      <c r="A367" s="983"/>
      <c r="B367" s="1037"/>
      <c r="C367" s="952"/>
      <c r="D367" s="940"/>
      <c r="E367" s="1034"/>
      <c r="F367" s="1034"/>
      <c r="G367" s="1034"/>
      <c r="H367" s="1034"/>
      <c r="I367" s="1034"/>
      <c r="J367" s="1005"/>
      <c r="K367" s="1034"/>
      <c r="L367" s="1034"/>
      <c r="M367" s="1007"/>
      <c r="N367" s="927"/>
      <c r="O367" s="1034"/>
      <c r="P367" s="1034"/>
      <c r="Q367" s="940"/>
      <c r="R367" s="1034"/>
      <c r="S367" s="1034"/>
      <c r="T367" s="1034"/>
      <c r="U367" s="1006"/>
      <c r="V367" s="1040"/>
      <c r="Z367" s="1042"/>
    </row>
    <row r="368" spans="1:28">
      <c r="A368" s="983"/>
      <c r="B368" s="1037"/>
      <c r="C368" s="952"/>
      <c r="D368" s="940"/>
      <c r="E368" s="1034"/>
      <c r="F368" s="1034"/>
      <c r="G368" s="1034"/>
      <c r="H368" s="1034"/>
      <c r="I368" s="1034"/>
      <c r="J368" s="1005"/>
      <c r="K368" s="1034"/>
      <c r="L368" s="1034"/>
      <c r="M368" s="1007"/>
      <c r="N368" s="927"/>
      <c r="O368" s="1034"/>
      <c r="P368" s="1034"/>
      <c r="Q368" s="940"/>
      <c r="R368" s="1034"/>
      <c r="S368" s="1034"/>
      <c r="T368" s="1034"/>
      <c r="U368" s="1006"/>
      <c r="V368" s="1040"/>
      <c r="Z368" s="1042"/>
    </row>
    <row r="369" spans="1:26">
      <c r="A369" s="983"/>
      <c r="B369" s="1037"/>
      <c r="C369" s="952"/>
      <c r="D369" s="940"/>
      <c r="E369" s="1034"/>
      <c r="F369" s="1034"/>
      <c r="G369" s="1034"/>
      <c r="H369" s="1034"/>
      <c r="I369" s="1034"/>
      <c r="J369" s="1005"/>
      <c r="K369" s="1034"/>
      <c r="L369" s="1034"/>
      <c r="M369" s="1007"/>
      <c r="N369" s="927"/>
      <c r="O369" s="1034"/>
      <c r="P369" s="1034"/>
      <c r="Q369" s="940"/>
      <c r="R369" s="1034"/>
      <c r="S369" s="1034"/>
      <c r="T369" s="1034"/>
      <c r="U369" s="1006"/>
      <c r="V369" s="1040"/>
      <c r="Z369" s="1042"/>
    </row>
    <row r="370" spans="1:26">
      <c r="A370" s="983"/>
      <c r="B370" s="1037"/>
      <c r="C370" s="952"/>
      <c r="D370" s="940"/>
      <c r="E370" s="1034"/>
      <c r="F370" s="1034"/>
      <c r="G370" s="1034"/>
      <c r="H370" s="1034"/>
      <c r="I370" s="1034"/>
      <c r="J370" s="1005"/>
      <c r="K370" s="1034"/>
      <c r="L370" s="1034"/>
      <c r="M370" s="1007"/>
      <c r="N370" s="927"/>
      <c r="O370" s="1034"/>
      <c r="P370" s="1034"/>
      <c r="Q370" s="940"/>
      <c r="R370" s="1034"/>
      <c r="S370" s="1034"/>
      <c r="T370" s="1034"/>
      <c r="U370" s="1006"/>
      <c r="V370" s="1040"/>
      <c r="Z370" s="1042"/>
    </row>
    <row r="371" spans="1:26">
      <c r="A371" s="983"/>
      <c r="B371" s="1037"/>
      <c r="C371" s="952"/>
      <c r="D371" s="940"/>
      <c r="E371" s="1034"/>
      <c r="F371" s="1034"/>
      <c r="G371" s="1034"/>
      <c r="H371" s="1034"/>
      <c r="I371" s="1034"/>
      <c r="J371" s="1005"/>
      <c r="K371" s="1034"/>
      <c r="L371" s="1034"/>
      <c r="M371" s="1007"/>
      <c r="N371" s="927"/>
      <c r="O371" s="1034"/>
      <c r="P371" s="1034"/>
      <c r="Q371" s="940"/>
      <c r="R371" s="1034"/>
      <c r="S371" s="1034"/>
      <c r="T371" s="1034"/>
      <c r="U371" s="1006"/>
      <c r="V371" s="1040"/>
      <c r="Z371" s="1042"/>
    </row>
    <row r="372" spans="1:26">
      <c r="A372" s="983"/>
      <c r="B372" s="1037"/>
      <c r="C372" s="952"/>
      <c r="D372" s="940"/>
      <c r="E372" s="1034"/>
      <c r="F372" s="1034"/>
      <c r="G372" s="1034"/>
      <c r="H372" s="1034"/>
      <c r="I372" s="1034"/>
      <c r="J372" s="1005"/>
      <c r="K372" s="1034"/>
      <c r="L372" s="1034"/>
      <c r="M372" s="1007"/>
      <c r="N372" s="927"/>
      <c r="O372" s="1034"/>
      <c r="P372" s="1034"/>
      <c r="Q372" s="940"/>
      <c r="R372" s="1034"/>
      <c r="S372" s="1034"/>
      <c r="T372" s="1034"/>
      <c r="U372" s="1006"/>
      <c r="V372" s="1040"/>
      <c r="Z372" s="1042"/>
    </row>
    <row r="373" spans="1:26">
      <c r="A373" s="983"/>
      <c r="B373" s="1037"/>
      <c r="C373" s="952"/>
      <c r="D373" s="940"/>
      <c r="E373" s="1034"/>
      <c r="F373" s="1034"/>
      <c r="G373" s="1034"/>
      <c r="H373" s="1034"/>
      <c r="I373" s="1034"/>
      <c r="J373" s="1005"/>
      <c r="K373" s="1034"/>
      <c r="L373" s="1034"/>
      <c r="M373" s="1007"/>
      <c r="N373" s="927"/>
      <c r="O373" s="1034"/>
      <c r="P373" s="1034"/>
      <c r="Q373" s="940"/>
      <c r="R373" s="1034"/>
      <c r="S373" s="1034"/>
      <c r="T373" s="1034"/>
      <c r="U373" s="1006"/>
      <c r="V373" s="1040"/>
      <c r="Z373" s="1042"/>
    </row>
    <row r="374" spans="1:26">
      <c r="A374" s="983"/>
      <c r="B374" s="1037"/>
      <c r="C374" s="952"/>
      <c r="D374" s="940"/>
      <c r="E374" s="1034"/>
      <c r="F374" s="1034"/>
      <c r="G374" s="1034"/>
      <c r="H374" s="1034"/>
      <c r="I374" s="1034"/>
      <c r="J374" s="1005"/>
      <c r="M374" s="1007"/>
      <c r="N374" s="927"/>
      <c r="P374" s="1034"/>
      <c r="Q374" s="940"/>
      <c r="T374" s="1034"/>
      <c r="U374" s="1006"/>
      <c r="V374" s="1040"/>
      <c r="Z374" s="1042"/>
    </row>
    <row r="375" spans="1:26">
      <c r="A375" s="983"/>
      <c r="B375" s="1037"/>
      <c r="C375" s="952"/>
      <c r="D375" s="940"/>
      <c r="E375" s="1034"/>
      <c r="F375" s="1034"/>
      <c r="G375" s="1034"/>
      <c r="H375" s="1034"/>
      <c r="I375" s="1034"/>
      <c r="J375" s="1005"/>
      <c r="M375" s="1007"/>
      <c r="N375" s="927"/>
      <c r="P375" s="1034"/>
      <c r="Q375" s="940"/>
      <c r="T375" s="1034"/>
      <c r="U375" s="1006"/>
      <c r="V375" s="1040"/>
      <c r="Z375" s="1042"/>
    </row>
    <row r="376" spans="1:26">
      <c r="A376" s="983"/>
      <c r="B376" s="1037"/>
      <c r="C376" s="952"/>
      <c r="D376" s="940"/>
      <c r="E376" s="1034"/>
      <c r="F376" s="1034"/>
      <c r="G376" s="1034"/>
      <c r="H376" s="1034"/>
      <c r="I376" s="1034"/>
      <c r="J376" s="1005"/>
      <c r="M376" s="1007"/>
      <c r="N376" s="927"/>
      <c r="P376" s="1034"/>
      <c r="Q376" s="940"/>
      <c r="T376" s="1034"/>
      <c r="U376" s="1006"/>
      <c r="V376" s="1040"/>
      <c r="Z376" s="1042"/>
    </row>
    <row r="377" spans="1:26">
      <c r="A377" s="983"/>
      <c r="B377" s="1037"/>
      <c r="C377" s="952"/>
      <c r="D377" s="940"/>
      <c r="E377" s="1034"/>
      <c r="F377" s="1034"/>
      <c r="G377" s="1034"/>
      <c r="H377" s="1034"/>
      <c r="I377" s="1034"/>
      <c r="J377" s="1005"/>
      <c r="M377" s="1007"/>
      <c r="N377" s="927"/>
      <c r="P377" s="1034"/>
      <c r="Q377" s="940"/>
      <c r="T377" s="1034"/>
      <c r="U377" s="1006"/>
      <c r="V377" s="1040"/>
      <c r="Z377" s="1042"/>
    </row>
    <row r="378" spans="1:26">
      <c r="A378" s="983"/>
      <c r="B378" s="1037"/>
      <c r="C378" s="952"/>
      <c r="D378" s="940"/>
      <c r="E378" s="1034"/>
      <c r="F378" s="1034"/>
      <c r="G378" s="1034"/>
      <c r="H378" s="1034"/>
      <c r="I378" s="1034"/>
      <c r="J378" s="1005"/>
      <c r="M378" s="1007"/>
      <c r="N378" s="927"/>
      <c r="P378" s="1034"/>
      <c r="Q378" s="940"/>
      <c r="T378" s="1034"/>
      <c r="U378" s="1006"/>
      <c r="V378" s="1040"/>
      <c r="Z378" s="1042"/>
    </row>
    <row r="379" spans="1:26">
      <c r="A379" s="983"/>
      <c r="B379" s="1037"/>
      <c r="C379" s="952"/>
      <c r="D379" s="940"/>
      <c r="E379" s="1034"/>
      <c r="F379" s="1034"/>
      <c r="G379" s="1034"/>
      <c r="H379" s="1034"/>
      <c r="I379" s="1034"/>
      <c r="J379" s="1005"/>
      <c r="M379" s="1007"/>
      <c r="N379" s="927"/>
      <c r="P379" s="1034"/>
      <c r="Q379" s="940"/>
      <c r="T379" s="1034"/>
      <c r="U379" s="1006"/>
      <c r="V379" s="1040"/>
      <c r="Z379" s="1042"/>
    </row>
    <row r="380" spans="1:26">
      <c r="A380" s="983"/>
      <c r="B380" s="1037"/>
      <c r="C380" s="952"/>
      <c r="D380" s="940"/>
      <c r="E380" s="1034"/>
      <c r="F380" s="1034"/>
      <c r="G380" s="1034"/>
      <c r="H380" s="1034"/>
      <c r="I380" s="1034"/>
      <c r="J380" s="1005"/>
      <c r="M380" s="1007"/>
      <c r="N380" s="927"/>
      <c r="P380" s="1034"/>
      <c r="Q380" s="940"/>
      <c r="T380" s="1034"/>
      <c r="U380" s="1006"/>
      <c r="V380" s="1040"/>
      <c r="Z380" s="1042"/>
    </row>
    <row r="381" spans="1:26">
      <c r="A381" s="983"/>
      <c r="B381" s="1037"/>
      <c r="C381" s="952"/>
      <c r="D381" s="940"/>
      <c r="E381" s="1034"/>
      <c r="F381" s="1034"/>
      <c r="G381" s="1034"/>
      <c r="H381" s="1034"/>
      <c r="I381" s="1034"/>
      <c r="J381" s="1005"/>
      <c r="M381" s="1007"/>
      <c r="N381" s="927"/>
      <c r="P381" s="1034"/>
      <c r="Q381" s="940"/>
      <c r="T381" s="1034"/>
      <c r="U381" s="1006"/>
      <c r="V381" s="1040"/>
      <c r="Z381" s="1042"/>
    </row>
    <row r="382" spans="1:26">
      <c r="A382" s="983"/>
      <c r="B382" s="1037"/>
      <c r="C382" s="952"/>
      <c r="D382" s="940"/>
      <c r="E382" s="1034"/>
      <c r="F382" s="1034"/>
      <c r="G382" s="1034"/>
      <c r="H382" s="1034"/>
      <c r="I382" s="1034"/>
      <c r="J382" s="1005"/>
      <c r="M382" s="1007"/>
      <c r="N382" s="927"/>
      <c r="P382" s="1034"/>
      <c r="Q382" s="940"/>
      <c r="T382" s="1034"/>
      <c r="U382" s="1006"/>
      <c r="V382" s="1040"/>
      <c r="Z382" s="1042"/>
    </row>
    <row r="383" spans="1:26">
      <c r="A383" s="983"/>
      <c r="B383" s="1037"/>
      <c r="C383" s="952"/>
      <c r="D383" s="940"/>
      <c r="E383" s="1034"/>
      <c r="F383" s="1034"/>
      <c r="G383" s="1034"/>
      <c r="H383" s="1034"/>
      <c r="I383" s="1034"/>
      <c r="J383" s="1005"/>
      <c r="M383" s="1007"/>
      <c r="N383" s="927"/>
      <c r="P383" s="1034"/>
      <c r="Q383" s="940"/>
      <c r="T383" s="1034"/>
      <c r="U383" s="1006"/>
      <c r="V383" s="1040"/>
      <c r="Z383" s="1042"/>
    </row>
    <row r="384" spans="1:26">
      <c r="A384" s="983"/>
      <c r="B384" s="1037"/>
      <c r="C384" s="952"/>
      <c r="D384" s="940"/>
      <c r="E384" s="1034"/>
      <c r="F384" s="1034"/>
      <c r="G384" s="1034"/>
      <c r="H384" s="1034"/>
      <c r="I384" s="1034"/>
      <c r="J384" s="1005"/>
      <c r="M384" s="1007"/>
      <c r="N384" s="927"/>
      <c r="P384" s="1034"/>
      <c r="Q384" s="940"/>
      <c r="T384" s="1034"/>
      <c r="U384" s="1006"/>
      <c r="V384" s="1040"/>
      <c r="Z384" s="1042"/>
    </row>
    <row r="385" spans="1:26">
      <c r="A385" s="983"/>
      <c r="B385" s="1037"/>
      <c r="C385" s="952"/>
      <c r="D385" s="940"/>
      <c r="E385" s="1034"/>
      <c r="F385" s="1034"/>
      <c r="G385" s="1034"/>
      <c r="H385" s="1034"/>
      <c r="I385" s="1034"/>
      <c r="J385" s="1005"/>
      <c r="M385" s="1007"/>
      <c r="N385" s="927"/>
      <c r="P385" s="1034"/>
      <c r="Q385" s="940"/>
      <c r="T385" s="1034"/>
      <c r="U385" s="1006"/>
      <c r="V385" s="1040"/>
      <c r="Z385" s="1042"/>
    </row>
    <row r="386" spans="1:26">
      <c r="A386" s="983"/>
      <c r="B386" s="1037"/>
      <c r="C386" s="952"/>
      <c r="D386" s="940"/>
      <c r="E386" s="1034"/>
      <c r="F386" s="1034"/>
      <c r="G386" s="1034"/>
      <c r="H386" s="1034"/>
      <c r="I386" s="1034"/>
      <c r="J386" s="1005"/>
      <c r="M386" s="1007"/>
      <c r="N386" s="927"/>
      <c r="P386" s="1034"/>
      <c r="Q386" s="940"/>
      <c r="T386" s="1034"/>
      <c r="U386" s="1006"/>
      <c r="V386" s="1040"/>
      <c r="Z386" s="1042"/>
    </row>
    <row r="387" spans="1:26">
      <c r="A387" s="983"/>
      <c r="B387" s="1037"/>
      <c r="C387" s="952"/>
      <c r="D387" s="940"/>
      <c r="E387" s="1034"/>
      <c r="F387" s="1034"/>
      <c r="G387" s="1034"/>
      <c r="H387" s="1034"/>
      <c r="I387" s="1034"/>
      <c r="J387" s="1005"/>
      <c r="M387" s="1007"/>
      <c r="N387" s="927"/>
      <c r="P387" s="1034"/>
      <c r="Q387" s="940"/>
      <c r="T387" s="1034"/>
      <c r="U387" s="1006"/>
      <c r="Z387" s="1042"/>
    </row>
    <row r="388" spans="1:26">
      <c r="A388" s="983"/>
      <c r="B388" s="1037"/>
      <c r="C388" s="952"/>
      <c r="D388" s="940"/>
      <c r="E388" s="1034"/>
      <c r="F388" s="1034"/>
      <c r="G388" s="1034"/>
      <c r="H388" s="1034"/>
      <c r="I388" s="1034"/>
      <c r="J388" s="1005"/>
      <c r="M388" s="1007"/>
      <c r="N388" s="927"/>
      <c r="P388" s="1034"/>
      <c r="Q388" s="940"/>
      <c r="T388" s="1034"/>
      <c r="U388" s="1006"/>
      <c r="Z388" s="1042"/>
    </row>
    <row r="389" spans="1:26">
      <c r="A389" s="983"/>
      <c r="B389" s="1037"/>
      <c r="C389" s="952"/>
      <c r="D389" s="940"/>
      <c r="E389" s="1034"/>
      <c r="F389" s="1034"/>
      <c r="G389" s="1034"/>
      <c r="H389" s="1034"/>
      <c r="I389" s="1034"/>
      <c r="J389" s="1005"/>
      <c r="M389" s="1007"/>
      <c r="N389" s="927"/>
      <c r="P389" s="1034"/>
      <c r="Q389" s="940"/>
      <c r="T389" s="1034"/>
      <c r="U389" s="1006"/>
      <c r="Z389" s="1042"/>
    </row>
    <row r="390" spans="1:26">
      <c r="A390" s="983"/>
      <c r="B390" s="1037"/>
      <c r="C390" s="952"/>
      <c r="D390" s="940"/>
      <c r="E390" s="1034"/>
      <c r="F390" s="1034"/>
      <c r="G390" s="1034"/>
      <c r="H390" s="1034"/>
      <c r="I390" s="1034"/>
      <c r="J390" s="1005"/>
      <c r="M390" s="1007"/>
      <c r="N390" s="927"/>
      <c r="P390" s="1034"/>
      <c r="Q390" s="940"/>
      <c r="T390" s="1034"/>
      <c r="U390" s="1006"/>
      <c r="V390" s="1040"/>
      <c r="Z390" s="1042"/>
    </row>
    <row r="391" spans="1:26">
      <c r="A391" s="983"/>
      <c r="B391" s="1037"/>
      <c r="C391" s="952"/>
      <c r="D391" s="940"/>
      <c r="E391" s="1034"/>
      <c r="F391" s="1034"/>
      <c r="G391" s="1034"/>
      <c r="H391" s="1034"/>
      <c r="I391" s="1034"/>
      <c r="J391" s="1005"/>
      <c r="M391" s="1007"/>
      <c r="N391" s="927"/>
      <c r="P391" s="1034"/>
      <c r="Q391" s="940"/>
      <c r="T391" s="1034"/>
      <c r="U391" s="1006"/>
      <c r="V391" s="1040"/>
      <c r="Z391" s="1042"/>
    </row>
    <row r="392" spans="1:26">
      <c r="A392" s="983"/>
      <c r="B392" s="1037"/>
      <c r="C392" s="952"/>
      <c r="D392" s="940"/>
      <c r="E392" s="1034"/>
      <c r="F392" s="1034"/>
      <c r="G392" s="1034"/>
      <c r="H392" s="1034"/>
      <c r="I392" s="1034"/>
      <c r="J392" s="1005"/>
      <c r="M392" s="1007"/>
      <c r="N392" s="927"/>
      <c r="P392" s="1034"/>
      <c r="Q392" s="940"/>
      <c r="T392" s="1034"/>
      <c r="U392" s="1006"/>
      <c r="V392" s="1040"/>
      <c r="Z392" s="1042"/>
    </row>
    <row r="393" spans="1:26">
      <c r="A393" s="983"/>
      <c r="B393" s="1037"/>
      <c r="C393" s="952"/>
      <c r="D393" s="940"/>
      <c r="E393" s="1034"/>
      <c r="F393" s="1034"/>
      <c r="G393" s="1034"/>
      <c r="H393" s="1034"/>
      <c r="I393" s="1034"/>
      <c r="J393" s="1005"/>
      <c r="M393" s="1007"/>
      <c r="N393" s="927"/>
      <c r="P393" s="1034"/>
      <c r="Q393" s="940"/>
      <c r="T393" s="1034"/>
      <c r="U393" s="1006"/>
      <c r="V393" s="1040"/>
      <c r="Z393" s="1042"/>
    </row>
    <row r="394" spans="1:26">
      <c r="A394" s="983"/>
      <c r="B394" s="1037"/>
      <c r="C394" s="952"/>
      <c r="D394" s="940"/>
      <c r="E394" s="1034"/>
      <c r="F394" s="1034"/>
      <c r="G394" s="1034"/>
      <c r="H394" s="1034"/>
      <c r="I394" s="1034"/>
      <c r="J394" s="1005"/>
      <c r="M394" s="1007"/>
      <c r="N394" s="927"/>
      <c r="P394" s="1034"/>
      <c r="Q394" s="940"/>
      <c r="T394" s="1034"/>
      <c r="U394" s="1006"/>
      <c r="V394" s="1040"/>
      <c r="Z394" s="1042"/>
    </row>
    <row r="395" spans="1:26">
      <c r="A395" s="983"/>
      <c r="B395" s="1037"/>
      <c r="C395" s="952"/>
      <c r="D395" s="940"/>
      <c r="E395" s="1034"/>
      <c r="F395" s="1034"/>
      <c r="G395" s="1034"/>
      <c r="H395" s="1034"/>
      <c r="I395" s="1034"/>
      <c r="J395" s="1005"/>
      <c r="M395" s="1007"/>
      <c r="N395" s="927"/>
      <c r="P395" s="1034"/>
      <c r="Q395" s="940"/>
      <c r="T395" s="1034"/>
      <c r="U395" s="1006"/>
      <c r="V395" s="1040"/>
      <c r="Z395" s="1042"/>
    </row>
    <row r="396" spans="1:26">
      <c r="A396" s="983"/>
      <c r="B396" s="1037"/>
      <c r="C396" s="952"/>
      <c r="D396" s="940"/>
      <c r="E396" s="1034"/>
      <c r="F396" s="1034"/>
      <c r="G396" s="1034"/>
      <c r="H396" s="1034"/>
      <c r="I396" s="1034"/>
      <c r="J396" s="1005"/>
      <c r="M396" s="1007"/>
      <c r="N396" s="927"/>
      <c r="P396" s="1034"/>
      <c r="Q396" s="940"/>
      <c r="T396" s="1034"/>
      <c r="U396" s="1006"/>
      <c r="V396" s="1040"/>
      <c r="Z396" s="1042"/>
    </row>
    <row r="397" spans="1:26">
      <c r="A397" s="983"/>
      <c r="B397" s="1037"/>
      <c r="C397" s="952"/>
      <c r="D397" s="940"/>
      <c r="E397" s="1034"/>
      <c r="F397" s="1034"/>
      <c r="G397" s="1034"/>
      <c r="H397" s="1034"/>
      <c r="I397" s="1034"/>
      <c r="J397" s="1005"/>
      <c r="M397" s="1007"/>
      <c r="N397" s="927"/>
      <c r="P397" s="1034"/>
      <c r="Q397" s="940"/>
      <c r="T397" s="1034"/>
      <c r="U397" s="1006"/>
      <c r="V397" s="1040"/>
      <c r="Z397" s="1042"/>
    </row>
    <row r="398" spans="1:26">
      <c r="A398" s="983"/>
      <c r="B398" s="1037"/>
      <c r="C398" s="952"/>
      <c r="D398" s="940"/>
      <c r="E398" s="1034"/>
      <c r="F398" s="1034"/>
      <c r="G398" s="1034"/>
      <c r="H398" s="1034"/>
      <c r="I398" s="1034"/>
      <c r="J398" s="1005"/>
      <c r="M398" s="1007"/>
      <c r="N398" s="927"/>
      <c r="P398" s="1034"/>
      <c r="Q398" s="940"/>
      <c r="T398" s="1034"/>
      <c r="U398" s="1006"/>
      <c r="V398" s="1040"/>
      <c r="Z398" s="1042"/>
    </row>
    <row r="399" spans="1:26">
      <c r="A399" s="983"/>
      <c r="B399" s="1037"/>
      <c r="C399" s="952"/>
      <c r="D399" s="940"/>
      <c r="E399" s="1034"/>
      <c r="F399" s="1034"/>
      <c r="G399" s="1034"/>
      <c r="H399" s="1034"/>
      <c r="I399" s="1034"/>
      <c r="J399" s="1005"/>
      <c r="M399" s="1007"/>
      <c r="N399" s="927"/>
      <c r="P399" s="1034"/>
      <c r="Q399" s="940"/>
      <c r="T399" s="1034"/>
      <c r="U399" s="1006"/>
      <c r="V399" s="1040"/>
      <c r="Z399" s="1042"/>
    </row>
    <row r="400" spans="1:26">
      <c r="A400" s="983"/>
      <c r="B400" s="1037"/>
      <c r="C400" s="952"/>
      <c r="D400" s="940"/>
      <c r="E400" s="1034"/>
      <c r="F400" s="1034"/>
      <c r="G400" s="1034"/>
      <c r="H400" s="1034"/>
      <c r="I400" s="1034"/>
      <c r="J400" s="1005"/>
      <c r="M400" s="1007"/>
      <c r="N400" s="927"/>
      <c r="P400" s="1034"/>
      <c r="Q400" s="940"/>
      <c r="T400" s="1034"/>
      <c r="U400" s="1006"/>
      <c r="V400" s="1040"/>
      <c r="Z400" s="1042"/>
    </row>
    <row r="401" spans="1:26">
      <c r="A401" s="983"/>
      <c r="B401" s="1037"/>
      <c r="C401" s="952"/>
      <c r="D401" s="940"/>
      <c r="E401" s="1034"/>
      <c r="F401" s="1034"/>
      <c r="G401" s="1034"/>
      <c r="H401" s="1034"/>
      <c r="I401" s="1034"/>
      <c r="J401" s="1005"/>
      <c r="M401" s="1007"/>
      <c r="N401" s="927"/>
      <c r="P401" s="1034"/>
      <c r="Q401" s="940"/>
      <c r="T401" s="1034"/>
      <c r="U401" s="1006"/>
      <c r="V401" s="1040"/>
      <c r="Z401" s="1042"/>
    </row>
    <row r="402" spans="1:26">
      <c r="A402" s="983"/>
      <c r="B402" s="1037"/>
      <c r="C402" s="952"/>
      <c r="D402" s="940"/>
      <c r="E402" s="1034"/>
      <c r="F402" s="1034"/>
      <c r="G402" s="1034"/>
      <c r="H402" s="1034"/>
      <c r="I402" s="1034"/>
      <c r="J402" s="1005"/>
      <c r="M402" s="1007"/>
      <c r="N402" s="927"/>
      <c r="P402" s="1034"/>
      <c r="Q402" s="940"/>
      <c r="T402" s="1034"/>
      <c r="U402" s="1006"/>
      <c r="V402" s="1040"/>
      <c r="Z402" s="1042"/>
    </row>
    <row r="403" spans="1:26">
      <c r="A403" s="983"/>
      <c r="B403" s="1037"/>
      <c r="C403" s="952"/>
      <c r="D403" s="940"/>
      <c r="E403" s="1034"/>
      <c r="F403" s="1034"/>
      <c r="G403" s="1034"/>
      <c r="H403" s="1034"/>
      <c r="I403" s="1034"/>
      <c r="J403" s="1005"/>
      <c r="M403" s="1007"/>
      <c r="N403" s="927"/>
      <c r="P403" s="1034"/>
      <c r="Q403" s="940"/>
      <c r="T403" s="1034"/>
      <c r="U403" s="1006"/>
      <c r="V403" s="1040"/>
      <c r="Z403" s="1042"/>
    </row>
    <row r="404" spans="1:26">
      <c r="A404" s="983"/>
      <c r="B404" s="1037"/>
      <c r="C404" s="952"/>
      <c r="D404" s="940"/>
      <c r="E404" s="1034"/>
      <c r="F404" s="1034"/>
      <c r="G404" s="1034"/>
      <c r="H404" s="1034"/>
      <c r="I404" s="1034"/>
      <c r="J404" s="1005"/>
      <c r="M404" s="1007"/>
      <c r="N404" s="927"/>
      <c r="P404" s="1034"/>
      <c r="Q404" s="940"/>
      <c r="T404" s="1034"/>
      <c r="U404" s="1006"/>
      <c r="V404" s="1040"/>
      <c r="Z404" s="1042"/>
    </row>
    <row r="405" spans="1:26">
      <c r="A405" s="983"/>
      <c r="B405" s="1037"/>
      <c r="C405" s="952"/>
      <c r="D405" s="940"/>
      <c r="E405" s="1034"/>
      <c r="F405" s="1034"/>
      <c r="G405" s="1034"/>
      <c r="H405" s="1034"/>
      <c r="I405" s="1034"/>
      <c r="J405" s="1005"/>
      <c r="M405" s="1007"/>
      <c r="N405" s="927"/>
      <c r="P405" s="1034"/>
      <c r="Q405" s="940"/>
      <c r="T405" s="1034"/>
      <c r="U405" s="1006"/>
      <c r="V405" s="1040"/>
      <c r="Z405" s="1042"/>
    </row>
    <row r="406" spans="1:26">
      <c r="A406" s="983"/>
      <c r="B406" s="1037"/>
      <c r="C406" s="952"/>
      <c r="D406" s="940"/>
      <c r="E406" s="1034"/>
      <c r="F406" s="1034"/>
      <c r="G406" s="1034"/>
      <c r="H406" s="1034"/>
      <c r="I406" s="1034"/>
      <c r="J406" s="1005"/>
      <c r="M406" s="1007"/>
      <c r="N406" s="927"/>
      <c r="P406" s="1034"/>
      <c r="Q406" s="940"/>
      <c r="T406" s="1034"/>
      <c r="U406" s="1006"/>
      <c r="V406" s="1040"/>
      <c r="Z406" s="1042"/>
    </row>
    <row r="407" spans="1:26">
      <c r="A407" s="983"/>
      <c r="B407" s="1037"/>
      <c r="C407" s="952"/>
      <c r="D407" s="940"/>
      <c r="E407" s="1034"/>
      <c r="F407" s="1034"/>
      <c r="G407" s="1034"/>
      <c r="H407" s="1034"/>
      <c r="I407" s="1034"/>
      <c r="J407" s="1005"/>
      <c r="M407" s="1007"/>
      <c r="N407" s="927"/>
      <c r="P407" s="1034"/>
      <c r="Q407" s="940"/>
      <c r="T407" s="1034"/>
      <c r="U407" s="1006"/>
      <c r="V407" s="1040"/>
      <c r="Z407" s="1042"/>
    </row>
    <row r="408" spans="1:26">
      <c r="A408" s="983"/>
      <c r="B408" s="1037"/>
      <c r="C408" s="952"/>
      <c r="D408" s="940"/>
      <c r="E408" s="1034"/>
      <c r="F408" s="1034"/>
      <c r="G408" s="1034"/>
      <c r="H408" s="1034"/>
      <c r="I408" s="1034"/>
      <c r="J408" s="1005"/>
      <c r="M408" s="1007"/>
      <c r="N408" s="927"/>
      <c r="P408" s="1034"/>
      <c r="Q408" s="940"/>
      <c r="T408" s="1034"/>
      <c r="U408" s="1006"/>
      <c r="V408" s="1040"/>
      <c r="Z408" s="1042"/>
    </row>
    <row r="409" spans="1:26">
      <c r="A409" s="983"/>
      <c r="B409" s="1037"/>
      <c r="C409" s="952"/>
      <c r="D409" s="940"/>
      <c r="E409" s="1034"/>
      <c r="F409" s="1034"/>
      <c r="G409" s="1034"/>
      <c r="H409" s="1034"/>
      <c r="I409" s="1034"/>
      <c r="J409" s="1005"/>
      <c r="M409" s="1007"/>
      <c r="N409" s="927"/>
      <c r="P409" s="1034"/>
      <c r="Q409" s="940"/>
      <c r="T409" s="1034"/>
      <c r="U409" s="1006"/>
      <c r="V409" s="1040"/>
      <c r="Z409" s="1042"/>
    </row>
    <row r="410" spans="1:26">
      <c r="A410" s="983"/>
      <c r="B410" s="1037"/>
      <c r="C410" s="952"/>
      <c r="D410" s="940"/>
      <c r="E410" s="1034"/>
      <c r="F410" s="1034"/>
      <c r="G410" s="1034"/>
      <c r="H410" s="1034"/>
      <c r="I410" s="1034"/>
      <c r="J410" s="1005"/>
      <c r="M410" s="1007"/>
      <c r="N410" s="927"/>
      <c r="P410" s="1034"/>
      <c r="Q410" s="940"/>
      <c r="T410" s="1034"/>
      <c r="U410" s="1006"/>
      <c r="V410" s="1040"/>
      <c r="Z410" s="1042"/>
    </row>
    <row r="411" spans="1:26">
      <c r="A411" s="983"/>
      <c r="B411" s="1037"/>
      <c r="C411" s="952"/>
      <c r="D411" s="940"/>
      <c r="E411" s="1034"/>
      <c r="F411" s="1034"/>
      <c r="G411" s="1034"/>
      <c r="H411" s="1034"/>
      <c r="I411" s="1034"/>
      <c r="J411" s="1005"/>
      <c r="M411" s="1007"/>
      <c r="N411" s="927"/>
      <c r="P411" s="1034"/>
      <c r="Q411" s="940"/>
      <c r="T411" s="1034"/>
      <c r="U411" s="1006"/>
      <c r="V411" s="1040"/>
      <c r="Z411" s="1042"/>
    </row>
    <row r="412" spans="1:26">
      <c r="A412" s="983"/>
      <c r="B412" s="1037"/>
      <c r="C412" s="952"/>
      <c r="D412" s="940"/>
      <c r="E412" s="1034"/>
      <c r="F412" s="1034"/>
      <c r="G412" s="1034"/>
      <c r="H412" s="1034"/>
      <c r="I412" s="1034"/>
      <c r="J412" s="1005"/>
      <c r="M412" s="1007"/>
      <c r="N412" s="927"/>
      <c r="P412" s="1034"/>
      <c r="Q412" s="940"/>
      <c r="T412" s="1034"/>
      <c r="U412" s="1006"/>
      <c r="V412" s="1040"/>
      <c r="Z412" s="1042"/>
    </row>
    <row r="413" spans="1:26">
      <c r="A413" s="983"/>
      <c r="B413" s="1037"/>
      <c r="C413" s="952"/>
      <c r="D413" s="940"/>
      <c r="E413" s="1034"/>
      <c r="F413" s="1034"/>
      <c r="G413" s="1034"/>
      <c r="H413" s="1034"/>
      <c r="I413" s="1034"/>
      <c r="J413" s="1005"/>
      <c r="M413" s="1007"/>
      <c r="N413" s="927"/>
      <c r="P413" s="1034"/>
      <c r="Q413" s="940"/>
      <c r="T413" s="1034"/>
      <c r="U413" s="1006"/>
      <c r="V413" s="1040"/>
      <c r="Z413" s="1042"/>
    </row>
    <row r="414" spans="1:26">
      <c r="A414" s="983"/>
      <c r="B414" s="1037"/>
      <c r="C414" s="952"/>
      <c r="D414" s="940"/>
      <c r="E414" s="1034"/>
      <c r="F414" s="1034"/>
      <c r="G414" s="1034"/>
      <c r="H414" s="1034"/>
      <c r="I414" s="1034"/>
      <c r="J414" s="1005"/>
      <c r="M414" s="1007"/>
      <c r="N414" s="927"/>
      <c r="P414" s="1034"/>
      <c r="Q414" s="940"/>
      <c r="T414" s="1034"/>
      <c r="U414" s="1006"/>
      <c r="V414" s="1040"/>
      <c r="Z414" s="1042"/>
    </row>
    <row r="415" spans="1:26">
      <c r="A415" s="983"/>
      <c r="B415" s="1037"/>
      <c r="C415" s="952"/>
      <c r="D415" s="940"/>
      <c r="E415" s="1034"/>
      <c r="F415" s="1034"/>
      <c r="G415" s="1034"/>
      <c r="H415" s="1034"/>
      <c r="I415" s="1034"/>
      <c r="J415" s="1005"/>
      <c r="M415" s="1007"/>
      <c r="N415" s="927"/>
      <c r="P415" s="1034"/>
      <c r="Q415" s="940"/>
      <c r="T415" s="1034"/>
      <c r="U415" s="1006"/>
      <c r="V415" s="1040"/>
      <c r="Z415" s="1042"/>
    </row>
    <row r="416" spans="1:26">
      <c r="A416" s="983"/>
      <c r="B416" s="1037"/>
      <c r="C416" s="952"/>
      <c r="D416" s="940"/>
      <c r="E416" s="1034"/>
      <c r="F416" s="1034"/>
      <c r="G416" s="1034"/>
      <c r="H416" s="1034"/>
      <c r="I416" s="1034"/>
      <c r="J416" s="1005"/>
      <c r="M416" s="1007"/>
      <c r="N416" s="927"/>
      <c r="P416" s="1034"/>
      <c r="Q416" s="940"/>
      <c r="T416" s="1034"/>
      <c r="U416" s="1006"/>
      <c r="V416" s="1040"/>
      <c r="Z416" s="1042"/>
    </row>
    <row r="417" spans="1:26">
      <c r="A417" s="983"/>
      <c r="B417" s="1037"/>
      <c r="C417" s="952"/>
      <c r="D417" s="940"/>
      <c r="E417" s="1034"/>
      <c r="F417" s="1034"/>
      <c r="G417" s="1034"/>
      <c r="H417" s="1034"/>
      <c r="I417" s="1034"/>
      <c r="J417" s="1005"/>
      <c r="M417" s="1007"/>
      <c r="N417" s="927"/>
      <c r="P417" s="1034"/>
      <c r="Q417" s="940"/>
      <c r="T417" s="1034"/>
      <c r="U417" s="1006"/>
      <c r="V417" s="1040"/>
      <c r="Z417" s="1042"/>
    </row>
    <row r="418" spans="1:26">
      <c r="A418" s="983"/>
      <c r="B418" s="1037"/>
      <c r="C418" s="952"/>
      <c r="D418" s="940"/>
      <c r="E418" s="1034"/>
      <c r="F418" s="1034"/>
      <c r="G418" s="1034"/>
      <c r="H418" s="1034"/>
      <c r="I418" s="1034"/>
      <c r="J418" s="1005"/>
      <c r="M418" s="1007"/>
      <c r="N418" s="927"/>
      <c r="P418" s="1034"/>
      <c r="Q418" s="940"/>
      <c r="T418" s="1034"/>
      <c r="U418" s="1006"/>
      <c r="V418" s="1040"/>
      <c r="Z418" s="1042"/>
    </row>
    <row r="419" spans="1:26">
      <c r="A419" s="983"/>
      <c r="B419" s="1037"/>
      <c r="C419" s="952"/>
      <c r="D419" s="940"/>
      <c r="E419" s="1034"/>
      <c r="F419" s="1034"/>
      <c r="G419" s="1034"/>
      <c r="H419" s="1034"/>
      <c r="I419" s="1034"/>
      <c r="J419" s="1005"/>
      <c r="M419" s="1007"/>
      <c r="N419" s="927"/>
      <c r="P419" s="1034"/>
      <c r="Q419" s="940"/>
      <c r="T419" s="1034"/>
      <c r="U419" s="1006"/>
      <c r="V419" s="1040"/>
      <c r="Z419" s="1042"/>
    </row>
    <row r="420" spans="1:26">
      <c r="A420" s="983"/>
      <c r="B420" s="1037"/>
      <c r="C420" s="952"/>
      <c r="D420" s="940"/>
      <c r="E420" s="1034"/>
      <c r="F420" s="1034"/>
      <c r="G420" s="1034"/>
      <c r="H420" s="1034"/>
      <c r="I420" s="1034"/>
      <c r="J420" s="1005"/>
      <c r="M420" s="1007"/>
      <c r="N420" s="927"/>
      <c r="P420" s="1034"/>
      <c r="Q420" s="940"/>
      <c r="T420" s="1034"/>
      <c r="U420" s="1006"/>
      <c r="V420" s="1040"/>
      <c r="Z420" s="1042"/>
    </row>
    <row r="421" spans="1:26">
      <c r="A421" s="983"/>
      <c r="B421" s="1037"/>
      <c r="C421" s="952"/>
      <c r="D421" s="940"/>
      <c r="E421" s="1034"/>
      <c r="F421" s="1034"/>
      <c r="G421" s="1034"/>
      <c r="H421" s="1034"/>
      <c r="I421" s="1034"/>
      <c r="J421" s="1005"/>
      <c r="M421" s="1007"/>
      <c r="N421" s="927"/>
      <c r="P421" s="1034"/>
      <c r="Q421" s="940"/>
      <c r="T421" s="1034"/>
      <c r="U421" s="1006"/>
      <c r="V421" s="1040"/>
      <c r="Z421" s="1042"/>
    </row>
    <row r="422" spans="1:26">
      <c r="A422" s="983"/>
      <c r="B422" s="1037"/>
      <c r="C422" s="952"/>
      <c r="D422" s="940"/>
      <c r="E422" s="1034"/>
      <c r="F422" s="1034"/>
      <c r="G422" s="1034"/>
      <c r="H422" s="1034"/>
      <c r="I422" s="1034"/>
      <c r="J422" s="1005"/>
      <c r="M422" s="1007"/>
      <c r="N422" s="927"/>
      <c r="P422" s="1034"/>
      <c r="Q422" s="940"/>
      <c r="T422" s="1034"/>
      <c r="U422" s="1006"/>
      <c r="V422" s="1040"/>
      <c r="Z422" s="1042"/>
    </row>
    <row r="423" spans="1:26">
      <c r="A423" s="983"/>
      <c r="B423" s="1037"/>
      <c r="C423" s="952"/>
      <c r="D423" s="940"/>
      <c r="E423" s="1034"/>
      <c r="F423" s="1034"/>
      <c r="G423" s="1034"/>
      <c r="H423" s="1034"/>
      <c r="I423" s="1034"/>
      <c r="J423" s="1005"/>
      <c r="M423" s="1007"/>
      <c r="N423" s="927"/>
      <c r="P423" s="1034"/>
      <c r="Q423" s="940"/>
      <c r="T423" s="1034"/>
      <c r="U423" s="1006"/>
      <c r="V423" s="1040"/>
      <c r="Z423" s="1042"/>
    </row>
    <row r="424" spans="1:26">
      <c r="A424" s="983"/>
      <c r="B424" s="1037"/>
      <c r="C424" s="952"/>
      <c r="D424" s="940"/>
      <c r="E424" s="1034"/>
      <c r="F424" s="1034"/>
      <c r="G424" s="1034"/>
      <c r="H424" s="1034"/>
      <c r="I424" s="1034"/>
      <c r="J424" s="1005"/>
      <c r="M424" s="1007"/>
      <c r="N424" s="927"/>
      <c r="P424" s="1034"/>
      <c r="Q424" s="940"/>
      <c r="T424" s="1034"/>
      <c r="U424" s="1006"/>
      <c r="V424" s="1040"/>
      <c r="Z424" s="1042"/>
    </row>
    <row r="425" spans="1:26">
      <c r="A425" s="983"/>
      <c r="B425" s="1037"/>
      <c r="C425" s="952"/>
      <c r="D425" s="940"/>
      <c r="E425" s="1034"/>
      <c r="F425" s="1034"/>
      <c r="G425" s="1034"/>
      <c r="H425" s="1034"/>
      <c r="I425" s="1034"/>
      <c r="J425" s="1005"/>
      <c r="M425" s="1007"/>
      <c r="N425" s="927"/>
      <c r="P425" s="1034"/>
      <c r="Q425" s="940"/>
      <c r="T425" s="1034"/>
      <c r="U425" s="1006"/>
      <c r="V425" s="1040"/>
      <c r="Z425" s="1042"/>
    </row>
    <row r="426" spans="1:26">
      <c r="A426" s="983"/>
      <c r="B426" s="1037"/>
      <c r="C426" s="952"/>
      <c r="D426" s="940"/>
      <c r="E426" s="1034"/>
      <c r="F426" s="1034"/>
      <c r="G426" s="1034"/>
      <c r="H426" s="1034"/>
      <c r="I426" s="1034"/>
      <c r="J426" s="1005"/>
      <c r="M426" s="1007"/>
      <c r="N426" s="927"/>
      <c r="P426" s="1034"/>
      <c r="Q426" s="940"/>
      <c r="T426" s="1034"/>
      <c r="U426" s="1006"/>
      <c r="V426" s="1040"/>
      <c r="Z426" s="1042"/>
    </row>
    <row r="427" spans="1:26">
      <c r="A427" s="983"/>
      <c r="B427" s="1037"/>
      <c r="C427" s="952"/>
      <c r="D427" s="940"/>
      <c r="E427" s="1034"/>
      <c r="F427" s="1034"/>
      <c r="G427" s="1034"/>
      <c r="H427" s="1034"/>
      <c r="I427" s="1034"/>
      <c r="J427" s="1005"/>
      <c r="M427" s="1007"/>
      <c r="N427" s="927"/>
      <c r="P427" s="1034"/>
      <c r="Q427" s="940"/>
      <c r="T427" s="1034"/>
      <c r="U427" s="1006"/>
      <c r="V427" s="1040"/>
      <c r="Z427" s="1042"/>
    </row>
    <row r="428" spans="1:26">
      <c r="A428" s="983"/>
      <c r="B428" s="1037"/>
      <c r="C428" s="952"/>
      <c r="D428" s="940"/>
      <c r="E428" s="1034"/>
      <c r="F428" s="1034"/>
      <c r="G428" s="1034"/>
      <c r="H428" s="1034"/>
      <c r="I428" s="1034"/>
      <c r="J428" s="1005"/>
      <c r="M428" s="1007"/>
      <c r="N428" s="927"/>
      <c r="P428" s="1034"/>
      <c r="Q428" s="940"/>
      <c r="T428" s="1034"/>
      <c r="U428" s="1006"/>
      <c r="V428" s="1040"/>
      <c r="Z428" s="1042"/>
    </row>
    <row r="429" spans="1:26">
      <c r="A429" s="983"/>
      <c r="B429" s="1037"/>
      <c r="C429" s="952"/>
      <c r="D429" s="940"/>
      <c r="E429" s="1034"/>
      <c r="F429" s="1034"/>
      <c r="G429" s="1034"/>
      <c r="H429" s="1034"/>
      <c r="I429" s="1034"/>
      <c r="J429" s="1005"/>
      <c r="M429" s="1007"/>
      <c r="N429" s="927"/>
      <c r="P429" s="1034"/>
      <c r="Q429" s="940"/>
      <c r="T429" s="1034"/>
      <c r="U429" s="1006"/>
      <c r="V429" s="1040"/>
      <c r="Z429" s="1042"/>
    </row>
    <row r="430" spans="1:26">
      <c r="A430" s="983"/>
      <c r="B430" s="1037"/>
      <c r="C430" s="952"/>
      <c r="D430" s="940"/>
      <c r="E430" s="1034"/>
      <c r="F430" s="1034"/>
      <c r="G430" s="1034"/>
      <c r="H430" s="1034"/>
      <c r="I430" s="1034"/>
      <c r="J430" s="1005"/>
      <c r="M430" s="1007"/>
      <c r="N430" s="927"/>
      <c r="P430" s="1034"/>
      <c r="Q430" s="940"/>
      <c r="T430" s="1034"/>
      <c r="U430" s="1006"/>
      <c r="V430" s="1040"/>
      <c r="Z430" s="1042"/>
    </row>
    <row r="431" spans="1:26">
      <c r="A431" s="983"/>
      <c r="B431" s="1037"/>
      <c r="C431" s="952"/>
      <c r="D431" s="940"/>
      <c r="E431" s="1034"/>
      <c r="F431" s="1034"/>
      <c r="G431" s="1034"/>
      <c r="H431" s="1034"/>
      <c r="I431" s="1034"/>
      <c r="J431" s="1005"/>
      <c r="M431" s="1007"/>
      <c r="N431" s="927"/>
      <c r="P431" s="1034"/>
      <c r="Q431" s="940"/>
      <c r="T431" s="1034"/>
      <c r="U431" s="1006"/>
      <c r="V431" s="1040"/>
      <c r="Z431" s="1042"/>
    </row>
    <row r="432" spans="1:26">
      <c r="A432" s="983"/>
      <c r="B432" s="1037"/>
      <c r="C432" s="952"/>
      <c r="D432" s="940"/>
      <c r="E432" s="1034"/>
      <c r="F432" s="1034"/>
      <c r="G432" s="1034"/>
      <c r="H432" s="1034"/>
      <c r="I432" s="1034"/>
      <c r="J432" s="1005"/>
      <c r="M432" s="1007"/>
      <c r="N432" s="927"/>
      <c r="P432" s="1034"/>
      <c r="Q432" s="940"/>
      <c r="T432" s="1034"/>
      <c r="U432" s="1006"/>
      <c r="V432" s="1040"/>
      <c r="Z432" s="1042"/>
    </row>
    <row r="433" spans="1:26">
      <c r="A433" s="983"/>
      <c r="B433" s="1037"/>
      <c r="C433" s="952"/>
      <c r="D433" s="940"/>
      <c r="E433" s="1034"/>
      <c r="F433" s="1034"/>
      <c r="G433" s="1034"/>
      <c r="H433" s="1034"/>
      <c r="I433" s="1034"/>
      <c r="J433" s="1005"/>
      <c r="M433" s="1007"/>
      <c r="N433" s="927"/>
      <c r="P433" s="1034"/>
      <c r="Q433" s="940"/>
      <c r="T433" s="1034"/>
      <c r="U433" s="1006"/>
      <c r="V433" s="1040"/>
      <c r="Z433" s="1042"/>
    </row>
    <row r="434" spans="1:26">
      <c r="A434" s="983"/>
      <c r="B434" s="1037"/>
      <c r="C434" s="952"/>
      <c r="D434" s="940"/>
      <c r="E434" s="1034"/>
      <c r="F434" s="1034"/>
      <c r="G434" s="1034"/>
      <c r="H434" s="1034"/>
      <c r="I434" s="1034"/>
      <c r="J434" s="1005"/>
      <c r="M434" s="1007"/>
      <c r="N434" s="927"/>
      <c r="P434" s="1034"/>
      <c r="Q434" s="940"/>
      <c r="T434" s="1034"/>
      <c r="U434" s="1006"/>
      <c r="V434" s="1040"/>
      <c r="Z434" s="1042"/>
    </row>
    <row r="435" spans="1:26">
      <c r="A435" s="983"/>
      <c r="B435" s="1037"/>
      <c r="C435" s="952"/>
      <c r="D435" s="940"/>
      <c r="E435" s="1034"/>
      <c r="F435" s="1034"/>
      <c r="G435" s="1034"/>
      <c r="H435" s="1034"/>
      <c r="I435" s="1034"/>
      <c r="J435" s="1005"/>
      <c r="M435" s="1007"/>
      <c r="N435" s="927"/>
      <c r="P435" s="1034"/>
      <c r="Q435" s="940"/>
      <c r="T435" s="1034"/>
      <c r="U435" s="1006"/>
      <c r="V435" s="1040"/>
      <c r="Z435" s="1042"/>
    </row>
    <row r="436" spans="1:26">
      <c r="A436" s="983"/>
      <c r="B436" s="1037"/>
      <c r="C436" s="952"/>
      <c r="D436" s="940"/>
      <c r="E436" s="1034"/>
      <c r="F436" s="1034"/>
      <c r="G436" s="1034"/>
      <c r="H436" s="1034"/>
      <c r="I436" s="1034"/>
      <c r="J436" s="1005"/>
      <c r="M436" s="1007"/>
      <c r="N436" s="927"/>
      <c r="P436" s="1034"/>
      <c r="Q436" s="940"/>
      <c r="T436" s="1034"/>
      <c r="U436" s="1006"/>
      <c r="V436" s="1040"/>
      <c r="Z436" s="1042"/>
    </row>
    <row r="437" spans="1:26">
      <c r="A437" s="983"/>
      <c r="B437" s="1037"/>
      <c r="C437" s="952"/>
      <c r="D437" s="940"/>
      <c r="E437" s="1034"/>
      <c r="F437" s="1034"/>
      <c r="G437" s="1034"/>
      <c r="H437" s="1034"/>
      <c r="I437" s="1034"/>
      <c r="J437" s="1005"/>
      <c r="M437" s="1007"/>
      <c r="N437" s="927"/>
      <c r="P437" s="1034"/>
      <c r="Q437" s="940"/>
      <c r="T437" s="1034"/>
      <c r="U437" s="1006"/>
      <c r="V437" s="1040"/>
      <c r="Z437" s="1042"/>
    </row>
    <row r="438" spans="1:26">
      <c r="A438" s="983"/>
      <c r="B438" s="1037"/>
      <c r="C438" s="952"/>
      <c r="D438" s="940"/>
      <c r="E438" s="1034"/>
      <c r="F438" s="1034"/>
      <c r="G438" s="1034"/>
      <c r="H438" s="1034"/>
      <c r="I438" s="1034"/>
      <c r="J438" s="1005"/>
      <c r="M438" s="1007"/>
      <c r="N438" s="927"/>
      <c r="P438" s="1034"/>
      <c r="Q438" s="940"/>
      <c r="T438" s="1034"/>
      <c r="U438" s="1006"/>
      <c r="V438" s="1040"/>
      <c r="Z438" s="1042"/>
    </row>
    <row r="439" spans="1:26">
      <c r="A439" s="983"/>
      <c r="B439" s="1037"/>
      <c r="C439" s="952"/>
      <c r="D439" s="940"/>
      <c r="E439" s="1034"/>
      <c r="F439" s="1034"/>
      <c r="G439" s="1034"/>
      <c r="H439" s="1034"/>
      <c r="I439" s="1034"/>
      <c r="J439" s="1005"/>
      <c r="M439" s="1007"/>
      <c r="N439" s="927"/>
      <c r="P439" s="1034"/>
      <c r="Q439" s="940"/>
      <c r="T439" s="1034"/>
      <c r="U439" s="1006"/>
      <c r="V439" s="1040"/>
      <c r="Z439" s="1042"/>
    </row>
    <row r="440" spans="1:26">
      <c r="A440" s="983"/>
      <c r="B440" s="1037"/>
      <c r="C440" s="952"/>
      <c r="D440" s="940"/>
      <c r="E440" s="1034"/>
      <c r="F440" s="1034"/>
      <c r="G440" s="1034"/>
      <c r="H440" s="1034"/>
      <c r="I440" s="1034"/>
      <c r="J440" s="1005"/>
      <c r="M440" s="1007"/>
      <c r="N440" s="927"/>
      <c r="P440" s="1034"/>
      <c r="Q440" s="940"/>
      <c r="T440" s="1034"/>
      <c r="U440" s="1006"/>
      <c r="V440" s="1040"/>
      <c r="Z440" s="1042"/>
    </row>
    <row r="441" spans="1:26">
      <c r="A441" s="983"/>
      <c r="B441" s="1037"/>
      <c r="C441" s="952"/>
      <c r="D441" s="940"/>
      <c r="E441" s="1034"/>
      <c r="F441" s="1034"/>
      <c r="G441" s="1034"/>
      <c r="H441" s="1034"/>
      <c r="I441" s="1034"/>
      <c r="J441" s="1005"/>
      <c r="M441" s="1007"/>
      <c r="N441" s="927"/>
      <c r="P441" s="1034"/>
      <c r="Q441" s="940"/>
      <c r="T441" s="1034"/>
      <c r="U441" s="1006"/>
      <c r="V441" s="1040"/>
      <c r="Z441" s="1042"/>
    </row>
    <row r="442" spans="1:26">
      <c r="A442" s="983"/>
      <c r="B442" s="1037"/>
      <c r="C442" s="952"/>
      <c r="D442" s="940"/>
      <c r="E442" s="1034"/>
      <c r="F442" s="1034"/>
      <c r="G442" s="1034"/>
      <c r="H442" s="1034"/>
      <c r="I442" s="1034"/>
      <c r="J442" s="1005"/>
      <c r="M442" s="1007"/>
      <c r="N442" s="927"/>
      <c r="P442" s="1034"/>
      <c r="Q442" s="940"/>
      <c r="T442" s="1034"/>
      <c r="U442" s="1006"/>
      <c r="V442" s="1040"/>
      <c r="Z442" s="1042"/>
    </row>
    <row r="443" spans="1:26">
      <c r="A443" s="983"/>
      <c r="B443" s="1037"/>
      <c r="C443" s="952"/>
      <c r="D443" s="940"/>
      <c r="E443" s="1034"/>
      <c r="F443" s="1034"/>
      <c r="G443" s="1034"/>
      <c r="H443" s="1034"/>
      <c r="I443" s="1034"/>
      <c r="J443" s="1005"/>
      <c r="M443" s="1007"/>
      <c r="N443" s="927"/>
      <c r="P443" s="1034"/>
      <c r="Q443" s="940"/>
      <c r="T443" s="1034"/>
      <c r="U443" s="1006"/>
      <c r="V443" s="1040"/>
      <c r="Z443" s="1042"/>
    </row>
    <row r="444" spans="1:26">
      <c r="A444" s="983"/>
      <c r="B444" s="1037"/>
      <c r="C444" s="952"/>
      <c r="D444" s="940"/>
      <c r="E444" s="1034"/>
      <c r="F444" s="1034"/>
      <c r="G444" s="1034"/>
      <c r="H444" s="1034"/>
      <c r="I444" s="1034"/>
      <c r="J444" s="1005"/>
      <c r="M444" s="1007"/>
      <c r="N444" s="927"/>
      <c r="P444" s="1034"/>
      <c r="Q444" s="940"/>
      <c r="T444" s="1034"/>
      <c r="U444" s="1006"/>
      <c r="V444" s="1040"/>
      <c r="Z444" s="1042"/>
    </row>
    <row r="445" spans="1:26">
      <c r="A445" s="983"/>
      <c r="B445" s="1037"/>
      <c r="C445" s="952"/>
      <c r="D445" s="940"/>
      <c r="E445" s="1034"/>
      <c r="F445" s="1034"/>
      <c r="G445" s="1034"/>
      <c r="H445" s="1034"/>
      <c r="I445" s="1034"/>
      <c r="J445" s="1005"/>
      <c r="M445" s="1007"/>
      <c r="N445" s="927"/>
      <c r="P445" s="1034"/>
      <c r="Q445" s="940"/>
      <c r="T445" s="1034"/>
      <c r="U445" s="1006"/>
      <c r="V445" s="1040"/>
      <c r="Z445" s="1042"/>
    </row>
    <row r="446" spans="1:26">
      <c r="A446" s="983"/>
      <c r="B446" s="1037"/>
      <c r="C446" s="952"/>
      <c r="D446" s="940"/>
      <c r="E446" s="1034"/>
      <c r="F446" s="1034"/>
      <c r="G446" s="1034"/>
      <c r="H446" s="1034"/>
      <c r="I446" s="1034"/>
      <c r="J446" s="1005"/>
      <c r="M446" s="1007"/>
      <c r="N446" s="927"/>
      <c r="P446" s="1034"/>
      <c r="Q446" s="940"/>
      <c r="T446" s="1034"/>
      <c r="U446" s="1006"/>
      <c r="V446" s="1040"/>
      <c r="Z446" s="1042"/>
    </row>
    <row r="447" spans="1:26">
      <c r="A447" s="983"/>
      <c r="B447" s="1037"/>
      <c r="C447" s="952"/>
      <c r="D447" s="940"/>
      <c r="E447" s="1034"/>
      <c r="F447" s="1034"/>
      <c r="G447" s="1034"/>
      <c r="H447" s="1034"/>
      <c r="I447" s="1034"/>
      <c r="J447" s="1005"/>
      <c r="M447" s="1007"/>
      <c r="N447" s="927"/>
      <c r="P447" s="1034"/>
      <c r="Q447" s="940"/>
      <c r="T447" s="1034"/>
      <c r="U447" s="1006"/>
      <c r="V447" s="1040"/>
      <c r="Z447" s="1042"/>
    </row>
    <row r="448" spans="1:26">
      <c r="A448" s="983"/>
      <c r="B448" s="1037"/>
      <c r="C448" s="952"/>
      <c r="D448" s="940"/>
      <c r="E448" s="1034"/>
      <c r="F448" s="1034"/>
      <c r="G448" s="1034"/>
      <c r="H448" s="1034"/>
      <c r="I448" s="1034"/>
      <c r="J448" s="1005"/>
      <c r="M448" s="1007"/>
      <c r="N448" s="927"/>
      <c r="P448" s="1034"/>
      <c r="Q448" s="940"/>
      <c r="T448" s="1034"/>
      <c r="U448" s="1006"/>
      <c r="V448" s="1040"/>
      <c r="Z448" s="1042"/>
    </row>
    <row r="449" spans="1:26">
      <c r="A449" s="983"/>
      <c r="B449" s="1037"/>
      <c r="C449" s="952"/>
      <c r="D449" s="940"/>
      <c r="E449" s="1034"/>
      <c r="F449" s="1034"/>
      <c r="G449" s="1034"/>
      <c r="H449" s="1034"/>
      <c r="I449" s="1034"/>
      <c r="J449" s="1005"/>
      <c r="M449" s="1007"/>
      <c r="N449" s="927"/>
      <c r="P449" s="1034"/>
      <c r="Q449" s="940"/>
      <c r="T449" s="1034"/>
      <c r="U449" s="1006"/>
      <c r="V449" s="1040"/>
      <c r="Z449" s="1042"/>
    </row>
    <row r="450" spans="1:26">
      <c r="A450" s="983"/>
      <c r="B450" s="1037"/>
      <c r="C450" s="952"/>
      <c r="D450" s="940"/>
      <c r="E450" s="1034"/>
      <c r="F450" s="1034"/>
      <c r="G450" s="1034"/>
      <c r="H450" s="1034"/>
      <c r="I450" s="1034"/>
      <c r="J450" s="1005"/>
      <c r="M450" s="1007"/>
      <c r="N450" s="927"/>
      <c r="P450" s="1034"/>
      <c r="Q450" s="940"/>
      <c r="T450" s="1034"/>
      <c r="U450" s="1006"/>
      <c r="V450" s="1040"/>
      <c r="Z450" s="1042"/>
    </row>
    <row r="451" spans="1:26">
      <c r="A451" s="983"/>
      <c r="B451" s="1037"/>
      <c r="C451" s="952"/>
      <c r="D451" s="940"/>
      <c r="E451" s="1034"/>
      <c r="F451" s="1034"/>
      <c r="G451" s="1034"/>
      <c r="H451" s="1034"/>
      <c r="I451" s="1034"/>
      <c r="J451" s="1005"/>
      <c r="M451" s="1007"/>
      <c r="N451" s="927"/>
      <c r="P451" s="1034"/>
      <c r="Q451" s="940"/>
      <c r="T451" s="1034"/>
      <c r="U451" s="1006"/>
      <c r="V451" s="1040"/>
      <c r="Z451" s="1042"/>
    </row>
    <row r="452" spans="1:26">
      <c r="A452" s="983"/>
      <c r="B452" s="1037"/>
      <c r="C452" s="952"/>
      <c r="D452" s="940"/>
      <c r="E452" s="1034"/>
      <c r="F452" s="1034"/>
      <c r="G452" s="1034"/>
      <c r="H452" s="1034"/>
      <c r="I452" s="1034"/>
      <c r="J452" s="1005"/>
      <c r="M452" s="1007"/>
      <c r="N452" s="927"/>
      <c r="P452" s="1034"/>
      <c r="Q452" s="940"/>
      <c r="T452" s="1034"/>
      <c r="U452" s="1006"/>
      <c r="V452" s="1040"/>
      <c r="Z452" s="1042"/>
    </row>
    <row r="453" spans="1:26">
      <c r="A453" s="983"/>
      <c r="B453" s="1037"/>
      <c r="C453" s="952"/>
      <c r="D453" s="940"/>
      <c r="E453" s="1034"/>
      <c r="F453" s="1034"/>
      <c r="G453" s="1034"/>
      <c r="H453" s="1034"/>
      <c r="I453" s="1034"/>
      <c r="J453" s="1005"/>
      <c r="M453" s="1007"/>
      <c r="N453" s="927"/>
      <c r="P453" s="1034"/>
      <c r="Q453" s="940"/>
      <c r="T453" s="1034"/>
      <c r="U453" s="1006"/>
      <c r="V453" s="1040"/>
      <c r="Z453" s="1042"/>
    </row>
    <row r="454" spans="1:26">
      <c r="A454" s="983"/>
      <c r="B454" s="1037"/>
      <c r="C454" s="952"/>
      <c r="D454" s="940"/>
      <c r="E454" s="1034"/>
      <c r="F454" s="1034"/>
      <c r="G454" s="1034"/>
      <c r="H454" s="1034"/>
      <c r="I454" s="1034"/>
      <c r="J454" s="1005"/>
      <c r="M454" s="1007"/>
      <c r="N454" s="927"/>
      <c r="P454" s="1034"/>
      <c r="Q454" s="940"/>
      <c r="T454" s="1034"/>
      <c r="U454" s="1006"/>
      <c r="V454" s="1040"/>
      <c r="Z454" s="1042"/>
    </row>
    <row r="455" spans="1:26">
      <c r="A455" s="983"/>
      <c r="B455" s="1037"/>
      <c r="C455" s="952"/>
      <c r="D455" s="940"/>
      <c r="E455" s="1034"/>
      <c r="F455" s="1034"/>
      <c r="G455" s="1034"/>
      <c r="H455" s="1034"/>
      <c r="I455" s="1034"/>
      <c r="J455" s="1005"/>
      <c r="M455" s="1007"/>
      <c r="N455" s="927"/>
      <c r="P455" s="1034"/>
      <c r="Q455" s="940"/>
      <c r="T455" s="1034"/>
      <c r="U455" s="1006"/>
      <c r="V455" s="1040"/>
      <c r="Z455" s="1042"/>
    </row>
    <row r="456" spans="1:26">
      <c r="A456" s="983"/>
      <c r="B456" s="1037"/>
      <c r="C456" s="952"/>
      <c r="D456" s="940"/>
      <c r="E456" s="1034"/>
      <c r="F456" s="1034"/>
      <c r="G456" s="1034"/>
      <c r="H456" s="1034"/>
      <c r="I456" s="1034"/>
      <c r="J456" s="1005"/>
      <c r="M456" s="1007"/>
      <c r="N456" s="927"/>
      <c r="P456" s="1034"/>
      <c r="Q456" s="940"/>
      <c r="T456" s="1034"/>
      <c r="U456" s="1006"/>
      <c r="Z456" s="1042"/>
    </row>
    <row r="457" spans="1:26">
      <c r="A457" s="983"/>
      <c r="B457" s="1037"/>
      <c r="C457" s="952"/>
      <c r="D457" s="940"/>
      <c r="E457" s="1034"/>
      <c r="F457" s="1034"/>
      <c r="G457" s="1034"/>
      <c r="H457" s="1034"/>
      <c r="I457" s="1034"/>
      <c r="J457" s="1005"/>
      <c r="M457" s="1007"/>
      <c r="N457" s="927"/>
      <c r="P457" s="1034"/>
      <c r="Q457" s="940"/>
      <c r="T457" s="1034"/>
      <c r="U457" s="1006"/>
      <c r="V457" s="1040"/>
      <c r="Z457" s="1042"/>
    </row>
    <row r="458" spans="1:26">
      <c r="A458" s="983"/>
      <c r="B458" s="1037"/>
      <c r="C458" s="952"/>
      <c r="D458" s="940"/>
      <c r="E458" s="1034"/>
      <c r="F458" s="1034"/>
      <c r="G458" s="1034"/>
      <c r="H458" s="1034"/>
      <c r="I458" s="1034"/>
      <c r="J458" s="1005"/>
      <c r="M458" s="1007"/>
      <c r="N458" s="927"/>
      <c r="P458" s="1034"/>
      <c r="Q458" s="940"/>
      <c r="T458" s="1034"/>
      <c r="U458" s="1006"/>
      <c r="V458" s="1040"/>
      <c r="Z458" s="1042"/>
    </row>
    <row r="459" spans="1:26">
      <c r="A459" s="983"/>
      <c r="B459" s="1037"/>
      <c r="C459" s="952"/>
      <c r="D459" s="940"/>
      <c r="E459" s="1034"/>
      <c r="F459" s="1034"/>
      <c r="G459" s="1034"/>
      <c r="H459" s="1034"/>
      <c r="I459" s="1034"/>
      <c r="J459" s="1005"/>
      <c r="M459" s="1007"/>
      <c r="N459" s="927"/>
      <c r="P459" s="1034"/>
      <c r="Q459" s="940"/>
      <c r="T459" s="1034"/>
      <c r="U459" s="1006"/>
      <c r="V459" s="1040"/>
      <c r="Z459" s="1042"/>
    </row>
    <row r="460" spans="1:26">
      <c r="A460" s="983"/>
      <c r="B460" s="1037"/>
      <c r="C460" s="952"/>
      <c r="D460" s="940"/>
      <c r="E460" s="1034"/>
      <c r="F460" s="1034"/>
      <c r="G460" s="1034"/>
      <c r="H460" s="1034"/>
      <c r="I460" s="1034"/>
      <c r="J460" s="1005"/>
      <c r="M460" s="1007"/>
      <c r="N460" s="927"/>
      <c r="P460" s="1034"/>
      <c r="Q460" s="940"/>
      <c r="T460" s="1034"/>
      <c r="U460" s="1006"/>
      <c r="V460" s="1040"/>
      <c r="Z460" s="1042"/>
    </row>
    <row r="461" spans="1:26">
      <c r="A461" s="983"/>
      <c r="B461" s="1037"/>
      <c r="C461" s="952"/>
      <c r="D461" s="940"/>
      <c r="E461" s="1034"/>
      <c r="F461" s="1034"/>
      <c r="G461" s="1034"/>
      <c r="H461" s="1034"/>
      <c r="I461" s="1034"/>
      <c r="J461" s="1005"/>
      <c r="M461" s="1007"/>
      <c r="N461" s="927"/>
      <c r="P461" s="1034"/>
      <c r="Q461" s="940"/>
      <c r="T461" s="1034"/>
      <c r="U461" s="1006"/>
      <c r="V461" s="1040"/>
      <c r="Z461" s="1042"/>
    </row>
    <row r="462" spans="1:26">
      <c r="A462" s="983"/>
      <c r="B462" s="1037"/>
      <c r="C462" s="952"/>
      <c r="D462" s="940"/>
      <c r="E462" s="1034"/>
      <c r="F462" s="1034"/>
      <c r="G462" s="1034"/>
      <c r="H462" s="1034"/>
      <c r="I462" s="1034"/>
      <c r="J462" s="1005"/>
      <c r="M462" s="1007"/>
      <c r="N462" s="927"/>
      <c r="P462" s="1034"/>
      <c r="Q462" s="940"/>
      <c r="T462" s="1034"/>
      <c r="U462" s="1006"/>
      <c r="V462" s="1040"/>
      <c r="Z462" s="1042"/>
    </row>
    <row r="463" spans="1:26">
      <c r="A463" s="983"/>
      <c r="B463" s="1037"/>
      <c r="C463" s="952"/>
      <c r="D463" s="940"/>
      <c r="E463" s="1034"/>
      <c r="F463" s="1034"/>
      <c r="G463" s="1034"/>
      <c r="H463" s="1034"/>
      <c r="I463" s="1034"/>
      <c r="J463" s="1005"/>
      <c r="M463" s="1007"/>
      <c r="N463" s="927"/>
      <c r="P463" s="1034"/>
      <c r="Q463" s="940"/>
      <c r="T463" s="1034"/>
      <c r="U463" s="1006"/>
      <c r="V463" s="1040"/>
      <c r="Z463" s="1042"/>
    </row>
    <row r="464" spans="1:26">
      <c r="A464" s="983"/>
      <c r="B464" s="1037"/>
      <c r="C464" s="952"/>
      <c r="D464" s="940"/>
      <c r="E464" s="1034"/>
      <c r="F464" s="1034"/>
      <c r="G464" s="1034"/>
      <c r="H464" s="1034"/>
      <c r="I464" s="1034"/>
      <c r="J464" s="1005"/>
      <c r="M464" s="1007"/>
      <c r="N464" s="927"/>
      <c r="P464" s="1034"/>
      <c r="Q464" s="940"/>
      <c r="T464" s="1034"/>
      <c r="U464" s="1006"/>
      <c r="V464" s="1040"/>
      <c r="Z464" s="1042"/>
    </row>
    <row r="465" spans="1:26">
      <c r="A465" s="983"/>
      <c r="B465" s="1037"/>
      <c r="C465" s="952"/>
      <c r="D465" s="940"/>
      <c r="E465" s="1034"/>
      <c r="F465" s="1034"/>
      <c r="G465" s="1034"/>
      <c r="H465" s="1034"/>
      <c r="I465" s="1034"/>
      <c r="J465" s="1005"/>
      <c r="M465" s="1007"/>
      <c r="N465" s="927"/>
      <c r="P465" s="1034"/>
      <c r="Q465" s="940"/>
      <c r="T465" s="1034"/>
      <c r="U465" s="1006"/>
      <c r="V465" s="1040"/>
      <c r="Z465" s="1042"/>
    </row>
    <row r="466" spans="1:26">
      <c r="A466" s="983"/>
      <c r="B466" s="1037"/>
      <c r="C466" s="952"/>
      <c r="D466" s="940"/>
      <c r="E466" s="1034"/>
      <c r="F466" s="1034"/>
      <c r="G466" s="1034"/>
      <c r="H466" s="1034"/>
      <c r="I466" s="1034"/>
      <c r="J466" s="1005"/>
      <c r="M466" s="1007"/>
      <c r="N466" s="927"/>
      <c r="P466" s="1034"/>
      <c r="Q466" s="940"/>
      <c r="T466" s="1034"/>
      <c r="U466" s="1006"/>
      <c r="V466" s="1040"/>
      <c r="Z466" s="1042"/>
    </row>
    <row r="467" spans="1:26">
      <c r="A467" s="983"/>
      <c r="B467" s="1037"/>
      <c r="C467" s="952"/>
      <c r="D467" s="940"/>
      <c r="E467" s="1034"/>
      <c r="F467" s="1034"/>
      <c r="G467" s="1034"/>
      <c r="H467" s="1034"/>
      <c r="I467" s="1034"/>
      <c r="J467" s="1005"/>
      <c r="M467" s="1007"/>
      <c r="N467" s="927"/>
      <c r="P467" s="1034"/>
      <c r="Q467" s="940"/>
      <c r="T467" s="1034"/>
      <c r="U467" s="1006"/>
      <c r="V467" s="1040"/>
      <c r="Z467" s="1042"/>
    </row>
    <row r="468" spans="1:26">
      <c r="A468" s="983"/>
      <c r="B468" s="1037"/>
      <c r="C468" s="952"/>
      <c r="D468" s="940"/>
      <c r="E468" s="1034"/>
      <c r="F468" s="1034"/>
      <c r="G468" s="1034"/>
      <c r="H468" s="1034"/>
      <c r="I468" s="1034"/>
      <c r="J468" s="1005"/>
      <c r="M468" s="1007"/>
      <c r="N468" s="927"/>
      <c r="P468" s="1034"/>
      <c r="Q468" s="940"/>
      <c r="T468" s="1034"/>
      <c r="U468" s="1006"/>
      <c r="V468" s="1040"/>
      <c r="Z468" s="1042"/>
    </row>
    <row r="469" spans="1:26">
      <c r="A469" s="983"/>
      <c r="B469" s="1037"/>
      <c r="C469" s="952"/>
      <c r="D469" s="940"/>
      <c r="E469" s="1034"/>
      <c r="F469" s="1034"/>
      <c r="G469" s="1034"/>
      <c r="H469" s="1034"/>
      <c r="I469" s="1034"/>
      <c r="J469" s="1005"/>
      <c r="M469" s="1007"/>
      <c r="N469" s="927"/>
      <c r="P469" s="1034"/>
      <c r="Q469" s="940"/>
      <c r="T469" s="1034"/>
      <c r="U469" s="1006"/>
      <c r="V469" s="1040"/>
      <c r="Z469" s="1042"/>
    </row>
    <row r="470" spans="1:26">
      <c r="A470" s="983"/>
      <c r="B470" s="1037"/>
      <c r="C470" s="952"/>
      <c r="D470" s="940"/>
      <c r="E470" s="1034"/>
      <c r="F470" s="1034"/>
      <c r="G470" s="1034"/>
      <c r="H470" s="1034"/>
      <c r="I470" s="1034"/>
      <c r="J470" s="1005"/>
      <c r="M470" s="1007"/>
      <c r="N470" s="927"/>
      <c r="P470" s="1034"/>
      <c r="Q470" s="940"/>
      <c r="T470" s="1034"/>
      <c r="U470" s="1006"/>
      <c r="V470" s="1040"/>
      <c r="Z470" s="1042"/>
    </row>
    <row r="471" spans="1:26">
      <c r="A471" s="983"/>
      <c r="B471" s="1037"/>
      <c r="C471" s="952"/>
      <c r="D471" s="940"/>
      <c r="E471" s="1034"/>
      <c r="F471" s="1034"/>
      <c r="G471" s="1034"/>
      <c r="H471" s="1034"/>
      <c r="I471" s="1034"/>
      <c r="J471" s="1005"/>
      <c r="M471" s="1007"/>
      <c r="N471" s="927"/>
      <c r="P471" s="1034"/>
      <c r="Q471" s="940"/>
      <c r="T471" s="1034"/>
      <c r="U471" s="1006"/>
      <c r="V471" s="1040"/>
      <c r="Z471" s="1042"/>
    </row>
    <row r="472" spans="1:26">
      <c r="A472" s="983"/>
      <c r="B472" s="1037"/>
      <c r="C472" s="952"/>
      <c r="D472" s="940"/>
      <c r="E472" s="1034"/>
      <c r="F472" s="1034"/>
      <c r="G472" s="1034"/>
      <c r="H472" s="1034"/>
      <c r="I472" s="1034"/>
      <c r="J472" s="1005"/>
      <c r="M472" s="1007"/>
      <c r="N472" s="927"/>
      <c r="P472" s="1034"/>
      <c r="Q472" s="940"/>
      <c r="T472" s="1034"/>
      <c r="U472" s="1006"/>
      <c r="V472" s="1040"/>
      <c r="Z472" s="1042"/>
    </row>
    <row r="473" spans="1:26">
      <c r="A473" s="983"/>
      <c r="B473" s="1037"/>
      <c r="C473" s="952"/>
      <c r="D473" s="940"/>
      <c r="E473" s="1034"/>
      <c r="F473" s="1034"/>
      <c r="G473" s="1034"/>
      <c r="H473" s="1034"/>
      <c r="I473" s="1034"/>
      <c r="J473" s="1005"/>
      <c r="M473" s="1007"/>
      <c r="N473" s="927"/>
      <c r="P473" s="1034"/>
      <c r="Q473" s="940"/>
      <c r="T473" s="1034"/>
      <c r="U473" s="1006"/>
      <c r="V473" s="1040"/>
      <c r="Z473" s="1042"/>
    </row>
    <row r="474" spans="1:26">
      <c r="A474" s="983"/>
      <c r="B474" s="1037"/>
      <c r="C474" s="952"/>
      <c r="D474" s="940"/>
      <c r="E474" s="1034"/>
      <c r="F474" s="1034"/>
      <c r="G474" s="1034"/>
      <c r="H474" s="1034"/>
      <c r="I474" s="1034"/>
      <c r="J474" s="1005"/>
      <c r="M474" s="1007"/>
      <c r="N474" s="927"/>
      <c r="P474" s="1034"/>
      <c r="Q474" s="940"/>
      <c r="T474" s="1034"/>
      <c r="U474" s="1006"/>
      <c r="V474" s="1040"/>
      <c r="Z474" s="1042"/>
    </row>
    <row r="475" spans="1:26">
      <c r="A475" s="983"/>
      <c r="B475" s="1037"/>
      <c r="C475" s="952"/>
      <c r="D475" s="940"/>
      <c r="E475" s="1034"/>
      <c r="F475" s="1034"/>
      <c r="G475" s="1034"/>
      <c r="H475" s="1034"/>
      <c r="I475" s="1034"/>
      <c r="J475" s="1005"/>
      <c r="M475" s="1007"/>
      <c r="N475" s="927"/>
      <c r="P475" s="1034"/>
      <c r="Q475" s="940"/>
      <c r="T475" s="1034"/>
      <c r="U475" s="1006"/>
      <c r="V475" s="1040"/>
      <c r="Z475" s="1042"/>
    </row>
    <row r="476" spans="1:26">
      <c r="A476" s="983"/>
      <c r="B476" s="1037"/>
      <c r="C476" s="952"/>
      <c r="D476" s="940"/>
      <c r="E476" s="1034"/>
      <c r="F476" s="1034"/>
      <c r="G476" s="1034"/>
      <c r="H476" s="1034"/>
      <c r="I476" s="1034"/>
      <c r="J476" s="1005"/>
      <c r="M476" s="1007"/>
      <c r="N476" s="927"/>
      <c r="P476" s="1034"/>
      <c r="Q476" s="940"/>
      <c r="T476" s="1034"/>
      <c r="U476" s="1006"/>
      <c r="Z476" s="1042"/>
    </row>
    <row r="477" spans="1:26">
      <c r="A477" s="983"/>
      <c r="B477" s="1037"/>
      <c r="C477" s="952"/>
      <c r="D477" s="940"/>
      <c r="E477" s="1034"/>
      <c r="F477" s="1034"/>
      <c r="G477" s="1034"/>
      <c r="H477" s="1034"/>
      <c r="I477" s="1034"/>
      <c r="J477" s="1005"/>
      <c r="M477" s="1007"/>
      <c r="N477" s="927"/>
      <c r="P477" s="1034"/>
      <c r="Q477" s="940"/>
      <c r="T477" s="1034"/>
      <c r="U477" s="1006"/>
      <c r="V477" s="1040"/>
      <c r="Z477" s="1042"/>
    </row>
    <row r="478" spans="1:26">
      <c r="A478" s="983"/>
      <c r="B478" s="1037"/>
      <c r="C478" s="952"/>
      <c r="D478" s="940"/>
      <c r="E478" s="1034"/>
      <c r="F478" s="1034"/>
      <c r="G478" s="1034"/>
      <c r="H478" s="1034"/>
      <c r="I478" s="1034"/>
      <c r="J478" s="1005"/>
      <c r="M478" s="1007"/>
      <c r="N478" s="927"/>
      <c r="P478" s="1034"/>
      <c r="Q478" s="940"/>
      <c r="T478" s="1034"/>
      <c r="U478" s="1006"/>
      <c r="V478" s="1040"/>
      <c r="Z478" s="1042"/>
    </row>
  </sheetData>
  <autoFilter ref="E2:E101" xr:uid="{00000000-0009-0000-0000-000008000000}">
    <sortState xmlns:xlrd2="http://schemas.microsoft.com/office/spreadsheetml/2017/richdata2" ref="A5:AC101">
      <sortCondition ref="E2:E101"/>
    </sortState>
  </autoFilter>
  <mergeCells count="26">
    <mergeCell ref="A1:U1"/>
    <mergeCell ref="A2:A3"/>
    <mergeCell ref="B2:B3"/>
    <mergeCell ref="U2:U3"/>
    <mergeCell ref="P2:P3"/>
    <mergeCell ref="K2:L3"/>
    <mergeCell ref="C2:C3"/>
    <mergeCell ref="D2:D3"/>
    <mergeCell ref="E2:E3"/>
    <mergeCell ref="F2:G2"/>
    <mergeCell ref="H2:I2"/>
    <mergeCell ref="V1:Z1"/>
    <mergeCell ref="Y2:Y3"/>
    <mergeCell ref="Z2:Z3"/>
    <mergeCell ref="V2:V3"/>
    <mergeCell ref="X2:X3"/>
    <mergeCell ref="W2:W3"/>
    <mergeCell ref="AB2:AB3"/>
    <mergeCell ref="S2:S3"/>
    <mergeCell ref="T2:T3"/>
    <mergeCell ref="R2:R3"/>
    <mergeCell ref="J2:J3"/>
    <mergeCell ref="M2:M3"/>
    <mergeCell ref="N2:N3"/>
    <mergeCell ref="O2:O3"/>
    <mergeCell ref="Q2:Q3"/>
  </mergeCells>
  <phoneticPr fontId="115" type="noConversion"/>
  <printOptions horizontalCentered="1"/>
  <pageMargins left="0.70866141732283472" right="0.51181102362204722" top="0.55118110236220474" bottom="0.55118110236220474" header="0.31496062992125984" footer="0.31496062992125984"/>
  <pageSetup paperSize="8" scale="95" orientation="landscape" r:id="rId1"/>
  <headerFooter>
    <oddHeader>&amp;L                         BRA M1 SCENARIO&amp;CVloss = 1 K = 0.45</oddHeader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25" r:id="rId4" name="Button 1">
              <controlPr defaultSize="0" print="0" autoFill="0" autoPict="0" macro="[0]!Pulsante1_Clic">
                <anchor moveWithCells="1" sizeWithCells="1">
                  <from>
                    <xdr:col>21</xdr:col>
                    <xdr:colOff>60960</xdr:colOff>
                    <xdr:row>0</xdr:row>
                    <xdr:rowOff>83820</xdr:rowOff>
                  </from>
                  <to>
                    <xdr:col>23</xdr:col>
                    <xdr:colOff>22860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3"/>
  <dimension ref="A1:D752"/>
  <sheetViews>
    <sheetView workbookViewId="0">
      <selection activeCell="C2" sqref="C2"/>
    </sheetView>
  </sheetViews>
  <sheetFormatPr defaultRowHeight="13.2"/>
  <cols>
    <col min="1" max="1" width="9.109375" style="988"/>
    <col min="2" max="2" width="16.109375" style="988" customWidth="1"/>
    <col min="3" max="3" width="9.109375" style="988"/>
    <col min="4" max="4" width="16.6640625" style="990" bestFit="1" customWidth="1"/>
  </cols>
  <sheetData>
    <row r="1" spans="1:4">
      <c r="A1" s="979" t="s">
        <v>414</v>
      </c>
      <c r="B1" s="979" t="s">
        <v>509</v>
      </c>
      <c r="C1" s="979" t="s">
        <v>415</v>
      </c>
      <c r="D1" s="979" t="s">
        <v>510</v>
      </c>
    </row>
    <row r="2" spans="1:4">
      <c r="A2" s="988">
        <v>10615</v>
      </c>
      <c r="B2" s="988">
        <v>12.427293353271336</v>
      </c>
      <c r="C2" s="988">
        <v>10.5015</v>
      </c>
      <c r="D2" s="990">
        <v>12.015678464455126</v>
      </c>
    </row>
    <row r="3" spans="1:4">
      <c r="A3" s="988">
        <v>10620</v>
      </c>
      <c r="B3" s="988">
        <v>12.429006750714024</v>
      </c>
      <c r="C3" s="988">
        <v>10.491</v>
      </c>
      <c r="D3" s="990">
        <v>12.000669566500243</v>
      </c>
    </row>
    <row r="4" spans="1:4">
      <c r="A4" s="988">
        <v>10625</v>
      </c>
      <c r="B4" s="988">
        <v>12.429016751008978</v>
      </c>
      <c r="C4" s="988">
        <v>10.587</v>
      </c>
      <c r="D4" s="990">
        <v>11.999538339599447</v>
      </c>
    </row>
    <row r="5" spans="1:4">
      <c r="A5" s="988">
        <v>10630</v>
      </c>
      <c r="B5" s="988">
        <v>12.42902771579681</v>
      </c>
      <c r="C5" s="988">
        <v>10.774000000000001</v>
      </c>
      <c r="D5" s="990">
        <v>11.999549494674449</v>
      </c>
    </row>
    <row r="6" spans="1:4">
      <c r="A6" s="988">
        <v>10635</v>
      </c>
      <c r="B6" s="988">
        <v>12.42903797985884</v>
      </c>
      <c r="C6" s="988">
        <v>11.130500000000001</v>
      </c>
      <c r="D6" s="990">
        <v>11.999560621481111</v>
      </c>
    </row>
    <row r="7" spans="1:4">
      <c r="A7" s="988">
        <v>10640</v>
      </c>
      <c r="B7" s="988">
        <v>12.428371987630838</v>
      </c>
      <c r="C7" s="988">
        <v>11.22</v>
      </c>
      <c r="D7" s="990">
        <v>11.998870492242075</v>
      </c>
    </row>
    <row r="8" spans="1:4">
      <c r="A8" s="988">
        <v>10645</v>
      </c>
      <c r="B8" s="988">
        <v>12.411195535143047</v>
      </c>
      <c r="C8" s="988">
        <v>11.2775</v>
      </c>
      <c r="D8" s="990">
        <v>11.983776166306383</v>
      </c>
    </row>
    <row r="9" spans="1:4">
      <c r="A9" s="988">
        <v>10650</v>
      </c>
      <c r="B9" s="988">
        <v>12.368838231030727</v>
      </c>
      <c r="C9" s="988">
        <v>11.476499999999998</v>
      </c>
      <c r="D9" s="990">
        <v>11.9642272616298</v>
      </c>
    </row>
    <row r="10" spans="1:4">
      <c r="A10" s="988">
        <v>10655</v>
      </c>
      <c r="B10" s="988">
        <v>12.304547713396961</v>
      </c>
      <c r="C10" s="988">
        <v>11.655999999999999</v>
      </c>
      <c r="D10" s="990">
        <v>11.949607740575566</v>
      </c>
    </row>
    <row r="11" spans="1:4">
      <c r="A11" s="988">
        <v>10660</v>
      </c>
      <c r="B11" s="988">
        <v>12.236975271441597</v>
      </c>
      <c r="C11" s="988">
        <v>11.920500000000001</v>
      </c>
      <c r="D11" s="990">
        <v>11.951406848658532</v>
      </c>
    </row>
    <row r="12" spans="1:4">
      <c r="A12" s="988">
        <v>10665</v>
      </c>
      <c r="B12" s="988">
        <v>12.177718851213934</v>
      </c>
      <c r="C12" s="988">
        <v>12.178999999999998</v>
      </c>
      <c r="D12" s="990">
        <v>11.960220109781885</v>
      </c>
    </row>
    <row r="13" spans="1:4">
      <c r="A13" s="988">
        <v>10670</v>
      </c>
      <c r="B13" s="988">
        <v>12.12695527116456</v>
      </c>
      <c r="C13" s="988">
        <v>12.391500000000001</v>
      </c>
      <c r="D13" s="990">
        <v>11.968462148894927</v>
      </c>
    </row>
    <row r="14" spans="1:4">
      <c r="A14" s="988">
        <v>10675</v>
      </c>
      <c r="B14" s="988">
        <v>12.084790093692876</v>
      </c>
      <c r="C14" s="988">
        <v>12.605</v>
      </c>
      <c r="D14" s="990">
        <v>11.976101998255929</v>
      </c>
    </row>
    <row r="15" spans="1:4">
      <c r="A15" s="988">
        <v>10680</v>
      </c>
      <c r="B15" s="988">
        <v>12.051317529586683</v>
      </c>
      <c r="C15" s="988">
        <v>12.912500000000001</v>
      </c>
      <c r="D15" s="990">
        <v>11.983144559124467</v>
      </c>
    </row>
    <row r="16" spans="1:4">
      <c r="A16" s="988">
        <v>10685</v>
      </c>
      <c r="B16" s="988">
        <v>12.026606795047952</v>
      </c>
      <c r="C16" s="988">
        <v>13.204000000000001</v>
      </c>
      <c r="D16" s="990">
        <v>11.989584982133794</v>
      </c>
    </row>
    <row r="17" spans="1:4">
      <c r="A17" s="988">
        <v>10690</v>
      </c>
      <c r="B17" s="988">
        <v>12.01071360199035</v>
      </c>
      <c r="C17" s="988">
        <v>13.518000000000001</v>
      </c>
      <c r="D17" s="990">
        <v>11.995425322146813</v>
      </c>
    </row>
    <row r="18" spans="1:4">
      <c r="A18" s="988">
        <v>10695</v>
      </c>
      <c r="B18" s="988">
        <v>12.003672101943462</v>
      </c>
      <c r="C18" s="988">
        <v>13.839500000000001</v>
      </c>
      <c r="D18" s="990">
        <v>12.000664663397101</v>
      </c>
    </row>
    <row r="19" spans="1:4">
      <c r="A19" s="988">
        <v>10700</v>
      </c>
      <c r="B19" s="988">
        <v>12.005500084515759</v>
      </c>
      <c r="C19" s="988">
        <v>14.138000000000002</v>
      </c>
      <c r="D19" s="990">
        <v>12.005304917605445</v>
      </c>
    </row>
    <row r="20" spans="1:4">
      <c r="A20" s="988">
        <v>10705</v>
      </c>
      <c r="B20" s="988">
        <v>12.016191160192344</v>
      </c>
      <c r="C20" s="988">
        <v>14.419</v>
      </c>
      <c r="D20" s="990">
        <v>12.009343748805573</v>
      </c>
    </row>
    <row r="21" spans="1:4">
      <c r="A21" s="988">
        <v>10710</v>
      </c>
      <c r="B21" s="988">
        <v>12.035722013641397</v>
      </c>
      <c r="C21" s="988">
        <v>14.660499999999999</v>
      </c>
      <c r="D21" s="990">
        <v>12.012781398771253</v>
      </c>
    </row>
    <row r="22" spans="1:4">
      <c r="A22" s="988">
        <v>10715</v>
      </c>
      <c r="B22" s="988">
        <v>12.06405128248768</v>
      </c>
      <c r="C22" s="988">
        <v>14.929500000000001</v>
      </c>
      <c r="D22" s="990">
        <v>12.015619544093918</v>
      </c>
    </row>
    <row r="23" spans="1:4">
      <c r="A23" s="988">
        <v>10720</v>
      </c>
      <c r="B23" s="988">
        <v>12.101115011893862</v>
      </c>
      <c r="C23" s="988">
        <v>15.163</v>
      </c>
      <c r="D23" s="990">
        <v>12.017855721821604</v>
      </c>
    </row>
    <row r="24" spans="1:4">
      <c r="A24" s="988">
        <v>10725</v>
      </c>
      <c r="B24" s="988">
        <v>12.146835102687188</v>
      </c>
      <c r="C24" s="988">
        <v>15.355</v>
      </c>
      <c r="D24" s="990">
        <v>12.019492411903766</v>
      </c>
    </row>
    <row r="25" spans="1:4">
      <c r="A25" s="988">
        <v>10730</v>
      </c>
      <c r="B25" s="988">
        <v>12.201113998707832</v>
      </c>
      <c r="C25" s="988">
        <v>14.968</v>
      </c>
      <c r="D25" s="990">
        <v>12.020528746120949</v>
      </c>
    </row>
    <row r="26" spans="1:4">
      <c r="A26" s="988">
        <v>10735</v>
      </c>
      <c r="B26" s="988">
        <v>12.263835510482988</v>
      </c>
      <c r="C26" s="988">
        <v>15.079499999999999</v>
      </c>
      <c r="D26" s="990">
        <v>12.020963434510424</v>
      </c>
    </row>
    <row r="27" spans="1:4">
      <c r="A27" s="988">
        <v>10740</v>
      </c>
      <c r="B27" s="988">
        <v>12.334872236800567</v>
      </c>
      <c r="C27" s="988">
        <v>14.1845</v>
      </c>
      <c r="D27" s="990">
        <v>12.020797514655357</v>
      </c>
    </row>
    <row r="28" spans="1:4">
      <c r="A28" s="988">
        <v>10745</v>
      </c>
      <c r="B28" s="988">
        <v>12.41408170038385</v>
      </c>
      <c r="C28" s="988">
        <v>14.551000000000002</v>
      </c>
      <c r="D28" s="990">
        <v>12.020030092843875</v>
      </c>
    </row>
    <row r="29" spans="1:4">
      <c r="A29" s="988">
        <v>10750</v>
      </c>
      <c r="B29" s="988">
        <v>12.501308051905928</v>
      </c>
      <c r="C29" s="988">
        <v>15.435</v>
      </c>
      <c r="D29" s="990">
        <v>12.018663028828215</v>
      </c>
    </row>
    <row r="30" spans="1:4">
      <c r="A30" s="988">
        <v>10755</v>
      </c>
      <c r="B30" s="988">
        <v>12.596384175809764</v>
      </c>
      <c r="C30" s="988">
        <v>15.403499999999998</v>
      </c>
      <c r="D30" s="990">
        <v>12.016695476400063</v>
      </c>
    </row>
    <row r="31" spans="1:4">
      <c r="A31" s="988">
        <v>10760</v>
      </c>
      <c r="B31" s="988">
        <v>12.699133174270274</v>
      </c>
      <c r="C31" s="988">
        <v>15.344000000000001</v>
      </c>
      <c r="D31" s="990">
        <v>12.014126717257886</v>
      </c>
    </row>
    <row r="32" spans="1:4">
      <c r="A32" s="988">
        <v>10765</v>
      </c>
      <c r="B32" s="988">
        <v>12.809370981951442</v>
      </c>
      <c r="C32" s="988">
        <v>15.351000000000001</v>
      </c>
      <c r="D32" s="990">
        <v>12.010956403976486</v>
      </c>
    </row>
    <row r="33" spans="1:4">
      <c r="A33" s="988">
        <v>10770</v>
      </c>
      <c r="B33" s="988">
        <v>12.926904340530895</v>
      </c>
      <c r="C33" s="988">
        <v>15.2285</v>
      </c>
      <c r="D33" s="990">
        <v>12.007187592984325</v>
      </c>
    </row>
    <row r="34" spans="1:4">
      <c r="A34" s="988">
        <v>10775</v>
      </c>
      <c r="B34" s="988">
        <v>13.051536971512684</v>
      </c>
      <c r="C34" s="988">
        <v>15.172499999999999</v>
      </c>
      <c r="D34" s="990">
        <v>12.002815943943457</v>
      </c>
    </row>
    <row r="35" spans="1:4">
      <c r="A35" s="988">
        <v>10780</v>
      </c>
      <c r="B35" s="988">
        <v>13.183066713129266</v>
      </c>
      <c r="C35" s="988">
        <v>15.1205</v>
      </c>
      <c r="D35" s="990">
        <v>11.997845631905198</v>
      </c>
    </row>
    <row r="36" spans="1:4">
      <c r="A36" s="988">
        <v>10785</v>
      </c>
      <c r="B36" s="988">
        <v>13.321288631164736</v>
      </c>
      <c r="C36" s="988">
        <v>15.0745</v>
      </c>
      <c r="D36" s="990">
        <v>11.992273045882486</v>
      </c>
    </row>
    <row r="37" spans="1:4">
      <c r="A37" s="988">
        <v>10790</v>
      </c>
      <c r="B37" s="988">
        <v>13.465995517585871</v>
      </c>
      <c r="C37" s="988">
        <v>15.0105</v>
      </c>
      <c r="D37" s="990">
        <v>11.986100964513065</v>
      </c>
    </row>
    <row r="38" spans="1:4">
      <c r="A38" s="988">
        <v>10795</v>
      </c>
      <c r="B38" s="988">
        <v>13.61698156186478</v>
      </c>
      <c r="C38" s="988">
        <v>14.9625</v>
      </c>
      <c r="D38" s="990">
        <v>11.979327613413572</v>
      </c>
    </row>
    <row r="39" spans="1:4">
      <c r="A39" s="988">
        <v>10800</v>
      </c>
      <c r="B39" s="988">
        <v>13.774038891206862</v>
      </c>
      <c r="C39" s="988">
        <v>14.9085</v>
      </c>
      <c r="D39" s="990">
        <v>11.971953894007045</v>
      </c>
    </row>
    <row r="40" spans="1:4">
      <c r="A40" s="988">
        <v>10805</v>
      </c>
      <c r="B40" s="988">
        <v>13.936960957027583</v>
      </c>
      <c r="C40" s="988">
        <v>14.86</v>
      </c>
      <c r="D40" s="990">
        <v>11.96397979122098</v>
      </c>
    </row>
    <row r="41" spans="1:4">
      <c r="A41" s="988">
        <v>10810</v>
      </c>
      <c r="B41" s="988">
        <v>14.105546079255815</v>
      </c>
      <c r="C41" s="988">
        <v>14.8055</v>
      </c>
      <c r="D41" s="990">
        <v>11.955405049813724</v>
      </c>
    </row>
    <row r="42" spans="1:4">
      <c r="A42" s="988">
        <v>10815</v>
      </c>
      <c r="B42" s="988">
        <v>14.279590943085367</v>
      </c>
      <c r="C42" s="988">
        <v>14.7165</v>
      </c>
      <c r="D42" s="990">
        <v>11.946230489462465</v>
      </c>
    </row>
    <row r="43" spans="1:4">
      <c r="A43" s="988">
        <v>10820</v>
      </c>
      <c r="B43" s="988">
        <v>14.458899190063663</v>
      </c>
      <c r="C43" s="988">
        <v>14.6585</v>
      </c>
      <c r="D43" s="990">
        <v>11.936454674813575</v>
      </c>
    </row>
    <row r="44" spans="1:4">
      <c r="A44" s="988">
        <v>10825</v>
      </c>
      <c r="B44" s="988">
        <v>14.6413376909519</v>
      </c>
      <c r="C44" s="988">
        <v>14.615499999999999</v>
      </c>
      <c r="D44" s="990">
        <v>11.927754253654378</v>
      </c>
    </row>
    <row r="45" spans="1:4">
      <c r="A45" s="988">
        <v>10830</v>
      </c>
      <c r="B45" s="988">
        <v>14.80307505333562</v>
      </c>
      <c r="C45" s="988">
        <v>14.545999999999999</v>
      </c>
      <c r="D45" s="990">
        <v>11.938690989934196</v>
      </c>
    </row>
    <row r="46" spans="1:4">
      <c r="A46" s="988">
        <v>10835</v>
      </c>
      <c r="B46" s="988">
        <v>14.911289766149757</v>
      </c>
      <c r="C46" s="988">
        <v>14.4815</v>
      </c>
      <c r="D46" s="990">
        <v>11.962909192636911</v>
      </c>
    </row>
    <row r="47" spans="1:4">
      <c r="A47" s="988">
        <v>10840</v>
      </c>
      <c r="B47" s="988">
        <v>14.958510864050034</v>
      </c>
      <c r="C47" s="988">
        <v>14.423999999999999</v>
      </c>
      <c r="D47" s="990">
        <v>11.990125161222123</v>
      </c>
    </row>
    <row r="48" spans="1:4">
      <c r="A48" s="988">
        <v>10845</v>
      </c>
      <c r="B48" s="988">
        <v>14.966601411310437</v>
      </c>
      <c r="C48" s="988">
        <v>14.372</v>
      </c>
      <c r="D48" s="990">
        <v>11.999726461280908</v>
      </c>
    </row>
    <row r="49" spans="1:4">
      <c r="A49" s="988">
        <v>10850</v>
      </c>
      <c r="B49" s="988">
        <v>14.966596783152015</v>
      </c>
      <c r="C49" s="988">
        <v>14.324999999999999</v>
      </c>
      <c r="D49" s="990">
        <v>11.999721855241795</v>
      </c>
    </row>
    <row r="50" spans="1:4">
      <c r="A50" s="988">
        <v>10855</v>
      </c>
      <c r="B50" s="988">
        <v>14.967009916393911</v>
      </c>
      <c r="C50" s="988">
        <v>14.284500000000001</v>
      </c>
      <c r="D50" s="990">
        <v>11.999284095107198</v>
      </c>
    </row>
    <row r="51" spans="1:4">
      <c r="A51" s="988">
        <v>10860</v>
      </c>
      <c r="B51" s="988">
        <v>14.983235530141364</v>
      </c>
      <c r="C51" s="988">
        <v>14.248000000000001</v>
      </c>
      <c r="D51" s="990">
        <v>11.984115883339349</v>
      </c>
    </row>
    <row r="52" spans="1:4">
      <c r="A52" s="988">
        <v>10865</v>
      </c>
      <c r="B52" s="988">
        <v>15.047641166298657</v>
      </c>
      <c r="C52" s="988">
        <v>14.195999999999998</v>
      </c>
      <c r="D52" s="990">
        <v>11.952102220800358</v>
      </c>
    </row>
    <row r="53" spans="1:4">
      <c r="A53" s="988">
        <v>10870</v>
      </c>
      <c r="B53" s="988">
        <v>15.174438316030191</v>
      </c>
      <c r="C53" s="988">
        <v>14.1645</v>
      </c>
      <c r="D53" s="990">
        <v>11.916493687724957</v>
      </c>
    </row>
    <row r="54" spans="1:4">
      <c r="A54" s="988">
        <v>10875</v>
      </c>
      <c r="B54" s="988">
        <v>15.349538893187209</v>
      </c>
      <c r="C54" s="988">
        <v>14.16</v>
      </c>
      <c r="D54" s="990">
        <v>11.890812646881937</v>
      </c>
    </row>
    <row r="55" spans="1:4">
      <c r="A55" s="988">
        <v>10880</v>
      </c>
      <c r="B55" s="988">
        <v>15.541995516906749</v>
      </c>
      <c r="C55" s="988">
        <v>14.1425</v>
      </c>
      <c r="D55" s="990">
        <v>11.8789567021106</v>
      </c>
    </row>
    <row r="56" spans="1:4">
      <c r="A56" s="988">
        <v>10885</v>
      </c>
      <c r="B56" s="988">
        <v>15.738327953319988</v>
      </c>
      <c r="C56" s="988">
        <v>14.1105</v>
      </c>
      <c r="D56" s="990">
        <v>11.866958225276806</v>
      </c>
    </row>
    <row r="57" spans="1:4">
      <c r="A57" s="988">
        <v>10890</v>
      </c>
      <c r="B57" s="988">
        <v>15.9381207112682</v>
      </c>
      <c r="C57" s="988">
        <v>14.089</v>
      </c>
      <c r="D57" s="990">
        <v>11.854465509535707</v>
      </c>
    </row>
    <row r="58" spans="1:4">
      <c r="A58" s="988">
        <v>10895</v>
      </c>
      <c r="B58" s="988">
        <v>16.14124401413526</v>
      </c>
      <c r="C58" s="988">
        <v>14.063500000000001</v>
      </c>
      <c r="D58" s="990">
        <v>11.84147730659152</v>
      </c>
    </row>
    <row r="59" spans="1:4">
      <c r="A59" s="988">
        <v>10900</v>
      </c>
      <c r="B59" s="988">
        <v>16.347575691744062</v>
      </c>
      <c r="C59" s="988">
        <v>14.027999999999999</v>
      </c>
      <c r="D59" s="990">
        <v>11.82799303029778</v>
      </c>
    </row>
    <row r="60" spans="1:4">
      <c r="A60" s="988">
        <v>10905</v>
      </c>
      <c r="B60" s="988">
        <v>16.556993216386477</v>
      </c>
      <c r="C60" s="988">
        <v>14.0075</v>
      </c>
      <c r="D60" s="990">
        <v>11.814015031535909</v>
      </c>
    </row>
    <row r="61" spans="1:4">
      <c r="A61" s="988">
        <v>10910</v>
      </c>
      <c r="B61" s="988">
        <v>16.769380424266579</v>
      </c>
      <c r="C61" s="988">
        <v>14.004000000000001</v>
      </c>
      <c r="D61" s="990">
        <v>11.7995415122694</v>
      </c>
    </row>
    <row r="62" spans="1:4">
      <c r="A62" s="988">
        <v>10915</v>
      </c>
      <c r="B62" s="988">
        <v>16.984626182081641</v>
      </c>
      <c r="C62" s="988">
        <v>14.026</v>
      </c>
      <c r="D62" s="990">
        <v>11.78457412270188</v>
      </c>
    </row>
    <row r="63" spans="1:4">
      <c r="A63" s="988">
        <v>10920</v>
      </c>
      <c r="B63" s="988">
        <v>17.20262248835397</v>
      </c>
      <c r="C63" s="988">
        <v>14.055</v>
      </c>
      <c r="D63" s="990">
        <v>11.76911011947424</v>
      </c>
    </row>
    <row r="64" spans="1:4">
      <c r="A64" s="988">
        <v>10925</v>
      </c>
      <c r="B64" s="988">
        <v>17.423266425085899</v>
      </c>
      <c r="C64" s="988">
        <v>14.055499999999999</v>
      </c>
      <c r="D64" s="990">
        <v>11.753151192635535</v>
      </c>
    </row>
    <row r="65" spans="1:4">
      <c r="A65" s="988">
        <v>10930</v>
      </c>
      <c r="B65" s="988">
        <v>17.646455333972419</v>
      </c>
      <c r="C65" s="988">
        <v>14.07</v>
      </c>
      <c r="D65" s="990">
        <v>11.736698913827126</v>
      </c>
    </row>
    <row r="66" spans="1:4">
      <c r="A66" s="988">
        <v>10935</v>
      </c>
      <c r="B66" s="988">
        <v>17.872096278506358</v>
      </c>
      <c r="C66" s="988">
        <v>14.0755</v>
      </c>
      <c r="D66" s="990">
        <v>11.719750298263246</v>
      </c>
    </row>
    <row r="67" spans="1:4">
      <c r="A67" s="988">
        <v>10940</v>
      </c>
      <c r="B67" s="988">
        <v>18.100096541359967</v>
      </c>
      <c r="C67" s="988">
        <v>14.09</v>
      </c>
      <c r="D67" s="990">
        <v>11.702307195853205</v>
      </c>
    </row>
    <row r="68" spans="1:4">
      <c r="A68" s="988">
        <v>10945</v>
      </c>
      <c r="B68" s="988">
        <v>18.330364997648264</v>
      </c>
      <c r="C68" s="988">
        <v>14.095500000000001</v>
      </c>
      <c r="D68" s="990">
        <v>11.684370213825634</v>
      </c>
    </row>
    <row r="69" spans="1:4">
      <c r="A69" s="988">
        <v>10950</v>
      </c>
      <c r="B69" s="988">
        <v>18.562819473637525</v>
      </c>
      <c r="C69" s="988">
        <v>14.1495</v>
      </c>
      <c r="D69" s="990">
        <v>11.665937600986767</v>
      </c>
    </row>
    <row r="70" spans="1:4">
      <c r="A70" s="988">
        <v>10955</v>
      </c>
      <c r="B70" s="988">
        <v>18.797377178742959</v>
      </c>
      <c r="C70" s="988">
        <v>14.147500000000001</v>
      </c>
      <c r="D70" s="990">
        <v>11.647011340944566</v>
      </c>
    </row>
    <row r="71" spans="1:4">
      <c r="A71" s="988">
        <v>10960</v>
      </c>
      <c r="B71" s="988">
        <v>19.033960143927128</v>
      </c>
      <c r="C71" s="988">
        <v>14.1435</v>
      </c>
      <c r="D71" s="990">
        <v>11.62759041945006</v>
      </c>
    </row>
    <row r="72" spans="1:4">
      <c r="A72" s="988">
        <v>10965</v>
      </c>
      <c r="B72" s="988">
        <v>19.272492484944582</v>
      </c>
      <c r="C72" s="988">
        <v>14.1195</v>
      </c>
      <c r="D72" s="990">
        <v>11.607672972710155</v>
      </c>
    </row>
    <row r="73" spans="1:4">
      <c r="A73" s="988">
        <v>10970</v>
      </c>
      <c r="B73" s="988">
        <v>19.512902702804354</v>
      </c>
      <c r="C73" s="988">
        <v>14.1435</v>
      </c>
      <c r="D73" s="990">
        <v>11.587264174824876</v>
      </c>
    </row>
    <row r="74" spans="1:4">
      <c r="A74" s="988">
        <v>10975</v>
      </c>
      <c r="B74" s="988">
        <v>19.75512053045253</v>
      </c>
      <c r="C74" s="988">
        <v>14.195</v>
      </c>
      <c r="D74" s="990">
        <v>11.566359521002138</v>
      </c>
    </row>
    <row r="75" spans="1:4">
      <c r="A75" s="988">
        <v>10980</v>
      </c>
      <c r="B75" s="988">
        <v>19.999078532810014</v>
      </c>
      <c r="C75" s="988">
        <v>14.225999999999999</v>
      </c>
      <c r="D75" s="990">
        <v>11.544973048513736</v>
      </c>
    </row>
    <row r="76" spans="1:4">
      <c r="A76" s="988">
        <v>10985</v>
      </c>
      <c r="B76" s="988">
        <v>20.239290038495348</v>
      </c>
      <c r="C76" s="988">
        <v>14.2605</v>
      </c>
      <c r="D76" s="990">
        <v>11.545396188429757</v>
      </c>
    </row>
    <row r="77" spans="1:4">
      <c r="A77" s="988">
        <v>10990</v>
      </c>
      <c r="B77" s="988">
        <v>20.453960922252111</v>
      </c>
      <c r="C77" s="988">
        <v>14.300999999999998</v>
      </c>
      <c r="D77" s="990">
        <v>11.628179964948606</v>
      </c>
    </row>
    <row r="78" spans="1:4">
      <c r="A78" s="988">
        <v>10995</v>
      </c>
      <c r="B78" s="988">
        <v>20.61806229604748</v>
      </c>
      <c r="C78" s="988">
        <v>14.331</v>
      </c>
      <c r="D78" s="990">
        <v>11.772479038058561</v>
      </c>
    </row>
    <row r="79" spans="1:4">
      <c r="A79" s="988">
        <v>11000</v>
      </c>
      <c r="B79" s="988">
        <v>20.713340725676275</v>
      </c>
      <c r="C79" s="988">
        <v>14.378500000000001</v>
      </c>
      <c r="D79" s="990">
        <v>11.916576378490305</v>
      </c>
    </row>
    <row r="80" spans="1:4">
      <c r="A80" s="988">
        <v>11005</v>
      </c>
      <c r="B80" s="988">
        <v>20.752971580215025</v>
      </c>
      <c r="C80" s="988">
        <v>14.431000000000001</v>
      </c>
      <c r="D80" s="990">
        <v>11.984615081219721</v>
      </c>
    </row>
    <row r="81" spans="1:4">
      <c r="A81" s="988">
        <v>11010</v>
      </c>
      <c r="B81" s="988">
        <v>20.761487359097998</v>
      </c>
      <c r="C81" s="988">
        <v>14.48</v>
      </c>
      <c r="D81" s="990">
        <v>11.999308896479564</v>
      </c>
    </row>
    <row r="82" spans="1:4">
      <c r="A82" s="988">
        <v>11015</v>
      </c>
      <c r="B82" s="988">
        <v>20.761590736617507</v>
      </c>
      <c r="C82" s="988">
        <v>14.5105</v>
      </c>
      <c r="D82" s="990">
        <v>11.999486115159778</v>
      </c>
    </row>
    <row r="83" spans="1:4">
      <c r="A83" s="988">
        <v>11020</v>
      </c>
      <c r="B83" s="988">
        <v>20.761593478028789</v>
      </c>
      <c r="C83" s="988">
        <v>14.559999999999999</v>
      </c>
      <c r="D83" s="990">
        <v>11.999495058637434</v>
      </c>
    </row>
    <row r="84" spans="1:4">
      <c r="A84" s="988">
        <v>11025</v>
      </c>
      <c r="B84" s="988">
        <v>20.761596414484387</v>
      </c>
      <c r="C84" s="988">
        <v>14.593999999999999</v>
      </c>
      <c r="D84" s="990">
        <v>11.999497345264592</v>
      </c>
    </row>
    <row r="85" spans="1:4">
      <c r="A85" s="988">
        <v>11030</v>
      </c>
      <c r="B85" s="988">
        <v>20.761599155954134</v>
      </c>
      <c r="C85" s="988">
        <v>14.620000000000001</v>
      </c>
      <c r="D85" s="990">
        <v>11.999504907476465</v>
      </c>
    </row>
    <row r="86" spans="1:4">
      <c r="A86" s="988">
        <v>11035</v>
      </c>
      <c r="B86" s="988">
        <v>20.761603073223732</v>
      </c>
      <c r="C86" s="988">
        <v>14.663499999999999</v>
      </c>
      <c r="D86" s="990">
        <v>11.999506220139132</v>
      </c>
    </row>
    <row r="87" spans="1:4">
      <c r="A87" s="988">
        <v>11040</v>
      </c>
      <c r="B87" s="988">
        <v>20.761596609448361</v>
      </c>
      <c r="C87" s="988">
        <v>14.6755</v>
      </c>
      <c r="D87" s="990">
        <v>11.999549865483617</v>
      </c>
    </row>
    <row r="88" spans="1:4">
      <c r="A88" s="988">
        <v>11045</v>
      </c>
      <c r="B88" s="988">
        <v>20.759759268449752</v>
      </c>
      <c r="C88" s="988">
        <v>14.727999999999998</v>
      </c>
      <c r="D88" s="990">
        <v>12.007102048908449</v>
      </c>
    </row>
    <row r="89" spans="1:4">
      <c r="A89" s="988">
        <v>11050</v>
      </c>
      <c r="B89" s="988">
        <v>20.750180713760205</v>
      </c>
      <c r="C89" s="988">
        <v>14.8125</v>
      </c>
      <c r="D89" s="990">
        <v>12.035791205653897</v>
      </c>
    </row>
    <row r="90" spans="1:4">
      <c r="A90" s="988">
        <v>11055</v>
      </c>
      <c r="B90" s="988">
        <v>20.728239859641619</v>
      </c>
      <c r="C90" s="988">
        <v>14.883000000000003</v>
      </c>
      <c r="D90" s="990">
        <v>12.080770513119603</v>
      </c>
    </row>
    <row r="91" spans="1:4">
      <c r="A91" s="988">
        <v>11060</v>
      </c>
      <c r="B91" s="988">
        <v>20.69630514764668</v>
      </c>
      <c r="C91" s="988">
        <v>14.9495</v>
      </c>
      <c r="D91" s="990">
        <v>12.139730079434775</v>
      </c>
    </row>
    <row r="92" spans="1:4">
      <c r="A92" s="988">
        <v>11065</v>
      </c>
      <c r="B92" s="988">
        <v>20.662283458953119</v>
      </c>
      <c r="C92" s="988">
        <v>15.06</v>
      </c>
      <c r="D92" s="990">
        <v>12.201162545886046</v>
      </c>
    </row>
    <row r="93" spans="1:4">
      <c r="A93" s="988">
        <v>11070</v>
      </c>
      <c r="B93" s="988">
        <v>20.634271325032717</v>
      </c>
      <c r="C93" s="988">
        <v>15.166</v>
      </c>
      <c r="D93" s="990">
        <v>12.272599496007008</v>
      </c>
    </row>
    <row r="94" spans="1:4">
      <c r="A94" s="988">
        <v>11075</v>
      </c>
      <c r="B94" s="988">
        <v>20.614521905495476</v>
      </c>
      <c r="C94" s="988">
        <v>15.287500000000001</v>
      </c>
      <c r="D94" s="990">
        <v>12.357695184374519</v>
      </c>
    </row>
    <row r="95" spans="1:4">
      <c r="A95" s="988">
        <v>11080</v>
      </c>
      <c r="B95" s="988">
        <v>20.603192863073499</v>
      </c>
      <c r="C95" s="988">
        <v>15.397499999999997</v>
      </c>
      <c r="D95" s="990">
        <v>12.456445390973267</v>
      </c>
    </row>
    <row r="96" spans="1:4">
      <c r="A96" s="988">
        <v>11085</v>
      </c>
      <c r="B96" s="988">
        <v>20.600453955043012</v>
      </c>
      <c r="C96" s="988">
        <v>15.547499999999999</v>
      </c>
      <c r="D96" s="990">
        <v>12.568847185143296</v>
      </c>
    </row>
    <row r="97" spans="1:4">
      <c r="A97" s="988">
        <v>11090</v>
      </c>
      <c r="B97" s="988">
        <v>20.606494137572412</v>
      </c>
      <c r="C97" s="988">
        <v>15.61</v>
      </c>
      <c r="D97" s="990">
        <v>12.694891573190798</v>
      </c>
    </row>
    <row r="98" spans="1:4">
      <c r="A98" s="988">
        <v>11095</v>
      </c>
      <c r="B98" s="988">
        <v>20.621518448667377</v>
      </c>
      <c r="C98" s="988">
        <v>15.778500000000001</v>
      </c>
      <c r="D98" s="990">
        <v>12.834573814229325</v>
      </c>
    </row>
    <row r="99" spans="1:4">
      <c r="A99" s="988">
        <v>11100</v>
      </c>
      <c r="B99" s="988">
        <v>20.645746547966429</v>
      </c>
      <c r="C99" s="988">
        <v>15.875999999999998</v>
      </c>
      <c r="D99" s="990">
        <v>12.987888257325086</v>
      </c>
    </row>
    <row r="100" spans="1:4">
      <c r="A100" s="988">
        <v>11105</v>
      </c>
      <c r="B100" s="988">
        <v>20.679412238710892</v>
      </c>
      <c r="C100" s="988">
        <v>15.977499999999999</v>
      </c>
      <c r="D100" s="990">
        <v>13.154827229373446</v>
      </c>
    </row>
    <row r="101" spans="1:4">
      <c r="A101" s="988">
        <v>11110</v>
      </c>
      <c r="B101" s="988">
        <v>20.722765675129871</v>
      </c>
      <c r="C101" s="988">
        <v>16.071499999999997</v>
      </c>
      <c r="D101" s="990">
        <v>13.335383810595479</v>
      </c>
    </row>
    <row r="102" spans="1:4">
      <c r="A102" s="988">
        <v>11115</v>
      </c>
      <c r="B102" s="988">
        <v>20.776066745136966</v>
      </c>
      <c r="C102" s="988">
        <v>16.191499999999998</v>
      </c>
      <c r="D102" s="990">
        <v>13.529548779400923</v>
      </c>
    </row>
    <row r="103" spans="1:4">
      <c r="A103" s="988">
        <v>11120</v>
      </c>
      <c r="B103" s="988">
        <v>20.8395843653349</v>
      </c>
      <c r="C103" s="988">
        <v>16.339000000000002</v>
      </c>
      <c r="D103" s="990">
        <v>13.73731323758202</v>
      </c>
    </row>
    <row r="104" spans="1:4">
      <c r="A104" s="988">
        <v>11125</v>
      </c>
      <c r="B104" s="988">
        <v>20.913598892201616</v>
      </c>
      <c r="C104" s="988">
        <v>16.456500000000002</v>
      </c>
      <c r="D104" s="990">
        <v>13.958667783976301</v>
      </c>
    </row>
    <row r="105" spans="1:4">
      <c r="A105" s="988">
        <v>11130</v>
      </c>
      <c r="B105" s="988">
        <v>20.998398837479886</v>
      </c>
      <c r="C105" s="988">
        <v>16.587500000000002</v>
      </c>
      <c r="D105" s="990">
        <v>14.193604201457239</v>
      </c>
    </row>
    <row r="106" spans="1:4">
      <c r="A106" s="988">
        <v>11135</v>
      </c>
      <c r="B106" s="988">
        <v>21.094266528722496</v>
      </c>
      <c r="C106" s="988">
        <v>16.718499999999999</v>
      </c>
      <c r="D106" s="990">
        <v>14.442098885006841</v>
      </c>
    </row>
    <row r="107" spans="1:4">
      <c r="A107" s="988">
        <v>11140</v>
      </c>
      <c r="B107" s="988">
        <v>21.198527626163319</v>
      </c>
      <c r="C107" s="988">
        <v>16.831499999999998</v>
      </c>
      <c r="D107" s="990">
        <v>14.699994877739964</v>
      </c>
    </row>
    <row r="108" spans="1:4">
      <c r="A108" s="988">
        <v>11145</v>
      </c>
      <c r="B108" s="988">
        <v>21.301148131875955</v>
      </c>
      <c r="C108" s="988">
        <v>16.947500000000002</v>
      </c>
      <c r="D108" s="990">
        <v>14.953133281068325</v>
      </c>
    </row>
    <row r="109" spans="1:4">
      <c r="A109" s="988">
        <v>11150</v>
      </c>
      <c r="B109" s="988">
        <v>21.390645977511252</v>
      </c>
      <c r="C109" s="988">
        <v>3.9415000000000004</v>
      </c>
      <c r="D109" s="990">
        <v>15.185894233330883</v>
      </c>
    </row>
    <row r="110" spans="1:4">
      <c r="A110" s="988">
        <v>11155</v>
      </c>
      <c r="B110" s="988">
        <v>21.457030584185496</v>
      </c>
      <c r="C110" s="988">
        <v>4.0270000000000001</v>
      </c>
      <c r="D110" s="990">
        <v>15.385016699792361</v>
      </c>
    </row>
    <row r="111" spans="1:4">
      <c r="A111" s="988">
        <v>11160</v>
      </c>
      <c r="B111" s="988">
        <v>21.49804483982664</v>
      </c>
      <c r="C111" s="988">
        <v>4.113500000000001</v>
      </c>
      <c r="D111" s="990">
        <v>15.547117513346391</v>
      </c>
    </row>
    <row r="112" spans="1:4">
      <c r="A112" s="988">
        <v>11165</v>
      </c>
      <c r="B112" s="988">
        <v>21.517607149101551</v>
      </c>
      <c r="C112" s="988">
        <v>17.3325</v>
      </c>
      <c r="D112" s="990">
        <v>15.661694191179675</v>
      </c>
    </row>
    <row r="113" spans="1:4">
      <c r="A113" s="988">
        <v>11170</v>
      </c>
      <c r="B113" s="988">
        <v>21.523558346565945</v>
      </c>
      <c r="C113" s="988">
        <v>17.417999999999999</v>
      </c>
      <c r="D113" s="990">
        <v>15.72485946143361</v>
      </c>
    </row>
    <row r="114" spans="1:4">
      <c r="A114" s="988">
        <v>11175</v>
      </c>
      <c r="B114" s="988">
        <v>21.5239668511954</v>
      </c>
      <c r="C114" s="988">
        <v>17.529499999999999</v>
      </c>
      <c r="D114" s="990">
        <v>15.747689302024973</v>
      </c>
    </row>
    <row r="115" spans="1:4">
      <c r="A115" s="988">
        <v>11180</v>
      </c>
      <c r="B115" s="988">
        <v>21.523957971307041</v>
      </c>
      <c r="C115" s="988">
        <v>17.613</v>
      </c>
      <c r="D115" s="990">
        <v>15.749351209754522</v>
      </c>
    </row>
    <row r="116" spans="1:4">
      <c r="A116" s="988">
        <v>11185</v>
      </c>
      <c r="B116" s="988">
        <v>21.52395080833718</v>
      </c>
      <c r="C116" s="988">
        <v>4.5254999999999992</v>
      </c>
      <c r="D116" s="990">
        <v>15.749338486909016</v>
      </c>
    </row>
    <row r="117" spans="1:4">
      <c r="A117" s="988">
        <v>11190</v>
      </c>
      <c r="B117" s="988">
        <v>21.523941928455642</v>
      </c>
      <c r="C117" s="988">
        <v>4.6030000000000015</v>
      </c>
      <c r="D117" s="990">
        <v>15.749328744893663</v>
      </c>
    </row>
    <row r="118" spans="1:4">
      <c r="A118" s="988">
        <v>11195</v>
      </c>
      <c r="B118" s="988">
        <v>21.523934021880567</v>
      </c>
      <c r="C118" s="988">
        <v>4.6735000000000007</v>
      </c>
      <c r="D118" s="990">
        <v>15.749316298065089</v>
      </c>
    </row>
    <row r="119" spans="1:4">
      <c r="A119" s="988">
        <v>11200</v>
      </c>
      <c r="B119" s="988">
        <v>21.523925885614155</v>
      </c>
      <c r="C119" s="988">
        <v>4.7384999999999984</v>
      </c>
      <c r="D119" s="990">
        <v>15.749306280255109</v>
      </c>
    </row>
    <row r="120" spans="1:4">
      <c r="A120" s="988">
        <v>11205</v>
      </c>
      <c r="B120" s="988">
        <v>21.523917979017739</v>
      </c>
      <c r="C120" s="988">
        <v>4.8140000000000009</v>
      </c>
      <c r="D120" s="990">
        <v>15.74929383326532</v>
      </c>
    </row>
    <row r="121" spans="1:4">
      <c r="A121" s="988">
        <v>11210</v>
      </c>
      <c r="B121" s="988">
        <v>21.523909099144667</v>
      </c>
      <c r="C121" s="988">
        <v>4.8860000000000001</v>
      </c>
      <c r="D121" s="990">
        <v>15.74928409141283</v>
      </c>
    </row>
    <row r="122" spans="1:4">
      <c r="A122" s="988">
        <v>11215</v>
      </c>
      <c r="B122" s="988">
        <v>21.523901192579977</v>
      </c>
      <c r="C122" s="988">
        <v>4.950499999999999</v>
      </c>
      <c r="D122" s="990">
        <v>15.749271644518187</v>
      </c>
    </row>
    <row r="123" spans="1:4">
      <c r="A123" s="988">
        <v>11220</v>
      </c>
      <c r="B123" s="988">
        <v>21.523894029576343</v>
      </c>
      <c r="C123" s="988">
        <v>5.0175000000000001</v>
      </c>
      <c r="D123" s="990">
        <v>15.74926055198368</v>
      </c>
    </row>
    <row r="124" spans="1:4">
      <c r="A124" s="988">
        <v>11225</v>
      </c>
      <c r="B124" s="988">
        <v>21.523885149739279</v>
      </c>
      <c r="C124" s="988">
        <v>5.1019999999999985</v>
      </c>
      <c r="D124" s="990">
        <v>15.749250809974114</v>
      </c>
    </row>
    <row r="125" spans="1:4">
      <c r="A125" s="988">
        <v>11230</v>
      </c>
      <c r="B125" s="988">
        <v>21.523877243155777</v>
      </c>
      <c r="C125" s="988">
        <v>5.1820000000000004</v>
      </c>
      <c r="D125" s="990">
        <v>15.749238363042961</v>
      </c>
    </row>
    <row r="126" spans="1:4">
      <c r="A126" s="988">
        <v>11235</v>
      </c>
      <c r="B126" s="988">
        <v>21.523869336573217</v>
      </c>
      <c r="C126" s="988">
        <v>5.2535000000000007</v>
      </c>
      <c r="D126" s="990">
        <v>15.749229176687571</v>
      </c>
    </row>
    <row r="127" spans="1:4">
      <c r="A127" s="988">
        <v>11240</v>
      </c>
      <c r="B127" s="988">
        <v>21.52386120035872</v>
      </c>
      <c r="C127" s="988">
        <v>5.3305000000000007</v>
      </c>
      <c r="D127" s="990">
        <v>15.749215898339983</v>
      </c>
    </row>
    <row r="128" spans="1:4">
      <c r="A128" s="988">
        <v>11245</v>
      </c>
      <c r="B128" s="988">
        <v>21.523852550139122</v>
      </c>
      <c r="C128" s="988">
        <v>5.3904999999999994</v>
      </c>
      <c r="D128" s="990">
        <v>15.749204548177987</v>
      </c>
    </row>
    <row r="129" spans="1:4">
      <c r="A129" s="988">
        <v>11250</v>
      </c>
      <c r="B129" s="988">
        <v>21.52384464362073</v>
      </c>
      <c r="C129" s="988">
        <v>18.783000000000001</v>
      </c>
      <c r="D129" s="990">
        <v>15.749194540882169</v>
      </c>
    </row>
    <row r="130" spans="1:4">
      <c r="A130" s="988">
        <v>11255</v>
      </c>
      <c r="B130" s="988">
        <v>21.523837710326532</v>
      </c>
      <c r="C130" s="988">
        <v>18.837</v>
      </c>
      <c r="D130" s="990">
        <v>15.749184279859282</v>
      </c>
    </row>
    <row r="131" spans="1:4">
      <c r="A131" s="988">
        <v>11260</v>
      </c>
      <c r="B131" s="988">
        <v>21.523828600790029</v>
      </c>
      <c r="C131" s="988">
        <v>18.875</v>
      </c>
      <c r="D131" s="990">
        <v>15.74917370637254</v>
      </c>
    </row>
    <row r="132" spans="1:4">
      <c r="A132" s="988">
        <v>11265</v>
      </c>
      <c r="B132" s="988">
        <v>21.523820694251238</v>
      </c>
      <c r="C132" s="988">
        <v>18.910499999999999</v>
      </c>
      <c r="D132" s="990">
        <v>15.749161259469698</v>
      </c>
    </row>
    <row r="133" spans="1:4">
      <c r="A133" s="988">
        <v>11270</v>
      </c>
      <c r="B133" s="988">
        <v>21.523812787686651</v>
      </c>
      <c r="C133" s="988">
        <v>18.935499999999998</v>
      </c>
      <c r="D133" s="990">
        <v>15.749152073216825</v>
      </c>
    </row>
    <row r="134" spans="1:4">
      <c r="A134" s="988">
        <v>11275</v>
      </c>
      <c r="B134" s="988">
        <v>21.523804651465763</v>
      </c>
      <c r="C134" s="988">
        <v>18.941000000000003</v>
      </c>
      <c r="D134" s="990">
        <v>15.74913879476672</v>
      </c>
    </row>
    <row r="135" spans="1:4">
      <c r="A135" s="988">
        <v>11280</v>
      </c>
      <c r="B135" s="988">
        <v>21.523795771629437</v>
      </c>
      <c r="C135" s="988">
        <v>18.954000000000001</v>
      </c>
      <c r="D135" s="990">
        <v>15.749129052949629</v>
      </c>
    </row>
    <row r="136" spans="1:4">
      <c r="A136" s="988">
        <v>11285</v>
      </c>
      <c r="B136" s="988">
        <v>21.523078407251717</v>
      </c>
      <c r="C136" s="988">
        <v>18.983000000000001</v>
      </c>
      <c r="D136" s="990">
        <v>15.750990138434849</v>
      </c>
    </row>
    <row r="137" spans="1:4">
      <c r="A137" s="988">
        <v>11290</v>
      </c>
      <c r="B137" s="988">
        <v>21.517177850834408</v>
      </c>
      <c r="C137" s="988">
        <v>18.959000000000003</v>
      </c>
      <c r="D137" s="990">
        <v>15.763686607200368</v>
      </c>
    </row>
    <row r="138" spans="1:4">
      <c r="A138" s="988">
        <v>11295</v>
      </c>
      <c r="B138" s="988">
        <v>21.500355402607635</v>
      </c>
      <c r="C138" s="988">
        <v>18.944499999999998</v>
      </c>
      <c r="D138" s="990">
        <v>15.78428342198632</v>
      </c>
    </row>
    <row r="139" spans="1:4">
      <c r="A139" s="988">
        <v>11300</v>
      </c>
      <c r="B139" s="988">
        <v>21.466856647350273</v>
      </c>
      <c r="C139" s="988">
        <v>18.97</v>
      </c>
      <c r="D139" s="990">
        <v>15.804753966145777</v>
      </c>
    </row>
    <row r="140" spans="1:4">
      <c r="A140" s="988">
        <v>11305</v>
      </c>
      <c r="B140" s="988">
        <v>21.410909625037313</v>
      </c>
      <c r="C140" s="988">
        <v>19.087499999999999</v>
      </c>
      <c r="D140" s="990">
        <v>15.816955874813468</v>
      </c>
    </row>
    <row r="141" spans="1:4">
      <c r="A141" s="988">
        <v>11310</v>
      </c>
      <c r="B141" s="988">
        <v>21.326891972282223</v>
      </c>
      <c r="C141" s="988">
        <v>19.105</v>
      </c>
      <c r="D141" s="990">
        <v>15.812819561953006</v>
      </c>
    </row>
    <row r="142" spans="1:4">
      <c r="A142" s="988">
        <v>11315</v>
      </c>
      <c r="B142" s="988">
        <v>21.217184973181602</v>
      </c>
      <c r="C142" s="988">
        <v>19.104500000000002</v>
      </c>
      <c r="D142" s="990">
        <v>15.795184811266061</v>
      </c>
    </row>
    <row r="143" spans="1:4">
      <c r="A143" s="988">
        <v>11320</v>
      </c>
      <c r="B143" s="988">
        <v>21.096116664519531</v>
      </c>
      <c r="C143" s="988">
        <v>19.125</v>
      </c>
      <c r="D143" s="990">
        <v>15.783314206532228</v>
      </c>
    </row>
    <row r="144" spans="1:4">
      <c r="A144" s="988">
        <v>11325</v>
      </c>
      <c r="B144" s="988">
        <v>20.974478976255085</v>
      </c>
      <c r="C144" s="988">
        <v>19.119</v>
      </c>
      <c r="D144" s="990">
        <v>15.788799596397688</v>
      </c>
    </row>
    <row r="145" spans="1:4">
      <c r="A145" s="988">
        <v>11330</v>
      </c>
      <c r="B145" s="988">
        <v>20.853226513766714</v>
      </c>
      <c r="C145" s="988">
        <v>19.110500000000002</v>
      </c>
      <c r="D145" s="990">
        <v>15.798203254863672</v>
      </c>
    </row>
    <row r="146" spans="1:4">
      <c r="A146" s="988">
        <v>11335</v>
      </c>
      <c r="B146" s="988">
        <v>20.732373271876398</v>
      </c>
      <c r="C146" s="988">
        <v>19.095500000000001</v>
      </c>
      <c r="D146" s="990">
        <v>15.806761043873248</v>
      </c>
    </row>
    <row r="147" spans="1:4">
      <c r="A147" s="988">
        <v>11340</v>
      </c>
      <c r="B147" s="988">
        <v>20.61193531885014</v>
      </c>
      <c r="C147" s="988">
        <v>19.049500000000002</v>
      </c>
      <c r="D147" s="990">
        <v>15.814475782726376</v>
      </c>
    </row>
    <row r="148" spans="1:4">
      <c r="A148" s="988">
        <v>11345</v>
      </c>
      <c r="B148" s="988">
        <v>20.491928461068792</v>
      </c>
      <c r="C148" s="988">
        <v>19.009500000000003</v>
      </c>
      <c r="D148" s="990">
        <v>15.821333996777419</v>
      </c>
    </row>
    <row r="149" spans="1:4">
      <c r="A149" s="988">
        <v>11350</v>
      </c>
      <c r="B149" s="988">
        <v>20.372370246509512</v>
      </c>
      <c r="C149" s="988">
        <v>18.945499999999999</v>
      </c>
      <c r="D149" s="990">
        <v>15.827345049198641</v>
      </c>
    </row>
    <row r="150" spans="1:4">
      <c r="A150" s="988">
        <v>11355</v>
      </c>
      <c r="B150" s="988">
        <v>20.253277188954307</v>
      </c>
      <c r="C150" s="988">
        <v>18.871000000000002</v>
      </c>
      <c r="D150" s="990">
        <v>15.832501299369339</v>
      </c>
    </row>
    <row r="151" spans="1:4">
      <c r="A151" s="988">
        <v>11360</v>
      </c>
      <c r="B151" s="988">
        <v>20.134664186463027</v>
      </c>
      <c r="C151" s="988">
        <v>18.801000000000002</v>
      </c>
      <c r="D151" s="990">
        <v>15.836803682081859</v>
      </c>
    </row>
    <row r="152" spans="1:4">
      <c r="A152" s="988">
        <v>11365</v>
      </c>
      <c r="B152" s="988">
        <v>20.016550612461682</v>
      </c>
      <c r="C152" s="988">
        <v>18.752500000000001</v>
      </c>
      <c r="D152" s="990">
        <v>15.840248135399039</v>
      </c>
    </row>
    <row r="153" spans="1:4">
      <c r="A153" s="988">
        <v>11370</v>
      </c>
      <c r="B153" s="988">
        <v>19.899142024374214</v>
      </c>
      <c r="C153" s="988">
        <v>18.6845</v>
      </c>
      <c r="D153" s="990">
        <v>15.842502979808005</v>
      </c>
    </row>
    <row r="154" spans="1:4">
      <c r="A154" s="988">
        <v>11375</v>
      </c>
      <c r="B154" s="988">
        <v>19.791637022277769</v>
      </c>
      <c r="C154" s="988">
        <v>18.611499999999999</v>
      </c>
      <c r="D154" s="990">
        <v>15.828435367330941</v>
      </c>
    </row>
    <row r="155" spans="1:4">
      <c r="A155" s="988">
        <v>11380</v>
      </c>
      <c r="B155" s="988">
        <v>19.715938986774738</v>
      </c>
      <c r="C155" s="988">
        <v>18.534500000000001</v>
      </c>
      <c r="D155" s="990">
        <v>15.78922961437077</v>
      </c>
    </row>
    <row r="156" spans="1:4">
      <c r="A156" s="988">
        <v>11385</v>
      </c>
      <c r="B156" s="988">
        <v>19.684223588688109</v>
      </c>
      <c r="C156" s="988">
        <v>18.4495</v>
      </c>
      <c r="D156" s="990">
        <v>15.755887584723569</v>
      </c>
    </row>
    <row r="157" spans="1:4">
      <c r="A157" s="988">
        <v>11390</v>
      </c>
      <c r="B157" s="988">
        <v>19.678689789415539</v>
      </c>
      <c r="C157" s="988">
        <v>18.368000000000002</v>
      </c>
      <c r="D157" s="990">
        <v>15.748968502308038</v>
      </c>
    </row>
    <row r="158" spans="1:4">
      <c r="A158" s="988">
        <v>11395</v>
      </c>
      <c r="B158" s="988">
        <v>19.678691920318016</v>
      </c>
      <c r="C158" s="988">
        <v>18.262</v>
      </c>
      <c r="D158" s="990">
        <v>15.748968967785279</v>
      </c>
    </row>
    <row r="159" spans="1:4">
      <c r="A159" s="988">
        <v>11400</v>
      </c>
      <c r="B159" s="988">
        <v>19.678700909366178</v>
      </c>
      <c r="C159" s="988">
        <v>18.147500000000001</v>
      </c>
      <c r="D159" s="990">
        <v>15.748981254838393</v>
      </c>
    </row>
    <row r="160" spans="1:4">
      <c r="A160" s="988">
        <v>11405</v>
      </c>
      <c r="B160" s="988">
        <v>19.67870922077898</v>
      </c>
      <c r="C160" s="988">
        <v>18.083500000000001</v>
      </c>
      <c r="D160" s="990">
        <v>15.748992541828192</v>
      </c>
    </row>
    <row r="161" spans="1:4">
      <c r="A161" s="988">
        <v>11410</v>
      </c>
      <c r="B161" s="988">
        <v>19.67871820980228</v>
      </c>
      <c r="C161" s="988">
        <v>17.9925</v>
      </c>
      <c r="D161" s="990">
        <v>15.74900318263979</v>
      </c>
    </row>
    <row r="162" spans="1:4">
      <c r="A162" s="988">
        <v>11415</v>
      </c>
      <c r="B162" s="988">
        <v>19.678726366063714</v>
      </c>
      <c r="C162" s="988">
        <v>17.887499999999999</v>
      </c>
      <c r="D162" s="990">
        <v>15.749013753163664</v>
      </c>
    </row>
    <row r="163" spans="1:4">
      <c r="A163" s="988">
        <v>11420</v>
      </c>
      <c r="B163" s="988">
        <v>19.678735510229554</v>
      </c>
      <c r="C163" s="988">
        <v>17.778500000000001</v>
      </c>
      <c r="D163" s="990">
        <v>15.749023419564971</v>
      </c>
    </row>
    <row r="164" spans="1:4">
      <c r="A164" s="988">
        <v>11425</v>
      </c>
      <c r="B164" s="988">
        <v>19.678743666542474</v>
      </c>
      <c r="C164" s="988">
        <v>17.669499999999999</v>
      </c>
      <c r="D164" s="990">
        <v>15.749037371692232</v>
      </c>
    </row>
    <row r="165" spans="1:4">
      <c r="A165" s="988">
        <v>11430</v>
      </c>
      <c r="B165" s="988">
        <v>19.678753798586062</v>
      </c>
      <c r="C165" s="988">
        <v>17.564999999999998</v>
      </c>
      <c r="D165" s="990">
        <v>15.749046044964432</v>
      </c>
    </row>
    <row r="166" spans="1:4">
      <c r="A166" s="988">
        <v>11435</v>
      </c>
      <c r="B166" s="988">
        <v>19.67876195487484</v>
      </c>
      <c r="C166" s="988">
        <v>17.461500000000001</v>
      </c>
      <c r="D166" s="990">
        <v>15.749058306319824</v>
      </c>
    </row>
    <row r="167" spans="1:4">
      <c r="A167" s="988">
        <v>11440</v>
      </c>
      <c r="B167" s="988">
        <v>19.678770943920163</v>
      </c>
      <c r="C167" s="988">
        <v>17.375500000000002</v>
      </c>
      <c r="D167" s="990">
        <v>15.749068947005481</v>
      </c>
    </row>
    <row r="168" spans="1:4">
      <c r="A168" s="988">
        <v>11445</v>
      </c>
      <c r="B168" s="988">
        <v>19.678780243244987</v>
      </c>
      <c r="C168" s="988">
        <v>17.2605</v>
      </c>
      <c r="D168" s="990">
        <v>15.749079285552028</v>
      </c>
    </row>
    <row r="169" spans="1:4">
      <c r="A169" s="988">
        <v>11450</v>
      </c>
      <c r="B169" s="988">
        <v>19.678788244392415</v>
      </c>
      <c r="C169" s="988">
        <v>17.125999999999998</v>
      </c>
      <c r="D169" s="990">
        <v>15.749092521114587</v>
      </c>
    </row>
    <row r="170" spans="1:4">
      <c r="A170" s="988">
        <v>11455</v>
      </c>
      <c r="B170" s="988">
        <v>19.678797388591875</v>
      </c>
      <c r="C170" s="988">
        <v>17.021999999999998</v>
      </c>
      <c r="D170" s="990">
        <v>15.749100496827531</v>
      </c>
    </row>
    <row r="171" spans="1:4">
      <c r="A171" s="988">
        <v>11460</v>
      </c>
      <c r="B171" s="988">
        <v>19.678805544873899</v>
      </c>
      <c r="C171" s="988">
        <v>16.896000000000001</v>
      </c>
      <c r="D171" s="990">
        <v>15.749112758070973</v>
      </c>
    </row>
    <row r="172" spans="1:4">
      <c r="A172" s="988">
        <v>11465</v>
      </c>
      <c r="B172" s="988">
        <v>19.678814689077921</v>
      </c>
      <c r="C172" s="988">
        <v>16.826499999999999</v>
      </c>
      <c r="D172" s="990">
        <v>15.74912411541098</v>
      </c>
    </row>
    <row r="173" spans="1:4">
      <c r="A173" s="988">
        <v>11470</v>
      </c>
      <c r="B173" s="988">
        <v>19.678822845364614</v>
      </c>
      <c r="C173" s="988">
        <v>16.803000000000001</v>
      </c>
      <c r="D173" s="990">
        <v>15.749134685893594</v>
      </c>
    </row>
    <row r="174" spans="1:4">
      <c r="A174" s="988">
        <v>11475</v>
      </c>
      <c r="B174" s="988">
        <v>19.67883297747467</v>
      </c>
      <c r="C174" s="988">
        <v>16.706499999999998</v>
      </c>
      <c r="D174" s="990">
        <v>15.7491450499686</v>
      </c>
    </row>
    <row r="175" spans="1:4">
      <c r="A175" s="988">
        <v>11480</v>
      </c>
      <c r="B175" s="988">
        <v>19.678841966553225</v>
      </c>
      <c r="C175" s="988">
        <v>16.622</v>
      </c>
      <c r="D175" s="990">
        <v>15.749157336898751</v>
      </c>
    </row>
    <row r="176" spans="1:4">
      <c r="A176" s="988">
        <v>11485</v>
      </c>
      <c r="B176" s="988">
        <v>19.678850277979077</v>
      </c>
      <c r="C176" s="988">
        <v>16.570500000000003</v>
      </c>
      <c r="D176" s="990">
        <v>15.749168624071586</v>
      </c>
    </row>
    <row r="177" spans="1:4">
      <c r="A177" s="988">
        <v>11490</v>
      </c>
      <c r="B177" s="988">
        <v>19.678859267061515</v>
      </c>
      <c r="C177" s="988">
        <v>16.514000000000003</v>
      </c>
      <c r="D177" s="990">
        <v>15.749179264861391</v>
      </c>
    </row>
    <row r="178" spans="1:4">
      <c r="A178" s="988">
        <v>11495</v>
      </c>
      <c r="B178" s="988">
        <v>19.678867423359463</v>
      </c>
      <c r="C178" s="988">
        <v>16.448500000000003</v>
      </c>
      <c r="D178" s="990">
        <v>15.749189835323063</v>
      </c>
    </row>
    <row r="179" spans="1:4">
      <c r="A179" s="988">
        <v>11500</v>
      </c>
      <c r="B179" s="988">
        <v>19.678876567579042</v>
      </c>
      <c r="C179" s="988">
        <v>16.392499999999998</v>
      </c>
      <c r="D179" s="990">
        <v>15.749199501852845</v>
      </c>
    </row>
    <row r="180" spans="1:4">
      <c r="A180" s="988">
        <v>11505</v>
      </c>
      <c r="B180" s="988">
        <v>19.675709277976985</v>
      </c>
      <c r="C180" s="988">
        <v>16.356000000000002</v>
      </c>
      <c r="D180" s="990">
        <v>15.754599349269499</v>
      </c>
    </row>
    <row r="181" spans="1:4">
      <c r="A181" s="988">
        <v>11510</v>
      </c>
      <c r="B181" s="988">
        <v>19.627258928181647</v>
      </c>
      <c r="C181" s="988">
        <v>16.3705</v>
      </c>
      <c r="D181" s="990">
        <v>15.826063949992527</v>
      </c>
    </row>
    <row r="182" spans="1:4">
      <c r="A182" s="988">
        <v>11515</v>
      </c>
      <c r="B182" s="988">
        <v>19.464270402611788</v>
      </c>
      <c r="C182" s="988">
        <v>16.457000000000001</v>
      </c>
      <c r="D182" s="990">
        <v>15.945858177926938</v>
      </c>
    </row>
    <row r="183" spans="1:4">
      <c r="A183" s="988">
        <v>11520</v>
      </c>
      <c r="B183" s="988">
        <v>19.129598359827931</v>
      </c>
      <c r="C183" s="988">
        <v>16.993499999999997</v>
      </c>
      <c r="D183" s="990">
        <v>16.017534145673398</v>
      </c>
    </row>
    <row r="184" spans="1:4">
      <c r="A184" s="988">
        <v>11525</v>
      </c>
      <c r="B184" s="988">
        <v>18.639927729339256</v>
      </c>
      <c r="C184" s="988">
        <v>18.024000000000001</v>
      </c>
      <c r="D184" s="990">
        <v>15.940098825185371</v>
      </c>
    </row>
    <row r="185" spans="1:4">
      <c r="A185" s="988">
        <v>11530</v>
      </c>
      <c r="B185" s="988">
        <v>18.046174830277245</v>
      </c>
      <c r="C185" s="988">
        <v>18.1235</v>
      </c>
      <c r="D185" s="990">
        <v>15.707691128948035</v>
      </c>
    </row>
    <row r="186" spans="1:4">
      <c r="A186" s="988">
        <v>11535</v>
      </c>
      <c r="B186" s="988">
        <v>17.40084357304832</v>
      </c>
      <c r="C186" s="988">
        <v>18.088999999999999</v>
      </c>
      <c r="D186" s="990">
        <v>15.386425350217928</v>
      </c>
    </row>
    <row r="187" spans="1:4">
      <c r="A187" s="988">
        <v>11540</v>
      </c>
      <c r="B187" s="988">
        <v>16.755303260722059</v>
      </c>
      <c r="C187" s="988">
        <v>18.048999999999999</v>
      </c>
      <c r="D187" s="990">
        <v>15.039937803456777</v>
      </c>
    </row>
    <row r="188" spans="1:4">
      <c r="A188" s="988">
        <v>11545</v>
      </c>
      <c r="B188" s="988">
        <v>16.131029643503229</v>
      </c>
      <c r="C188" s="988">
        <v>17.982500000000002</v>
      </c>
      <c r="D188" s="990">
        <v>14.693546929288281</v>
      </c>
    </row>
    <row r="189" spans="1:4">
      <c r="A189" s="988">
        <v>11550</v>
      </c>
      <c r="B189" s="988">
        <v>15.529813951992884</v>
      </c>
      <c r="C189" s="988">
        <v>17.930999999999997</v>
      </c>
      <c r="D189" s="990">
        <v>14.348353879148922</v>
      </c>
    </row>
    <row r="190" spans="1:4">
      <c r="A190" s="988">
        <v>11555</v>
      </c>
      <c r="B190" s="988">
        <v>14.953184990443967</v>
      </c>
      <c r="C190" s="988">
        <v>17.9925</v>
      </c>
      <c r="D190" s="990">
        <v>14.005078433607071</v>
      </c>
    </row>
    <row r="191" spans="1:4">
      <c r="A191" s="988">
        <v>11560</v>
      </c>
      <c r="B191" s="988">
        <v>14.402717487731348</v>
      </c>
      <c r="C191" s="988">
        <v>14.831</v>
      </c>
      <c r="D191" s="990">
        <v>13.664454623127503</v>
      </c>
    </row>
    <row r="192" spans="1:4">
      <c r="A192" s="988">
        <v>11565</v>
      </c>
      <c r="B192" s="988">
        <v>13.880022396296601</v>
      </c>
      <c r="C192" s="988">
        <v>14.695</v>
      </c>
      <c r="D192" s="990">
        <v>13.327217453262223</v>
      </c>
    </row>
    <row r="193" spans="1:4">
      <c r="A193" s="988">
        <v>11570</v>
      </c>
      <c r="B193" s="988">
        <v>13.386738489862744</v>
      </c>
      <c r="C193" s="988">
        <v>14.5555</v>
      </c>
      <c r="D193" s="990">
        <v>12.994107502909806</v>
      </c>
    </row>
    <row r="194" spans="1:4">
      <c r="A194" s="988">
        <v>11575</v>
      </c>
      <c r="B194" s="988">
        <v>12.924503494470635</v>
      </c>
      <c r="C194" s="988">
        <v>14.3865</v>
      </c>
      <c r="D194" s="990">
        <v>12.665867021284047</v>
      </c>
    </row>
    <row r="195" spans="1:4">
      <c r="A195" s="988">
        <v>11580</v>
      </c>
      <c r="B195" s="988">
        <v>12.494931816090691</v>
      </c>
      <c r="C195" s="988">
        <v>14.201499999999999</v>
      </c>
      <c r="D195" s="990">
        <v>12.343238828397157</v>
      </c>
    </row>
    <row r="196" spans="1:4">
      <c r="A196" s="988">
        <v>11585</v>
      </c>
      <c r="B196" s="988">
        <v>12.09957783851455</v>
      </c>
      <c r="C196" s="988">
        <v>14.0025</v>
      </c>
      <c r="D196" s="990">
        <v>12.026964353907127</v>
      </c>
    </row>
    <row r="197" spans="1:4">
      <c r="A197" s="988">
        <v>11590</v>
      </c>
      <c r="B197" s="988">
        <v>11.739888290725787</v>
      </c>
      <c r="C197" s="988">
        <v>13.880500000000001</v>
      </c>
      <c r="D197" s="990">
        <v>11.717777738049703</v>
      </c>
    </row>
    <row r="198" spans="1:4">
      <c r="A198" s="988">
        <v>11595</v>
      </c>
      <c r="B198" s="988">
        <v>11.417161526820385</v>
      </c>
      <c r="C198" s="988">
        <v>13.799999999999999</v>
      </c>
      <c r="D198" s="990">
        <v>11.416412947227153</v>
      </c>
    </row>
    <row r="199" spans="1:4">
      <c r="A199" s="988">
        <v>11600</v>
      </c>
      <c r="B199" s="988">
        <v>11.132621199366771</v>
      </c>
      <c r="C199" s="988">
        <v>13.718</v>
      </c>
      <c r="D199" s="990">
        <v>11.123741992144083</v>
      </c>
    </row>
    <row r="200" spans="1:4">
      <c r="A200" s="988">
        <v>11605</v>
      </c>
      <c r="B200" s="988">
        <v>10.899301296289138</v>
      </c>
      <c r="C200" s="988">
        <v>13.594000000000001</v>
      </c>
      <c r="D200" s="990">
        <v>10.857716426063295</v>
      </c>
    </row>
    <row r="201" spans="1:4">
      <c r="A201" s="988">
        <v>11610</v>
      </c>
      <c r="B201" s="988">
        <v>10.734772592694014</v>
      </c>
      <c r="C201" s="988">
        <v>13.480500000000001</v>
      </c>
      <c r="D201" s="990">
        <v>10.658385226853865</v>
      </c>
    </row>
    <row r="202" spans="1:4">
      <c r="A202" s="988">
        <v>11615</v>
      </c>
      <c r="B202" s="988">
        <v>10.651484531774523</v>
      </c>
      <c r="C202" s="988">
        <v>13.3775</v>
      </c>
      <c r="D202" s="990">
        <v>10.556340748876218</v>
      </c>
    </row>
    <row r="203" spans="1:4">
      <c r="A203" s="988">
        <v>11620</v>
      </c>
      <c r="B203" s="988">
        <v>10.637271099986982</v>
      </c>
      <c r="C203" s="988">
        <v>13.284500000000001</v>
      </c>
      <c r="D203" s="990">
        <v>10.540033756870379</v>
      </c>
    </row>
    <row r="204" spans="1:4">
      <c r="A204" s="988">
        <v>11625</v>
      </c>
      <c r="B204" s="988">
        <v>10.637274154793094</v>
      </c>
      <c r="C204" s="988">
        <v>13.212500000000002</v>
      </c>
      <c r="D204" s="990">
        <v>10.54003694979755</v>
      </c>
    </row>
    <row r="205" spans="1:4">
      <c r="A205" s="988">
        <v>11630</v>
      </c>
      <c r="B205" s="988">
        <v>10.637279266155234</v>
      </c>
      <c r="C205" s="988">
        <v>13.122499999999999</v>
      </c>
      <c r="D205" s="990">
        <v>10.540042243155206</v>
      </c>
    </row>
    <row r="206" spans="1:4">
      <c r="A206" s="988">
        <v>11635</v>
      </c>
      <c r="B206" s="988">
        <v>10.637286253442316</v>
      </c>
      <c r="C206" s="988">
        <v>13.0365</v>
      </c>
      <c r="D206" s="990">
        <v>10.540049335471958</v>
      </c>
    </row>
    <row r="207" spans="1:4">
      <c r="A207" s="988">
        <v>11640</v>
      </c>
      <c r="B207" s="988">
        <v>10.637292362989808</v>
      </c>
      <c r="C207" s="988">
        <v>12.969999999999999</v>
      </c>
      <c r="D207" s="990">
        <v>10.540055383937467</v>
      </c>
    </row>
    <row r="208" spans="1:4">
      <c r="A208" s="988">
        <v>11645</v>
      </c>
      <c r="B208" s="988">
        <v>10.637297414151469</v>
      </c>
      <c r="C208" s="988">
        <v>12.936999999999999</v>
      </c>
      <c r="D208" s="990">
        <v>10.540060427174467</v>
      </c>
    </row>
    <row r="209" spans="1:4">
      <c r="A209" s="988">
        <v>11650</v>
      </c>
      <c r="B209" s="988">
        <v>10.637303463476275</v>
      </c>
      <c r="C209" s="988">
        <v>12.887499999999999</v>
      </c>
      <c r="D209" s="990">
        <v>10.540066562923379</v>
      </c>
    </row>
    <row r="210" spans="1:4">
      <c r="A210" s="988">
        <v>11655</v>
      </c>
      <c r="B210" s="988">
        <v>10.637308514638024</v>
      </c>
      <c r="C210" s="988">
        <v>12.8695</v>
      </c>
      <c r="D210" s="990">
        <v>10.540071606149608</v>
      </c>
    </row>
    <row r="211" spans="1:4">
      <c r="A211" s="988">
        <v>11660</v>
      </c>
      <c r="B211" s="988">
        <v>10.637314563991962</v>
      </c>
      <c r="C211" s="988">
        <v>12.854999999999999</v>
      </c>
      <c r="D211" s="990">
        <v>10.540077741922246</v>
      </c>
    </row>
    <row r="212" spans="1:4">
      <c r="A212" s="988">
        <v>11665</v>
      </c>
      <c r="B212" s="988">
        <v>10.637319615124746</v>
      </c>
      <c r="C212" s="988">
        <v>12.884499999999999</v>
      </c>
      <c r="D212" s="990">
        <v>10.540082785047217</v>
      </c>
    </row>
    <row r="213" spans="1:4">
      <c r="A213" s="988">
        <v>11670</v>
      </c>
      <c r="B213" s="988">
        <v>10.637326662641852</v>
      </c>
      <c r="C213" s="988">
        <v>12.8775</v>
      </c>
      <c r="D213" s="990">
        <v>10.540090183319444</v>
      </c>
    </row>
    <row r="214" spans="1:4">
      <c r="A214" s="988">
        <v>11675</v>
      </c>
      <c r="B214" s="988">
        <v>10.637331774034136</v>
      </c>
      <c r="C214" s="988">
        <v>12.816000000000003</v>
      </c>
      <c r="D214" s="990">
        <v>10.540095195154326</v>
      </c>
    </row>
    <row r="215" spans="1:4">
      <c r="A215" s="988">
        <v>11680</v>
      </c>
      <c r="B215" s="988">
        <v>10.637337823388291</v>
      </c>
      <c r="C215" s="988">
        <v>12.805999999999999</v>
      </c>
      <c r="D215" s="990">
        <v>10.540101219324965</v>
      </c>
    </row>
    <row r="216" spans="1:4">
      <c r="A216" s="988">
        <v>11685</v>
      </c>
      <c r="B216" s="988">
        <v>10.637343872713432</v>
      </c>
      <c r="C216" s="988">
        <v>12.820499999999999</v>
      </c>
      <c r="D216" s="990">
        <v>10.540107355002828</v>
      </c>
    </row>
    <row r="217" spans="1:4">
      <c r="A217" s="988">
        <v>11690</v>
      </c>
      <c r="B217" s="988">
        <v>10.63806407118425</v>
      </c>
      <c r="C217" s="988">
        <v>12.832500000000001</v>
      </c>
      <c r="D217" s="990">
        <v>10.54104112792683</v>
      </c>
    </row>
    <row r="218" spans="1:4">
      <c r="A218" s="988">
        <v>11695</v>
      </c>
      <c r="B218" s="988">
        <v>10.645636539201524</v>
      </c>
      <c r="C218" s="988">
        <v>12.8645</v>
      </c>
      <c r="D218" s="990">
        <v>10.550654480103431</v>
      </c>
    </row>
    <row r="219" spans="1:4">
      <c r="A219" s="988">
        <v>11700</v>
      </c>
      <c r="B219" s="988">
        <v>10.661467968341361</v>
      </c>
      <c r="C219" s="988">
        <v>12.908500000000002</v>
      </c>
      <c r="D219" s="990">
        <v>10.568978110274196</v>
      </c>
    </row>
    <row r="220" spans="1:4">
      <c r="A220" s="988">
        <v>11705</v>
      </c>
      <c r="B220" s="988">
        <v>10.685563155880907</v>
      </c>
      <c r="C220" s="988">
        <v>12.977500000000001</v>
      </c>
      <c r="D220" s="990">
        <v>10.595606911774908</v>
      </c>
    </row>
    <row r="221" spans="1:4">
      <c r="A221" s="988">
        <v>11710</v>
      </c>
      <c r="B221" s="988">
        <v>10.717922156862279</v>
      </c>
      <c r="C221" s="988">
        <v>13.011500000000002</v>
      </c>
      <c r="D221" s="990">
        <v>10.630537536643024</v>
      </c>
    </row>
    <row r="222" spans="1:4">
      <c r="A222" s="988">
        <v>11715</v>
      </c>
      <c r="B222" s="988">
        <v>10.758551482845634</v>
      </c>
      <c r="C222" s="988">
        <v>13.023</v>
      </c>
      <c r="D222" s="990">
        <v>10.673773912452114</v>
      </c>
    </row>
    <row r="223" spans="1:4">
      <c r="A223" s="988">
        <v>11720</v>
      </c>
      <c r="B223" s="988">
        <v>10.807450670467876</v>
      </c>
      <c r="C223" s="988">
        <v>13.0875</v>
      </c>
      <c r="D223" s="990">
        <v>10.725310961186068</v>
      </c>
    </row>
    <row r="224" spans="1:4">
      <c r="A224" s="988">
        <v>11725</v>
      </c>
      <c r="B224" s="988">
        <v>10.864626842868532</v>
      </c>
      <c r="C224" s="988">
        <v>13.130500000000001</v>
      </c>
      <c r="D224" s="990">
        <v>10.785153234066465</v>
      </c>
    </row>
    <row r="225" spans="1:4">
      <c r="A225" s="988">
        <v>11730</v>
      </c>
      <c r="B225" s="988">
        <v>10.930081829708167</v>
      </c>
      <c r="C225" s="988">
        <v>13.157499999999999</v>
      </c>
      <c r="D225" s="990">
        <v>10.853297243743679</v>
      </c>
    </row>
    <row r="226" spans="1:4">
      <c r="A226" s="988">
        <v>11735</v>
      </c>
      <c r="B226" s="988">
        <v>11.003817194840863</v>
      </c>
      <c r="C226" s="988">
        <v>13.217499999999999</v>
      </c>
      <c r="D226" s="990">
        <v>10.929740826161506</v>
      </c>
    </row>
    <row r="227" spans="1:4">
      <c r="A227" s="988">
        <v>11740</v>
      </c>
      <c r="B227" s="988">
        <v>11.085841110652337</v>
      </c>
      <c r="C227" s="988">
        <v>13.281499999999999</v>
      </c>
      <c r="D227" s="990">
        <v>11.014487981242608</v>
      </c>
    </row>
    <row r="228" spans="1:4">
      <c r="A228" s="988">
        <v>11745</v>
      </c>
      <c r="B228" s="988">
        <v>11.175749219002915</v>
      </c>
      <c r="C228" s="988">
        <v>13.33</v>
      </c>
      <c r="D228" s="990">
        <v>11.10702572126603</v>
      </c>
    </row>
    <row r="229" spans="1:4">
      <c r="A229" s="988">
        <v>11750</v>
      </c>
      <c r="B229" s="988">
        <v>11.267622906310981</v>
      </c>
      <c r="C229" s="988">
        <v>13.364499999999998</v>
      </c>
      <c r="D229" s="990">
        <v>11.200039128996421</v>
      </c>
    </row>
    <row r="230" spans="1:4">
      <c r="A230" s="988">
        <v>11755</v>
      </c>
      <c r="B230" s="988">
        <v>11.359507275334813</v>
      </c>
      <c r="C230" s="988">
        <v>13.394</v>
      </c>
      <c r="D230" s="990">
        <v>11.292567137889046</v>
      </c>
    </row>
    <row r="231" spans="1:4">
      <c r="A231" s="988">
        <v>11760</v>
      </c>
      <c r="B231" s="988">
        <v>11.45140206891244</v>
      </c>
      <c r="C231" s="988">
        <v>13.443999999999999</v>
      </c>
      <c r="D231" s="990">
        <v>11.385094575105441</v>
      </c>
    </row>
    <row r="232" spans="1:4">
      <c r="A232" s="988">
        <v>11765</v>
      </c>
      <c r="B232" s="988">
        <v>11.543306040559704</v>
      </c>
      <c r="C232" s="988">
        <v>13.468499999999999</v>
      </c>
      <c r="D232" s="990">
        <v>11.477621313725637</v>
      </c>
    </row>
    <row r="233" spans="1:4">
      <c r="A233" s="988">
        <v>11770</v>
      </c>
      <c r="B233" s="988">
        <v>11.633518647561166</v>
      </c>
      <c r="C233" s="988">
        <v>13.513499999999999</v>
      </c>
      <c r="D233" s="990">
        <v>11.568015618955044</v>
      </c>
    </row>
    <row r="234" spans="1:4">
      <c r="A234" s="988">
        <v>11775</v>
      </c>
      <c r="B234" s="988">
        <v>11.715987006520876</v>
      </c>
      <c r="C234" s="988">
        <v>13.5755</v>
      </c>
      <c r="D234" s="990">
        <v>11.649098698593043</v>
      </c>
    </row>
    <row r="235" spans="1:4">
      <c r="A235" s="988">
        <v>11780</v>
      </c>
      <c r="B235" s="988">
        <v>11.790176373030736</v>
      </c>
      <c r="C235" s="988">
        <v>13.641500000000002</v>
      </c>
      <c r="D235" s="990">
        <v>11.721685260395326</v>
      </c>
    </row>
    <row r="236" spans="1:4">
      <c r="A236" s="988">
        <v>11785</v>
      </c>
      <c r="B236" s="988">
        <v>11.85608876484096</v>
      </c>
      <c r="C236" s="988">
        <v>13.696999999999999</v>
      </c>
      <c r="D236" s="990">
        <v>11.785909545211418</v>
      </c>
    </row>
    <row r="237" spans="1:4">
      <c r="A237" s="988">
        <v>11790</v>
      </c>
      <c r="B237" s="988">
        <v>11.913721235986817</v>
      </c>
      <c r="C237" s="988">
        <v>13.732999999999999</v>
      </c>
      <c r="D237" s="990">
        <v>11.841768054867279</v>
      </c>
    </row>
    <row r="238" spans="1:4">
      <c r="A238" s="988">
        <v>11795</v>
      </c>
      <c r="B238" s="988">
        <v>11.963075207435216</v>
      </c>
      <c r="C238" s="988">
        <v>13.746500000000001</v>
      </c>
      <c r="D238" s="990">
        <v>11.889261735373214</v>
      </c>
    </row>
    <row r="239" spans="1:4">
      <c r="A239" s="988">
        <v>11800</v>
      </c>
      <c r="B239" s="988">
        <v>12.00414926047811</v>
      </c>
      <c r="C239" s="988">
        <v>13.819500000000001</v>
      </c>
      <c r="D239" s="990">
        <v>11.928388903228448</v>
      </c>
    </row>
    <row r="240" spans="1:4">
      <c r="A240" s="988">
        <v>11805</v>
      </c>
      <c r="B240" s="988">
        <v>12.036946186899961</v>
      </c>
      <c r="C240" s="988">
        <v>13.867500000000001</v>
      </c>
      <c r="D240" s="990">
        <v>11.959151503109746</v>
      </c>
    </row>
    <row r="241" spans="1:4">
      <c r="A241" s="988">
        <v>11810</v>
      </c>
      <c r="B241" s="988">
        <v>12.061465085985271</v>
      </c>
      <c r="C241" s="988">
        <v>13.916499999999999</v>
      </c>
      <c r="D241" s="990">
        <v>11.981547676987223</v>
      </c>
    </row>
    <row r="242" spans="1:4">
      <c r="A242" s="988">
        <v>11815</v>
      </c>
      <c r="B242" s="988">
        <v>12.077707123717499</v>
      </c>
      <c r="C242" s="988">
        <v>13.9625</v>
      </c>
      <c r="D242" s="990">
        <v>11.995576853478926</v>
      </c>
    </row>
    <row r="243" spans="1:4">
      <c r="A243" s="988">
        <v>11820</v>
      </c>
      <c r="B243" s="988">
        <v>12.085673994781502</v>
      </c>
      <c r="C243" s="988">
        <v>13.995000000000001</v>
      </c>
      <c r="D243" s="990">
        <v>12.001240537413628</v>
      </c>
    </row>
    <row r="244" spans="1:4">
      <c r="A244" s="988">
        <v>11825</v>
      </c>
      <c r="B244" s="988">
        <v>12.086545386510915</v>
      </c>
      <c r="C244" s="988">
        <v>14.052500000000002</v>
      </c>
      <c r="D244" s="990">
        <v>12.00006803977217</v>
      </c>
    </row>
    <row r="245" spans="1:4">
      <c r="A245" s="988">
        <v>11830</v>
      </c>
      <c r="B245" s="988">
        <v>12.08651908279999</v>
      </c>
      <c r="C245" s="988">
        <v>14.105499999999999</v>
      </c>
      <c r="D245" s="990">
        <v>11.999780061486174</v>
      </c>
    </row>
    <row r="246" spans="1:4">
      <c r="A246" s="988">
        <v>11835</v>
      </c>
      <c r="B246" s="988">
        <v>12.086491781955779</v>
      </c>
      <c r="C246" s="988">
        <v>14.1235</v>
      </c>
      <c r="D246" s="990">
        <v>11.99975260456692</v>
      </c>
    </row>
    <row r="247" spans="1:4">
      <c r="A247" s="988">
        <v>11840</v>
      </c>
      <c r="B247" s="988">
        <v>12.086465402577799</v>
      </c>
      <c r="C247" s="988">
        <v>14.1625</v>
      </c>
      <c r="D247" s="990">
        <v>11.999725934200141</v>
      </c>
    </row>
    <row r="248" spans="1:4">
      <c r="A248" s="988">
        <v>11845</v>
      </c>
      <c r="B248" s="988">
        <v>12.086635417424958</v>
      </c>
      <c r="C248" s="988">
        <v>14.221499999999999</v>
      </c>
      <c r="D248" s="990">
        <v>11.999897144423995</v>
      </c>
    </row>
    <row r="249" spans="1:4">
      <c r="A249" s="988">
        <v>11850</v>
      </c>
      <c r="B249" s="988">
        <v>12.089030345024597</v>
      </c>
      <c r="C249" s="988">
        <v>14.282999999999999</v>
      </c>
      <c r="D249" s="990">
        <v>12.001276646370329</v>
      </c>
    </row>
    <row r="250" spans="1:4">
      <c r="A250" s="988">
        <v>11855</v>
      </c>
      <c r="B250" s="988">
        <v>12.091482254443505</v>
      </c>
      <c r="C250" s="988">
        <v>14.304500000000001</v>
      </c>
      <c r="D250" s="990">
        <v>12.001314107738981</v>
      </c>
    </row>
    <row r="251" spans="1:4">
      <c r="A251" s="988">
        <v>11860</v>
      </c>
      <c r="B251" s="988">
        <v>12.093965763779787</v>
      </c>
      <c r="C251" s="988">
        <v>14.367000000000001</v>
      </c>
      <c r="D251" s="990">
        <v>12.001343558146466</v>
      </c>
    </row>
    <row r="252" spans="1:4">
      <c r="A252" s="988">
        <v>11865</v>
      </c>
      <c r="B252" s="988">
        <v>12.096482098003989</v>
      </c>
      <c r="C252" s="988">
        <v>14.404999999999999</v>
      </c>
      <c r="D252" s="990">
        <v>12.001373296014258</v>
      </c>
    </row>
    <row r="253" spans="1:4">
      <c r="A253" s="988">
        <v>11870</v>
      </c>
      <c r="B253" s="988">
        <v>12.099032179188164</v>
      </c>
      <c r="C253" s="988">
        <v>14.451999999999998</v>
      </c>
      <c r="D253" s="990">
        <v>12.001404641440342</v>
      </c>
    </row>
    <row r="254" spans="1:4">
      <c r="A254" s="988">
        <v>11875</v>
      </c>
      <c r="B254" s="988">
        <v>12.10161393797485</v>
      </c>
      <c r="C254" s="988">
        <v>14.498000000000001</v>
      </c>
      <c r="D254" s="990">
        <v>12.001434346299881</v>
      </c>
    </row>
    <row r="255" spans="1:4">
      <c r="A255" s="988">
        <v>11880</v>
      </c>
      <c r="B255" s="988">
        <v>12.104228599601365</v>
      </c>
      <c r="C255" s="988">
        <v>14.544000000000002</v>
      </c>
      <c r="D255" s="990">
        <v>12.001465524447159</v>
      </c>
    </row>
    <row r="256" spans="1:4">
      <c r="A256" s="988">
        <v>11885</v>
      </c>
      <c r="B256" s="988">
        <v>12.10687693448893</v>
      </c>
      <c r="C256" s="988">
        <v>14.5905</v>
      </c>
      <c r="D256" s="990">
        <v>12.001497379983372</v>
      </c>
    </row>
    <row r="257" spans="1:4">
      <c r="A257" s="988">
        <v>11890</v>
      </c>
      <c r="B257" s="988">
        <v>12.109556027822052</v>
      </c>
      <c r="C257" s="988">
        <v>14.638999999999999</v>
      </c>
      <c r="D257" s="990">
        <v>12.001527231149174</v>
      </c>
    </row>
    <row r="258" spans="1:4">
      <c r="A258" s="988">
        <v>11895</v>
      </c>
      <c r="B258" s="988">
        <v>12.112269023564497</v>
      </c>
      <c r="C258" s="988">
        <v>14.6845</v>
      </c>
      <c r="D258" s="990">
        <v>12.001559195249456</v>
      </c>
    </row>
    <row r="259" spans="1:4">
      <c r="A259" s="988">
        <v>11900</v>
      </c>
      <c r="B259" s="988">
        <v>12.115013624658648</v>
      </c>
      <c r="C259" s="988">
        <v>14.725000000000001</v>
      </c>
      <c r="D259" s="990">
        <v>12.001589571116446</v>
      </c>
    </row>
    <row r="260" spans="1:4">
      <c r="A260" s="988">
        <v>11905</v>
      </c>
      <c r="B260" s="988">
        <v>12.117791132702648</v>
      </c>
      <c r="C260" s="988">
        <v>14.773000000000001</v>
      </c>
      <c r="D260" s="990">
        <v>12.001620838974995</v>
      </c>
    </row>
    <row r="261" spans="1:4">
      <c r="A261" s="988">
        <v>11910</v>
      </c>
      <c r="B261" s="988">
        <v>12.120600551614379</v>
      </c>
      <c r="C261" s="988">
        <v>14.833</v>
      </c>
      <c r="D261" s="990">
        <v>12.001652152552435</v>
      </c>
    </row>
    <row r="262" spans="1:4">
      <c r="A262" s="988">
        <v>11915</v>
      </c>
      <c r="B262" s="988">
        <v>12.123444721652008</v>
      </c>
      <c r="C262" s="988">
        <v>14.8795</v>
      </c>
      <c r="D262" s="990">
        <v>12.001685616133932</v>
      </c>
    </row>
    <row r="263" spans="1:4">
      <c r="A263" s="988">
        <v>11920</v>
      </c>
      <c r="B263" s="988">
        <v>12.126318658140361</v>
      </c>
      <c r="C263" s="988">
        <v>14.925000000000001</v>
      </c>
      <c r="D263" s="990">
        <v>12.001715811136258</v>
      </c>
    </row>
    <row r="264" spans="1:4">
      <c r="A264" s="988">
        <v>11925</v>
      </c>
      <c r="B264" s="988">
        <v>12.128412977222254</v>
      </c>
      <c r="C264" s="988">
        <v>14.951999999999998</v>
      </c>
      <c r="D264" s="990">
        <v>12.0009428894145</v>
      </c>
    </row>
    <row r="265" spans="1:4">
      <c r="A265" s="988">
        <v>11930</v>
      </c>
      <c r="B265" s="988">
        <v>12.128447487462733</v>
      </c>
      <c r="C265" s="988">
        <v>15.027999999999999</v>
      </c>
      <c r="D265" s="990">
        <v>11.999810303506699</v>
      </c>
    </row>
    <row r="266" spans="1:4">
      <c r="A266" s="988">
        <v>11935</v>
      </c>
      <c r="B266" s="988">
        <v>12.128481997656428</v>
      </c>
      <c r="C266" s="988">
        <v>15.095500000000001</v>
      </c>
      <c r="D266" s="990">
        <v>11.999845230536623</v>
      </c>
    </row>
    <row r="267" spans="1:4">
      <c r="A267" s="988">
        <v>11940</v>
      </c>
      <c r="B267" s="988">
        <v>12.128516431768766</v>
      </c>
      <c r="C267" s="988">
        <v>15.143000000000001</v>
      </c>
      <c r="D267" s="990">
        <v>11.999879937470611</v>
      </c>
    </row>
    <row r="268" spans="1:4">
      <c r="A268" s="988">
        <v>11945</v>
      </c>
      <c r="B268" s="988">
        <v>12.128550942015986</v>
      </c>
      <c r="C268" s="988">
        <v>15.1905</v>
      </c>
      <c r="D268" s="990">
        <v>11.999914864527996</v>
      </c>
    </row>
    <row r="269" spans="1:4">
      <c r="A269" s="988">
        <v>11950</v>
      </c>
      <c r="B269" s="988">
        <v>12.12858545224544</v>
      </c>
      <c r="C269" s="988">
        <v>15.228</v>
      </c>
      <c r="D269" s="990">
        <v>11.999949791574196</v>
      </c>
    </row>
    <row r="270" spans="1:4">
      <c r="A270" s="988">
        <v>11955</v>
      </c>
      <c r="B270" s="988">
        <v>12.128618889293717</v>
      </c>
      <c r="C270" s="988">
        <v>15.3025</v>
      </c>
      <c r="D270" s="990">
        <v>11.999983523023314</v>
      </c>
    </row>
    <row r="271" spans="1:4">
      <c r="A271" s="988">
        <v>11960</v>
      </c>
      <c r="B271" s="988">
        <v>12.128653399489673</v>
      </c>
      <c r="C271" s="988">
        <v>15.400500000000001</v>
      </c>
      <c r="D271" s="990">
        <v>12.000018449983282</v>
      </c>
    </row>
    <row r="272" spans="1:4">
      <c r="A272" s="988">
        <v>11965</v>
      </c>
      <c r="B272" s="988">
        <v>12.128687833611075</v>
      </c>
      <c r="C272" s="988">
        <v>15.481999999999999</v>
      </c>
      <c r="D272" s="990">
        <v>12.000053156849743</v>
      </c>
    </row>
    <row r="273" spans="1:4">
      <c r="A273" s="988">
        <v>11970</v>
      </c>
      <c r="B273" s="988">
        <v>12.128722343878275</v>
      </c>
      <c r="C273" s="988">
        <v>15.563000000000001</v>
      </c>
      <c r="D273" s="990">
        <v>12.000088083993356</v>
      </c>
    </row>
    <row r="274" spans="1:4">
      <c r="A274" s="988">
        <v>11975</v>
      </c>
      <c r="B274" s="988">
        <v>12.128756854089833</v>
      </c>
      <c r="C274" s="988">
        <v>15.612000000000002</v>
      </c>
      <c r="D274" s="990">
        <v>12.000123011055836</v>
      </c>
    </row>
    <row r="275" spans="1:4">
      <c r="A275" s="988">
        <v>11980</v>
      </c>
      <c r="B275" s="988">
        <v>12.128790291138467</v>
      </c>
      <c r="C275" s="988">
        <v>15.694000000000003</v>
      </c>
      <c r="D275" s="990">
        <v>12.000156742418715</v>
      </c>
    </row>
    <row r="276" spans="1:4">
      <c r="A276" s="988">
        <v>11985</v>
      </c>
      <c r="B276" s="988">
        <v>12.128824801383423</v>
      </c>
      <c r="C276" s="988">
        <v>15.795500000000001</v>
      </c>
      <c r="D276" s="990">
        <v>12.000191669551148</v>
      </c>
    </row>
    <row r="277" spans="1:4">
      <c r="A277" s="988">
        <v>11990</v>
      </c>
      <c r="B277" s="988">
        <v>12.12885923551389</v>
      </c>
      <c r="C277" s="988">
        <v>15.896000000000001</v>
      </c>
      <c r="D277" s="990">
        <v>12.000226376382637</v>
      </c>
    </row>
    <row r="278" spans="1:4">
      <c r="A278" s="988">
        <v>11995</v>
      </c>
      <c r="B278" s="988">
        <v>12.128893745754331</v>
      </c>
      <c r="C278" s="988">
        <v>15.991499999999998</v>
      </c>
      <c r="D278" s="990">
        <v>12.000261303440013</v>
      </c>
    </row>
    <row r="279" spans="1:4">
      <c r="A279" s="988">
        <v>12000</v>
      </c>
      <c r="B279" s="988">
        <v>12.128928256006027</v>
      </c>
      <c r="C279" s="988">
        <v>16.086500000000001</v>
      </c>
      <c r="D279" s="990">
        <v>12.000296230486221</v>
      </c>
    </row>
    <row r="280" spans="1:4">
      <c r="A280" s="988">
        <v>12005</v>
      </c>
      <c r="B280" s="988">
        <v>12.128962690179865</v>
      </c>
      <c r="C280" s="988">
        <v>16.201500000000003</v>
      </c>
      <c r="D280" s="990">
        <v>12.000330937393239</v>
      </c>
    </row>
    <row r="281" spans="1:4">
      <c r="A281" s="988">
        <v>12010</v>
      </c>
      <c r="B281" s="988">
        <v>12.128996203319959</v>
      </c>
      <c r="C281" s="988">
        <v>16.295500000000001</v>
      </c>
      <c r="D281" s="990">
        <v>12.00036488894656</v>
      </c>
    </row>
    <row r="282" spans="1:4">
      <c r="A282" s="988">
        <v>12015</v>
      </c>
      <c r="B282" s="988">
        <v>12.129030713540551</v>
      </c>
      <c r="C282" s="988">
        <v>16.395499999999998</v>
      </c>
      <c r="D282" s="990">
        <v>12.000399815895845</v>
      </c>
    </row>
    <row r="283" spans="1:4">
      <c r="A283" s="988">
        <v>12020</v>
      </c>
      <c r="B283" s="988">
        <v>12.132133669521009</v>
      </c>
      <c r="C283" s="988">
        <v>16.500500000000002</v>
      </c>
      <c r="D283" s="990">
        <v>12.003207323062016</v>
      </c>
    </row>
    <row r="284" spans="1:4">
      <c r="A284" s="988">
        <v>12025</v>
      </c>
      <c r="B284" s="988">
        <v>12.14596828288764</v>
      </c>
      <c r="C284" s="988">
        <v>16.613</v>
      </c>
      <c r="D284" s="990">
        <v>12.011429299687704</v>
      </c>
    </row>
    <row r="285" spans="1:4">
      <c r="A285" s="988">
        <v>12030</v>
      </c>
      <c r="B285" s="988">
        <v>12.172604344569971</v>
      </c>
      <c r="C285" s="988">
        <v>16.691000000000003</v>
      </c>
      <c r="D285" s="990">
        <v>12.022608561649893</v>
      </c>
    </row>
    <row r="286" spans="1:4">
      <c r="A286" s="988">
        <v>12035</v>
      </c>
      <c r="B286" s="988">
        <v>12.213767229568829</v>
      </c>
      <c r="C286" s="988">
        <v>16.765999999999998</v>
      </c>
      <c r="D286" s="990">
        <v>12.036831140228864</v>
      </c>
    </row>
    <row r="287" spans="1:4">
      <c r="A287" s="988">
        <v>12040</v>
      </c>
      <c r="B287" s="988">
        <v>12.271111019457992</v>
      </c>
      <c r="C287" s="988">
        <v>16.822000000000003</v>
      </c>
      <c r="D287" s="990">
        <v>12.05325628775898</v>
      </c>
    </row>
    <row r="288" spans="1:4">
      <c r="A288" s="988">
        <v>12045</v>
      </c>
      <c r="B288" s="988">
        <v>12.343174923985137</v>
      </c>
      <c r="C288" s="988">
        <v>16.871499999999997</v>
      </c>
      <c r="D288" s="990">
        <v>12.067401286460777</v>
      </c>
    </row>
    <row r="289" spans="1:4">
      <c r="A289" s="988">
        <v>12050</v>
      </c>
      <c r="B289" s="988">
        <v>12.423971960904506</v>
      </c>
      <c r="C289" s="988">
        <v>16.951499999999999</v>
      </c>
      <c r="D289" s="990">
        <v>12.07720320384948</v>
      </c>
    </row>
    <row r="290" spans="1:4">
      <c r="A290" s="988">
        <v>12055</v>
      </c>
      <c r="B290" s="988">
        <v>12.513047708672937</v>
      </c>
      <c r="C290" s="988">
        <v>17.0015</v>
      </c>
      <c r="D290" s="990">
        <v>12.087431057740103</v>
      </c>
    </row>
    <row r="291" spans="1:4">
      <c r="A291" s="988">
        <v>12060</v>
      </c>
      <c r="B291" s="988">
        <v>12.610226537379596</v>
      </c>
      <c r="C291" s="988">
        <v>17.027000000000001</v>
      </c>
      <c r="D291" s="990">
        <v>12.098240404073577</v>
      </c>
    </row>
    <row r="292" spans="1:4">
      <c r="A292" s="988">
        <v>12065</v>
      </c>
      <c r="B292" s="988">
        <v>12.715322184256333</v>
      </c>
      <c r="C292" s="988">
        <v>17.061999999999998</v>
      </c>
      <c r="D292" s="990">
        <v>12.109630816002589</v>
      </c>
    </row>
    <row r="293" spans="1:4">
      <c r="A293" s="988">
        <v>12070</v>
      </c>
      <c r="B293" s="988">
        <v>12.828138375837256</v>
      </c>
      <c r="C293" s="988">
        <v>17.099499999999999</v>
      </c>
      <c r="D293" s="990">
        <v>12.121600554469248</v>
      </c>
    </row>
    <row r="294" spans="1:4">
      <c r="A294" s="988">
        <v>12075</v>
      </c>
      <c r="B294" s="988">
        <v>12.948474332270958</v>
      </c>
      <c r="C294" s="988">
        <v>17.16</v>
      </c>
      <c r="D294" s="990">
        <v>12.134150393565401</v>
      </c>
    </row>
    <row r="295" spans="1:4">
      <c r="A295" s="988">
        <v>12080</v>
      </c>
      <c r="B295" s="988">
        <v>13.076119682476397</v>
      </c>
      <c r="C295" s="988">
        <v>17.189</v>
      </c>
      <c r="D295" s="990">
        <v>12.147280689933069</v>
      </c>
    </row>
    <row r="296" spans="1:4">
      <c r="A296" s="988">
        <v>12085</v>
      </c>
      <c r="B296" s="988">
        <v>13.205576863846467</v>
      </c>
      <c r="C296" s="988">
        <v>17.221</v>
      </c>
      <c r="D296" s="990">
        <v>12.155160592457266</v>
      </c>
    </row>
    <row r="297" spans="1:4">
      <c r="A297" s="988">
        <v>12090</v>
      </c>
      <c r="B297" s="988">
        <v>13.31682360515293</v>
      </c>
      <c r="C297" s="988">
        <v>17.258500000000002</v>
      </c>
      <c r="D297" s="990">
        <v>12.138483983058554</v>
      </c>
    </row>
    <row r="298" spans="1:4">
      <c r="A298" s="988">
        <v>12095</v>
      </c>
      <c r="B298" s="988">
        <v>13.402375639103855</v>
      </c>
      <c r="C298" s="988">
        <v>17.298000000000002</v>
      </c>
      <c r="D298" s="990">
        <v>12.108684355575756</v>
      </c>
    </row>
    <row r="299" spans="1:4">
      <c r="A299" s="988">
        <v>12100</v>
      </c>
      <c r="B299" s="988">
        <v>13.461082083353451</v>
      </c>
      <c r="C299" s="988">
        <v>17.329500000000003</v>
      </c>
      <c r="D299" s="990">
        <v>12.075383864426486</v>
      </c>
    </row>
    <row r="300" spans="1:4">
      <c r="A300" s="988">
        <v>12105</v>
      </c>
      <c r="B300" s="988">
        <v>13.491678414108039</v>
      </c>
      <c r="C300" s="988">
        <v>17.372499999999999</v>
      </c>
      <c r="D300" s="990">
        <v>12.040039566349179</v>
      </c>
    </row>
    <row r="301" spans="1:4">
      <c r="A301" s="988">
        <v>12110</v>
      </c>
      <c r="B301" s="988">
        <v>13.497915100099849</v>
      </c>
      <c r="C301" s="988">
        <v>17.424999999999997</v>
      </c>
      <c r="D301" s="990">
        <v>12.008872974295659</v>
      </c>
    </row>
    <row r="302" spans="1:4">
      <c r="A302" s="988">
        <v>12115</v>
      </c>
      <c r="B302" s="988">
        <v>13.49791399256566</v>
      </c>
      <c r="C302" s="988">
        <v>17.471</v>
      </c>
      <c r="D302" s="990">
        <v>12.000215670574415</v>
      </c>
    </row>
    <row r="303" spans="1:4">
      <c r="A303" s="988">
        <v>12120</v>
      </c>
      <c r="B303" s="988">
        <v>13.497893633888813</v>
      </c>
      <c r="C303" s="988">
        <v>17.512500000000003</v>
      </c>
      <c r="D303" s="990">
        <v>12.000165912592776</v>
      </c>
    </row>
    <row r="304" spans="1:4">
      <c r="A304" s="988">
        <v>12125</v>
      </c>
      <c r="B304" s="988">
        <v>13.495848280760592</v>
      </c>
      <c r="C304" s="988">
        <v>17.5715</v>
      </c>
      <c r="D304" s="990">
        <v>11.997867282789331</v>
      </c>
    </row>
    <row r="305" spans="1:4">
      <c r="A305" s="988">
        <v>12130</v>
      </c>
      <c r="B305" s="988">
        <v>13.469685095971887</v>
      </c>
      <c r="C305" s="988">
        <v>17.626000000000001</v>
      </c>
      <c r="D305" s="990">
        <v>11.974729559712634</v>
      </c>
    </row>
    <row r="306" spans="1:4">
      <c r="A306" s="988">
        <v>12135</v>
      </c>
      <c r="B306" s="988">
        <v>13.410480428209976</v>
      </c>
      <c r="C306" s="988">
        <v>17.644500000000001</v>
      </c>
      <c r="D306" s="990">
        <v>11.96184147531342</v>
      </c>
    </row>
    <row r="307" spans="1:4">
      <c r="A307" s="988">
        <v>12140</v>
      </c>
      <c r="B307" s="988">
        <v>13.322824154345778</v>
      </c>
      <c r="C307" s="988">
        <v>17.683</v>
      </c>
      <c r="D307" s="990">
        <v>11.978560456444377</v>
      </c>
    </row>
    <row r="308" spans="1:4">
      <c r="A308" s="988">
        <v>12145</v>
      </c>
      <c r="B308" s="988">
        <v>13.231936361614038</v>
      </c>
      <c r="C308" s="988">
        <v>17.72</v>
      </c>
      <c r="D308" s="990">
        <v>12.040600675477984</v>
      </c>
    </row>
    <row r="309" spans="1:4">
      <c r="A309" s="988">
        <v>12150</v>
      </c>
      <c r="B309" s="988">
        <v>13.150032576318219</v>
      </c>
      <c r="C309" s="988">
        <v>17.7545</v>
      </c>
      <c r="D309" s="990">
        <v>12.117608298125061</v>
      </c>
    </row>
    <row r="310" spans="1:4">
      <c r="A310" s="988">
        <v>12155</v>
      </c>
      <c r="B310" s="988">
        <v>13.077424806488002</v>
      </c>
      <c r="C310" s="988">
        <v>17.843499999999999</v>
      </c>
      <c r="D310" s="990">
        <v>12.193660359385728</v>
      </c>
    </row>
    <row r="311" spans="1:4">
      <c r="A311" s="988">
        <v>12160</v>
      </c>
      <c r="B311" s="988">
        <v>13.014372632531991</v>
      </c>
      <c r="C311" s="988">
        <v>17.89</v>
      </c>
      <c r="D311" s="990">
        <v>12.268648387292934</v>
      </c>
    </row>
    <row r="312" spans="1:4">
      <c r="A312" s="988">
        <v>12165</v>
      </c>
      <c r="B312" s="988">
        <v>12.961120573159763</v>
      </c>
      <c r="C312" s="988">
        <v>17.903500000000001</v>
      </c>
      <c r="D312" s="990">
        <v>12.342509199840386</v>
      </c>
    </row>
    <row r="313" spans="1:4">
      <c r="A313" s="988">
        <v>12170</v>
      </c>
      <c r="B313" s="988">
        <v>12.917898290942547</v>
      </c>
      <c r="C313" s="988">
        <v>17.887500000000003</v>
      </c>
      <c r="D313" s="990">
        <v>12.415184922849772</v>
      </c>
    </row>
    <row r="314" spans="1:4">
      <c r="A314" s="988">
        <v>12175</v>
      </c>
      <c r="B314" s="988">
        <v>12.884908532616572</v>
      </c>
      <c r="C314" s="988">
        <v>17.883500000000002</v>
      </c>
      <c r="D314" s="990">
        <v>12.486608313877786</v>
      </c>
    </row>
    <row r="315" spans="1:4">
      <c r="A315" s="988">
        <v>12180</v>
      </c>
      <c r="B315" s="988">
        <v>12.862335578229219</v>
      </c>
      <c r="C315" s="988">
        <v>17.890500000000003</v>
      </c>
      <c r="D315" s="990">
        <v>12.556721016895969</v>
      </c>
    </row>
    <row r="316" spans="1:4">
      <c r="A316" s="988">
        <v>12185</v>
      </c>
      <c r="B316" s="988">
        <v>12.85033465166557</v>
      </c>
      <c r="C316" s="988">
        <v>17.910499999999999</v>
      </c>
      <c r="D316" s="990">
        <v>12.625458665744675</v>
      </c>
    </row>
    <row r="317" spans="1:4">
      <c r="A317" s="988">
        <v>12190</v>
      </c>
      <c r="B317" s="988">
        <v>12.849040933462001</v>
      </c>
      <c r="C317" s="988">
        <v>17.914000000000001</v>
      </c>
      <c r="D317" s="990">
        <v>12.692765957835945</v>
      </c>
    </row>
    <row r="318" spans="1:4">
      <c r="A318" s="988">
        <v>12195</v>
      </c>
      <c r="B318" s="988">
        <v>12.858555694294765</v>
      </c>
      <c r="C318" s="988">
        <v>17.905000000000001</v>
      </c>
      <c r="D318" s="990">
        <v>12.758579754160852</v>
      </c>
    </row>
    <row r="319" spans="1:4">
      <c r="A319" s="988">
        <v>12200</v>
      </c>
      <c r="B319" s="988">
        <v>12.878950643366485</v>
      </c>
      <c r="C319" s="988">
        <v>17.895</v>
      </c>
      <c r="D319" s="990">
        <v>12.822838599577294</v>
      </c>
    </row>
    <row r="320" spans="1:4">
      <c r="A320" s="988">
        <v>12205</v>
      </c>
      <c r="B320" s="988">
        <v>12.910273490543091</v>
      </c>
      <c r="C320" s="988">
        <v>17.889000000000003</v>
      </c>
      <c r="D320" s="990">
        <v>12.885487798093052</v>
      </c>
    </row>
    <row r="321" spans="1:4">
      <c r="A321" s="988">
        <v>12210</v>
      </c>
      <c r="B321" s="988">
        <v>12.952537732417097</v>
      </c>
      <c r="C321" s="988">
        <v>17.874500000000001</v>
      </c>
      <c r="D321" s="990">
        <v>12.94646896795779</v>
      </c>
    </row>
    <row r="322" spans="1:4">
      <c r="A322" s="988">
        <v>12215</v>
      </c>
      <c r="B322" s="988">
        <v>13.005726185943754</v>
      </c>
      <c r="C322" s="988">
        <v>17.858499999999999</v>
      </c>
      <c r="D322" s="990">
        <v>13.005723404058783</v>
      </c>
    </row>
    <row r="323" spans="1:4">
      <c r="A323" s="988">
        <v>12220</v>
      </c>
      <c r="B323" s="988">
        <v>13.063584726394442</v>
      </c>
      <c r="C323" s="988">
        <v>17.8415</v>
      </c>
      <c r="D323" s="990">
        <v>13.05752780053807</v>
      </c>
    </row>
    <row r="324" spans="1:4">
      <c r="A324" s="988">
        <v>12225</v>
      </c>
      <c r="B324" s="988">
        <v>13.105462020724245</v>
      </c>
      <c r="C324" s="988">
        <v>17.829499999999999</v>
      </c>
      <c r="D324" s="990">
        <v>13.087755396075286</v>
      </c>
    </row>
    <row r="325" spans="1:4">
      <c r="A325" s="988">
        <v>12230</v>
      </c>
      <c r="B325" s="988">
        <v>13.125988191588988</v>
      </c>
      <c r="C325" s="988">
        <v>17.790500000000002</v>
      </c>
      <c r="D325" s="990">
        <v>13.099812003555321</v>
      </c>
    </row>
    <row r="326" spans="1:4">
      <c r="A326" s="988">
        <v>12235</v>
      </c>
      <c r="B326" s="988">
        <v>13.127765345894826</v>
      </c>
      <c r="C326" s="988">
        <v>17.753999999999998</v>
      </c>
      <c r="D326" s="990">
        <v>13.099740653000703</v>
      </c>
    </row>
    <row r="327" spans="1:4">
      <c r="A327" s="988">
        <v>12240</v>
      </c>
      <c r="B327" s="988">
        <v>13.127771318647724</v>
      </c>
      <c r="C327" s="988">
        <v>17.742999999999999</v>
      </c>
      <c r="D327" s="990">
        <v>13.099745793306262</v>
      </c>
    </row>
    <row r="328" spans="1:4">
      <c r="A328" s="988">
        <v>12245</v>
      </c>
      <c r="B328" s="988">
        <v>13.127778286898103</v>
      </c>
      <c r="C328" s="988">
        <v>17.731999999999999</v>
      </c>
      <c r="D328" s="990">
        <v>13.099752790194497</v>
      </c>
    </row>
    <row r="329" spans="1:4">
      <c r="A329" s="988">
        <v>12250</v>
      </c>
      <c r="B329" s="988">
        <v>13.127784354794199</v>
      </c>
      <c r="C329" s="988">
        <v>17.686500000000002</v>
      </c>
      <c r="D329" s="990">
        <v>13.099758817411558</v>
      </c>
    </row>
    <row r="330" spans="1:4">
      <c r="A330" s="988">
        <v>12255</v>
      </c>
      <c r="B330" s="988">
        <v>13.127789332107625</v>
      </c>
      <c r="C330" s="988">
        <v>17.688000000000002</v>
      </c>
      <c r="D330" s="990">
        <v>13.099763986566209</v>
      </c>
    </row>
    <row r="331" spans="1:4">
      <c r="A331" s="988">
        <v>12260</v>
      </c>
      <c r="B331" s="988">
        <v>13.12779620518601</v>
      </c>
      <c r="C331" s="988">
        <v>17.649000000000001</v>
      </c>
      <c r="D331" s="990">
        <v>13.099770787266745</v>
      </c>
    </row>
    <row r="332" spans="1:4">
      <c r="A332" s="988">
        <v>12265</v>
      </c>
      <c r="B332" s="988">
        <v>13.127802177939039</v>
      </c>
      <c r="C332" s="988">
        <v>17.6145</v>
      </c>
      <c r="D332" s="990">
        <v>13.09977677938868</v>
      </c>
    </row>
    <row r="333" spans="1:4">
      <c r="A333" s="988">
        <v>12270</v>
      </c>
      <c r="B333" s="988">
        <v>13.127808245893005</v>
      </c>
      <c r="C333" s="988">
        <v>17.588999999999999</v>
      </c>
      <c r="D333" s="990">
        <v>13.099782806708967</v>
      </c>
    </row>
    <row r="334" spans="1:4">
      <c r="A334" s="988">
        <v>12275</v>
      </c>
      <c r="B334" s="988">
        <v>13.127814218646041</v>
      </c>
      <c r="C334" s="988">
        <v>17.567499999999999</v>
      </c>
      <c r="D334" s="990">
        <v>13.099788803989732</v>
      </c>
    </row>
    <row r="335" spans="1:4">
      <c r="A335" s="988">
        <v>12280</v>
      </c>
      <c r="B335" s="988">
        <v>13.127821186856524</v>
      </c>
      <c r="C335" s="988">
        <v>17.530999999999999</v>
      </c>
      <c r="D335" s="990">
        <v>13.099795800820129</v>
      </c>
    </row>
    <row r="336" spans="1:4">
      <c r="A336" s="988">
        <v>12285</v>
      </c>
      <c r="B336" s="988">
        <v>13.127827159620692</v>
      </c>
      <c r="C336" s="988">
        <v>17.4895</v>
      </c>
      <c r="D336" s="990">
        <v>13.099801798158726</v>
      </c>
    </row>
    <row r="337" spans="1:4">
      <c r="A337" s="988">
        <v>12290</v>
      </c>
      <c r="B337" s="988">
        <v>13.127833227574614</v>
      </c>
      <c r="C337" s="988">
        <v>17.473500000000001</v>
      </c>
      <c r="D337" s="990">
        <v>13.099807825423209</v>
      </c>
    </row>
    <row r="338" spans="1:4">
      <c r="A338" s="988">
        <v>12295</v>
      </c>
      <c r="B338" s="988">
        <v>13.12784019582519</v>
      </c>
      <c r="C338" s="988">
        <v>17.448499999999999</v>
      </c>
      <c r="D338" s="990">
        <v>13.099814822287728</v>
      </c>
    </row>
    <row r="339" spans="1:4">
      <c r="A339" s="988">
        <v>12300</v>
      </c>
      <c r="B339" s="988">
        <v>13.127846168549341</v>
      </c>
      <c r="C339" s="988">
        <v>17.423999999999999</v>
      </c>
      <c r="D339" s="990">
        <v>13.0998208195685</v>
      </c>
    </row>
    <row r="340" spans="1:4">
      <c r="A340" s="988">
        <v>12305</v>
      </c>
      <c r="B340" s="988">
        <v>13.127852141320384</v>
      </c>
      <c r="C340" s="988">
        <v>17.399000000000001</v>
      </c>
      <c r="D340" s="990">
        <v>13.099826816894646</v>
      </c>
    </row>
    <row r="341" spans="1:4">
      <c r="A341" s="988">
        <v>12310</v>
      </c>
      <c r="B341" s="988">
        <v>13.12785820925637</v>
      </c>
      <c r="C341" s="988">
        <v>17.3735</v>
      </c>
      <c r="D341" s="990">
        <v>13.099832844113752</v>
      </c>
    </row>
    <row r="342" spans="1:4">
      <c r="A342" s="988">
        <v>12315</v>
      </c>
      <c r="B342" s="988">
        <v>13.127865177507015</v>
      </c>
      <c r="C342" s="988">
        <v>17.350000000000001</v>
      </c>
      <c r="D342" s="990">
        <v>13.099839841029871</v>
      </c>
    </row>
    <row r="343" spans="1:4">
      <c r="A343" s="988">
        <v>12320</v>
      </c>
      <c r="B343" s="988">
        <v>13.127870154820648</v>
      </c>
      <c r="C343" s="988">
        <v>17.326499999999996</v>
      </c>
      <c r="D343" s="990">
        <v>13.099845010199061</v>
      </c>
    </row>
    <row r="344" spans="1:4">
      <c r="A344" s="988">
        <v>12325</v>
      </c>
      <c r="B344" s="988">
        <v>13.127876127562775</v>
      </c>
      <c r="C344" s="988">
        <v>17.298000000000002</v>
      </c>
      <c r="D344" s="990">
        <v>13.099850836053049</v>
      </c>
    </row>
    <row r="345" spans="1:4">
      <c r="A345" s="988">
        <v>12330</v>
      </c>
      <c r="B345" s="988">
        <v>13.127883190956162</v>
      </c>
      <c r="C345" s="988">
        <v>17.273499999999999</v>
      </c>
      <c r="D345" s="990">
        <v>13.099857862907493</v>
      </c>
    </row>
    <row r="346" spans="1:4">
      <c r="A346" s="988">
        <v>12335</v>
      </c>
      <c r="B346" s="988">
        <v>13.127889163720457</v>
      </c>
      <c r="C346" s="988">
        <v>17.247999999999998</v>
      </c>
      <c r="D346" s="990">
        <v>13.099863860188274</v>
      </c>
    </row>
    <row r="347" spans="1:4">
      <c r="A347" s="988">
        <v>12340</v>
      </c>
      <c r="B347" s="988">
        <v>13.127895041331129</v>
      </c>
      <c r="C347" s="988">
        <v>17.224</v>
      </c>
      <c r="D347" s="990">
        <v>13.099869832677099</v>
      </c>
    </row>
    <row r="348" spans="1:4">
      <c r="A348" s="988">
        <v>12345</v>
      </c>
      <c r="B348" s="988">
        <v>13.127901014084436</v>
      </c>
      <c r="C348" s="988">
        <v>17.189</v>
      </c>
      <c r="D348" s="990">
        <v>13.09987582486092</v>
      </c>
    </row>
    <row r="349" spans="1:4">
      <c r="A349" s="988">
        <v>12350</v>
      </c>
      <c r="B349" s="988">
        <v>13.127908077466687</v>
      </c>
      <c r="C349" s="988">
        <v>17.187999999999999</v>
      </c>
      <c r="D349" s="990">
        <v>13.099882851655504</v>
      </c>
    </row>
    <row r="350" spans="1:4">
      <c r="A350" s="988">
        <v>12355</v>
      </c>
      <c r="B350" s="988">
        <v>13.127914050231084</v>
      </c>
      <c r="C350" s="988">
        <v>17.162999999999997</v>
      </c>
      <c r="D350" s="990">
        <v>13.099888848966218</v>
      </c>
    </row>
    <row r="351" spans="1:4">
      <c r="A351" s="988">
        <v>12360</v>
      </c>
      <c r="B351" s="988">
        <v>13.127920023013399</v>
      </c>
      <c r="C351" s="988">
        <v>17.166</v>
      </c>
      <c r="D351" s="990">
        <v>13.09989484626648</v>
      </c>
    </row>
    <row r="352" spans="1:4">
      <c r="A352" s="988">
        <v>12365</v>
      </c>
      <c r="B352" s="988">
        <v>13.127926991235322</v>
      </c>
      <c r="C352" s="988">
        <v>17.122499999999999</v>
      </c>
      <c r="D352" s="990">
        <v>13.099901843107313</v>
      </c>
    </row>
    <row r="353" spans="1:4">
      <c r="A353" s="988">
        <v>12370</v>
      </c>
      <c r="B353" s="988">
        <v>13.127933059177955</v>
      </c>
      <c r="C353" s="988">
        <v>17.077500000000001</v>
      </c>
      <c r="D353" s="990">
        <v>13.099907870425547</v>
      </c>
    </row>
    <row r="354" spans="1:4">
      <c r="A354" s="988">
        <v>12375</v>
      </c>
      <c r="B354" s="988">
        <v>13.127939031960306</v>
      </c>
      <c r="C354" s="988">
        <v>17.054000000000002</v>
      </c>
      <c r="D354" s="990">
        <v>13.099913867732049</v>
      </c>
    </row>
    <row r="355" spans="1:4">
      <c r="A355" s="988">
        <v>12380</v>
      </c>
      <c r="B355" s="988">
        <v>13.127945004695816</v>
      </c>
      <c r="C355" s="988">
        <v>17.027499999999996</v>
      </c>
      <c r="D355" s="990">
        <v>13.09991986498494</v>
      </c>
    </row>
    <row r="356" spans="1:4">
      <c r="A356" s="988">
        <v>12385</v>
      </c>
      <c r="B356" s="988">
        <v>13.127951972946782</v>
      </c>
      <c r="C356" s="988">
        <v>16.9895</v>
      </c>
      <c r="D356" s="990">
        <v>13.099926861873142</v>
      </c>
    </row>
    <row r="357" spans="1:4">
      <c r="A357" s="988">
        <v>12390</v>
      </c>
      <c r="B357" s="988">
        <v>13.127957045402916</v>
      </c>
      <c r="C357" s="988">
        <v>16.962</v>
      </c>
      <c r="D357" s="990">
        <v>13.099932060977581</v>
      </c>
    </row>
    <row r="358" spans="1:4">
      <c r="A358" s="988">
        <v>12395</v>
      </c>
      <c r="B358" s="988">
        <v>13.127963018174244</v>
      </c>
      <c r="C358" s="988">
        <v>16.935499999999998</v>
      </c>
      <c r="D358" s="990">
        <v>13.099937886884218</v>
      </c>
    </row>
    <row r="359" spans="1:4">
      <c r="A359" s="988">
        <v>12400</v>
      </c>
      <c r="B359" s="988">
        <v>13.127969986396273</v>
      </c>
      <c r="C359" s="988">
        <v>16.914499999999997</v>
      </c>
      <c r="D359" s="990">
        <v>13.099944883750766</v>
      </c>
    </row>
    <row r="360" spans="1:4">
      <c r="A360" s="988">
        <v>12405</v>
      </c>
      <c r="B360" s="988">
        <v>13.127975959160842</v>
      </c>
      <c r="C360" s="988">
        <v>16.893999999999998</v>
      </c>
      <c r="D360" s="990">
        <v>13.099950881059462</v>
      </c>
    </row>
    <row r="361" spans="1:4">
      <c r="A361" s="988">
        <v>12410</v>
      </c>
      <c r="B361" s="988">
        <v>13.127982027114466</v>
      </c>
      <c r="C361" s="988">
        <v>16.875999999999998</v>
      </c>
      <c r="D361" s="990">
        <v>13.099956908296015</v>
      </c>
    </row>
    <row r="362" spans="1:4">
      <c r="A362" s="988">
        <v>12415</v>
      </c>
      <c r="B362" s="988">
        <v>13.127987999856883</v>
      </c>
      <c r="C362" s="988">
        <v>16.844499999999996</v>
      </c>
      <c r="D362" s="990">
        <v>13.099962905630589</v>
      </c>
    </row>
    <row r="363" spans="1:4">
      <c r="A363" s="988">
        <v>12420</v>
      </c>
      <c r="B363" s="988">
        <v>13.127994968107954</v>
      </c>
      <c r="C363" s="988">
        <v>16.826999999999998</v>
      </c>
      <c r="D363" s="990">
        <v>13.099969902492907</v>
      </c>
    </row>
    <row r="364" spans="1:4">
      <c r="A364" s="988">
        <v>12425</v>
      </c>
      <c r="B364" s="988">
        <v>13.128000845690501</v>
      </c>
      <c r="C364" s="988">
        <v>16.844000000000001</v>
      </c>
      <c r="D364" s="990">
        <v>13.099975874983462</v>
      </c>
    </row>
    <row r="365" spans="1:4">
      <c r="A365" s="988">
        <v>12430</v>
      </c>
      <c r="B365" s="988">
        <v>13.128006913655128</v>
      </c>
      <c r="C365" s="988">
        <v>16.828000000000003</v>
      </c>
      <c r="D365" s="990">
        <v>13.099981897101854</v>
      </c>
    </row>
    <row r="366" spans="1:4">
      <c r="A366" s="988">
        <v>12435</v>
      </c>
      <c r="B366" s="988">
        <v>13.128013881848348</v>
      </c>
      <c r="C366" s="988">
        <v>16.7925</v>
      </c>
      <c r="D366" s="990">
        <v>13.099988893970604</v>
      </c>
    </row>
    <row r="367" spans="1:4">
      <c r="A367" s="988">
        <v>12440</v>
      </c>
      <c r="B367" s="988">
        <v>13.128019854619867</v>
      </c>
      <c r="C367" s="988">
        <v>16.783500000000004</v>
      </c>
      <c r="D367" s="990">
        <v>13.099994891268821</v>
      </c>
    </row>
    <row r="368" spans="1:4">
      <c r="A368" s="988">
        <v>12445</v>
      </c>
      <c r="B368" s="988">
        <v>13.128025827402492</v>
      </c>
      <c r="C368" s="988">
        <v>16.782</v>
      </c>
      <c r="D368" s="990">
        <v>13.10000088857532</v>
      </c>
    </row>
    <row r="369" spans="1:4">
      <c r="A369" s="988">
        <v>12450</v>
      </c>
      <c r="B369" s="988">
        <v>13.128031895327025</v>
      </c>
      <c r="C369" s="988">
        <v>16.780999999999999</v>
      </c>
      <c r="D369" s="990">
        <v>13.100006915876129</v>
      </c>
    </row>
    <row r="370" spans="1:4">
      <c r="A370" s="988">
        <v>12455</v>
      </c>
      <c r="B370" s="988">
        <v>13.128037868091763</v>
      </c>
      <c r="C370" s="988">
        <v>16.7805</v>
      </c>
      <c r="D370" s="990">
        <v>13.100013084550447</v>
      </c>
    </row>
    <row r="371" spans="1:4">
      <c r="A371" s="988">
        <v>12460</v>
      </c>
      <c r="B371" s="988">
        <v>13.128043840845447</v>
      </c>
      <c r="C371" s="988">
        <v>16.759999999999998</v>
      </c>
      <c r="D371" s="990">
        <v>13.100018910429279</v>
      </c>
    </row>
    <row r="372" spans="1:4">
      <c r="A372" s="988">
        <v>12465</v>
      </c>
      <c r="B372" s="988">
        <v>13.128049813617048</v>
      </c>
      <c r="C372" s="988">
        <v>16.765999999999998</v>
      </c>
      <c r="D372" s="990">
        <v>13.100024907783292</v>
      </c>
    </row>
    <row r="373" spans="1:4">
      <c r="A373" s="988">
        <v>12470</v>
      </c>
      <c r="B373" s="988">
        <v>13.128056877039118</v>
      </c>
      <c r="C373" s="988">
        <v>16.774000000000001</v>
      </c>
      <c r="D373" s="990">
        <v>13.100031934614037</v>
      </c>
    </row>
    <row r="374" spans="1:4">
      <c r="A374" s="988">
        <v>12475</v>
      </c>
      <c r="B374" s="988">
        <v>13.128062849803916</v>
      </c>
      <c r="C374" s="988">
        <v>16.785</v>
      </c>
      <c r="D374" s="990">
        <v>13.100037931894851</v>
      </c>
    </row>
    <row r="375" spans="1:4">
      <c r="A375" s="988">
        <v>12480</v>
      </c>
      <c r="B375" s="988">
        <v>13.128068822586632</v>
      </c>
      <c r="C375" s="988">
        <v>16.813500000000001</v>
      </c>
      <c r="D375" s="990">
        <v>13.100043929222986</v>
      </c>
    </row>
    <row r="376" spans="1:4">
      <c r="A376" s="988">
        <v>12485</v>
      </c>
      <c r="B376" s="988">
        <v>13.12807479530035</v>
      </c>
      <c r="C376" s="988">
        <v>16.8125</v>
      </c>
      <c r="D376" s="990">
        <v>13.100049926473879</v>
      </c>
    </row>
    <row r="377" spans="1:4">
      <c r="A377" s="988">
        <v>12490</v>
      </c>
      <c r="B377" s="988">
        <v>13.128081858722386</v>
      </c>
      <c r="C377" s="988">
        <v>16.811999999999998</v>
      </c>
      <c r="D377" s="990">
        <v>13.100056953328281</v>
      </c>
    </row>
    <row r="378" spans="1:4">
      <c r="A378" s="988">
        <v>12495</v>
      </c>
      <c r="B378" s="988">
        <v>13.128087831476165</v>
      </c>
      <c r="C378" s="988">
        <v>16.827999999999999</v>
      </c>
      <c r="D378" s="990">
        <v>13.100062950609098</v>
      </c>
    </row>
    <row r="379" spans="1:4">
      <c r="A379" s="988">
        <v>12500</v>
      </c>
      <c r="B379" s="988">
        <v>13.128093804270019</v>
      </c>
      <c r="C379" s="988">
        <v>16.847000000000001</v>
      </c>
      <c r="D379" s="990">
        <v>13.100068947937228</v>
      </c>
    </row>
    <row r="380" spans="1:4">
      <c r="A380" s="988">
        <v>12505</v>
      </c>
      <c r="B380" s="988">
        <v>13.128100677292998</v>
      </c>
      <c r="C380" s="988">
        <v>16.8565</v>
      </c>
      <c r="D380" s="990">
        <v>13.10007591992415</v>
      </c>
    </row>
    <row r="381" spans="1:4">
      <c r="A381" s="988">
        <v>12510</v>
      </c>
      <c r="B381" s="988">
        <v>13.128011890940135</v>
      </c>
      <c r="C381" s="988">
        <v>16.872499999999999</v>
      </c>
      <c r="D381" s="990">
        <v>13.10001741999746</v>
      </c>
    </row>
    <row r="382" spans="1:4">
      <c r="A382" s="988">
        <v>12515</v>
      </c>
      <c r="B382" s="988">
        <v>13.127551651065597</v>
      </c>
      <c r="C382" s="988">
        <v>16.863</v>
      </c>
      <c r="D382" s="990">
        <v>13.099871478026607</v>
      </c>
    </row>
    <row r="383" spans="1:4">
      <c r="A383" s="988">
        <v>12520</v>
      </c>
      <c r="B383" s="988">
        <v>13.126726926070031</v>
      </c>
      <c r="C383" s="988">
        <v>16.848500000000001</v>
      </c>
      <c r="D383" s="990">
        <v>13.099766263726725</v>
      </c>
    </row>
    <row r="384" spans="1:4">
      <c r="A384" s="988">
        <v>12525</v>
      </c>
      <c r="B384" s="988">
        <v>13.12556966611559</v>
      </c>
      <c r="C384" s="988">
        <v>16.823499999999999</v>
      </c>
      <c r="D384" s="990">
        <v>13.099718132577088</v>
      </c>
    </row>
    <row r="385" spans="1:4">
      <c r="A385" s="988">
        <v>12530</v>
      </c>
      <c r="B385" s="988">
        <v>13.124111440709541</v>
      </c>
      <c r="C385" s="988">
        <v>16.841500000000003</v>
      </c>
      <c r="D385" s="990">
        <v>13.099733811693095</v>
      </c>
    </row>
    <row r="386" spans="1:4">
      <c r="A386" s="988">
        <v>12535</v>
      </c>
      <c r="B386" s="988">
        <v>13.122384295174825</v>
      </c>
      <c r="C386" s="988">
        <v>16.857500000000002</v>
      </c>
      <c r="D386" s="990">
        <v>13.099810629257517</v>
      </c>
    </row>
    <row r="387" spans="1:4">
      <c r="A387" s="988">
        <v>12540</v>
      </c>
      <c r="B387" s="988">
        <v>13.120417903184396</v>
      </c>
      <c r="C387" s="988">
        <v>16.877499999999998</v>
      </c>
      <c r="D387" s="990">
        <v>13.099934793011604</v>
      </c>
    </row>
    <row r="388" spans="1:4">
      <c r="A388" s="988">
        <v>12545</v>
      </c>
      <c r="B388" s="988">
        <v>13.118245019812587</v>
      </c>
      <c r="C388" s="988">
        <v>16.902000000000001</v>
      </c>
      <c r="D388" s="990">
        <v>13.100086040149037</v>
      </c>
    </row>
    <row r="389" spans="1:4">
      <c r="A389" s="988">
        <v>12550</v>
      </c>
      <c r="B389" s="988">
        <v>13.115898304774474</v>
      </c>
      <c r="C389" s="988">
        <v>16.922499999999999</v>
      </c>
      <c r="D389" s="990">
        <v>13.100235065018568</v>
      </c>
    </row>
    <row r="390" spans="1:4">
      <c r="A390" s="988">
        <v>12555</v>
      </c>
      <c r="B390" s="988">
        <v>13.113407621739485</v>
      </c>
      <c r="C390" s="988">
        <v>16.939999999999998</v>
      </c>
      <c r="D390" s="990">
        <v>13.100340547460728</v>
      </c>
    </row>
    <row r="391" spans="1:4">
      <c r="A391" s="988">
        <v>12560</v>
      </c>
      <c r="B391" s="988">
        <v>13.110851801965705</v>
      </c>
      <c r="C391" s="988">
        <v>16.952500000000001</v>
      </c>
      <c r="D391" s="990">
        <v>13.100393138758621</v>
      </c>
    </row>
    <row r="392" spans="1:4">
      <c r="A392" s="988">
        <v>12565</v>
      </c>
      <c r="B392" s="988">
        <v>13.108560159250716</v>
      </c>
      <c r="C392" s="988">
        <v>16.9635</v>
      </c>
      <c r="D392" s="990">
        <v>13.100521457203708</v>
      </c>
    </row>
    <row r="393" spans="1:4">
      <c r="A393" s="988">
        <v>12570</v>
      </c>
      <c r="B393" s="988">
        <v>13.10659090572395</v>
      </c>
      <c r="C393" s="988">
        <v>16.979500000000002</v>
      </c>
      <c r="D393" s="990">
        <v>13.100657018021847</v>
      </c>
    </row>
    <row r="394" spans="1:4">
      <c r="A394" s="988">
        <v>12575</v>
      </c>
      <c r="B394" s="988">
        <v>13.104945322313824</v>
      </c>
      <c r="C394" s="988">
        <v>16.987000000000002</v>
      </c>
      <c r="D394" s="990">
        <v>13.100797616802677</v>
      </c>
    </row>
    <row r="395" spans="1:4">
      <c r="A395" s="988">
        <v>12580</v>
      </c>
      <c r="B395" s="988">
        <v>13.103621894190837</v>
      </c>
      <c r="C395" s="988">
        <v>17.005000000000003</v>
      </c>
      <c r="D395" s="990">
        <v>13.100941493061955</v>
      </c>
    </row>
    <row r="396" spans="1:4">
      <c r="A396" s="988">
        <v>12585</v>
      </c>
      <c r="B396" s="988">
        <v>13.102620811818014</v>
      </c>
      <c r="C396" s="988">
        <v>17.019500000000001</v>
      </c>
      <c r="D396" s="990">
        <v>13.101088756880493</v>
      </c>
    </row>
    <row r="397" spans="1:4">
      <c r="A397" s="988">
        <v>12590</v>
      </c>
      <c r="B397" s="988">
        <v>13.101945442457728</v>
      </c>
      <c r="C397" s="988">
        <v>17.028500000000001</v>
      </c>
      <c r="D397" s="990">
        <v>13.101242607059433</v>
      </c>
    </row>
    <row r="398" spans="1:4">
      <c r="A398" s="988">
        <v>12595</v>
      </c>
      <c r="B398" s="988">
        <v>13.101590999442534</v>
      </c>
      <c r="C398" s="988">
        <v>17.033999999999999</v>
      </c>
      <c r="D398" s="990">
        <v>13.101398388199154</v>
      </c>
    </row>
    <row r="399" spans="1:4">
      <c r="A399" s="988">
        <v>12600</v>
      </c>
      <c r="B399" s="988">
        <v>13.101560945349615</v>
      </c>
      <c r="C399" s="988">
        <v>17.045999999999999</v>
      </c>
      <c r="D399" s="990">
        <v>13.10155938895984</v>
      </c>
    </row>
    <row r="400" spans="1:4">
      <c r="A400" s="988">
        <v>12605</v>
      </c>
      <c r="B400" s="988">
        <v>13.101853384515396</v>
      </c>
      <c r="C400" s="988">
        <v>17.0625</v>
      </c>
      <c r="D400" s="990">
        <v>13.101723783306944</v>
      </c>
    </row>
    <row r="401" spans="1:4">
      <c r="A401" s="988">
        <v>12610</v>
      </c>
      <c r="B401" s="988">
        <v>13.10246969349962</v>
      </c>
      <c r="C401" s="988">
        <v>17.085999999999999</v>
      </c>
      <c r="D401" s="990">
        <v>13.101892933420331</v>
      </c>
    </row>
    <row r="402" spans="1:4">
      <c r="A402" s="988">
        <v>12615</v>
      </c>
      <c r="B402" s="988">
        <v>13.103408262359132</v>
      </c>
      <c r="C402" s="988">
        <v>17.119500000000002</v>
      </c>
      <c r="D402" s="990">
        <v>13.10206529762659</v>
      </c>
    </row>
    <row r="403" spans="1:4">
      <c r="A403" s="988">
        <v>12620</v>
      </c>
      <c r="B403" s="988">
        <v>13.104671463064486</v>
      </c>
      <c r="C403" s="988">
        <v>17.146999999999998</v>
      </c>
      <c r="D403" s="990">
        <v>13.102243367022412</v>
      </c>
    </row>
    <row r="404" spans="1:4">
      <c r="A404" s="988">
        <v>12625</v>
      </c>
      <c r="B404" s="988">
        <v>13.106256309366035</v>
      </c>
      <c r="C404" s="988">
        <v>17.163</v>
      </c>
      <c r="D404" s="990">
        <v>13.102424113415553</v>
      </c>
    </row>
    <row r="405" spans="1:4">
      <c r="A405" s="988">
        <v>12630</v>
      </c>
      <c r="B405" s="988">
        <v>13.108054435216571</v>
      </c>
      <c r="C405" s="988">
        <v>17.1845</v>
      </c>
      <c r="D405" s="990">
        <v>13.102511163135713</v>
      </c>
    </row>
    <row r="406" spans="1:4">
      <c r="A406" s="988">
        <v>12635</v>
      </c>
      <c r="B406" s="988">
        <v>13.109817106058665</v>
      </c>
      <c r="C406" s="988">
        <v>17.198999999999998</v>
      </c>
      <c r="D406" s="990">
        <v>13.102390967962851</v>
      </c>
    </row>
    <row r="407" spans="1:4">
      <c r="A407" s="988">
        <v>12640</v>
      </c>
      <c r="B407" s="988">
        <v>13.111505923279536</v>
      </c>
      <c r="C407" s="988">
        <v>17.221499999999999</v>
      </c>
      <c r="D407" s="990">
        <v>13.102162193727997</v>
      </c>
    </row>
    <row r="408" spans="1:4">
      <c r="A408" s="988">
        <v>12645</v>
      </c>
      <c r="B408" s="988">
        <v>13.113089456244785</v>
      </c>
      <c r="C408" s="988">
        <v>17.234500000000001</v>
      </c>
      <c r="D408" s="990">
        <v>13.101872058228235</v>
      </c>
    </row>
    <row r="409" spans="1:4">
      <c r="A409" s="988">
        <v>12650</v>
      </c>
      <c r="B409" s="988">
        <v>13.114536179087882</v>
      </c>
      <c r="C409" s="988">
        <v>17.252499999999998</v>
      </c>
      <c r="D409" s="990">
        <v>13.101557715191539</v>
      </c>
    </row>
    <row r="410" spans="1:4">
      <c r="A410" s="988">
        <v>12655</v>
      </c>
      <c r="B410" s="988">
        <v>13.115814756344831</v>
      </c>
      <c r="C410" s="988">
        <v>17.29</v>
      </c>
      <c r="D410" s="990">
        <v>13.101247334602188</v>
      </c>
    </row>
    <row r="411" spans="1:4">
      <c r="A411" s="988">
        <v>12660</v>
      </c>
      <c r="B411" s="988">
        <v>13.116892761873963</v>
      </c>
      <c r="C411" s="988">
        <v>17.330000000000002</v>
      </c>
      <c r="D411" s="990">
        <v>13.100958616691695</v>
      </c>
    </row>
    <row r="412" spans="1:4">
      <c r="A412" s="988">
        <v>12665</v>
      </c>
      <c r="B412" s="988">
        <v>13.117738669525011</v>
      </c>
      <c r="C412" s="988">
        <v>17.336500000000001</v>
      </c>
      <c r="D412" s="990">
        <v>13.100700997416963</v>
      </c>
    </row>
    <row r="413" spans="1:4">
      <c r="A413" s="988">
        <v>12670</v>
      </c>
      <c r="B413" s="988">
        <v>13.118322234621488</v>
      </c>
      <c r="C413" s="988">
        <v>17.3765</v>
      </c>
      <c r="D413" s="990">
        <v>13.100476586683818</v>
      </c>
    </row>
    <row r="414" spans="1:4">
      <c r="A414" s="988">
        <v>12675</v>
      </c>
      <c r="B414" s="988">
        <v>13.118611030810396</v>
      </c>
      <c r="C414" s="988">
        <v>17.418500000000002</v>
      </c>
      <c r="D414" s="990">
        <v>13.100275190103337</v>
      </c>
    </row>
    <row r="415" spans="1:4">
      <c r="A415" s="988">
        <v>12680</v>
      </c>
      <c r="B415" s="988">
        <v>13.118634212049962</v>
      </c>
      <c r="C415" s="988">
        <v>17.452999999999999</v>
      </c>
      <c r="D415" s="990">
        <v>13.100131125789421</v>
      </c>
    </row>
    <row r="416" spans="1:4">
      <c r="A416" s="988">
        <v>12685</v>
      </c>
      <c r="B416" s="988">
        <v>13.118629234798828</v>
      </c>
      <c r="C416" s="988">
        <v>17.517499999999998</v>
      </c>
      <c r="D416" s="990">
        <v>13.100120291023844</v>
      </c>
    </row>
    <row r="417" spans="1:4">
      <c r="A417" s="988">
        <v>12690</v>
      </c>
      <c r="B417" s="988">
        <v>13.118626153157386</v>
      </c>
      <c r="C417" s="988">
        <v>17.611000000000001</v>
      </c>
      <c r="D417" s="990">
        <v>13.10011729322331</v>
      </c>
    </row>
    <row r="418" spans="1:4">
      <c r="A418" s="988">
        <v>12695</v>
      </c>
      <c r="B418" s="988">
        <v>13.118622171333293</v>
      </c>
      <c r="C418" s="988">
        <v>17.622</v>
      </c>
      <c r="D418" s="990">
        <v>13.100113220130178</v>
      </c>
    </row>
    <row r="419" spans="1:4">
      <c r="A419" s="988">
        <v>12700</v>
      </c>
      <c r="B419" s="988">
        <v>13.118618094275908</v>
      </c>
      <c r="C419" s="988">
        <v>17.654499999999999</v>
      </c>
      <c r="D419" s="990">
        <v>13.100109095556986</v>
      </c>
    </row>
    <row r="420" spans="1:4">
      <c r="A420" s="988">
        <v>12705</v>
      </c>
      <c r="B420" s="988">
        <v>13.118614112480779</v>
      </c>
      <c r="C420" s="988">
        <v>17.6935</v>
      </c>
      <c r="D420" s="990">
        <v>13.100105160255746</v>
      </c>
    </row>
    <row r="421" spans="1:4">
      <c r="A421" s="988">
        <v>12710</v>
      </c>
      <c r="B421" s="988">
        <v>13.118611030828273</v>
      </c>
      <c r="C421" s="988">
        <v>17.733499999999999</v>
      </c>
      <c r="D421" s="990">
        <v>13.100102162429211</v>
      </c>
    </row>
    <row r="422" spans="1:4">
      <c r="A422" s="988">
        <v>12715</v>
      </c>
      <c r="B422" s="988">
        <v>13.118607049033136</v>
      </c>
      <c r="C422" s="988">
        <v>17.778500000000001</v>
      </c>
      <c r="D422" s="990">
        <v>13.100098089327615</v>
      </c>
    </row>
    <row r="423" spans="1:4">
      <c r="A423" s="988">
        <v>12720</v>
      </c>
      <c r="B423" s="988">
        <v>13.118602971906741</v>
      </c>
      <c r="C423" s="988">
        <v>17.838000000000001</v>
      </c>
      <c r="D423" s="990">
        <v>13.100093964703822</v>
      </c>
    </row>
    <row r="424" spans="1:4">
      <c r="A424" s="988">
        <v>12725</v>
      </c>
      <c r="B424" s="988">
        <v>13.118599890265379</v>
      </c>
      <c r="C424" s="988">
        <v>17.884</v>
      </c>
      <c r="D424" s="990">
        <v>13.100091008171276</v>
      </c>
    </row>
    <row r="425" spans="1:4">
      <c r="A425" s="988">
        <v>12730</v>
      </c>
      <c r="B425" s="988">
        <v>13.118595813196988</v>
      </c>
      <c r="C425" s="988">
        <v>17.9175</v>
      </c>
      <c r="D425" s="990">
        <v>13.100086745793559</v>
      </c>
    </row>
    <row r="426" spans="1:4">
      <c r="A426" s="988">
        <v>12735</v>
      </c>
      <c r="B426" s="988">
        <v>13.118591831412902</v>
      </c>
      <c r="C426" s="988">
        <v>17.980499999999999</v>
      </c>
      <c r="D426" s="990">
        <v>13.100082810531205</v>
      </c>
    </row>
    <row r="427" spans="1:4">
      <c r="A427" s="988">
        <v>12740</v>
      </c>
      <c r="B427" s="988">
        <v>13.118587754315548</v>
      </c>
      <c r="C427" s="988">
        <v>18.021999999999998</v>
      </c>
      <c r="D427" s="990">
        <v>13.100078823689739</v>
      </c>
    </row>
    <row r="428" spans="1:4">
      <c r="A428" s="988">
        <v>12745</v>
      </c>
      <c r="B428" s="988">
        <v>13.118583772520358</v>
      </c>
      <c r="C428" s="988">
        <v>18.048999999999999</v>
      </c>
      <c r="D428" s="990">
        <v>13.100074750622309</v>
      </c>
    </row>
    <row r="429" spans="1:4">
      <c r="A429" s="988">
        <v>12750</v>
      </c>
      <c r="B429" s="988">
        <v>13.118579695394047</v>
      </c>
      <c r="C429" s="988">
        <v>18.093499999999999</v>
      </c>
      <c r="D429" s="990">
        <v>13.100070625993901</v>
      </c>
    </row>
    <row r="430" spans="1:4">
      <c r="A430" s="988">
        <v>12755</v>
      </c>
      <c r="B430" s="988">
        <v>13.118576709054892</v>
      </c>
      <c r="C430" s="988">
        <v>18.145000000000003</v>
      </c>
      <c r="D430" s="990">
        <v>13.100067817455997</v>
      </c>
    </row>
    <row r="431" spans="1:4">
      <c r="A431" s="988">
        <v>12760</v>
      </c>
      <c r="B431" s="988">
        <v>13.118572631986538</v>
      </c>
      <c r="C431" s="988">
        <v>18.195499999999999</v>
      </c>
      <c r="D431" s="990">
        <v>13.100063555111978</v>
      </c>
    </row>
    <row r="432" spans="1:4">
      <c r="A432" s="988">
        <v>12765</v>
      </c>
      <c r="B432" s="988">
        <v>13.118568650180238</v>
      </c>
      <c r="C432" s="988">
        <v>18.241500000000002</v>
      </c>
      <c r="D432" s="990">
        <v>13.10005961977674</v>
      </c>
    </row>
    <row r="433" spans="1:4">
      <c r="A433" s="988">
        <v>12770</v>
      </c>
      <c r="B433" s="988">
        <v>13.118564573082923</v>
      </c>
      <c r="C433" s="988">
        <v>18.286999999999999</v>
      </c>
      <c r="D433" s="990">
        <v>13.10005549522281</v>
      </c>
    </row>
    <row r="434" spans="1:4">
      <c r="A434" s="988">
        <v>12775</v>
      </c>
      <c r="B434" s="988">
        <v>13.118561586725878</v>
      </c>
      <c r="C434" s="988">
        <v>18.311500000000002</v>
      </c>
      <c r="D434" s="990">
        <v>13.100052686638964</v>
      </c>
    </row>
    <row r="435" spans="1:4">
      <c r="A435" s="988">
        <v>12780</v>
      </c>
      <c r="B435" s="988">
        <v>13.118557509628578</v>
      </c>
      <c r="C435" s="988">
        <v>18.359000000000002</v>
      </c>
      <c r="D435" s="990">
        <v>13.100048424258814</v>
      </c>
    </row>
    <row r="436" spans="1:4">
      <c r="A436" s="988">
        <v>12785</v>
      </c>
      <c r="B436" s="988">
        <v>13.118553527862328</v>
      </c>
      <c r="C436" s="988">
        <v>18.408999999999999</v>
      </c>
      <c r="D436" s="990">
        <v>13.100044488995859</v>
      </c>
    </row>
    <row r="437" spans="1:4">
      <c r="A437" s="988">
        <v>12790</v>
      </c>
      <c r="B437" s="988">
        <v>13.118549450765041</v>
      </c>
      <c r="C437" s="988">
        <v>18.462499999999999</v>
      </c>
      <c r="D437" s="990">
        <v>13.100040502184312</v>
      </c>
    </row>
    <row r="438" spans="1:4">
      <c r="A438" s="988">
        <v>12795</v>
      </c>
      <c r="B438" s="988">
        <v>13.118545468969812</v>
      </c>
      <c r="C438" s="988">
        <v>18.509500000000003</v>
      </c>
      <c r="D438" s="990">
        <v>13.100036429108286</v>
      </c>
    </row>
    <row r="439" spans="1:4">
      <c r="A439" s="988">
        <v>12800</v>
      </c>
      <c r="B439" s="988">
        <v>13.118541296541579</v>
      </c>
      <c r="C439" s="988">
        <v>18.555500000000002</v>
      </c>
      <c r="D439" s="990">
        <v>13.100032156443957</v>
      </c>
    </row>
    <row r="440" spans="1:4">
      <c r="A440" s="988">
        <v>12805</v>
      </c>
      <c r="B440" s="988">
        <v>13.118459616928144</v>
      </c>
      <c r="C440" s="988">
        <v>18.593499999999999</v>
      </c>
      <c r="D440" s="990">
        <v>13.099962694964693</v>
      </c>
    </row>
    <row r="441" spans="1:4">
      <c r="A441" s="988">
        <v>12810</v>
      </c>
      <c r="B441" s="988">
        <v>13.11803552461661</v>
      </c>
      <c r="C441" s="988">
        <v>18.648499999999999</v>
      </c>
      <c r="D441" s="990">
        <v>13.099775350692507</v>
      </c>
    </row>
    <row r="442" spans="1:4">
      <c r="A442" s="988">
        <v>12815</v>
      </c>
      <c r="B442" s="988">
        <v>13.117293482272633</v>
      </c>
      <c r="C442" s="988">
        <v>18.707000000000001</v>
      </c>
      <c r="D442" s="990">
        <v>13.099669242176544</v>
      </c>
    </row>
    <row r="443" spans="1:4">
      <c r="A443" s="988">
        <v>12820</v>
      </c>
      <c r="B443" s="988">
        <v>13.116289097386007</v>
      </c>
      <c r="C443" s="988">
        <v>18.75</v>
      </c>
      <c r="D443" s="990">
        <v>13.099684401556434</v>
      </c>
    </row>
    <row r="444" spans="1:4">
      <c r="A444" s="988">
        <v>12825</v>
      </c>
      <c r="B444" s="988">
        <v>13.115073995681282</v>
      </c>
      <c r="C444" s="988">
        <v>18.798999999999999</v>
      </c>
      <c r="D444" s="990">
        <v>13.09983663181035</v>
      </c>
    </row>
    <row r="445" spans="1:4">
      <c r="A445" s="988">
        <v>12830</v>
      </c>
      <c r="B445" s="988">
        <v>13.113705870654277</v>
      </c>
      <c r="C445" s="988">
        <v>18.850000000000001</v>
      </c>
      <c r="D445" s="990">
        <v>13.100134520170201</v>
      </c>
    </row>
    <row r="446" spans="1:4">
      <c r="A446" s="988">
        <v>12835</v>
      </c>
      <c r="B446" s="988">
        <v>13.112236252627824</v>
      </c>
      <c r="C446" s="988">
        <v>18.892000000000003</v>
      </c>
      <c r="D446" s="990">
        <v>13.100565881578126</v>
      </c>
    </row>
    <row r="447" spans="1:4">
      <c r="A447" s="988">
        <v>12840</v>
      </c>
      <c r="B447" s="988">
        <v>13.110719848687712</v>
      </c>
      <c r="C447" s="988">
        <v>18.936499999999999</v>
      </c>
      <c r="D447" s="990">
        <v>13.101108337827066</v>
      </c>
    </row>
    <row r="448" spans="1:4">
      <c r="A448" s="988">
        <v>12845</v>
      </c>
      <c r="B448" s="988">
        <v>13.109212170841488</v>
      </c>
      <c r="C448" s="988">
        <v>18.986000000000001</v>
      </c>
      <c r="D448" s="990">
        <v>13.101725946908632</v>
      </c>
    </row>
    <row r="449" spans="1:4">
      <c r="A449" s="988">
        <v>12850</v>
      </c>
      <c r="B449" s="988">
        <v>13.107765649222117</v>
      </c>
      <c r="C449" s="988">
        <v>19.018000000000001</v>
      </c>
      <c r="D449" s="990">
        <v>13.102365842696901</v>
      </c>
    </row>
    <row r="450" spans="1:4">
      <c r="A450" s="988">
        <v>12855</v>
      </c>
      <c r="B450" s="988">
        <v>13.106435700539695</v>
      </c>
      <c r="C450" s="988">
        <v>19.0715</v>
      </c>
      <c r="D450" s="990">
        <v>13.102964270872068</v>
      </c>
    </row>
    <row r="451" spans="1:4">
      <c r="A451" s="988">
        <v>12860</v>
      </c>
      <c r="B451" s="988">
        <v>13.105275560025047</v>
      </c>
      <c r="C451" s="988">
        <v>19.105</v>
      </c>
      <c r="D451" s="990">
        <v>13.103441138182889</v>
      </c>
    </row>
    <row r="452" spans="1:4">
      <c r="A452" s="988">
        <v>12865</v>
      </c>
      <c r="B452" s="988">
        <v>13.10441985659504</v>
      </c>
      <c r="C452" s="988">
        <v>19.143000000000001</v>
      </c>
      <c r="D452" s="990">
        <v>13.103781712352824</v>
      </c>
    </row>
    <row r="453" spans="1:4">
      <c r="A453" s="988">
        <v>12870</v>
      </c>
      <c r="B453" s="988">
        <v>13.104186720664213</v>
      </c>
      <c r="C453" s="988">
        <v>19.195</v>
      </c>
      <c r="D453" s="990">
        <v>13.10413772944149</v>
      </c>
    </row>
    <row r="454" spans="1:4">
      <c r="A454" s="988">
        <v>12875</v>
      </c>
      <c r="B454" s="988">
        <v>13.104603358026194</v>
      </c>
      <c r="C454" s="988">
        <v>19.203499999999998</v>
      </c>
      <c r="D454" s="990">
        <v>13.104476038966247</v>
      </c>
    </row>
    <row r="455" spans="1:4">
      <c r="A455" s="988">
        <v>12880</v>
      </c>
      <c r="B455" s="988">
        <v>13.105672088211959</v>
      </c>
      <c r="C455" s="988">
        <v>19.2255</v>
      </c>
      <c r="D455" s="990">
        <v>13.104797914988255</v>
      </c>
    </row>
    <row r="456" spans="1:4">
      <c r="A456" s="988">
        <v>12885</v>
      </c>
      <c r="B456" s="988">
        <v>13.107391863426702</v>
      </c>
      <c r="C456" s="988">
        <v>19.25</v>
      </c>
      <c r="D456" s="990">
        <v>13.10510249636828</v>
      </c>
    </row>
    <row r="457" spans="1:4">
      <c r="A457" s="988">
        <v>12890</v>
      </c>
      <c r="B457" s="988">
        <v>13.10976173126816</v>
      </c>
      <c r="C457" s="988">
        <v>19.240000000000002</v>
      </c>
      <c r="D457" s="990">
        <v>13.105389071809865</v>
      </c>
    </row>
    <row r="458" spans="1:4">
      <c r="A458" s="988">
        <v>12895</v>
      </c>
      <c r="B458" s="988">
        <v>13.112783016284752</v>
      </c>
      <c r="C458" s="988">
        <v>19.236000000000001</v>
      </c>
      <c r="D458" s="990">
        <v>13.105659361354103</v>
      </c>
    </row>
    <row r="459" spans="1:4">
      <c r="A459" s="988">
        <v>12900</v>
      </c>
      <c r="B459" s="988">
        <v>13.116452871367976</v>
      </c>
      <c r="C459" s="988">
        <v>19.239000000000001</v>
      </c>
      <c r="D459" s="990">
        <v>13.105910879069977</v>
      </c>
    </row>
    <row r="460" spans="1:4">
      <c r="A460" s="988">
        <v>12905</v>
      </c>
      <c r="B460" s="988">
        <v>13.120773141622266</v>
      </c>
      <c r="C460" s="988">
        <v>19.2545</v>
      </c>
      <c r="D460" s="990">
        <v>13.106146049429606</v>
      </c>
    </row>
    <row r="461" spans="1:4">
      <c r="A461" s="988">
        <v>12910</v>
      </c>
      <c r="B461" s="988">
        <v>13.125738186256708</v>
      </c>
      <c r="C461" s="988">
        <v>19.256499999999999</v>
      </c>
      <c r="D461" s="990">
        <v>13.106360437697788</v>
      </c>
    </row>
    <row r="462" spans="1:4">
      <c r="A462" s="988">
        <v>12915</v>
      </c>
      <c r="B462" s="988">
        <v>13.130917676792615</v>
      </c>
      <c r="C462" s="988">
        <v>19.252500000000001</v>
      </c>
      <c r="D462" s="990">
        <v>13.106255133110688</v>
      </c>
    </row>
    <row r="463" spans="1:4">
      <c r="A463" s="988">
        <v>12920</v>
      </c>
      <c r="B463" s="988">
        <v>13.135925325960516</v>
      </c>
      <c r="C463" s="988">
        <v>19.248000000000001</v>
      </c>
      <c r="D463" s="990">
        <v>13.105825090288416</v>
      </c>
    </row>
    <row r="464" spans="1:4">
      <c r="A464" s="988">
        <v>12925</v>
      </c>
      <c r="B464" s="988">
        <v>13.140706670205805</v>
      </c>
      <c r="C464" s="988">
        <v>19.2455</v>
      </c>
      <c r="D464" s="990">
        <v>13.10520451775095</v>
      </c>
    </row>
    <row r="465" spans="1:4">
      <c r="A465" s="988">
        <v>12930</v>
      </c>
      <c r="B465" s="988">
        <v>13.145208620922944</v>
      </c>
      <c r="C465" s="988">
        <v>19.265000000000001</v>
      </c>
      <c r="D465" s="990">
        <v>13.104475780486238</v>
      </c>
    </row>
    <row r="466" spans="1:4">
      <c r="A466" s="988">
        <v>12935</v>
      </c>
      <c r="B466" s="988">
        <v>13.14937453156055</v>
      </c>
      <c r="C466" s="988">
        <v>19.264499999999998</v>
      </c>
      <c r="D466" s="990">
        <v>13.103705657940418</v>
      </c>
    </row>
    <row r="467" spans="1:4">
      <c r="A467" s="988">
        <v>12940</v>
      </c>
      <c r="B467" s="988">
        <v>13.15315429784604</v>
      </c>
      <c r="C467" s="988">
        <v>19.250999999999998</v>
      </c>
      <c r="D467" s="990">
        <v>13.102951288468173</v>
      </c>
    </row>
    <row r="468" spans="1:4">
      <c r="A468" s="988">
        <v>12945</v>
      </c>
      <c r="B468" s="988">
        <v>13.156491556556615</v>
      </c>
      <c r="C468" s="988">
        <v>19.222500000000004</v>
      </c>
      <c r="D468" s="990">
        <v>13.1022513877394</v>
      </c>
    </row>
    <row r="469" spans="1:4">
      <c r="A469" s="988">
        <v>12950</v>
      </c>
      <c r="B469" s="988">
        <v>13.159335206096282</v>
      </c>
      <c r="C469" s="988">
        <v>19.213000000000001</v>
      </c>
      <c r="D469" s="990">
        <v>13.101634179726547</v>
      </c>
    </row>
    <row r="470" spans="1:4">
      <c r="A470" s="988">
        <v>12955</v>
      </c>
      <c r="B470" s="988">
        <v>13.161629687335084</v>
      </c>
      <c r="C470" s="988">
        <v>19.185499999999998</v>
      </c>
      <c r="D470" s="990">
        <v>13.101111629690106</v>
      </c>
    </row>
    <row r="471" spans="1:4">
      <c r="A471" s="988">
        <v>12960</v>
      </c>
      <c r="B471" s="988">
        <v>13.163321527003383</v>
      </c>
      <c r="C471" s="988">
        <v>19.168500000000002</v>
      </c>
      <c r="D471" s="990">
        <v>13.100682349515509</v>
      </c>
    </row>
    <row r="472" spans="1:4">
      <c r="A472" s="988">
        <v>12965</v>
      </c>
      <c r="B472" s="988">
        <v>13.164357631839565</v>
      </c>
      <c r="C472" s="988">
        <v>19.141999999999999</v>
      </c>
      <c r="D472" s="990">
        <v>13.100331235518762</v>
      </c>
    </row>
    <row r="473" spans="1:4">
      <c r="A473" s="988">
        <v>12970</v>
      </c>
      <c r="B473" s="988">
        <v>13.16468794146193</v>
      </c>
      <c r="C473" s="988">
        <v>19.1355</v>
      </c>
      <c r="D473" s="990">
        <v>13.10003301809213</v>
      </c>
    </row>
    <row r="474" spans="1:4">
      <c r="A474" s="988">
        <v>12975</v>
      </c>
      <c r="B474" s="988">
        <v>13.164684955026011</v>
      </c>
      <c r="C474" s="988">
        <v>19.137999999999998</v>
      </c>
      <c r="D474" s="990">
        <v>13.099960672694715</v>
      </c>
    </row>
    <row r="475" spans="1:4">
      <c r="A475" s="988">
        <v>12980</v>
      </c>
      <c r="B475" s="988">
        <v>13.164681968561128</v>
      </c>
      <c r="C475" s="988">
        <v>19.119500000000002</v>
      </c>
      <c r="D475" s="990">
        <v>13.099957672694849</v>
      </c>
    </row>
    <row r="476" spans="1:4">
      <c r="A476" s="988">
        <v>12985</v>
      </c>
      <c r="B476" s="988">
        <v>13.164679977613513</v>
      </c>
      <c r="C476" s="988">
        <v>19.078499999999998</v>
      </c>
      <c r="D476" s="990">
        <v>13.099955672694938</v>
      </c>
    </row>
    <row r="477" spans="1:4">
      <c r="A477" s="988">
        <v>12990</v>
      </c>
      <c r="B477" s="988">
        <v>13.164676991177613</v>
      </c>
      <c r="C477" s="988">
        <v>19.044499999999999</v>
      </c>
      <c r="D477" s="990">
        <v>13.099952672725484</v>
      </c>
    </row>
    <row r="478" spans="1:4">
      <c r="A478" s="988">
        <v>12995</v>
      </c>
      <c r="B478" s="988">
        <v>13.164674004741716</v>
      </c>
      <c r="C478" s="988">
        <v>19.009500000000003</v>
      </c>
      <c r="D478" s="990">
        <v>13.099949672795937</v>
      </c>
    </row>
    <row r="479" spans="1:4">
      <c r="A479" s="988">
        <v>13000</v>
      </c>
      <c r="B479" s="988">
        <v>13.164671018305828</v>
      </c>
      <c r="C479" s="988">
        <v>18.982999999999997</v>
      </c>
      <c r="D479" s="990">
        <v>13.099946672817376</v>
      </c>
    </row>
    <row r="480" spans="1:4">
      <c r="A480" s="988">
        <v>13005</v>
      </c>
      <c r="B480" s="988">
        <v>13.164669027329257</v>
      </c>
      <c r="C480" s="988">
        <v>18.941000000000003</v>
      </c>
      <c r="D480" s="990">
        <v>13.099944672817465</v>
      </c>
    </row>
    <row r="481" spans="1:4">
      <c r="A481" s="988">
        <v>13010</v>
      </c>
      <c r="B481" s="988">
        <v>13.164666040893378</v>
      </c>
      <c r="C481" s="988">
        <v>18.914000000000001</v>
      </c>
      <c r="D481" s="990">
        <v>13.099941672848011</v>
      </c>
    </row>
    <row r="482" spans="1:4">
      <c r="A482" s="988">
        <v>13015</v>
      </c>
      <c r="B482" s="988">
        <v>13.164663149422337</v>
      </c>
      <c r="C482" s="988">
        <v>18.874500000000001</v>
      </c>
      <c r="D482" s="990">
        <v>13.099938669838204</v>
      </c>
    </row>
    <row r="483" spans="1:4">
      <c r="A483" s="988">
        <v>13020</v>
      </c>
      <c r="B483" s="988">
        <v>13.164660162986491</v>
      </c>
      <c r="C483" s="988">
        <v>18.8385</v>
      </c>
      <c r="D483" s="990">
        <v>13.099935668790527</v>
      </c>
    </row>
    <row r="484" spans="1:4">
      <c r="A484" s="988">
        <v>13025</v>
      </c>
      <c r="B484" s="988">
        <v>13.164658077034028</v>
      </c>
      <c r="C484" s="988">
        <v>18.814</v>
      </c>
      <c r="D484" s="990">
        <v>13.099933672909385</v>
      </c>
    </row>
    <row r="485" spans="1:4">
      <c r="A485" s="988">
        <v>13030</v>
      </c>
      <c r="B485" s="988">
        <v>13.164655090609227</v>
      </c>
      <c r="C485" s="988">
        <v>18.785</v>
      </c>
      <c r="D485" s="990">
        <v>13.099930672909615</v>
      </c>
    </row>
    <row r="486" spans="1:4">
      <c r="A486" s="988">
        <v>13035</v>
      </c>
      <c r="B486" s="988">
        <v>13.164653099632678</v>
      </c>
      <c r="C486" s="988">
        <v>18.757000000000001</v>
      </c>
      <c r="D486" s="990">
        <v>13.099928412173067</v>
      </c>
    </row>
    <row r="487" spans="1:4">
      <c r="A487" s="988">
        <v>13040</v>
      </c>
      <c r="B487" s="988">
        <v>13.164650113196833</v>
      </c>
      <c r="C487" s="988">
        <v>18.726500000000001</v>
      </c>
      <c r="D487" s="990">
        <v>13.099925672970857</v>
      </c>
    </row>
    <row r="488" spans="1:4">
      <c r="A488" s="988">
        <v>13045</v>
      </c>
      <c r="B488" s="988">
        <v>13.164648122209234</v>
      </c>
      <c r="C488" s="988">
        <v>18.692999999999998</v>
      </c>
      <c r="D488" s="990">
        <v>13.099923672970847</v>
      </c>
    </row>
    <row r="489" spans="1:4">
      <c r="A489" s="988">
        <v>13050</v>
      </c>
      <c r="B489" s="988">
        <v>13.164645135784454</v>
      </c>
      <c r="C489" s="988">
        <v>18.661999999999999</v>
      </c>
      <c r="D489" s="990">
        <v>13.099920673001588</v>
      </c>
    </row>
    <row r="490" spans="1:4">
      <c r="A490" s="988">
        <v>13055</v>
      </c>
      <c r="B490" s="988">
        <v>13.164642149348625</v>
      </c>
      <c r="C490" s="988">
        <v>18.652999999999999</v>
      </c>
      <c r="D490" s="990">
        <v>13.099917673062741</v>
      </c>
    </row>
    <row r="491" spans="1:4">
      <c r="A491" s="988">
        <v>13060</v>
      </c>
      <c r="B491" s="988">
        <v>13.164640158372093</v>
      </c>
      <c r="C491" s="988">
        <v>18.626999999999999</v>
      </c>
      <c r="D491" s="990">
        <v>13.09991567306283</v>
      </c>
    </row>
    <row r="492" spans="1:4">
      <c r="A492" s="988">
        <v>13065</v>
      </c>
      <c r="B492" s="988">
        <v>13.164637171925218</v>
      </c>
      <c r="C492" s="988">
        <v>18.592500000000001</v>
      </c>
      <c r="D492" s="990">
        <v>13.099912673062866</v>
      </c>
    </row>
    <row r="493" spans="1:4">
      <c r="A493" s="988">
        <v>13070</v>
      </c>
      <c r="B493" s="988">
        <v>13.164634185529433</v>
      </c>
      <c r="C493" s="988">
        <v>18.585000000000001</v>
      </c>
      <c r="D493" s="990">
        <v>13.099909673133263</v>
      </c>
    </row>
    <row r="494" spans="1:4">
      <c r="A494" s="988">
        <v>13075</v>
      </c>
      <c r="B494" s="988">
        <v>13.164631199064655</v>
      </c>
      <c r="C494" s="988">
        <v>18.591000000000001</v>
      </c>
      <c r="D494" s="990">
        <v>13.099906673124249</v>
      </c>
    </row>
    <row r="495" spans="1:4">
      <c r="A495" s="988">
        <v>13080</v>
      </c>
      <c r="B495" s="988">
        <v>13.164629303082187</v>
      </c>
      <c r="C495" s="988">
        <v>18.5855</v>
      </c>
      <c r="D495" s="990">
        <v>13.0999046701211</v>
      </c>
    </row>
    <row r="496" spans="1:4">
      <c r="A496" s="988">
        <v>13085</v>
      </c>
      <c r="B496" s="988">
        <v>13.164626316635356</v>
      </c>
      <c r="C496" s="988">
        <v>18.578499999999998</v>
      </c>
      <c r="D496" s="990">
        <v>13.099901669097035</v>
      </c>
    </row>
    <row r="497" spans="1:4">
      <c r="A497" s="988">
        <v>13090</v>
      </c>
      <c r="B497" s="988">
        <v>13.164623330181669</v>
      </c>
      <c r="C497" s="988">
        <v>18.557000000000002</v>
      </c>
      <c r="D497" s="990">
        <v>13.099898669127777</v>
      </c>
    </row>
    <row r="498" spans="1:4">
      <c r="A498" s="988">
        <v>13095</v>
      </c>
      <c r="B498" s="988">
        <v>13.164620343745906</v>
      </c>
      <c r="C498" s="988">
        <v>18.548000000000002</v>
      </c>
      <c r="D498" s="990">
        <v>13.099895669127909</v>
      </c>
    </row>
    <row r="499" spans="1:4">
      <c r="A499" s="988">
        <v>13100</v>
      </c>
      <c r="B499" s="988">
        <v>13.164618257804266</v>
      </c>
      <c r="C499" s="988">
        <v>18.523499999999999</v>
      </c>
      <c r="D499" s="990">
        <v>13.099893673216355</v>
      </c>
    </row>
    <row r="500" spans="1:4">
      <c r="A500" s="988">
        <v>13105</v>
      </c>
      <c r="B500" s="988">
        <v>13.16461626685674</v>
      </c>
      <c r="C500" s="988">
        <v>18.5075</v>
      </c>
      <c r="D500" s="990">
        <v>13.099891412472831</v>
      </c>
    </row>
    <row r="501" spans="1:4">
      <c r="A501" s="988">
        <v>13110</v>
      </c>
      <c r="B501" s="988">
        <v>13.164613280420969</v>
      </c>
      <c r="C501" s="988">
        <v>18.492999999999999</v>
      </c>
      <c r="D501" s="990">
        <v>13.099888673277597</v>
      </c>
    </row>
    <row r="502" spans="1:4">
      <c r="A502" s="988">
        <v>13115</v>
      </c>
      <c r="B502" s="988">
        <v>13.164610293956233</v>
      </c>
      <c r="C502" s="988">
        <v>18.484000000000002</v>
      </c>
      <c r="D502" s="990">
        <v>13.09988567330824</v>
      </c>
    </row>
    <row r="503" spans="1:4">
      <c r="A503" s="988">
        <v>13120</v>
      </c>
      <c r="B503" s="988">
        <v>13.164608303008718</v>
      </c>
      <c r="C503" s="988">
        <v>18.468499999999999</v>
      </c>
      <c r="D503" s="990">
        <v>13.099883673338839</v>
      </c>
    </row>
    <row r="504" spans="1:4">
      <c r="A504" s="988">
        <v>13125</v>
      </c>
      <c r="B504" s="988">
        <v>13.164605316572965</v>
      </c>
      <c r="C504" s="988">
        <v>18.447499999999998</v>
      </c>
      <c r="D504" s="990">
        <v>13.099880673369382</v>
      </c>
    </row>
    <row r="505" spans="1:4">
      <c r="A505" s="988">
        <v>13130</v>
      </c>
      <c r="B505" s="988">
        <v>13.164602330108245</v>
      </c>
      <c r="C505" s="988">
        <v>18.3855</v>
      </c>
      <c r="D505" s="990">
        <v>13.099877673339105</v>
      </c>
    </row>
    <row r="506" spans="1:4">
      <c r="A506" s="988">
        <v>13135</v>
      </c>
      <c r="B506" s="988">
        <v>13.164599343672505</v>
      </c>
      <c r="C506" s="988">
        <v>18.353000000000002</v>
      </c>
      <c r="D506" s="990">
        <v>13.099874673369747</v>
      </c>
    </row>
    <row r="507" spans="1:4">
      <c r="A507" s="988">
        <v>13140</v>
      </c>
      <c r="B507" s="988">
        <v>13.164597352696031</v>
      </c>
      <c r="C507" s="988">
        <v>18.336500000000001</v>
      </c>
      <c r="D507" s="990">
        <v>13.099872673369836</v>
      </c>
    </row>
    <row r="508" spans="1:4">
      <c r="A508" s="988">
        <v>13145</v>
      </c>
      <c r="B508" s="988">
        <v>13.1645944612546</v>
      </c>
      <c r="C508" s="988">
        <v>18.312000000000001</v>
      </c>
      <c r="D508" s="990">
        <v>13.099869670413236</v>
      </c>
    </row>
    <row r="509" spans="1:4">
      <c r="A509" s="988">
        <v>13150</v>
      </c>
      <c r="B509" s="988">
        <v>13.164591474818897</v>
      </c>
      <c r="C509" s="988">
        <v>18.276</v>
      </c>
      <c r="D509" s="990">
        <v>13.099866669373274</v>
      </c>
    </row>
    <row r="510" spans="1:4">
      <c r="A510" s="988">
        <v>13155</v>
      </c>
      <c r="B510" s="988">
        <v>13.164588488383201</v>
      </c>
      <c r="C510" s="988">
        <v>18.247999999999998</v>
      </c>
      <c r="D510" s="990">
        <v>13.099863669434427</v>
      </c>
    </row>
    <row r="511" spans="1:4">
      <c r="A511" s="988">
        <v>13160</v>
      </c>
      <c r="B511" s="988">
        <v>13.164586497395701</v>
      </c>
      <c r="C511" s="988">
        <v>18.223500000000001</v>
      </c>
      <c r="D511" s="990">
        <v>13.099861669403907</v>
      </c>
    </row>
    <row r="512" spans="1:4">
      <c r="A512" s="988">
        <v>13165</v>
      </c>
      <c r="B512" s="988">
        <v>13.16458351097107</v>
      </c>
      <c r="C512" s="988">
        <v>18.202500000000001</v>
      </c>
      <c r="D512" s="990">
        <v>13.099858669434649</v>
      </c>
    </row>
    <row r="513" spans="1:4">
      <c r="A513" s="988">
        <v>13170</v>
      </c>
      <c r="B513" s="988">
        <v>13.164580524506418</v>
      </c>
      <c r="C513" s="988">
        <v>18.184000000000001</v>
      </c>
      <c r="D513" s="990">
        <v>13.099855669465292</v>
      </c>
    </row>
    <row r="514" spans="1:4">
      <c r="A514" s="988">
        <v>13175</v>
      </c>
      <c r="B514" s="988">
        <v>13.164579434081739</v>
      </c>
      <c r="C514" s="988">
        <v>18.157</v>
      </c>
      <c r="D514" s="990">
        <v>13.099854412833841</v>
      </c>
    </row>
    <row r="515" spans="1:4">
      <c r="A515" s="988">
        <v>13180</v>
      </c>
      <c r="B515" s="988">
        <v>13.164576447634989</v>
      </c>
      <c r="C515" s="988">
        <v>18.123000000000001</v>
      </c>
      <c r="D515" s="990">
        <v>13.099851673614747</v>
      </c>
    </row>
    <row r="516" spans="1:4">
      <c r="A516" s="988">
        <v>13185</v>
      </c>
      <c r="B516" s="988">
        <v>13.164573461181385</v>
      </c>
      <c r="C516" s="988">
        <v>18.106999999999999</v>
      </c>
      <c r="D516" s="990">
        <v>13.09984867358447</v>
      </c>
    </row>
    <row r="517" spans="1:4">
      <c r="A517" s="988">
        <v>13190</v>
      </c>
      <c r="B517" s="988">
        <v>13.164570474745704</v>
      </c>
      <c r="C517" s="988">
        <v>18.076499999999999</v>
      </c>
      <c r="D517" s="990">
        <v>13.099845673645623</v>
      </c>
    </row>
    <row r="518" spans="1:4">
      <c r="A518" s="988">
        <v>13195</v>
      </c>
      <c r="B518" s="988">
        <v>13.164568483769273</v>
      </c>
      <c r="C518" s="988">
        <v>18.052500000000002</v>
      </c>
      <c r="D518" s="990">
        <v>13.099843673645712</v>
      </c>
    </row>
    <row r="519" spans="1:4">
      <c r="A519" s="988">
        <v>13200</v>
      </c>
      <c r="B519" s="988">
        <v>13.164565497322544</v>
      </c>
      <c r="C519" s="988">
        <v>18.015999999999998</v>
      </c>
      <c r="D519" s="990">
        <v>13.099840673676255</v>
      </c>
    </row>
    <row r="520" spans="1:4">
      <c r="A520" s="988">
        <v>13205</v>
      </c>
      <c r="B520" s="988">
        <v>13.164562510897934</v>
      </c>
      <c r="C520" s="988">
        <v>17.971</v>
      </c>
      <c r="D520" s="990">
        <v>13.099837673706997</v>
      </c>
    </row>
    <row r="521" spans="1:4">
      <c r="A521" s="988">
        <v>13210</v>
      </c>
      <c r="B521" s="988">
        <v>13.164559619398881</v>
      </c>
      <c r="C521" s="988">
        <v>17.950500000000002</v>
      </c>
      <c r="D521" s="990">
        <v>13.099834670687382</v>
      </c>
    </row>
    <row r="522" spans="1:4">
      <c r="A522" s="988">
        <v>13215</v>
      </c>
      <c r="B522" s="988">
        <v>13.164557628451451</v>
      </c>
      <c r="C522" s="988">
        <v>17.9285</v>
      </c>
      <c r="D522" s="990">
        <v>13.099832669649372</v>
      </c>
    </row>
    <row r="523" spans="1:4">
      <c r="A523" s="988">
        <v>13220</v>
      </c>
      <c r="B523" s="988">
        <v>13.164554642033741</v>
      </c>
      <c r="C523" s="988">
        <v>17.9025</v>
      </c>
      <c r="D523" s="990">
        <v>13.099829669658437</v>
      </c>
    </row>
    <row r="524" spans="1:4">
      <c r="A524" s="988">
        <v>13225</v>
      </c>
      <c r="B524" s="988">
        <v>13.164551655580203</v>
      </c>
      <c r="C524" s="988">
        <v>17.882999999999999</v>
      </c>
      <c r="D524" s="990">
        <v>13.099826669710657</v>
      </c>
    </row>
    <row r="525" spans="1:4">
      <c r="A525" s="988">
        <v>13230</v>
      </c>
      <c r="B525" s="988">
        <v>13.164548669144587</v>
      </c>
      <c r="C525" s="988">
        <v>17.852999999999998</v>
      </c>
      <c r="D525" s="990">
        <v>13.09982366977181</v>
      </c>
    </row>
    <row r="526" spans="1:4">
      <c r="A526" s="988">
        <v>13235</v>
      </c>
      <c r="B526" s="988">
        <v>13.1645466781682</v>
      </c>
      <c r="C526" s="988">
        <v>17.823</v>
      </c>
      <c r="D526" s="990">
        <v>13.099821669741388</v>
      </c>
    </row>
    <row r="527" spans="1:4">
      <c r="A527" s="988">
        <v>13240</v>
      </c>
      <c r="B527" s="988">
        <v>13.164543691721541</v>
      </c>
      <c r="C527" s="988">
        <v>17.794</v>
      </c>
      <c r="D527" s="990">
        <v>13.099818669771931</v>
      </c>
    </row>
    <row r="528" spans="1:4">
      <c r="A528" s="988">
        <v>13245</v>
      </c>
      <c r="B528" s="988">
        <v>13.164541700785186</v>
      </c>
      <c r="C528" s="988">
        <v>17.768999999999998</v>
      </c>
      <c r="D528" s="990">
        <v>13.099816409057386</v>
      </c>
    </row>
    <row r="529" spans="1:4">
      <c r="A529" s="988">
        <v>13250</v>
      </c>
      <c r="B529" s="988">
        <v>13.164538619383864</v>
      </c>
      <c r="C529" s="988">
        <v>17.746000000000002</v>
      </c>
      <c r="D529" s="990">
        <v>13.099813673921631</v>
      </c>
    </row>
    <row r="530" spans="1:4">
      <c r="A530" s="988">
        <v>13255</v>
      </c>
      <c r="B530" s="988">
        <v>13.164536628407475</v>
      </c>
      <c r="C530" s="988">
        <v>17.721500000000002</v>
      </c>
      <c r="D530" s="990">
        <v>13.099811673952228</v>
      </c>
    </row>
    <row r="531" spans="1:4">
      <c r="A531" s="988">
        <v>13260</v>
      </c>
      <c r="B531" s="988">
        <v>13.16453364197187</v>
      </c>
      <c r="C531" s="988">
        <v>17.694499999999998</v>
      </c>
      <c r="D531" s="990">
        <v>13.099808673921752</v>
      </c>
    </row>
    <row r="532" spans="1:4">
      <c r="A532" s="988">
        <v>13265</v>
      </c>
      <c r="B532" s="988">
        <v>13.164530655507297</v>
      </c>
      <c r="C532" s="988">
        <v>17.654999999999998</v>
      </c>
      <c r="D532" s="990">
        <v>13.099805673983004</v>
      </c>
    </row>
    <row r="533" spans="1:4">
      <c r="A533" s="988">
        <v>13270</v>
      </c>
      <c r="B533" s="988">
        <v>13.164527669071704</v>
      </c>
      <c r="C533" s="988">
        <v>17.630000000000003</v>
      </c>
      <c r="D533" s="990">
        <v>13.099802673983138</v>
      </c>
    </row>
    <row r="534" spans="1:4">
      <c r="A534" s="988">
        <v>13275</v>
      </c>
      <c r="B534" s="988">
        <v>13.164525773090125</v>
      </c>
      <c r="C534" s="988">
        <v>17.603000000000002</v>
      </c>
      <c r="D534" s="990">
        <v>13.099800671000789</v>
      </c>
    </row>
    <row r="535" spans="1:4">
      <c r="A535" s="988">
        <v>13280</v>
      </c>
      <c r="B535" s="988">
        <v>13.164522786625593</v>
      </c>
      <c r="C535" s="988">
        <v>17.5505</v>
      </c>
      <c r="D535" s="990">
        <v>13.099797669955921</v>
      </c>
    </row>
    <row r="536" spans="1:4">
      <c r="A536" s="988">
        <v>13285</v>
      </c>
      <c r="B536" s="988">
        <v>13.164519800190035</v>
      </c>
      <c r="C536" s="988">
        <v>17.521000000000001</v>
      </c>
      <c r="D536" s="990">
        <v>13.099794669986665</v>
      </c>
    </row>
    <row r="537" spans="1:4">
      <c r="A537" s="988">
        <v>13290</v>
      </c>
      <c r="B537" s="988">
        <v>13.16451780924266</v>
      </c>
      <c r="C537" s="988">
        <v>17.5045</v>
      </c>
      <c r="D537" s="990">
        <v>13.099792669995734</v>
      </c>
    </row>
    <row r="538" spans="1:4">
      <c r="A538" s="988">
        <v>13295</v>
      </c>
      <c r="B538" s="988">
        <v>13.164514822807115</v>
      </c>
      <c r="C538" s="988">
        <v>17.483499999999999</v>
      </c>
      <c r="D538" s="990">
        <v>13.099789670017396</v>
      </c>
    </row>
    <row r="539" spans="1:4">
      <c r="A539" s="988">
        <v>13300</v>
      </c>
      <c r="B539" s="988">
        <v>13.164511836371577</v>
      </c>
      <c r="C539" s="988">
        <v>17.485999999999997</v>
      </c>
      <c r="D539" s="990">
        <v>13.099786670047939</v>
      </c>
    </row>
    <row r="540" spans="1:4">
      <c r="A540" s="988">
        <v>13305</v>
      </c>
      <c r="B540" s="988">
        <v>13.164508849907072</v>
      </c>
      <c r="C540" s="988">
        <v>17.474</v>
      </c>
      <c r="D540" s="990">
        <v>13.099783670048172</v>
      </c>
    </row>
    <row r="541" spans="1:4">
      <c r="A541" s="988">
        <v>13310</v>
      </c>
      <c r="B541" s="988">
        <v>13.164506858959712</v>
      </c>
      <c r="C541" s="988">
        <v>17.4695</v>
      </c>
      <c r="D541" s="990">
        <v>13.099781670109282</v>
      </c>
    </row>
    <row r="542" spans="1:4">
      <c r="A542" s="988">
        <v>13315</v>
      </c>
      <c r="B542" s="988">
        <v>13.164504868012353</v>
      </c>
      <c r="C542" s="988">
        <v>17.483999999999998</v>
      </c>
      <c r="D542" s="990">
        <v>13.099779409387773</v>
      </c>
    </row>
    <row r="543" spans="1:4">
      <c r="A543" s="988">
        <v>13320</v>
      </c>
      <c r="B543" s="988">
        <v>13.164501881547864</v>
      </c>
      <c r="C543" s="988">
        <v>17.511499999999998</v>
      </c>
      <c r="D543" s="990">
        <v>13.099776670139912</v>
      </c>
    </row>
    <row r="544" spans="1:4">
      <c r="A544" s="988">
        <v>13325</v>
      </c>
      <c r="B544" s="988">
        <v>13.164498800146335</v>
      </c>
      <c r="C544" s="988">
        <v>17.541499999999999</v>
      </c>
      <c r="D544" s="990">
        <v>13.099773674259012</v>
      </c>
    </row>
    <row r="545" spans="1:4">
      <c r="A545" s="988">
        <v>13330</v>
      </c>
      <c r="B545" s="988">
        <v>13.16449680917</v>
      </c>
      <c r="C545" s="988">
        <v>17.576500000000003</v>
      </c>
      <c r="D545" s="990">
        <v>13.099771674259101</v>
      </c>
    </row>
    <row r="546" spans="1:4">
      <c r="A546" s="988">
        <v>13335</v>
      </c>
      <c r="B546" s="988">
        <v>13.164493822723422</v>
      </c>
      <c r="C546" s="988">
        <v>17.5945</v>
      </c>
      <c r="D546" s="990">
        <v>13.099768674259133</v>
      </c>
    </row>
    <row r="547" spans="1:4">
      <c r="A547" s="988">
        <v>13340</v>
      </c>
      <c r="B547" s="988">
        <v>13.164490931265034</v>
      </c>
      <c r="C547" s="988">
        <v>17.632999999999999</v>
      </c>
      <c r="D547" s="990">
        <v>13.099765671283929</v>
      </c>
    </row>
    <row r="548" spans="1:4">
      <c r="A548" s="988">
        <v>13345</v>
      </c>
      <c r="B548" s="988">
        <v>13.164487944829544</v>
      </c>
      <c r="C548" s="988">
        <v>17.6905</v>
      </c>
      <c r="D548" s="990">
        <v>13.099762670232163</v>
      </c>
    </row>
    <row r="549" spans="1:4">
      <c r="A549" s="988">
        <v>13350</v>
      </c>
      <c r="B549" s="988">
        <v>13.164485953853239</v>
      </c>
      <c r="C549" s="988">
        <v>17.761000000000003</v>
      </c>
      <c r="D549" s="990">
        <v>13.099760670262762</v>
      </c>
    </row>
    <row r="550" spans="1:4">
      <c r="A550" s="988">
        <v>13355</v>
      </c>
      <c r="B550" s="988">
        <v>13.164482967406705</v>
      </c>
      <c r="C550" s="988">
        <v>17.853000000000002</v>
      </c>
      <c r="D550" s="990">
        <v>13.099757670293304</v>
      </c>
    </row>
    <row r="551" spans="1:4">
      <c r="A551" s="988">
        <v>13360</v>
      </c>
      <c r="B551" s="988">
        <v>13.164479980953315</v>
      </c>
      <c r="C551" s="988">
        <v>17.932000000000002</v>
      </c>
      <c r="D551" s="990">
        <v>13.099754670293537</v>
      </c>
    </row>
    <row r="552" spans="1:4">
      <c r="A552" s="988">
        <v>13365</v>
      </c>
      <c r="B552" s="988">
        <v>13.164476994546821</v>
      </c>
      <c r="C552" s="988">
        <v>18.0075</v>
      </c>
      <c r="D552" s="990">
        <v>13.099751670333102</v>
      </c>
    </row>
    <row r="553" spans="1:4">
      <c r="A553" s="988">
        <v>13370</v>
      </c>
      <c r="B553" s="988">
        <v>13.164475003599504</v>
      </c>
      <c r="C553" s="988">
        <v>18.070499999999999</v>
      </c>
      <c r="D553" s="990">
        <v>13.099749670354779</v>
      </c>
    </row>
    <row r="554" spans="1:4">
      <c r="A554" s="988">
        <v>13375</v>
      </c>
      <c r="B554" s="988">
        <v>13.164472017124019</v>
      </c>
      <c r="C554" s="988">
        <v>18.142000000000003</v>
      </c>
      <c r="D554" s="990">
        <v>13.09974667038532</v>
      </c>
    </row>
    <row r="555" spans="1:4">
      <c r="A555" s="988">
        <v>13380</v>
      </c>
      <c r="B555" s="988">
        <v>13.164469030699625</v>
      </c>
      <c r="C555" s="988">
        <v>18.2165</v>
      </c>
      <c r="D555" s="990">
        <v>13.099743670385555</v>
      </c>
    </row>
    <row r="556" spans="1:4">
      <c r="A556" s="988">
        <v>13385</v>
      </c>
      <c r="B556" s="988">
        <v>13.164467039752319</v>
      </c>
      <c r="C556" s="988">
        <v>18.289000000000001</v>
      </c>
      <c r="D556" s="990">
        <v>13.099741409699876</v>
      </c>
    </row>
    <row r="557" spans="1:4">
      <c r="A557" s="988">
        <v>13390</v>
      </c>
      <c r="B557" s="988">
        <v>13.164902870364751</v>
      </c>
      <c r="C557" s="988">
        <v>18.3535</v>
      </c>
      <c r="D557" s="990">
        <v>13.099992308979262</v>
      </c>
    </row>
    <row r="558" spans="1:4">
      <c r="A558" s="988">
        <v>13395</v>
      </c>
      <c r="B558" s="988">
        <v>13.166577506019362</v>
      </c>
      <c r="C558" s="988">
        <v>18.4285</v>
      </c>
      <c r="D558" s="990">
        <v>13.100503568885438</v>
      </c>
    </row>
    <row r="559" spans="1:4">
      <c r="A559" s="988">
        <v>13400</v>
      </c>
      <c r="B559" s="988">
        <v>13.169612731589487</v>
      </c>
      <c r="C559" s="988">
        <v>18.514499999999998</v>
      </c>
      <c r="D559" s="990">
        <v>13.101159085613206</v>
      </c>
    </row>
    <row r="560" spans="1:4">
      <c r="A560" s="988">
        <v>13405</v>
      </c>
      <c r="B560" s="988">
        <v>13.174113319670417</v>
      </c>
      <c r="C560" s="988">
        <v>18.583500000000001</v>
      </c>
      <c r="D560" s="990">
        <v>13.101999955579966</v>
      </c>
    </row>
    <row r="561" spans="1:4">
      <c r="A561" s="988">
        <v>13410</v>
      </c>
      <c r="B561" s="988">
        <v>13.180182486449311</v>
      </c>
      <c r="C561" s="988">
        <v>18.652999999999999</v>
      </c>
      <c r="D561" s="990">
        <v>13.103034618178778</v>
      </c>
    </row>
    <row r="562" spans="1:4">
      <c r="A562" s="988">
        <v>13415</v>
      </c>
      <c r="B562" s="988">
        <v>13.18792170622576</v>
      </c>
      <c r="C562" s="988">
        <v>18.731000000000002</v>
      </c>
      <c r="D562" s="990">
        <v>13.104238706984196</v>
      </c>
    </row>
    <row r="563" spans="1:4">
      <c r="A563" s="988">
        <v>13420</v>
      </c>
      <c r="B563" s="988">
        <v>13.197435363022525</v>
      </c>
      <c r="C563" s="988">
        <v>18.797000000000001</v>
      </c>
      <c r="D563" s="990">
        <v>13.105556946842471</v>
      </c>
    </row>
    <row r="564" spans="1:4">
      <c r="A564" s="988">
        <v>13425</v>
      </c>
      <c r="B564" s="988">
        <v>13.208824928087411</v>
      </c>
      <c r="C564" s="988">
        <v>18.8825</v>
      </c>
      <c r="D564" s="990">
        <v>13.106901474116869</v>
      </c>
    </row>
    <row r="565" spans="1:4">
      <c r="A565" s="988">
        <v>13430</v>
      </c>
      <c r="B565" s="988">
        <v>13.222188260418871</v>
      </c>
      <c r="C565" s="988">
        <v>18.961500000000001</v>
      </c>
      <c r="D565" s="990">
        <v>13.108149167310069</v>
      </c>
    </row>
    <row r="566" spans="1:4">
      <c r="A566" s="988">
        <v>13435</v>
      </c>
      <c r="B566" s="988">
        <v>13.237625783780619</v>
      </c>
      <c r="C566" s="988">
        <v>19.042000000000002</v>
      </c>
      <c r="D566" s="990">
        <v>13.109147930766918</v>
      </c>
    </row>
    <row r="567" spans="1:4">
      <c r="A567" s="988">
        <v>13440</v>
      </c>
      <c r="B567" s="988">
        <v>13.25479827193236</v>
      </c>
      <c r="C567" s="988">
        <v>19.118499999999997</v>
      </c>
      <c r="D567" s="990">
        <v>13.109551693910431</v>
      </c>
    </row>
    <row r="568" spans="1:4">
      <c r="A568" s="988">
        <v>13445</v>
      </c>
      <c r="B568" s="988">
        <v>13.273008796524808</v>
      </c>
      <c r="C568" s="988">
        <v>19.194499999999998</v>
      </c>
      <c r="D568" s="990">
        <v>13.109653269726733</v>
      </c>
    </row>
    <row r="569" spans="1:4">
      <c r="A569" s="988">
        <v>13450</v>
      </c>
      <c r="B569" s="988">
        <v>13.292235963663666</v>
      </c>
      <c r="C569" s="988">
        <v>19.265000000000001</v>
      </c>
      <c r="D569" s="990">
        <v>13.109727883650372</v>
      </c>
    </row>
    <row r="570" spans="1:4">
      <c r="A570" s="988">
        <v>13455</v>
      </c>
      <c r="B570" s="988">
        <v>13.312478237124596</v>
      </c>
      <c r="C570" s="988">
        <v>19.330500000000001</v>
      </c>
      <c r="D570" s="990">
        <v>13.109778955569924</v>
      </c>
    </row>
    <row r="571" spans="1:4">
      <c r="A571" s="988">
        <v>13460</v>
      </c>
      <c r="B571" s="988">
        <v>13.333728059199455</v>
      </c>
      <c r="C571" s="988">
        <v>19.405000000000001</v>
      </c>
      <c r="D571" s="990">
        <v>13.109803835534326</v>
      </c>
    </row>
    <row r="572" spans="1:4">
      <c r="A572" s="988">
        <v>13465</v>
      </c>
      <c r="B572" s="988">
        <v>13.355981188286625</v>
      </c>
      <c r="C572" s="988">
        <v>19.4895</v>
      </c>
      <c r="D572" s="990">
        <v>13.1098025527251</v>
      </c>
    </row>
    <row r="573" spans="1:4">
      <c r="A573" s="988">
        <v>13470</v>
      </c>
      <c r="B573" s="988">
        <v>13.379233157261078</v>
      </c>
      <c r="C573" s="988">
        <v>19.567499999999999</v>
      </c>
      <c r="D573" s="990">
        <v>13.109776429970372</v>
      </c>
    </row>
    <row r="574" spans="1:4">
      <c r="A574" s="988">
        <v>13475</v>
      </c>
      <c r="B574" s="988">
        <v>13.403478655903822</v>
      </c>
      <c r="C574" s="988">
        <v>19.631</v>
      </c>
      <c r="D574" s="990">
        <v>13.109724006958977</v>
      </c>
    </row>
    <row r="575" spans="1:4">
      <c r="A575" s="988">
        <v>13480</v>
      </c>
      <c r="B575" s="988">
        <v>13.428706738223294</v>
      </c>
      <c r="C575" s="988">
        <v>19.723500000000001</v>
      </c>
      <c r="D575" s="990">
        <v>13.109643948962679</v>
      </c>
    </row>
    <row r="576" spans="1:4">
      <c r="A576" s="988">
        <v>13485</v>
      </c>
      <c r="B576" s="988">
        <v>13.453751009475388</v>
      </c>
      <c r="C576" s="988">
        <v>19.785999999999998</v>
      </c>
      <c r="D576" s="990">
        <v>13.109114036153922</v>
      </c>
    </row>
    <row r="577" spans="1:4">
      <c r="A577" s="988">
        <v>13490</v>
      </c>
      <c r="B577" s="988">
        <v>13.476694452136851</v>
      </c>
      <c r="C577" s="988">
        <v>19.8535</v>
      </c>
      <c r="D577" s="990">
        <v>13.108052256361912</v>
      </c>
    </row>
    <row r="578" spans="1:4">
      <c r="A578" s="988">
        <v>13495</v>
      </c>
      <c r="B578" s="988">
        <v>13.497346037042885</v>
      </c>
      <c r="C578" s="988">
        <v>19.9315</v>
      </c>
      <c r="D578" s="990">
        <v>13.106767633818333</v>
      </c>
    </row>
    <row r="579" spans="1:4">
      <c r="A579" s="988">
        <v>13500</v>
      </c>
      <c r="B579" s="988">
        <v>13.515613944442686</v>
      </c>
      <c r="C579" s="988">
        <v>20.013500000000001</v>
      </c>
      <c r="D579" s="990">
        <v>13.105408214682015</v>
      </c>
    </row>
    <row r="580" spans="1:4">
      <c r="A580" s="988">
        <v>13505</v>
      </c>
      <c r="B580" s="988">
        <v>13.531405577338273</v>
      </c>
      <c r="C580" s="988">
        <v>20.072000000000003</v>
      </c>
      <c r="D580" s="990">
        <v>13.104087465694869</v>
      </c>
    </row>
    <row r="581" spans="1:4">
      <c r="A581" s="988">
        <v>13510</v>
      </c>
      <c r="B581" s="988">
        <v>13.544629043197769</v>
      </c>
      <c r="C581" s="988">
        <v>20.146000000000001</v>
      </c>
      <c r="D581" s="990">
        <v>13.102891064185508</v>
      </c>
    </row>
    <row r="582" spans="1:4">
      <c r="A582" s="988">
        <v>13515</v>
      </c>
      <c r="B582" s="988">
        <v>13.555188844034681</v>
      </c>
      <c r="C582" s="988">
        <v>20.222000000000001</v>
      </c>
      <c r="D582" s="990">
        <v>13.101867995937404</v>
      </c>
    </row>
    <row r="583" spans="1:4">
      <c r="A583" s="988">
        <v>13520</v>
      </c>
      <c r="B583" s="988">
        <v>13.562990073504757</v>
      </c>
      <c r="C583" s="988">
        <v>20.296500000000002</v>
      </c>
      <c r="D583" s="990">
        <v>13.101036136948059</v>
      </c>
    </row>
    <row r="584" spans="1:4">
      <c r="A584" s="988">
        <v>13525</v>
      </c>
      <c r="B584" s="988">
        <v>13.567935103951447</v>
      </c>
      <c r="C584" s="988">
        <v>20.365499999999997</v>
      </c>
      <c r="D584" s="990">
        <v>13.100381793862184</v>
      </c>
    </row>
    <row r="585" spans="1:4">
      <c r="A585" s="988">
        <v>13530</v>
      </c>
      <c r="B585" s="988">
        <v>13.569929131339181</v>
      </c>
      <c r="C585" s="988">
        <v>20.429500000000001</v>
      </c>
      <c r="D585" s="990">
        <v>13.099857015869226</v>
      </c>
    </row>
    <row r="586" spans="1:4">
      <c r="A586" s="988">
        <v>13535</v>
      </c>
      <c r="B586" s="988">
        <v>13.570024143015065</v>
      </c>
      <c r="C586" s="988">
        <v>20.5045</v>
      </c>
      <c r="D586" s="990">
        <v>13.099675859091729</v>
      </c>
    </row>
    <row r="587" spans="1:4">
      <c r="A587" s="988">
        <v>13540</v>
      </c>
      <c r="B587" s="988">
        <v>13.570023147009353</v>
      </c>
      <c r="C587" s="988">
        <v>20.603000000000002</v>
      </c>
      <c r="D587" s="990">
        <v>13.099674874389773</v>
      </c>
    </row>
    <row r="588" spans="1:4">
      <c r="A588" s="988">
        <v>13545</v>
      </c>
      <c r="B588" s="988">
        <v>13.570022329077119</v>
      </c>
      <c r="C588" s="988">
        <v>20.671500000000002</v>
      </c>
      <c r="D588" s="990">
        <v>13.099673664901092</v>
      </c>
    </row>
    <row r="589" spans="1:4">
      <c r="A589" s="988">
        <v>13550</v>
      </c>
      <c r="B589" s="988">
        <v>13.570020337007749</v>
      </c>
      <c r="C589" s="988">
        <v>20.752499999999998</v>
      </c>
      <c r="D589" s="990">
        <v>13.099671572109623</v>
      </c>
    </row>
    <row r="590" spans="1:4">
      <c r="A590" s="988">
        <v>13555</v>
      </c>
      <c r="B590" s="988">
        <v>13.570019341002054</v>
      </c>
      <c r="C590" s="988">
        <v>20.826000000000001</v>
      </c>
      <c r="D590" s="990">
        <v>13.099670587407667</v>
      </c>
    </row>
    <row r="591" spans="1:4">
      <c r="A591" s="988">
        <v>13560</v>
      </c>
      <c r="B591" s="988">
        <v>13.570017348932689</v>
      </c>
      <c r="C591" s="988">
        <v>20.898</v>
      </c>
      <c r="D591" s="990">
        <v>13.099668617895491</v>
      </c>
    </row>
    <row r="592" spans="1:4">
      <c r="A592" s="988">
        <v>13565</v>
      </c>
      <c r="B592" s="988">
        <v>13.570016352898007</v>
      </c>
      <c r="C592" s="988">
        <v>20.967500000000001</v>
      </c>
      <c r="D592" s="990">
        <v>13.099667633125781</v>
      </c>
    </row>
    <row r="593" spans="1:4">
      <c r="A593" s="988">
        <v>13570</v>
      </c>
      <c r="B593" s="988">
        <v>13.570015445914713</v>
      </c>
      <c r="C593" s="988">
        <v>21.040500000000002</v>
      </c>
      <c r="D593" s="990">
        <v>13.099666597641116</v>
      </c>
    </row>
    <row r="594" spans="1:4">
      <c r="A594" s="988">
        <v>13575</v>
      </c>
      <c r="B594" s="988">
        <v>13.570013453863988</v>
      </c>
      <c r="C594" s="988">
        <v>21.113999999999997</v>
      </c>
      <c r="D594" s="990">
        <v>13.099664504909024</v>
      </c>
    </row>
    <row r="595" spans="1:4">
      <c r="A595" s="988">
        <v>13580</v>
      </c>
      <c r="B595" s="988">
        <v>13.570012457868668</v>
      </c>
      <c r="C595" s="988">
        <v>21.1785</v>
      </c>
      <c r="D595" s="990">
        <v>13.099663520166137</v>
      </c>
    </row>
    <row r="596" spans="1:4">
      <c r="A596" s="988">
        <v>13585</v>
      </c>
      <c r="B596" s="988">
        <v>13.570010465828313</v>
      </c>
      <c r="C596" s="988">
        <v>21.2395</v>
      </c>
      <c r="D596" s="990">
        <v>13.099661550694892</v>
      </c>
    </row>
    <row r="597" spans="1:4">
      <c r="A597" s="988">
        <v>13590</v>
      </c>
      <c r="B597" s="988">
        <v>13.570009469783274</v>
      </c>
      <c r="C597" s="988">
        <v>21.2775</v>
      </c>
      <c r="D597" s="990">
        <v>13.099660565965694</v>
      </c>
    </row>
    <row r="598" spans="1:4">
      <c r="A598" s="988">
        <v>13595</v>
      </c>
      <c r="B598" s="988">
        <v>13.57000856280011</v>
      </c>
      <c r="C598" s="988">
        <v>21.339500000000001</v>
      </c>
      <c r="D598" s="990">
        <v>13.099659530482421</v>
      </c>
    </row>
    <row r="599" spans="1:4">
      <c r="A599" s="988">
        <v>13600</v>
      </c>
      <c r="B599" s="988">
        <v>13.570006570770138</v>
      </c>
      <c r="C599" s="988">
        <v>21.396999999999998</v>
      </c>
      <c r="D599" s="990">
        <v>13.099657437711917</v>
      </c>
    </row>
    <row r="600" spans="1:4">
      <c r="A600" s="988">
        <v>13605</v>
      </c>
      <c r="B600" s="988">
        <v>13.570005574725108</v>
      </c>
      <c r="C600" s="988">
        <v>21.445500000000003</v>
      </c>
      <c r="D600" s="990">
        <v>13.099656452982721</v>
      </c>
    </row>
    <row r="601" spans="1:4">
      <c r="A601" s="988">
        <v>13610</v>
      </c>
      <c r="B601" s="988">
        <v>13.570004578690448</v>
      </c>
      <c r="C601" s="988">
        <v>21.486999999999998</v>
      </c>
      <c r="D601" s="990">
        <v>13.099655468240252</v>
      </c>
    </row>
    <row r="602" spans="1:4">
      <c r="A602" s="988">
        <v>13615</v>
      </c>
      <c r="B602" s="988">
        <v>13.570002586660479</v>
      </c>
      <c r="C602" s="988">
        <v>21.528500000000001</v>
      </c>
      <c r="D602" s="990">
        <v>13.099653498728076</v>
      </c>
    </row>
    <row r="603" spans="1:4">
      <c r="A603" s="988">
        <v>13620</v>
      </c>
      <c r="B603" s="988">
        <v>13.570001679667078</v>
      </c>
      <c r="C603" s="988">
        <v>21.579499999999999</v>
      </c>
      <c r="D603" s="990">
        <v>13.099652463259465</v>
      </c>
    </row>
    <row r="604" spans="1:4">
      <c r="A604" s="988">
        <v>13625</v>
      </c>
      <c r="B604" s="988">
        <v>13.569999687597774</v>
      </c>
      <c r="C604" s="988">
        <v>21.634499999999999</v>
      </c>
      <c r="D604" s="990">
        <v>13.099650370491062</v>
      </c>
    </row>
    <row r="605" spans="1:4">
      <c r="A605" s="988">
        <v>13630</v>
      </c>
      <c r="B605" s="988">
        <v>13.569998691573488</v>
      </c>
      <c r="C605" s="988">
        <v>21.694500000000001</v>
      </c>
      <c r="D605" s="990">
        <v>13.099649385724847</v>
      </c>
    </row>
    <row r="606" spans="1:4">
      <c r="A606" s="988">
        <v>13635</v>
      </c>
      <c r="B606" s="988">
        <v>13.56999869159211</v>
      </c>
      <c r="C606" s="988">
        <v>21.734000000000002</v>
      </c>
      <c r="D606" s="990">
        <v>13.099648688190753</v>
      </c>
    </row>
    <row r="607" spans="1:4">
      <c r="A607" s="988">
        <v>13640</v>
      </c>
      <c r="B607" s="988">
        <v>13.569996699522807</v>
      </c>
      <c r="C607" s="988">
        <v>21.78</v>
      </c>
      <c r="D607" s="990">
        <v>13.099647416273438</v>
      </c>
    </row>
    <row r="608" spans="1:4">
      <c r="A608" s="988">
        <v>13645</v>
      </c>
      <c r="B608" s="988">
        <v>13.569995792550262</v>
      </c>
      <c r="C608" s="988">
        <v>21.831499999999998</v>
      </c>
      <c r="D608" s="990">
        <v>13.099646380728494</v>
      </c>
    </row>
    <row r="609" spans="1:4">
      <c r="A609" s="988">
        <v>13650</v>
      </c>
      <c r="B609" s="988">
        <v>13.569993800499599</v>
      </c>
      <c r="C609" s="988">
        <v>21.862000000000002</v>
      </c>
      <c r="D609" s="990">
        <v>13.099644288012675</v>
      </c>
    </row>
    <row r="610" spans="1:4">
      <c r="A610" s="988">
        <v>13655</v>
      </c>
      <c r="B610" s="988">
        <v>13.569992804464958</v>
      </c>
      <c r="C610" s="988">
        <v>21.875</v>
      </c>
      <c r="D610" s="990">
        <v>13.099643303290463</v>
      </c>
    </row>
    <row r="611" spans="1:4">
      <c r="A611" s="988">
        <v>13660</v>
      </c>
      <c r="B611" s="988">
        <v>13.569991808440681</v>
      </c>
      <c r="C611" s="988">
        <v>21.872500000000002</v>
      </c>
      <c r="D611" s="990">
        <v>13.099642318524248</v>
      </c>
    </row>
    <row r="612" spans="1:4">
      <c r="A612" s="988">
        <v>13665</v>
      </c>
      <c r="B612" s="988">
        <v>13.569989816390024</v>
      </c>
      <c r="C612" s="988">
        <v>21.892499999999998</v>
      </c>
      <c r="D612" s="990">
        <v>13.099640349028833</v>
      </c>
    </row>
    <row r="613" spans="1:4">
      <c r="A613" s="988">
        <v>13670</v>
      </c>
      <c r="B613" s="988">
        <v>13.56998890940724</v>
      </c>
      <c r="C613" s="988">
        <v>21.927500000000002</v>
      </c>
      <c r="D613" s="990">
        <v>13.099639313549542</v>
      </c>
    </row>
    <row r="614" spans="1:4">
      <c r="A614" s="988">
        <v>13675</v>
      </c>
      <c r="B614" s="988">
        <v>13.569988002434911</v>
      </c>
      <c r="C614" s="988">
        <v>21.915500000000002</v>
      </c>
      <c r="D614" s="990">
        <v>13.099638031521886</v>
      </c>
    </row>
    <row r="615" spans="1:4">
      <c r="A615" s="988">
        <v>13680</v>
      </c>
      <c r="B615" s="988">
        <v>13.569986010384282</v>
      </c>
      <c r="C615" s="988">
        <v>21.921500000000002</v>
      </c>
      <c r="D615" s="990">
        <v>13.099636062046727</v>
      </c>
    </row>
    <row r="616" spans="1:4">
      <c r="A616" s="988">
        <v>13685</v>
      </c>
      <c r="B616" s="988">
        <v>13.569985014349658</v>
      </c>
      <c r="C616" s="988">
        <v>21.927</v>
      </c>
      <c r="D616" s="990">
        <v>13.099635077324516</v>
      </c>
    </row>
    <row r="617" spans="1:4">
      <c r="A617" s="988">
        <v>13690</v>
      </c>
      <c r="B617" s="988">
        <v>13.56998302229078</v>
      </c>
      <c r="C617" s="988">
        <v>21.930500000000002</v>
      </c>
      <c r="D617" s="990">
        <v>13.099633107792084</v>
      </c>
    </row>
    <row r="618" spans="1:4">
      <c r="A618" s="988">
        <v>13695</v>
      </c>
      <c r="B618" s="988">
        <v>13.569982115326827</v>
      </c>
      <c r="C618" s="988">
        <v>21.9285</v>
      </c>
      <c r="D618" s="990">
        <v>13.099632072327488</v>
      </c>
    </row>
    <row r="619" spans="1:4">
      <c r="A619" s="988">
        <v>13700</v>
      </c>
      <c r="B619" s="988">
        <v>13.569981119292212</v>
      </c>
      <c r="C619" s="988">
        <v>21.920999999999999</v>
      </c>
      <c r="D619" s="990">
        <v>13.099630964341543</v>
      </c>
    </row>
    <row r="620" spans="1:4">
      <c r="A620" s="988">
        <v>13705</v>
      </c>
      <c r="B620" s="988">
        <v>13.569979127233349</v>
      </c>
      <c r="C620" s="988">
        <v>21.905000000000001</v>
      </c>
      <c r="D620" s="990">
        <v>13.099628994809111</v>
      </c>
    </row>
    <row r="621" spans="1:4">
      <c r="A621" s="988">
        <v>13710</v>
      </c>
      <c r="B621" s="988">
        <v>13.569978131217358</v>
      </c>
      <c r="C621" s="988">
        <v>21.914999999999999</v>
      </c>
      <c r="D621" s="990">
        <v>13.099628010079911</v>
      </c>
    </row>
    <row r="622" spans="1:4">
      <c r="A622" s="988">
        <v>13715</v>
      </c>
      <c r="B622" s="988">
        <v>13.569976139148132</v>
      </c>
      <c r="C622" s="988">
        <v>21.905999999999999</v>
      </c>
      <c r="D622" s="990">
        <v>13.099626040591485</v>
      </c>
    </row>
    <row r="623" spans="1:4">
      <c r="A623" s="988">
        <v>13720</v>
      </c>
      <c r="B623" s="988">
        <v>13.569975232165687</v>
      </c>
      <c r="C623" s="988">
        <v>21.8935</v>
      </c>
      <c r="D623" s="990">
        <v>13.099625005067512</v>
      </c>
    </row>
    <row r="624" spans="1:4">
      <c r="A624" s="988">
        <v>13725</v>
      </c>
      <c r="B624" s="988">
        <v>13.569974236160071</v>
      </c>
      <c r="C624" s="988">
        <v>21.875500000000002</v>
      </c>
      <c r="D624" s="990">
        <v>13.099623897120688</v>
      </c>
    </row>
    <row r="625" spans="1:4">
      <c r="A625" s="988">
        <v>13730</v>
      </c>
      <c r="B625" s="988">
        <v>13.569972244090863</v>
      </c>
      <c r="C625" s="988">
        <v>21.869</v>
      </c>
      <c r="D625" s="990">
        <v>13.099621927608512</v>
      </c>
    </row>
    <row r="626" spans="1:4">
      <c r="A626" s="988">
        <v>13735</v>
      </c>
      <c r="B626" s="988">
        <v>13.569971248056261</v>
      </c>
      <c r="C626" s="988">
        <v>21.850499999999997</v>
      </c>
      <c r="D626" s="990">
        <v>13.099620942838801</v>
      </c>
    </row>
    <row r="627" spans="1:4">
      <c r="A627" s="988">
        <v>13740</v>
      </c>
      <c r="B627" s="988">
        <v>13.569969256016046</v>
      </c>
      <c r="C627" s="988">
        <v>21.834999999999997</v>
      </c>
      <c r="D627" s="990">
        <v>13.09961897337063</v>
      </c>
    </row>
    <row r="628" spans="1:4">
      <c r="A628" s="988">
        <v>13745</v>
      </c>
      <c r="B628" s="988">
        <v>13.569968349062719</v>
      </c>
      <c r="C628" s="988">
        <v>21.820999999999998</v>
      </c>
      <c r="D628" s="990">
        <v>13.099617937891633</v>
      </c>
    </row>
    <row r="629" spans="1:4">
      <c r="A629" s="988">
        <v>13750</v>
      </c>
      <c r="B629" s="988">
        <v>13.569967353028126</v>
      </c>
      <c r="C629" s="988">
        <v>21.795500000000001</v>
      </c>
      <c r="D629" s="990">
        <v>13.099616829896339</v>
      </c>
    </row>
    <row r="630" spans="1:4">
      <c r="A630" s="988">
        <v>13755</v>
      </c>
      <c r="B630" s="988">
        <v>13.569965360987927</v>
      </c>
      <c r="C630" s="988">
        <v>21.756499999999999</v>
      </c>
      <c r="D630" s="990">
        <v>13.099614860407913</v>
      </c>
    </row>
    <row r="631" spans="1:4">
      <c r="A631" s="988">
        <v>13760</v>
      </c>
      <c r="B631" s="988">
        <v>13.569964364953336</v>
      </c>
      <c r="C631" s="988">
        <v>21.717500000000001</v>
      </c>
      <c r="D631" s="990">
        <v>13.099613875661952</v>
      </c>
    </row>
    <row r="632" spans="1:4">
      <c r="A632" s="988">
        <v>13765</v>
      </c>
      <c r="B632" s="988">
        <v>13.569963368918744</v>
      </c>
      <c r="C632" s="988">
        <v>21.677499999999998</v>
      </c>
      <c r="D632" s="990">
        <v>13.099612890912498</v>
      </c>
    </row>
    <row r="633" spans="1:4">
      <c r="A633" s="988">
        <v>13770</v>
      </c>
      <c r="B633" s="988">
        <v>13.569961465930955</v>
      </c>
      <c r="C633" s="988">
        <v>21.619</v>
      </c>
      <c r="D633" s="990">
        <v>13.099610870692848</v>
      </c>
    </row>
    <row r="634" spans="1:4">
      <c r="A634" s="988">
        <v>13775</v>
      </c>
      <c r="B634" s="988">
        <v>13.569960469896373</v>
      </c>
      <c r="C634" s="988">
        <v>21.561</v>
      </c>
      <c r="D634" s="990">
        <v>13.099609762678979</v>
      </c>
    </row>
    <row r="635" spans="1:4">
      <c r="A635" s="988">
        <v>13780</v>
      </c>
      <c r="B635" s="988">
        <v>13.569958477827207</v>
      </c>
      <c r="C635" s="988">
        <v>21.507999999999999</v>
      </c>
      <c r="D635" s="990">
        <v>13.099607793163306</v>
      </c>
    </row>
    <row r="636" spans="1:4">
      <c r="A636" s="988">
        <v>13785</v>
      </c>
      <c r="B636" s="988">
        <v>13.569957481821614</v>
      </c>
      <c r="C636" s="988">
        <v>21.445999999999998</v>
      </c>
      <c r="D636" s="990">
        <v>13.099606808441097</v>
      </c>
    </row>
    <row r="637" spans="1:4">
      <c r="A637" s="988">
        <v>13790</v>
      </c>
      <c r="B637" s="988">
        <v>13.569956485787033</v>
      </c>
      <c r="C637" s="988">
        <v>21.396999999999998</v>
      </c>
      <c r="D637" s="990">
        <v>13.099605823695136</v>
      </c>
    </row>
    <row r="638" spans="1:4">
      <c r="A638" s="988">
        <v>13795</v>
      </c>
      <c r="B638" s="988">
        <v>13.569954582770398</v>
      </c>
      <c r="C638" s="988">
        <v>21.358499999999999</v>
      </c>
      <c r="D638" s="990">
        <v>13.099603803409122</v>
      </c>
    </row>
    <row r="639" spans="1:4">
      <c r="A639" s="988">
        <v>13800</v>
      </c>
      <c r="B639" s="988">
        <v>13.569953675788428</v>
      </c>
      <c r="C639" s="988">
        <v>21.3005</v>
      </c>
      <c r="D639" s="990">
        <v>13.099602521438735</v>
      </c>
    </row>
    <row r="640" spans="1:4">
      <c r="A640" s="988">
        <v>13805</v>
      </c>
      <c r="B640" s="988">
        <v>13.569952679782851</v>
      </c>
      <c r="C640" s="988">
        <v>21.253500000000003</v>
      </c>
      <c r="D640" s="990">
        <v>13.099600839169607</v>
      </c>
    </row>
    <row r="641" spans="1:4">
      <c r="A641" s="988">
        <v>13810</v>
      </c>
      <c r="B641" s="988">
        <v>13.569951683748286</v>
      </c>
      <c r="C641" s="988">
        <v>21.200500000000002</v>
      </c>
      <c r="D641" s="990">
        <v>13.09960055194332</v>
      </c>
    </row>
    <row r="642" spans="1:4">
      <c r="A642" s="988">
        <v>13815</v>
      </c>
      <c r="B642" s="988">
        <v>13.569950687713721</v>
      </c>
      <c r="C642" s="988">
        <v>21.146999999999998</v>
      </c>
      <c r="D642" s="990">
        <v>13.099599567200853</v>
      </c>
    </row>
    <row r="643" spans="1:4">
      <c r="A643" s="988">
        <v>13820</v>
      </c>
      <c r="B643" s="988">
        <v>13.569948784726291</v>
      </c>
      <c r="C643" s="988">
        <v>21.1175</v>
      </c>
      <c r="D643" s="990">
        <v>13.099597546980336</v>
      </c>
    </row>
    <row r="644" spans="1:4">
      <c r="A644" s="988">
        <v>13825</v>
      </c>
      <c r="B644" s="988">
        <v>13.569947788691737</v>
      </c>
      <c r="C644" s="988">
        <v>21.064999999999998</v>
      </c>
      <c r="D644" s="990">
        <v>13.099596438960345</v>
      </c>
    </row>
    <row r="645" spans="1:4">
      <c r="A645" s="988">
        <v>13830</v>
      </c>
      <c r="B645" s="988">
        <v>13.569946792657181</v>
      </c>
      <c r="C645" s="988">
        <v>21.004999999999999</v>
      </c>
      <c r="D645" s="990">
        <v>13.09959545421788</v>
      </c>
    </row>
    <row r="646" spans="1:4">
      <c r="A646" s="988">
        <v>13835</v>
      </c>
      <c r="B646" s="988">
        <v>13.569944800617058</v>
      </c>
      <c r="C646" s="988">
        <v>20.950499999999998</v>
      </c>
      <c r="D646" s="990">
        <v>13.099593484725959</v>
      </c>
    </row>
    <row r="647" spans="1:4">
      <c r="A647" s="988">
        <v>13840</v>
      </c>
      <c r="B647" s="988">
        <v>13.569943804582506</v>
      </c>
      <c r="C647" s="988">
        <v>20.900999999999996</v>
      </c>
      <c r="D647" s="990">
        <v>13.099592499976504</v>
      </c>
    </row>
    <row r="648" spans="1:4">
      <c r="A648" s="988">
        <v>13845</v>
      </c>
      <c r="B648" s="988">
        <v>13.569941901595216</v>
      </c>
      <c r="C648" s="988">
        <v>20.856499999999997</v>
      </c>
      <c r="D648" s="990">
        <v>13.099590479760872</v>
      </c>
    </row>
    <row r="649" spans="1:4">
      <c r="A649" s="988">
        <v>13850</v>
      </c>
      <c r="B649" s="988">
        <v>13.569940905560671</v>
      </c>
      <c r="C649" s="988">
        <v>20.823</v>
      </c>
      <c r="D649" s="990">
        <v>13.099589371742985</v>
      </c>
    </row>
    <row r="650" spans="1:4">
      <c r="A650" s="988">
        <v>13855</v>
      </c>
      <c r="B650" s="988">
        <v>13.569939909526125</v>
      </c>
      <c r="C650" s="988">
        <v>20.782499999999999</v>
      </c>
      <c r="D650" s="990">
        <v>13.099588386993531</v>
      </c>
    </row>
    <row r="651" spans="1:4">
      <c r="A651" s="988">
        <v>13860</v>
      </c>
      <c r="B651" s="988">
        <v>13.569937917457038</v>
      </c>
      <c r="C651" s="988">
        <v>20.741500000000002</v>
      </c>
      <c r="D651" s="990">
        <v>13.099586417484849</v>
      </c>
    </row>
    <row r="652" spans="1:4">
      <c r="A652" s="988">
        <v>13865</v>
      </c>
      <c r="B652" s="988">
        <v>13.569936921451482</v>
      </c>
      <c r="C652" s="988">
        <v>20.700499999999998</v>
      </c>
      <c r="D652" s="990">
        <v>13.099585432759143</v>
      </c>
    </row>
    <row r="653" spans="1:4">
      <c r="A653" s="988">
        <v>13870</v>
      </c>
      <c r="B653" s="988">
        <v>13.569935018435345</v>
      </c>
      <c r="C653" s="988">
        <v>20.66</v>
      </c>
      <c r="D653" s="990">
        <v>13.099583412497402</v>
      </c>
    </row>
    <row r="654" spans="1:4">
      <c r="A654" s="988">
        <v>13875</v>
      </c>
      <c r="B654" s="988">
        <v>13.56993402240081</v>
      </c>
      <c r="C654" s="988">
        <v>20.624000000000002</v>
      </c>
      <c r="D654" s="990">
        <v>13.099582304501874</v>
      </c>
    </row>
    <row r="655" spans="1:4">
      <c r="A655" s="988">
        <v>13880</v>
      </c>
      <c r="B655" s="988">
        <v>13.569933026384897</v>
      </c>
      <c r="C655" s="988">
        <v>20.592999999999996</v>
      </c>
      <c r="D655" s="990">
        <v>13.099581319792932</v>
      </c>
    </row>
    <row r="656" spans="1:4">
      <c r="A656" s="988">
        <v>13885</v>
      </c>
      <c r="B656" s="988">
        <v>13.569931034326197</v>
      </c>
      <c r="C656" s="988">
        <v>20.559000000000001</v>
      </c>
      <c r="D656" s="990">
        <v>13.099579350263992</v>
      </c>
    </row>
    <row r="657" spans="1:4">
      <c r="A657" s="988">
        <v>13890</v>
      </c>
      <c r="B657" s="988">
        <v>13.569930038291664</v>
      </c>
      <c r="C657" s="988">
        <v>20.518999999999998</v>
      </c>
      <c r="D657" s="990">
        <v>13.099578365518033</v>
      </c>
    </row>
    <row r="658" spans="1:4">
      <c r="A658" s="988">
        <v>13895</v>
      </c>
      <c r="B658" s="988">
        <v>13.569929131328815</v>
      </c>
      <c r="C658" s="988">
        <v>20.479499999999998</v>
      </c>
      <c r="D658" s="990">
        <v>13.099577330064218</v>
      </c>
    </row>
    <row r="659" spans="1:4">
      <c r="A659" s="988">
        <v>13900</v>
      </c>
      <c r="B659" s="988">
        <v>13.569927139270133</v>
      </c>
      <c r="C659" s="988">
        <v>20.450500000000002</v>
      </c>
      <c r="D659" s="990">
        <v>13.099575237281019</v>
      </c>
    </row>
    <row r="660" spans="1:4">
      <c r="A660" s="988">
        <v>13905</v>
      </c>
      <c r="B660" s="988">
        <v>13.569926143235609</v>
      </c>
      <c r="C660" s="988">
        <v>20.418999999999997</v>
      </c>
      <c r="D660" s="990">
        <v>13.099574252535058</v>
      </c>
    </row>
    <row r="661" spans="1:4">
      <c r="A661" s="988">
        <v>13910</v>
      </c>
      <c r="B661" s="988">
        <v>13.569924151214172</v>
      </c>
      <c r="C661" s="988">
        <v>20.407</v>
      </c>
      <c r="D661" s="990">
        <v>13.099572283079734</v>
      </c>
    </row>
    <row r="662" spans="1:4">
      <c r="A662" s="988">
        <v>13915</v>
      </c>
      <c r="B662" s="988">
        <v>13.569923155190018</v>
      </c>
      <c r="C662" s="988">
        <v>20.378999999999998</v>
      </c>
      <c r="D662" s="990">
        <v>13.09957129833769</v>
      </c>
    </row>
    <row r="663" spans="1:4">
      <c r="A663" s="988">
        <v>13920</v>
      </c>
      <c r="B663" s="988">
        <v>13.569922248208675</v>
      </c>
      <c r="C663" s="988">
        <v>20.340499999999999</v>
      </c>
      <c r="D663" s="990">
        <v>13.09957026284825</v>
      </c>
    </row>
    <row r="664" spans="1:4">
      <c r="A664" s="988">
        <v>13925</v>
      </c>
      <c r="B664" s="988">
        <v>13.569920256158268</v>
      </c>
      <c r="C664" s="988">
        <v>20.314500000000002</v>
      </c>
      <c r="D664" s="990">
        <v>13.099568170097182</v>
      </c>
    </row>
    <row r="665" spans="1:4">
      <c r="A665" s="988">
        <v>13930</v>
      </c>
      <c r="B665" s="988">
        <v>13.569919349187394</v>
      </c>
      <c r="C665" s="988">
        <v>20.2805</v>
      </c>
      <c r="D665" s="990">
        <v>13.099567011355584</v>
      </c>
    </row>
    <row r="666" spans="1:4">
      <c r="A666" s="988">
        <v>13935</v>
      </c>
      <c r="B666" s="988">
        <v>13.569917357118383</v>
      </c>
      <c r="C666" s="988">
        <v>20.261499999999998</v>
      </c>
      <c r="D666" s="990">
        <v>13.099565041843407</v>
      </c>
    </row>
    <row r="667" spans="1:4">
      <c r="A667" s="988">
        <v>13940</v>
      </c>
      <c r="B667" s="988">
        <v>13.569916361102498</v>
      </c>
      <c r="C667" s="988">
        <v>20.248000000000001</v>
      </c>
      <c r="D667" s="990">
        <v>13.099564057114208</v>
      </c>
    </row>
    <row r="668" spans="1:4">
      <c r="A668" s="988">
        <v>13945</v>
      </c>
      <c r="B668" s="988">
        <v>13.569915454131731</v>
      </c>
      <c r="C668" s="988">
        <v>20.215499999999999</v>
      </c>
      <c r="D668" s="990">
        <v>13.099563021629688</v>
      </c>
    </row>
    <row r="669" spans="1:4">
      <c r="A669" s="988">
        <v>13950</v>
      </c>
      <c r="B669" s="988">
        <v>13.569913462062738</v>
      </c>
      <c r="C669" s="988">
        <v>20.188499999999998</v>
      </c>
      <c r="D669" s="990">
        <v>13.099560928860434</v>
      </c>
    </row>
    <row r="670" spans="1:4">
      <c r="A670" s="988">
        <v>13955</v>
      </c>
      <c r="B670" s="988">
        <v>13.569912466046864</v>
      </c>
      <c r="C670" s="988">
        <v>20.180999999999997</v>
      </c>
      <c r="D670" s="990">
        <v>13.099559944131235</v>
      </c>
    </row>
    <row r="671" spans="1:4">
      <c r="A671" s="988">
        <v>13960</v>
      </c>
      <c r="B671" s="988">
        <v>13.569910473988241</v>
      </c>
      <c r="C671" s="988">
        <v>20.1555</v>
      </c>
      <c r="D671" s="990">
        <v>13.099557974622552</v>
      </c>
    </row>
    <row r="672" spans="1:4">
      <c r="A672" s="988">
        <v>13965</v>
      </c>
      <c r="B672" s="988">
        <v>13.569909477953747</v>
      </c>
      <c r="C672" s="988">
        <v>20.121499999999997</v>
      </c>
      <c r="D672" s="990">
        <v>13.099556989876591</v>
      </c>
    </row>
    <row r="673" spans="1:4">
      <c r="A673" s="988">
        <v>13970</v>
      </c>
      <c r="B673" s="988">
        <v>13.569909566996863</v>
      </c>
      <c r="C673" s="988">
        <v>20.099999999999998</v>
      </c>
      <c r="D673" s="990">
        <v>13.09955624158281</v>
      </c>
    </row>
    <row r="674" spans="1:4">
      <c r="A674" s="988">
        <v>13975</v>
      </c>
      <c r="B674" s="988">
        <v>13.569907574967244</v>
      </c>
      <c r="C674" s="988">
        <v>20.067999999999998</v>
      </c>
      <c r="D674" s="990">
        <v>13.099554846385539</v>
      </c>
    </row>
    <row r="675" spans="1:4">
      <c r="A675" s="988">
        <v>13980</v>
      </c>
      <c r="B675" s="988">
        <v>13.569906578932759</v>
      </c>
      <c r="C675" s="988">
        <v>20.044499999999999</v>
      </c>
      <c r="D675" s="990">
        <v>13.099553861639579</v>
      </c>
    </row>
    <row r="676" spans="1:4">
      <c r="A676" s="988">
        <v>13985</v>
      </c>
      <c r="B676" s="988">
        <v>13.569905582887907</v>
      </c>
      <c r="C676" s="988">
        <v>20.019500000000001</v>
      </c>
      <c r="D676" s="990">
        <v>13.099552876910378</v>
      </c>
    </row>
    <row r="677" spans="1:4">
      <c r="A677" s="988">
        <v>13990</v>
      </c>
      <c r="B677" s="988">
        <v>13.569903590858294</v>
      </c>
      <c r="C677" s="988">
        <v>19.994500000000002</v>
      </c>
      <c r="D677" s="990">
        <v>13.099550907401698</v>
      </c>
    </row>
    <row r="678" spans="1:4">
      <c r="A678" s="988">
        <v>13995</v>
      </c>
      <c r="B678" s="988">
        <v>13.569902683877412</v>
      </c>
      <c r="C678" s="988">
        <v>19.9665</v>
      </c>
      <c r="D678" s="990">
        <v>13.099549871916272</v>
      </c>
    </row>
    <row r="679" spans="1:4">
      <c r="A679" s="988">
        <v>14000</v>
      </c>
      <c r="B679" s="988">
        <v>13.56990069182708</v>
      </c>
      <c r="C679" s="988">
        <v>19.945</v>
      </c>
      <c r="D679" s="990">
        <v>13.099547779181444</v>
      </c>
    </row>
    <row r="680" spans="1:4">
      <c r="A680" s="988">
        <v>14005</v>
      </c>
      <c r="B680" s="988">
        <v>13.569899695802972</v>
      </c>
      <c r="C680" s="988">
        <v>19.920499999999997</v>
      </c>
      <c r="D680" s="990">
        <v>13.099546794418723</v>
      </c>
    </row>
    <row r="681" spans="1:4">
      <c r="A681" s="988">
        <v>14010</v>
      </c>
      <c r="B681" s="988">
        <v>13.569898699768498</v>
      </c>
      <c r="C681" s="988">
        <v>19.888500000000001</v>
      </c>
      <c r="D681" s="990">
        <v>13.099545809672763</v>
      </c>
    </row>
    <row r="682" spans="1:4">
      <c r="A682" s="988">
        <v>14015</v>
      </c>
      <c r="B682" s="988">
        <v>13.56989670771817</v>
      </c>
      <c r="C682" s="988">
        <v>19.8325</v>
      </c>
      <c r="D682" s="990">
        <v>13.099543840197603</v>
      </c>
    </row>
    <row r="683" spans="1:4">
      <c r="A683" s="988">
        <v>14020</v>
      </c>
      <c r="B683" s="988">
        <v>13.569895800747787</v>
      </c>
      <c r="C683" s="988">
        <v>19.7575</v>
      </c>
      <c r="D683" s="990">
        <v>13.09954280469681</v>
      </c>
    </row>
    <row r="684" spans="1:4">
      <c r="A684" s="988">
        <v>14025</v>
      </c>
      <c r="B684" s="988">
        <v>13.569893808668487</v>
      </c>
      <c r="C684" s="988">
        <v>19.677499999999998</v>
      </c>
      <c r="D684" s="990">
        <v>13.099540711940334</v>
      </c>
    </row>
    <row r="685" spans="1:4">
      <c r="A685" s="988">
        <v>14030</v>
      </c>
      <c r="B685" s="988">
        <v>13.569892812634023</v>
      </c>
      <c r="C685" s="988">
        <v>19.602499999999999</v>
      </c>
      <c r="D685" s="990">
        <v>13.099539727197868</v>
      </c>
    </row>
    <row r="686" spans="1:4">
      <c r="A686" s="988">
        <v>14035</v>
      </c>
      <c r="B686" s="988">
        <v>13.569891816638915</v>
      </c>
      <c r="C686" s="988">
        <v>19.509999999999998</v>
      </c>
      <c r="D686" s="990">
        <v>13.099538742451909</v>
      </c>
    </row>
    <row r="687" spans="1:4">
      <c r="A687" s="988">
        <v>14040</v>
      </c>
      <c r="B687" s="988">
        <v>13.56988982455962</v>
      </c>
      <c r="C687" s="988">
        <v>19.4115</v>
      </c>
      <c r="D687" s="990">
        <v>13.099536772956492</v>
      </c>
    </row>
    <row r="688" spans="1:4">
      <c r="A688" s="988">
        <v>14045</v>
      </c>
      <c r="B688" s="988">
        <v>13.569888917578998</v>
      </c>
      <c r="C688" s="988">
        <v>19.3215</v>
      </c>
      <c r="D688" s="990">
        <v>13.099535737477346</v>
      </c>
    </row>
    <row r="689" spans="1:4">
      <c r="A689" s="988">
        <v>14050</v>
      </c>
      <c r="B689" s="988">
        <v>13.569887921583899</v>
      </c>
      <c r="C689" s="988">
        <v>19.194500000000001</v>
      </c>
      <c r="D689" s="990">
        <v>13.099534629468934</v>
      </c>
    </row>
    <row r="690" spans="1:4">
      <c r="A690" s="988">
        <v>14055</v>
      </c>
      <c r="B690" s="988">
        <v>13.569885929504624</v>
      </c>
      <c r="C690" s="988">
        <v>19.0715</v>
      </c>
      <c r="D690" s="990">
        <v>13.099532659973518</v>
      </c>
    </row>
    <row r="691" spans="1:4">
      <c r="A691" s="988">
        <v>14060</v>
      </c>
      <c r="B691" s="988">
        <v>13.569885022524108</v>
      </c>
      <c r="C691" s="988">
        <v>18.943999999999999</v>
      </c>
      <c r="D691" s="990">
        <v>13.099531501231921</v>
      </c>
    </row>
    <row r="692" spans="1:4">
      <c r="A692" s="988">
        <v>14065</v>
      </c>
      <c r="B692" s="988">
        <v>13.569883030484204</v>
      </c>
      <c r="C692" s="988">
        <v>18.819500000000001</v>
      </c>
      <c r="D692" s="990">
        <v>13.09952953174</v>
      </c>
    </row>
    <row r="693" spans="1:4">
      <c r="A693" s="988">
        <v>14070</v>
      </c>
      <c r="B693" s="988">
        <v>13.569882123503792</v>
      </c>
      <c r="C693" s="988">
        <v>18.689499999999999</v>
      </c>
      <c r="D693" s="990">
        <v>13.09952849625529</v>
      </c>
    </row>
    <row r="694" spans="1:4">
      <c r="A694" s="988">
        <v>14075</v>
      </c>
      <c r="B694" s="988">
        <v>13.569881127498341</v>
      </c>
      <c r="C694" s="988">
        <v>18.567</v>
      </c>
      <c r="D694" s="990">
        <v>13.099527388248525</v>
      </c>
    </row>
    <row r="695" spans="1:4">
      <c r="A695" s="988">
        <v>14080</v>
      </c>
      <c r="B695" s="988">
        <v>13.569879135458455</v>
      </c>
      <c r="C695" s="988">
        <v>18.45</v>
      </c>
      <c r="D695" s="990">
        <v>13.099525418797539</v>
      </c>
    </row>
    <row r="696" spans="1:4">
      <c r="A696" s="988">
        <v>14085</v>
      </c>
      <c r="B696" s="988">
        <v>13.56987813942402</v>
      </c>
      <c r="C696" s="988">
        <v>18.327999999999999</v>
      </c>
      <c r="D696" s="990">
        <v>13.099524434027826</v>
      </c>
    </row>
    <row r="697" spans="1:4">
      <c r="A697" s="988">
        <v>14090</v>
      </c>
      <c r="B697" s="988">
        <v>13.569876147355149</v>
      </c>
      <c r="C697" s="988">
        <v>18.2075</v>
      </c>
      <c r="D697" s="990">
        <v>13.099522464539401</v>
      </c>
    </row>
    <row r="698" spans="1:4">
      <c r="A698" s="988">
        <v>14095</v>
      </c>
      <c r="B698" s="988">
        <v>13.569875240403853</v>
      </c>
      <c r="C698" s="988">
        <v>18.086500000000001</v>
      </c>
      <c r="D698" s="990">
        <v>13.099521429059578</v>
      </c>
    </row>
    <row r="699" spans="1:4">
      <c r="A699" s="988">
        <v>14100</v>
      </c>
      <c r="B699" s="988">
        <v>13.569874244369425</v>
      </c>
      <c r="C699" s="988">
        <v>17.9635</v>
      </c>
      <c r="D699" s="990">
        <v>13.099520321044853</v>
      </c>
    </row>
    <row r="700" spans="1:4">
      <c r="A700" s="988">
        <v>14105</v>
      </c>
      <c r="B700" s="988">
        <v>13.569872252300572</v>
      </c>
      <c r="C700" s="988">
        <v>17.837499999999999</v>
      </c>
      <c r="D700" s="990">
        <v>13.099518351556428</v>
      </c>
    </row>
    <row r="701" spans="1:4">
      <c r="A701" s="988">
        <v>14110</v>
      </c>
      <c r="B701" s="988">
        <v>13.569871256295134</v>
      </c>
      <c r="C701" s="988">
        <v>17.709499999999998</v>
      </c>
      <c r="D701" s="990">
        <v>13.099517366830723</v>
      </c>
    </row>
    <row r="702" spans="1:4">
      <c r="A702" s="988">
        <v>14115</v>
      </c>
      <c r="B702" s="988">
        <v>13.569870260260709</v>
      </c>
      <c r="C702" s="988">
        <v>17.581000000000003</v>
      </c>
      <c r="D702" s="990">
        <v>13.099516382061012</v>
      </c>
    </row>
    <row r="703" spans="1:4">
      <c r="A703" s="988">
        <v>14120</v>
      </c>
      <c r="B703" s="988">
        <v>13.569868357246131</v>
      </c>
      <c r="C703" s="988">
        <v>17.453500000000002</v>
      </c>
      <c r="D703" s="990">
        <v>13.09951436181986</v>
      </c>
    </row>
    <row r="704" spans="1:4">
      <c r="A704" s="988">
        <v>14125</v>
      </c>
      <c r="B704" s="988">
        <v>13.569867361240702</v>
      </c>
      <c r="C704" s="988">
        <v>17.331499999999998</v>
      </c>
      <c r="D704" s="990">
        <v>13.09951325384775</v>
      </c>
    </row>
    <row r="705" spans="1:4">
      <c r="A705" s="988">
        <v>14130</v>
      </c>
      <c r="B705" s="988">
        <v>13.56986536917187</v>
      </c>
      <c r="C705" s="988">
        <v>17.209</v>
      </c>
      <c r="D705" s="990">
        <v>13.09951128431182</v>
      </c>
    </row>
    <row r="706" spans="1:4">
      <c r="A706" s="988">
        <v>14135</v>
      </c>
      <c r="B706" s="988">
        <v>13.569864373137456</v>
      </c>
      <c r="C706" s="988">
        <v>17.091000000000001</v>
      </c>
      <c r="D706" s="990">
        <v>13.099510299589612</v>
      </c>
    </row>
    <row r="707" spans="1:4">
      <c r="A707" s="988">
        <v>14140</v>
      </c>
      <c r="B707" s="988">
        <v>13.569864373137456</v>
      </c>
      <c r="C707" s="988">
        <v>16.9695</v>
      </c>
      <c r="D707" s="990">
        <v>13.099509602025517</v>
      </c>
    </row>
    <row r="708" spans="1:4">
      <c r="A708" s="988">
        <v>14145</v>
      </c>
      <c r="B708" s="988">
        <v>13.569862470151998</v>
      </c>
      <c r="C708" s="988">
        <v>16.841999999999999</v>
      </c>
      <c r="D708" s="990">
        <v>13.099508279342666</v>
      </c>
    </row>
    <row r="709" spans="1:4">
      <c r="A709" s="988">
        <v>14150</v>
      </c>
      <c r="B709" s="988">
        <v>13.569861474117591</v>
      </c>
      <c r="C709" s="988">
        <v>16.714500000000001</v>
      </c>
      <c r="D709" s="990">
        <v>13.099507171352599</v>
      </c>
    </row>
    <row r="710" spans="1:4">
      <c r="A710" s="988">
        <v>14155</v>
      </c>
      <c r="B710" s="988">
        <v>13.5698594820674</v>
      </c>
      <c r="C710" s="988">
        <v>16.586500000000001</v>
      </c>
      <c r="D710" s="990">
        <v>13.099505201877438</v>
      </c>
    </row>
    <row r="711" spans="1:4">
      <c r="A711" s="988">
        <v>14160</v>
      </c>
      <c r="B711" s="988">
        <v>13.569858486043364</v>
      </c>
      <c r="C711" s="988">
        <v>16.458500000000001</v>
      </c>
      <c r="D711" s="990">
        <v>13.099504217114719</v>
      </c>
    </row>
    <row r="712" spans="1:4">
      <c r="A712" s="988">
        <v>14165</v>
      </c>
      <c r="B712" s="988">
        <v>13.569857579063445</v>
      </c>
      <c r="C712" s="988">
        <v>16.334</v>
      </c>
      <c r="D712" s="990">
        <v>13.099503181618234</v>
      </c>
    </row>
    <row r="713" spans="1:4">
      <c r="A713" s="988">
        <v>14170</v>
      </c>
      <c r="B713" s="988">
        <v>13.569855587013272</v>
      </c>
      <c r="C713" s="988">
        <v>16.2105</v>
      </c>
      <c r="D713" s="990">
        <v>13.099501088874208</v>
      </c>
    </row>
    <row r="714" spans="1:4">
      <c r="A714" s="988">
        <v>14175</v>
      </c>
      <c r="B714" s="988">
        <v>13.569854590989245</v>
      </c>
      <c r="C714" s="988">
        <v>16.0855</v>
      </c>
      <c r="D714" s="990">
        <v>13.099500104131744</v>
      </c>
    </row>
    <row r="715" spans="1:4">
      <c r="A715" s="988">
        <v>14180</v>
      </c>
      <c r="B715" s="988">
        <v>13.56985359495485</v>
      </c>
      <c r="C715" s="988">
        <v>15.961</v>
      </c>
      <c r="D715" s="990">
        <v>13.099499119385783</v>
      </c>
    </row>
    <row r="716" spans="1:4">
      <c r="A716" s="988">
        <v>14185</v>
      </c>
      <c r="B716" s="988">
        <v>13.569851691959281</v>
      </c>
      <c r="C716" s="988">
        <v>15.8405</v>
      </c>
      <c r="D716" s="990">
        <v>13.099496975891235</v>
      </c>
    </row>
    <row r="717" spans="1:4">
      <c r="A717" s="988">
        <v>14190</v>
      </c>
      <c r="B717" s="988">
        <v>13.569850784989939</v>
      </c>
      <c r="C717" s="988">
        <v>15.720499999999999</v>
      </c>
      <c r="D717" s="990">
        <v>13.099495940399672</v>
      </c>
    </row>
    <row r="718" spans="1:4">
      <c r="A718" s="988">
        <v>14195</v>
      </c>
      <c r="B718" s="988">
        <v>13.56984879292118</v>
      </c>
      <c r="C718" s="988">
        <v>15.5975</v>
      </c>
      <c r="D718" s="990">
        <v>13.099493847637461</v>
      </c>
    </row>
    <row r="719" spans="1:4">
      <c r="A719" s="988">
        <v>14200</v>
      </c>
      <c r="B719" s="988">
        <v>13.569847796876433</v>
      </c>
      <c r="C719" s="988">
        <v>15.468</v>
      </c>
      <c r="D719" s="990">
        <v>13.099492862888004</v>
      </c>
    </row>
    <row r="720" spans="1:4">
      <c r="A720" s="988">
        <v>14205</v>
      </c>
      <c r="B720" s="988">
        <v>13.569846800881411</v>
      </c>
      <c r="C720" s="988">
        <v>15.346</v>
      </c>
      <c r="D720" s="990">
        <v>13.099491878165797</v>
      </c>
    </row>
    <row r="721" spans="1:4">
      <c r="A721" s="988">
        <v>14210</v>
      </c>
      <c r="B721" s="988">
        <v>13.569844808812658</v>
      </c>
      <c r="C721" s="988">
        <v>15.218500000000001</v>
      </c>
      <c r="D721" s="990">
        <v>13.09948990865362</v>
      </c>
    </row>
    <row r="722" spans="1:4">
      <c r="A722" s="988">
        <v>14215</v>
      </c>
      <c r="B722" s="988">
        <v>13.569843901822711</v>
      </c>
      <c r="C722" s="988">
        <v>15.0905</v>
      </c>
      <c r="D722" s="990">
        <v>13.099488873156456</v>
      </c>
    </row>
    <row r="723" spans="1:4">
      <c r="A723" s="988">
        <v>14220</v>
      </c>
      <c r="B723" s="988">
        <v>13.569841909793327</v>
      </c>
      <c r="C723" s="988">
        <v>14.9895</v>
      </c>
      <c r="D723" s="990">
        <v>13.099486780436862</v>
      </c>
    </row>
    <row r="724" spans="1:4">
      <c r="A724" s="988">
        <v>14225</v>
      </c>
      <c r="B724" s="988">
        <v>13.569840913758959</v>
      </c>
      <c r="C724" s="988">
        <v>14.849500000000001</v>
      </c>
      <c r="D724" s="990">
        <v>13.099485795670645</v>
      </c>
    </row>
    <row r="725" spans="1:4">
      <c r="A725" s="988">
        <v>14230</v>
      </c>
      <c r="B725" s="988">
        <v>13.569839917714225</v>
      </c>
      <c r="C725" s="988">
        <v>14.715</v>
      </c>
      <c r="D725" s="990">
        <v>13.099484810921188</v>
      </c>
    </row>
    <row r="726" spans="1:4">
      <c r="A726" s="988">
        <v>14235</v>
      </c>
      <c r="B726" s="988">
        <v>13.569837925684846</v>
      </c>
      <c r="C726" s="988">
        <v>14.583500000000001</v>
      </c>
      <c r="D726" s="990">
        <v>13.099482841432765</v>
      </c>
    </row>
    <row r="727" spans="1:4">
      <c r="A727" s="988">
        <v>14240</v>
      </c>
      <c r="B727" s="988">
        <v>13.569837018705398</v>
      </c>
      <c r="C727" s="988">
        <v>14.454499999999999</v>
      </c>
      <c r="D727" s="990">
        <v>13.09948180594049</v>
      </c>
    </row>
    <row r="728" spans="1:4">
      <c r="A728" s="988">
        <v>14245</v>
      </c>
      <c r="B728" s="988">
        <v>13.56983502668429</v>
      </c>
      <c r="C728" s="988">
        <v>14.326499999999999</v>
      </c>
      <c r="D728" s="990">
        <v>13.099479713232341</v>
      </c>
    </row>
    <row r="729" spans="1:4">
      <c r="A729" s="988">
        <v>14250</v>
      </c>
      <c r="B729" s="988">
        <v>13.569834030660299</v>
      </c>
      <c r="C729" s="988">
        <v>14.203499999999998</v>
      </c>
      <c r="D729" s="990">
        <v>13.099478728470046</v>
      </c>
    </row>
    <row r="730" spans="1:4">
      <c r="A730" s="988">
        <v>14255</v>
      </c>
      <c r="B730" s="988">
        <v>13.569833034625942</v>
      </c>
      <c r="C730" s="988">
        <v>14.084</v>
      </c>
      <c r="D730" s="990">
        <v>13.099477743724087</v>
      </c>
    </row>
    <row r="731" spans="1:4">
      <c r="A731" s="988">
        <v>14260</v>
      </c>
      <c r="B731" s="988">
        <v>13.569831042546864</v>
      </c>
      <c r="C731" s="988">
        <v>13.9595</v>
      </c>
      <c r="D731" s="990">
        <v>13.099475774228669</v>
      </c>
    </row>
    <row r="732" spans="1:4">
      <c r="A732" s="988">
        <v>14265</v>
      </c>
      <c r="B732" s="988">
        <v>13.5698301356069</v>
      </c>
      <c r="C732" s="988">
        <v>13.8485</v>
      </c>
      <c r="D732" s="990">
        <v>13.099474738741282</v>
      </c>
    </row>
    <row r="733" spans="1:4">
      <c r="A733" s="988">
        <v>14270</v>
      </c>
      <c r="B733" s="988">
        <v>13.569829139572551</v>
      </c>
      <c r="C733" s="988">
        <v>13.722999999999999</v>
      </c>
      <c r="D733" s="990">
        <v>13.099473630741112</v>
      </c>
    </row>
    <row r="734" spans="1:4">
      <c r="A734" s="988">
        <v>14275</v>
      </c>
      <c r="B734" s="988">
        <v>13.56982714749349</v>
      </c>
      <c r="C734" s="988">
        <v>13.583500000000001</v>
      </c>
      <c r="D734" s="990">
        <v>13.099471661245696</v>
      </c>
    </row>
    <row r="735" spans="1:4">
      <c r="A735" s="988">
        <v>14280</v>
      </c>
      <c r="B735" s="988">
        <v>13.569826151498498</v>
      </c>
      <c r="C735" s="988">
        <v>13.461</v>
      </c>
      <c r="D735" s="990">
        <v>13.099470676503232</v>
      </c>
    </row>
    <row r="736" spans="1:4">
      <c r="A736" s="988">
        <v>14285</v>
      </c>
      <c r="B736" s="988">
        <v>13.569824159429807</v>
      </c>
      <c r="C736" s="988">
        <v>13.3245</v>
      </c>
      <c r="D736" s="990">
        <v>13.099468706991056</v>
      </c>
    </row>
    <row r="737" spans="1:4">
      <c r="A737" s="988">
        <v>14290</v>
      </c>
      <c r="B737" s="988">
        <v>13.56982325244025</v>
      </c>
      <c r="C737" s="988">
        <v>13.193999999999999</v>
      </c>
      <c r="D737" s="990">
        <v>13.099467671518322</v>
      </c>
    </row>
    <row r="738" spans="1:4">
      <c r="A738" s="988">
        <v>14295</v>
      </c>
      <c r="B738" s="988">
        <v>13.569277193691475</v>
      </c>
      <c r="C738" s="988">
        <v>13.062000000000001</v>
      </c>
      <c r="D738" s="990">
        <v>13.099301823948212</v>
      </c>
    </row>
    <row r="739" spans="1:4">
      <c r="A739" s="988">
        <v>14300</v>
      </c>
      <c r="B739" s="988">
        <v>13.563440198783477</v>
      </c>
      <c r="C739" s="988">
        <v>12.9215</v>
      </c>
      <c r="D739" s="990">
        <v>13.097127911517399</v>
      </c>
    </row>
    <row r="740" spans="1:4">
      <c r="A740" s="988">
        <v>14305</v>
      </c>
      <c r="B740" s="988">
        <v>13.545614729274014</v>
      </c>
      <c r="C740" s="988">
        <v>12.7775</v>
      </c>
      <c r="D740" s="990">
        <v>13.087383690535969</v>
      </c>
    </row>
    <row r="741" spans="1:4">
      <c r="A741" s="988">
        <v>14310</v>
      </c>
      <c r="B741" s="988">
        <v>13.509081039604821</v>
      </c>
      <c r="C741" s="988">
        <v>12.621500000000001</v>
      </c>
      <c r="D741" s="990">
        <v>13.062995311418751</v>
      </c>
    </row>
    <row r="742" spans="1:4">
      <c r="A742" s="988">
        <v>14315</v>
      </c>
      <c r="B742" s="988">
        <v>13.447658083509355</v>
      </c>
      <c r="C742" s="988">
        <v>12.4635</v>
      </c>
      <c r="D742" s="990">
        <v>13.016995241500302</v>
      </c>
    </row>
    <row r="743" spans="1:4">
      <c r="A743" s="988">
        <v>14320</v>
      </c>
      <c r="B743" s="988">
        <v>13.359369053070084</v>
      </c>
      <c r="C743" s="988">
        <v>12.295500000000001</v>
      </c>
      <c r="D743" s="990">
        <v>12.94423134114068</v>
      </c>
    </row>
    <row r="744" spans="1:4">
      <c r="A744" s="988">
        <v>14325</v>
      </c>
      <c r="B744" s="988">
        <v>13.244199998808254</v>
      </c>
      <c r="C744" s="988">
        <v>12.1225</v>
      </c>
      <c r="D744" s="990">
        <v>12.843306251924117</v>
      </c>
    </row>
    <row r="745" spans="1:4">
      <c r="A745" s="988">
        <v>14330</v>
      </c>
      <c r="B745" s="988">
        <v>13.102163424494897</v>
      </c>
      <c r="C745" s="988">
        <v>11.9415</v>
      </c>
      <c r="D745" s="990">
        <v>12.714223469288921</v>
      </c>
    </row>
    <row r="746" spans="1:4">
      <c r="A746" s="988">
        <v>14335</v>
      </c>
      <c r="B746" s="988">
        <v>12.933282102424576</v>
      </c>
      <c r="C746" s="988">
        <v>11.757999999999999</v>
      </c>
      <c r="D746" s="990">
        <v>12.556994628007136</v>
      </c>
    </row>
    <row r="747" spans="1:4">
      <c r="A747" s="988">
        <v>14340</v>
      </c>
      <c r="B747" s="988">
        <v>12.73759154421106</v>
      </c>
      <c r="C747" s="988">
        <v>11.570500000000001</v>
      </c>
      <c r="D747" s="990">
        <v>12.3716334764483</v>
      </c>
    </row>
    <row r="748" spans="1:4">
      <c r="A748" s="988">
        <v>14345</v>
      </c>
      <c r="B748" s="988">
        <v>12.515146144466005</v>
      </c>
      <c r="C748" s="988">
        <v>11.379000000000001</v>
      </c>
      <c r="D748" s="990">
        <v>12.158158976846261</v>
      </c>
    </row>
    <row r="749" spans="1:4">
      <c r="A749" s="988">
        <v>14350</v>
      </c>
      <c r="B749" s="988">
        <v>12.266016225406744</v>
      </c>
      <c r="C749" s="988">
        <v>11.1965</v>
      </c>
      <c r="D749" s="990">
        <v>11.916589569053688</v>
      </c>
    </row>
    <row r="750" spans="1:4">
      <c r="A750" s="988">
        <v>14355</v>
      </c>
      <c r="B750" s="988">
        <v>11.99029315042756</v>
      </c>
      <c r="C750" s="988">
        <v>11.021999999999998</v>
      </c>
      <c r="D750" s="990">
        <v>11.646950035719517</v>
      </c>
    </row>
    <row r="751" spans="1:4">
      <c r="A751" s="988">
        <v>14360</v>
      </c>
      <c r="B751" s="988">
        <v>11.688679283920729</v>
      </c>
      <c r="C751" s="988">
        <v>10.826499999999999</v>
      </c>
      <c r="D751" s="990">
        <v>11.349529638247791</v>
      </c>
    </row>
    <row r="752" spans="1:4">
      <c r="A752" s="988">
        <v>14365</v>
      </c>
      <c r="B752" s="988">
        <v>11.366163332614558</v>
      </c>
      <c r="C752" s="988">
        <v>10.6295</v>
      </c>
      <c r="D752" s="990">
        <v>11.026950665554693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4"/>
  <dimension ref="A1:P45"/>
  <sheetViews>
    <sheetView workbookViewId="0">
      <selection activeCell="C2" sqref="C2:C43"/>
    </sheetView>
  </sheetViews>
  <sheetFormatPr defaultRowHeight="13.2"/>
  <cols>
    <col min="1" max="7" width="11.6640625" style="988" customWidth="1"/>
    <col min="8" max="8" width="15.109375" style="988" bestFit="1" customWidth="1"/>
    <col min="9" max="9" width="11.6640625" style="988" customWidth="1"/>
    <col min="10" max="11" width="9.109375" style="988"/>
    <col min="12" max="12" width="16" style="988" customWidth="1"/>
  </cols>
  <sheetData>
    <row r="1" spans="1:12">
      <c r="A1" s="991" t="s">
        <v>416</v>
      </c>
      <c r="B1" s="991" t="s">
        <v>417</v>
      </c>
      <c r="C1" s="991" t="s">
        <v>418</v>
      </c>
      <c r="D1" s="991" t="s">
        <v>419</v>
      </c>
      <c r="E1" s="991" t="s">
        <v>420</v>
      </c>
      <c r="F1" s="991" t="s">
        <v>241</v>
      </c>
      <c r="G1" s="991" t="s">
        <v>242</v>
      </c>
      <c r="H1" s="991" t="s">
        <v>464</v>
      </c>
      <c r="I1" s="991" t="s">
        <v>462</v>
      </c>
      <c r="J1" s="991" t="s">
        <v>461</v>
      </c>
      <c r="K1" s="991" t="s">
        <v>508</v>
      </c>
      <c r="L1" s="979" t="s">
        <v>507</v>
      </c>
    </row>
    <row r="2" spans="1:12">
      <c r="A2" s="992">
        <v>12920</v>
      </c>
      <c r="B2" s="992" t="s">
        <v>437</v>
      </c>
      <c r="C2" s="992">
        <v>57</v>
      </c>
      <c r="D2" s="992">
        <v>18.5</v>
      </c>
      <c r="E2" s="992">
        <v>15.1</v>
      </c>
      <c r="F2" s="992">
        <v>19.7</v>
      </c>
      <c r="G2" s="992">
        <v>8</v>
      </c>
      <c r="H2" s="992" t="s">
        <v>481</v>
      </c>
      <c r="I2" s="988">
        <f>MROUND(A2,5)</f>
        <v>12920</v>
      </c>
      <c r="J2" s="988">
        <f>VLOOKUP(I2,'Coord Tracciato'!$A$2:$C$752,3,FALSE)</f>
        <v>19.248000000000001</v>
      </c>
      <c r="K2" s="988">
        <f>ROUND(VLOOKUP(I2,'Coord Tracciato'!$A$2:$D$752,4,FALSE),1)</f>
        <v>13.1</v>
      </c>
      <c r="L2" s="988" t="str">
        <f t="shared" ref="L2:L45" si="0">IF(AND(13112&lt;I2,I2&lt;13281),"Rabin Station",IF(AND(12214&lt;I2,I2&lt;12410),"Kaplan",IF(AND(11320&lt;I2,I2&lt;11640),"Carlebach",IF(I2&lt;10612,"Leviski-OUT",IF(I2&gt;14369,"SOUTH","Tunnel")))))</f>
        <v>Tunnel</v>
      </c>
    </row>
    <row r="3" spans="1:12">
      <c r="A3" s="992">
        <v>12950</v>
      </c>
      <c r="B3" s="992" t="s">
        <v>410</v>
      </c>
      <c r="C3" s="992">
        <v>55</v>
      </c>
      <c r="D3" s="992">
        <v>21.91</v>
      </c>
      <c r="E3" s="992">
        <v>13.9</v>
      </c>
      <c r="F3" s="992">
        <v>23.6</v>
      </c>
      <c r="G3" s="992">
        <v>9</v>
      </c>
      <c r="H3" s="992" t="s">
        <v>482</v>
      </c>
      <c r="I3" s="988">
        <f t="shared" ref="I3:I45" si="1">MROUND(A3,5)</f>
        <v>12950</v>
      </c>
      <c r="J3" s="988">
        <f>VLOOKUP(I3,'Coord Tracciato'!$A$2:$C$752,3,FALSE)</f>
        <v>19.213000000000001</v>
      </c>
      <c r="K3" s="990">
        <f>ROUND(VLOOKUP(I3,'Coord Tracciato'!$A$2:$D$752,4,FALSE),1)</f>
        <v>13.1</v>
      </c>
      <c r="L3" s="988" t="str">
        <f t="shared" si="0"/>
        <v>Tunnel</v>
      </c>
    </row>
    <row r="4" spans="1:12">
      <c r="A4" s="992">
        <v>13000</v>
      </c>
      <c r="B4" s="992" t="s">
        <v>438</v>
      </c>
      <c r="C4" s="992">
        <v>50</v>
      </c>
      <c r="D4" s="992">
        <v>19.5</v>
      </c>
      <c r="E4" s="992">
        <v>13.9</v>
      </c>
      <c r="F4" s="992">
        <v>24.7</v>
      </c>
      <c r="G4" s="992">
        <v>11.9</v>
      </c>
      <c r="H4" s="992" t="s">
        <v>483</v>
      </c>
      <c r="I4" s="988">
        <f t="shared" si="1"/>
        <v>13000</v>
      </c>
      <c r="J4" s="988">
        <f>VLOOKUP(I4,'Coord Tracciato'!$A$2:$C$752,3,FALSE)</f>
        <v>18.982999999999997</v>
      </c>
      <c r="K4" s="990">
        <f>ROUND(VLOOKUP(I4,'Coord Tracciato'!$A$2:$D$752,4,FALSE),1)</f>
        <v>13.1</v>
      </c>
      <c r="L4" s="988" t="str">
        <f t="shared" si="0"/>
        <v>Tunnel</v>
      </c>
    </row>
    <row r="5" spans="1:12">
      <c r="A5" s="992">
        <v>13025</v>
      </c>
      <c r="B5" s="992" t="s">
        <v>439</v>
      </c>
      <c r="C5" s="992">
        <v>54</v>
      </c>
      <c r="D5" s="992">
        <v>19.5</v>
      </c>
      <c r="E5" s="992">
        <v>13.2</v>
      </c>
      <c r="F5" s="992">
        <v>18.5</v>
      </c>
      <c r="G5" s="992">
        <v>14.3</v>
      </c>
      <c r="H5" s="992" t="s">
        <v>484</v>
      </c>
      <c r="I5" s="988">
        <f t="shared" si="1"/>
        <v>13025</v>
      </c>
      <c r="J5" s="988">
        <f>VLOOKUP(I5,'Coord Tracciato'!$A$2:$C$752,3,FALSE)</f>
        <v>18.814</v>
      </c>
      <c r="K5" s="990">
        <f>ROUND(VLOOKUP(I5,'Coord Tracciato'!$A$2:$D$752,4,FALSE),1)</f>
        <v>13.1</v>
      </c>
      <c r="L5" s="988" t="str">
        <f t="shared" si="0"/>
        <v>Tunnel</v>
      </c>
    </row>
    <row r="6" spans="1:12">
      <c r="A6" s="992">
        <v>13050</v>
      </c>
      <c r="B6" s="992" t="s">
        <v>440</v>
      </c>
      <c r="C6" s="992">
        <v>45</v>
      </c>
      <c r="D6" s="992">
        <v>25.5</v>
      </c>
      <c r="E6" s="992">
        <v>13.1</v>
      </c>
      <c r="F6" s="992">
        <v>19.100000000000001</v>
      </c>
      <c r="G6" s="992">
        <v>16.8</v>
      </c>
      <c r="H6" s="992" t="s">
        <v>485</v>
      </c>
      <c r="I6" s="988">
        <f t="shared" si="1"/>
        <v>13050</v>
      </c>
      <c r="J6" s="988">
        <f>VLOOKUP(I6,'Coord Tracciato'!$A$2:$C$752,3,FALSE)</f>
        <v>18.661999999999999</v>
      </c>
      <c r="K6" s="990">
        <f>ROUND(VLOOKUP(I6,'Coord Tracciato'!$A$2:$D$752,4,FALSE),1)</f>
        <v>13.1</v>
      </c>
      <c r="L6" s="988" t="str">
        <f t="shared" si="0"/>
        <v>Tunnel</v>
      </c>
    </row>
    <row r="7" spans="1:12">
      <c r="A7" s="992">
        <v>13065</v>
      </c>
      <c r="B7" s="992" t="s">
        <v>441</v>
      </c>
      <c r="C7" s="992">
        <v>52</v>
      </c>
      <c r="D7" s="992">
        <v>18.5</v>
      </c>
      <c r="E7" s="992">
        <v>12</v>
      </c>
      <c r="F7" s="992">
        <v>15</v>
      </c>
      <c r="G7" s="992">
        <v>19</v>
      </c>
      <c r="H7" s="992" t="s">
        <v>486</v>
      </c>
      <c r="I7" s="988">
        <f t="shared" si="1"/>
        <v>13065</v>
      </c>
      <c r="J7" s="988">
        <f>VLOOKUP(I7,'Coord Tracciato'!$A$2:$C$752,3,FALSE)</f>
        <v>18.592500000000001</v>
      </c>
      <c r="K7" s="990">
        <f>ROUND(VLOOKUP(I7,'Coord Tracciato'!$A$2:$D$752,4,FALSE),1)</f>
        <v>13.1</v>
      </c>
      <c r="L7" s="988" t="str">
        <f t="shared" si="0"/>
        <v>Tunnel</v>
      </c>
    </row>
    <row r="8" spans="1:12">
      <c r="A8" s="992">
        <v>13676</v>
      </c>
      <c r="B8" s="992" t="s">
        <v>442</v>
      </c>
      <c r="C8" s="992">
        <v>49</v>
      </c>
      <c r="D8" s="992">
        <v>18.5</v>
      </c>
      <c r="E8" s="992">
        <v>15.7</v>
      </c>
      <c r="F8" s="992">
        <v>14.1</v>
      </c>
      <c r="G8" s="992">
        <v>18.5</v>
      </c>
      <c r="H8" s="992" t="s">
        <v>487</v>
      </c>
      <c r="I8" s="988">
        <f t="shared" si="1"/>
        <v>13675</v>
      </c>
      <c r="J8" s="988">
        <f>VLOOKUP(I8,'Coord Tracciato'!$A$2:$C$752,3,FALSE)</f>
        <v>21.915500000000002</v>
      </c>
      <c r="K8" s="990">
        <f>ROUND(VLOOKUP(I8,'Coord Tracciato'!$A$2:$D$752,4,FALSE),1)</f>
        <v>13.1</v>
      </c>
      <c r="L8" s="988" t="str">
        <f t="shared" si="0"/>
        <v>Tunnel</v>
      </c>
    </row>
    <row r="9" spans="1:12">
      <c r="A9" s="992">
        <v>13706</v>
      </c>
      <c r="B9" s="992" t="s">
        <v>443</v>
      </c>
      <c r="C9" s="992">
        <v>52</v>
      </c>
      <c r="D9" s="992">
        <v>18.5</v>
      </c>
      <c r="E9" s="992">
        <v>14.9</v>
      </c>
      <c r="F9" s="992">
        <v>25.6</v>
      </c>
      <c r="G9" s="992">
        <v>15.4</v>
      </c>
      <c r="H9" s="992" t="s">
        <v>488</v>
      </c>
      <c r="I9" s="988">
        <f t="shared" si="1"/>
        <v>13705</v>
      </c>
      <c r="J9" s="988">
        <f>VLOOKUP(I9,'Coord Tracciato'!$A$2:$C$752,3,FALSE)</f>
        <v>21.905000000000001</v>
      </c>
      <c r="K9" s="990">
        <f>ROUND(VLOOKUP(I9,'Coord Tracciato'!$A$2:$D$752,4,FALSE),1)</f>
        <v>13.1</v>
      </c>
      <c r="L9" s="988" t="str">
        <f t="shared" si="0"/>
        <v>Tunnel</v>
      </c>
    </row>
    <row r="10" spans="1:12">
      <c r="A10" s="992">
        <v>13760</v>
      </c>
      <c r="B10" s="992" t="s">
        <v>412</v>
      </c>
      <c r="C10" s="992">
        <v>57</v>
      </c>
      <c r="D10" s="992">
        <v>16.5</v>
      </c>
      <c r="E10" s="992">
        <v>14.9</v>
      </c>
      <c r="F10" s="992">
        <v>22.8</v>
      </c>
      <c r="G10" s="992">
        <v>8.6999999999999993</v>
      </c>
      <c r="H10" s="992" t="s">
        <v>489</v>
      </c>
      <c r="I10" s="988">
        <f t="shared" si="1"/>
        <v>13760</v>
      </c>
      <c r="J10" s="988">
        <f>VLOOKUP(I10,'Coord Tracciato'!$A$2:$C$752,3,FALSE)</f>
        <v>21.717500000000001</v>
      </c>
      <c r="K10" s="990">
        <f>ROUND(VLOOKUP(I10,'Coord Tracciato'!$A$2:$D$752,4,FALSE),1)</f>
        <v>13.1</v>
      </c>
      <c r="L10" s="988" t="str">
        <f t="shared" si="0"/>
        <v>Tunnel</v>
      </c>
    </row>
    <row r="11" spans="1:12">
      <c r="A11" s="992">
        <v>13780</v>
      </c>
      <c r="B11" s="992" t="s">
        <v>444</v>
      </c>
      <c r="C11" s="992">
        <v>52</v>
      </c>
      <c r="D11" s="992">
        <v>16.5</v>
      </c>
      <c r="E11" s="992">
        <v>15</v>
      </c>
      <c r="F11" s="992">
        <v>14.7</v>
      </c>
      <c r="G11" s="992">
        <v>22.1</v>
      </c>
      <c r="H11" s="992" t="s">
        <v>490</v>
      </c>
      <c r="I11" s="988">
        <f t="shared" si="1"/>
        <v>13780</v>
      </c>
      <c r="J11" s="988">
        <f>VLOOKUP(I11,'Coord Tracciato'!$A$2:$C$752,3,FALSE)</f>
        <v>21.507999999999999</v>
      </c>
      <c r="K11" s="990">
        <f>ROUND(VLOOKUP(I11,'Coord Tracciato'!$A$2:$D$752,4,FALSE),1)</f>
        <v>13.1</v>
      </c>
      <c r="L11" s="988" t="str">
        <f t="shared" si="0"/>
        <v>Tunnel</v>
      </c>
    </row>
    <row r="12" spans="1:12">
      <c r="A12" s="992">
        <v>13980</v>
      </c>
      <c r="B12" s="992" t="s">
        <v>445</v>
      </c>
      <c r="C12" s="992">
        <v>52</v>
      </c>
      <c r="D12" s="992">
        <v>20.5</v>
      </c>
      <c r="E12" s="992">
        <v>14.7</v>
      </c>
      <c r="F12" s="992">
        <v>13.7</v>
      </c>
      <c r="G12" s="992">
        <v>24</v>
      </c>
      <c r="H12" s="992" t="s">
        <v>491</v>
      </c>
      <c r="I12" s="988">
        <f t="shared" si="1"/>
        <v>13980</v>
      </c>
      <c r="J12" s="988">
        <f>VLOOKUP(I12,'Coord Tracciato'!$A$2:$C$752,3,FALSE)</f>
        <v>20.044499999999999</v>
      </c>
      <c r="K12" s="990">
        <f>ROUND(VLOOKUP(I12,'Coord Tracciato'!$A$2:$D$752,4,FALSE),1)</f>
        <v>13.1</v>
      </c>
      <c r="L12" s="988" t="str">
        <f t="shared" si="0"/>
        <v>Tunnel</v>
      </c>
    </row>
    <row r="13" spans="1:12">
      <c r="A13" s="992">
        <v>13995</v>
      </c>
      <c r="B13" s="992" t="s">
        <v>446</v>
      </c>
      <c r="C13" s="992">
        <v>40</v>
      </c>
      <c r="D13" s="992">
        <v>20.5</v>
      </c>
      <c r="E13" s="992">
        <v>14.6</v>
      </c>
      <c r="F13" s="992">
        <v>12.6</v>
      </c>
      <c r="G13" s="992">
        <v>25.6</v>
      </c>
      <c r="H13" s="992" t="s">
        <v>492</v>
      </c>
      <c r="I13" s="988">
        <f t="shared" si="1"/>
        <v>13995</v>
      </c>
      <c r="J13" s="988">
        <f>VLOOKUP(I13,'Coord Tracciato'!$A$2:$C$752,3,FALSE)</f>
        <v>19.9665</v>
      </c>
      <c r="K13" s="990">
        <f>ROUND(VLOOKUP(I13,'Coord Tracciato'!$A$2:$D$752,4,FALSE),1)</f>
        <v>13.1</v>
      </c>
      <c r="L13" s="988" t="str">
        <f t="shared" si="0"/>
        <v>Tunnel</v>
      </c>
    </row>
    <row r="14" spans="1:12">
      <c r="A14" s="992">
        <v>14010</v>
      </c>
      <c r="B14" s="992" t="s">
        <v>447</v>
      </c>
      <c r="C14" s="992">
        <v>52</v>
      </c>
      <c r="D14" s="992">
        <v>19.5</v>
      </c>
      <c r="E14" s="992">
        <v>14.6</v>
      </c>
      <c r="F14" s="992">
        <v>13.5</v>
      </c>
      <c r="G14" s="992">
        <v>25.6</v>
      </c>
      <c r="H14" s="992" t="s">
        <v>493</v>
      </c>
      <c r="I14" s="988">
        <f t="shared" si="1"/>
        <v>14010</v>
      </c>
      <c r="J14" s="988">
        <f>VLOOKUP(I14,'Coord Tracciato'!$A$2:$C$752,3,FALSE)</f>
        <v>19.888500000000001</v>
      </c>
      <c r="K14" s="990">
        <f>ROUND(VLOOKUP(I14,'Coord Tracciato'!$A$2:$D$752,4,FALSE),1)</f>
        <v>13.1</v>
      </c>
      <c r="L14" s="988" t="str">
        <f t="shared" si="0"/>
        <v>Tunnel</v>
      </c>
    </row>
    <row r="15" spans="1:12">
      <c r="A15" s="992">
        <v>14105</v>
      </c>
      <c r="B15" s="992" t="s">
        <v>448</v>
      </c>
      <c r="C15" s="992">
        <v>52</v>
      </c>
      <c r="D15" s="992">
        <v>21.5</v>
      </c>
      <c r="E15" s="992">
        <v>14.9</v>
      </c>
      <c r="F15" s="992">
        <v>12</v>
      </c>
      <c r="G15" s="992">
        <v>22.5</v>
      </c>
      <c r="H15" s="992" t="s">
        <v>494</v>
      </c>
      <c r="I15" s="988">
        <f t="shared" si="1"/>
        <v>14105</v>
      </c>
      <c r="J15" s="988">
        <f>VLOOKUP(I15,'Coord Tracciato'!$A$2:$C$752,3,FALSE)</f>
        <v>17.837499999999999</v>
      </c>
      <c r="K15" s="990">
        <f>ROUND(VLOOKUP(I15,'Coord Tracciato'!$A$2:$D$752,4,FALSE),1)</f>
        <v>13.1</v>
      </c>
      <c r="L15" s="988" t="str">
        <f t="shared" si="0"/>
        <v>Tunnel</v>
      </c>
    </row>
    <row r="16" spans="1:12">
      <c r="A16" s="992">
        <v>14125</v>
      </c>
      <c r="B16" s="992" t="s">
        <v>449</v>
      </c>
      <c r="C16" s="992">
        <v>52</v>
      </c>
      <c r="D16" s="992">
        <v>19.5</v>
      </c>
      <c r="E16" s="992">
        <v>14.9</v>
      </c>
      <c r="F16" s="992">
        <v>13.2</v>
      </c>
      <c r="G16" s="992">
        <v>23.3</v>
      </c>
      <c r="H16" s="992" t="s">
        <v>495</v>
      </c>
      <c r="I16" s="988">
        <f t="shared" si="1"/>
        <v>14125</v>
      </c>
      <c r="J16" s="988">
        <f>VLOOKUP(I16,'Coord Tracciato'!$A$2:$C$752,3,FALSE)</f>
        <v>17.331499999999998</v>
      </c>
      <c r="K16" s="990">
        <f>ROUND(VLOOKUP(I16,'Coord Tracciato'!$A$2:$D$752,4,FALSE),1)</f>
        <v>13.1</v>
      </c>
      <c r="L16" s="988" t="str">
        <f t="shared" si="0"/>
        <v>Tunnel</v>
      </c>
    </row>
    <row r="17" spans="1:16">
      <c r="A17" s="992">
        <v>14150</v>
      </c>
      <c r="B17" s="992" t="s">
        <v>450</v>
      </c>
      <c r="C17" s="992">
        <v>45</v>
      </c>
      <c r="D17" s="992">
        <v>19.5</v>
      </c>
      <c r="E17" s="992">
        <v>14.9</v>
      </c>
      <c r="F17" s="992">
        <v>13.2</v>
      </c>
      <c r="G17" s="992">
        <v>26.2</v>
      </c>
      <c r="H17" s="992" t="s">
        <v>496</v>
      </c>
      <c r="I17" s="988">
        <f t="shared" si="1"/>
        <v>14150</v>
      </c>
      <c r="J17" s="988">
        <f>VLOOKUP(I17,'Coord Tracciato'!$A$2:$C$752,3,FALSE)</f>
        <v>16.714500000000001</v>
      </c>
      <c r="K17" s="990">
        <f>ROUND(VLOOKUP(I17,'Coord Tracciato'!$A$2:$D$752,4,FALSE),1)</f>
        <v>13.1</v>
      </c>
      <c r="L17" s="988" t="str">
        <f t="shared" si="0"/>
        <v>Tunnel</v>
      </c>
    </row>
    <row r="18" spans="1:16">
      <c r="A18" s="992">
        <v>14170</v>
      </c>
      <c r="B18" s="992" t="s">
        <v>451</v>
      </c>
      <c r="C18" s="992">
        <v>45</v>
      </c>
      <c r="D18" s="992">
        <v>20.5</v>
      </c>
      <c r="E18" s="992">
        <v>14.9</v>
      </c>
      <c r="F18" s="992">
        <v>17.399999999999999</v>
      </c>
      <c r="G18" s="992">
        <v>25.9</v>
      </c>
      <c r="H18" s="992" t="s">
        <v>497</v>
      </c>
      <c r="I18" s="988">
        <f t="shared" si="1"/>
        <v>14170</v>
      </c>
      <c r="J18" s="988">
        <f>VLOOKUP(I18,'Coord Tracciato'!$A$2:$C$752,3,FALSE)</f>
        <v>16.2105</v>
      </c>
      <c r="K18" s="990">
        <f>ROUND(VLOOKUP(I18,'Coord Tracciato'!$A$2:$D$752,4,FALSE),1)</f>
        <v>13.1</v>
      </c>
      <c r="L18" s="988" t="str">
        <f t="shared" si="0"/>
        <v>Tunnel</v>
      </c>
    </row>
    <row r="19" spans="1:16">
      <c r="A19" s="988">
        <v>14190</v>
      </c>
      <c r="B19" s="988" t="s">
        <v>452</v>
      </c>
      <c r="C19" s="988">
        <v>52</v>
      </c>
      <c r="D19" s="988">
        <v>20.5</v>
      </c>
      <c r="E19" s="988">
        <v>14.9</v>
      </c>
      <c r="F19" s="988">
        <v>6.7</v>
      </c>
      <c r="G19" s="988">
        <v>11.3</v>
      </c>
      <c r="H19" s="988" t="s">
        <v>498</v>
      </c>
      <c r="I19" s="988">
        <f t="shared" si="1"/>
        <v>14190</v>
      </c>
      <c r="J19" s="988">
        <f>VLOOKUP(I19,'Coord Tracciato'!$A$2:$C$752,3,FALSE)</f>
        <v>15.720499999999999</v>
      </c>
      <c r="K19" s="990">
        <f>ROUND(VLOOKUP(I19,'Coord Tracciato'!$A$2:$D$752,4,FALSE),1)</f>
        <v>13.1</v>
      </c>
      <c r="L19" s="988" t="str">
        <f t="shared" si="0"/>
        <v>Tunnel</v>
      </c>
      <c r="P19" s="9"/>
    </row>
    <row r="20" spans="1:16">
      <c r="A20" s="988">
        <v>14225</v>
      </c>
      <c r="B20" s="988" t="s">
        <v>453</v>
      </c>
      <c r="C20" s="988">
        <v>52</v>
      </c>
      <c r="D20" s="988">
        <v>20.5</v>
      </c>
      <c r="E20" s="988">
        <v>15.8</v>
      </c>
      <c r="F20" s="988">
        <v>19.100000000000001</v>
      </c>
      <c r="G20" s="988">
        <v>12.9</v>
      </c>
      <c r="H20" s="988" t="s">
        <v>499</v>
      </c>
      <c r="I20" s="988">
        <f t="shared" si="1"/>
        <v>14225</v>
      </c>
      <c r="J20" s="988">
        <f>VLOOKUP(I20,'Coord Tracciato'!$A$2:$C$752,3,FALSE)</f>
        <v>14.849500000000001</v>
      </c>
      <c r="K20" s="990">
        <f>ROUND(VLOOKUP(I20,'Coord Tracciato'!$A$2:$D$752,4,FALSE),1)</f>
        <v>13.1</v>
      </c>
      <c r="L20" s="988" t="str">
        <f t="shared" si="0"/>
        <v>Tunnel</v>
      </c>
    </row>
    <row r="21" spans="1:16">
      <c r="A21" s="988">
        <v>14245</v>
      </c>
      <c r="B21" s="988" t="s">
        <v>454</v>
      </c>
      <c r="C21" s="988">
        <v>45</v>
      </c>
      <c r="D21" s="988">
        <v>20.5</v>
      </c>
      <c r="E21" s="988">
        <v>16.3</v>
      </c>
      <c r="F21" s="988">
        <v>19.100000000000001</v>
      </c>
      <c r="G21" s="988">
        <v>13.8</v>
      </c>
      <c r="H21" s="988" t="s">
        <v>500</v>
      </c>
      <c r="I21" s="988">
        <f t="shared" si="1"/>
        <v>14245</v>
      </c>
      <c r="J21" s="988">
        <f>VLOOKUP(I21,'Coord Tracciato'!$A$2:$C$752,3,FALSE)</f>
        <v>14.326499999999999</v>
      </c>
      <c r="K21" s="990">
        <f>ROUND(VLOOKUP(I21,'Coord Tracciato'!$A$2:$D$752,4,FALSE),1)</f>
        <v>13.1</v>
      </c>
      <c r="L21" s="988" t="str">
        <f t="shared" si="0"/>
        <v>Tunnel</v>
      </c>
    </row>
    <row r="22" spans="1:16">
      <c r="A22" s="988">
        <v>14320</v>
      </c>
      <c r="B22" s="988" t="s">
        <v>455</v>
      </c>
      <c r="C22" s="988">
        <v>45</v>
      </c>
      <c r="D22" s="988">
        <v>19.5</v>
      </c>
      <c r="E22" s="988">
        <v>17.100000000000001</v>
      </c>
      <c r="F22" s="988">
        <v>14.5</v>
      </c>
      <c r="G22" s="988">
        <v>18.100000000000001</v>
      </c>
      <c r="H22" s="988" t="s">
        <v>501</v>
      </c>
      <c r="I22" s="988">
        <f t="shared" si="1"/>
        <v>14320</v>
      </c>
      <c r="J22" s="988">
        <f>VLOOKUP(I22,'Coord Tracciato'!$A$2:$C$752,3,FALSE)</f>
        <v>12.295500000000001</v>
      </c>
      <c r="K22" s="990">
        <f>ROUND(VLOOKUP(I22,'Coord Tracciato'!$A$2:$D$752,4,FALSE),1)</f>
        <v>12.9</v>
      </c>
      <c r="L22" s="988" t="str">
        <f t="shared" si="0"/>
        <v>Tunnel</v>
      </c>
    </row>
    <row r="23" spans="1:16">
      <c r="A23" s="988">
        <v>14345</v>
      </c>
      <c r="B23" s="988" t="s">
        <v>456</v>
      </c>
      <c r="C23" s="988">
        <v>45</v>
      </c>
      <c r="D23" s="988">
        <v>19.5</v>
      </c>
      <c r="E23" s="988">
        <v>17.3</v>
      </c>
      <c r="F23" s="988">
        <v>19.399999999999999</v>
      </c>
      <c r="G23" s="988">
        <v>13.8</v>
      </c>
      <c r="H23" s="988" t="s">
        <v>502</v>
      </c>
      <c r="I23" s="988">
        <f t="shared" si="1"/>
        <v>14345</v>
      </c>
      <c r="J23" s="988">
        <f>VLOOKUP(I23,'Coord Tracciato'!$A$2:$C$752,3,FALSE)</f>
        <v>11.379000000000001</v>
      </c>
      <c r="K23" s="990">
        <f>ROUND(VLOOKUP(I23,'Coord Tracciato'!$A$2:$D$752,4,FALSE),1)</f>
        <v>12.2</v>
      </c>
      <c r="L23" s="988" t="str">
        <f t="shared" si="0"/>
        <v>Tunnel</v>
      </c>
    </row>
    <row r="24" spans="1:16">
      <c r="A24" s="988">
        <v>13000</v>
      </c>
      <c r="B24" s="988" t="s">
        <v>457</v>
      </c>
      <c r="C24" s="988">
        <v>38</v>
      </c>
      <c r="D24" s="988">
        <v>15.5</v>
      </c>
      <c r="E24" s="988">
        <v>16.5</v>
      </c>
      <c r="F24" s="988">
        <v>18.899999999999999</v>
      </c>
      <c r="G24" s="988">
        <v>23.9</v>
      </c>
      <c r="H24" s="988" t="s">
        <v>503</v>
      </c>
      <c r="I24" s="988">
        <f t="shared" si="1"/>
        <v>13000</v>
      </c>
      <c r="J24" s="988">
        <f>VLOOKUP(I24,'Coord Tracciato'!$A$2:$C$752,3,FALSE)</f>
        <v>18.982999999999997</v>
      </c>
      <c r="K24" s="990">
        <f>ROUND(VLOOKUP(I24,'Coord Tracciato'!$A$2:$D$752,4,FALSE),1)</f>
        <v>13.1</v>
      </c>
      <c r="L24" s="988" t="str">
        <f t="shared" si="0"/>
        <v>Tunnel</v>
      </c>
    </row>
    <row r="25" spans="1:16">
      <c r="A25" s="988">
        <v>13020</v>
      </c>
      <c r="B25" s="988" t="s">
        <v>458</v>
      </c>
      <c r="C25" s="988">
        <v>52</v>
      </c>
      <c r="D25" s="988">
        <v>21.5</v>
      </c>
      <c r="E25" s="988">
        <v>16.399999999999999</v>
      </c>
      <c r="F25" s="988">
        <v>17.100000000000001</v>
      </c>
      <c r="G25" s="988">
        <v>20</v>
      </c>
      <c r="H25" s="988" t="s">
        <v>504</v>
      </c>
      <c r="I25" s="988">
        <f t="shared" si="1"/>
        <v>13020</v>
      </c>
      <c r="J25" s="988">
        <f>VLOOKUP(I25,'Coord Tracciato'!$A$2:$C$752,3,FALSE)</f>
        <v>18.8385</v>
      </c>
      <c r="K25" s="990">
        <f>ROUND(VLOOKUP(I25,'Coord Tracciato'!$A$2:$D$752,4,FALSE),1)</f>
        <v>13.1</v>
      </c>
      <c r="L25" s="988" t="str">
        <f t="shared" si="0"/>
        <v>Tunnel</v>
      </c>
    </row>
    <row r="26" spans="1:16">
      <c r="A26" s="988">
        <v>13045</v>
      </c>
      <c r="B26" s="988" t="s">
        <v>459</v>
      </c>
      <c r="C26" s="988">
        <v>52</v>
      </c>
      <c r="D26" s="988">
        <v>27.5</v>
      </c>
      <c r="E26" s="988">
        <v>17.899999999999999</v>
      </c>
      <c r="F26" s="988">
        <v>18.2</v>
      </c>
      <c r="G26" s="988">
        <v>20</v>
      </c>
      <c r="H26" s="988" t="s">
        <v>505</v>
      </c>
      <c r="I26" s="988">
        <f t="shared" si="1"/>
        <v>13045</v>
      </c>
      <c r="J26" s="988">
        <f>VLOOKUP(I26,'Coord Tracciato'!$A$2:$C$752,3,FALSE)</f>
        <v>18.692999999999998</v>
      </c>
      <c r="K26" s="990">
        <f>ROUND(VLOOKUP(I26,'Coord Tracciato'!$A$2:$D$752,4,FALSE),1)</f>
        <v>13.1</v>
      </c>
      <c r="L26" s="988" t="str">
        <f t="shared" si="0"/>
        <v>Tunnel</v>
      </c>
    </row>
    <row r="27" spans="1:16">
      <c r="A27" s="988">
        <v>13065</v>
      </c>
      <c r="B27" s="988" t="s">
        <v>460</v>
      </c>
      <c r="C27" s="988">
        <v>39</v>
      </c>
      <c r="D27" s="988">
        <v>27.5</v>
      </c>
      <c r="E27" s="988">
        <v>18.100000000000001</v>
      </c>
      <c r="F27" s="988">
        <v>14.8</v>
      </c>
      <c r="G27" s="988">
        <v>24.1</v>
      </c>
      <c r="H27" s="988" t="s">
        <v>506</v>
      </c>
      <c r="I27" s="988">
        <f t="shared" si="1"/>
        <v>13065</v>
      </c>
      <c r="J27" s="988">
        <f>VLOOKUP(I27,'Coord Tracciato'!$A$2:$C$752,3,FALSE)</f>
        <v>18.592500000000001</v>
      </c>
      <c r="K27" s="990">
        <f>ROUND(VLOOKUP(I27,'Coord Tracciato'!$A$2:$D$752,4,FALSE),1)</f>
        <v>13.1</v>
      </c>
      <c r="L27" s="988" t="str">
        <f t="shared" si="0"/>
        <v>Tunnel</v>
      </c>
    </row>
    <row r="28" spans="1:16">
      <c r="A28" s="992">
        <v>13105</v>
      </c>
      <c r="B28" s="992" t="s">
        <v>421</v>
      </c>
      <c r="C28" s="992">
        <v>39</v>
      </c>
      <c r="D28" s="992">
        <v>28.5</v>
      </c>
      <c r="E28" s="992">
        <v>18.8</v>
      </c>
      <c r="F28" s="992">
        <v>18.8</v>
      </c>
      <c r="G28" s="992">
        <v>22.9</v>
      </c>
      <c r="H28" s="992" t="s">
        <v>465</v>
      </c>
      <c r="I28" s="988">
        <f t="shared" si="1"/>
        <v>13105</v>
      </c>
      <c r="J28" s="988">
        <f>VLOOKUP(I28,'Coord Tracciato'!$A$2:$C$752,3,FALSE)</f>
        <v>18.5075</v>
      </c>
      <c r="K28" s="990">
        <f>ROUND(VLOOKUP(I28,'Coord Tracciato'!$A$2:$D$752,4,FALSE),1)</f>
        <v>13.1</v>
      </c>
      <c r="L28" s="988" t="str">
        <f t="shared" si="0"/>
        <v>Tunnel</v>
      </c>
    </row>
    <row r="29" spans="1:16">
      <c r="A29" s="992">
        <v>13290</v>
      </c>
      <c r="B29" s="992" t="s">
        <v>422</v>
      </c>
      <c r="C29" s="992">
        <v>39</v>
      </c>
      <c r="D29" s="992">
        <v>17.5</v>
      </c>
      <c r="E29" s="992">
        <v>19.100000000000001</v>
      </c>
      <c r="F29" s="992">
        <v>19.3</v>
      </c>
      <c r="G29" s="992">
        <v>22.5</v>
      </c>
      <c r="H29" s="992" t="s">
        <v>466</v>
      </c>
      <c r="I29" s="988">
        <f t="shared" si="1"/>
        <v>13290</v>
      </c>
      <c r="J29" s="988">
        <f>VLOOKUP(I29,'Coord Tracciato'!$A$2:$C$752,3,FALSE)</f>
        <v>17.5045</v>
      </c>
      <c r="K29" s="990">
        <f>ROUND(VLOOKUP(I29,'Coord Tracciato'!$A$2:$D$752,4,FALSE),1)</f>
        <v>13.1</v>
      </c>
      <c r="L29" s="988" t="str">
        <f t="shared" si="0"/>
        <v>Tunnel</v>
      </c>
    </row>
    <row r="30" spans="1:16">
      <c r="A30" s="992">
        <v>13330</v>
      </c>
      <c r="B30" s="992" t="s">
        <v>423</v>
      </c>
      <c r="C30" s="992">
        <v>46</v>
      </c>
      <c r="D30" s="992">
        <v>19.5</v>
      </c>
      <c r="E30" s="992">
        <v>18.5</v>
      </c>
      <c r="F30" s="992">
        <v>17.399999999999999</v>
      </c>
      <c r="G30" s="992">
        <v>11</v>
      </c>
      <c r="H30" s="992" t="s">
        <v>467</v>
      </c>
      <c r="I30" s="988">
        <f t="shared" si="1"/>
        <v>13330</v>
      </c>
      <c r="J30" s="988">
        <f>VLOOKUP(I30,'Coord Tracciato'!$A$2:$C$752,3,FALSE)</f>
        <v>17.576500000000003</v>
      </c>
      <c r="K30" s="990">
        <f>ROUND(VLOOKUP(I30,'Coord Tracciato'!$A$2:$D$752,4,FALSE),1)</f>
        <v>13.1</v>
      </c>
      <c r="L30" s="988" t="str">
        <f t="shared" si="0"/>
        <v>Tunnel</v>
      </c>
    </row>
    <row r="31" spans="1:16">
      <c r="A31" s="992">
        <v>13515</v>
      </c>
      <c r="B31" s="992" t="s">
        <v>411</v>
      </c>
      <c r="C31" s="992">
        <v>45</v>
      </c>
      <c r="D31" s="992">
        <v>21.5</v>
      </c>
      <c r="E31" s="992">
        <v>14.3</v>
      </c>
      <c r="F31" s="992">
        <v>13.3</v>
      </c>
      <c r="G31" s="992">
        <v>18.7</v>
      </c>
      <c r="H31" s="992" t="s">
        <v>468</v>
      </c>
      <c r="I31" s="988">
        <f t="shared" si="1"/>
        <v>13515</v>
      </c>
      <c r="J31" s="988">
        <f>VLOOKUP(I31,'Coord Tracciato'!$A$2:$C$752,3,FALSE)</f>
        <v>20.222000000000001</v>
      </c>
      <c r="K31" s="990">
        <f>ROUND(VLOOKUP(I31,'Coord Tracciato'!$A$2:$D$752,4,FALSE),1)</f>
        <v>13.1</v>
      </c>
      <c r="L31" s="988" t="str">
        <f t="shared" si="0"/>
        <v>Tunnel</v>
      </c>
    </row>
    <row r="32" spans="1:16">
      <c r="A32" s="992">
        <v>13530</v>
      </c>
      <c r="B32" s="992" t="s">
        <v>424</v>
      </c>
      <c r="C32" s="992">
        <v>45</v>
      </c>
      <c r="D32" s="992">
        <v>22.7</v>
      </c>
      <c r="E32" s="992">
        <v>14.6</v>
      </c>
      <c r="F32" s="992">
        <v>15.8</v>
      </c>
      <c r="G32" s="992">
        <v>19.399999999999999</v>
      </c>
      <c r="H32" s="992" t="s">
        <v>469</v>
      </c>
      <c r="I32" s="988">
        <f t="shared" si="1"/>
        <v>13530</v>
      </c>
      <c r="J32" s="988">
        <f>VLOOKUP(I32,'Coord Tracciato'!$A$2:$C$752,3,FALSE)</f>
        <v>20.429500000000001</v>
      </c>
      <c r="K32" s="990">
        <f>ROUND(VLOOKUP(I32,'Coord Tracciato'!$A$2:$D$752,4,FALSE),1)</f>
        <v>13.1</v>
      </c>
      <c r="L32" s="988" t="str">
        <f t="shared" si="0"/>
        <v>Tunnel</v>
      </c>
    </row>
    <row r="33" spans="1:12">
      <c r="A33" s="992">
        <v>13552</v>
      </c>
      <c r="B33" s="992" t="s">
        <v>425</v>
      </c>
      <c r="C33" s="992">
        <v>45</v>
      </c>
      <c r="D33" s="992">
        <v>21.2</v>
      </c>
      <c r="E33" s="992">
        <v>14.7</v>
      </c>
      <c r="F33" s="992">
        <v>15.3</v>
      </c>
      <c r="G33" s="992">
        <v>22.8</v>
      </c>
      <c r="H33" s="992" t="s">
        <v>470</v>
      </c>
      <c r="I33" s="988">
        <f t="shared" si="1"/>
        <v>13550</v>
      </c>
      <c r="J33" s="988">
        <f>VLOOKUP(I33,'Coord Tracciato'!$A$2:$C$752,3,FALSE)</f>
        <v>20.752499999999998</v>
      </c>
      <c r="K33" s="990">
        <f>ROUND(VLOOKUP(I33,'Coord Tracciato'!$A$2:$D$752,4,FALSE),1)</f>
        <v>13.1</v>
      </c>
      <c r="L33" s="988" t="str">
        <f t="shared" si="0"/>
        <v>Tunnel</v>
      </c>
    </row>
    <row r="34" spans="1:12">
      <c r="A34" s="992">
        <v>13568</v>
      </c>
      <c r="B34" s="992" t="s">
        <v>426</v>
      </c>
      <c r="C34" s="992">
        <v>52</v>
      </c>
      <c r="D34" s="992">
        <v>21.5</v>
      </c>
      <c r="E34" s="992">
        <v>14.8</v>
      </c>
      <c r="F34" s="992">
        <v>17.2</v>
      </c>
      <c r="G34" s="992">
        <v>15.7</v>
      </c>
      <c r="H34" s="992" t="s">
        <v>471</v>
      </c>
      <c r="I34" s="988">
        <f t="shared" si="1"/>
        <v>13570</v>
      </c>
      <c r="J34" s="988">
        <f>VLOOKUP(I34,'Coord Tracciato'!$A$2:$C$752,3,FALSE)</f>
        <v>21.040500000000002</v>
      </c>
      <c r="K34" s="990">
        <f>ROUND(VLOOKUP(I34,'Coord Tracciato'!$A$2:$D$752,4,FALSE),1)</f>
        <v>13.1</v>
      </c>
      <c r="L34" s="988" t="str">
        <f t="shared" si="0"/>
        <v>Tunnel</v>
      </c>
    </row>
    <row r="35" spans="1:12">
      <c r="A35" s="992">
        <v>13650</v>
      </c>
      <c r="B35" s="992" t="s">
        <v>427</v>
      </c>
      <c r="C35" s="992">
        <v>46</v>
      </c>
      <c r="D35" s="992">
        <v>15.5</v>
      </c>
      <c r="E35" s="992">
        <v>14.8</v>
      </c>
      <c r="F35" s="992">
        <v>17.2</v>
      </c>
      <c r="G35" s="992">
        <v>24.6</v>
      </c>
      <c r="H35" s="992" t="s">
        <v>472</v>
      </c>
      <c r="I35" s="988">
        <f t="shared" si="1"/>
        <v>13650</v>
      </c>
      <c r="J35" s="988">
        <f>VLOOKUP(I35,'Coord Tracciato'!$A$2:$C$752,3,FALSE)</f>
        <v>21.862000000000002</v>
      </c>
      <c r="K35" s="990">
        <f>ROUND(VLOOKUP(I35,'Coord Tracciato'!$A$2:$D$752,4,FALSE),1)</f>
        <v>13.1</v>
      </c>
      <c r="L35" s="988" t="str">
        <f t="shared" si="0"/>
        <v>Tunnel</v>
      </c>
    </row>
    <row r="36" spans="1:12">
      <c r="A36" s="992">
        <v>13670</v>
      </c>
      <c r="B36" s="992" t="s">
        <v>428</v>
      </c>
      <c r="C36" s="992">
        <v>46</v>
      </c>
      <c r="D36" s="992">
        <v>15.5</v>
      </c>
      <c r="E36" s="992">
        <v>14.8</v>
      </c>
      <c r="F36" s="992">
        <v>15.7</v>
      </c>
      <c r="G36" s="992">
        <v>24.6</v>
      </c>
      <c r="H36" s="992" t="s">
        <v>473</v>
      </c>
      <c r="I36" s="988">
        <f t="shared" si="1"/>
        <v>13670</v>
      </c>
      <c r="J36" s="988">
        <f>VLOOKUP(I36,'Coord Tracciato'!$A$2:$C$752,3,FALSE)</f>
        <v>21.927500000000002</v>
      </c>
      <c r="K36" s="990">
        <f>ROUND(VLOOKUP(I36,'Coord Tracciato'!$A$2:$D$752,4,FALSE),1)</f>
        <v>13.1</v>
      </c>
      <c r="L36" s="988" t="str">
        <f t="shared" si="0"/>
        <v>Tunnel</v>
      </c>
    </row>
    <row r="37" spans="1:12">
      <c r="A37" s="992">
        <v>13695</v>
      </c>
      <c r="B37" s="992" t="s">
        <v>429</v>
      </c>
      <c r="C37" s="992">
        <v>48</v>
      </c>
      <c r="D37" s="992">
        <v>24.5</v>
      </c>
      <c r="E37" s="992">
        <v>14.4</v>
      </c>
      <c r="F37" s="992">
        <v>19.100000000000001</v>
      </c>
      <c r="G37" s="992">
        <v>11</v>
      </c>
      <c r="H37" s="992" t="s">
        <v>474</v>
      </c>
      <c r="I37" s="988">
        <f t="shared" si="1"/>
        <v>13695</v>
      </c>
      <c r="J37" s="988">
        <f>VLOOKUP(I37,'Coord Tracciato'!$A$2:$C$752,3,FALSE)</f>
        <v>21.9285</v>
      </c>
      <c r="K37" s="990">
        <f>ROUND(VLOOKUP(I37,'Coord Tracciato'!$A$2:$D$752,4,FALSE),1)</f>
        <v>13.1</v>
      </c>
      <c r="L37" s="988" t="str">
        <f t="shared" si="0"/>
        <v>Tunnel</v>
      </c>
    </row>
    <row r="38" spans="1:12">
      <c r="A38" s="992">
        <v>14115</v>
      </c>
      <c r="B38" s="992" t="s">
        <v>430</v>
      </c>
      <c r="C38" s="992">
        <v>52</v>
      </c>
      <c r="D38" s="992">
        <v>19.5</v>
      </c>
      <c r="E38" s="992">
        <v>15.1</v>
      </c>
      <c r="F38" s="992">
        <v>14.2</v>
      </c>
      <c r="G38" s="992">
        <v>19.399999999999999</v>
      </c>
      <c r="H38" s="992" t="s">
        <v>475</v>
      </c>
      <c r="I38" s="988">
        <f t="shared" si="1"/>
        <v>14115</v>
      </c>
      <c r="J38" s="988">
        <f>VLOOKUP(I38,'Coord Tracciato'!$A$2:$C$752,3,FALSE)</f>
        <v>17.581000000000003</v>
      </c>
      <c r="K38" s="990">
        <f>ROUND(VLOOKUP(I38,'Coord Tracciato'!$A$2:$D$752,4,FALSE),1)</f>
        <v>13.1</v>
      </c>
      <c r="L38" s="988" t="str">
        <f t="shared" si="0"/>
        <v>Tunnel</v>
      </c>
    </row>
    <row r="39" spans="1:12">
      <c r="A39" s="992">
        <v>14130</v>
      </c>
      <c r="B39" s="992" t="s">
        <v>431</v>
      </c>
      <c r="C39" s="992">
        <v>52</v>
      </c>
      <c r="D39" s="992">
        <v>19.5</v>
      </c>
      <c r="E39" s="992">
        <v>15.1</v>
      </c>
      <c r="F39" s="992">
        <v>14.7</v>
      </c>
      <c r="G39" s="992">
        <v>19.399999999999999</v>
      </c>
      <c r="H39" s="992" t="s">
        <v>476</v>
      </c>
      <c r="I39" s="988">
        <f t="shared" si="1"/>
        <v>14130</v>
      </c>
      <c r="J39" s="988">
        <f>VLOOKUP(I39,'Coord Tracciato'!$A$2:$C$752,3,FALSE)</f>
        <v>17.209</v>
      </c>
      <c r="K39" s="990">
        <f>ROUND(VLOOKUP(I39,'Coord Tracciato'!$A$2:$D$752,4,FALSE),1)</f>
        <v>13.1</v>
      </c>
      <c r="L39" s="988" t="str">
        <f t="shared" si="0"/>
        <v>Tunnel</v>
      </c>
    </row>
    <row r="40" spans="1:12">
      <c r="A40" s="992">
        <v>14165</v>
      </c>
      <c r="B40" s="992" t="s">
        <v>432</v>
      </c>
      <c r="C40" s="992">
        <v>45</v>
      </c>
      <c r="D40" s="992">
        <v>20.5</v>
      </c>
      <c r="E40" s="992">
        <v>14.5</v>
      </c>
      <c r="F40" s="992">
        <v>13.9</v>
      </c>
      <c r="G40" s="992">
        <v>17.5</v>
      </c>
      <c r="H40" s="992" t="s">
        <v>477</v>
      </c>
      <c r="I40" s="988">
        <f t="shared" si="1"/>
        <v>14165</v>
      </c>
      <c r="J40" s="988">
        <f>VLOOKUP(I40,'Coord Tracciato'!$A$2:$C$752,3,FALSE)</f>
        <v>16.334</v>
      </c>
      <c r="K40" s="990">
        <f>ROUND(VLOOKUP(I40,'Coord Tracciato'!$A$2:$D$752,4,FALSE),1)</f>
        <v>13.1</v>
      </c>
      <c r="L40" s="988" t="str">
        <f t="shared" si="0"/>
        <v>Tunnel</v>
      </c>
    </row>
    <row r="41" spans="1:12">
      <c r="A41" s="992">
        <v>14185</v>
      </c>
      <c r="B41" s="992" t="s">
        <v>433</v>
      </c>
      <c r="C41" s="992">
        <v>52</v>
      </c>
      <c r="D41" s="992">
        <v>20.5</v>
      </c>
      <c r="E41" s="992">
        <v>14</v>
      </c>
      <c r="F41" s="992">
        <v>15.2</v>
      </c>
      <c r="G41" s="992">
        <v>18.8</v>
      </c>
      <c r="H41" s="992" t="s">
        <v>478</v>
      </c>
      <c r="I41" s="988">
        <f t="shared" si="1"/>
        <v>14185</v>
      </c>
      <c r="J41" s="988">
        <f>VLOOKUP(I41,'Coord Tracciato'!$A$2:$C$752,3,FALSE)</f>
        <v>15.8405</v>
      </c>
      <c r="K41" s="990">
        <f>ROUND(VLOOKUP(I41,'Coord Tracciato'!$A$2:$D$752,4,FALSE),1)</f>
        <v>13.1</v>
      </c>
      <c r="L41" s="988" t="str">
        <f t="shared" si="0"/>
        <v>Tunnel</v>
      </c>
    </row>
    <row r="42" spans="1:12">
      <c r="A42" s="992">
        <v>14289</v>
      </c>
      <c r="B42" s="992" t="s">
        <v>434</v>
      </c>
      <c r="C42" s="992">
        <v>49</v>
      </c>
      <c r="D42" s="992">
        <v>19.5</v>
      </c>
      <c r="E42" s="992">
        <v>12.9</v>
      </c>
      <c r="F42" s="992">
        <v>14.2</v>
      </c>
      <c r="G42" s="992">
        <v>22</v>
      </c>
      <c r="H42" s="992" t="s">
        <v>479</v>
      </c>
      <c r="I42" s="988">
        <f t="shared" si="1"/>
        <v>14290</v>
      </c>
      <c r="J42" s="988">
        <f>VLOOKUP(I42,'Coord Tracciato'!$A$2:$C$752,3,FALSE)</f>
        <v>13.193999999999999</v>
      </c>
      <c r="K42" s="990">
        <f>ROUND(VLOOKUP(I42,'Coord Tracciato'!$A$2:$D$752,4,FALSE),1)</f>
        <v>13.1</v>
      </c>
      <c r="L42" s="988" t="str">
        <f t="shared" si="0"/>
        <v>Tunnel</v>
      </c>
    </row>
    <row r="43" spans="1:12">
      <c r="A43" s="992">
        <v>14330</v>
      </c>
      <c r="B43" s="1014" t="s">
        <v>435</v>
      </c>
      <c r="C43" s="992">
        <v>52</v>
      </c>
      <c r="D43" s="992">
        <v>20.5</v>
      </c>
      <c r="E43" s="992">
        <v>12.9</v>
      </c>
      <c r="F43" s="992">
        <v>15.5</v>
      </c>
      <c r="G43" s="992">
        <v>21.2</v>
      </c>
      <c r="H43" s="1014" t="s">
        <v>665</v>
      </c>
      <c r="I43" s="988">
        <f t="shared" si="1"/>
        <v>14330</v>
      </c>
      <c r="J43" s="988">
        <f>VLOOKUP(I43,'Coord Tracciato'!$A$2:$C$752,3,FALSE)</f>
        <v>11.9415</v>
      </c>
      <c r="K43" s="990">
        <f>ROUND(VLOOKUP(I43,'Coord Tracciato'!$A$2:$D$752,4,FALSE),1)</f>
        <v>12.7</v>
      </c>
      <c r="L43" s="988" t="str">
        <f t="shared" si="0"/>
        <v>Tunnel</v>
      </c>
    </row>
    <row r="44" spans="1:12">
      <c r="A44" s="992"/>
      <c r="B44" s="1014"/>
      <c r="C44" s="992"/>
      <c r="D44" s="992"/>
      <c r="E44" s="992"/>
      <c r="F44" s="992"/>
      <c r="G44" s="992"/>
      <c r="H44" s="1014"/>
      <c r="I44" s="1021"/>
      <c r="J44" s="1021"/>
      <c r="K44" s="1021"/>
      <c r="L44" s="1021"/>
    </row>
    <row r="45" spans="1:12">
      <c r="A45" s="992">
        <v>14430</v>
      </c>
      <c r="B45" s="992" t="s">
        <v>436</v>
      </c>
      <c r="C45" s="992">
        <v>48</v>
      </c>
      <c r="D45" s="992">
        <v>19.5</v>
      </c>
      <c r="E45" s="992">
        <v>14.2</v>
      </c>
      <c r="F45" s="992">
        <v>20.9</v>
      </c>
      <c r="G45" s="992">
        <v>11.5</v>
      </c>
      <c r="H45" s="992" t="s">
        <v>480</v>
      </c>
      <c r="I45" s="988">
        <f t="shared" si="1"/>
        <v>14430</v>
      </c>
      <c r="J45" s="988" t="e">
        <f>VLOOKUP(I45,'Coord Tracciato'!$A$2:$C$752,3,FALSE)</f>
        <v>#N/A</v>
      </c>
      <c r="K45" s="990" t="e">
        <f>ROUND(VLOOKUP(I45,'Coord Tracciato'!$A$2:$D$752,4,FALSE),1)</f>
        <v>#N/A</v>
      </c>
      <c r="L45" s="988" t="str">
        <f t="shared" si="0"/>
        <v>SOUTH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filterMode="1"/>
  <dimension ref="A1:M70"/>
  <sheetViews>
    <sheetView zoomScale="85" zoomScaleNormal="85" workbookViewId="0">
      <selection activeCell="B11" sqref="B11:B66"/>
    </sheetView>
  </sheetViews>
  <sheetFormatPr defaultRowHeight="13.2"/>
  <cols>
    <col min="1" max="1" width="16.33203125" style="996" bestFit="1" customWidth="1"/>
    <col min="2" max="2" width="27.109375" style="996" bestFit="1" customWidth="1"/>
    <col min="3" max="3" width="22.44140625" style="996" bestFit="1" customWidth="1"/>
    <col min="4" max="4" width="23" style="996" bestFit="1" customWidth="1"/>
    <col min="5" max="5" width="21.109375" style="996" bestFit="1" customWidth="1"/>
    <col min="6" max="8" width="12.5546875" style="996" customWidth="1"/>
    <col min="9" max="9" width="25.88671875" style="996" customWidth="1"/>
    <col min="10" max="10" width="20.88671875" style="996" bestFit="1" customWidth="1"/>
    <col min="11" max="13" width="20.5546875" style="996" customWidth="1"/>
    <col min="15" max="15" width="10" bestFit="1" customWidth="1"/>
  </cols>
  <sheetData>
    <row r="1" spans="1:13" ht="15.6">
      <c r="A1" s="1010" t="s">
        <v>416</v>
      </c>
      <c r="B1" s="1010" t="s">
        <v>333</v>
      </c>
      <c r="C1" s="1010" t="s">
        <v>464</v>
      </c>
      <c r="D1" s="1010" t="s">
        <v>511</v>
      </c>
      <c r="E1" s="1010" t="s">
        <v>512</v>
      </c>
      <c r="F1" s="1010" t="s">
        <v>420</v>
      </c>
      <c r="G1" s="1010" t="s">
        <v>241</v>
      </c>
      <c r="H1" s="1010" t="s">
        <v>242</v>
      </c>
      <c r="I1" s="1010" t="s">
        <v>513</v>
      </c>
      <c r="J1" s="1010" t="s">
        <v>462</v>
      </c>
      <c r="K1" s="1010" t="s">
        <v>670</v>
      </c>
      <c r="L1" s="1010" t="s">
        <v>508</v>
      </c>
      <c r="M1" s="1010" t="s">
        <v>507</v>
      </c>
    </row>
    <row r="2" spans="1:13" hidden="1">
      <c r="A2" s="992">
        <v>12240</v>
      </c>
      <c r="B2" s="992">
        <v>43</v>
      </c>
      <c r="C2" s="992" t="s">
        <v>535</v>
      </c>
      <c r="D2" s="992" t="s">
        <v>518</v>
      </c>
      <c r="E2" s="992" t="s">
        <v>536</v>
      </c>
      <c r="F2" s="992" t="s">
        <v>537</v>
      </c>
      <c r="G2" s="992" t="s">
        <v>538</v>
      </c>
      <c r="H2" s="992" t="s">
        <v>539</v>
      </c>
      <c r="I2" s="992" t="s">
        <v>516</v>
      </c>
      <c r="J2" s="996">
        <f t="shared" ref="J2:J10" si="0">MROUND(A2,5)</f>
        <v>12240</v>
      </c>
      <c r="K2" s="996">
        <f>VLOOKUP(J2,'Coord Tracciato'!$A$2:$C$752,3,FALSE)</f>
        <v>17.742999999999999</v>
      </c>
      <c r="L2" s="996">
        <f>ROUND(VLOOKUP(J2,'Coord Tracciato'!$A$2:$D$752,4,FALSE),1)</f>
        <v>13.1</v>
      </c>
      <c r="M2" s="996" t="str">
        <f t="shared" ref="M2:M10" si="1">IF(AND(13112&lt;J2,J2&lt;13281),"Rabin Station",IF(AND(12214&lt;J2,J2&lt;12410),"Kaplan",IF(AND(11320&lt;J2,J2&lt;11640),"Carlebach",IF(J2&lt;10612,"Leviski-OUT",IF(J2&gt;14369,"SOUTH","Tunnel")))))</f>
        <v>Kaplan</v>
      </c>
    </row>
    <row r="3" spans="1:13" hidden="1">
      <c r="A3" s="992">
        <v>12250</v>
      </c>
      <c r="B3" s="992">
        <v>52</v>
      </c>
      <c r="C3" s="992" t="s">
        <v>577</v>
      </c>
      <c r="D3" s="992" t="s">
        <v>518</v>
      </c>
      <c r="E3" s="992" t="s">
        <v>578</v>
      </c>
      <c r="F3" s="992" t="s">
        <v>529</v>
      </c>
      <c r="G3" s="992" t="s">
        <v>579</v>
      </c>
      <c r="H3" s="992" t="s">
        <v>523</v>
      </c>
      <c r="I3" s="992" t="s">
        <v>516</v>
      </c>
      <c r="J3" s="996">
        <f t="shared" si="0"/>
        <v>12250</v>
      </c>
      <c r="K3" s="996">
        <f>VLOOKUP(J3,'Coord Tracciato'!$A$2:$C$752,3,FALSE)</f>
        <v>17.686500000000002</v>
      </c>
      <c r="L3" s="996">
        <f>ROUND(VLOOKUP(J3,'Coord Tracciato'!$A$2:$D$752,4,FALSE),1)</f>
        <v>13.1</v>
      </c>
      <c r="M3" s="996" t="str">
        <f t="shared" si="1"/>
        <v>Kaplan</v>
      </c>
    </row>
    <row r="4" spans="1:13" hidden="1">
      <c r="A4" s="992">
        <v>12260</v>
      </c>
      <c r="B4" s="992">
        <v>34</v>
      </c>
      <c r="C4" s="992" t="s">
        <v>540</v>
      </c>
      <c r="D4" s="992" t="s">
        <v>518</v>
      </c>
      <c r="E4" s="992" t="s">
        <v>541</v>
      </c>
      <c r="F4" s="992" t="s">
        <v>520</v>
      </c>
      <c r="G4" s="992" t="s">
        <v>538</v>
      </c>
      <c r="H4" s="992" t="s">
        <v>542</v>
      </c>
      <c r="I4" s="992" t="s">
        <v>516</v>
      </c>
      <c r="J4" s="996">
        <f t="shared" si="0"/>
        <v>12260</v>
      </c>
      <c r="K4" s="996">
        <f>VLOOKUP(J4,'Coord Tracciato'!$A$2:$C$752,3,FALSE)</f>
        <v>17.649000000000001</v>
      </c>
      <c r="L4" s="996">
        <f>ROUND(VLOOKUP(J4,'Coord Tracciato'!$A$2:$D$752,4,FALSE),1)</f>
        <v>13.1</v>
      </c>
      <c r="M4" s="996" t="str">
        <f t="shared" si="1"/>
        <v>Kaplan</v>
      </c>
    </row>
    <row r="5" spans="1:13" hidden="1">
      <c r="A5" s="992">
        <v>12280</v>
      </c>
      <c r="B5" s="992">
        <v>43</v>
      </c>
      <c r="C5" s="992" t="s">
        <v>543</v>
      </c>
      <c r="D5" s="992" t="s">
        <v>521</v>
      </c>
      <c r="E5" s="992" t="s">
        <v>544</v>
      </c>
      <c r="F5" s="992" t="s">
        <v>520</v>
      </c>
      <c r="G5" s="992" t="s">
        <v>545</v>
      </c>
      <c r="H5" s="992" t="s">
        <v>546</v>
      </c>
      <c r="I5" s="992" t="s">
        <v>516</v>
      </c>
      <c r="J5" s="996">
        <f t="shared" si="0"/>
        <v>12280</v>
      </c>
      <c r="K5" s="996">
        <f>VLOOKUP(J5,'Coord Tracciato'!$A$2:$C$752,3,FALSE)</f>
        <v>17.530999999999999</v>
      </c>
      <c r="L5" s="996">
        <f>ROUND(VLOOKUP(J5,'Coord Tracciato'!$A$2:$D$752,4,FALSE),1)</f>
        <v>13.1</v>
      </c>
      <c r="M5" s="996" t="str">
        <f t="shared" si="1"/>
        <v>Kaplan</v>
      </c>
    </row>
    <row r="6" spans="1:13" hidden="1">
      <c r="A6" s="992">
        <v>12300</v>
      </c>
      <c r="B6" s="992">
        <v>50</v>
      </c>
      <c r="C6" s="992" t="s">
        <v>547</v>
      </c>
      <c r="D6" s="992" t="s">
        <v>521</v>
      </c>
      <c r="E6" s="992" t="s">
        <v>548</v>
      </c>
      <c r="F6" s="992" t="s">
        <v>520</v>
      </c>
      <c r="G6" s="992" t="s">
        <v>549</v>
      </c>
      <c r="H6" s="992">
        <v>24</v>
      </c>
      <c r="I6" s="992" t="s">
        <v>516</v>
      </c>
      <c r="J6" s="996">
        <f t="shared" si="0"/>
        <v>12300</v>
      </c>
      <c r="K6" s="996">
        <f>VLOOKUP(J6,'Coord Tracciato'!$A$2:$C$752,3,FALSE)</f>
        <v>17.423999999999999</v>
      </c>
      <c r="L6" s="996">
        <f>ROUND(VLOOKUP(J6,'Coord Tracciato'!$A$2:$D$752,4,FALSE),1)</f>
        <v>13.1</v>
      </c>
      <c r="M6" s="996" t="str">
        <f t="shared" si="1"/>
        <v>Kaplan</v>
      </c>
    </row>
    <row r="7" spans="1:13" hidden="1">
      <c r="A7" s="992">
        <v>12325</v>
      </c>
      <c r="B7" s="992">
        <v>45</v>
      </c>
      <c r="C7" s="992" t="s">
        <v>580</v>
      </c>
      <c r="D7" s="992" t="s">
        <v>551</v>
      </c>
      <c r="E7" s="992" t="s">
        <v>581</v>
      </c>
      <c r="F7" s="992" t="s">
        <v>522</v>
      </c>
      <c r="G7" s="992" t="s">
        <v>582</v>
      </c>
      <c r="H7" s="992" t="s">
        <v>583</v>
      </c>
      <c r="I7" s="992" t="s">
        <v>516</v>
      </c>
      <c r="J7" s="996">
        <f t="shared" si="0"/>
        <v>12325</v>
      </c>
      <c r="K7" s="996">
        <f>VLOOKUP(J7,'Coord Tracciato'!$A$2:$C$752,3,FALSE)</f>
        <v>17.298000000000002</v>
      </c>
      <c r="L7" s="996">
        <f>ROUND(VLOOKUP(J7,'Coord Tracciato'!$A$2:$D$752,4,FALSE),1)</f>
        <v>13.1</v>
      </c>
      <c r="M7" s="996" t="str">
        <f t="shared" si="1"/>
        <v>Kaplan</v>
      </c>
    </row>
    <row r="8" spans="1:13" hidden="1">
      <c r="A8" s="996">
        <v>12343</v>
      </c>
      <c r="B8" s="996">
        <v>45</v>
      </c>
      <c r="C8" s="996" t="s">
        <v>584</v>
      </c>
      <c r="D8" s="996" t="s">
        <v>551</v>
      </c>
      <c r="E8" s="996" t="s">
        <v>585</v>
      </c>
      <c r="F8" s="996" t="s">
        <v>529</v>
      </c>
      <c r="G8" s="996" t="s">
        <v>586</v>
      </c>
      <c r="H8" s="996">
        <v>11</v>
      </c>
      <c r="I8" s="996" t="s">
        <v>516</v>
      </c>
      <c r="J8" s="996">
        <f t="shared" si="0"/>
        <v>12345</v>
      </c>
      <c r="K8" s="996">
        <f>VLOOKUP(J8,'Coord Tracciato'!$A$2:$C$752,3,FALSE)</f>
        <v>17.189</v>
      </c>
      <c r="L8" s="996">
        <f>ROUND(VLOOKUP(J8,'Coord Tracciato'!$A$2:$D$752,4,FALSE),1)</f>
        <v>13.1</v>
      </c>
      <c r="M8" s="996" t="str">
        <f t="shared" si="1"/>
        <v>Kaplan</v>
      </c>
    </row>
    <row r="9" spans="1:13" hidden="1">
      <c r="A9" s="996">
        <v>12390</v>
      </c>
      <c r="B9" s="996">
        <v>48</v>
      </c>
      <c r="C9" s="996" t="s">
        <v>587</v>
      </c>
      <c r="D9" s="996" t="s">
        <v>563</v>
      </c>
      <c r="E9" s="996" t="s">
        <v>588</v>
      </c>
      <c r="F9" s="996" t="s">
        <v>572</v>
      </c>
      <c r="G9" s="996" t="s">
        <v>571</v>
      </c>
      <c r="H9" s="996" t="s">
        <v>589</v>
      </c>
      <c r="I9" s="996" t="s">
        <v>516</v>
      </c>
      <c r="J9" s="996">
        <f t="shared" si="0"/>
        <v>12390</v>
      </c>
      <c r="K9" s="996">
        <f>VLOOKUP(J9,'Coord Tracciato'!$A$2:$C$752,3,FALSE)</f>
        <v>16.962</v>
      </c>
      <c r="L9" s="996">
        <f>ROUND(VLOOKUP(J9,'Coord Tracciato'!$A$2:$D$752,4,FALSE),1)</f>
        <v>13.1</v>
      </c>
      <c r="M9" s="996" t="str">
        <f t="shared" si="1"/>
        <v>Kaplan</v>
      </c>
    </row>
    <row r="10" spans="1:13" hidden="1">
      <c r="A10" s="992">
        <v>14500</v>
      </c>
      <c r="B10" s="992">
        <v>43</v>
      </c>
      <c r="C10" s="992" t="s">
        <v>553</v>
      </c>
      <c r="D10" s="992">
        <v>18</v>
      </c>
      <c r="E10" s="992" t="s">
        <v>554</v>
      </c>
      <c r="F10" s="992" t="s">
        <v>555</v>
      </c>
      <c r="G10" s="992" t="s">
        <v>556</v>
      </c>
      <c r="H10" s="992" t="s">
        <v>557</v>
      </c>
      <c r="I10" s="992" t="s">
        <v>516</v>
      </c>
      <c r="J10" s="996">
        <f t="shared" si="0"/>
        <v>14500</v>
      </c>
      <c r="K10" s="996" t="e">
        <f>VLOOKUP(J10,'Coord Tracciato'!$A$2:$C$752,3,FALSE)</f>
        <v>#N/A</v>
      </c>
      <c r="L10" s="996" t="e">
        <f>ROUND(VLOOKUP(J10,'Coord Tracciato'!$A$2:$D$752,4,FALSE),1)</f>
        <v>#N/A</v>
      </c>
      <c r="M10" s="996" t="str">
        <f t="shared" si="1"/>
        <v>SOUTH</v>
      </c>
    </row>
    <row r="11" spans="1:13">
      <c r="A11" s="992">
        <v>10670</v>
      </c>
      <c r="B11" s="992">
        <v>64</v>
      </c>
      <c r="C11" s="992" t="s">
        <v>558</v>
      </c>
      <c r="D11" s="992">
        <v>6.5</v>
      </c>
      <c r="E11" s="992" t="s">
        <v>559</v>
      </c>
      <c r="F11" s="992">
        <v>7.5</v>
      </c>
      <c r="G11" s="992">
        <v>8.5</v>
      </c>
      <c r="H11" s="992">
        <v>11.6</v>
      </c>
      <c r="I11" s="992" t="s">
        <v>526</v>
      </c>
      <c r="J11" s="996">
        <f t="shared" ref="J11:J42" si="2">MROUND(A11,5)</f>
        <v>10670</v>
      </c>
      <c r="K11" s="996">
        <f>VLOOKUP(J11,'Coord Tracciato'!$A$2:$C$752,3,FALSE)</f>
        <v>12.391500000000001</v>
      </c>
      <c r="L11" s="996">
        <f>ROUND(VLOOKUP(J11,'Coord Tracciato'!$A$2:$D$752,4,FALSE),1)</f>
        <v>12</v>
      </c>
      <c r="M11" s="996" t="str">
        <f t="shared" ref="M11:M42" si="3">IF(AND(13112&lt;J11,J11&lt;13281),"Rabin Station",IF(AND(12214&lt;J11,J11&lt;12410),"Kaplan",IF(AND(11320&lt;J11,J11&lt;11640),"Carlebach",IF(J11&lt;10612,"Leviski-OUT",IF(J11&gt;14369,"SOUTH","Tunnel")))))</f>
        <v>Tunnel</v>
      </c>
    </row>
    <row r="12" spans="1:13">
      <c r="A12" s="992">
        <v>10756</v>
      </c>
      <c r="B12" s="992">
        <v>58</v>
      </c>
      <c r="C12" s="992" t="s">
        <v>560</v>
      </c>
      <c r="D12" s="992">
        <v>12.5</v>
      </c>
      <c r="E12" s="992" t="s">
        <v>561</v>
      </c>
      <c r="F12" s="992">
        <v>5.6</v>
      </c>
      <c r="G12" s="992">
        <v>14.2</v>
      </c>
      <c r="H12" s="992">
        <v>21.4</v>
      </c>
      <c r="I12" s="992" t="s">
        <v>516</v>
      </c>
      <c r="J12" s="996">
        <f t="shared" si="2"/>
        <v>10755</v>
      </c>
      <c r="K12" s="1018">
        <f>VLOOKUP(J12,'Coord Tracciato'!$A$2:$C$752,3,FALSE)-3.604</f>
        <v>11.799499999999998</v>
      </c>
      <c r="L12" s="996">
        <f>ROUND(VLOOKUP(J12,'Coord Tracciato'!$A$2:$D$752,4,FALSE),1)</f>
        <v>12</v>
      </c>
      <c r="M12" s="996" t="str">
        <f t="shared" si="3"/>
        <v>Tunnel</v>
      </c>
    </row>
    <row r="13" spans="1:13">
      <c r="A13" s="1009">
        <v>12060</v>
      </c>
      <c r="B13" s="1009">
        <v>47</v>
      </c>
      <c r="C13" s="1009" t="s">
        <v>660</v>
      </c>
      <c r="D13" s="1009">
        <v>18.5</v>
      </c>
      <c r="E13" s="1009" t="s">
        <v>661</v>
      </c>
      <c r="F13" s="1009">
        <v>10.1</v>
      </c>
      <c r="G13" s="1009">
        <v>20.7</v>
      </c>
      <c r="H13" s="1009">
        <v>15.4</v>
      </c>
      <c r="I13" s="1009" t="s">
        <v>516</v>
      </c>
      <c r="J13" s="996">
        <f t="shared" si="2"/>
        <v>12060</v>
      </c>
      <c r="K13" s="996">
        <f>VLOOKUP(J13,'Coord Tracciato'!$A$2:$C$752,3,FALSE)</f>
        <v>17.027000000000001</v>
      </c>
      <c r="L13" s="996">
        <f>ROUND(VLOOKUP(J13,'Coord Tracciato'!$A$2:$D$752,4,FALSE),1)</f>
        <v>12.1</v>
      </c>
      <c r="M13" s="996" t="str">
        <f t="shared" si="3"/>
        <v>Tunnel</v>
      </c>
    </row>
    <row r="14" spans="1:13">
      <c r="A14" s="1009">
        <v>12100</v>
      </c>
      <c r="B14" s="1009">
        <v>53</v>
      </c>
      <c r="C14" s="1009" t="s">
        <v>662</v>
      </c>
      <c r="D14" s="1009">
        <v>19.5</v>
      </c>
      <c r="E14" s="1009" t="s">
        <v>663</v>
      </c>
      <c r="F14" s="1009">
        <v>10.7</v>
      </c>
      <c r="G14" s="1009">
        <v>12.1</v>
      </c>
      <c r="H14" s="1009">
        <v>8</v>
      </c>
      <c r="I14" s="1009" t="s">
        <v>516</v>
      </c>
      <c r="J14" s="996">
        <f t="shared" si="2"/>
        <v>12100</v>
      </c>
      <c r="K14" s="996">
        <f>VLOOKUP(J14,'Coord Tracciato'!$A$2:$C$752,3,FALSE)</f>
        <v>17.329500000000003</v>
      </c>
      <c r="L14" s="996">
        <f>ROUND(VLOOKUP(J14,'Coord Tracciato'!$A$2:$D$752,4,FALSE),1)</f>
        <v>12.1</v>
      </c>
      <c r="M14" s="996" t="str">
        <f t="shared" si="3"/>
        <v>Tunnel</v>
      </c>
    </row>
    <row r="15" spans="1:13">
      <c r="A15" s="992">
        <v>12137</v>
      </c>
      <c r="B15" s="992">
        <v>53</v>
      </c>
      <c r="C15" s="992" t="s">
        <v>514</v>
      </c>
      <c r="D15" s="992">
        <v>22</v>
      </c>
      <c r="E15" s="992" t="s">
        <v>515</v>
      </c>
      <c r="F15" s="992">
        <v>6</v>
      </c>
      <c r="G15" s="992">
        <v>21.8</v>
      </c>
      <c r="H15" s="992">
        <v>18.2</v>
      </c>
      <c r="I15" s="992" t="s">
        <v>516</v>
      </c>
      <c r="J15" s="996">
        <f t="shared" si="2"/>
        <v>12135</v>
      </c>
      <c r="K15" s="996">
        <f>VLOOKUP(J15,'Coord Tracciato'!$A$2:$C$752,3,FALSE)</f>
        <v>17.644500000000001</v>
      </c>
      <c r="L15" s="996">
        <f>ROUND(VLOOKUP(J15,'Coord Tracciato'!$A$2:$D$752,4,FALSE),1)</f>
        <v>12</v>
      </c>
      <c r="M15" s="996" t="str">
        <f t="shared" si="3"/>
        <v>Tunnel</v>
      </c>
    </row>
    <row r="16" spans="1:13">
      <c r="A16" s="992">
        <v>12171</v>
      </c>
      <c r="B16" s="992">
        <v>38</v>
      </c>
      <c r="C16" s="992" t="s">
        <v>573</v>
      </c>
      <c r="D16" s="992">
        <v>19.5</v>
      </c>
      <c r="E16" s="992" t="s">
        <v>574</v>
      </c>
      <c r="F16" s="992">
        <v>20.7</v>
      </c>
      <c r="G16" s="992">
        <v>8.4</v>
      </c>
      <c r="H16" s="992">
        <v>19</v>
      </c>
      <c r="I16" s="992" t="s">
        <v>516</v>
      </c>
      <c r="J16" s="996">
        <f t="shared" si="2"/>
        <v>12170</v>
      </c>
      <c r="K16" s="996">
        <f>VLOOKUP(J16,'Coord Tracciato'!$A$2:$C$752,3,FALSE)</f>
        <v>17.887500000000003</v>
      </c>
      <c r="L16" s="996">
        <f>ROUND(VLOOKUP(J16,'Coord Tracciato'!$A$2:$D$752,4,FALSE),1)</f>
        <v>12.4</v>
      </c>
      <c r="M16" s="996" t="str">
        <f t="shared" si="3"/>
        <v>Tunnel</v>
      </c>
    </row>
    <row r="17" spans="1:13">
      <c r="A17" s="992">
        <v>12205</v>
      </c>
      <c r="B17" s="992">
        <v>55</v>
      </c>
      <c r="C17" s="992" t="s">
        <v>575</v>
      </c>
      <c r="D17" s="992">
        <v>19.5</v>
      </c>
      <c r="E17" s="992" t="s">
        <v>576</v>
      </c>
      <c r="F17" s="992">
        <v>14.6</v>
      </c>
      <c r="G17" s="992">
        <v>27.8</v>
      </c>
      <c r="H17" s="992">
        <v>10.7</v>
      </c>
      <c r="I17" s="992" t="s">
        <v>516</v>
      </c>
      <c r="J17" s="996">
        <f t="shared" si="2"/>
        <v>12205</v>
      </c>
      <c r="K17" s="996">
        <f>VLOOKUP(J17,'Coord Tracciato'!$A$2:$C$752,3,FALSE)</f>
        <v>17.889000000000003</v>
      </c>
      <c r="L17" s="996">
        <f>ROUND(VLOOKUP(J17,'Coord Tracciato'!$A$2:$D$752,4,FALSE),1)</f>
        <v>12.9</v>
      </c>
      <c r="M17" s="996" t="str">
        <f t="shared" si="3"/>
        <v>Tunnel</v>
      </c>
    </row>
    <row r="18" spans="1:13">
      <c r="A18" s="992">
        <v>12410</v>
      </c>
      <c r="B18" s="992">
        <v>50</v>
      </c>
      <c r="C18" s="992" t="s">
        <v>562</v>
      </c>
      <c r="D18" s="992">
        <v>17.5</v>
      </c>
      <c r="E18" s="992" t="s">
        <v>564</v>
      </c>
      <c r="F18" s="992">
        <v>15.2</v>
      </c>
      <c r="G18" s="992">
        <v>23.5</v>
      </c>
      <c r="H18" s="992">
        <v>10.6</v>
      </c>
      <c r="I18" s="992" t="s">
        <v>516</v>
      </c>
      <c r="J18" s="996">
        <f t="shared" si="2"/>
        <v>12410</v>
      </c>
      <c r="K18" s="996">
        <f>VLOOKUP(J18,'Coord Tracciato'!$A$2:$C$752,3,FALSE)</f>
        <v>16.875999999999998</v>
      </c>
      <c r="L18" s="996">
        <f>ROUND(VLOOKUP(J18,'Coord Tracciato'!$A$2:$D$752,4,FALSE),1)</f>
        <v>13.1</v>
      </c>
      <c r="M18" s="996" t="str">
        <f t="shared" si="3"/>
        <v>Tunnel</v>
      </c>
    </row>
    <row r="19" spans="1:13">
      <c r="A19" s="996">
        <v>12440</v>
      </c>
      <c r="B19" s="996">
        <v>43</v>
      </c>
      <c r="C19" s="996" t="s">
        <v>620</v>
      </c>
      <c r="D19" s="996">
        <v>19.5</v>
      </c>
      <c r="E19" s="996" t="s">
        <v>621</v>
      </c>
      <c r="F19" s="996">
        <v>20.8</v>
      </c>
      <c r="G19" s="996">
        <v>15.9</v>
      </c>
      <c r="H19" s="996">
        <v>14.2</v>
      </c>
      <c r="I19" s="996" t="s">
        <v>516</v>
      </c>
      <c r="J19" s="996">
        <f t="shared" si="2"/>
        <v>12440</v>
      </c>
      <c r="K19" s="996">
        <f>VLOOKUP(J19,'Coord Tracciato'!$A$2:$C$752,3,FALSE)</f>
        <v>16.783500000000004</v>
      </c>
      <c r="L19" s="996">
        <f>ROUND(VLOOKUP(J19,'Coord Tracciato'!$A$2:$D$752,4,FALSE),1)</f>
        <v>13.1</v>
      </c>
      <c r="M19" s="996" t="str">
        <f t="shared" si="3"/>
        <v>Tunnel</v>
      </c>
    </row>
    <row r="20" spans="1:13">
      <c r="A20" s="996">
        <v>12440</v>
      </c>
      <c r="B20" s="996">
        <v>43</v>
      </c>
      <c r="C20" s="996" t="s">
        <v>622</v>
      </c>
      <c r="D20" s="996">
        <v>23.5</v>
      </c>
      <c r="E20" s="996" t="s">
        <v>623</v>
      </c>
      <c r="F20" s="996">
        <v>14.3</v>
      </c>
      <c r="G20" s="996">
        <v>19.600000000000001</v>
      </c>
      <c r="H20" s="996">
        <v>9.9</v>
      </c>
      <c r="I20" s="996" t="s">
        <v>516</v>
      </c>
      <c r="J20" s="996">
        <f t="shared" si="2"/>
        <v>12440</v>
      </c>
      <c r="K20" s="996">
        <f>VLOOKUP(J20,'Coord Tracciato'!$A$2:$C$752,3,FALSE)</f>
        <v>16.783500000000004</v>
      </c>
      <c r="L20" s="996">
        <f>ROUND(VLOOKUP(J20,'Coord Tracciato'!$A$2:$D$752,4,FALSE),1)</f>
        <v>13.1</v>
      </c>
      <c r="M20" s="996" t="str">
        <f t="shared" si="3"/>
        <v>Tunnel</v>
      </c>
    </row>
    <row r="21" spans="1:13">
      <c r="A21" s="992">
        <v>12465</v>
      </c>
      <c r="B21" s="992">
        <v>59</v>
      </c>
      <c r="C21" s="992" t="s">
        <v>565</v>
      </c>
      <c r="D21" s="992">
        <v>19.5</v>
      </c>
      <c r="E21" s="992" t="s">
        <v>566</v>
      </c>
      <c r="F21" s="992">
        <v>14.3</v>
      </c>
      <c r="G21" s="992">
        <v>24.1</v>
      </c>
      <c r="H21" s="992">
        <v>13.8</v>
      </c>
      <c r="I21" s="992" t="s">
        <v>516</v>
      </c>
      <c r="J21" s="996">
        <f t="shared" si="2"/>
        <v>12465</v>
      </c>
      <c r="K21" s="996">
        <f>VLOOKUP(J21,'Coord Tracciato'!$A$2:$C$752,3,FALSE)</f>
        <v>16.765999999999998</v>
      </c>
      <c r="L21" s="996">
        <f>ROUND(VLOOKUP(J21,'Coord Tracciato'!$A$2:$D$752,4,FALSE),1)</f>
        <v>13.1</v>
      </c>
      <c r="M21" s="996" t="str">
        <f t="shared" si="3"/>
        <v>Tunnel</v>
      </c>
    </row>
    <row r="22" spans="1:13">
      <c r="A22" s="1009">
        <v>12480</v>
      </c>
      <c r="B22" s="1009">
        <v>50</v>
      </c>
      <c r="C22" s="1009" t="s">
        <v>624</v>
      </c>
      <c r="D22" s="1009">
        <v>23.5</v>
      </c>
      <c r="E22" s="1009" t="s">
        <v>625</v>
      </c>
      <c r="F22" s="1009">
        <v>14.3</v>
      </c>
      <c r="G22" s="1009">
        <v>28</v>
      </c>
      <c r="H22" s="1009">
        <v>15.2</v>
      </c>
      <c r="I22" s="1009" t="s">
        <v>516</v>
      </c>
      <c r="J22" s="996">
        <f t="shared" si="2"/>
        <v>12480</v>
      </c>
      <c r="K22" s="996">
        <f>VLOOKUP(J22,'Coord Tracciato'!$A$2:$C$752,3,FALSE)</f>
        <v>16.813500000000001</v>
      </c>
      <c r="L22" s="996">
        <f>ROUND(VLOOKUP(J22,'Coord Tracciato'!$A$2:$D$752,4,FALSE),1)</f>
        <v>13.1</v>
      </c>
      <c r="M22" s="996" t="str">
        <f t="shared" si="3"/>
        <v>Tunnel</v>
      </c>
    </row>
    <row r="23" spans="1:13">
      <c r="A23" s="1009">
        <v>12490</v>
      </c>
      <c r="B23" s="1009">
        <v>39</v>
      </c>
      <c r="C23" s="1009" t="s">
        <v>590</v>
      </c>
      <c r="D23" s="1009">
        <v>19.5</v>
      </c>
      <c r="E23" s="1009" t="s">
        <v>591</v>
      </c>
      <c r="F23" s="1009">
        <v>16.899999999999999</v>
      </c>
      <c r="G23" s="1009">
        <v>21.8</v>
      </c>
      <c r="H23" s="1009">
        <v>9.1</v>
      </c>
      <c r="I23" s="1009" t="s">
        <v>516</v>
      </c>
      <c r="J23" s="996">
        <f t="shared" si="2"/>
        <v>12490</v>
      </c>
      <c r="K23" s="996">
        <f>VLOOKUP(J23,'Coord Tracciato'!$A$2:$C$752,3,FALSE)</f>
        <v>16.811999999999998</v>
      </c>
      <c r="L23" s="996">
        <f>ROUND(VLOOKUP(J23,'Coord Tracciato'!$A$2:$D$752,4,FALSE),1)</f>
        <v>13.1</v>
      </c>
      <c r="M23" s="996" t="str">
        <f t="shared" si="3"/>
        <v>Tunnel</v>
      </c>
    </row>
    <row r="24" spans="1:13">
      <c r="A24" s="992">
        <v>12530</v>
      </c>
      <c r="B24" s="992">
        <v>57</v>
      </c>
      <c r="C24" s="992" t="s">
        <v>567</v>
      </c>
      <c r="D24" s="992">
        <v>19.5</v>
      </c>
      <c r="E24" s="992" t="s">
        <v>568</v>
      </c>
      <c r="F24" s="992">
        <v>16.5</v>
      </c>
      <c r="G24" s="992">
        <v>23.1</v>
      </c>
      <c r="H24" s="992">
        <v>11.3</v>
      </c>
      <c r="I24" s="992" t="s">
        <v>516</v>
      </c>
      <c r="J24" s="996">
        <f t="shared" si="2"/>
        <v>12530</v>
      </c>
      <c r="K24" s="996">
        <f>VLOOKUP(J24,'Coord Tracciato'!$A$2:$C$752,3,FALSE)</f>
        <v>16.841500000000003</v>
      </c>
      <c r="L24" s="996">
        <f>ROUND(VLOOKUP(J24,'Coord Tracciato'!$A$2:$D$752,4,FALSE),1)</f>
        <v>13.1</v>
      </c>
      <c r="M24" s="996" t="str">
        <f t="shared" si="3"/>
        <v>Tunnel</v>
      </c>
    </row>
    <row r="25" spans="1:13">
      <c r="A25" s="992">
        <v>12600</v>
      </c>
      <c r="B25" s="992">
        <v>50</v>
      </c>
      <c r="C25" s="992" t="s">
        <v>569</v>
      </c>
      <c r="D25" s="992">
        <v>19.5</v>
      </c>
      <c r="E25" s="992" t="s">
        <v>570</v>
      </c>
      <c r="F25" s="992">
        <v>18</v>
      </c>
      <c r="G25" s="992">
        <v>23.6</v>
      </c>
      <c r="H25" s="992">
        <v>7.9</v>
      </c>
      <c r="I25" s="992" t="s">
        <v>516</v>
      </c>
      <c r="J25" s="996">
        <f t="shared" si="2"/>
        <v>12600</v>
      </c>
      <c r="K25" s="996">
        <f>VLOOKUP(J25,'Coord Tracciato'!$A$2:$C$752,3,FALSE)</f>
        <v>17.045999999999999</v>
      </c>
      <c r="L25" s="996">
        <f>ROUND(VLOOKUP(J25,'Coord Tracciato'!$A$2:$D$752,4,FALSE),1)</f>
        <v>13.1</v>
      </c>
      <c r="M25" s="996" t="str">
        <f t="shared" si="3"/>
        <v>Tunnel</v>
      </c>
    </row>
    <row r="26" spans="1:13">
      <c r="A26" s="996">
        <v>12620</v>
      </c>
      <c r="B26" s="996">
        <v>50</v>
      </c>
      <c r="C26" s="996" t="s">
        <v>592</v>
      </c>
      <c r="D26" s="996">
        <v>19.5</v>
      </c>
      <c r="E26" s="996" t="s">
        <v>593</v>
      </c>
      <c r="F26" s="996">
        <v>17</v>
      </c>
      <c r="G26" s="996">
        <v>24.4</v>
      </c>
      <c r="H26" s="996">
        <v>10.9</v>
      </c>
      <c r="I26" s="996" t="s">
        <v>516</v>
      </c>
      <c r="J26" s="996">
        <f t="shared" si="2"/>
        <v>12620</v>
      </c>
      <c r="K26" s="996">
        <f>VLOOKUP(J26,'Coord Tracciato'!$A$2:$C$752,3,FALSE)</f>
        <v>17.146999999999998</v>
      </c>
      <c r="L26" s="996">
        <f>ROUND(VLOOKUP(J26,'Coord Tracciato'!$A$2:$D$752,4,FALSE),1)</f>
        <v>13.1</v>
      </c>
      <c r="M26" s="996" t="str">
        <f t="shared" si="3"/>
        <v>Tunnel</v>
      </c>
    </row>
    <row r="27" spans="1:13">
      <c r="A27" s="996">
        <v>12670</v>
      </c>
      <c r="B27" s="996">
        <v>54</v>
      </c>
      <c r="C27" s="996" t="s">
        <v>594</v>
      </c>
      <c r="D27" s="996">
        <v>17.5</v>
      </c>
      <c r="E27" s="996" t="s">
        <v>595</v>
      </c>
      <c r="F27" s="996">
        <v>13.6</v>
      </c>
      <c r="G27" s="996">
        <v>15</v>
      </c>
      <c r="H27" s="996">
        <v>18.3</v>
      </c>
      <c r="I27" s="996" t="s">
        <v>516</v>
      </c>
      <c r="J27" s="996">
        <f t="shared" si="2"/>
        <v>12670</v>
      </c>
      <c r="K27" s="996">
        <f>VLOOKUP(J27,'Coord Tracciato'!$A$2:$C$752,3,FALSE)</f>
        <v>17.3765</v>
      </c>
      <c r="L27" s="996">
        <f>ROUND(VLOOKUP(J27,'Coord Tracciato'!$A$2:$D$752,4,FALSE),1)</f>
        <v>13.1</v>
      </c>
      <c r="M27" s="996" t="str">
        <f t="shared" si="3"/>
        <v>Tunnel</v>
      </c>
    </row>
    <row r="28" spans="1:13">
      <c r="A28" s="996">
        <v>12745</v>
      </c>
      <c r="B28" s="996">
        <v>43</v>
      </c>
      <c r="C28" s="996" t="s">
        <v>626</v>
      </c>
      <c r="D28" s="996">
        <v>22.5</v>
      </c>
      <c r="E28" s="996" t="s">
        <v>627</v>
      </c>
      <c r="F28" s="996">
        <v>15.2</v>
      </c>
      <c r="G28" s="996">
        <v>19.100000000000001</v>
      </c>
      <c r="H28" s="996">
        <v>24.8</v>
      </c>
      <c r="I28" s="996" t="s">
        <v>516</v>
      </c>
      <c r="J28" s="996">
        <f t="shared" si="2"/>
        <v>12745</v>
      </c>
      <c r="K28" s="996">
        <f>VLOOKUP(J28,'Coord Tracciato'!$A$2:$C$752,3,FALSE)</f>
        <v>18.048999999999999</v>
      </c>
      <c r="L28" s="996">
        <f>ROUND(VLOOKUP(J28,'Coord Tracciato'!$A$2:$D$752,4,FALSE),1)</f>
        <v>13.1</v>
      </c>
      <c r="M28" s="996" t="str">
        <f t="shared" si="3"/>
        <v>Tunnel</v>
      </c>
    </row>
    <row r="29" spans="1:13">
      <c r="A29" s="992">
        <v>12750</v>
      </c>
      <c r="B29" s="992">
        <v>56</v>
      </c>
      <c r="C29" s="992" t="s">
        <v>524</v>
      </c>
      <c r="D29" s="992">
        <v>4.5999999999999996</v>
      </c>
      <c r="E29" s="992" t="s">
        <v>525</v>
      </c>
      <c r="F29" s="992">
        <v>15.3</v>
      </c>
      <c r="G29" s="992">
        <v>13.1</v>
      </c>
      <c r="H29" s="992">
        <v>10.7</v>
      </c>
      <c r="I29" s="992" t="s">
        <v>526</v>
      </c>
      <c r="J29" s="996">
        <f t="shared" si="2"/>
        <v>12750</v>
      </c>
      <c r="K29" s="996">
        <f>VLOOKUP(J29,'Coord Tracciato'!$A$2:$C$752,3,FALSE)</f>
        <v>18.093499999999999</v>
      </c>
      <c r="L29" s="996">
        <f>ROUND(VLOOKUP(J29,'Coord Tracciato'!$A$2:$D$752,4,FALSE),1)</f>
        <v>13.1</v>
      </c>
      <c r="M29" s="996" t="str">
        <f t="shared" si="3"/>
        <v>Tunnel</v>
      </c>
    </row>
    <row r="30" spans="1:13">
      <c r="A30" s="996">
        <v>12765</v>
      </c>
      <c r="B30" s="996">
        <v>50</v>
      </c>
      <c r="C30" s="996" t="s">
        <v>628</v>
      </c>
      <c r="D30" s="996">
        <v>22.5</v>
      </c>
      <c r="E30" s="996" t="s">
        <v>629</v>
      </c>
      <c r="F30" s="996">
        <v>15.2</v>
      </c>
      <c r="G30" s="996">
        <v>15</v>
      </c>
      <c r="H30" s="996">
        <v>22</v>
      </c>
      <c r="I30" s="996" t="s">
        <v>516</v>
      </c>
      <c r="J30" s="996">
        <f t="shared" si="2"/>
        <v>12765</v>
      </c>
      <c r="K30" s="996">
        <f>VLOOKUP(J30,'Coord Tracciato'!$A$2:$C$752,3,FALSE)</f>
        <v>18.241500000000002</v>
      </c>
      <c r="L30" s="996">
        <f>ROUND(VLOOKUP(J30,'Coord Tracciato'!$A$2:$D$752,4,FALSE),1)</f>
        <v>13.1</v>
      </c>
      <c r="M30" s="996" t="str">
        <f t="shared" si="3"/>
        <v>Tunnel</v>
      </c>
    </row>
    <row r="31" spans="1:13">
      <c r="A31" s="996">
        <v>12780</v>
      </c>
      <c r="B31" s="996">
        <v>45</v>
      </c>
      <c r="C31" s="996" t="s">
        <v>630</v>
      </c>
      <c r="D31" s="996">
        <v>21.5</v>
      </c>
      <c r="E31" s="996" t="s">
        <v>631</v>
      </c>
      <c r="F31" s="996">
        <v>15.2</v>
      </c>
      <c r="G31" s="996">
        <v>17.3</v>
      </c>
      <c r="H31" s="996">
        <v>22</v>
      </c>
      <c r="I31" s="996" t="s">
        <v>516</v>
      </c>
      <c r="J31" s="996">
        <f t="shared" si="2"/>
        <v>12780</v>
      </c>
      <c r="K31" s="996">
        <f>VLOOKUP(J31,'Coord Tracciato'!$A$2:$C$752,3,FALSE)</f>
        <v>18.359000000000002</v>
      </c>
      <c r="L31" s="996">
        <f>ROUND(VLOOKUP(J31,'Coord Tracciato'!$A$2:$D$752,4,FALSE),1)</f>
        <v>13.1</v>
      </c>
      <c r="M31" s="996" t="str">
        <f t="shared" si="3"/>
        <v>Tunnel</v>
      </c>
    </row>
    <row r="32" spans="1:13">
      <c r="A32" s="996">
        <v>12805</v>
      </c>
      <c r="B32" s="996">
        <v>43</v>
      </c>
      <c r="C32" s="996" t="s">
        <v>632</v>
      </c>
      <c r="D32" s="996">
        <v>21.5</v>
      </c>
      <c r="E32" s="996" t="s">
        <v>633</v>
      </c>
      <c r="F32" s="996">
        <v>15.2</v>
      </c>
      <c r="G32" s="996">
        <v>15.3</v>
      </c>
      <c r="H32" s="996">
        <v>22.3</v>
      </c>
      <c r="I32" s="996" t="s">
        <v>516</v>
      </c>
      <c r="J32" s="996">
        <f t="shared" si="2"/>
        <v>12805</v>
      </c>
      <c r="K32" s="996">
        <f>VLOOKUP(J32,'Coord Tracciato'!$A$2:$C$752,3,FALSE)</f>
        <v>18.593499999999999</v>
      </c>
      <c r="L32" s="996">
        <f>ROUND(VLOOKUP(J32,'Coord Tracciato'!$A$2:$D$752,4,FALSE),1)</f>
        <v>13.1</v>
      </c>
      <c r="M32" s="996" t="str">
        <f t="shared" si="3"/>
        <v>Tunnel</v>
      </c>
    </row>
    <row r="33" spans="1:13">
      <c r="A33" s="992">
        <v>12815</v>
      </c>
      <c r="B33" s="992">
        <v>45</v>
      </c>
      <c r="C33" s="992" t="s">
        <v>527</v>
      </c>
      <c r="D33" s="992">
        <v>18.5</v>
      </c>
      <c r="E33" s="992" t="s">
        <v>528</v>
      </c>
      <c r="F33" s="992">
        <v>15.1</v>
      </c>
      <c r="G33" s="992">
        <v>14.6</v>
      </c>
      <c r="H33" s="992">
        <v>17.8</v>
      </c>
      <c r="I33" s="992" t="s">
        <v>516</v>
      </c>
      <c r="J33" s="996">
        <f t="shared" si="2"/>
        <v>12815</v>
      </c>
      <c r="K33" s="996">
        <f>VLOOKUP(J33,'Coord Tracciato'!$A$2:$C$752,3,FALSE)</f>
        <v>18.707000000000001</v>
      </c>
      <c r="L33" s="996">
        <f>ROUND(VLOOKUP(J33,'Coord Tracciato'!$A$2:$D$752,4,FALSE),1)</f>
        <v>13.1</v>
      </c>
      <c r="M33" s="996" t="str">
        <f t="shared" si="3"/>
        <v>Tunnel</v>
      </c>
    </row>
    <row r="34" spans="1:13">
      <c r="A34" s="992">
        <v>12825</v>
      </c>
      <c r="B34" s="992">
        <v>40</v>
      </c>
      <c r="C34" s="992" t="s">
        <v>530</v>
      </c>
      <c r="D34" s="992">
        <v>18.5</v>
      </c>
      <c r="E34" s="992" t="s">
        <v>531</v>
      </c>
      <c r="F34" s="992">
        <v>15.3</v>
      </c>
      <c r="G34" s="992">
        <v>9</v>
      </c>
      <c r="H34" s="992">
        <v>19.8</v>
      </c>
      <c r="I34" s="992" t="s">
        <v>532</v>
      </c>
      <c r="J34" s="996">
        <f t="shared" si="2"/>
        <v>12825</v>
      </c>
      <c r="K34" s="996">
        <f>VLOOKUP(J34,'Coord Tracciato'!$A$2:$C$752,3,FALSE)</f>
        <v>18.798999999999999</v>
      </c>
      <c r="L34" s="996">
        <f>ROUND(VLOOKUP(J34,'Coord Tracciato'!$A$2:$D$752,4,FALSE),1)</f>
        <v>13.1</v>
      </c>
      <c r="M34" s="996" t="str">
        <f t="shared" si="3"/>
        <v>Tunnel</v>
      </c>
    </row>
    <row r="35" spans="1:13">
      <c r="A35" s="1009">
        <v>12833</v>
      </c>
      <c r="B35" s="1009">
        <v>43</v>
      </c>
      <c r="C35" s="1009" t="s">
        <v>634</v>
      </c>
      <c r="D35" s="1009">
        <v>21.5</v>
      </c>
      <c r="E35" s="1009" t="s">
        <v>635</v>
      </c>
      <c r="F35" s="1009">
        <v>15.1</v>
      </c>
      <c r="G35" s="1009">
        <v>19</v>
      </c>
      <c r="H35" s="1009">
        <v>20.100000000000001</v>
      </c>
      <c r="I35" s="1009" t="s">
        <v>516</v>
      </c>
      <c r="J35" s="996">
        <f t="shared" si="2"/>
        <v>12835</v>
      </c>
      <c r="K35" s="996">
        <f>VLOOKUP(J35,'Coord Tracciato'!$A$2:$C$752,3,FALSE)</f>
        <v>18.892000000000003</v>
      </c>
      <c r="L35" s="996">
        <f>ROUND(VLOOKUP(J35,'Coord Tracciato'!$A$2:$D$752,4,FALSE),1)</f>
        <v>13.1</v>
      </c>
      <c r="M35" s="996" t="str">
        <f t="shared" si="3"/>
        <v>Tunnel</v>
      </c>
    </row>
    <row r="36" spans="1:13">
      <c r="A36" s="992">
        <v>12850</v>
      </c>
      <c r="B36" s="992">
        <v>34</v>
      </c>
      <c r="C36" s="992" t="s">
        <v>517</v>
      </c>
      <c r="D36" s="992">
        <v>19.5</v>
      </c>
      <c r="E36" s="992" t="s">
        <v>519</v>
      </c>
      <c r="F36" s="992">
        <v>14.6</v>
      </c>
      <c r="G36" s="992">
        <v>16.600000000000001</v>
      </c>
      <c r="H36" s="992">
        <v>24</v>
      </c>
      <c r="I36" s="992" t="s">
        <v>516</v>
      </c>
      <c r="J36" s="996">
        <f t="shared" si="2"/>
        <v>12850</v>
      </c>
      <c r="K36" s="996">
        <f>VLOOKUP(J36,'Coord Tracciato'!$A$2:$C$752,3,FALSE)</f>
        <v>19.018000000000001</v>
      </c>
      <c r="L36" s="996">
        <f>ROUND(VLOOKUP(J36,'Coord Tracciato'!$A$2:$D$752,4,FALSE),1)</f>
        <v>13.1</v>
      </c>
      <c r="M36" s="996" t="str">
        <f t="shared" si="3"/>
        <v>Tunnel</v>
      </c>
    </row>
    <row r="37" spans="1:13">
      <c r="A37" s="996">
        <v>12866</v>
      </c>
      <c r="B37" s="996">
        <v>34</v>
      </c>
      <c r="C37" s="996" t="s">
        <v>636</v>
      </c>
      <c r="D37" s="996">
        <v>21.5</v>
      </c>
      <c r="E37" s="996" t="s">
        <v>637</v>
      </c>
      <c r="F37" s="996">
        <v>13.4</v>
      </c>
      <c r="G37" s="996">
        <v>17.2</v>
      </c>
      <c r="H37" s="996">
        <v>20.7</v>
      </c>
      <c r="I37" s="996" t="s">
        <v>516</v>
      </c>
      <c r="J37" s="996">
        <f t="shared" si="2"/>
        <v>12865</v>
      </c>
      <c r="K37" s="996">
        <f>VLOOKUP(J37,'Coord Tracciato'!$A$2:$C$752,3,FALSE)</f>
        <v>19.143000000000001</v>
      </c>
      <c r="L37" s="996">
        <f>ROUND(VLOOKUP(J37,'Coord Tracciato'!$A$2:$D$752,4,FALSE),1)</f>
        <v>13.1</v>
      </c>
      <c r="M37" s="996" t="str">
        <f t="shared" si="3"/>
        <v>Tunnel</v>
      </c>
    </row>
    <row r="38" spans="1:13">
      <c r="A38" s="996">
        <v>12883</v>
      </c>
      <c r="B38" s="996">
        <v>45</v>
      </c>
      <c r="C38" s="996" t="s">
        <v>638</v>
      </c>
      <c r="D38" s="996">
        <v>21.5</v>
      </c>
      <c r="E38" s="996" t="s">
        <v>639</v>
      </c>
      <c r="F38" s="996">
        <v>14.9</v>
      </c>
      <c r="G38" s="996">
        <v>18.100000000000001</v>
      </c>
      <c r="H38" s="996">
        <v>20.6</v>
      </c>
      <c r="I38" s="996" t="s">
        <v>516</v>
      </c>
      <c r="J38" s="996">
        <f t="shared" si="2"/>
        <v>12885</v>
      </c>
      <c r="K38" s="996">
        <f>VLOOKUP(J38,'Coord Tracciato'!$A$2:$C$752,3,FALSE)</f>
        <v>19.25</v>
      </c>
      <c r="L38" s="996">
        <f>ROUND(VLOOKUP(J38,'Coord Tracciato'!$A$2:$D$752,4,FALSE),1)</f>
        <v>13.1</v>
      </c>
      <c r="M38" s="996" t="str">
        <f t="shared" si="3"/>
        <v>Tunnel</v>
      </c>
    </row>
    <row r="39" spans="1:13">
      <c r="A39" s="992">
        <v>12900</v>
      </c>
      <c r="B39" s="992">
        <v>45</v>
      </c>
      <c r="C39" s="992" t="s">
        <v>533</v>
      </c>
      <c r="D39" s="992">
        <v>18.5</v>
      </c>
      <c r="E39" s="992" t="s">
        <v>534</v>
      </c>
      <c r="F39" s="992">
        <v>15.5</v>
      </c>
      <c r="G39" s="992">
        <v>21</v>
      </c>
      <c r="H39" s="992">
        <v>10.6</v>
      </c>
      <c r="I39" s="992" t="s">
        <v>516</v>
      </c>
      <c r="J39" s="996">
        <f t="shared" si="2"/>
        <v>12900</v>
      </c>
      <c r="K39" s="996">
        <f>VLOOKUP(J39,'Coord Tracciato'!$A$2:$C$752,3,FALSE)</f>
        <v>19.239000000000001</v>
      </c>
      <c r="L39" s="996">
        <f>ROUND(VLOOKUP(J39,'Coord Tracciato'!$A$2:$D$752,4,FALSE),1)</f>
        <v>13.1</v>
      </c>
      <c r="M39" s="996" t="str">
        <f t="shared" si="3"/>
        <v>Tunnel</v>
      </c>
    </row>
    <row r="40" spans="1:13">
      <c r="A40" s="996">
        <v>12950</v>
      </c>
      <c r="B40" s="996">
        <v>55</v>
      </c>
      <c r="C40" s="996" t="s">
        <v>482</v>
      </c>
      <c r="D40" s="996">
        <v>21.91</v>
      </c>
      <c r="E40" s="996" t="s">
        <v>410</v>
      </c>
      <c r="F40" s="996">
        <v>13.9</v>
      </c>
      <c r="G40" s="996">
        <v>23.6</v>
      </c>
      <c r="H40" s="996">
        <v>9</v>
      </c>
      <c r="I40" s="996" t="s">
        <v>516</v>
      </c>
      <c r="J40" s="996">
        <f t="shared" si="2"/>
        <v>12950</v>
      </c>
      <c r="K40" s="996">
        <f>VLOOKUP(J40,'Coord Tracciato'!$A$2:$C$752,3,FALSE)</f>
        <v>19.213000000000001</v>
      </c>
      <c r="L40" s="996">
        <f>ROUND(VLOOKUP(J40,'Coord Tracciato'!$A$2:$D$752,4,FALSE),1)</f>
        <v>13.1</v>
      </c>
      <c r="M40" s="996" t="str">
        <f t="shared" si="3"/>
        <v>Tunnel</v>
      </c>
    </row>
    <row r="41" spans="1:13">
      <c r="A41" s="996">
        <v>13403</v>
      </c>
      <c r="B41" s="996">
        <v>45</v>
      </c>
      <c r="C41" s="996" t="s">
        <v>640</v>
      </c>
      <c r="D41" s="996">
        <v>19.5</v>
      </c>
      <c r="E41" s="996" t="s">
        <v>641</v>
      </c>
      <c r="F41" s="996">
        <v>18.899999999999999</v>
      </c>
      <c r="G41" s="996">
        <v>13.9</v>
      </c>
      <c r="H41" s="996">
        <v>25</v>
      </c>
      <c r="I41" s="996" t="s">
        <v>516</v>
      </c>
      <c r="J41" s="996">
        <f t="shared" si="2"/>
        <v>13405</v>
      </c>
      <c r="K41" s="996">
        <f>VLOOKUP(J41,'Coord Tracciato'!$A$2:$C$752,3,FALSE)</f>
        <v>18.583500000000001</v>
      </c>
      <c r="L41" s="996">
        <f>ROUND(VLOOKUP(J41,'Coord Tracciato'!$A$2:$D$752,4,FALSE),1)</f>
        <v>13.1</v>
      </c>
      <c r="M41" s="996" t="str">
        <f t="shared" si="3"/>
        <v>Tunnel</v>
      </c>
    </row>
    <row r="42" spans="1:13">
      <c r="A42" s="996">
        <v>13417</v>
      </c>
      <c r="B42" s="996">
        <v>36</v>
      </c>
      <c r="C42" s="996" t="s">
        <v>642</v>
      </c>
      <c r="D42" s="996">
        <v>19.5</v>
      </c>
      <c r="E42" s="996" t="s">
        <v>643</v>
      </c>
      <c r="F42" s="996">
        <v>18.100000000000001</v>
      </c>
      <c r="G42" s="996">
        <v>20.6</v>
      </c>
      <c r="H42" s="996">
        <v>11</v>
      </c>
      <c r="I42" s="996" t="s">
        <v>516</v>
      </c>
      <c r="J42" s="996">
        <f t="shared" si="2"/>
        <v>13415</v>
      </c>
      <c r="K42" s="996">
        <f>VLOOKUP(J42,'Coord Tracciato'!$A$2:$C$752,3,FALSE)</f>
        <v>18.731000000000002</v>
      </c>
      <c r="L42" s="996">
        <f>ROUND(VLOOKUP(J42,'Coord Tracciato'!$A$2:$D$752,4,FALSE),1)</f>
        <v>13.1</v>
      </c>
      <c r="M42" s="996" t="str">
        <f t="shared" si="3"/>
        <v>Tunnel</v>
      </c>
    </row>
    <row r="43" spans="1:13">
      <c r="A43" s="996">
        <v>13442</v>
      </c>
      <c r="B43" s="996">
        <v>52</v>
      </c>
      <c r="C43" s="996" t="s">
        <v>644</v>
      </c>
      <c r="D43" s="996">
        <v>21.36</v>
      </c>
      <c r="E43" s="996" t="s">
        <v>645</v>
      </c>
      <c r="F43" s="996">
        <v>17.2</v>
      </c>
      <c r="G43" s="996">
        <v>15.3</v>
      </c>
      <c r="H43" s="996">
        <v>11.8</v>
      </c>
      <c r="I43" s="996" t="s">
        <v>516</v>
      </c>
      <c r="J43" s="996">
        <f t="shared" ref="J43:J66" si="4">MROUND(A43,5)</f>
        <v>13440</v>
      </c>
      <c r="K43" s="996">
        <f>VLOOKUP(J43,'Coord Tracciato'!$A$2:$C$752,3,FALSE)</f>
        <v>19.118499999999997</v>
      </c>
      <c r="L43" s="996">
        <f>ROUND(VLOOKUP(J43,'Coord Tracciato'!$A$2:$D$752,4,FALSE),1)</f>
        <v>13.1</v>
      </c>
      <c r="M43" s="996" t="str">
        <f t="shared" ref="M43:M66" si="5">IF(AND(13112&lt;J43,J43&lt;13281),"Rabin Station",IF(AND(12214&lt;J43,J43&lt;12410),"Kaplan",IF(AND(11320&lt;J43,J43&lt;11640),"Carlebach",IF(J43&lt;10612,"Leviski-OUT",IF(J43&gt;14369,"SOUTH","Tunnel")))))</f>
        <v>Tunnel</v>
      </c>
    </row>
    <row r="44" spans="1:13">
      <c r="A44" s="996">
        <v>13460</v>
      </c>
      <c r="B44" s="996">
        <v>45</v>
      </c>
      <c r="C44" s="996" t="s">
        <v>646</v>
      </c>
      <c r="D44" s="996">
        <v>20.5</v>
      </c>
      <c r="E44" s="996" t="s">
        <v>647</v>
      </c>
      <c r="F44" s="996">
        <v>16.3</v>
      </c>
      <c r="G44" s="996">
        <v>15.8</v>
      </c>
      <c r="H44" s="996">
        <v>23.4</v>
      </c>
      <c r="I44" s="996" t="s">
        <v>516</v>
      </c>
      <c r="J44" s="996">
        <f t="shared" si="4"/>
        <v>13460</v>
      </c>
      <c r="K44" s="996">
        <f>VLOOKUP(J44,'Coord Tracciato'!$A$2:$C$752,3,FALSE)</f>
        <v>19.405000000000001</v>
      </c>
      <c r="L44" s="996">
        <f>ROUND(VLOOKUP(J44,'Coord Tracciato'!$A$2:$D$752,4,FALSE),1)</f>
        <v>13.1</v>
      </c>
      <c r="M44" s="996" t="str">
        <f t="shared" si="5"/>
        <v>Tunnel</v>
      </c>
    </row>
    <row r="45" spans="1:13">
      <c r="A45" s="996">
        <v>13480</v>
      </c>
      <c r="B45" s="996">
        <v>45</v>
      </c>
      <c r="C45" s="996" t="s">
        <v>648</v>
      </c>
      <c r="D45" s="996">
        <v>20.5</v>
      </c>
      <c r="E45" s="996" t="s">
        <v>649</v>
      </c>
      <c r="F45" s="996">
        <v>15.5</v>
      </c>
      <c r="G45" s="996">
        <v>14.6</v>
      </c>
      <c r="H45" s="996">
        <v>19.600000000000001</v>
      </c>
      <c r="I45" s="996" t="s">
        <v>516</v>
      </c>
      <c r="J45" s="996">
        <f t="shared" si="4"/>
        <v>13480</v>
      </c>
      <c r="K45" s="996">
        <f>VLOOKUP(J45,'Coord Tracciato'!$A$2:$C$752,3,FALSE)</f>
        <v>19.723500000000001</v>
      </c>
      <c r="L45" s="996">
        <f>ROUND(VLOOKUP(J45,'Coord Tracciato'!$A$2:$D$752,4,FALSE),1)</f>
        <v>13.1</v>
      </c>
      <c r="M45" s="996" t="str">
        <f t="shared" si="5"/>
        <v>Tunnel</v>
      </c>
    </row>
    <row r="46" spans="1:13">
      <c r="A46" s="996">
        <v>13495</v>
      </c>
      <c r="B46" s="996">
        <v>52</v>
      </c>
      <c r="C46" s="996" t="s">
        <v>650</v>
      </c>
      <c r="D46" s="996">
        <v>20.5</v>
      </c>
      <c r="E46" s="996" t="s">
        <v>651</v>
      </c>
      <c r="F46" s="996">
        <v>15.4</v>
      </c>
      <c r="G46" s="996">
        <v>14.2</v>
      </c>
      <c r="H46" s="996">
        <v>17.2</v>
      </c>
      <c r="I46" s="996" t="s">
        <v>516</v>
      </c>
      <c r="J46" s="996">
        <f t="shared" si="4"/>
        <v>13495</v>
      </c>
      <c r="K46" s="996">
        <f>VLOOKUP(J46,'Coord Tracciato'!$A$2:$C$752,3,FALSE)</f>
        <v>19.9315</v>
      </c>
      <c r="L46" s="996">
        <f>ROUND(VLOOKUP(J46,'Coord Tracciato'!$A$2:$D$752,4,FALSE),1)</f>
        <v>13.1</v>
      </c>
      <c r="M46" s="996" t="str">
        <f t="shared" si="5"/>
        <v>Tunnel</v>
      </c>
    </row>
    <row r="47" spans="1:13">
      <c r="A47" s="992">
        <v>13515</v>
      </c>
      <c r="B47" s="992">
        <v>45</v>
      </c>
      <c r="C47" s="992" t="s">
        <v>468</v>
      </c>
      <c r="D47" s="992">
        <v>21.5</v>
      </c>
      <c r="E47" s="992" t="s">
        <v>411</v>
      </c>
      <c r="F47" s="992">
        <v>14.3</v>
      </c>
      <c r="G47" s="992">
        <v>13.3</v>
      </c>
      <c r="H47" s="992">
        <v>18.7</v>
      </c>
      <c r="I47" s="992" t="s">
        <v>516</v>
      </c>
      <c r="J47" s="996">
        <f t="shared" si="4"/>
        <v>13515</v>
      </c>
      <c r="K47" s="996">
        <f>VLOOKUP(J47,'Coord Tracciato'!$A$2:$C$752,3,FALSE)</f>
        <v>20.222000000000001</v>
      </c>
      <c r="L47" s="996">
        <f>ROUND(VLOOKUP(J47,'Coord Tracciato'!$A$2:$D$752,4,FALSE),1)</f>
        <v>13.1</v>
      </c>
      <c r="M47" s="996" t="str">
        <f t="shared" si="5"/>
        <v>Tunnel</v>
      </c>
    </row>
    <row r="48" spans="1:13">
      <c r="A48" s="996">
        <v>13515</v>
      </c>
      <c r="B48" s="996">
        <v>45</v>
      </c>
      <c r="C48" s="996" t="s">
        <v>596</v>
      </c>
      <c r="D48" s="996">
        <v>18.5</v>
      </c>
      <c r="E48" s="996" t="s">
        <v>597</v>
      </c>
      <c r="F48" s="996">
        <v>15.4</v>
      </c>
      <c r="G48" s="996">
        <v>16</v>
      </c>
      <c r="H48" s="996">
        <v>19.3</v>
      </c>
      <c r="I48" s="996" t="s">
        <v>516</v>
      </c>
      <c r="J48" s="996">
        <f t="shared" si="4"/>
        <v>13515</v>
      </c>
      <c r="K48" s="996">
        <f>VLOOKUP(J48,'Coord Tracciato'!$A$2:$C$752,3,FALSE)</f>
        <v>20.222000000000001</v>
      </c>
      <c r="L48" s="996">
        <f>ROUND(VLOOKUP(J48,'Coord Tracciato'!$A$2:$D$752,4,FALSE),1)</f>
        <v>13.1</v>
      </c>
      <c r="M48" s="996" t="str">
        <f t="shared" si="5"/>
        <v>Tunnel</v>
      </c>
    </row>
    <row r="49" spans="1:13">
      <c r="A49" s="996">
        <v>13528</v>
      </c>
      <c r="B49" s="996">
        <v>52</v>
      </c>
      <c r="C49" s="996" t="s">
        <v>598</v>
      </c>
      <c r="D49" s="996">
        <v>18.5</v>
      </c>
      <c r="E49" s="996" t="s">
        <v>599</v>
      </c>
      <c r="F49" s="996">
        <v>15.4</v>
      </c>
      <c r="G49" s="996">
        <v>14.5</v>
      </c>
      <c r="H49" s="996">
        <v>21.9</v>
      </c>
      <c r="I49" s="996" t="s">
        <v>516</v>
      </c>
      <c r="J49" s="996">
        <f t="shared" si="4"/>
        <v>13530</v>
      </c>
      <c r="K49" s="996">
        <f>VLOOKUP(J49,'Coord Tracciato'!$A$2:$C$752,3,FALSE)</f>
        <v>20.429500000000001</v>
      </c>
      <c r="L49" s="996">
        <f>ROUND(VLOOKUP(J49,'Coord Tracciato'!$A$2:$D$752,4,FALSE),1)</f>
        <v>13.1</v>
      </c>
      <c r="M49" s="996" t="str">
        <f t="shared" si="5"/>
        <v>Tunnel</v>
      </c>
    </row>
    <row r="50" spans="1:13">
      <c r="A50" s="996">
        <v>13547</v>
      </c>
      <c r="B50" s="996">
        <v>45</v>
      </c>
      <c r="C50" s="996" t="s">
        <v>600</v>
      </c>
      <c r="D50" s="996">
        <v>18.5</v>
      </c>
      <c r="E50" s="996" t="s">
        <v>601</v>
      </c>
      <c r="F50" s="996">
        <v>15.5</v>
      </c>
      <c r="G50" s="996">
        <v>14.9</v>
      </c>
      <c r="H50" s="996">
        <v>19.600000000000001</v>
      </c>
      <c r="I50" s="996" t="s">
        <v>516</v>
      </c>
      <c r="J50" s="996">
        <f t="shared" si="4"/>
        <v>13545</v>
      </c>
      <c r="K50" s="996">
        <f>VLOOKUP(J50,'Coord Tracciato'!$A$2:$C$752,3,FALSE)</f>
        <v>20.671500000000002</v>
      </c>
      <c r="L50" s="996">
        <f>ROUND(VLOOKUP(J50,'Coord Tracciato'!$A$2:$D$752,4,FALSE),1)</f>
        <v>13.1</v>
      </c>
      <c r="M50" s="996" t="str">
        <f t="shared" si="5"/>
        <v>Tunnel</v>
      </c>
    </row>
    <row r="51" spans="1:13">
      <c r="A51" s="996">
        <v>13564</v>
      </c>
      <c r="B51" s="996">
        <v>45</v>
      </c>
      <c r="C51" s="996" t="s">
        <v>602</v>
      </c>
      <c r="D51" s="996">
        <v>18.5</v>
      </c>
      <c r="E51" s="996" t="s">
        <v>603</v>
      </c>
      <c r="F51" s="996">
        <v>15.2</v>
      </c>
      <c r="G51" s="996">
        <v>14.3</v>
      </c>
      <c r="H51" s="996">
        <v>17.7</v>
      </c>
      <c r="I51" s="996" t="s">
        <v>516</v>
      </c>
      <c r="J51" s="996">
        <f t="shared" si="4"/>
        <v>13565</v>
      </c>
      <c r="K51" s="996">
        <f>VLOOKUP(J51,'Coord Tracciato'!$A$2:$C$752,3,FALSE)</f>
        <v>20.967500000000001</v>
      </c>
      <c r="L51" s="996">
        <f>ROUND(VLOOKUP(J51,'Coord Tracciato'!$A$2:$D$752,4,FALSE),1)</f>
        <v>13.1</v>
      </c>
      <c r="M51" s="996" t="str">
        <f t="shared" si="5"/>
        <v>Tunnel</v>
      </c>
    </row>
    <row r="52" spans="1:13">
      <c r="A52" s="996">
        <v>13586</v>
      </c>
      <c r="B52" s="996">
        <v>49</v>
      </c>
      <c r="C52" s="996" t="s">
        <v>604</v>
      </c>
      <c r="D52" s="996">
        <v>18.5</v>
      </c>
      <c r="E52" s="996" t="s">
        <v>605</v>
      </c>
      <c r="F52" s="996">
        <v>15.3</v>
      </c>
      <c r="G52" s="996">
        <v>14.5</v>
      </c>
      <c r="H52" s="996">
        <v>17.5</v>
      </c>
      <c r="I52" s="996" t="s">
        <v>516</v>
      </c>
      <c r="J52" s="996">
        <f t="shared" si="4"/>
        <v>13585</v>
      </c>
      <c r="K52" s="996">
        <f>VLOOKUP(J52,'Coord Tracciato'!$A$2:$C$752,3,FALSE)</f>
        <v>21.2395</v>
      </c>
      <c r="L52" s="996">
        <f>ROUND(VLOOKUP(J52,'Coord Tracciato'!$A$2:$D$752,4,FALSE),1)</f>
        <v>13.1</v>
      </c>
      <c r="M52" s="996" t="str">
        <f t="shared" si="5"/>
        <v>Tunnel</v>
      </c>
    </row>
    <row r="53" spans="1:13">
      <c r="A53" s="996">
        <v>13602</v>
      </c>
      <c r="B53" s="996">
        <v>52</v>
      </c>
      <c r="C53" s="996" t="s">
        <v>606</v>
      </c>
      <c r="D53" s="996">
        <v>19.5</v>
      </c>
      <c r="E53" s="996" t="s">
        <v>607</v>
      </c>
      <c r="F53" s="996">
        <v>15.3</v>
      </c>
      <c r="G53" s="996">
        <v>17.600000000000001</v>
      </c>
      <c r="H53" s="996">
        <v>15.6</v>
      </c>
      <c r="I53" s="996" t="s">
        <v>516</v>
      </c>
      <c r="J53" s="996">
        <f t="shared" si="4"/>
        <v>13600</v>
      </c>
      <c r="K53" s="996">
        <f>VLOOKUP(J53,'Coord Tracciato'!$A$2:$C$752,3,FALSE)</f>
        <v>21.396999999999998</v>
      </c>
      <c r="L53" s="996">
        <f>ROUND(VLOOKUP(J53,'Coord Tracciato'!$A$2:$D$752,4,FALSE),1)</f>
        <v>13.1</v>
      </c>
      <c r="M53" s="996" t="str">
        <f t="shared" si="5"/>
        <v>Tunnel</v>
      </c>
    </row>
    <row r="54" spans="1:13">
      <c r="A54" s="996">
        <v>13626</v>
      </c>
      <c r="B54" s="996">
        <v>45</v>
      </c>
      <c r="C54" s="996" t="s">
        <v>608</v>
      </c>
      <c r="D54" s="996">
        <v>19.5</v>
      </c>
      <c r="E54" s="996" t="s">
        <v>609</v>
      </c>
      <c r="F54" s="996">
        <v>15.5</v>
      </c>
      <c r="G54" s="996">
        <v>16</v>
      </c>
      <c r="H54" s="996">
        <v>15.5</v>
      </c>
      <c r="I54" s="996" t="s">
        <v>516</v>
      </c>
      <c r="J54" s="996">
        <f t="shared" si="4"/>
        <v>13625</v>
      </c>
      <c r="K54" s="996">
        <f>VLOOKUP(J54,'Coord Tracciato'!$A$2:$C$752,3,FALSE)</f>
        <v>21.634499999999999</v>
      </c>
      <c r="L54" s="996">
        <f>ROUND(VLOOKUP(J54,'Coord Tracciato'!$A$2:$D$752,4,FALSE),1)</f>
        <v>13.1</v>
      </c>
      <c r="M54" s="996" t="str">
        <f t="shared" si="5"/>
        <v>Tunnel</v>
      </c>
    </row>
    <row r="55" spans="1:13">
      <c r="A55" s="996">
        <v>13643</v>
      </c>
      <c r="B55" s="996">
        <v>38</v>
      </c>
      <c r="C55" s="996" t="s">
        <v>610</v>
      </c>
      <c r="D55" s="996">
        <v>21.95</v>
      </c>
      <c r="E55" s="996" t="s">
        <v>611</v>
      </c>
      <c r="F55" s="996">
        <v>15.9</v>
      </c>
      <c r="G55" s="996">
        <v>16.7</v>
      </c>
      <c r="H55" s="996">
        <v>15.8</v>
      </c>
      <c r="I55" s="996" t="s">
        <v>516</v>
      </c>
      <c r="J55" s="996">
        <f t="shared" si="4"/>
        <v>13645</v>
      </c>
      <c r="K55" s="996">
        <f>VLOOKUP(J55,'Coord Tracciato'!$A$2:$C$752,3,FALSE)</f>
        <v>21.831499999999998</v>
      </c>
      <c r="L55" s="996">
        <f>ROUND(VLOOKUP(J55,'Coord Tracciato'!$A$2:$D$752,4,FALSE),1)</f>
        <v>13.1</v>
      </c>
      <c r="M55" s="996" t="str">
        <f t="shared" si="5"/>
        <v>Tunnel</v>
      </c>
    </row>
    <row r="56" spans="1:13">
      <c r="A56" s="992">
        <v>13670</v>
      </c>
      <c r="B56" s="992">
        <v>46</v>
      </c>
      <c r="C56" s="992" t="s">
        <v>473</v>
      </c>
      <c r="D56" s="992">
        <v>15.5</v>
      </c>
      <c r="E56" s="992" t="s">
        <v>428</v>
      </c>
      <c r="F56" s="992">
        <v>14.8</v>
      </c>
      <c r="G56" s="992">
        <v>15.7</v>
      </c>
      <c r="H56" s="992">
        <v>24.6</v>
      </c>
      <c r="I56" s="992" t="s">
        <v>516</v>
      </c>
      <c r="J56" s="996">
        <f t="shared" si="4"/>
        <v>13670</v>
      </c>
      <c r="K56" s="996">
        <f>VLOOKUP(J56,'Coord Tracciato'!$A$2:$C$752,3,FALSE)</f>
        <v>21.927500000000002</v>
      </c>
      <c r="L56" s="996">
        <f>ROUND(VLOOKUP(J56,'Coord Tracciato'!$A$2:$D$752,4,FALSE),1)</f>
        <v>13.1</v>
      </c>
      <c r="M56" s="996" t="str">
        <f t="shared" si="5"/>
        <v>Tunnel</v>
      </c>
    </row>
    <row r="57" spans="1:13">
      <c r="A57" s="1009">
        <v>13686</v>
      </c>
      <c r="B57" s="1009">
        <v>52</v>
      </c>
      <c r="C57" s="1009" t="s">
        <v>612</v>
      </c>
      <c r="D57" s="1009">
        <v>18.5</v>
      </c>
      <c r="E57" s="1009" t="s">
        <v>613</v>
      </c>
      <c r="F57" s="1009">
        <v>15.7</v>
      </c>
      <c r="G57" s="1009">
        <v>13.5</v>
      </c>
      <c r="H57" s="1009">
        <v>18.3</v>
      </c>
      <c r="I57" s="1009" t="s">
        <v>516</v>
      </c>
      <c r="J57" s="996">
        <f t="shared" si="4"/>
        <v>13685</v>
      </c>
      <c r="K57" s="996">
        <f>VLOOKUP(J57,'Coord Tracciato'!$A$2:$C$752,3,FALSE)</f>
        <v>21.927</v>
      </c>
      <c r="L57" s="996">
        <f>ROUND(VLOOKUP(J57,'Coord Tracciato'!$A$2:$D$752,4,FALSE),1)</f>
        <v>13.1</v>
      </c>
      <c r="M57" s="996" t="str">
        <f t="shared" si="5"/>
        <v>Tunnel</v>
      </c>
    </row>
    <row r="58" spans="1:13">
      <c r="A58" s="992">
        <v>13760</v>
      </c>
      <c r="B58" s="992">
        <v>57</v>
      </c>
      <c r="C58" s="992" t="s">
        <v>489</v>
      </c>
      <c r="D58" s="992">
        <v>16.5</v>
      </c>
      <c r="E58" s="992" t="s">
        <v>412</v>
      </c>
      <c r="F58" s="992">
        <v>14.9</v>
      </c>
      <c r="G58" s="992">
        <v>22.8</v>
      </c>
      <c r="H58" s="992">
        <v>8.6999999999999993</v>
      </c>
      <c r="I58" s="992" t="s">
        <v>516</v>
      </c>
      <c r="J58" s="996">
        <f t="shared" si="4"/>
        <v>13760</v>
      </c>
      <c r="K58" s="996">
        <f>VLOOKUP(J58,'Coord Tracciato'!$A$2:$C$752,3,FALSE)</f>
        <v>21.717500000000001</v>
      </c>
      <c r="L58" s="996">
        <f>ROUND(VLOOKUP(J58,'Coord Tracciato'!$A$2:$D$752,4,FALSE),1)</f>
        <v>13.1</v>
      </c>
      <c r="M58" s="996" t="str">
        <f t="shared" si="5"/>
        <v>Tunnel</v>
      </c>
    </row>
    <row r="59" spans="1:13">
      <c r="A59" s="996">
        <v>14090</v>
      </c>
      <c r="B59" s="996">
        <v>45</v>
      </c>
      <c r="C59" s="996" t="s">
        <v>614</v>
      </c>
      <c r="D59" s="996">
        <v>21.5</v>
      </c>
      <c r="E59" s="996" t="s">
        <v>615</v>
      </c>
      <c r="F59" s="996">
        <v>14.9</v>
      </c>
      <c r="G59" s="996">
        <v>16.899999999999999</v>
      </c>
      <c r="H59" s="996">
        <v>22.5</v>
      </c>
      <c r="I59" s="996" t="s">
        <v>516</v>
      </c>
      <c r="J59" s="996">
        <f t="shared" si="4"/>
        <v>14090</v>
      </c>
      <c r="K59" s="996">
        <f>VLOOKUP(J59,'Coord Tracciato'!$A$2:$C$752,3,FALSE)</f>
        <v>18.2075</v>
      </c>
      <c r="L59" s="996">
        <f>ROUND(VLOOKUP(J59,'Coord Tracciato'!$A$2:$D$752,4,FALSE),1)</f>
        <v>13.1</v>
      </c>
      <c r="M59" s="996" t="str">
        <f t="shared" si="5"/>
        <v>Tunnel</v>
      </c>
    </row>
    <row r="60" spans="1:13">
      <c r="A60" s="996">
        <v>14140</v>
      </c>
      <c r="B60" s="996">
        <v>45</v>
      </c>
      <c r="C60" s="996" t="s">
        <v>616</v>
      </c>
      <c r="D60" s="996">
        <v>19.5</v>
      </c>
      <c r="E60" s="996" t="s">
        <v>617</v>
      </c>
      <c r="F60" s="996">
        <v>14.9</v>
      </c>
      <c r="G60" s="996">
        <v>15.9</v>
      </c>
      <c r="H60" s="996">
        <v>21.8</v>
      </c>
      <c r="I60" s="996" t="s">
        <v>516</v>
      </c>
      <c r="J60" s="996">
        <f t="shared" si="4"/>
        <v>14140</v>
      </c>
      <c r="K60" s="996">
        <f>VLOOKUP(J60,'Coord Tracciato'!$A$2:$C$752,3,FALSE)</f>
        <v>16.9695</v>
      </c>
      <c r="L60" s="996">
        <f>ROUND(VLOOKUP(J60,'Coord Tracciato'!$A$2:$D$752,4,FALSE),1)</f>
        <v>13.1</v>
      </c>
      <c r="M60" s="996" t="str">
        <f t="shared" si="5"/>
        <v>Tunnel</v>
      </c>
    </row>
    <row r="61" spans="1:13">
      <c r="A61" s="992">
        <v>14150</v>
      </c>
      <c r="B61" s="992">
        <v>52</v>
      </c>
      <c r="C61" s="992" t="s">
        <v>550</v>
      </c>
      <c r="D61" s="992">
        <v>20.5</v>
      </c>
      <c r="E61" s="992" t="s">
        <v>552</v>
      </c>
      <c r="F61" s="992">
        <v>14.5</v>
      </c>
      <c r="G61" s="992">
        <v>13.1</v>
      </c>
      <c r="H61" s="992">
        <v>16.5</v>
      </c>
      <c r="I61" s="992" t="s">
        <v>516</v>
      </c>
      <c r="J61" s="996">
        <f t="shared" si="4"/>
        <v>14150</v>
      </c>
      <c r="K61" s="996">
        <f>VLOOKUP(J61,'Coord Tracciato'!$A$2:$C$752,3,FALSE)</f>
        <v>16.714500000000001</v>
      </c>
      <c r="L61" s="996">
        <f>ROUND(VLOOKUP(J61,'Coord Tracciato'!$A$2:$D$752,4,FALSE),1)</f>
        <v>13.1</v>
      </c>
      <c r="M61" s="996" t="str">
        <f t="shared" si="5"/>
        <v>Tunnel</v>
      </c>
    </row>
    <row r="62" spans="1:13">
      <c r="A62" s="1009">
        <v>14200</v>
      </c>
      <c r="B62" s="1009">
        <v>45</v>
      </c>
      <c r="C62" s="1009" t="s">
        <v>652</v>
      </c>
      <c r="D62" s="1009">
        <v>19.5</v>
      </c>
      <c r="E62" s="1009" t="s">
        <v>653</v>
      </c>
      <c r="F62" s="1009">
        <v>14</v>
      </c>
      <c r="G62" s="1009">
        <v>13.9</v>
      </c>
      <c r="H62" s="1009">
        <v>13.2</v>
      </c>
      <c r="I62" s="1009" t="s">
        <v>516</v>
      </c>
      <c r="J62" s="996">
        <f t="shared" si="4"/>
        <v>14200</v>
      </c>
      <c r="K62" s="996">
        <f>VLOOKUP(J62,'Coord Tracciato'!$A$2:$C$752,3,FALSE)</f>
        <v>15.468</v>
      </c>
      <c r="L62" s="996">
        <f>ROUND(VLOOKUP(J62,'Coord Tracciato'!$A$2:$D$752,4,FALSE),1)</f>
        <v>13.1</v>
      </c>
      <c r="M62" s="996" t="str">
        <f t="shared" si="5"/>
        <v>Tunnel</v>
      </c>
    </row>
    <row r="63" spans="1:13">
      <c r="A63" s="996">
        <v>14220</v>
      </c>
      <c r="B63" s="996">
        <v>45</v>
      </c>
      <c r="C63" s="996" t="s">
        <v>654</v>
      </c>
      <c r="D63" s="996">
        <v>19.5</v>
      </c>
      <c r="E63" s="996" t="s">
        <v>655</v>
      </c>
      <c r="F63" s="996">
        <v>14</v>
      </c>
      <c r="G63" s="996">
        <v>13.9</v>
      </c>
      <c r="H63" s="996">
        <v>19.100000000000001</v>
      </c>
      <c r="I63" s="996" t="s">
        <v>516</v>
      </c>
      <c r="J63" s="996">
        <f t="shared" si="4"/>
        <v>14220</v>
      </c>
      <c r="K63" s="996">
        <f>VLOOKUP(J63,'Coord Tracciato'!$A$2:$C$752,3,FALSE)</f>
        <v>14.9895</v>
      </c>
      <c r="L63" s="996">
        <f>ROUND(VLOOKUP(J63,'Coord Tracciato'!$A$2:$D$752,4,FALSE),1)</f>
        <v>13.1</v>
      </c>
      <c r="M63" s="996" t="str">
        <f t="shared" si="5"/>
        <v>Tunnel</v>
      </c>
    </row>
    <row r="64" spans="1:13">
      <c r="A64" s="996">
        <v>14240</v>
      </c>
      <c r="B64" s="996">
        <v>52</v>
      </c>
      <c r="C64" s="996" t="s">
        <v>656</v>
      </c>
      <c r="D64" s="996">
        <v>21.5</v>
      </c>
      <c r="E64" s="996" t="s">
        <v>657</v>
      </c>
      <c r="F64" s="996">
        <v>14</v>
      </c>
      <c r="G64" s="996">
        <v>14.1</v>
      </c>
      <c r="H64" s="996">
        <v>17.8</v>
      </c>
      <c r="I64" s="996" t="s">
        <v>516</v>
      </c>
      <c r="J64" s="996">
        <f t="shared" si="4"/>
        <v>14240</v>
      </c>
      <c r="K64" s="996">
        <f>VLOOKUP(J64,'Coord Tracciato'!$A$2:$C$752,3,FALSE)</f>
        <v>14.454499999999999</v>
      </c>
      <c r="L64" s="996">
        <f>ROUND(VLOOKUP(J64,'Coord Tracciato'!$A$2:$D$752,4,FALSE),1)</f>
        <v>13.1</v>
      </c>
      <c r="M64" s="996" t="str">
        <f t="shared" si="5"/>
        <v>Tunnel</v>
      </c>
    </row>
    <row r="65" spans="1:13">
      <c r="A65" s="1009">
        <v>14250</v>
      </c>
      <c r="B65" s="1009">
        <v>45</v>
      </c>
      <c r="C65" s="1009" t="s">
        <v>658</v>
      </c>
      <c r="D65" s="1009">
        <v>21.5</v>
      </c>
      <c r="E65" s="1009" t="s">
        <v>659</v>
      </c>
      <c r="F65" s="1009">
        <v>14</v>
      </c>
      <c r="G65" s="1009">
        <v>14.1</v>
      </c>
      <c r="H65" s="1009">
        <v>18.5</v>
      </c>
      <c r="I65" s="1009" t="s">
        <v>516</v>
      </c>
      <c r="J65" s="996">
        <f t="shared" si="4"/>
        <v>14250</v>
      </c>
      <c r="K65" s="996">
        <f>VLOOKUP(J65,'Coord Tracciato'!$A$2:$C$752,3,FALSE)</f>
        <v>14.203499999999998</v>
      </c>
      <c r="L65" s="996">
        <f>ROUND(VLOOKUP(J65,'Coord Tracciato'!$A$2:$D$752,4,FALSE),1)</f>
        <v>13.1</v>
      </c>
      <c r="M65" s="996" t="str">
        <f t="shared" si="5"/>
        <v>Tunnel</v>
      </c>
    </row>
    <row r="66" spans="1:13">
      <c r="A66" s="1009">
        <v>14300</v>
      </c>
      <c r="B66" s="1009">
        <v>45</v>
      </c>
      <c r="C66" s="1009" t="s">
        <v>618</v>
      </c>
      <c r="D66" s="1009">
        <v>20.5</v>
      </c>
      <c r="E66" s="1009" t="s">
        <v>619</v>
      </c>
      <c r="F66" s="1009">
        <v>16.3</v>
      </c>
      <c r="G66" s="1009">
        <v>16.8</v>
      </c>
      <c r="H66" s="1009">
        <v>16.600000000000001</v>
      </c>
      <c r="I66" s="1009" t="s">
        <v>516</v>
      </c>
      <c r="J66" s="996">
        <f t="shared" si="4"/>
        <v>14300</v>
      </c>
      <c r="K66" s="996">
        <f>VLOOKUP(J66,'Coord Tracciato'!$A$2:$C$752,3,FALSE)</f>
        <v>12.9215</v>
      </c>
      <c r="L66" s="996">
        <f>ROUND(VLOOKUP(J66,'Coord Tracciato'!$A$2:$D$752,4,FALSE),1)</f>
        <v>13.1</v>
      </c>
      <c r="M66" s="996" t="str">
        <f t="shared" si="5"/>
        <v>Tunnel</v>
      </c>
    </row>
    <row r="68" spans="1:13">
      <c r="C68" s="979"/>
      <c r="D68" s="979"/>
    </row>
    <row r="69" spans="1:13">
      <c r="C69" s="979"/>
      <c r="D69" s="979"/>
    </row>
    <row r="70" spans="1:13">
      <c r="C70" s="979"/>
      <c r="D70" s="979"/>
    </row>
  </sheetData>
  <autoFilter ref="A1:M66" xr:uid="{00000000-0009-0000-0000-00000B000000}">
    <filterColumn colId="12">
      <filters>
        <filter val="Tunnel"/>
      </filters>
    </filterColumn>
    <sortState xmlns:xlrd2="http://schemas.microsoft.com/office/spreadsheetml/2017/richdata2" ref="A11:M66">
      <sortCondition ref="M1:M66"/>
    </sortState>
  </autoFilter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3:B8"/>
  <sheetViews>
    <sheetView workbookViewId="0">
      <selection activeCell="B14" sqref="B14"/>
    </sheetView>
  </sheetViews>
  <sheetFormatPr defaultRowHeight="13.2"/>
  <cols>
    <col min="1" max="1" width="33.33203125" style="1009" customWidth="1"/>
    <col min="2" max="2" width="127" customWidth="1"/>
  </cols>
  <sheetData>
    <row r="3" spans="1:2">
      <c r="A3" s="979" t="s">
        <v>666</v>
      </c>
      <c r="B3" s="1019" t="s">
        <v>669</v>
      </c>
    </row>
    <row r="4" spans="1:2">
      <c r="A4" s="979" t="s">
        <v>667</v>
      </c>
      <c r="B4" s="1019" t="s">
        <v>669</v>
      </c>
    </row>
    <row r="5" spans="1:2">
      <c r="A5" s="979" t="s">
        <v>668</v>
      </c>
      <c r="B5" s="1019" t="s">
        <v>669</v>
      </c>
    </row>
    <row r="6" spans="1:2">
      <c r="B6" s="1020"/>
    </row>
    <row r="7" spans="1:2">
      <c r="B7" s="1020"/>
    </row>
    <row r="8" spans="1:2">
      <c r="A8" s="1009" t="s">
        <v>560</v>
      </c>
      <c r="B8" s="1019" t="s">
        <v>671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13</vt:i4>
      </vt:variant>
      <vt:variant>
        <vt:lpstr>Intervalli denominati</vt:lpstr>
      </vt:variant>
      <vt:variant>
        <vt:i4>6</vt:i4>
      </vt:variant>
    </vt:vector>
  </HeadingPairs>
  <TitlesOfParts>
    <vt:vector size="19" baseType="lpstr">
      <vt:lpstr>IN-OUT</vt:lpstr>
      <vt:lpstr>subsidence profile with z_0</vt:lpstr>
      <vt:lpstr>transversal subsidence profile</vt:lpstr>
      <vt:lpstr>transversal subsidence-gauss</vt:lpstr>
      <vt:lpstr>Damage classification-Rankin</vt:lpstr>
      <vt:lpstr>Burland damage classification</vt:lpstr>
      <vt:lpstr>Benchmark-Burland</vt:lpstr>
      <vt:lpstr>tunnel</vt:lpstr>
      <vt:lpstr>building</vt:lpstr>
      <vt:lpstr>Coord Tracciato</vt:lpstr>
      <vt:lpstr>Add3</vt:lpstr>
      <vt:lpstr>Febbraio</vt:lpstr>
      <vt:lpstr>Note</vt:lpstr>
      <vt:lpstr>building!Area_stampa</vt:lpstr>
      <vt:lpstr>'Damage classification-Rankin'!Area_stampa</vt:lpstr>
      <vt:lpstr>'IN-OUT'!Area_stampa</vt:lpstr>
      <vt:lpstr>'transversal subsidence profile'!Area_stampa</vt:lpstr>
      <vt:lpstr>'transversal subsidence-gauss'!Area_stampa</vt:lpstr>
      <vt:lpstr>building!Titoli_stampa</vt:lpstr>
    </vt:vector>
  </TitlesOfParts>
  <Company>Geodata S.p.A.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gzn</dc:creator>
  <cp:lastModifiedBy>Peruzzo, Fabrizio</cp:lastModifiedBy>
  <cp:lastPrinted>2020-02-12T15:24:05Z</cp:lastPrinted>
  <dcterms:created xsi:type="dcterms:W3CDTF">2011-06-10T10:03:46Z</dcterms:created>
  <dcterms:modified xsi:type="dcterms:W3CDTF">2020-10-12T12:27:27Z</dcterms:modified>
</cp:coreProperties>
</file>